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B" sheetId="1" r:id="rId4"/>
    <sheet state="visible" name="TdB par Canal" sheetId="2" r:id="rId5"/>
    <sheet state="visible" name="Synthèse Vente Nuitée" sheetId="3" r:id="rId6"/>
    <sheet state="visible" name="Graphique" sheetId="4" r:id="rId7"/>
    <sheet state="visible" name="dataMail" sheetId="5" r:id="rId8"/>
    <sheet state="visible" name="Erreur" sheetId="6" r:id="rId9"/>
    <sheet state="hidden" name="dataMail2" sheetId="7" r:id="rId10"/>
    <sheet state="hidden" name="dataMail3" sheetId="8" r:id="rId11"/>
    <sheet state="visible" name="Correspondance" sheetId="9" r:id="rId12"/>
    <sheet state="visible" name="Contrat" sheetId="10" r:id="rId13"/>
    <sheet state="visible" name="Liste client sur une nuit donné" sheetId="11" r:id="rId14"/>
    <sheet state="visible" name="DispoGolf" sheetId="12" r:id="rId15"/>
  </sheets>
  <definedNames>
    <definedName hidden="1" localSheetId="6" name="_xlnm._FilterDatabase">dataMail2!$A$1:$V$3871</definedName>
    <definedName hidden="1" localSheetId="7" name="_xlnm._FilterDatabase">dataMail3!$A$1:$AI$5135</definedName>
  </definedNames>
  <calcPr/>
</workbook>
</file>

<file path=xl/sharedStrings.xml><?xml version="1.0" encoding="utf-8"?>
<sst xmlns="http://schemas.openxmlformats.org/spreadsheetml/2006/main" count="24488" uniqueCount="3902">
  <si>
    <t xml:space="preserve"> </t>
  </si>
  <si>
    <t>Mois</t>
  </si>
  <si>
    <t>Total</t>
  </si>
  <si>
    <t>CA nuitée</t>
  </si>
  <si>
    <t>nb Nuitée</t>
  </si>
  <si>
    <t>Taux Yield</t>
  </si>
  <si>
    <t>Flux</t>
  </si>
  <si>
    <t>Resa</t>
  </si>
  <si>
    <t>Annul</t>
  </si>
  <si>
    <t>Moyenne</t>
  </si>
  <si>
    <t>Taux Reel</t>
  </si>
  <si>
    <t>CA Sup</t>
  </si>
  <si>
    <t>HotelBeds</t>
  </si>
  <si>
    <t>CA Total</t>
  </si>
  <si>
    <t>Flux Nuitée</t>
  </si>
  <si>
    <t>prix moyen</t>
  </si>
  <si>
    <t>Sup</t>
  </si>
  <si>
    <t>Résa</t>
  </si>
  <si>
    <t>CA th</t>
  </si>
  <si>
    <t>Vente Hier</t>
  </si>
  <si>
    <t>Vente Avant-hier</t>
  </si>
  <si>
    <t>Total Semaine</t>
  </si>
  <si>
    <t>Total 4 semaines</t>
  </si>
  <si>
    <t>Disponibilité à J+</t>
  </si>
  <si>
    <t>Etat à J</t>
  </si>
  <si>
    <t>Etat à J-1</t>
  </si>
  <si>
    <t>Etat à J-2</t>
  </si>
  <si>
    <t>Etat à J-7</t>
  </si>
  <si>
    <t>Etat à J-30</t>
  </si>
  <si>
    <t>Etat à J-90</t>
  </si>
  <si>
    <t>MPAP</t>
  </si>
  <si>
    <t>Resultat dernière semaine</t>
  </si>
  <si>
    <t>Résultat dernier mois</t>
  </si>
  <si>
    <t>Nom</t>
  </si>
  <si>
    <t>Montant</t>
  </si>
  <si>
    <t>BookingCom</t>
  </si>
  <si>
    <t>Reseliva</t>
  </si>
  <si>
    <t>Autre</t>
  </si>
  <si>
    <t>Période de vente</t>
  </si>
  <si>
    <t>%</t>
  </si>
  <si>
    <t>CA J-8</t>
  </si>
  <si>
    <t>CA J-9</t>
  </si>
  <si>
    <t>CA J-10</t>
  </si>
  <si>
    <t>CA J-11</t>
  </si>
  <si>
    <t>CA J-12</t>
  </si>
  <si>
    <t>CA J-13</t>
  </si>
  <si>
    <t>CA J-14</t>
  </si>
  <si>
    <t>CA J-15</t>
  </si>
  <si>
    <t>CA J-16</t>
  </si>
  <si>
    <t>CA J-17</t>
  </si>
  <si>
    <t>CA J-18</t>
  </si>
  <si>
    <t>CA J-19</t>
  </si>
  <si>
    <t>CA J-20</t>
  </si>
  <si>
    <t>CA J-21</t>
  </si>
  <si>
    <t>Date Rec</t>
  </si>
  <si>
    <t>ref Res</t>
  </si>
  <si>
    <t>Statut</t>
  </si>
  <si>
    <t>Source</t>
  </si>
  <si>
    <t>Ref source</t>
  </si>
  <si>
    <t>Arrivée</t>
  </si>
  <si>
    <t>CA J-22</t>
  </si>
  <si>
    <t>Fin</t>
  </si>
  <si>
    <t>nb Nuit</t>
  </si>
  <si>
    <t>Chambre</t>
  </si>
  <si>
    <t>Service</t>
  </si>
  <si>
    <t>Contrat</t>
  </si>
  <si>
    <t>Pax</t>
  </si>
  <si>
    <t>promo</t>
  </si>
  <si>
    <t>Nuitée</t>
  </si>
  <si>
    <t>Nuitée net</t>
  </si>
  <si>
    <t>Total N</t>
  </si>
  <si>
    <t>Total S</t>
  </si>
  <si>
    <t>Total Mail</t>
  </si>
  <si>
    <t>Info</t>
  </si>
  <si>
    <t>Dernier Modif</t>
  </si>
  <si>
    <t>Modification</t>
  </si>
  <si>
    <t>CA J-23</t>
  </si>
  <si>
    <t xml:space="preserve">Nathalie LANGLET </t>
  </si>
  <si>
    <t>DE</t>
  </si>
  <si>
    <t>BB</t>
  </si>
  <si>
    <t>STD</t>
  </si>
  <si>
    <t>Modification le 07/11/2025/ Contrat :Bed &amp; Breakfast Flex EB Rate PLan (plus de 15 jours Ã  l\'avance) genious rate</t>
  </si>
  <si>
    <t>Confirmation</t>
  </si>
  <si>
    <t xml:space="preserve">Lorena Baroni </t>
  </si>
  <si>
    <t>CA J-24</t>
  </si>
  <si>
    <t>/ Contrat :BB NRF #new International</t>
  </si>
  <si>
    <t xml:space="preserve">Mandy Wright </t>
  </si>
  <si>
    <t>ST</t>
  </si>
  <si>
    <t>/ Contrat :Bed &amp; Breakfast Flex EB Rate PLan (plus de 15 jours Ã  l\'avance) genious rate</t>
  </si>
  <si>
    <t>Annulation</t>
  </si>
  <si>
    <t xml:space="preserve">Bouderbala Ahmed Alaa </t>
  </si>
  <si>
    <t>SF</t>
  </si>
  <si>
    <t>CA J-25</t>
  </si>
  <si>
    <t>/ Contrat :BB NRF #new Early Booker Deal genious rate// Reservation le Mon Sep 29 2025 00:00:00 GMT+0100 (UTC+01:00)</t>
  </si>
  <si>
    <t>Reseliva Pannel</t>
  </si>
  <si>
    <t>CA J-26</t>
  </si>
  <si>
    <t>NRF</t>
  </si>
  <si>
    <t xml:space="preserve">/ Contrat :BB Non Refundable </t>
  </si>
  <si>
    <t xml:space="preserve">Stefano Grini </t>
  </si>
  <si>
    <t xml:space="preserve">sun trails </t>
  </si>
  <si>
    <t>/ Contrat :Bed &amp; Breakfast Flex EB Rate PLan (plus de 15 jours Ã  l\'avance) genious rate// Reservation le Wed Aug 20 2025 00:00:00 GMT+0100 (UTC+01:00)</t>
  </si>
  <si>
    <t>Expedia Affiliate Network</t>
  </si>
  <si>
    <t xml:space="preserve">MARIA DEL CARMEN RUBIO HIDALGO </t>
  </si>
  <si>
    <t>EXPEDIA</t>
  </si>
  <si>
    <t>/ Contrat :Standard Package</t>
  </si>
  <si>
    <t>CA J-27</t>
  </si>
  <si>
    <t xml:space="preserve">francesca renna </t>
  </si>
  <si>
    <t>/ Contrat :BB NRF #new Early Booker Deal genious rate</t>
  </si>
  <si>
    <t xml:space="preserve">Pierre Verdickt </t>
  </si>
  <si>
    <t>Agoda2</t>
  </si>
  <si>
    <t xml:space="preserve">ALBERTO BONETTI </t>
  </si>
  <si>
    <t>SX</t>
  </si>
  <si>
    <t>/ Contrat :Bed &amp; Breakfast NRF - Beds Network - Controlled Exposure</t>
  </si>
  <si>
    <t xml:space="preserve">PINI Marlene </t>
  </si>
  <si>
    <t>SU</t>
  </si>
  <si>
    <t>CA J-28</t>
  </si>
  <si>
    <t xml:space="preserve">Meryem x Nancy </t>
  </si>
  <si>
    <t xml:space="preserve">Jens Dressler </t>
  </si>
  <si>
    <t xml:space="preserve">Modification le 13/07/2025/ Contrat :BB Non Refundable </t>
  </si>
  <si>
    <t>Modification le 07/11/2025/ Contrat :BB NRF #new International genious rate// Reservation le Tue May 06 2025 00:00:00 GMT+0100 (UTC+01:00)</t>
  </si>
  <si>
    <t>136-3672927</t>
  </si>
  <si>
    <t xml:space="preserve">MANUELA BATALONI </t>
  </si>
  <si>
    <t>CA J-29</t>
  </si>
  <si>
    <t>GR-BARCOM</t>
  </si>
  <si>
    <t xml:space="preserve">  *Agency Payment* Child ages for room 1: (8)  / Contrat :BED AND BREAKFAST GR-BARCOM// Reservation le Mon Sep 22 2025 00:00:00 GMT+0100 (UTC+01:00)</t>
  </si>
  <si>
    <t xml:space="preserve">No Limited Travel </t>
  </si>
  <si>
    <t>136-3674677</t>
  </si>
  <si>
    <t>NC</t>
  </si>
  <si>
    <t xml:space="preserve">  *Agency Payment* Child ages for room 1: (8)  / Contrat :BED AND BREAKFAST GR-BARCOM</t>
  </si>
  <si>
    <t>A-Expedia Affiliate Network</t>
  </si>
  <si>
    <t xml:space="preserve">Simonetta Colavizza </t>
  </si>
  <si>
    <t>Modification le 02/06/2025/ Contrat :Half board// Reservation le Mon Jun 02 2025 00:00:00 GMT+0100 (GMT+01:00)</t>
  </si>
  <si>
    <t>CA J-30</t>
  </si>
  <si>
    <t>Modification le 04/06/2025/ Contrat :Half board</t>
  </si>
  <si>
    <t xml:space="preserve">Meekai Johnson </t>
  </si>
  <si>
    <t xml:space="preserve">No limited Travel </t>
  </si>
  <si>
    <t xml:space="preserve">FRANCESCO MURGANTE </t>
  </si>
  <si>
    <t xml:space="preserve">Tiffany Bernard </t>
  </si>
  <si>
    <t>HALF</t>
  </si>
  <si>
    <t>CA J-31</t>
  </si>
  <si>
    <t>/ Contrat :HB NRF #new Early Booker Deal genious rate</t>
  </si>
  <si>
    <t xml:space="preserve">Emanuela Moraes </t>
  </si>
  <si>
    <t xml:space="preserve">Ruud Koole </t>
  </si>
  <si>
    <t>/ Contrat :Bed &amp; Breakfast Flex EB Rate PLan (plus de 15 jours à l\'avance) genious rate</t>
  </si>
  <si>
    <t xml:space="preserve">maraninchi maud </t>
  </si>
  <si>
    <t>/ Contrat :Bed &amp; Breakfast Flex EB Rate PLan (plus de 15 jours Ã  l\'avance) genious rate// Reservation le Wed Dec 03 2025 00:00:00 GMT+0100 (UTC+01:00)</t>
  </si>
  <si>
    <t xml:space="preserve">Heike Siewert </t>
  </si>
  <si>
    <t xml:space="preserve">Katrin Ott </t>
  </si>
  <si>
    <t>CA J-32</t>
  </si>
  <si>
    <t xml:space="preserve">Maria Edeltraud Boxleitner </t>
  </si>
  <si>
    <t xml:space="preserve">Thomas Birner </t>
  </si>
  <si>
    <t xml:space="preserve">Alin Cozma </t>
  </si>
  <si>
    <t xml:space="preserve">Sandra Rizzi </t>
  </si>
  <si>
    <t xml:space="preserve">Giovanni Carlone </t>
  </si>
  <si>
    <t>CA J-33</t>
  </si>
  <si>
    <t>/ Contrat :BB NRF #new Early Booker Deal genious rate// Reservation le Wed Oct 22 2025 00:00:00 GMT+0100 (UTC+01:00)</t>
  </si>
  <si>
    <t xml:space="preserve">lejla salkic </t>
  </si>
  <si>
    <t xml:space="preserve">Matteo Sottana </t>
  </si>
  <si>
    <t>CA J-34</t>
  </si>
  <si>
    <t xml:space="preserve">Daan van Zon </t>
  </si>
  <si>
    <t xml:space="preserve">Shaif Ahmed </t>
  </si>
  <si>
    <t>/ Contrat :BB NRF #new International genious rate</t>
  </si>
  <si>
    <t xml:space="preserve">Mirjam Blasing </t>
  </si>
  <si>
    <t xml:space="preserve">Guillaume PASSARD </t>
  </si>
  <si>
    <t>/ Contrat :Standard</t>
  </si>
  <si>
    <t xml:space="preserve">Richard Chute </t>
  </si>
  <si>
    <t>CA J-35</t>
  </si>
  <si>
    <t xml:space="preserve">Ka Ho Yip </t>
  </si>
  <si>
    <t>Modification le 08/01/2026/ Contrat :BB NRF #new International genious rate</t>
  </si>
  <si>
    <t xml:space="preserve">GERALDINE RAUD </t>
  </si>
  <si>
    <t>/ Contrat :Tarif Chambre Avec Petit Déjeuner// Reservation le Tue Oct 21 2025 00:00:00 GMT+0100 (UTC+01:00)</t>
  </si>
  <si>
    <t xml:space="preserve">Naima PLMAROC ibtissam </t>
  </si>
  <si>
    <t>/ Contrat :BB Non Refundable // Reservation le Wed Oct 22 2025 00:00:00 GMT+0100 (UTC+01:00)</t>
  </si>
  <si>
    <t xml:space="preserve">Marilyn Moreau </t>
  </si>
  <si>
    <t>CA J-36</t>
  </si>
  <si>
    <t xml:space="preserve">Naima PLMAROC </t>
  </si>
  <si>
    <t xml:space="preserve">Maryem visite marrakech </t>
  </si>
  <si>
    <t>/ Contrat :BB Non Refundable // Reservation le 09/01/2026</t>
  </si>
  <si>
    <t xml:space="preserve">CALIN POPA </t>
  </si>
  <si>
    <t xml:space="preserve">Wilhelmus Claessens </t>
  </si>
  <si>
    <t>/ Contrat :Half board Package</t>
  </si>
  <si>
    <t xml:space="preserve">Daniel Schreuder </t>
  </si>
  <si>
    <t xml:space="preserve">cristina puscas </t>
  </si>
  <si>
    <t>/ Contrat :BB NRF #new Early Year Deal genious rate</t>
  </si>
  <si>
    <t xml:space="preserve">Jacqueline Woodford </t>
  </si>
  <si>
    <t>CA J-37</t>
  </si>
  <si>
    <t xml:space="preserve">Jeremy Herant </t>
  </si>
  <si>
    <t xml:space="preserve">Barry Fell </t>
  </si>
  <si>
    <t xml:space="preserve">maryem tarifk </t>
  </si>
  <si>
    <t>/ Contrat :BB Non Refundable // Reservation le Fri Dec 12 2025 00:00:00 GMT+0100 (UTC+01:00)</t>
  </si>
  <si>
    <t xml:space="preserve">Josef Laggner </t>
  </si>
  <si>
    <t xml:space="preserve">Michael Ellis </t>
  </si>
  <si>
    <t>Modification le 09/01/2026/ Contrat :BB NRF #new Early Booker Deal genious rate</t>
  </si>
  <si>
    <t xml:space="preserve">Maria Fernandez </t>
  </si>
  <si>
    <t xml:space="preserve">Laurent Perrin </t>
  </si>
  <si>
    <t>CA J-38</t>
  </si>
  <si>
    <t xml:space="preserve">Alessandra Meroni </t>
  </si>
  <si>
    <t xml:space="preserve">Julian Nacke </t>
  </si>
  <si>
    <t xml:space="preserve">maryem Tarik </t>
  </si>
  <si>
    <t xml:space="preserve">maryem tarik </t>
  </si>
  <si>
    <t xml:space="preserve">Martin Lindstrom </t>
  </si>
  <si>
    <t>CA J-39</t>
  </si>
  <si>
    <t xml:space="preserve">Aruzhan Ibragimova </t>
  </si>
  <si>
    <t xml:space="preserve">Cathy Piquemal Baron </t>
  </si>
  <si>
    <t xml:space="preserve">Melania Cruz Oran </t>
  </si>
  <si>
    <t xml:space="preserve">louis sannier </t>
  </si>
  <si>
    <t xml:space="preserve">Samuel Terence Patterson </t>
  </si>
  <si>
    <t xml:space="preserve">Yochen Patti </t>
  </si>
  <si>
    <t>CA J-40</t>
  </si>
  <si>
    <t xml:space="preserve">Valentina Geria </t>
  </si>
  <si>
    <t>/ Contrat :Bed &amp; Breakfast Flex Mobile(App) Rate genious rate// Reservation le Sun Aug 24 2025 00:00:00 GMT+0100 (UTC+01:00)</t>
  </si>
  <si>
    <t xml:space="preserve">Carol Gagnon </t>
  </si>
  <si>
    <t xml:space="preserve">Ilaria Guarino </t>
  </si>
  <si>
    <t>/ Contrat :Bed &amp; Breakfast Flex Mobile(App) Rate genious rate// Reservation le Wed Sep 17 2025 00:00:00 GMT+0100 (UTC+01:00)</t>
  </si>
  <si>
    <t xml:space="preserve">Ines Praca </t>
  </si>
  <si>
    <t>CA J-41</t>
  </si>
  <si>
    <t xml:space="preserve">Jean philipe dolmain </t>
  </si>
  <si>
    <t xml:space="preserve">Pascal Payraudau </t>
  </si>
  <si>
    <t xml:space="preserve">Lidia Martinez Gutierrez </t>
  </si>
  <si>
    <t>CA J-42</t>
  </si>
  <si>
    <t xml:space="preserve">Marcus Howden-Olsbunes </t>
  </si>
  <si>
    <t xml:space="preserve">Inês Praça </t>
  </si>
  <si>
    <t xml:space="preserve">Hasan Alsherazi </t>
  </si>
  <si>
    <t>/ Contrat :Bed &amp; Breakfast Flex International genious rate// Reservation le Thu Nov 27 2025 00:00:00 GMT+0100 (UTC+01:00)</t>
  </si>
  <si>
    <t xml:space="preserve">Sonia Monteiro </t>
  </si>
  <si>
    <t xml:space="preserve">Ravjot Virdi </t>
  </si>
  <si>
    <t xml:space="preserve">Razvan Lica </t>
  </si>
  <si>
    <t>CA J-43</t>
  </si>
  <si>
    <t>/ Contrat :Bed &amp; Breakfast Flex Mobile(App) Rate genious rate// Reservation le Tue Aug 26 2025 00:00:00 GMT+0100 (UTC+01:00)</t>
  </si>
  <si>
    <t xml:space="preserve">Sarah Zaman </t>
  </si>
  <si>
    <t xml:space="preserve">Axel Duval </t>
  </si>
  <si>
    <t xml:space="preserve">Rita Maryem </t>
  </si>
  <si>
    <t>/ Contrat :BB Non Refundable // Reservation le Fri Jan 09 2026 00:00:00 GMT+0100 (UTC+01:00)</t>
  </si>
  <si>
    <t>CA J-44</t>
  </si>
  <si>
    <t xml:space="preserve">Rosana Nilsson </t>
  </si>
  <si>
    <t>/ Contrat :Bed &amp; Breakfast Flex Basic Deal genious rate</t>
  </si>
  <si>
    <t xml:space="preserve">Michele Vincini </t>
  </si>
  <si>
    <t xml:space="preserve">Jessica Gouzot </t>
  </si>
  <si>
    <t xml:space="preserve">Christelle morel </t>
  </si>
  <si>
    <t>CA J-45</t>
  </si>
  <si>
    <t xml:space="preserve">Jurgen De Baets </t>
  </si>
  <si>
    <t>Modification le 20/01/2026/ Contrat :BB NRF #new Early Year Deal genious rate</t>
  </si>
  <si>
    <t>CA J-46</t>
  </si>
  <si>
    <t xml:space="preserve">Iman El Makhoukhi </t>
  </si>
  <si>
    <t xml:space="preserve">Hugo Moura Goncalves </t>
  </si>
  <si>
    <t xml:space="preserve">Frederick Kemp </t>
  </si>
  <si>
    <t>/ Contrat :Bed &amp; Breakfast Flex EB Rate PLan (plus de 15 jours Ã  l\'avance)// Reservation le Sat Jan 10 2026 00:00:00 GMT+0100 (UTC+01:00)</t>
  </si>
  <si>
    <t xml:space="preserve">Anne demols </t>
  </si>
  <si>
    <t xml:space="preserve">Modification le 03/01/2026/ Contrat :BB Non Refundable </t>
  </si>
  <si>
    <t>CA J-47</t>
  </si>
  <si>
    <t xml:space="preserve">Maryem Eljaafari </t>
  </si>
  <si>
    <t>/ Contrat :BB Non Refundable // Reservation le 26/01/2026</t>
  </si>
  <si>
    <t xml:space="preserve">Michelle Vincini </t>
  </si>
  <si>
    <t xml:space="preserve">CLEMENT CIGU </t>
  </si>
  <si>
    <t xml:space="preserve">karim karim </t>
  </si>
  <si>
    <t xml:space="preserve">Sandra Kuwatsch </t>
  </si>
  <si>
    <t>/ Contrat :Bed &amp; Breakfast Flex EB Rate PLan (plus de 15 jours Ã  l\'avance) genious rate// Reservation le Thu Sep 25 2025 00:00:00 GMT+0100 (UTC+01:00)</t>
  </si>
  <si>
    <t xml:space="preserve">Maryem Murielle </t>
  </si>
  <si>
    <t>/ Contrat :BB Non Refundable // Reservation le 24/10/2025</t>
  </si>
  <si>
    <t>CA J-48</t>
  </si>
  <si>
    <t>CA J-49</t>
  </si>
  <si>
    <t>/ Contrat :BB Non Refundable // Reservation le 08/12/2025</t>
  </si>
  <si>
    <t xml:space="preserve">Maria Verena Cosar </t>
  </si>
  <si>
    <t xml:space="preserve">Fleur de Lausun </t>
  </si>
  <si>
    <t>CA J-50</t>
  </si>
  <si>
    <t>/ Contrat :Bed &amp; Breakfast Flex International genious rate// Reservation le Mon May 26 2025 00:00:00 GMT+0100 (UTC+01:00)</t>
  </si>
  <si>
    <t xml:space="preserve">Hardeep Kaur </t>
  </si>
  <si>
    <t xml:space="preserve">Ioannis Papadopoulos </t>
  </si>
  <si>
    <t>/ Contrat :Bed &amp; Breakfast Flex Mobile(MDot) Rate genious rate</t>
  </si>
  <si>
    <t xml:space="preserve">Reserva Karim </t>
  </si>
  <si>
    <t>/ Contrat :BB Non Refundable // Reservation le Mon Dec 29 2025 00:00:00 GMT+0100 (UTC+01:00)</t>
  </si>
  <si>
    <t xml:space="preserve">Client Karim </t>
  </si>
  <si>
    <t xml:space="preserve">ANDREY MARCHENKO </t>
  </si>
  <si>
    <t>CA J-51</t>
  </si>
  <si>
    <t>/ Contrat :Bed &amp; Breakfast Flex Early Year Deal genious rate// Reservation le Fri Jan 09 2026 00:00:00 GMT+0100 (UTC+01:00)</t>
  </si>
  <si>
    <t>American Express Travel</t>
  </si>
  <si>
    <t xml:space="preserve">Jesse Schwartz </t>
  </si>
  <si>
    <t>/ Contrat :Standard non-refundable</t>
  </si>
  <si>
    <t xml:space="preserve">Helen Turner </t>
  </si>
  <si>
    <t xml:space="preserve">Hans Adlerson </t>
  </si>
  <si>
    <t>Erreur Param :Rum Standard</t>
  </si>
  <si>
    <t>/ Contrat :BB Non Refundable // Reservation le Sat Nov 01 2025 00:00:00 GMT+0100 (UTC+01:00)</t>
  </si>
  <si>
    <t xml:space="preserve">Helen Anderson </t>
  </si>
  <si>
    <t>/ Contrat :Bed &amp; Breakfast Flex International genious rate// Reservation le Mon Nov 10 2025 00:00:00 GMT+0100 (UTC+01:00)</t>
  </si>
  <si>
    <t>CA J-52</t>
  </si>
  <si>
    <t xml:space="preserve">Isabelle Coll </t>
  </si>
  <si>
    <t>/ Contrat :Bed &amp; Breakfast Flex International genious rate// Reservation le Mon Nov 24 2025 00:00:00 GMT+0100 (UTC+01:00)</t>
  </si>
  <si>
    <t xml:space="preserve">Bronte Scharff </t>
  </si>
  <si>
    <t>Erreur Param :Svit</t>
  </si>
  <si>
    <t xml:space="preserve">Markus Frohnmaier </t>
  </si>
  <si>
    <t>CA J-53</t>
  </si>
  <si>
    <t xml:space="preserve">Alison Yates </t>
  </si>
  <si>
    <t>Modification le 04/01/2026/ Contrat :Half-Board Flex International genious rate</t>
  </si>
  <si>
    <t xml:space="preserve">sofia ciganda </t>
  </si>
  <si>
    <t>/ Contrat :Half-Board Flex Black Friday Deal// Reservation le Sun Nov 30 2025 00:00:00 GMT+0100 (UTC+01:00)</t>
  </si>
  <si>
    <t xml:space="preserve">Catherine Achouch </t>
  </si>
  <si>
    <t xml:space="preserve">Roger van Norden </t>
  </si>
  <si>
    <t xml:space="preserve">Richard Anastasiya Rosenblum Spizhuk </t>
  </si>
  <si>
    <t>CA J-54</t>
  </si>
  <si>
    <t xml:space="preserve">Christian Czychowski </t>
  </si>
  <si>
    <t xml:space="preserve">Fiona Pfaffli </t>
  </si>
  <si>
    <t xml:space="preserve">Julie Prot </t>
  </si>
  <si>
    <t xml:space="preserve">Monique van de Griendt </t>
  </si>
  <si>
    <t>/ Contrat :Bed &amp; Breakfast Flex International genious rate</t>
  </si>
  <si>
    <t>CA J-55</t>
  </si>
  <si>
    <t xml:space="preserve">Eleonora Cardinale </t>
  </si>
  <si>
    <t xml:space="preserve">rita ravenna </t>
  </si>
  <si>
    <t>/ Contrat :Bed &amp; Breakfast Flex Mobile(App) Rate genious rate// Reservation le Fri Sep 19 2025 00:00:00 GMT+0100 (UTC+01:00)</t>
  </si>
  <si>
    <t>CA J-56</t>
  </si>
  <si>
    <t xml:space="preserve">Elisa Prete </t>
  </si>
  <si>
    <t xml:space="preserve">Francesca Margherita Padula </t>
  </si>
  <si>
    <t>Modification le 04/02/2026/ Contrat :Bed &amp; Breakfast Flex Early Year Deal genious rate</t>
  </si>
  <si>
    <t xml:space="preserve">Rosalind Pilcher </t>
  </si>
  <si>
    <t>CA J-57</t>
  </si>
  <si>
    <t xml:space="preserve">Giacomo Giobbi </t>
  </si>
  <si>
    <t xml:space="preserve">Simon Clark </t>
  </si>
  <si>
    <t>/ Contrat :Bed &amp; Breakfast Flex Early Year Deal genious rate</t>
  </si>
  <si>
    <t xml:space="preserve">Heike und Wolfgang Muller </t>
  </si>
  <si>
    <t>/ Contrat :Half-Board Flex Mobile(MDot) Rate genious rate</t>
  </si>
  <si>
    <t xml:space="preserve">Jose Maria Moreno Torralbo </t>
  </si>
  <si>
    <t xml:space="preserve">Kathryn Larmour </t>
  </si>
  <si>
    <t>CA J-58</t>
  </si>
  <si>
    <t>/ Contrat :Bed &amp; Breakfast Flex Mobile(App) Rate genious rate// Reservation le Mon Oct 13 2025 00:00:00 GMT+0100 (UTC+01:00)</t>
  </si>
  <si>
    <t xml:space="preserve">Isabelle Van den Brande </t>
  </si>
  <si>
    <t xml:space="preserve">Linda Delmedico </t>
  </si>
  <si>
    <t>/ Contrat :Bed &amp; Breakfast Flex Early Year Deal genious rate// Reservation le Wed Dec 31 2025 00:00:00 GMT+0100 (UTC+01:00)</t>
  </si>
  <si>
    <t xml:space="preserve">Marco Giuntini </t>
  </si>
  <si>
    <t>CA J-59</t>
  </si>
  <si>
    <t xml:space="preserve">Elena Barbagallo </t>
  </si>
  <si>
    <t xml:space="preserve">celine daviet </t>
  </si>
  <si>
    <t xml:space="preserve">Adnan Noris Handan </t>
  </si>
  <si>
    <t>CA J-60</t>
  </si>
  <si>
    <t xml:space="preserve">Tom Symoens </t>
  </si>
  <si>
    <t xml:space="preserve">Lee Oshaughnessy </t>
  </si>
  <si>
    <t xml:space="preserve">Christian Dieker </t>
  </si>
  <si>
    <t>/ Contrat :Bed &amp; Breakfast Flex International genious rate// Reservation le Sat Aug 30 2025 00:00:00 GMT+0100 (UTC+01:00)</t>
  </si>
  <si>
    <t xml:space="preserve">Alison Cooper </t>
  </si>
  <si>
    <t>CA J-61</t>
  </si>
  <si>
    <t xml:space="preserve">Mathieu Lesecque </t>
  </si>
  <si>
    <t xml:space="preserve">Leonaro Maria Farina </t>
  </si>
  <si>
    <t xml:space="preserve">Daniel Piplios </t>
  </si>
  <si>
    <t xml:space="preserve">Rafal Zareba </t>
  </si>
  <si>
    <t>CA J-62</t>
  </si>
  <si>
    <t xml:space="preserve">Nicole Bohren </t>
  </si>
  <si>
    <t>/ Contrat :Bed &amp; Breakfast Flex International genious rate// Reservation le Sun Oct 05 2025 00:00:00 GMT+0100 (UTC+01:00)</t>
  </si>
  <si>
    <t xml:space="preserve">Luna Angelica Panzeri </t>
  </si>
  <si>
    <t xml:space="preserve">Perrine Bouron </t>
  </si>
  <si>
    <t>CA J-63</t>
  </si>
  <si>
    <t xml:space="preserve">Lucy Rogers </t>
  </si>
  <si>
    <t xml:space="preserve">Fabrice CHAFINO </t>
  </si>
  <si>
    <t>/ Contrat :Half-Board Flex Mobile(MDot) Rate genious rate// Reservation le Mon Sep 01 2025 00:00:00 GMT+0100 (UTC+01:00)</t>
  </si>
  <si>
    <t xml:space="preserve">Annika Metsla </t>
  </si>
  <si>
    <t>CA J-64</t>
  </si>
  <si>
    <t>/ Contrat :Bed &amp; Breakfast Flex Mobile(App) Rate genious rate</t>
  </si>
  <si>
    <t>CA J-65</t>
  </si>
  <si>
    <t xml:space="preserve">mychol fantino </t>
  </si>
  <si>
    <t xml:space="preserve">Yumi Okada </t>
  </si>
  <si>
    <t>/ Contrat :Half Board// Reservation le Mon Dec 22 2025 00:00:00 GMT+0100 (UTC+01:00)</t>
  </si>
  <si>
    <t xml:space="preserve">Sofia Soriano Ferrero </t>
  </si>
  <si>
    <t>CA J-66</t>
  </si>
  <si>
    <t xml:space="preserve">Modification le 21/01/2026/ Contrat :BB Non Refundable </t>
  </si>
  <si>
    <t xml:space="preserve">Amanda Sinfield </t>
  </si>
  <si>
    <t>/ Contrat :Bed &amp; Breakfast Flex Basic Deal genious rate// Reservation le Mon Jul 14 2025 00:00:00 GMT+0100 (UTC+01:00)</t>
  </si>
  <si>
    <t xml:space="preserve">David Gethin </t>
  </si>
  <si>
    <t xml:space="preserve">Aline Achterberg </t>
  </si>
  <si>
    <t>CA J-67</t>
  </si>
  <si>
    <t>Modification le 14/02/2026/ Contrat :Bed &amp; Breakfast Flex Mobile(App) Rate genious rate</t>
  </si>
  <si>
    <t xml:space="preserve">Viktorija Stasaitiene </t>
  </si>
  <si>
    <t xml:space="preserve">Reda Vilimiene </t>
  </si>
  <si>
    <t>CA J-68</t>
  </si>
  <si>
    <t xml:space="preserve">Robert Schneider </t>
  </si>
  <si>
    <t>/ Contrat :BB NRF #new Early Booker Deal genious rate// Reservation le Sun Oct 26 2025 00:00:00 GMT+0100 (UTC+01:00)</t>
  </si>
  <si>
    <t xml:space="preserve">Maxime Carre </t>
  </si>
  <si>
    <t xml:space="preserve">Philip Bierig </t>
  </si>
  <si>
    <t xml:space="preserve">Stefan Kiefer </t>
  </si>
  <si>
    <t>CA J-69</t>
  </si>
  <si>
    <t xml:space="preserve">Frederic Chantraine </t>
  </si>
  <si>
    <t>136-3684080</t>
  </si>
  <si>
    <t xml:space="preserve">MONICA FARELL CANO </t>
  </si>
  <si>
    <t>Erreur Param :Deluxe DELUXE</t>
  </si>
  <si>
    <t xml:space="preserve">  *Agency Payment* Discounts for room 1:  NON REFUNDABLE DISCOUNT (G) Notes for room 1: CAMAS SEPARADAS  ------------------------------ Before Last Modification: Reservation Date : 2025-10-16 16:36:03 Room Names : Deluxe DELUXE ------------------------------ Modified : 2026-01-14 09:03:07 ------------------------------  Modification le 14/01/2026/ Contrat :BED AND BREAKFAST NRF BAR</t>
  </si>
  <si>
    <t>/ Contrat :Bed &amp; Breakfast Flexible - Beds Network - Controlled Exposure// Reservation le Thu Oct 16 2025 00:00:00 GMT+0100 (UTC+01:00)</t>
  </si>
  <si>
    <t>CA J-70</t>
  </si>
  <si>
    <t xml:space="preserve">Sebastian Noethlichs </t>
  </si>
  <si>
    <t>/ Contrat :Bed &amp; Breakfast Flex International genious rate// Reservation le Tue Oct 07 2025 00:00:00 GMT+0100 (UTC+01:00)</t>
  </si>
  <si>
    <t xml:space="preserve">Lesley Lee </t>
  </si>
  <si>
    <t xml:space="preserve">Gallimore Jenna </t>
  </si>
  <si>
    <t xml:space="preserve">Mayara Fabricia Pereira </t>
  </si>
  <si>
    <t>CA J-71</t>
  </si>
  <si>
    <t xml:space="preserve">Sara Ayerra Arranz </t>
  </si>
  <si>
    <t>/ Contrat :Bed &amp; Breakfast Flex Mobile(App) Rate genious rate// Reservation le Thu Nov 06 2025 00:00:00 GMT+0100 (UTC+01:00)</t>
  </si>
  <si>
    <t xml:space="preserve">Nathalie Appenzeller </t>
  </si>
  <si>
    <t>136-3670938</t>
  </si>
  <si>
    <t xml:space="preserve">VALERIE PAULUS </t>
  </si>
  <si>
    <t xml:space="preserve">  *Agency Payment* Discounts for room 1:  NON REFUNDABLE DISCOUNT (G)  / Contrat :BED AND BREAKFAST NRF BAR</t>
  </si>
  <si>
    <t xml:space="preserve">Marcia Roos </t>
  </si>
  <si>
    <t>CA J-72</t>
  </si>
  <si>
    <t>/ Contrat :BB NRF #new Early Booker Deal// Reservation le Thu Dec 18 2025 00:00:00 GMT+0100 (UTC+01:00)</t>
  </si>
  <si>
    <t xml:space="preserve">Asta Grabliauskiene </t>
  </si>
  <si>
    <t>136-3684083</t>
  </si>
  <si>
    <t xml:space="preserve">  *Agency Payment* Discounts for room 1:  NON REFUNDABLE DISCOUNT (G) Notes for room 1: CAMAS SEPARADAS / Two beds  ------------------------------ Before Last Modification: Reservation Date : 2025-10-16 16:39:03 Room Names : Deluxe DELUXE ------------------------------ Modified : 2026-01-14 09:03:06 ------------------------------  Modification le 14/01/2026/ Contrat :BED AND BREAKFAST NRF BAR</t>
  </si>
  <si>
    <t>CA J-73</t>
  </si>
  <si>
    <t>/ Contrat :Bed &amp; Breakfast Flexible - Beds Network - Controlled Exposure</t>
  </si>
  <si>
    <t xml:space="preserve">KATERYNA YUREVYCH </t>
  </si>
  <si>
    <t>/ Contrat :Bed &amp; Breakfast Flex Early Year Deal genious rate// Reservation le Thu Dec 18 2025 00:00:00 GMT+0100 (UTC+01:00)</t>
  </si>
  <si>
    <t xml:space="preserve">ian ryder </t>
  </si>
  <si>
    <t>Modification le 13/07/2025/ Contrat :BB NRF #new 40% - EB 2026 genious rate</t>
  </si>
  <si>
    <t xml:space="preserve">Mark Roberts </t>
  </si>
  <si>
    <t xml:space="preserve">Camille di CHIARA </t>
  </si>
  <si>
    <t>CA J-74</t>
  </si>
  <si>
    <t xml:space="preserve">Valerie Cotte </t>
  </si>
  <si>
    <t>/ Contrat :HB NRF #new Early Year Deal genious rate</t>
  </si>
  <si>
    <t xml:space="preserve">Joseph Murray </t>
  </si>
  <si>
    <t>/ Contrat :Bed &amp; Breakfast Flex International genious rate// Reservation le Mon May 12 2025 00:00:00 GMT+0100 (UTC+01:00)</t>
  </si>
  <si>
    <t xml:space="preserve">Briana Seiderman </t>
  </si>
  <si>
    <t xml:space="preserve">John Liston </t>
  </si>
  <si>
    <t xml:space="preserve">Aridani Jesus Marrero Aleman </t>
  </si>
  <si>
    <t>CA J-75</t>
  </si>
  <si>
    <t xml:space="preserve">Eugenie DUPONT </t>
  </si>
  <si>
    <t>Modification le 05/02/2026/ Contrat :BB NRF #new Early Booker Deal genious rate</t>
  </si>
  <si>
    <t xml:space="preserve">Lucas Testaniere </t>
  </si>
  <si>
    <t>Expedia</t>
  </si>
  <si>
    <t>/ Contrat :Half board</t>
  </si>
  <si>
    <t xml:space="preserve">Christelle PILAUD </t>
  </si>
  <si>
    <t>CA J-76</t>
  </si>
  <si>
    <t xml:space="preserve">Marianne Nikoo </t>
  </si>
  <si>
    <t>Modification le 31/08/2025/ Contrat :Bed &amp; Breakfast Flex International genious rate// Reservation le Fri Aug 29 2025 00:00:00 GMT+0100 (UTC+01:00)</t>
  </si>
  <si>
    <t xml:space="preserve">Jeroen Schultheis </t>
  </si>
  <si>
    <t xml:space="preserve">Omar Bumann </t>
  </si>
  <si>
    <t xml:space="preserve">Stefano Gatti </t>
  </si>
  <si>
    <t>/ Contrat :Bed &amp; Breakfast Flex European Economic Area genious rate// Reservation le Tue Feb 25 2025 00:00:00 GMT+0000 (UTC+00:00)</t>
  </si>
  <si>
    <t>CA J-77</t>
  </si>
  <si>
    <t xml:space="preserve">Iago Sabucedo </t>
  </si>
  <si>
    <t>/ Contrat :Bed &amp; Breakfast Flex International genious rate// Reservation le Wed Oct 15 2025 00:00:00 GMT+0100 (UTC+01:00)</t>
  </si>
  <si>
    <t xml:space="preserve">Patrick Neyret </t>
  </si>
  <si>
    <t xml:space="preserve">Sandra Leu </t>
  </si>
  <si>
    <t xml:space="preserve">Stephanie Menan </t>
  </si>
  <si>
    <t xml:space="preserve">CRISTIAN SCUTURICI </t>
  </si>
  <si>
    <t>CA J-78</t>
  </si>
  <si>
    <t xml:space="preserve">Pauline Jeannoel </t>
  </si>
  <si>
    <t xml:space="preserve">Silvia Prosdocimi </t>
  </si>
  <si>
    <t xml:space="preserve">Paolo Pragliola </t>
  </si>
  <si>
    <t>/ Contrat :Bed &amp; Breakfast Flex Black Friday Deal</t>
  </si>
  <si>
    <t xml:space="preserve">Emmanuel Bellanger </t>
  </si>
  <si>
    <t xml:space="preserve">Pauline Chastang </t>
  </si>
  <si>
    <t xml:space="preserve">Francois Chevance </t>
  </si>
  <si>
    <t>CA J-79</t>
  </si>
  <si>
    <t xml:space="preserve">Claudia Meyerhans </t>
  </si>
  <si>
    <t>/ Contrat :Half Board</t>
  </si>
  <si>
    <t xml:space="preserve">Lauren Chung </t>
  </si>
  <si>
    <t xml:space="preserve">Modification le 04/01/2026/ Contrat :BB Non Refundable </t>
  </si>
  <si>
    <t xml:space="preserve">Emanuelle Ging </t>
  </si>
  <si>
    <t xml:space="preserve">Christelle Pilaud </t>
  </si>
  <si>
    <t>CA J-80</t>
  </si>
  <si>
    <t>/ Contrat :BB Non Refundable // Reservation le Sun Feb 15 2026 00:00:00 GMT+0100 (UTC+01:00)</t>
  </si>
  <si>
    <t xml:space="preserve">Gunther Coppens </t>
  </si>
  <si>
    <t>/ Contrat :Bed &amp; Breakfast Flex EB Rate PLan (plus de 15 jours Ã  l\'avance) genious rate// Reservation le Mon Jan 12 2026 00:00:00 GMT+0100 (UTC+01:00)</t>
  </si>
  <si>
    <t xml:space="preserve">Lisa Manalili </t>
  </si>
  <si>
    <t xml:space="preserve">Julia Karle </t>
  </si>
  <si>
    <t>CA J-81</t>
  </si>
  <si>
    <t xml:space="preserve">Cristine Ludascher </t>
  </si>
  <si>
    <t xml:space="preserve">Simon Gijsbers </t>
  </si>
  <si>
    <t xml:space="preserve">XAVIER DELOY </t>
  </si>
  <si>
    <t xml:space="preserve">Ina Stark </t>
  </si>
  <si>
    <t>CA J-82</t>
  </si>
  <si>
    <t>/ Contrat :Bed &amp; Breakfast Flex Early Year Deal genious rate// Reservation le Sat Dec 20 2025 00:00:00 GMT+0100 (UTC+01:00)</t>
  </si>
  <si>
    <t xml:space="preserve">Eva SENIUT </t>
  </si>
  <si>
    <t xml:space="preserve">Alessandra Belardo </t>
  </si>
  <si>
    <t>/ Contrat :Bed &amp; Breakfast Flex Early Year Deal genious rate// Reservation le Sat Jan 24 2026 00:00:00 GMT+0100 (UTC+01:00)</t>
  </si>
  <si>
    <t xml:space="preserve">Marco Hernandez </t>
  </si>
  <si>
    <t>CA J-83</t>
  </si>
  <si>
    <t xml:space="preserve">Evija Sondore </t>
  </si>
  <si>
    <t xml:space="preserve">Alexandra Kirchen </t>
  </si>
  <si>
    <t>/ Contrat :Bed &amp; Breakfast Flex Mobile(App) Rate genious rate// Reservation le Sun Oct 26 2025 00:00:00 GMT+0100 (UTC+01:00)</t>
  </si>
  <si>
    <t xml:space="preserve">Gil Alexakis </t>
  </si>
  <si>
    <t>CA J-84</t>
  </si>
  <si>
    <t xml:space="preserve">Christian Hoffmann </t>
  </si>
  <si>
    <t>Modification le 06/02/2026/ Contrat :BB NRF #new Early Booker Deal genious rate// Reservation le Fri Jan 02 2026 00:00:00 GMT+0100 (UTC+01:00)</t>
  </si>
  <si>
    <t xml:space="preserve">Carmen Wurth </t>
  </si>
  <si>
    <t>CA J-85</t>
  </si>
  <si>
    <t xml:space="preserve">sara Arundel </t>
  </si>
  <si>
    <t>Modification le 18/11/2025/ Contrat :Bed &amp; Breakfast Flex International genious rate</t>
  </si>
  <si>
    <t xml:space="preserve">Marloes Leijssen </t>
  </si>
  <si>
    <t xml:space="preserve">SARA GUERRI </t>
  </si>
  <si>
    <t>/ Contrat :Standard Package// Reservation le Wed Nov 12 2025 00:00:00 GMT+0100 (UTC+01:00)</t>
  </si>
  <si>
    <t xml:space="preserve">ICIAR PARIS MARTIN </t>
  </si>
  <si>
    <t xml:space="preserve">Albert Marin </t>
  </si>
  <si>
    <t>CA J-86</t>
  </si>
  <si>
    <t xml:space="preserve">Francesca Bicocca </t>
  </si>
  <si>
    <t xml:space="preserve">EMILINE Oliveira </t>
  </si>
  <si>
    <t xml:space="preserve">Francisca Lima </t>
  </si>
  <si>
    <t>CA J-87</t>
  </si>
  <si>
    <t>/ Contrat :Tarif Chambre Avec Petit Déjeuner</t>
  </si>
  <si>
    <t xml:space="preserve">Torsten Gehre </t>
  </si>
  <si>
    <t xml:space="preserve">Anna Spano </t>
  </si>
  <si>
    <t xml:space="preserve">jose marcos </t>
  </si>
  <si>
    <t>/ Contrat :Bed &amp; Breakfast Flex Mobile(App) Rate genious rate// Reservation le Tue Oct 14 2025 00:00:00 GMT+0100 (UTC+01:00)</t>
  </si>
  <si>
    <t xml:space="preserve">Michael Brack </t>
  </si>
  <si>
    <t>/ Contrat :Half-Board Flex Mobile(App) Rate genious rate</t>
  </si>
  <si>
    <t>CA J-88</t>
  </si>
  <si>
    <t xml:space="preserve">Marc Jansen </t>
  </si>
  <si>
    <t>/ Contrat :BB NRF #new Early Booker Deal genious rate// Reservation le Tue Jan 20 2026 00:00:00 GMT+0100 (UTC+01:00)</t>
  </si>
  <si>
    <t xml:space="preserve">Elizabeth Lewis </t>
  </si>
  <si>
    <t xml:space="preserve">Evie Murphy </t>
  </si>
  <si>
    <t xml:space="preserve">Angelique Luccione </t>
  </si>
  <si>
    <t>CA J-89</t>
  </si>
  <si>
    <t xml:space="preserve">Madonna Sole </t>
  </si>
  <si>
    <t xml:space="preserve">Pavel Angelov </t>
  </si>
  <si>
    <t xml:space="preserve">Clement Fauque </t>
  </si>
  <si>
    <t xml:space="preserve">Lisa Luly-Rivera </t>
  </si>
  <si>
    <t>CA J-90</t>
  </si>
  <si>
    <t xml:space="preserve">Marco Janneman </t>
  </si>
  <si>
    <t xml:space="preserve">jeanne Bouchard </t>
  </si>
  <si>
    <t xml:space="preserve">Wioletta Mat </t>
  </si>
  <si>
    <t>/ Contrat :Half-Board Flex Early Year Deal genious rate</t>
  </si>
  <si>
    <t xml:space="preserve">Jesus Cubero </t>
  </si>
  <si>
    <t xml:space="preserve">Svetlana Sereda </t>
  </si>
  <si>
    <t>CA J-91</t>
  </si>
  <si>
    <t xml:space="preserve">Valter Muner </t>
  </si>
  <si>
    <t>/ Contrat :BB NRF #new Early Booker Deal genious rate// Reservation le Sun Nov 09 2025 00:00:00 GMT+0100 (UTC+01:00)</t>
  </si>
  <si>
    <t xml:space="preserve">Christopher Thomas </t>
  </si>
  <si>
    <t xml:space="preserve">Sofia Ahmed </t>
  </si>
  <si>
    <t>/ Contrat :Bed &amp; Breakfast Flex Early Year Deal genious rate// Reservation le Tue Jan 27 2026 00:00:00 GMT+0100 (UTC+01:00)</t>
  </si>
  <si>
    <t xml:space="preserve">Rosa Maria Kaiser </t>
  </si>
  <si>
    <t>/ Contrat :Bed &amp; Breakfast Flex EB Rate PLan (plus de 15 jours à l\'avance)</t>
  </si>
  <si>
    <t>CA J-92</t>
  </si>
  <si>
    <t xml:space="preserve">Karsten Müller </t>
  </si>
  <si>
    <t xml:space="preserve">Michael Tettke </t>
  </si>
  <si>
    <t xml:space="preserve">PASCALE LEDEVIN </t>
  </si>
  <si>
    <t xml:space="preserve">Ophelie DE CUYPER </t>
  </si>
  <si>
    <t xml:space="preserve">Stephen Waldren </t>
  </si>
  <si>
    <t>CA J-93</t>
  </si>
  <si>
    <t xml:space="preserve">alexander collaboration </t>
  </si>
  <si>
    <t>/ Contrat :BB Non Refundable // Reservation le Tue Feb 10 2026 00:00:00 GMT+0100 (UTC+01:00)</t>
  </si>
  <si>
    <t xml:space="preserve">Ingrid Ouwerling </t>
  </si>
  <si>
    <t xml:space="preserve">Ferdinand Snellen </t>
  </si>
  <si>
    <t xml:space="preserve">Samuel Jansson </t>
  </si>
  <si>
    <t>/ Contrat :BB NRF #new Early Booker Deal genious rate// Reservation le Tue Jan 27 2026 00:00:00 GMT+0100 (UTC+01:00)</t>
  </si>
  <si>
    <t xml:space="preserve">Bridget Williams </t>
  </si>
  <si>
    <t>CA J-94</t>
  </si>
  <si>
    <t xml:space="preserve">Alexander collaboration </t>
  </si>
  <si>
    <t xml:space="preserve">Nicole Lacy-Thompson </t>
  </si>
  <si>
    <t xml:space="preserve">federica carletta </t>
  </si>
  <si>
    <t xml:space="preserve">Patricia Carruthers </t>
  </si>
  <si>
    <t xml:space="preserve">Franziska Strempel </t>
  </si>
  <si>
    <t>CA J-95</t>
  </si>
  <si>
    <t xml:space="preserve">Elena Richter </t>
  </si>
  <si>
    <t xml:space="preserve">Pavels Kuzmins </t>
  </si>
  <si>
    <t>/ Contrat :BB NRF #new Early Booker Deal genious rate// Reservation le Thu Jan 15 2026 00:00:00 GMT+0100 (UTC+01:00)</t>
  </si>
  <si>
    <t xml:space="preserve">MARIAGRAZIA ABBASCIANO </t>
  </si>
  <si>
    <t>CA J-96</t>
  </si>
  <si>
    <t>/ Contrat :Bed &amp; Breakfast Flex Mobile(App) Rate genious rate// Reservation le Fri Aug 29 2025 00:00:00 GMT+0100 (UTC+01:00)</t>
  </si>
  <si>
    <t xml:space="preserve">Celine Vlemincq </t>
  </si>
  <si>
    <t xml:space="preserve">alexandre touloupas </t>
  </si>
  <si>
    <t>/ Contrat :BB NRF #new Early Booker Deal genious rate// Reservation le Mon Feb 09 2026 00:00:00 GMT+0100 (UTC+01:00)</t>
  </si>
  <si>
    <t>CA J-97</t>
  </si>
  <si>
    <t xml:space="preserve">razvan vasilovici </t>
  </si>
  <si>
    <t>/ Contrat :Bed &amp; Breakfast Flex Mobile(App) Rate genious rate// Reservation le Sun Oct 12 2025 00:00:00 GMT+0100 (GMT+01:00)</t>
  </si>
  <si>
    <t xml:space="preserve">serena baj </t>
  </si>
  <si>
    <t xml:space="preserve">Marine Thuriet </t>
  </si>
  <si>
    <t xml:space="preserve">kirsten m jense </t>
  </si>
  <si>
    <t>/ Contrat :Bed &amp; Breakfast Flex Mobile(App) Rate genious rate// Reservation le Sun Sep 21 2025 00:00:00 GMT+0100 (UTC+01:00)</t>
  </si>
  <si>
    <t xml:space="preserve">vince Ratcliffe </t>
  </si>
  <si>
    <t>CA J-98</t>
  </si>
  <si>
    <t xml:space="preserve">Eduard Melnik </t>
  </si>
  <si>
    <t xml:space="preserve">Sandra Enthammer </t>
  </si>
  <si>
    <t xml:space="preserve">Stefano Pellegrini </t>
  </si>
  <si>
    <t xml:space="preserve">Peter Diepers </t>
  </si>
  <si>
    <t>CA J-99</t>
  </si>
  <si>
    <t xml:space="preserve">Julia Hartweg </t>
  </si>
  <si>
    <t>/ Contrat :Bed &amp; Breakfast Flex Early Year Deal genious rate// Reservation le Sun Jan 11 2026 00:00:00 GMT+0100 (UTC+01:00)</t>
  </si>
  <si>
    <t xml:space="preserve">Anastasia Kalogirou </t>
  </si>
  <si>
    <t>/ Contrat :Bed &amp; Breakfast Flex Early Year Deal</t>
  </si>
  <si>
    <t xml:space="preserve">Diego Troncoso </t>
  </si>
  <si>
    <t xml:space="preserve">Khadraoui Kahina </t>
  </si>
  <si>
    <t>CA J-100</t>
  </si>
  <si>
    <t xml:space="preserve">Johan Bataille-Finet </t>
  </si>
  <si>
    <t xml:space="preserve">Mathilde Mellerin </t>
  </si>
  <si>
    <t>/ Contrat :BB NRF #new 40% - Offre à Durée Limitée - 26 sept. 2025</t>
  </si>
  <si>
    <t xml:space="preserve">Mathieu france </t>
  </si>
  <si>
    <t xml:space="preserve">Nassos Delis </t>
  </si>
  <si>
    <t>/ Contrat :Bed &amp; Breakfast Flex Mobile(App) Rate genious rate// Reservation le Sat Nov 29 2025 00:00:00 GMT+0100 (UTC+01:00)</t>
  </si>
  <si>
    <t xml:space="preserve">Michael Makatounakis </t>
  </si>
  <si>
    <t>CA J-101</t>
  </si>
  <si>
    <t xml:space="preserve">Margherita de Cles </t>
  </si>
  <si>
    <t xml:space="preserve">ISABELLE VANDENBERGHE </t>
  </si>
  <si>
    <t xml:space="preserve">KONSTANTINA PAPANIKOU </t>
  </si>
  <si>
    <t>CA J-102</t>
  </si>
  <si>
    <t xml:space="preserve">Marie-Paule Cales-Geisen </t>
  </si>
  <si>
    <t xml:space="preserve">Reka Woerner </t>
  </si>
  <si>
    <t xml:space="preserve">Amine Yahyaoui </t>
  </si>
  <si>
    <t>CA J-103</t>
  </si>
  <si>
    <t xml:space="preserve">Preetika Mehra </t>
  </si>
  <si>
    <t>/ Contrat :Bed &amp; Breakfast Flex Early Year Deal genious rate// Reservation le 28/01/2026</t>
  </si>
  <si>
    <t xml:space="preserve">AURORA MORANDIN </t>
  </si>
  <si>
    <t>/ Contrat :Bed &amp; Breakfast Flexible - Beds Network - Controlled Exposure// Reservation le Mon Sep 22 2025 00:00:00 GMT+0100 (UTC+01:00)</t>
  </si>
  <si>
    <t xml:space="preserve">Camille Kagenaar </t>
  </si>
  <si>
    <t>CA J-104</t>
  </si>
  <si>
    <t xml:space="preserve">Fanny GAILLARD-GROLEAS </t>
  </si>
  <si>
    <t xml:space="preserve">Yufua Ann </t>
  </si>
  <si>
    <t>/ Contrat :Bed &amp; Breakfast Flex Early Year Deal genious rate// Reservation le Sun Jan 25 2026 00:00:00 GMT+0100 (UTC+01:00)</t>
  </si>
  <si>
    <t xml:space="preserve">melania gastaldi </t>
  </si>
  <si>
    <t xml:space="preserve">Deniece van der Burg </t>
  </si>
  <si>
    <t xml:space="preserve">BENI ESCURIS GARCIA </t>
  </si>
  <si>
    <t>CA J-105</t>
  </si>
  <si>
    <t xml:space="preserve">Sylvie Clavien </t>
  </si>
  <si>
    <t xml:space="preserve">Coralie Buonafine </t>
  </si>
  <si>
    <t xml:space="preserve">Anders+Kjaer Roege </t>
  </si>
  <si>
    <t xml:space="preserve">Stephen Naunton </t>
  </si>
  <si>
    <t>CA J-106</t>
  </si>
  <si>
    <t xml:space="preserve">Stan Natin </t>
  </si>
  <si>
    <t xml:space="preserve">Maarten Gijssel </t>
  </si>
  <si>
    <t xml:space="preserve">Andrea Fiorentino </t>
  </si>
  <si>
    <t xml:space="preserve">Ugo Battaglia </t>
  </si>
  <si>
    <t>CA J-107</t>
  </si>
  <si>
    <t xml:space="preserve">James Cuoco </t>
  </si>
  <si>
    <t>Hotels.com</t>
  </si>
  <si>
    <t xml:space="preserve">Terri stein </t>
  </si>
  <si>
    <t>CA J-108</t>
  </si>
  <si>
    <t xml:space="preserve">Maryem X Sara </t>
  </si>
  <si>
    <t>/ Contrat :BB Non Refundable // Reservation le Wed Nov 05 2025 00:00:00 GMT+0100 (UTC+01:00)</t>
  </si>
  <si>
    <t xml:space="preserve">Cristina Hazarabedian Souza </t>
  </si>
  <si>
    <t>/ Contrat :Bed &amp; Breakfast Flex Mobile(App) Rate genious rate// Reservation le Fri Dec 05 2025 00:00:00 GMT+0100 (UTC+01:00)</t>
  </si>
  <si>
    <t>136-3615449</t>
  </si>
  <si>
    <t xml:space="preserve">MICHAEL SCHLIZ </t>
  </si>
  <si>
    <t>Erreur Param :Deluxe DELUXE [1]</t>
  </si>
  <si>
    <t xml:space="preserve">  *Agency Payment* Child ages for room 1: (7)  / Contrat :HALF BOARD GR-BARCOM// Reservation le 07/05/2025</t>
  </si>
  <si>
    <t>CA J-109</t>
  </si>
  <si>
    <t>136-3615465</t>
  </si>
  <si>
    <t>136-3614675</t>
  </si>
  <si>
    <t xml:space="preserve">LAURA SCHLIZ </t>
  </si>
  <si>
    <t xml:space="preserve">  *Agency Payment* Child ages for room 1: (7)  / Contrat :HALF BOARD GR-BARCOM// Reservation le Tue May 06 2025 00:00:00 GMT+0100 (UTC+01:00)</t>
  </si>
  <si>
    <t>/ Contrat :Bed &amp; Breakfast Flex International genious rate// Reservation le Mon Nov 17 2025 00:00:00 GMT+0100 (UTC+01:00)</t>
  </si>
  <si>
    <t xml:space="preserve">Delphine Poirot </t>
  </si>
  <si>
    <t xml:space="preserve">Nicole Schmid </t>
  </si>
  <si>
    <t xml:space="preserve">Michelle x maryem </t>
  </si>
  <si>
    <t>CA J-110</t>
  </si>
  <si>
    <t>/ Contrat :BB Non Refundable // Reservation le Thu Sep 11 2025 00:00:00 GMT+0100 (UTC+01:00)</t>
  </si>
  <si>
    <t xml:space="preserve">Maryem michelle </t>
  </si>
  <si>
    <t xml:space="preserve">maryem michelle </t>
  </si>
  <si>
    <t>CA J-111</t>
  </si>
  <si>
    <t xml:space="preserve">Celine Bellier </t>
  </si>
  <si>
    <t xml:space="preserve">Linda Buckley </t>
  </si>
  <si>
    <t>Modification le 30/10/2025/ Contrat :Bed &amp; Breakfast Flex Mobile(App) Rate genious rate</t>
  </si>
  <si>
    <t xml:space="preserve">Dagmar Strohmeyer </t>
  </si>
  <si>
    <t xml:space="preserve">Martina Indlekofer </t>
  </si>
  <si>
    <t>CA J-112</t>
  </si>
  <si>
    <t xml:space="preserve">melissa coventry </t>
  </si>
  <si>
    <t xml:space="preserve">Sandra Laegner </t>
  </si>
  <si>
    <t xml:space="preserve">ecolinko travel </t>
  </si>
  <si>
    <t>CA J-113</t>
  </si>
  <si>
    <t xml:space="preserve">Jernej Pretnar </t>
  </si>
  <si>
    <t>/ Contrat :Bed &amp; Breakfast Flex Early Year Deal genious rate// Reservation le Sat Jan 17 2026 00:00:00 GMT+0100 (UTC+01:00)</t>
  </si>
  <si>
    <t xml:space="preserve">Chiara Zinetti </t>
  </si>
  <si>
    <t xml:space="preserve">Tamara Kuhne </t>
  </si>
  <si>
    <t xml:space="preserve">Catherina Schutt </t>
  </si>
  <si>
    <t>/ Contrat :BB NRF #new Early Booker Deal genious rate// Reservation le Fri Jan 23 2026 00:00:00 GMT+0100 (UTC+01:00)</t>
  </si>
  <si>
    <t xml:space="preserve">Joanne Chua </t>
  </si>
  <si>
    <t>CA J-114</t>
  </si>
  <si>
    <t xml:space="preserve">ALEJANDRO BRAVO ESPADA </t>
  </si>
  <si>
    <t>Modification le 13/06/2025/ Contrat :Half board Package// Reservation le Fri Jun 13 2025 00:00:00 GMT+0100 (GMT+01:00)</t>
  </si>
  <si>
    <t>Modification le 13/06/2025/ Contrat :Half board Package</t>
  </si>
  <si>
    <t xml:space="preserve">DAVID GONZALEZ POZO </t>
  </si>
  <si>
    <t>CA J-115</t>
  </si>
  <si>
    <t xml:space="preserve">Ivonete Modica </t>
  </si>
  <si>
    <t>/ Contrat :Half-Board Flex Mobile(App) Rate genious rate// Reservation le Tue Oct 28 2025 00:00:00 GMT+0100 (UTC+01:00)</t>
  </si>
  <si>
    <t xml:space="preserve">Xinxin Zhang </t>
  </si>
  <si>
    <t xml:space="preserve">Rodrigo silva </t>
  </si>
  <si>
    <t>CA J-116</t>
  </si>
  <si>
    <t xml:space="preserve">Frank Lentini </t>
  </si>
  <si>
    <t xml:space="preserve">Martin Guther </t>
  </si>
  <si>
    <t>/ Contrat :Half-Board Flex International genious rate// Reservation le Mon Nov 10 2025 00:00:00 GMT+0100 (UTC+01:00)</t>
  </si>
  <si>
    <t>CA J-117</t>
  </si>
  <si>
    <t xml:space="preserve">Thomas Boulay </t>
  </si>
  <si>
    <t>/ Contrat :Half-Board Flex International genious rate// Reservation le Tue Sep 23 2025 00:00:00 GMT+0100 (UTC+01:00)</t>
  </si>
  <si>
    <t xml:space="preserve">Victoria De Santis </t>
  </si>
  <si>
    <t xml:space="preserve">Jasper van Duuren </t>
  </si>
  <si>
    <t>CA J-118</t>
  </si>
  <si>
    <t>/ Contrat :HB NRF #new International genious rate</t>
  </si>
  <si>
    <t xml:space="preserve">Hilde Pol </t>
  </si>
  <si>
    <t xml:space="preserve">Yanik Messmer </t>
  </si>
  <si>
    <t xml:space="preserve">Anna Colombo </t>
  </si>
  <si>
    <t xml:space="preserve">Lionel BARRERE </t>
  </si>
  <si>
    <t>/ Contrat :Bed &amp; Breakfast Flex International genious rate// Reservation le Tue Nov 04 2025 00:00:00 GMT+0100 (UTC+01:00)</t>
  </si>
  <si>
    <t>CA J-119</t>
  </si>
  <si>
    <t xml:space="preserve">Navila Rahman </t>
  </si>
  <si>
    <t>/ Contrat :Bed &amp; Breakfast Flex International genious rate// Reservation le Wed Dec 03 2025 00:00:00 GMT+0100 (UTC+01:00)</t>
  </si>
  <si>
    <t>CA J-120</t>
  </si>
  <si>
    <t xml:space="preserve">Jonathan Serkine </t>
  </si>
  <si>
    <t>Modification le 06/02/2026/ Contrat :BB NRF #new Early Booker Deal genious rate</t>
  </si>
  <si>
    <t xml:space="preserve">astride klick </t>
  </si>
  <si>
    <t xml:space="preserve">nathanaelle kiekens </t>
  </si>
  <si>
    <t>/ Contrat :Bed &amp; Breakfast Flex Mobile(App) Rate genious rate// Reservation le Sat Jan 10 2026 00:00:00 GMT+0100 (UTC+01:00)</t>
  </si>
  <si>
    <t xml:space="preserve">Zhu Yang </t>
  </si>
  <si>
    <t>CA J-121</t>
  </si>
  <si>
    <t>/ Contrat :Bed &amp; Breakfast Flex Mobile(App) Rate genious rate// Reservation le Tue Feb 24 2026 00:00:00 GMT+0000 (UTC+00:00)</t>
  </si>
  <si>
    <t xml:space="preserve">MARGARITA PAPAKONSTANTINOU </t>
  </si>
  <si>
    <t>/ Contrat :Bed &amp; Breakfast Flex International genious rate// Reservation le Sun Aug 03 2025 00:00:00 GMT+0100 (UTC+01:00)</t>
  </si>
  <si>
    <t xml:space="preserve">Maryem Anna </t>
  </si>
  <si>
    <t>CA J-122</t>
  </si>
  <si>
    <t xml:space="preserve">Joost Narraina </t>
  </si>
  <si>
    <t>CA J-123</t>
  </si>
  <si>
    <t xml:space="preserve">Eric Lischka </t>
  </si>
  <si>
    <t xml:space="preserve">Asarisi Loic </t>
  </si>
  <si>
    <t>/ Contrat :BB NRF #new Early Booker Deal genious rate// Reservation le Mon Dec 15 2025 00:00:00 GMT+0100 (UTC+01:00)</t>
  </si>
  <si>
    <t xml:space="preserve">Kathryn Higham </t>
  </si>
  <si>
    <t>CA J-124</t>
  </si>
  <si>
    <t xml:space="preserve">Jack MCcan </t>
  </si>
  <si>
    <t xml:space="preserve">Tanja Alpstag </t>
  </si>
  <si>
    <t xml:space="preserve">STAMATIA MATOULA </t>
  </si>
  <si>
    <t xml:space="preserve">Iulia Andreea Petrica </t>
  </si>
  <si>
    <t xml:space="preserve">Kirsten van Zoolingen </t>
  </si>
  <si>
    <t>CA J-125</t>
  </si>
  <si>
    <t xml:space="preserve">Lajja Shah </t>
  </si>
  <si>
    <t>/ Contrat :Bed &amp; Breakfast Flex International genious rate// Reservation le Tue Jan 20 2026 00:00:00 GMT+0100 (UTC+01:00)</t>
  </si>
  <si>
    <t xml:space="preserve">Robert Toumajean </t>
  </si>
  <si>
    <t>/ Contrat :Bed &amp; Breakfast Flex Mobile(App) Rate genious rate// Reservation le Tue Feb 10 2026 00:00:00 GMT+0100 (UTC+01:00)</t>
  </si>
  <si>
    <t xml:space="preserve">Patrick Saat </t>
  </si>
  <si>
    <t>Modification le 12/09/2025/ Contrat :Bed &amp; Breakfast Flex EB Rate PLan (plus de 15 jours Ã  l\'avance) genious rate</t>
  </si>
  <si>
    <t xml:space="preserve">Sven Nageli </t>
  </si>
  <si>
    <t xml:space="preserve">Paula Ieong </t>
  </si>
  <si>
    <t>CA J-126</t>
  </si>
  <si>
    <t>/ Contrat :Bed &amp; Breakfast Flex Mobile(App) Rate genious rate// Reservation le Sun Oct 12 2025 00:00:00 GMT+0100 (UTC+01:00)</t>
  </si>
  <si>
    <t xml:space="preserve">Mary Stone </t>
  </si>
  <si>
    <t>/ Contrat :Bed &amp; Breakfast Flex Mobile(App) Rate genious rate// Reservation le Tue Nov 11 2025 00:00:00 GMT+0100 (GMT+01:00)</t>
  </si>
  <si>
    <t xml:space="preserve">Benedikt Nutzinger </t>
  </si>
  <si>
    <t xml:space="preserve">Meghna Singh </t>
  </si>
  <si>
    <t>/ Contrat :Bed &amp; Breakfast Flex International genious rate// Reservation le 01/02/2026</t>
  </si>
  <si>
    <t xml:space="preserve">Ibtisam direct </t>
  </si>
  <si>
    <t xml:space="preserve">Jack MCcann </t>
  </si>
  <si>
    <t>CA J-127</t>
  </si>
  <si>
    <t xml:space="preserve">Logan Vinters </t>
  </si>
  <si>
    <t>CA J-128</t>
  </si>
  <si>
    <t xml:space="preserve">Sabrina Feng </t>
  </si>
  <si>
    <t xml:space="preserve">John Wisdom </t>
  </si>
  <si>
    <t xml:space="preserve">Stephanie Fiveash </t>
  </si>
  <si>
    <t>/ Contrat :Bed &amp; Breakfast Flex Mobile(App) Rate genious rate// Reservation le Mon Nov 10 2025 00:00:00 GMT+0100 (UTC+01:00)</t>
  </si>
  <si>
    <t>CA J-129</t>
  </si>
  <si>
    <t xml:space="preserve">Alina Serbina </t>
  </si>
  <si>
    <t xml:space="preserve">Loghin Daniela </t>
  </si>
  <si>
    <t>/ Contrat :BB NRF #new Early Booker Deal</t>
  </si>
  <si>
    <t xml:space="preserve">Matthew Chacko </t>
  </si>
  <si>
    <t>CA J-130</t>
  </si>
  <si>
    <t>/ Contrat :Bed &amp; Breakfast Flex Mobile(App) Rate genious rate// Reservation le Sat Nov 22 2025 00:00:00 GMT+0100 (UTC+01:00)</t>
  </si>
  <si>
    <t xml:space="preserve">monica marelli </t>
  </si>
  <si>
    <t>/ Contrat :Bed &amp; Breakfast Flex Mobile(App) Rate genious rate// Reservation le Thu Dec 04 2025 00:00:00 GMT+0100 (UTC+01:00)</t>
  </si>
  <si>
    <t xml:space="preserve">sarah davies </t>
  </si>
  <si>
    <t>/ Contrat :Bed &amp; Breakfast Flex International genious rate// Reservation le Sun Jan 11 2026 00:00:00 GMT+0100 (UTC+01:00)</t>
  </si>
  <si>
    <t xml:space="preserve">oscar mozzanica </t>
  </si>
  <si>
    <t>/ Contrat :Bed &amp; Breakfast Flex International genious rate// Reservation le Thu Jan 15 2026 00:00:00 GMT+0100 (UTC+01:00)</t>
  </si>
  <si>
    <t xml:space="preserve">Paolo Bottiglieri </t>
  </si>
  <si>
    <t>/ Contrat :Half-Board Flex International genious rate</t>
  </si>
  <si>
    <t>CA J-131</t>
  </si>
  <si>
    <t xml:space="preserve">Henry Van de Ven </t>
  </si>
  <si>
    <t xml:space="preserve">Barbara Marchitelli </t>
  </si>
  <si>
    <t xml:space="preserve">Nicla Colonna </t>
  </si>
  <si>
    <t xml:space="preserve">Patrick Childs </t>
  </si>
  <si>
    <t>/ Contrat :Bed &amp; Breakfast Flex Mobile(App) Rate genious rate// Reservation le Sun Feb 15 2026 00:00:00 GMT+0100 (UTC+01:00)</t>
  </si>
  <si>
    <t>CA J-132</t>
  </si>
  <si>
    <t xml:space="preserve">Shona Kerr </t>
  </si>
  <si>
    <t>/ Contrat :Standard Package// Reservation le Wed Feb 18 2026 00:00:00 GMT+0000 (UTC+00:00)</t>
  </si>
  <si>
    <t xml:space="preserve">Kate Beeston </t>
  </si>
  <si>
    <t xml:space="preserve">Johann Wanninger </t>
  </si>
  <si>
    <t xml:space="preserve">SOPHIE MCGEOCH </t>
  </si>
  <si>
    <t>CA J-133</t>
  </si>
  <si>
    <t xml:space="preserve">Christine Huser </t>
  </si>
  <si>
    <t xml:space="preserve">KIM ROHN </t>
  </si>
  <si>
    <t xml:space="preserve">Chelsea Yang </t>
  </si>
  <si>
    <t>/ Contrat :Bed &amp; Breakfast Flex International genious rate// Reservation le Sun Jan 25 2026 00:00:00 GMT+0100 (UTC+01:00)</t>
  </si>
  <si>
    <t>CA J-134</t>
  </si>
  <si>
    <t xml:space="preserve">Cindy BELLET </t>
  </si>
  <si>
    <t xml:space="preserve">Ole-Marius Olsen </t>
  </si>
  <si>
    <t xml:space="preserve">Yasmine Sinni </t>
  </si>
  <si>
    <t>/ Contrat :Bed &amp; Breakfast Flex EB Rate PLan (plus de 15 jours Ã  l\'avance) genious rate// Reservation le Thu Sep 18 2025 00:00:00 GMT+0100 (UTC+01:00)</t>
  </si>
  <si>
    <t>CA J-135</t>
  </si>
  <si>
    <t xml:space="preserve">Matthieu FRENOY </t>
  </si>
  <si>
    <t xml:space="preserve">Tom Hughs </t>
  </si>
  <si>
    <t xml:space="preserve">tatia mchedlishvili </t>
  </si>
  <si>
    <t>/ Contrat :Bed &amp; Breakfast Flex International genious rate// Reservation le Mon Feb 16 2026 00:00:00 GMT+0000 (UTC+00:00)</t>
  </si>
  <si>
    <t>CA J-136</t>
  </si>
  <si>
    <t xml:space="preserve">Emily Oliver </t>
  </si>
  <si>
    <t>CA J-137</t>
  </si>
  <si>
    <t xml:space="preserve">Hannah Reynolds </t>
  </si>
  <si>
    <t xml:space="preserve">Davis Driver </t>
  </si>
  <si>
    <t xml:space="preserve">Emily Pavelle </t>
  </si>
  <si>
    <t>/ Contrat :BB Non Refundable // Reservation le 06/02/2026</t>
  </si>
  <si>
    <t>CA J-138</t>
  </si>
  <si>
    <t xml:space="preserve">Joseph Reeve </t>
  </si>
  <si>
    <t xml:space="preserve">Sandra Garrido </t>
  </si>
  <si>
    <t xml:space="preserve">Verity Hunt </t>
  </si>
  <si>
    <t xml:space="preserve">Rahel Prisca Schena Bichsel </t>
  </si>
  <si>
    <t>CA J-139</t>
  </si>
  <si>
    <t xml:space="preserve">Andreas Lopez </t>
  </si>
  <si>
    <t xml:space="preserve">Philippe Bocxtaele </t>
  </si>
  <si>
    <t xml:space="preserve">Zaldy Camerino </t>
  </si>
  <si>
    <t>/ Contrat :Bed &amp; Breakfast Flex International genious rate// Reservation le Thu Aug 07 2025 00:00:00 GMT+0100 (UTC+01:00)</t>
  </si>
  <si>
    <t xml:space="preserve">Marie Helene Rosen </t>
  </si>
  <si>
    <t>/ Contrat :Bed &amp; Breakfast Flex Mobile(App) Rate genious rate// Reservation le Fri Oct 03 2025 00:00:00 GMT+0100 (UTC+01:00)</t>
  </si>
  <si>
    <t xml:space="preserve">Coralie MARTIN </t>
  </si>
  <si>
    <t>/ Contrat :Half-Board Flex Mobile(App) Rate genious rate// Reservation le 22/10/2025</t>
  </si>
  <si>
    <t xml:space="preserve">Lola Aboderin </t>
  </si>
  <si>
    <t>CA J-140</t>
  </si>
  <si>
    <t>/ Contrat :Bed &amp; Breakfast Flex International genious rate// Reservation le Sun Nov 02 2025 00:00:00 GMT+0100 (UTC+01:00)</t>
  </si>
  <si>
    <t xml:space="preserve">Christian Frey </t>
  </si>
  <si>
    <t xml:space="preserve">CINZIA ARTIOLI </t>
  </si>
  <si>
    <t xml:space="preserve">Chantal van der Veen </t>
  </si>
  <si>
    <t xml:space="preserve">Maryem Experience Maroc </t>
  </si>
  <si>
    <t xml:space="preserve">Amra Karic </t>
  </si>
  <si>
    <t>CA J-141</t>
  </si>
  <si>
    <t>/ Contrat :HB NRF #new Early Booker Deal genious rate// Reservation le Mon Dec 29 2025 00:00:00 GMT+0100 (UTC+01:00)</t>
  </si>
  <si>
    <t xml:space="preserve">FABRIZIO FALANGA </t>
  </si>
  <si>
    <t>/ Contrat :Bed &amp; Breakfast Flex International genious rate// Reservation le Sun Feb 08 2026 00:00:00 GMT+0100 (UTC+01:00)</t>
  </si>
  <si>
    <t xml:space="preserve">Jessica Schroeter </t>
  </si>
  <si>
    <t xml:space="preserve">Kirstin Carswell </t>
  </si>
  <si>
    <t xml:space="preserve">deanna carella </t>
  </si>
  <si>
    <t>CA J-142</t>
  </si>
  <si>
    <t xml:space="preserve">Margarete Wanner-Forster </t>
  </si>
  <si>
    <t xml:space="preserve">FABIEN LE BOURHIS </t>
  </si>
  <si>
    <t>CA J-143</t>
  </si>
  <si>
    <t xml:space="preserve">Marco Tschirren </t>
  </si>
  <si>
    <t xml:space="preserve">MEBAE OKUNISHI </t>
  </si>
  <si>
    <t xml:space="preserve">Christoph Gutmann </t>
  </si>
  <si>
    <t>/ Contrat :Bed &amp; Breakfast Flex Mobile(App) Rate genious rate// Reservation le Thu Aug 21 2025 00:00:00 GMT+0100 (UTC+01:00)</t>
  </si>
  <si>
    <t xml:space="preserve">ibtissam direct </t>
  </si>
  <si>
    <t>CA J-144</t>
  </si>
  <si>
    <t xml:space="preserve">Safacan Kesat </t>
  </si>
  <si>
    <t>Modification le 17/02/2026/ Contrat :BB NRF #new Early Booker Deal genious rate// Reservation le Tue Feb 17 2026 00:00:00 GMT+0000 (UTC+00:00)</t>
  </si>
  <si>
    <t xml:space="preserve">Erica Franchino </t>
  </si>
  <si>
    <t>/ Contrat :Bed &amp; Breakfast Flex Mobile(App) Rate genious rate// Reservation le Mon Feb 23 2026 00:00:00 GMT+0000 (UTC+00:00)</t>
  </si>
  <si>
    <t xml:space="preserve">Mackenzie Nicholle </t>
  </si>
  <si>
    <t>Modification le 15/09/2025/ Contrat :Bed &amp; Breakfast Flex United Kingdom genious rate</t>
  </si>
  <si>
    <t xml:space="preserve">Séverine Chevallier </t>
  </si>
  <si>
    <t>Modification le 28/04/2025/ Contrat :Half Board</t>
  </si>
  <si>
    <t>CA J-145</t>
  </si>
  <si>
    <t xml:space="preserve">Caroline ROY </t>
  </si>
  <si>
    <t xml:space="preserve">Modification le 21/04/2026/ Contrat :BB Non Refundable </t>
  </si>
  <si>
    <t>CA J-146</t>
  </si>
  <si>
    <t xml:space="preserve">Matej Zontar </t>
  </si>
  <si>
    <t>/ Contrat :Bed &amp; Breakfast Flex Mobile(App) Rate genious rate// Reservation le Fri Jan 02 2026 00:00:00 GMT+0100 (UTC+01:00)</t>
  </si>
  <si>
    <t xml:space="preserve">Barbara D Addetta </t>
  </si>
  <si>
    <t>/ Contrat :Bed &amp; Breakfast Flex Mobile(App) Rate genious rate// Reservation le Wed Jan 07 2026 00:00:00 GMT+0100 (UTC+01:00)</t>
  </si>
  <si>
    <t xml:space="preserve">sian salter </t>
  </si>
  <si>
    <t>/ Contrat :BB NRF #new International genious rate// Reservation le Sat Jan 24 2026 00:00:00 GMT+0100 (UTC+01:00)</t>
  </si>
  <si>
    <t xml:space="preserve">Ana Sousa </t>
  </si>
  <si>
    <t>/ Contrat :Bed &amp; Breakfast Flex International genious rate// Reservation le Thu Jul 24 2025 00:00:00 GMT+0100 (UTC+01:00)</t>
  </si>
  <si>
    <t xml:space="preserve">Sabeena Lal </t>
  </si>
  <si>
    <t>CA J-147</t>
  </si>
  <si>
    <t xml:space="preserve">Daniel Baker </t>
  </si>
  <si>
    <t xml:space="preserve">Johannes Kuhn </t>
  </si>
  <si>
    <t>/ Contrat :Bed &amp; Breakfast Flex Mobile(App) Rate genious rate// Reservation le Sat Dec 13 2025 00:00:00 GMT+0100 (UTC+01:00)</t>
  </si>
  <si>
    <t xml:space="preserve">Artur Sirbu </t>
  </si>
  <si>
    <t>/ Contrat :Bed &amp; Breakfast Flex Mobile(App) Rate genious rate// Reservation le Wed Dec 31 2025 00:00:00 GMT+0100 (UTC+01:00)</t>
  </si>
  <si>
    <t>Modification le 04/01/2026/ Contrat :Bed &amp; Breakfast Flex Mobile(App) Rate genious rate</t>
  </si>
  <si>
    <t xml:space="preserve">Nestor Mercado </t>
  </si>
  <si>
    <t xml:space="preserve">Richard Ford </t>
  </si>
  <si>
    <t xml:space="preserve">Eleanor Chambre </t>
  </si>
  <si>
    <t xml:space="preserve">Celeste Briraud </t>
  </si>
  <si>
    <t xml:space="preserve">Patrick Zuch </t>
  </si>
  <si>
    <t xml:space="preserve">martina stalder </t>
  </si>
  <si>
    <t xml:space="preserve">Emma Crossley </t>
  </si>
  <si>
    <t>Modification le 14/09/2025/ Contrat :Bed &amp; Breakfast Flex International genious rate</t>
  </si>
  <si>
    <t xml:space="preserve">Flora Toutin </t>
  </si>
  <si>
    <t xml:space="preserve">Efthymios Ntasis </t>
  </si>
  <si>
    <t xml:space="preserve">Nele Minten </t>
  </si>
  <si>
    <t xml:space="preserve">Markus Feurle </t>
  </si>
  <si>
    <t>Modification le 01/11/2025/ Contrat :BB NRF #new Early Booker Deal genious rate</t>
  </si>
  <si>
    <t xml:space="preserve">Simon TESSIER </t>
  </si>
  <si>
    <t xml:space="preserve">Stefanie Smieskol </t>
  </si>
  <si>
    <t xml:space="preserve">Namika Endo </t>
  </si>
  <si>
    <t>Modification le 25/01/2026/ Contrat :Bed &amp; Breakfast Flex Mobile(App) Rate genious rate</t>
  </si>
  <si>
    <t xml:space="preserve">Matt King </t>
  </si>
  <si>
    <t>/ Contrat :BB NRF #new Early Booker Deal genious rate// Reservation le Sat Dec 27 2025 00:00:00 GMT+0100 (UTC+01:00)</t>
  </si>
  <si>
    <t xml:space="preserve">Frank Apaokueze </t>
  </si>
  <si>
    <t>/ Contrat :Bed &amp; Breakfast Flex Mobile(MDot) Rate// Reservation le Mon Oct 06 2025 00:00:00 GMT+0100 (UTC+01:00)</t>
  </si>
  <si>
    <t xml:space="preserve">Stephanie Nokes </t>
  </si>
  <si>
    <t>/ Contrat :BB NRF #new Early Booker Deal genious rate// Reservation le Sat Nov 22 2025 00:00:00 GMT+0100 (UTC+01:00)</t>
  </si>
  <si>
    <t xml:space="preserve">Petra Pittery </t>
  </si>
  <si>
    <t xml:space="preserve">Karen Gaydon </t>
  </si>
  <si>
    <t xml:space="preserve">gaia parlati </t>
  </si>
  <si>
    <t xml:space="preserve">Recep Songur </t>
  </si>
  <si>
    <t xml:space="preserve">Catherine Dargoubet </t>
  </si>
  <si>
    <t xml:space="preserve">Elettra Paolini </t>
  </si>
  <si>
    <t xml:space="preserve">Joris Coessens </t>
  </si>
  <si>
    <t xml:space="preserve">Sandra Collovigh </t>
  </si>
  <si>
    <t xml:space="preserve">Elodie Girard </t>
  </si>
  <si>
    <t xml:space="preserve">Alfio Tamburello-Luca </t>
  </si>
  <si>
    <t xml:space="preserve">Fiona Halliday-Shaw </t>
  </si>
  <si>
    <t xml:space="preserve">Frederik Petersen </t>
  </si>
  <si>
    <t>/ Contrat :Bed &amp; Breakfast Flex International genious rate// Reservation le Thu Jan 29 2026 00:00:00 GMT+0100 (UTC+01:00)</t>
  </si>
  <si>
    <t>136-3709451</t>
  </si>
  <si>
    <t xml:space="preserve">MARCO JOHN EBLER </t>
  </si>
  <si>
    <t xml:space="preserve">  *Agency Payment* Discounts for room 1:  EB 15% 2026 Notes for room 1: ArrivalTime: 11 00 AM - 12 00 PM  ------------------------------ Before Last Modification: Reservation Date : 2025-12-15 17:03:03 Check-In Date : 2026-05-13 Total Amount : 905.76 EUR Room Names : Deluxe DELUXE ------------------------------ Modified : 2026-04-29 18:21:04 ------------------------------  Modification le 29/04/2026/ Contrat :BED AND BREAKFAST GR-BARCOM// Reservation le Mon Dec 15 2025 00:00:00 GMT+0100 (UTC+01:00)</t>
  </si>
  <si>
    <t xml:space="preserve">Dan Savoie </t>
  </si>
  <si>
    <t>/ Contrat :BB Non Refundable // Reservation le Mon Feb 09 2026 00:00:00 GMT+0100 (UTC+01:00)</t>
  </si>
  <si>
    <t xml:space="preserve">Laurene MPINDA </t>
  </si>
  <si>
    <t>/ Contrat :Bed &amp; Breakfast Flex Mobile(App) Rate genious rate// Reservation le Sun Dec 21 2025 00:00:00 GMT+0100 (UTC+01:00)</t>
  </si>
  <si>
    <t xml:space="preserve">Joel Klein </t>
  </si>
  <si>
    <t xml:space="preserve">Gaillard Marie </t>
  </si>
  <si>
    <t>136-3652306</t>
  </si>
  <si>
    <t xml:space="preserve">DAN SAVOIE </t>
  </si>
  <si>
    <t xml:space="preserve">  *Agency Payment* Discounts for room 1:  NON REFUNDABLE DISCOUNT (G)  / Contrat :BED AND BREAKFAST NRF BAR// Reservation le Wed Aug 06 2025 00:00:00 GMT+0100 (UTC+01:00)</t>
  </si>
  <si>
    <t>136-3652296</t>
  </si>
  <si>
    <t xml:space="preserve">FIONA HALLIDAY SHAW </t>
  </si>
  <si>
    <t xml:space="preserve">  *Agency Payment*  / Contrat :BED AND BREAKFAST GR-BARCOM</t>
  </si>
  <si>
    <t xml:space="preserve">Akari Komatsu </t>
  </si>
  <si>
    <t>/ Contrat :Bed &amp; Breakfast Flexible - Beds Network - Controlled Exposure// Reservation le Wed Oct 22 2025 00:00:00 GMT+0100 (UTC+01:00)</t>
  </si>
  <si>
    <t xml:space="preserve">Vivien Leuschner </t>
  </si>
  <si>
    <t xml:space="preserve">Soufiane Laaouina </t>
  </si>
  <si>
    <t xml:space="preserve">Nico Hop </t>
  </si>
  <si>
    <t xml:space="preserve">Alejandra Campos </t>
  </si>
  <si>
    <t xml:space="preserve">NADINE MASSARD </t>
  </si>
  <si>
    <t xml:space="preserve">James Smither </t>
  </si>
  <si>
    <t>/ Contrat :Bed &amp; Breakfast Flex Mobile(App) Rate genious rate// Reservation le Tue Feb 17 2026 00:00:00 GMT+0000 (UTC+00:00)</t>
  </si>
  <si>
    <t xml:space="preserve">Martin Talbot </t>
  </si>
  <si>
    <t>/ Contrat :Bed &amp; Breakfast Flex Mobile(App) Rate genious rate// Reservation le Sat Oct 04 2025 00:00:00 GMT+0100 (UTC+01:00)</t>
  </si>
  <si>
    <t xml:space="preserve">Laura Marcel </t>
  </si>
  <si>
    <t xml:space="preserve">Yosu Figueras Ayucar </t>
  </si>
  <si>
    <t>/ Contrat :BB Non Refundable // Reservation le 20/11/2025</t>
  </si>
  <si>
    <t xml:space="preserve">Rui Melo de Carvalho </t>
  </si>
  <si>
    <t xml:space="preserve">Arnaud Muyle </t>
  </si>
  <si>
    <t xml:space="preserve">Justine Treillet </t>
  </si>
  <si>
    <t xml:space="preserve">Elham Alambeigi </t>
  </si>
  <si>
    <t xml:space="preserve">Alexandros Roubanis </t>
  </si>
  <si>
    <t xml:space="preserve">Gabriele Fasolo </t>
  </si>
  <si>
    <t>/ Contrat :Bed &amp; Breakfast Flex Mobile(App) Rate genious rate// Reservation le Sat Jan 17 2026 00:00:00 GMT+0100 (UTC+01:00)</t>
  </si>
  <si>
    <t xml:space="preserve">Emma Rad </t>
  </si>
  <si>
    <t>/ Contrat :BB NRF #new Early Booker Deal genious rate// Reservation le Sat Feb 21 2026 00:00:00 GMT+0000 (UTC+00:00)</t>
  </si>
  <si>
    <t xml:space="preserve">Davinia O\'Muyiwa </t>
  </si>
  <si>
    <t>/ Contrat :Bed &amp; Breakfast Flex International genious rate// Reservation le Thu Aug 14 2025 00:00:00 GMT+0100 (UTC+01:00)</t>
  </si>
  <si>
    <t xml:space="preserve">Norbert DELAIRE </t>
  </si>
  <si>
    <t>Modification le 09/11/2025/ Contrat :BB NRF #new International// Reservation le Mon Jul 21 2025 00:00:00 GMT+0100 (UTC+01:00)</t>
  </si>
  <si>
    <t xml:space="preserve">marion huault </t>
  </si>
  <si>
    <t xml:space="preserve">Magali Duboux </t>
  </si>
  <si>
    <t xml:space="preserve">byengdo yoon </t>
  </si>
  <si>
    <t>/ Contrat :Bed &amp; Breakfast Flex International genious rate// Reservation le Fri Sep 05 2025 00:00:00 GMT+0100 (UTC+01:00)</t>
  </si>
  <si>
    <t xml:space="preserve">Beatrice Barras </t>
  </si>
  <si>
    <t xml:space="preserve">ALESSANDRO SALATIN </t>
  </si>
  <si>
    <t xml:space="preserve">Megan McShane </t>
  </si>
  <si>
    <t xml:space="preserve">Esther Dind-Bill </t>
  </si>
  <si>
    <t xml:space="preserve">Russel Waldron </t>
  </si>
  <si>
    <t>/ Contrat :Half Board// Reservation le Sat Feb 21 2026 00:00:00 GMT+0000 (UTC+00:00)</t>
  </si>
  <si>
    <t xml:space="preserve">Mathias Wieczisk </t>
  </si>
  <si>
    <t xml:space="preserve">Manuela Bocchino </t>
  </si>
  <si>
    <t>/ Contrat :Bed &amp; Breakfast Flex Mobile(App) Rate genious rate// Reservation le Sat Sep 06 2025 00:00:00 GMT+0100 (GMT+01:00)</t>
  </si>
  <si>
    <t>/ Contrat :Bed &amp; Breakfast Flex International genious rate// Reservation le Wed Aug 27 2025 00:00:00 GMT+0100 (UTC+01:00)</t>
  </si>
  <si>
    <t xml:space="preserve">Evgeniia Kritskaia </t>
  </si>
  <si>
    <t xml:space="preserve">Wolfgang Herzel </t>
  </si>
  <si>
    <t xml:space="preserve">Amanda Hickey </t>
  </si>
  <si>
    <t>Modification le 04/11/2025/ Contrat :Bed &amp; Breakfast Flex Mobile(App) Rate genious rate// Reservation le Sun Oct 19 2025 00:00:00 GMT+0100 (UTC+01:00)</t>
  </si>
  <si>
    <t xml:space="preserve">Fadie Al-shiekh </t>
  </si>
  <si>
    <t>/ Contrat :Bed &amp; Breakfast Flex Mobile(App) Rate genious rate// Reservation le Tue Jan 06 2026 00:00:00 GMT+0100 (UTC+01:00)</t>
  </si>
  <si>
    <t xml:space="preserve">DAVID LEO </t>
  </si>
  <si>
    <t xml:space="preserve">giulia lucia </t>
  </si>
  <si>
    <t>/ Contrat :Bed &amp; Breakfast Flex Mobile(App) Rate genious rate// Reservation le Mon Sep 01 2025 00:00:00 GMT+0100 (UTC+01:00)</t>
  </si>
  <si>
    <t xml:space="preserve">Mattia Cavallazzi </t>
  </si>
  <si>
    <t xml:space="preserve">Alessandro Bassanini </t>
  </si>
  <si>
    <t>/ Contrat :Bed &amp; Breakfast Flex Mobile(App) Rate genious rate// Reservation le Tue Sep 30 2025 00:00:00 GMT+0100 (UTC+01:00)</t>
  </si>
  <si>
    <t xml:space="preserve">Rachel Howard </t>
  </si>
  <si>
    <t xml:space="preserve">Marina Perdigao </t>
  </si>
  <si>
    <t xml:space="preserve">Antonio Pisano </t>
  </si>
  <si>
    <t>/ Contrat :Half-Board Flex Mobile(App) Rate genious rate// Reservation le Wed Aug 06 2025 00:00:00 GMT+0100 (UTC+01:00)</t>
  </si>
  <si>
    <t xml:space="preserve">Nataliya Strap </t>
  </si>
  <si>
    <t xml:space="preserve">Dunja Stockhorst-Dietz </t>
  </si>
  <si>
    <t>/ Contrat :Bed &amp; Breakfast Flex Mobile(App) Rate genious rate// Reservation le Sun Sep 14 2025 00:00:00 GMT+0100 (UTC+01:00)</t>
  </si>
  <si>
    <t xml:space="preserve">Hiroshi Sakurai </t>
  </si>
  <si>
    <t>/ Contrat :Bed &amp; Breakfast Flex Mobile(App) Rate genious rate// Reservation le Sat Oct 11 2025 00:00:00 GMT+0100 (UTC+01:00)</t>
  </si>
  <si>
    <t xml:space="preserve">Olga Rodriguez </t>
  </si>
  <si>
    <t>/ Contrat :Bed &amp; Breakfast Flex Mobile(App) Rate genious rate// Reservation le Wed Oct 15 2025 00:00:00 GMT+0100 (UTC+01:00)</t>
  </si>
  <si>
    <t xml:space="preserve">bercelli silvia </t>
  </si>
  <si>
    <t>/ Contrat :Bed &amp; Breakfast Flex Mobile(App) Rate genious rate// Reservation le Mon Aug 25 2025 00:00:00 GMT+0100 (UTC+01:00)</t>
  </si>
  <si>
    <t xml:space="preserve">John Hazenbroek </t>
  </si>
  <si>
    <t>/ Contrat :Bed &amp; Breakfast Flex Mobile(App) Rate genious rate// Reservation le Sun Oct 05 2025 00:00:00 GMT+0100 (UTC+01:00)</t>
  </si>
  <si>
    <t xml:space="preserve">Kuno Blaser </t>
  </si>
  <si>
    <t xml:space="preserve">virginie MEVEL </t>
  </si>
  <si>
    <t xml:space="preserve">Camille Basset </t>
  </si>
  <si>
    <t>/ Contrat :Bed &amp; Breakfast Flex Mobile(App) Rate genious rate// Reservation le Thu Feb 05 2026 00:00:00 GMT+0100 (UTC+01:00)</t>
  </si>
  <si>
    <t>/ Contrat :Bed &amp; Breakfast Flex Mobile(App) Rate genious rate// Reservation le 13/02/2026</t>
  </si>
  <si>
    <t xml:space="preserve">emeline Pierron </t>
  </si>
  <si>
    <t>/ Contrat :Half-Board Flex Mobile(App) Rate genious rate// Reservation le Sat Oct 04 2025 00:00:00 GMT+0100 (UTC+01:00)</t>
  </si>
  <si>
    <t xml:space="preserve">Franziska Daubler </t>
  </si>
  <si>
    <t xml:space="preserve">Simon FEILLEL </t>
  </si>
  <si>
    <t xml:space="preserve">Sarah Pyne </t>
  </si>
  <si>
    <t xml:space="preserve">Elloise Farrow-Smith </t>
  </si>
  <si>
    <t>/ Contrat :BB NRF #new Early Booker Deal genious rate// Reservation le Tue Feb 17 2026 00:00:00 GMT+0000 (UTC+00:00)</t>
  </si>
  <si>
    <t xml:space="preserve">Maria Asuncion Martin Medel </t>
  </si>
  <si>
    <t>/ Contrat :Bed &amp; Breakfast Flex Mobile(App) Rate genious rate// Reservation le Fri Aug 08 2025 00:00:00 GMT+0100 (UTC+01:00)</t>
  </si>
  <si>
    <t xml:space="preserve">Lucia Rubial </t>
  </si>
  <si>
    <t xml:space="preserve">Ricardo Isidoro </t>
  </si>
  <si>
    <t xml:space="preserve">Gloria Francesca Galli </t>
  </si>
  <si>
    <t xml:space="preserve">Sullivan Plaete </t>
  </si>
  <si>
    <t xml:space="preserve">Floriane VALENZA </t>
  </si>
  <si>
    <t xml:space="preserve">Sabine Weber </t>
  </si>
  <si>
    <t xml:space="preserve">Casandra Nash </t>
  </si>
  <si>
    <t>Modification le 30/04/2026/ Contrat :Bed &amp; Breakfast Flex International genious rate</t>
  </si>
  <si>
    <t xml:space="preserve">Malica Amzil </t>
  </si>
  <si>
    <t>/ Contrat :BB NRF #new Early Booker Deal genious rate// Reservation le Fri Dec 19 2025 00:00:00 GMT+0100 (UTC+01:00)</t>
  </si>
  <si>
    <t xml:space="preserve">Raffaela Menzi </t>
  </si>
  <si>
    <t>/ Contrat :Bed &amp; Breakfast Flex Mobile(App) Rate genious rate// Reservation le Thu Oct 09 2025 00:00:00 GMT+0100 (UTC+01:00)</t>
  </si>
  <si>
    <t xml:space="preserve">Anais Cunha </t>
  </si>
  <si>
    <t xml:space="preserve">adi mader </t>
  </si>
  <si>
    <t>/ Contrat :Bed &amp; Breakfast Flex International genious rate// Reservation le Fri Jan 16 2026 00:00:00 GMT+0100 (UTC+01:00)</t>
  </si>
  <si>
    <t xml:space="preserve">Mounia nati </t>
  </si>
  <si>
    <t xml:space="preserve">Juan Pablo Garrido </t>
  </si>
  <si>
    <t xml:space="preserve">Natalia Dominguez brun </t>
  </si>
  <si>
    <t>/ Contrat :Half-Board Flex Mobile(App) Rate genious rate// Reservation le Wed Oct 01 2025 00:00:00 GMT+0100 (UTC+01:00)</t>
  </si>
  <si>
    <t xml:space="preserve">Tunji Amao </t>
  </si>
  <si>
    <t>/ Contrat :Bed &amp; Breakfast Flex Black Friday Deal// Reservation le Sun Nov 30 2025 00:00:00 GMT+0100 (UTC+01:00)</t>
  </si>
  <si>
    <t>/ Contrat :Bed &amp; Breakfast Flex Mobile(App) Rate genious rate// Reservation le Fri Feb 06 2026 00:00:00 GMT+0100 (UTC+01:00)</t>
  </si>
  <si>
    <t xml:space="preserve">Harry Pang </t>
  </si>
  <si>
    <t xml:space="preserve">siham bettouche </t>
  </si>
  <si>
    <t>/ Contrat :Bed &amp; Breakfast Flex Mobile(App) Rate genious rate// Reservation le Fri Feb 13 2026 00:00:00 GMT+0100 (UTC+01:00)</t>
  </si>
  <si>
    <t xml:space="preserve">Laura MOKHTARI </t>
  </si>
  <si>
    <t xml:space="preserve">Dianne Silvestro </t>
  </si>
  <si>
    <t xml:space="preserve">Jackie Costello </t>
  </si>
  <si>
    <t>136-3707218</t>
  </si>
  <si>
    <t xml:space="preserve">AXEL RAINER DELKER </t>
  </si>
  <si>
    <t>Erreur Param :Standard STANDARD</t>
  </si>
  <si>
    <t xml:space="preserve">  *Agency Payment* Discounts for room 1:  EB 15% 2026  ------------------------------ Before Last Modification: Reservation Date : 2025-12-09 17:21:02 Room Names : Standard STANDARD ------------------------------ Modified : 2026-01-14 09:03:10 ------------------------------  Modification le 14/01/2026/ Contrat :BED AND BREAKFAST GR-BARCOM// Reservation le Tue Dec 09 2025 00:00:00 GMT+0100 (UTC+01:00)</t>
  </si>
  <si>
    <t xml:space="preserve">Gaia Frattini </t>
  </si>
  <si>
    <t>/ Contrat :Half-Board Flex Mobile(App) Rate genious rate// Reservation le 17/11/2025</t>
  </si>
  <si>
    <t>/ Contrat :Bed &amp; Breakfast Flex Mobile(App) Rate genious rate// Reservation le 17/11/2025</t>
  </si>
  <si>
    <t xml:space="preserve">Mar Tomas </t>
  </si>
  <si>
    <t xml:space="preserve">Lorraine Baker </t>
  </si>
  <si>
    <t>/ Contrat :Bed &amp; Breakfast Flex Mobile(App) Rate genious rate// Reservation le Mon Dec 08 2025 00:00:00 GMT+0100 (UTC+01:00)</t>
  </si>
  <si>
    <t xml:space="preserve">Natasha English </t>
  </si>
  <si>
    <t>Modification le 27/11/2025/ Contrat :Bed &amp; Breakfast Flex Mobile(App) Rate genious rate</t>
  </si>
  <si>
    <t xml:space="preserve">Jan Van Regenmortel </t>
  </si>
  <si>
    <t xml:space="preserve">Loup-Anne Crombeke </t>
  </si>
  <si>
    <t>/ Contrat :Bed &amp; Breakfast Flex International genious rate// Reservation le Wed Nov 12 2025 00:00:00 GMT+0100 (UTC+01:00)</t>
  </si>
  <si>
    <t xml:space="preserve">Barbara Osterreicher </t>
  </si>
  <si>
    <t xml:space="preserve">Simon Reissmuller </t>
  </si>
  <si>
    <t>/ Contrat :Bed &amp; Breakfast Flex International genious rate// Reservation le Wed Oct 29 2025 00:00:00 GMT+0100 (UTC+01:00)</t>
  </si>
  <si>
    <t xml:space="preserve">Hannah Smethurst </t>
  </si>
  <si>
    <t xml:space="preserve">Michele Nobile </t>
  </si>
  <si>
    <t>/ Contrat :Bed &amp; Breakfast Flex Mobile(App) Rate genious rate// Reservation le Sat Nov 01 2025 00:00:00 GMT+0100 (UTC+01:00)</t>
  </si>
  <si>
    <t xml:space="preserve">Bianca Jansen </t>
  </si>
  <si>
    <t xml:space="preserve">Michiel de Winter </t>
  </si>
  <si>
    <t>/ Contrat :Bed &amp; Breakfast Flex Mobile(App) Rate genious rate// Reservation le Tue Oct 21 2025 00:00:00 GMT+0100 (UTC+01:00)</t>
  </si>
  <si>
    <t xml:space="preserve">Femke Koch </t>
  </si>
  <si>
    <t>Modification le 29/10/2025/ Contrat :Bed &amp; Breakfast Flex Mobile(App) Rate genious rate// Reservation le Tue Oct 21 2025 00:00:00 GMT+0100 (UTC+01:00)</t>
  </si>
  <si>
    <t xml:space="preserve">Medhi Perrier </t>
  </si>
  <si>
    <t>/ Contrat :Bed &amp; Breakfast Flex Mobile(App) Rate genious rate// Reservation le Tue Nov 18 2025 00:00:00 GMT+0100 (UTC+01:00)</t>
  </si>
  <si>
    <t xml:space="preserve">Imbolo Mbue </t>
  </si>
  <si>
    <t>/ Contrat :Bed &amp; Breakfast Flex Mobile(App) Rate genious rate// Reservation le Wed Nov 05 2025 00:00:00 GMT+0100 (UTC+01:00)</t>
  </si>
  <si>
    <t xml:space="preserve">Aurelie Le Tiec </t>
  </si>
  <si>
    <t>/ Contrat :Half-Board Flex International genious rate// Reservation le Fri Sep 26 2025 00:00:00 GMT+0100 (UTC+01:00)</t>
  </si>
  <si>
    <t xml:space="preserve">Sietske Wolters </t>
  </si>
  <si>
    <t xml:space="preserve">Soukaina benlemkaddem </t>
  </si>
  <si>
    <t xml:space="preserve">Daniel Limeres </t>
  </si>
  <si>
    <t>/ Contrat :Bed &amp; Breakfast Flex International genious rate// Reservation le Tue Oct 21 2025 00:00:00 GMT+0100 (UTC+01:00)</t>
  </si>
  <si>
    <t xml:space="preserve">Martijn Van der Hoeven </t>
  </si>
  <si>
    <t xml:space="preserve">Joao Rebelo </t>
  </si>
  <si>
    <t>/ Contrat :Half-Board Flex Mobile(App) Rate genious rate// Reservation le Mon Dec 01 2025 00:00:00 GMT+0100 (UTC+01:00)</t>
  </si>
  <si>
    <t xml:space="preserve">Yoara Bejarano cela </t>
  </si>
  <si>
    <t>/ Contrat :Bed &amp; Breakfast Flex Mobile(App) Rate genious rate// Reservation le Mon Jan 12 2026 00:00:00 GMT+0100 (UTC+01:00)</t>
  </si>
  <si>
    <t xml:space="preserve">Colavizza Luca </t>
  </si>
  <si>
    <t>/ Contrat :Bed &amp; Breakfast Flex Mobile(App) Rate genious rate// Reservation le Sat Nov 15 2025 00:00:00 GMT+0100 (UTC+01:00)</t>
  </si>
  <si>
    <t xml:space="preserve">Julie Pierru </t>
  </si>
  <si>
    <t>/ Contrat :Bed &amp; Breakfast Flex International genious rate// Reservation le Sun Jul 20 2025 00:00:00 GMT+0100 (UTC+01:00)</t>
  </si>
  <si>
    <t xml:space="preserve">Priyanka Mehta </t>
  </si>
  <si>
    <t>/ Contrat :Bed &amp; Breakfast Flex Mobile(App) Rate genious rate// Reservation le Sun Nov 16 2025 00:00:00 GMT+0100 (UTC+01:00)</t>
  </si>
  <si>
    <t>A-Expedia</t>
  </si>
  <si>
    <t xml:space="preserve">Ariel Powers </t>
  </si>
  <si>
    <t xml:space="preserve">Vadsana Huang </t>
  </si>
  <si>
    <t xml:space="preserve">Jasmine Landrove Castro </t>
  </si>
  <si>
    <t>/ Contrat :Bed &amp; Breakfast Flex Mobile(App) Rate genious rate// Reservation le Tue Nov 25 2025 00:00:00 GMT+0100 (UTC+01:00)</t>
  </si>
  <si>
    <t xml:space="preserve">Leah Woodley </t>
  </si>
  <si>
    <t>/ Contrat :Half-Board Flex Mobile(App) Rate genious rate// Reservation le Thu Oct 09 2025 00:00:00 GMT+0100 (UTC+01:00)</t>
  </si>
  <si>
    <t xml:space="preserve">Nick Carter </t>
  </si>
  <si>
    <t xml:space="preserve">Wei Gan </t>
  </si>
  <si>
    <t xml:space="preserve">clement clarysse </t>
  </si>
  <si>
    <t>/ Contrat :Bed &amp; Breakfast Flex Mobile(App) Rate genious rate// Reservation le Mon Nov 10 2025 00:00:00 GMT+0100 (GMT+01:00)</t>
  </si>
  <si>
    <t xml:space="preserve">YOLANDA GIL ESQUER </t>
  </si>
  <si>
    <t xml:space="preserve">Jose Maria Alvarez Millan </t>
  </si>
  <si>
    <t>/ Contrat :Bed &amp; Breakfast Flex Mobile(App) Rate genious rate// Reservation le Sun Nov 30 2025 00:00:00 GMT+0100 (UTC+01:00)</t>
  </si>
  <si>
    <t xml:space="preserve">aimee simon </t>
  </si>
  <si>
    <t xml:space="preserve">MARIAN SASTRE </t>
  </si>
  <si>
    <t xml:space="preserve">Graham Johnstone </t>
  </si>
  <si>
    <t xml:space="preserve">Eduard Filippi </t>
  </si>
  <si>
    <t xml:space="preserve">Hope Igharo </t>
  </si>
  <si>
    <t>/ Contrat :Bed &amp; Breakfast Flex Mobile(App) Rate genious rate// Reservation le Sun Feb 01 2026 00:00:00 GMT+0100 (UTC+01:00)</t>
  </si>
  <si>
    <t xml:space="preserve">Thierry Brynaert </t>
  </si>
  <si>
    <t xml:space="preserve">Bob Thompson </t>
  </si>
  <si>
    <t>Modification le 14/07/2026/ Contrat :Standard Package</t>
  </si>
  <si>
    <t xml:space="preserve">Maria Cabahug </t>
  </si>
  <si>
    <t>/ Contrat :Bed &amp; Breakfast Flex Mobile(App) Rate genious rate// Reservation le Fri Nov 14 2025 00:00:00 GMT+0100 (UTC+01:00)</t>
  </si>
  <si>
    <t xml:space="preserve">Speck Lauren </t>
  </si>
  <si>
    <t xml:space="preserve">Zsofia Ilona Varga </t>
  </si>
  <si>
    <t>/ Contrat :Bed &amp; Breakfast Flex Mobile(App) Rate genious rate// Reservation le Wed Jan 14 2026 00:00:00 GMT+0100 (UTC+01:00)</t>
  </si>
  <si>
    <t xml:space="preserve">Antje Fontenelle </t>
  </si>
  <si>
    <t>/ Contrat :Bed &amp; Breakfast Flex International genious rate// Reservation le Mon Jun 09 2025 00:00:00 GMT+0100 (GMT+01:00)</t>
  </si>
  <si>
    <t xml:space="preserve">Verena Münzenrieder </t>
  </si>
  <si>
    <t xml:space="preserve">Jackson Trehearne </t>
  </si>
  <si>
    <t xml:space="preserve">Jorie Gillis </t>
  </si>
  <si>
    <t>/ Contrat :Bed &amp; Breakfast Flex International genious rate// Reservation le Thu Jan 22 2026 00:00:00 GMT+0100 (UTC+01:00)</t>
  </si>
  <si>
    <t xml:space="preserve">Cecilia Berteaud </t>
  </si>
  <si>
    <t xml:space="preserve">rascalon jaison </t>
  </si>
  <si>
    <t xml:space="preserve">Rhea Shahane </t>
  </si>
  <si>
    <t>/ Contrat :Bed &amp; Breakfast Flex Mobile(App) Rate genious rate// Reservation le Mon Jan 26 2026 00:00:00 GMT+0100 (UTC+01:00)</t>
  </si>
  <si>
    <t xml:space="preserve">Grazina Thompson </t>
  </si>
  <si>
    <t xml:space="preserve">Alvia Turney </t>
  </si>
  <si>
    <t xml:space="preserve">Elisa Georgiou </t>
  </si>
  <si>
    <t xml:space="preserve">Sandra Krone </t>
  </si>
  <si>
    <t xml:space="preserve">Nicole Huber </t>
  </si>
  <si>
    <t>/ Contrat :BB Non Refundable // Reservation le Fri Dec 26 2025 00:00:00 GMT+0100 (UTC+01:00)</t>
  </si>
  <si>
    <t xml:space="preserve">Julia Aloui </t>
  </si>
  <si>
    <t xml:space="preserve">Amaury FERARD </t>
  </si>
  <si>
    <t xml:space="preserve">Bianca Koreman-Askes </t>
  </si>
  <si>
    <t xml:space="preserve">Emilia Kruger </t>
  </si>
  <si>
    <t>/ Contrat :Bed &amp; Breakfast Flex Mobile(App) Rate genious rate// Reservation le Thu Feb 19 2026 00:00:00 GMT+0000 (UTC+00:00)</t>
  </si>
  <si>
    <t xml:space="preserve">Nicola Commander </t>
  </si>
  <si>
    <t xml:space="preserve">Jonathan Betrix </t>
  </si>
  <si>
    <t xml:space="preserve">Nazeera Rajah </t>
  </si>
  <si>
    <t>/ Contrat :Bed &amp; Breakfast Flex International genious rate// Reservation le Fri Jan 30 2026 00:00:00 GMT+0100 (UTC+01:00)</t>
  </si>
  <si>
    <t xml:space="preserve">Rainer Theuerkauf </t>
  </si>
  <si>
    <t xml:space="preserve">JOSEPH LAFLAMME </t>
  </si>
  <si>
    <t xml:space="preserve">Maria Kamenova </t>
  </si>
  <si>
    <t>/ Contrat :Bed &amp; Breakfast Flex Mobile(App) Rate genious rate// Reservation le Mon Dec 01 2025 00:00:00 GMT+0100 (UTC+01:00)</t>
  </si>
  <si>
    <t xml:space="preserve">Emma Warren </t>
  </si>
  <si>
    <t>/ Contrat :BB Non Refundable // Reservation le Sun Dec 28 2025 00:00:00 GMT+0100 (UTC+01:00)</t>
  </si>
  <si>
    <t xml:space="preserve">Andre Abegglen </t>
  </si>
  <si>
    <t>/ Contrat :Bed &amp; Breakfast Flex International genious rate// Reservation le Sun Oct 26 2025 00:00:00 GMT+0100 (UTC+01:00)</t>
  </si>
  <si>
    <t xml:space="preserve">Lisa Schwarz </t>
  </si>
  <si>
    <t xml:space="preserve">Eva Hartwich </t>
  </si>
  <si>
    <t xml:space="preserve">Georgie Rash </t>
  </si>
  <si>
    <t>/ Contrat :Half-Board Flex Mobile(App) Rate genious rate// Reservation le Thu Jan 15 2026 00:00:00 GMT+0100 (UTC+01:00)</t>
  </si>
  <si>
    <t xml:space="preserve">Rosita Ithnain </t>
  </si>
  <si>
    <t xml:space="preserve">Alle Grillo </t>
  </si>
  <si>
    <t xml:space="preserve">Rebecca Schmidt </t>
  </si>
  <si>
    <t xml:space="preserve">Marie Schell </t>
  </si>
  <si>
    <t xml:space="preserve">JOCELYNE PAULIS </t>
  </si>
  <si>
    <t xml:space="preserve">NADINE ANTOINE </t>
  </si>
  <si>
    <t xml:space="preserve">Modification le 10/01/2026/ Contrat :BB Non Refundable </t>
  </si>
  <si>
    <t xml:space="preserve">Kevin Scimeca </t>
  </si>
  <si>
    <t xml:space="preserve">Julide Cetinkaya </t>
  </si>
  <si>
    <t>Modification le 22/02/2026/ Contrat :BB NRF #new International genious rate</t>
  </si>
  <si>
    <t xml:space="preserve">Ale Grillo </t>
  </si>
  <si>
    <t xml:space="preserve">Paula Fletcher </t>
  </si>
  <si>
    <t xml:space="preserve">Sandrine Defranoux </t>
  </si>
  <si>
    <t xml:space="preserve">Benjamin Worner </t>
  </si>
  <si>
    <t xml:space="preserve">Lydia Aquarone </t>
  </si>
  <si>
    <t>Modification le 14/02/2026/ Contrat :Bed &amp; Breakfast Flex EB Rate PLan (plus de 15 jours à l\'avance) genious rate</t>
  </si>
  <si>
    <t xml:space="preserve">Laurent Baron </t>
  </si>
  <si>
    <t>/ Contrat :Bed &amp; Breakfast Flex Mobile(TDot) Rate genious rate// Reservation le Sat Feb 07 2026 00:00:00 GMT+0100 (UTC+01:00)</t>
  </si>
  <si>
    <t xml:space="preserve">Josephine Kuhnemund </t>
  </si>
  <si>
    <t xml:space="preserve">H G A ten Brummelhuis </t>
  </si>
  <si>
    <t>/ Contrat :Bed &amp; Breakfast Flex Mobile(App) Rate genious rate// Reservation le Tue Dec 30 2025 00:00:00 GMT+0100 (UTC+01:00)</t>
  </si>
  <si>
    <t xml:space="preserve">Andrew Colpman </t>
  </si>
  <si>
    <t xml:space="preserve">Flavia Curci </t>
  </si>
  <si>
    <t xml:space="preserve">Mareile Reisch </t>
  </si>
  <si>
    <t xml:space="preserve">Joanna Damen-Wendholt </t>
  </si>
  <si>
    <t>Modification le 06/02/2026/ Contrat :Bed &amp; Breakfast Flex Mobile(App) Rate genious rate</t>
  </si>
  <si>
    <t xml:space="preserve">Kristin Muller </t>
  </si>
  <si>
    <t xml:space="preserve">Fanny Sitarz </t>
  </si>
  <si>
    <t>136-3727194</t>
  </si>
  <si>
    <t xml:space="preserve">TANJA ROSWITHA STEINBACH </t>
  </si>
  <si>
    <t xml:space="preserve">  *Agency Payment* Discounts for room 1:  EB 15% 2026  / Contrat :HALF BOARD GR-BARCOM</t>
  </si>
  <si>
    <t xml:space="preserve">Mate Dr Flaskay </t>
  </si>
  <si>
    <t xml:space="preserve">Thaddeus Zayatz </t>
  </si>
  <si>
    <t xml:space="preserve">Neofidos Neophytou </t>
  </si>
  <si>
    <t xml:space="preserve">Julia Walser </t>
  </si>
  <si>
    <t>/ Contrat :Bed &amp; Breakfast Flex Mobile(App) Rate genious rate// Reservation le Wed Feb 18 2026 00:00:00 GMT+0000 (UTC+00:00)</t>
  </si>
  <si>
    <t>/ Contrat :Bed &amp; Breakfast Flex Mobile(App) Rate genious rate// Reservation le 18/02/2026</t>
  </si>
  <si>
    <t xml:space="preserve">Foteini Progia </t>
  </si>
  <si>
    <t xml:space="preserve">Lidia Petrics </t>
  </si>
  <si>
    <t xml:space="preserve">Sebastian Scholz </t>
  </si>
  <si>
    <t xml:space="preserve">Neel Singh </t>
  </si>
  <si>
    <t xml:space="preserve">Carrick Andreas </t>
  </si>
  <si>
    <t xml:space="preserve">Harriet Pinon </t>
  </si>
  <si>
    <t xml:space="preserve">claire cambus </t>
  </si>
  <si>
    <t>/ Contrat :Bed &amp; Breakfast Flex Mobile(App) Rate genious rate// Reservation le Sat Jan 24 2026 00:00:00 GMT+0100 (UTC+01:00)</t>
  </si>
  <si>
    <t xml:space="preserve">pure life maroc </t>
  </si>
  <si>
    <t>/ Contrat :BB Non Refundable // Reservation le Thu Feb 19 2026 00:00:00 GMT+0000 (UTC+00:00)</t>
  </si>
  <si>
    <t xml:space="preserve">Henriette van Wijk </t>
  </si>
  <si>
    <t xml:space="preserve">Elisa Nelles </t>
  </si>
  <si>
    <t xml:space="preserve">Ali Özaykir </t>
  </si>
  <si>
    <t xml:space="preserve">Scott Mason </t>
  </si>
  <si>
    <t xml:space="preserve">Magdalena Reden </t>
  </si>
  <si>
    <t>Modification le 06/02/2026/ Contrat :Bed &amp; Breakfast Flex Mobile(App) Rate genious rate// Reservation le Sun Jan 04 2026 00:00:00 GMT+0100 (GMT+01:00)</t>
  </si>
  <si>
    <t xml:space="preserve">Andras Papp </t>
  </si>
  <si>
    <t xml:space="preserve">Solveig Hermann </t>
  </si>
  <si>
    <t xml:space="preserve">Conrad ONeill </t>
  </si>
  <si>
    <t xml:space="preserve">Catherine Nertz </t>
  </si>
  <si>
    <t>Modification le 09/11/2025/ Contrat :Bed &amp; Breakfast Flex Mobile(App) Rate genious rate</t>
  </si>
  <si>
    <t xml:space="preserve">Ian Hale </t>
  </si>
  <si>
    <t xml:space="preserve">Andreas Sigrist </t>
  </si>
  <si>
    <t xml:space="preserve">Stephen Goodhead </t>
  </si>
  <si>
    <t xml:space="preserve">Amber Carchedi </t>
  </si>
  <si>
    <t xml:space="preserve">Sheena Cameron </t>
  </si>
  <si>
    <t>/ Contrat :BB NRF #new Early Booker Deal genious rate// Reservation le Mon Nov 03 2025 00:00:00 GMT+0100 (UTC+01:00)</t>
  </si>
  <si>
    <t>A-Hotels.com</t>
  </si>
  <si>
    <t xml:space="preserve">Holly Barnes-Wallis </t>
  </si>
  <si>
    <t>/ Contrat :Standard// Reservation le Tue Jan 06 2026 00:00:00 GMT+0100 (UTC+01:00)</t>
  </si>
  <si>
    <t>136-3736688</t>
  </si>
  <si>
    <t xml:space="preserve">FAUSTINA PELZERS </t>
  </si>
  <si>
    <t xml:space="preserve">  *Agency Payment* Discounts for room 1:  EB 15% 2026  / Contrat :BED AND BREAKFAST NRF BAR</t>
  </si>
  <si>
    <t xml:space="preserve">Bernard MEYER </t>
  </si>
  <si>
    <t>/ Contrat :Bed &amp; Breakfast Flex International genious rate// Reservation le Fri Nov 28 2025 00:00:00 GMT+0100 (UTC+01:00)</t>
  </si>
  <si>
    <t xml:space="preserve">Alysia Vanic </t>
  </si>
  <si>
    <t xml:space="preserve">jenna d\'elvas </t>
  </si>
  <si>
    <t>/ Contrat :Bed &amp; Breakfast Flex Mobile(App) Rate genious rate// Reservation le Thu Nov 27 2025 00:00:00 GMT+0100 (UTC+01:00)</t>
  </si>
  <si>
    <t xml:space="preserve">Jessica Lamorere Leroy </t>
  </si>
  <si>
    <t xml:space="preserve">Celine Bonvin </t>
  </si>
  <si>
    <t xml:space="preserve">Victor Sagi Barrera </t>
  </si>
  <si>
    <t xml:space="preserve">Marcela Ramirez </t>
  </si>
  <si>
    <t>Modification le 09/02/2026/ Contrat :Bed &amp; Breakfast Flex Mobile(App) Rate genious rate// Reservation le Thu Dec 25 2025 00:00:00 GMT+0100 (UTC+01:00)</t>
  </si>
  <si>
    <t xml:space="preserve">alessia arosio </t>
  </si>
  <si>
    <t xml:space="preserve">Michelle Reyneke </t>
  </si>
  <si>
    <t xml:space="preserve">Annemarie Oosthuizen </t>
  </si>
  <si>
    <t>Modification le 07/03/2026/ Contrat :Bed &amp; Breakfast Flex Mobile(App) Rate genious rate</t>
  </si>
  <si>
    <t xml:space="preserve">Stephane Lotz </t>
  </si>
  <si>
    <t xml:space="preserve">Sebastian Reyneke </t>
  </si>
  <si>
    <t xml:space="preserve">Franz und Melanie Wagner </t>
  </si>
  <si>
    <t xml:space="preserve">Claire Rohrbach </t>
  </si>
  <si>
    <t>Modification le 07/03/2026/ Contrat :Bed &amp; Breakfast Flex Mobile(App) Rate genious rate// Reservation le Fri Sep 05 2025 00:00:00 GMT+0100 (UTC+01:00)</t>
  </si>
  <si>
    <t xml:space="preserve">Christoph Weiler </t>
  </si>
  <si>
    <t>/ Contrat :BB NRF #new Early Booker Deal genious rate// Reservation le 19/10/2025</t>
  </si>
  <si>
    <t xml:space="preserve">JOSE ANGEL GARCIA GESTIDO </t>
  </si>
  <si>
    <t xml:space="preserve">Valeria Longobardo </t>
  </si>
  <si>
    <t>/ Contrat :Bed &amp; Breakfast Flex Mobile(App) Rate genious rate// Reservation le 16/11/2025</t>
  </si>
  <si>
    <t xml:space="preserve">Jose Angel Garcia Gestido </t>
  </si>
  <si>
    <t>/ Contrat :Half-Board Flex Mobile(MDot) Rate genious rate// Reservation le Thu Jan 08 2026 00:00:00 GMT+0100 (UTC+01:00)</t>
  </si>
  <si>
    <t>/ Contrat :Half-Board Flex Mobile(MDot) Rate genious rate// Reservation le 08/01/2026</t>
  </si>
  <si>
    <t>TypeError: Cannot read properties of undefined (reading '0')</t>
  </si>
  <si>
    <t>/ Contrat :Bed &amp; Breakfast Flex Mobile(App) Rate genious rate// Reservation le Wed Jan 21 2026 00:00:00 GMT+0100 (UTC+01:00)</t>
  </si>
  <si>
    <t xml:space="preserve">Emma DORIVAL </t>
  </si>
  <si>
    <t xml:space="preserve">Nikos Zervakos </t>
  </si>
  <si>
    <t xml:space="preserve">Greg Steele </t>
  </si>
  <si>
    <t xml:space="preserve">Thomas Schorn </t>
  </si>
  <si>
    <t xml:space="preserve">Franck Cecchetti </t>
  </si>
  <si>
    <t>/ Contrat :Bed &amp; Breakfast Flex Mobile(App) Rate genious rate// Reservation le Fri Dec 26 2025 00:00:00 GMT+0100 (UTC+01:00)</t>
  </si>
  <si>
    <t xml:space="preserve">Hugo Zawadzki </t>
  </si>
  <si>
    <t>/ Contrat :Bed &amp; Breakfast Flex EB Rate PLan (plus de 15 jours à l\'avance) genious rate// Reservation le Sun Feb 08 2026 00:00:00 GMT+0100 (UTC+01:00)</t>
  </si>
  <si>
    <t xml:space="preserve">Utz Laetitia </t>
  </si>
  <si>
    <t>/ Contrat :Bed &amp; Breakfast Flex EB Rate PLan (plus de 15 jours Ã  l\'avance) genious rate// Reservation le Mon Jan 19 2026 00:00:00 GMT+0100 (UTC+01:00)</t>
  </si>
  <si>
    <t xml:space="preserve">Thilo Hepp </t>
  </si>
  <si>
    <t>/ Contrat :Bed &amp; Breakfast Flex EB Rate PLan (plus de 15 jours Ã  l\'avance) genious rate// Reservation le Sun Feb 15 2026 00:00:00 GMT+0100 (UTC+01:00)</t>
  </si>
  <si>
    <t xml:space="preserve">Nici Muller </t>
  </si>
  <si>
    <t xml:space="preserve">Mirjam Guther-Riedmuller </t>
  </si>
  <si>
    <t xml:space="preserve">Markus Koch </t>
  </si>
  <si>
    <t>/ Contrat :Bed &amp; Breakfast Flex Mobile(App) Rate genious rate// Reservation le 15/02/2026</t>
  </si>
  <si>
    <t>Nb Petit dej</t>
  </si>
  <si>
    <t>/ Contrat :Bed &amp; Breakfast Flex Mobile(App) Rate genious rate// Reservation le Sat Feb 14 2026 00:00:00 GMT+0100 (UTC+01:00)</t>
  </si>
  <si>
    <t>/ Contrat :Bed &amp; Breakfast Flex Mobile(App) Rate genious rate// Reservation le Mon Feb 16 2026 00:00:00 GMT+0000 (UTC+00:00)</t>
  </si>
  <si>
    <t>Modification le 26/02/2026/ Contrat :Bed &amp; Breakfast Flex Mobile(App) Rate genious rate</t>
  </si>
  <si>
    <t xml:space="preserve">Sabine Zielonka </t>
  </si>
  <si>
    <t xml:space="preserve">Mariana Kamian </t>
  </si>
  <si>
    <t>/ Contrat :Bed &amp; Breakfast Flex International genious rate// Reservation le Wed Feb 25 2026 00:00:00 GMT+0000 (UTC+00:00)</t>
  </si>
  <si>
    <t xml:space="preserve">Tammy Kershaw </t>
  </si>
  <si>
    <t xml:space="preserve">Constantin Laevski </t>
  </si>
  <si>
    <t>/ Contrat :Bed &amp; Breakfast Flex Mobile(App) Rate genious rate// Reservation le Wed Feb 25 2026 00:00:00 GMT+0000 (UTC+00:00)</t>
  </si>
  <si>
    <t xml:space="preserve">JOSEP SALVAT </t>
  </si>
  <si>
    <t>/ Contrat :Bed &amp; Breakfast Flex geo-discount(10%) genious rate</t>
  </si>
  <si>
    <t xml:space="preserve">Susan Clarke-Tizzard </t>
  </si>
  <si>
    <t xml:space="preserve">Victoria Huhn </t>
  </si>
  <si>
    <t>/ Contrat :Half-Board Flex International genious rate// Reservation le Wed Feb 25 2026 00:00:00 GMT+0000 (UTC+00:00)</t>
  </si>
  <si>
    <t xml:space="preserve">Lars Faust </t>
  </si>
  <si>
    <t>/ Contrat :Bed &amp; Breakfast Flex EB Rate PLan (plus de 15 jours à l\'avance) genious rate// Reservation le Wed Feb 25 2026 00:00:00 GMT+0000 (UTC+00:00)</t>
  </si>
  <si>
    <t>/ Contrat :Half-Board Flex Mobile(App) Rate genious rate// Reservation le Thu Feb 26 2026 00:00:00 GMT+0000 (UTC+00:00)</t>
  </si>
  <si>
    <t xml:space="preserve">Julie Zietkowska </t>
  </si>
  <si>
    <t xml:space="preserve">Dixon Peter </t>
  </si>
  <si>
    <t xml:space="preserve">Lejla Dervoz Rajic </t>
  </si>
  <si>
    <t>/ Contrat :Bed &amp; Breakfast Flex International genious rate// Reservation le Fri Feb 27 2026 00:00:00 GMT+0000 (UTC+00:00)</t>
  </si>
  <si>
    <t xml:space="preserve">Markus Pajari </t>
  </si>
  <si>
    <t>/ Contrat :Bed &amp; Breakfast Flex Mobile(App) Rate genious rate// Reservation le Fri Feb 27 2026 00:00:00 GMT+0000 (UTC+00:00)</t>
  </si>
  <si>
    <t>/ Contrat :Bed &amp; Breakfast Flex Mobile(App) Rate genious rate// Reservation le Sat Feb 28 2026 00:00:00 GMT+0000 (UTC+00:00)</t>
  </si>
  <si>
    <t xml:space="preserve">Rolf Korner </t>
  </si>
  <si>
    <t xml:space="preserve">Kylie Colvin </t>
  </si>
  <si>
    <t xml:space="preserve">Carol Raaymakers </t>
  </si>
  <si>
    <t xml:space="preserve">Gabriel Solignac </t>
  </si>
  <si>
    <t xml:space="preserve">camille bacquet </t>
  </si>
  <si>
    <t xml:space="preserve">Brigitte Schaerfe </t>
  </si>
  <si>
    <t xml:space="preserve">Jo Shackleton </t>
  </si>
  <si>
    <t xml:space="preserve">Carola Hesse </t>
  </si>
  <si>
    <t xml:space="preserve">Carmen Stefania Balog </t>
  </si>
  <si>
    <t>/ Contrat :Bed &amp; Breakfast Flex Mobile(App) Rate genious rate// Reservation le Sun Mar 01 2026 00:00:00 GMT+0000 (UTC+00:00)</t>
  </si>
  <si>
    <t xml:space="preserve">David Manzanera Pastor </t>
  </si>
  <si>
    <t xml:space="preserve">Maria Grazia Gambini </t>
  </si>
  <si>
    <t xml:space="preserve">Luca Boglioni </t>
  </si>
  <si>
    <t>/ Contrat :Bed &amp; Breakfast Flex Early Year Deal genious rate// Reservation le Mon Mar 02 2026 00:00:00 GMT+0000 (UTC+00:00)</t>
  </si>
  <si>
    <t xml:space="preserve">Jean-Patrick Rampon </t>
  </si>
  <si>
    <t xml:space="preserve">Hongyu Chen </t>
  </si>
  <si>
    <t xml:space="preserve">Celine Hochstrasser </t>
  </si>
  <si>
    <t xml:space="preserve">Katia Roccarino </t>
  </si>
  <si>
    <t xml:space="preserve">Michaela Seitz </t>
  </si>
  <si>
    <t>/ Contrat :Bed &amp; Breakfast Flex Mobile(App) Rate genious rate// Reservation le Tue Mar 03 2026 00:00:00 GMT+0000 (UTC+00:00)</t>
  </si>
  <si>
    <t xml:space="preserve">ANDREA MARTORELLI </t>
  </si>
  <si>
    <t xml:space="preserve">Michael Weitz </t>
  </si>
  <si>
    <t xml:space="preserve">Moo Hyun Kim </t>
  </si>
  <si>
    <t>/ Contrat :Bed &amp; Breakfast Flex Early Year Deal genious rate// Reservation le 04/03/2026</t>
  </si>
  <si>
    <t xml:space="preserve">Pascale Geelen </t>
  </si>
  <si>
    <t>/ Contrat :Bed &amp; Breakfast Flex Mobile(App) Rate genious rate// Reservation le Wed Mar 04 2026 00:00:00 GMT+0000 (UTC+00:00)</t>
  </si>
  <si>
    <t xml:space="preserve">Valeria Meraviglia </t>
  </si>
  <si>
    <t xml:space="preserve">Sanne Drogtrop </t>
  </si>
  <si>
    <t xml:space="preserve">Oscar Lauz </t>
  </si>
  <si>
    <t>Modification le 13/03/2026/ Contrat :Bed &amp; Breakfast Flex International genious rate</t>
  </si>
  <si>
    <t xml:space="preserve">Patrick Wohlhauser </t>
  </si>
  <si>
    <t xml:space="preserve">Catherina Schütt </t>
  </si>
  <si>
    <t xml:space="preserve">block block </t>
  </si>
  <si>
    <t>/ Contrat :BB Non Refundable // Reservation le Thu Mar 05 2026 00:00:00 GMT+0000 (UTC+00:00)</t>
  </si>
  <si>
    <t xml:space="preserve">Laura Sanchez </t>
  </si>
  <si>
    <t>Modification le 01/04/2026/ Contrat :Bed &amp; Breakfast Flex Getaway Deal genious rate// Reservation le Fri Mar 06 2026 00:00:00 GMT+0000 (UTC+00:00)</t>
  </si>
  <si>
    <t>/ Contrat :Bed &amp; Breakfast Flex Mobile(App) Rate genious rate// Reservation le Fri Mar 06 2026 00:00:00 GMT+0000 (UTC+00:00)</t>
  </si>
  <si>
    <t xml:space="preserve">rigaud marie </t>
  </si>
  <si>
    <t>/ Contrat :Bed &amp; Breakfast Flex Mobile(App) Rate genious rate// Reservation le 06/03/2026</t>
  </si>
  <si>
    <t xml:space="preserve">Annamarie Oosthuizen </t>
  </si>
  <si>
    <t xml:space="preserve">Maria Mason </t>
  </si>
  <si>
    <t>/ Contrat :Bed &amp; Breakfast Flex Mobile(App) Rate genious rate// Reservation le Sat Mar 07 2026 00:00:00 GMT+0000 (UTC+00:00)</t>
  </si>
  <si>
    <t xml:space="preserve">Ursula Barnett </t>
  </si>
  <si>
    <t>/ Contrat :Bed &amp; Breakfast Flex Mobile(App) Rate genious rate// Reservation le Sun Mar 08 2026 00:00:00 GMT+0000 (UTC+00:00)</t>
  </si>
  <si>
    <t xml:space="preserve">Thibaut Vanderbeke </t>
  </si>
  <si>
    <t xml:space="preserve">Florian Mager </t>
  </si>
  <si>
    <t xml:space="preserve">Marc Janson </t>
  </si>
  <si>
    <t xml:space="preserve">Geri-Leigh Shearman </t>
  </si>
  <si>
    <t xml:space="preserve">Lehner Robin Michael </t>
  </si>
  <si>
    <t xml:space="preserve">Giuseppe Sbano </t>
  </si>
  <si>
    <t xml:space="preserve">Moxuan WAN </t>
  </si>
  <si>
    <t xml:space="preserve">Angela Stewart </t>
  </si>
  <si>
    <t>/ Contrat :Bed &amp; Breakfast Flex International genious rate// Reservation le Mon Mar 09 2026 00:00:00 GMT+0000 (UTC+00:00)</t>
  </si>
  <si>
    <t xml:space="preserve">Monique Van \' t Hullenaar </t>
  </si>
  <si>
    <t xml:space="preserve">Katarzyna Rylewicz </t>
  </si>
  <si>
    <t xml:space="preserve">Nada Hammami </t>
  </si>
  <si>
    <t xml:space="preserve">Judith Tirado </t>
  </si>
  <si>
    <t xml:space="preserve">Thomas Christopher </t>
  </si>
  <si>
    <t xml:space="preserve">Fanny Cornut </t>
  </si>
  <si>
    <t>136-3755762</t>
  </si>
  <si>
    <t xml:space="preserve">VICTOR DADOLLE </t>
  </si>
  <si>
    <t xml:space="preserve">  *Agency Payment* Child ages for room 1: (15, 11) Discounts for room 1:  EB 15% 2026  / Contrat :BED AND BREAKFAST NRF BAR</t>
  </si>
  <si>
    <t xml:space="preserve">Laura Mason </t>
  </si>
  <si>
    <t xml:space="preserve">Amalia Van der heijden </t>
  </si>
  <si>
    <t xml:space="preserve">miriam peters </t>
  </si>
  <si>
    <t>/ Contrat :BB NRF #new Early Year Deal genious rate// Reservation le Fri Mar 13 2026 00:00:00 GMT+0000 (UTC+00:00)</t>
  </si>
  <si>
    <t xml:space="preserve">Thomas Guareschi </t>
  </si>
  <si>
    <t>/ Contrat :Half board non-refundable</t>
  </si>
  <si>
    <t xml:space="preserve">Ying Feng </t>
  </si>
  <si>
    <t xml:space="preserve">Laetitia Utz </t>
  </si>
  <si>
    <t xml:space="preserve">Elif Beyza Denizaslani </t>
  </si>
  <si>
    <t>/ Contrat :BB NRF #new Early Booker Deal genious rate// Reservation le Sat Mar 14 2026 00:00:00 GMT+0000 (UTC+00:00)</t>
  </si>
  <si>
    <t xml:space="preserve">Ludmila Voortmeijer </t>
  </si>
  <si>
    <t>Modification le 14/06/2026/ Contrat :BB NRF #new International genious rate</t>
  </si>
  <si>
    <t xml:space="preserve">Armin Fanzott </t>
  </si>
  <si>
    <t xml:space="preserve">Monica Rentsch-Calvo </t>
  </si>
  <si>
    <t xml:space="preserve">Wendy Murray </t>
  </si>
  <si>
    <t xml:space="preserve">Amelie Brunner </t>
  </si>
  <si>
    <t>/ Contrat :Bed &amp; Breakfast Flex Mobile(App) Rate genious rate// Reservation le Sun Mar 15 2026 00:00:00 GMT+0000 (UTC+00:00)</t>
  </si>
  <si>
    <t xml:space="preserve">James Matthews </t>
  </si>
  <si>
    <t>/ Contrat :Bed &amp; Breakfast Flex Mobile(App) Rate genious rate// Reservation le Mon Mar 16 2026 00:00:00 GMT+0000 (UTC+00:00)</t>
  </si>
  <si>
    <t xml:space="preserve">Pascale Rousset </t>
  </si>
  <si>
    <t xml:space="preserve">Walter Jarzabek </t>
  </si>
  <si>
    <t xml:space="preserve">Jan-Luca Hatesuer </t>
  </si>
  <si>
    <t xml:space="preserve">Fabienne Luongo </t>
  </si>
  <si>
    <t xml:space="preserve">Kamila Land </t>
  </si>
  <si>
    <t xml:space="preserve">Kelly Custer </t>
  </si>
  <si>
    <t xml:space="preserve">Riccardo Strino </t>
  </si>
  <si>
    <t xml:space="preserve">Michiel Kroes </t>
  </si>
  <si>
    <t xml:space="preserve">Modification le 24/06/2026/ Contrat :BB Non Refundable </t>
  </si>
  <si>
    <t xml:space="preserve">DIANA CARVALHIDO </t>
  </si>
  <si>
    <t xml:space="preserve">Karmele Elorza Lizaso </t>
  </si>
  <si>
    <t>/ Contrat :Bed &amp; Breakfast Flex International genious rate// Reservation le Fri Mar 20 2026 00:00:00 GMT+0000 (UTC+00:00)</t>
  </si>
  <si>
    <t xml:space="preserve">Diana Vejina </t>
  </si>
  <si>
    <t xml:space="preserve">Vera Hartl </t>
  </si>
  <si>
    <t>/ Contrat :Bed &amp; Breakfast Flex Getaway Deal genious rate// Reservation le Sat Mar 21 2026 00:00:00 GMT+0000 (UTC+00:00)</t>
  </si>
  <si>
    <t xml:space="preserve">Vincenzo Mirto </t>
  </si>
  <si>
    <t xml:space="preserve">Domenique Le Cuirot </t>
  </si>
  <si>
    <t xml:space="preserve">Isabelle Koch Breidahl </t>
  </si>
  <si>
    <t xml:space="preserve">Sarah Zaki </t>
  </si>
  <si>
    <t xml:space="preserve">Hasham Khan </t>
  </si>
  <si>
    <t>/ Contrat :Bed &amp; Breakfast Flex Getaway Deal genious rate</t>
  </si>
  <si>
    <t xml:space="preserve">Jonathon Puzey </t>
  </si>
  <si>
    <t xml:space="preserve">Lisa Ryan </t>
  </si>
  <si>
    <t xml:space="preserve">Margie Tannock </t>
  </si>
  <si>
    <t>/ Contrat :Bed &amp; Breakfast Flex Getaway Deal genious rate// Reservation le Sun Mar 22 2026 00:00:00 GMT+0000 (UTC+00:00)</t>
  </si>
  <si>
    <t xml:space="preserve">Sabrina Aulich </t>
  </si>
  <si>
    <t>/ Contrat :BB NRF #new Early Year Deal</t>
  </si>
  <si>
    <t xml:space="preserve">Nandina Hislop </t>
  </si>
  <si>
    <t xml:space="preserve">Lisa Zaleski-Larsen </t>
  </si>
  <si>
    <t xml:space="preserve">Barbara Vannieuwenborgh </t>
  </si>
  <si>
    <t xml:space="preserve">Group Anna </t>
  </si>
  <si>
    <t xml:space="preserve">Elodie Rodrigo </t>
  </si>
  <si>
    <t xml:space="preserve">Ciro Alfieri </t>
  </si>
  <si>
    <t>/ Contrat :Bed &amp; Breakfast Flex Mobile(App) Rate genious rate// Reservation le Mon Mar 23 2026 00:00:00 GMT+0100 (UTC+01:00)</t>
  </si>
  <si>
    <t xml:space="preserve">Astrid ALTSCHUL </t>
  </si>
  <si>
    <t xml:space="preserve">Inés Villuendas Diez de Rivera </t>
  </si>
  <si>
    <t>/ Contrat :Bed &amp; Breakfast Flex Getaway Deal genious rate// Reservation le Tue Mar 24 2026 00:00:00 GMT+0100 (UTC+01:00)</t>
  </si>
  <si>
    <t xml:space="preserve">AbdulRahim almomen </t>
  </si>
  <si>
    <t>/ Contrat :Bed &amp; Breakfast Flex Mobile(App) Rate genious rate// Reservation le Tue Mar 24 2026 00:00:00 GMT+0100 (UTC+01:00)</t>
  </si>
  <si>
    <t xml:space="preserve">Jeroen Dutry </t>
  </si>
  <si>
    <t xml:space="preserve">Malgorzata Farion </t>
  </si>
  <si>
    <t xml:space="preserve">Therese Vlassenbroeck </t>
  </si>
  <si>
    <t xml:space="preserve">Aileen von den Driesch </t>
  </si>
  <si>
    <t>/ Contrat :Bed &amp; Breakfast Flex Getaway Deal genious rate// Reservation le Thu Mar 26 2026 00:00:00 GMT+0100 (UTC+01:00)</t>
  </si>
  <si>
    <t xml:space="preserve">Sandra Prodanovic </t>
  </si>
  <si>
    <t xml:space="preserve">Christine Grasmueller </t>
  </si>
  <si>
    <t xml:space="preserve">Jade Stumpfl </t>
  </si>
  <si>
    <t xml:space="preserve">Sofie Houtmeyers </t>
  </si>
  <si>
    <t>Sofie Christianen</t>
  </si>
  <si>
    <t>Standard Rate Non remboursable BB genious rate</t>
  </si>
  <si>
    <t>/ Contrat :BB NRF #new Early Booker Deal genious rate// Reservation le 27/03/2026</t>
  </si>
  <si>
    <t>Contrat : Standard Rate Non remboursable BB genious rate</t>
  </si>
  <si>
    <t>Liesbet Wauters</t>
  </si>
  <si>
    <t>Standard Rate European Economic Area genious rate</t>
  </si>
  <si>
    <t>Contrat : Standard Rate European Economic Area genious rate</t>
  </si>
  <si>
    <t>Modification le 14/05/2026/ Contrat :Bed &amp; Breakfast Flex EB Rate PLan (plus de 15 jours à l\'avance)// Reservation le Sat Mar 28 2026 00:00:00 GMT+0100 (UTC+01:00)</t>
  </si>
  <si>
    <t>Wolfgang Scheelen</t>
  </si>
  <si>
    <t xml:space="preserve">Tibor Pavic </t>
  </si>
  <si>
    <t>Jonathan Nulley</t>
  </si>
  <si>
    <t>/ Contrat :Half-Board Flex Getaway Deal genious rate// Reservation le Sat Mar 28 2026 00:00:00 GMT+0100 (UTC+01:00)</t>
  </si>
  <si>
    <t>Standard Rate Mobile(App) Rate</t>
  </si>
  <si>
    <t>Contrat : Standard Rate Mobile(App) Rate</t>
  </si>
  <si>
    <t>Daljit McMillan</t>
  </si>
  <si>
    <t xml:space="preserve">jutta bauer </t>
  </si>
  <si>
    <t>Standard Rate Mobile(App) Rate genious rate</t>
  </si>
  <si>
    <t>Contrat : Standard Rate Mobile(App) Rate genious rate</t>
  </si>
  <si>
    <t>Mark Weir</t>
  </si>
  <si>
    <t>Standard Rate Plan tarifaire pour les réservations anticipées (plus de 15 jours à l'avance) genious rate</t>
  </si>
  <si>
    <t>Contrat : Standard Rate Plan tarifaire pour les réservations anticipées (plus de 15 jours à l'avance) genious rate</t>
  </si>
  <si>
    <t>Binal Kotecha</t>
  </si>
  <si>
    <t xml:space="preserve">anne dineen </t>
  </si>
  <si>
    <t>Loredana Della Sala</t>
  </si>
  <si>
    <t>Gerardus Snellen</t>
  </si>
  <si>
    <t xml:space="preserve">Elisabeth Mitterrutzner </t>
  </si>
  <si>
    <t>Philipp Prömm</t>
  </si>
  <si>
    <t>Book early and save-Members</t>
  </si>
  <si>
    <t>Contrat : Book early and save-Members</t>
  </si>
  <si>
    <t>Prömm, Philipp</t>
  </si>
  <si>
    <t>Erreur</t>
  </si>
  <si>
    <t xml:space="preserve">Anne Rach </t>
  </si>
  <si>
    <t>Philip Prömm</t>
  </si>
  <si>
    <t>Contrat : Erreur</t>
  </si>
  <si>
    <t>Prömm, Philip</t>
  </si>
  <si>
    <t>Nina Mirandola-Lübeck</t>
  </si>
  <si>
    <t xml:space="preserve">Claire Clifford </t>
  </si>
  <si>
    <t>/ Contrat :Bed &amp; Breakfast Flex Getaway Deal genious rate// Reservation le Sun Mar 29 2026 00:00:00 GMT+0100 (UTC+01:00)</t>
  </si>
  <si>
    <t>Modification le 26/06/2026/ Contrat :BB NRF #new Early Booker Deal</t>
  </si>
  <si>
    <t xml:space="preserve">Meret Probst </t>
  </si>
  <si>
    <t>Jan Bäumler</t>
  </si>
  <si>
    <t>Standard non-refundable</t>
  </si>
  <si>
    <t>Contrat : Standard non-refundable</t>
  </si>
  <si>
    <t>/ Contrat :Bed &amp; Breakfast Flex Mobile(App) Rate genious rate// Reservation le Mon Mar 30 2026 00:00:00 GMT+0100 (UTC+01:00)</t>
  </si>
  <si>
    <t>Robert Körnlein</t>
  </si>
  <si>
    <t>Jochen Hahn</t>
  </si>
  <si>
    <t>/ Contrat :BB NRF #new Getaway Deal genious rate</t>
  </si>
  <si>
    <t>Heidi Rushby</t>
  </si>
  <si>
    <t>Non remboursable BB genious rate</t>
  </si>
  <si>
    <t>Contrat : Non remboursable BB genious rate</t>
  </si>
  <si>
    <t xml:space="preserve">Louison Altenbourger </t>
  </si>
  <si>
    <t>Judith Kriebel</t>
  </si>
  <si>
    <t>Bed&amp;Breakfast</t>
  </si>
  <si>
    <t>Contrat : Bed&amp;Breakfast</t>
  </si>
  <si>
    <t>Arthur BERTRAND</t>
  </si>
  <si>
    <t>Demie-pension genious rate</t>
  </si>
  <si>
    <t>Contrat : Demie-pension genious rate</t>
  </si>
  <si>
    <t xml:space="preserve">Daniela Skorupinski </t>
  </si>
  <si>
    <t>Willem Paul Veulemans</t>
  </si>
  <si>
    <t>Standard Rate Non remboursable</t>
  </si>
  <si>
    <t>Contrat : Standard Rate Non remboursable</t>
  </si>
  <si>
    <t>/ Contrat :Bed &amp; Breakfast Flex Getaway Deal genious rate// Reservation le Mon Mar 30 2026 00:00:00 GMT+0100 (UTC+01:00)</t>
  </si>
  <si>
    <t>CHRISTOPHE BUCHLIN MAFFEIS</t>
  </si>
  <si>
    <t>Standard Rate Tarif à la semaine genious rate</t>
  </si>
  <si>
    <t>Annulé le Sun Apr 28 2024 10:16:04 GMT+0100 (UTC+01:00)</t>
  </si>
  <si>
    <t xml:space="preserve">Cindy Clark </t>
  </si>
  <si>
    <t>Harald &amp; Weiss Weiss</t>
  </si>
  <si>
    <t>Tarif Chambre Avec Petit Déjeuner</t>
  </si>
  <si>
    <t>Contrat : Tarif Chambre Avec Petit Déjeuner</t>
  </si>
  <si>
    <t>/ Contrat :Bed &amp; Breakfast NRF - Controlled Exposure</t>
  </si>
  <si>
    <t>So Hoi Ling</t>
  </si>
  <si>
    <t xml:space="preserve">Merle Kukk </t>
  </si>
  <si>
    <t>/ Contrat :HB NRF #new Getaway Deal genious rate</t>
  </si>
  <si>
    <t>Sydney Johnson</t>
  </si>
  <si>
    <t>Standard Rate ABD genious rate</t>
  </si>
  <si>
    <t>Contrat : Standard Rate ABD genious rate</t>
  </si>
  <si>
    <t>charlie anzano</t>
  </si>
  <si>
    <t xml:space="preserve">Ricardo Balbeira </t>
  </si>
  <si>
    <t>/ Contrat :Bed &amp; Breakfast Flex Getaway Deal genious rate// Reservation le Tue Mar 31 2026 00:00:00 GMT+0100 (UTC+01:00)</t>
  </si>
  <si>
    <t>David Luterbacher</t>
  </si>
  <si>
    <t>Anna Bizzozero</t>
  </si>
  <si>
    <t>genious rate</t>
  </si>
  <si>
    <t>Contrat : genious rate</t>
  </si>
  <si>
    <t>Michael Smith</t>
  </si>
  <si>
    <t>genious rate Standard Rate Plan tarifaire pour les réservations anticipées (plus de 15 jours à l'avance)</t>
  </si>
  <si>
    <t xml:space="preserve">Graziana Bianco </t>
  </si>
  <si>
    <t>Contrat : genious rate Standard Rate Plan tarifaire pour les réservations anticipées (plus de 15 jours à l'avance)</t>
  </si>
  <si>
    <t>Sandra Sainz</t>
  </si>
  <si>
    <t xml:space="preserve">MATOULA STAMATIA </t>
  </si>
  <si>
    <t>Sara Costa</t>
  </si>
  <si>
    <t>Stephenie Young</t>
  </si>
  <si>
    <t>Patricia Lancaster</t>
  </si>
  <si>
    <t>Karen Hodgson</t>
  </si>
  <si>
    <t>Standard Rate Tarif à la semaine</t>
  </si>
  <si>
    <t>Contrat : Standard Rate Tarif à la semaine</t>
  </si>
  <si>
    <t xml:space="preserve">Karima Mansour </t>
  </si>
  <si>
    <t>NOEMI COSCOLIN</t>
  </si>
  <si>
    <t>FULL</t>
  </si>
  <si>
    <t>Pension Complète genious rate</t>
  </si>
  <si>
    <t>Contrat : Pension Complète genious rate</t>
  </si>
  <si>
    <t>laurie Pace</t>
  </si>
  <si>
    <t>Standard Rate Avrupa Ekonomik Alanı genious rate</t>
  </si>
  <si>
    <t>Contrat : Standard Rate Avrupa Ekonomik Alanı genious rate</t>
  </si>
  <si>
    <t>Carlos Anciaes</t>
  </si>
  <si>
    <t xml:space="preserve">Astrid Hillestad </t>
  </si>
  <si>
    <t>ADITYA CHADHA</t>
  </si>
  <si>
    <t>Standard Rate Half-Board Flex genious rate</t>
  </si>
  <si>
    <t>Contrat : Standard Rate Half-Board Flex genious rate</t>
  </si>
  <si>
    <t>Melody Favre</t>
  </si>
  <si>
    <t>Caroline Spadorcia</t>
  </si>
  <si>
    <t>Nicole Mathevon</t>
  </si>
  <si>
    <t>Standard Rate Mobile(MDot) Rate genious rate</t>
  </si>
  <si>
    <t>Contrat : Standard Rate Mobile(MDot) Rate genious rate</t>
  </si>
  <si>
    <t xml:space="preserve">Osman ZIMAN </t>
  </si>
  <si>
    <t>Christian SAVORAT</t>
  </si>
  <si>
    <t>Aurelie Choteau</t>
  </si>
  <si>
    <t>Standard Rate Dans l'Espace économique européen genious rate</t>
  </si>
  <si>
    <t>Contrat : Standard Rate Dans l'Espace économique européen genious rate</t>
  </si>
  <si>
    <t>Alex LATIL</t>
  </si>
  <si>
    <t xml:space="preserve">Laura Chmielowiec </t>
  </si>
  <si>
    <t>Stephanie RONCAGLIOLO</t>
  </si>
  <si>
    <t>European Economic Area genious rate</t>
  </si>
  <si>
    <t>Contrat : European Economic Area genious rate</t>
  </si>
  <si>
    <t>Simone Spinnler</t>
  </si>
  <si>
    <t>Abigail Marsh</t>
  </si>
  <si>
    <t xml:space="preserve">Riccardo Bruno </t>
  </si>
  <si>
    <t>Giulia Nolli</t>
  </si>
  <si>
    <t>Stellina Brands</t>
  </si>
  <si>
    <t xml:space="preserve">Samir Jarir </t>
  </si>
  <si>
    <t>Gamze Senel</t>
  </si>
  <si>
    <t>laura van Rossen-Ottema</t>
  </si>
  <si>
    <t>patrice TEHIO</t>
  </si>
  <si>
    <t xml:space="preserve">Romain Felix </t>
  </si>
  <si>
    <t>Standard Rate genious rate</t>
  </si>
  <si>
    <t>Contrat : Standard Rate genious rate</t>
  </si>
  <si>
    <t>Steve Feron</t>
  </si>
  <si>
    <t xml:space="preserve">Begona de Miguel Veira </t>
  </si>
  <si>
    <t>Harriet Argent</t>
  </si>
  <si>
    <t>Chiara Zurini</t>
  </si>
  <si>
    <t xml:space="preserve">Maria Antonietta Antonelli </t>
  </si>
  <si>
    <t>FRANCISCO AZNAR ROCA</t>
  </si>
  <si>
    <t>Adele Lefebvre</t>
  </si>
  <si>
    <t xml:space="preserve">Daniela Pisati </t>
  </si>
  <si>
    <t>Manon Lambregts-Thien</t>
  </si>
  <si>
    <t>Janice Muggleton</t>
  </si>
  <si>
    <t xml:space="preserve">Sayed Agence </t>
  </si>
  <si>
    <t>Shelley Ramtuhul</t>
  </si>
  <si>
    <t>ISABELLE MALDONADO MALDONADO</t>
  </si>
  <si>
    <t>Tarif Ã  la semaine genious rate</t>
  </si>
  <si>
    <t>Contrat : Tarif Ã  la semaine genious rate</t>
  </si>
  <si>
    <t>Blaine Bringhurst</t>
  </si>
  <si>
    <t>Standard Rate United States genious rate</t>
  </si>
  <si>
    <t>Contrat : Standard Rate United States genious rate</t>
  </si>
  <si>
    <t>Marine Petrosyan</t>
  </si>
  <si>
    <t>Joachim Harder</t>
  </si>
  <si>
    <t>julie bradshaw</t>
  </si>
  <si>
    <t>sanah mnaouare</t>
  </si>
  <si>
    <t>Annika Metsla</t>
  </si>
  <si>
    <t>Alessandra Bosetti</t>
  </si>
  <si>
    <t>Merche Jimenez Lara</t>
  </si>
  <si>
    <t>Aymeric Nebot</t>
  </si>
  <si>
    <t>Jill Dombrecht</t>
  </si>
  <si>
    <t xml:space="preserve">Carolina Tave </t>
  </si>
  <si>
    <t>Modification le 03/04/2026/ Contrat :Bed &amp; Breakfast Flex International genious rate</t>
  </si>
  <si>
    <t>Jean baptiste Baudry</t>
  </si>
  <si>
    <t xml:space="preserve">Alessandro Spiga </t>
  </si>
  <si>
    <t>annie Houseago</t>
  </si>
  <si>
    <t>Standard Rate Royaume-Uni genious rate</t>
  </si>
  <si>
    <t>Contrat : Standard Rate Royaume-Uni genious rate</t>
  </si>
  <si>
    <t xml:space="preserve">coorevits stephanie </t>
  </si>
  <si>
    <t>Maja Wieteska</t>
  </si>
  <si>
    <t>Charlie Barrett</t>
  </si>
  <si>
    <t>Tarif à la semaine genious rate</t>
  </si>
  <si>
    <t>Contrat : Tarif à la semaine genious rate</t>
  </si>
  <si>
    <t xml:space="preserve">Christophe Delferier </t>
  </si>
  <si>
    <t>laura cintas cano</t>
  </si>
  <si>
    <t>Dmitrijs Borisovs</t>
  </si>
  <si>
    <t>Annulé le Sat Feb 03 2024 11:03:02 GMT+0100 (UTC+01:00)</t>
  </si>
  <si>
    <t>Florence Valla</t>
  </si>
  <si>
    <t>Filippo Laurenzi</t>
  </si>
  <si>
    <t>Kayleigh Heneweer</t>
  </si>
  <si>
    <t>/ Contrat :Bed &amp; Breakfast Flex Mobile(App) Rate genious rate// Reservation le Sun Apr 05 2026 00:00:00 GMT+0100 (UTC+01:00)</t>
  </si>
  <si>
    <t>Raul Pardo Garcia</t>
  </si>
  <si>
    <t xml:space="preserve">Marc-Antoine Charron </t>
  </si>
  <si>
    <t>Vermaete Bart</t>
  </si>
  <si>
    <t>Bed&amp;Breakfast tarief</t>
  </si>
  <si>
    <t>Contrat : Bed&amp;Breakfast tarief</t>
  </si>
  <si>
    <t xml:space="preserve">Michelle Perez </t>
  </si>
  <si>
    <t>Anne De La Rupelle</t>
  </si>
  <si>
    <t>Half-Board Flex genious rate</t>
  </si>
  <si>
    <t>Contrat : Half-Board Flex genious rate</t>
  </si>
  <si>
    <t>Fils Stéphane</t>
  </si>
  <si>
    <t xml:space="preserve">Rudolf Ohnesorge </t>
  </si>
  <si>
    <t>Johana Hebert</t>
  </si>
  <si>
    <t xml:space="preserve">Gregory Thomson </t>
  </si>
  <si>
    <t>Marcus Scaramanga</t>
  </si>
  <si>
    <t>Nicolle Graugnard</t>
  </si>
  <si>
    <t xml:space="preserve">Jean Sammarcelli </t>
  </si>
  <si>
    <t>Ozoda Saidhodjayeva</t>
  </si>
  <si>
    <t xml:space="preserve">Chopra Mohinder </t>
  </si>
  <si>
    <t>Gabriel LARROUSSE</t>
  </si>
  <si>
    <t>Shufang Yang</t>
  </si>
  <si>
    <t xml:space="preserve">Irma Domig </t>
  </si>
  <si>
    <t>Standard Rate Tarif Ã  la semaine genious rate</t>
  </si>
  <si>
    <t>Contrat : Standard Rate Tarif Ã  la semaine genious rate</t>
  </si>
  <si>
    <t>Lois Prys Prys</t>
  </si>
  <si>
    <t>Bed &amp; Breakfast Rate</t>
  </si>
  <si>
    <t>Contrat : Bed &amp; Breakfast Rate</t>
  </si>
  <si>
    <t>Marco Madonia</t>
  </si>
  <si>
    <t>Standard Rate États-Unis</t>
  </si>
  <si>
    <t>Contrat : Standard Rate États-Unis</t>
  </si>
  <si>
    <t>Julien CAMADRO</t>
  </si>
  <si>
    <t>Annulé le Fri May 10 2024 21:57:02 GMT+0100 (UTC+01:00)</t>
  </si>
  <si>
    <t>Sven von Ostheim</t>
  </si>
  <si>
    <t>/ Contrat :Bed &amp; Breakfast Flex Getaway Deal genious rate// Reservation le Wed Apr 08 2026 00:00:00 GMT+0100 (UTC+01:00)</t>
  </si>
  <si>
    <t>Jennifer giallo</t>
  </si>
  <si>
    <t>Annulé le Thu Jan 11 2024 11:08:02 GMT+0100 (GMT+01:00)</t>
  </si>
  <si>
    <t>Laura Bouchet</t>
  </si>
  <si>
    <t>Maxime Salanon</t>
  </si>
  <si>
    <t xml:space="preserve">JAROSLAW CHROBOK </t>
  </si>
  <si>
    <t>/ Contrat :Half board Package// Reservation le Wed Apr 08 2026 00:00:00 GMT+0100 (UTC+01:00)</t>
  </si>
  <si>
    <t>charlotte strik</t>
  </si>
  <si>
    <t xml:space="preserve">Wajdi Ami Antoine </t>
  </si>
  <si>
    <t>Neil Leighton</t>
  </si>
  <si>
    <t>Standard Rate United Kingdom genious rate</t>
  </si>
  <si>
    <t>Contrat : Standard Rate United Kingdom genious rate</t>
  </si>
  <si>
    <t>M.J Roodbeen</t>
  </si>
  <si>
    <t xml:space="preserve">marine yevre </t>
  </si>
  <si>
    <t>/ Contrat :Bed &amp; Breakfast Flex EB Rate PLan (plus de 15 jours Ã  l\'avance)</t>
  </si>
  <si>
    <t>Rachelle Miranville</t>
  </si>
  <si>
    <t>Standard Rate 30% - Offre Black Friday genious rate</t>
  </si>
  <si>
    <t>Contrat : Standard Rate 30% - Offre Black Friday genious rate</t>
  </si>
  <si>
    <t xml:space="preserve">Matej Rybar </t>
  </si>
  <si>
    <t>ERIC CLINQUART</t>
  </si>
  <si>
    <t>Demie-pension</t>
  </si>
  <si>
    <t>Contrat : Demie-pension</t>
  </si>
  <si>
    <t>Alexandra Grosz</t>
  </si>
  <si>
    <t xml:space="preserve">Cat Stammschroer </t>
  </si>
  <si>
    <t>Nicole Dekkers</t>
  </si>
  <si>
    <t xml:space="preserve">deborah wandfluh-Duay </t>
  </si>
  <si>
    <t>Delphine G</t>
  </si>
  <si>
    <t>Christopher Walter Gargantini</t>
  </si>
  <si>
    <t xml:space="preserve">Paul de Groot </t>
  </si>
  <si>
    <t>Leontios Charalampidis</t>
  </si>
  <si>
    <t>Modification le 23/06/2026/ Contrat :BB NRF #new Getaway Deal genious rate</t>
  </si>
  <si>
    <t xml:space="preserve">Veronique Galley Quinodoz </t>
  </si>
  <si>
    <t xml:space="preserve">Jo Wood </t>
  </si>
  <si>
    <t>Standard Rate 30% - Offre Black Friday</t>
  </si>
  <si>
    <t>Annulé le Mon Apr 22 2024 10:55:03 GMT+0100 (UTC+01:00)</t>
  </si>
  <si>
    <t>Le Lay Eric</t>
  </si>
  <si>
    <t>Standard Rate Demie-pension</t>
  </si>
  <si>
    <t>Contrat : Standard Rate Demie-pension</t>
  </si>
  <si>
    <t xml:space="preserve">Andrea Salemi </t>
  </si>
  <si>
    <t>Steven Santos</t>
  </si>
  <si>
    <t xml:space="preserve">Maria Piovesana </t>
  </si>
  <si>
    <t>Modification le 18/06/2026/ Contrat :Bed &amp; Breakfast Flex Mobile(App) Rate</t>
  </si>
  <si>
    <t>Sarah Johnston</t>
  </si>
  <si>
    <t>Annulé le Fri Jan 12 2024 12:15:02 GMT+0100 (GMT+01:00)</t>
  </si>
  <si>
    <t xml:space="preserve">Client Direct </t>
  </si>
  <si>
    <t>Carolina Steiner</t>
  </si>
  <si>
    <t xml:space="preserve">Genevieve Gagnon </t>
  </si>
  <si>
    <t xml:space="preserve">Direct Client </t>
  </si>
  <si>
    <t>Marc Costa Belloch</t>
  </si>
  <si>
    <t xml:space="preserve">Eva Kessler </t>
  </si>
  <si>
    <t>Chesney Windsor</t>
  </si>
  <si>
    <t>Alex Borer</t>
  </si>
  <si>
    <t>Plan tarifaire pour les réservations anticipées (plus de 15 jours à l'avance) genious rate</t>
  </si>
  <si>
    <t>Contrat : Plan tarifaire pour les réservations anticipées (plus de 15 jours à l'avance) genious rate</t>
  </si>
  <si>
    <t xml:space="preserve">NATACHA GERMANO </t>
  </si>
  <si>
    <t>Thibault Durand</t>
  </si>
  <si>
    <t xml:space="preserve">YI CHEN </t>
  </si>
  <si>
    <t>Odigeo</t>
  </si>
  <si>
    <t>8b9daa70d93503a1</t>
  </si>
  <si>
    <t>Federica Marrandino</t>
  </si>
  <si>
    <t>New Year Deal 2024 %60</t>
  </si>
  <si>
    <t xml:space="preserve">Angel Luis Sancho Praena </t>
  </si>
  <si>
    <t>Contrat : New Year Deal 2024 %60</t>
  </si>
  <si>
    <t>Moira Hyde</t>
  </si>
  <si>
    <t>/ Contrat :Bed &amp; Breakfast Flex Getaway Deal genious rate// Reservation le Sat Apr 11 2026 00:00:00 GMT+0100 (UTC+01:00)</t>
  </si>
  <si>
    <t xml:space="preserve">Audrey HANNEDOUCHE NAMUR </t>
  </si>
  <si>
    <t>paola prosperi</t>
  </si>
  <si>
    <t>Irina Gorelova</t>
  </si>
  <si>
    <t xml:space="preserve">Oliver Fisher </t>
  </si>
  <si>
    <t>Lou Sable</t>
  </si>
  <si>
    <t>Contrat : Standard Rate Tarif à la semaine genious rate</t>
  </si>
  <si>
    <t>Luuk-Jan Van Der Struik</t>
  </si>
  <si>
    <t xml:space="preserve">Benjamin Dowden </t>
  </si>
  <si>
    <t>Karim BOUANEM</t>
  </si>
  <si>
    <t>Elke Seyfried</t>
  </si>
  <si>
    <t xml:space="preserve">Miho Macleod </t>
  </si>
  <si>
    <t>matthieu barde</t>
  </si>
  <si>
    <t>Modification le 13/04/2026/ Contrat :BB NRF #new Early Booker Deal genious rate</t>
  </si>
  <si>
    <t>Cordelia Wernicke</t>
  </si>
  <si>
    <t xml:space="preserve">Maria Barbera </t>
  </si>
  <si>
    <t>Contrat : Standard Rate 30% - Offre Black Friday</t>
  </si>
  <si>
    <t>JUSTO ARENAS</t>
  </si>
  <si>
    <t>Julio Casoy</t>
  </si>
  <si>
    <t xml:space="preserve">Manuel Frontera </t>
  </si>
  <si>
    <t>Quentin Poirier</t>
  </si>
  <si>
    <t>/ Contrat :Half-Board Flex Getaway Deal genious rate// Reservation le 13/04/2026</t>
  </si>
  <si>
    <t>Annulé le Sun May 12 2024 10:05:04 GMT+0100 (UTC+01:00)</t>
  </si>
  <si>
    <t>Paul Scales</t>
  </si>
  <si>
    <t>laetitia marchi</t>
  </si>
  <si>
    <t>Annulé le Fri Mar 08 2024 12:06:04 GMT+0100 (UTC+01:00)</t>
  </si>
  <si>
    <t xml:space="preserve">Vee Plowman </t>
  </si>
  <si>
    <t>roland van der hoek</t>
  </si>
  <si>
    <t>Standard Rate Avrupa Ekonomik Alanı</t>
  </si>
  <si>
    <t>/ Contrat :Bed &amp; Breakfast Flex Mobile(App) Rate genious rate// Reservation le Tue Apr 14 2026 00:00:00 GMT+0100 (UTC+01:00)</t>
  </si>
  <si>
    <t>Contrat : Standard Rate Avrupa Ekonomik Alanı</t>
  </si>
  <si>
    <t>Cornelia Wurm</t>
  </si>
  <si>
    <t>Mafalda Guedes</t>
  </si>
  <si>
    <t>Marjorie LAURENT</t>
  </si>
  <si>
    <t xml:space="preserve">Jenny Kent </t>
  </si>
  <si>
    <t xml:space="preserve">Philippot Thomas </t>
  </si>
  <si>
    <t>Vincent Constantino</t>
  </si>
  <si>
    <t xml:space="preserve">Arianna Quaia </t>
  </si>
  <si>
    <t>Paul Jacobs</t>
  </si>
  <si>
    <t>/ Contrat :Bed &amp; Breakfast Flex Getaway Deal genious rate// Reservation le Wed Apr 15 2026 00:00:00 GMT+0100 (UTC+01:00)</t>
  </si>
  <si>
    <t xml:space="preserve">Henning Wittmaack </t>
  </si>
  <si>
    <t>Alexander SERDYUK</t>
  </si>
  <si>
    <t>Modification le 15/04/2026/ Contrat :Bed &amp; Breakfast Flex Mobile(App) Rate genious rate</t>
  </si>
  <si>
    <t>Delphine Graziani</t>
  </si>
  <si>
    <t xml:space="preserve">Olga Haufova </t>
  </si>
  <si>
    <t>Brendan Harris</t>
  </si>
  <si>
    <t>Diana Adueva</t>
  </si>
  <si>
    <t>Standard Rate Russia genious rate</t>
  </si>
  <si>
    <t>Contrat : Standard Rate Russia genious rate</t>
  </si>
  <si>
    <t>Annulé le Sun Apr 07 2024 14:56:03 GMT+0000 (UTC)</t>
  </si>
  <si>
    <t>Kaye Weeden</t>
  </si>
  <si>
    <t>Standard Rate 25% - Offre Début 2024 genious rate</t>
  </si>
  <si>
    <t>Contrat : Standard Rate 25% - Offre Début 2024 genious rate</t>
  </si>
  <si>
    <t>Laura Russe</t>
  </si>
  <si>
    <t xml:space="preserve">Patricia De Sa Almeida </t>
  </si>
  <si>
    <t xml:space="preserve">Tim Kother </t>
  </si>
  <si>
    <t>Robbert Van dijk</t>
  </si>
  <si>
    <t>Serena Fuorvito</t>
  </si>
  <si>
    <t>Yamina Illien</t>
  </si>
  <si>
    <t>isaline larbanois</t>
  </si>
  <si>
    <t xml:space="preserve">Federica Venezia </t>
  </si>
  <si>
    <t>Anne-Genevieve Marcelin</t>
  </si>
  <si>
    <t>elisabetta cartolari</t>
  </si>
  <si>
    <t xml:space="preserve">Rachid Jabri </t>
  </si>
  <si>
    <t>Annabel Yao</t>
  </si>
  <si>
    <t xml:space="preserve">Charlotte Karlsson </t>
  </si>
  <si>
    <t>Jeroen Suyling</t>
  </si>
  <si>
    <t>Julie de Mazieres</t>
  </si>
  <si>
    <t xml:space="preserve">Robert Nowak </t>
  </si>
  <si>
    <t>Marian Branding</t>
  </si>
  <si>
    <t xml:space="preserve">Chloe Wetherall </t>
  </si>
  <si>
    <t xml:space="preserve">Diana Nicapopi </t>
  </si>
  <si>
    <t>/ Contrat :Bed &amp; Breakfast Flex Mobile(App) Rate genious rate// Reservation le Sat Apr 18 2026 00:00:00 GMT+0100 (UTC+01:00)</t>
  </si>
  <si>
    <t>Alexander Tarkhov</t>
  </si>
  <si>
    <t xml:space="preserve">Manuel Pirovano </t>
  </si>
  <si>
    <t>Peter Kingston</t>
  </si>
  <si>
    <t>/ Contrat :Bed &amp; Breakfast Flex Getaway Deal genious rate// Reservation le Sat Apr 18 2026 00:00:00 GMT+0100 (UTC+01:00)</t>
  </si>
  <si>
    <t>Fatima Maanan</t>
  </si>
  <si>
    <t xml:space="preserve">Experience Morocco </t>
  </si>
  <si>
    <t>Standard Rate Switzerland genious rate</t>
  </si>
  <si>
    <t>Contrat : Standard Rate Switzerland genious rate</t>
  </si>
  <si>
    <t>Patrick Heleu</t>
  </si>
  <si>
    <t xml:space="preserve">Mushtaq Maryam </t>
  </si>
  <si>
    <t>Sandra Niethes</t>
  </si>
  <si>
    <t xml:space="preserve">Rob Zonneveld </t>
  </si>
  <si>
    <t>Alba Pardo Gonzalez</t>
  </si>
  <si>
    <t>Silvia Biral</t>
  </si>
  <si>
    <t xml:space="preserve">Ralph Dubbeld </t>
  </si>
  <si>
    <t>christian MAIRE</t>
  </si>
  <si>
    <t>Iris Brakman</t>
  </si>
  <si>
    <t xml:space="preserve">Corinne Valence </t>
  </si>
  <si>
    <t>Annulé le Mon Jan 08 2024 10:04:02 GMT+0100 (GMT+01:00)</t>
  </si>
  <si>
    <t>Stefanie Smieskol</t>
  </si>
  <si>
    <t xml:space="preserve">Maria Clement Hagstrup </t>
  </si>
  <si>
    <t>/ Contrat :Bed &amp; Breakfast Flex Mobile(App) Rate genious rate// Reservation le Sun Apr 19 2026 00:00:00 GMT+0100 (UTC+01:00)</t>
  </si>
  <si>
    <t>Gaetano La Marca</t>
  </si>
  <si>
    <t xml:space="preserve">Svetlana Pershina </t>
  </si>
  <si>
    <t>Sandra Sai</t>
  </si>
  <si>
    <t>alexandra den bakker</t>
  </si>
  <si>
    <t>Plan tarifaire pour les réservations anticipées (plus de 15 jours à l'avance) genious rate Standard Rate Non remboursable</t>
  </si>
  <si>
    <t>Contrat : Plan tarifaire pour les réservations anticipées (plus de 15 jours à l'avance) genious rate Standard Rate Non remboursable</t>
  </si>
  <si>
    <t xml:space="preserve">Lisa-Marie Mansfeld </t>
  </si>
  <si>
    <t>genious rate Standard Rate Non remboursable</t>
  </si>
  <si>
    <t>Contrat : genious rate Standard Rate Non remboursable</t>
  </si>
  <si>
    <t>influenceuse mandy</t>
  </si>
  <si>
    <t xml:space="preserve">Ecolink Agence </t>
  </si>
  <si>
    <t>Arielle GAIDON</t>
  </si>
  <si>
    <t>alfonso corvino</t>
  </si>
  <si>
    <t>Marcin Majewski</t>
  </si>
  <si>
    <t>Irene Figliolia</t>
  </si>
  <si>
    <t>philippon wendy</t>
  </si>
  <si>
    <t xml:space="preserve">Micky (Mireille) Lacour-Steffen </t>
  </si>
  <si>
    <t>Annulé le Wed Mar 13 2024 10:28:05 GMT+0000 (UTC)</t>
  </si>
  <si>
    <t xml:space="preserve">Neele Schellenberg </t>
  </si>
  <si>
    <t>Lorenzo Lacqua</t>
  </si>
  <si>
    <t>Annulé le Thu May 30 2024 21:20:05 GMT+0100 (UTC+01:00)</t>
  </si>
  <si>
    <t>Modification le 06/05/2026/ Contrat :Bed &amp; Breakfast Flex Getaway Deal genious rate</t>
  </si>
  <si>
    <t>Amy McClemont</t>
  </si>
  <si>
    <t>Marion Desmots</t>
  </si>
  <si>
    <t xml:space="preserve">Christina Heider </t>
  </si>
  <si>
    <t>Greg Toussaint</t>
  </si>
  <si>
    <t xml:space="preserve">Jiayi Wu </t>
  </si>
  <si>
    <t>Graham Parkinson</t>
  </si>
  <si>
    <t>CARLOS ENRIQUE PASCUAL MORALEJO</t>
  </si>
  <si>
    <t>Opaque Discount Package</t>
  </si>
  <si>
    <t>Contrat : Opaque Discount Package</t>
  </si>
  <si>
    <t>Eva Maria de Lucas</t>
  </si>
  <si>
    <t xml:space="preserve">Jan Messiaen </t>
  </si>
  <si>
    <t>Killian Reinhold Von Essen</t>
  </si>
  <si>
    <t>TANG Ho Yin Derek</t>
  </si>
  <si>
    <t xml:space="preserve">Nicolas MIGINAC </t>
  </si>
  <si>
    <t>Remi PAL</t>
  </si>
  <si>
    <t>Duvoux Christophe</t>
  </si>
  <si>
    <t xml:space="preserve">Manuela Haag </t>
  </si>
  <si>
    <t>Bianca Ceruti</t>
  </si>
  <si>
    <t>Daniele Iodice</t>
  </si>
  <si>
    <t xml:space="preserve">Modification le 03/05/2026/ Contrat :BB Non Refundable </t>
  </si>
  <si>
    <t>Christine Baldi</t>
  </si>
  <si>
    <t>Chambre Avec Petit Déjeuner</t>
  </si>
  <si>
    <t>Contrat : Chambre Avec Petit Déjeuner</t>
  </si>
  <si>
    <t>Emma Dempsey</t>
  </si>
  <si>
    <t>Emilia Tripoli</t>
  </si>
  <si>
    <t>Annulé le Tue Jan 09 2024 12:09:03 GMT+0100 (GMT+01:00)</t>
  </si>
  <si>
    <t>Sofie Ramsgaard</t>
  </si>
  <si>
    <t>Anmol Chand-Juttner</t>
  </si>
  <si>
    <t>Christian Buck</t>
  </si>
  <si>
    <t>Morgane Genouilhac</t>
  </si>
  <si>
    <t>Robbe Baeckelant</t>
  </si>
  <si>
    <t>Jo Pawley</t>
  </si>
  <si>
    <t>Gioia Giorgettini</t>
  </si>
  <si>
    <t xml:space="preserve">Cedric ELISABETH </t>
  </si>
  <si>
    <t>robert spavin</t>
  </si>
  <si>
    <t>Standard Rate genius rate</t>
  </si>
  <si>
    <t>Contrat : Standard Rate genius rate</t>
  </si>
  <si>
    <t>Marc Rabaza Gairi</t>
  </si>
  <si>
    <t>Pierre henri Vermorel</t>
  </si>
  <si>
    <t xml:space="preserve">Owen Alison </t>
  </si>
  <si>
    <t>Linda Campbell Hunt</t>
  </si>
  <si>
    <t>Annulé le Thu Mar 21 2024 09:28:03 GMT+0000 (UTC)</t>
  </si>
  <si>
    <t>/ Contrat :Bed &amp; Breakfast Flex EB Rate PLan (plus de 15 jours à l\'avance) genious rate// Reservation le Sun Apr 19 2026 00:00:00 GMT+0100 (UTC+01:00)</t>
  </si>
  <si>
    <t>Debora Vigato</t>
  </si>
  <si>
    <t xml:space="preserve">Margaret Lane </t>
  </si>
  <si>
    <t>JEAN CLAUDE SADDIER</t>
  </si>
  <si>
    <t>RESELIVA</t>
  </si>
  <si>
    <t>Robin Vos</t>
  </si>
  <si>
    <t>/ Contrat :Bed &amp;amp; Breakfast Rate</t>
  </si>
  <si>
    <t>michel MARQUE</t>
  </si>
  <si>
    <t>Annulé le Thu Apr 18 2024 10:33:03 GMT+0100 (UTC+01:00)</t>
  </si>
  <si>
    <t>Btissam Ezouhri</t>
  </si>
  <si>
    <t>Dorine Rijkers</t>
  </si>
  <si>
    <t>Raquel Godinho</t>
  </si>
  <si>
    <t xml:space="preserve">Duarte Carvalho </t>
  </si>
  <si>
    <t>Enzo maria Bello</t>
  </si>
  <si>
    <t>Annulé le Sun Apr 28 2024 09:43:03 GMT+0100 (UTC+01:00)</t>
  </si>
  <si>
    <t>Sondes Rouafi</t>
  </si>
  <si>
    <t>a3124161ea9d105d</t>
  </si>
  <si>
    <t>Claudia Font Vallmajo</t>
  </si>
  <si>
    <t xml:space="preserve">IVANKA DUNAND </t>
  </si>
  <si>
    <t>Nazareno Antonio Tancredi</t>
  </si>
  <si>
    <t>a8a4667e87f0d554</t>
  </si>
  <si>
    <t>Ariadna Almodóvar Muñoz</t>
  </si>
  <si>
    <t xml:space="preserve">Khadija Lee </t>
  </si>
  <si>
    <t>Marina Brambilla</t>
  </si>
  <si>
    <t>Felice Beaufort</t>
  </si>
  <si>
    <t>Jason MARTINEZ</t>
  </si>
  <si>
    <t xml:space="preserve">Jol Reidar Johnsen </t>
  </si>
  <si>
    <t>Arlette Garnier</t>
  </si>
  <si>
    <t>/ Contrat :Bed &amp; Breakfast Flex Mobile(App) Rate genious rate// Reservation le Mon Apr 20 2026 00:00:00 GMT+0100 (UTC+01:00)</t>
  </si>
  <si>
    <t xml:space="preserve">Ingrid Hochrein </t>
  </si>
  <si>
    <t>Ruben Martin</t>
  </si>
  <si>
    <t>/ Contrat :Bed &amp; Breakfast Flex Getaway Deal genious rate// Reservation le Tue Apr 21 2026 00:00:00 GMT+0100 (UTC+01:00)</t>
  </si>
  <si>
    <t>Standard Rate Pension Complète genious rate</t>
  </si>
  <si>
    <t>Contrat : Standard Rate Pension Complète genious rate</t>
  </si>
  <si>
    <t>Igor Jojkic</t>
  </si>
  <si>
    <t xml:space="preserve">Michaela Moser </t>
  </si>
  <si>
    <t>Jessica Barbara</t>
  </si>
  <si>
    <t>Naomi Burke</t>
  </si>
  <si>
    <t xml:space="preserve">Jannine Thode </t>
  </si>
  <si>
    <t>A Mazyani</t>
  </si>
  <si>
    <t>carla Rebelo</t>
  </si>
  <si>
    <t>Annulé le Sun Mar 17 2024 11:39:04 GMT+0000 (UTC)</t>
  </si>
  <si>
    <t>Jemma Badrocke</t>
  </si>
  <si>
    <t xml:space="preserve">Brenda Escamilla </t>
  </si>
  <si>
    <t>Standard Rate Mobile(MDot) Rate</t>
  </si>
  <si>
    <t>Contrat : Standard Rate Mobile(MDot) Rate</t>
  </si>
  <si>
    <t>Stephanie BASTIEN LEDENT</t>
  </si>
  <si>
    <t xml:space="preserve">Mattieu Frenoy </t>
  </si>
  <si>
    <t>Gallione Federico</t>
  </si>
  <si>
    <t>Annulé le Mon Jan 29 2024 09:02:05 GMT+0100 (UTC+01:00)</t>
  </si>
  <si>
    <t>Polly Gibson</t>
  </si>
  <si>
    <t xml:space="preserve">yASMINE sINNI </t>
  </si>
  <si>
    <t>Eva Sindlerova</t>
  </si>
  <si>
    <t>Lena Peer</t>
  </si>
  <si>
    <t>8aecced146fa5015</t>
  </si>
  <si>
    <t>Silvio Dzapasi</t>
  </si>
  <si>
    <t xml:space="preserve">Wilfrid Bluker </t>
  </si>
  <si>
    <t>bdd8377c216a8583</t>
  </si>
  <si>
    <t>Eesha Boughan</t>
  </si>
  <si>
    <t>/ Contrat :Bed &amp; Breakfast Flex Getaway Deal genious rate// Reservation le Wed Apr 22 2026 00:00:00 GMT+0100 (UTC+01:00)</t>
  </si>
  <si>
    <t>New Year Deal 2024 %50</t>
  </si>
  <si>
    <t>Contrat : New Year Deal 2024 %50</t>
  </si>
  <si>
    <t>Marco Leonardi</t>
  </si>
  <si>
    <t xml:space="preserve">Claudia Rehberg </t>
  </si>
  <si>
    <t>Xiaoxi Chi</t>
  </si>
  <si>
    <t>Francesco Todaro</t>
  </si>
  <si>
    <t>Vanessa Lopez</t>
  </si>
  <si>
    <t xml:space="preserve">Estelle Gasnier </t>
  </si>
  <si>
    <t>Manon Jeanjacques</t>
  </si>
  <si>
    <t>Haoling Zhu</t>
  </si>
  <si>
    <t>Costantino Fassino</t>
  </si>
  <si>
    <t xml:space="preserve">Linda Bulder </t>
  </si>
  <si>
    <t>Katreene Villaflor</t>
  </si>
  <si>
    <t>Angela Liliana Decandia</t>
  </si>
  <si>
    <t xml:space="preserve">Camilo Alejandro Rios Bueno </t>
  </si>
  <si>
    <t>Tariffa Bed&amp;Breakfast</t>
  </si>
  <si>
    <t>Contrat : Tariffa Bed&amp;Breakfast</t>
  </si>
  <si>
    <t>Stephane Michel</t>
  </si>
  <si>
    <t xml:space="preserve">INES MARIA BRENGIO </t>
  </si>
  <si>
    <t>LEE JEE SU</t>
  </si>
  <si>
    <t>William Robinson</t>
  </si>
  <si>
    <t>Anna Gottlieb Thorring</t>
  </si>
  <si>
    <t>Benjamin Touati</t>
  </si>
  <si>
    <t>136-3776729</t>
  </si>
  <si>
    <t xml:space="preserve">JULIA MERZ </t>
  </si>
  <si>
    <t>Aurelia LEMAITRE</t>
  </si>
  <si>
    <t>Standard Rate Half-Board Flex</t>
  </si>
  <si>
    <t xml:space="preserve">  *Agency Payment* Child ages for room 1: (11, 8) Discounts for room 1:  EB 15% 2026  / Contrat :BED AND BREAKFAST GR-BARCOM</t>
  </si>
  <si>
    <t>Contrat : Standard Rate Half-Board Flex</t>
  </si>
  <si>
    <t>stefan kneffel</t>
  </si>
  <si>
    <t xml:space="preserve">Silvia Calix Lopez </t>
  </si>
  <si>
    <t xml:space="preserve">Antje Baumeister </t>
  </si>
  <si>
    <t>Clara Mulligan</t>
  </si>
  <si>
    <t>CEDRIC BUSSON</t>
  </si>
  <si>
    <t>Bernd Auwaerter</t>
  </si>
  <si>
    <t xml:space="preserve">Leandra Togni </t>
  </si>
  <si>
    <t>Axelle de Poncheville</t>
  </si>
  <si>
    <t>Annulé le Thu Mar 14 2024 20:42:03 GMT+0000 (UTC)</t>
  </si>
  <si>
    <t>Aylin Keller</t>
  </si>
  <si>
    <t>Magdalena Stekla</t>
  </si>
  <si>
    <t xml:space="preserve">Joana Platen </t>
  </si>
  <si>
    <t>bd3de30d8c7c23aa</t>
  </si>
  <si>
    <t>Julimar De Souza Abreu</t>
  </si>
  <si>
    <t xml:space="preserve">Corina Brupbacher-Sahli </t>
  </si>
  <si>
    <t>Haresh Bhaskar</t>
  </si>
  <si>
    <t>Standard Rate 40% - Limited-Time Deal</t>
  </si>
  <si>
    <t>Contrat : Standard Rate 40% - Limited-Time Deal</t>
  </si>
  <si>
    <t>/ Contrat :Bed &amp; Breakfast Flex Getaway Deal genious rate// Reservation le Fri Apr 24 2026 00:00:00 GMT+0100 (UTC+01:00)</t>
  </si>
  <si>
    <t>Ercivan Brouwer</t>
  </si>
  <si>
    <t>Gwenola Gasnier</t>
  </si>
  <si>
    <t xml:space="preserve">Molly Hildwein </t>
  </si>
  <si>
    <t>Sephora Bellune</t>
  </si>
  <si>
    <t>Ella Wennah</t>
  </si>
  <si>
    <t xml:space="preserve">Anthony Simon </t>
  </si>
  <si>
    <t>Mathilde BALLUREAU</t>
  </si>
  <si>
    <t>Alessia Morvillo</t>
  </si>
  <si>
    <t>Matt Burns</t>
  </si>
  <si>
    <t>Early Booking-Members</t>
  </si>
  <si>
    <t xml:space="preserve">Murielle Germond </t>
  </si>
  <si>
    <t>Contrat : Early Booking-Members</t>
  </si>
  <si>
    <t>Catherine Charron</t>
  </si>
  <si>
    <t>Annulé le Fri Mar 29 2024 06:49:04 GMT+0000 (UTC)</t>
  </si>
  <si>
    <t>Lisa Bianchi</t>
  </si>
  <si>
    <t xml:space="preserve">Cédric Colaboration </t>
  </si>
  <si>
    <t>Ross Arscott</t>
  </si>
  <si>
    <t>Annulé le Fri Apr 19 2024 10:50:04 GMT+0100 (UTC+01:00)</t>
  </si>
  <si>
    <t>Pauline Bury</t>
  </si>
  <si>
    <t>Elizabeth Griffiths</t>
  </si>
  <si>
    <t>Danny Wesselius</t>
  </si>
  <si>
    <t>Flex 40% - Limited-Time Deal</t>
  </si>
  <si>
    <t>Contrat : Flex 40% - Limited-Time Deal</t>
  </si>
  <si>
    <t xml:space="preserve">Alessia Traina </t>
  </si>
  <si>
    <t>/ Contrat :Half-Board Flex Mobile(App) Rate genious rate// Reservation le Sat Apr 25 2026 00:00:00 GMT+0100 (UTC+01:00)</t>
  </si>
  <si>
    <t>Enora Le Freillec</t>
  </si>
  <si>
    <t xml:space="preserve">Tiago Goncalves </t>
  </si>
  <si>
    <t>Lisa Roberts</t>
  </si>
  <si>
    <t>Nicolette Worrell</t>
  </si>
  <si>
    <t xml:space="preserve">Thomais Gkrimpizi </t>
  </si>
  <si>
    <t>Symeon Tsolakidis</t>
  </si>
  <si>
    <t>/ Contrat :Half-Board Flex Mobile(App) Rate genious rate// Reservation le Sun Apr 26 2026 00:00:00 GMT+0100 (UTC+01:00)</t>
  </si>
  <si>
    <t>Federico Cesa Bianchi</t>
  </si>
  <si>
    <t xml:space="preserve">Federico Orlando </t>
  </si>
  <si>
    <t>Catharina Sert</t>
  </si>
  <si>
    <t>Dilek Ozen</t>
  </si>
  <si>
    <t xml:space="preserve">Rouven Boese </t>
  </si>
  <si>
    <t>Emanuela Bracchi</t>
  </si>
  <si>
    <t>Angela Nelson</t>
  </si>
  <si>
    <t>Tanya Harrison</t>
  </si>
  <si>
    <t>colab Mandy</t>
  </si>
  <si>
    <t>Colab Mandy</t>
  </si>
  <si>
    <t>Jelmar Videos</t>
  </si>
  <si>
    <t xml:space="preserve">Katrien Huysman </t>
  </si>
  <si>
    <t>Anna Bracco</t>
  </si>
  <si>
    <t xml:space="preserve">Inés Orrit Gallego </t>
  </si>
  <si>
    <t>Guillaume NICOLAS</t>
  </si>
  <si>
    <t>Standard Rate Half-Board Flex (SF) genious rate</t>
  </si>
  <si>
    <t>Contrat : Standard Rate Half-Board Flex (SF) genious rate</t>
  </si>
  <si>
    <t>Francesca Luisi</t>
  </si>
  <si>
    <t>Louis Frey</t>
  </si>
  <si>
    <t>Emiel Hagen</t>
  </si>
  <si>
    <t>Tom Strelczak</t>
  </si>
  <si>
    <t xml:space="preserve">Ruth Veh-Ioannou </t>
  </si>
  <si>
    <t>Paula Porter</t>
  </si>
  <si>
    <t>Tracey Reddings</t>
  </si>
  <si>
    <t>Nora Grimm</t>
  </si>
  <si>
    <t>Jacinta Delahunty</t>
  </si>
  <si>
    <t>Beds Network - Maximum Gain</t>
  </si>
  <si>
    <t>Contrat : Beds Network - Maximum Gain</t>
  </si>
  <si>
    <t>Tian Isidore</t>
  </si>
  <si>
    <t>Roland Aussermeier</t>
  </si>
  <si>
    <t>Matilde Braganti</t>
  </si>
  <si>
    <t>Alice Caccamese</t>
  </si>
  <si>
    <t>Michaela Danz</t>
  </si>
  <si>
    <t xml:space="preserve">Danielle Roby </t>
  </si>
  <si>
    <t>Marina PARIS</t>
  </si>
  <si>
    <t>/ Contrat :Bed &amp; Breakfast Flex International genious rate// Reservation le Mon Apr 27 2026 00:00:00 GMT+0100 (UTC+01:00)</t>
  </si>
  <si>
    <t>Mickael Portela</t>
  </si>
  <si>
    <t>Emanuele Carluccio</t>
  </si>
  <si>
    <t>Stephane Chantraine</t>
  </si>
  <si>
    <t>Mainardi Daniele</t>
  </si>
  <si>
    <t xml:space="preserve">Silvia Ricardo </t>
  </si>
  <si>
    <t>Pascale VICENS</t>
  </si>
  <si>
    <t>francoise GAIDE</t>
  </si>
  <si>
    <t xml:space="preserve">Alexandre Alberto Arruda Pecora </t>
  </si>
  <si>
    <t>Mina aries</t>
  </si>
  <si>
    <t>Berit Tomlinson</t>
  </si>
  <si>
    <t>Elena Hernandez Medina</t>
  </si>
  <si>
    <t>Ricardo Chagas Rapacki</t>
  </si>
  <si>
    <t>Annulé le Sat Jan 27 2024 09:59:03 GMT+0100 (UTC+01:00)</t>
  </si>
  <si>
    <t>NICOLAS Fauquet</t>
  </si>
  <si>
    <t>NICOLAS FAUQUET</t>
  </si>
  <si>
    <t>NIKOLAS FAUQUET</t>
  </si>
  <si>
    <t xml:space="preserve">Frans Grutters </t>
  </si>
  <si>
    <t>136-3779294</t>
  </si>
  <si>
    <t xml:space="preserve">PABLO SANFELIU ARBOIX </t>
  </si>
  <si>
    <t>Klaus-Michael KOCH</t>
  </si>
  <si>
    <t xml:space="preserve">  *Agency Payment* Discounts for room 1:  OPAQUE 10% FLIGHT+HOTEL  / Contrat :BED AND BREAKFAST GR-BARCOM</t>
  </si>
  <si>
    <t>Anais Cuvier</t>
  </si>
  <si>
    <t>Mahum Ansar Javed</t>
  </si>
  <si>
    <t xml:space="preserve">Sabine Schindler </t>
  </si>
  <si>
    <t>De Bruin Esmee</t>
  </si>
  <si>
    <t>Sara Yevenes Garcia</t>
  </si>
  <si>
    <t>Annulé le Sat Feb 17 2024 09:43:02 GMT+0100 (UTC+01:00)</t>
  </si>
  <si>
    <t>John Waddell</t>
  </si>
  <si>
    <t xml:space="preserve">Marion Sommer </t>
  </si>
  <si>
    <t>Thomas Sutter</t>
  </si>
  <si>
    <t xml:space="preserve">Gerard Taxil </t>
  </si>
  <si>
    <t>Elisa Degner</t>
  </si>
  <si>
    <t>/ Contrat :Bed &amp; Breakfast Flex Getaway Deal genious rate// Reservation le Wed Apr 29 2026 00:00:00 GMT+0100 (UTC+01:00)</t>
  </si>
  <si>
    <t>abderahim hassani</t>
  </si>
  <si>
    <t>Shania Tanuwidjaja</t>
  </si>
  <si>
    <t>Melanie Cany</t>
  </si>
  <si>
    <t>Susie Fisher</t>
  </si>
  <si>
    <t>Vanina ricci</t>
  </si>
  <si>
    <t xml:space="preserve">Ornella De Pretto </t>
  </si>
  <si>
    <t>Standard Rate Non remboursable BB</t>
  </si>
  <si>
    <t>Contrat : Standard Rate Non remboursable BB</t>
  </si>
  <si>
    <t>Meg Smith</t>
  </si>
  <si>
    <t>Cevriz Ivana</t>
  </si>
  <si>
    <t xml:space="preserve">Sharon Zhou </t>
  </si>
  <si>
    <t>Danilo Maskovic</t>
  </si>
  <si>
    <t>Aurich RODRIGUEZ</t>
  </si>
  <si>
    <t xml:space="preserve">Marcio Bonifacio </t>
  </si>
  <si>
    <t>Mar Gomez Pelaez</t>
  </si>
  <si>
    <t>Annalisa Bartoli</t>
  </si>
  <si>
    <t>Package Highest 31%</t>
  </si>
  <si>
    <t xml:space="preserve">Chizuru Ryan </t>
  </si>
  <si>
    <t>Contrat : Package Highest 31%</t>
  </si>
  <si>
    <t>Anne-Sophie Massa-Martyr</t>
  </si>
  <si>
    <t>/ Contrat :Bed &amp; Breakfast Flex Mobile(App) Rate genious rate// Reservation le Thu Apr 30 2026 00:00:00 GMT+0100 (UTC+01:00)</t>
  </si>
  <si>
    <t>ABDERAHIM HASSANI</t>
  </si>
  <si>
    <t>Francesco Genna</t>
  </si>
  <si>
    <t>Annulé le Sat Apr 27 2024 13:02:03 GMT+0100 (UTC+01:00)</t>
  </si>
  <si>
    <t>Kyu-Jin Lee</t>
  </si>
  <si>
    <t>PHILIPPE VALLENT</t>
  </si>
  <si>
    <t xml:space="preserve">Riccardo Esposito </t>
  </si>
  <si>
    <t>ALEXIS VALLENT</t>
  </si>
  <si>
    <t xml:space="preserve">adil gogo </t>
  </si>
  <si>
    <t>Corinna Cornelius</t>
  </si>
  <si>
    <t>/ Contrat :BB Non Refundable // Reservation le Thu Apr 30 2026 00:00:00 GMT+0100 (UTC+01:00)</t>
  </si>
  <si>
    <t>Leinys Samantha Santos Baez</t>
  </si>
  <si>
    <t>Sarah Dufresne</t>
  </si>
  <si>
    <t xml:space="preserve">laure marziac </t>
  </si>
  <si>
    <t>Paul Rogers</t>
  </si>
  <si>
    <t xml:space="preserve">Karim Hachem </t>
  </si>
  <si>
    <t>Oumkeltoum Abbou</t>
  </si>
  <si>
    <t>Filippa Forsberg</t>
  </si>
  <si>
    <t>Standard Rate European Economic Area</t>
  </si>
  <si>
    <t>Annulé le Wed Apr 10 2024 08:30:03 GMT+0000 (UTC)</t>
  </si>
  <si>
    <t xml:space="preserve">Tanya Lauckner </t>
  </si>
  <si>
    <t>STUART COHEN</t>
  </si>
  <si>
    <t>Gold - Genius Expedia</t>
  </si>
  <si>
    <t>Contrat : Gold - Genius Expedia</t>
  </si>
  <si>
    <t>Modification le 05/05/2026/ Contrat :BB Non Refundable // Reservation le Fri May 01 2026 00:00:00 GMT+0100 (UTC+01:00)</t>
  </si>
  <si>
    <t>Sophie vialle</t>
  </si>
  <si>
    <t>Mevanya Recke</t>
  </si>
  <si>
    <t>Peter Arbitter</t>
  </si>
  <si>
    <t>Tarif Bed&amp;Breakfast</t>
  </si>
  <si>
    <t>Contrat : Tarif Bed&amp;Breakfast</t>
  </si>
  <si>
    <t>Joanna Klencner</t>
  </si>
  <si>
    <t>Alex Guillon</t>
  </si>
  <si>
    <t>Paloma Lopes Carrico de Araujo</t>
  </si>
  <si>
    <t>Lars Balzer</t>
  </si>
  <si>
    <t xml:space="preserve">marisa callipo </t>
  </si>
  <si>
    <t>/ Contrat :Bed &amp; Breakfast Flex Getaway Deal genious rate// Reservation le Fri May 01 2026 00:00:00 GMT+0100 (UTC+01:00)</t>
  </si>
  <si>
    <t>Tessa Wijkhuijs</t>
  </si>
  <si>
    <t>Annulé le Thu Oct 17 2024 21:12:05 GMT+0100 (UTC+01:00)</t>
  </si>
  <si>
    <t xml:space="preserve">client direct </t>
  </si>
  <si>
    <t>Carlos Vaz</t>
  </si>
  <si>
    <t>Maartje de Vroomen</t>
  </si>
  <si>
    <t xml:space="preserve">KATE KENNARD </t>
  </si>
  <si>
    <t>Zander Bakker</t>
  </si>
  <si>
    <t>Federica Pelliccioni</t>
  </si>
  <si>
    <t>stephane rosso</t>
  </si>
  <si>
    <t>Betty caubet</t>
  </si>
  <si>
    <t>Iulia Pavelco</t>
  </si>
  <si>
    <t>Annulé le Mon Apr 15 2024 19:54:02 GMT+0100 (UTC+01:00)</t>
  </si>
  <si>
    <t xml:space="preserve">Joao BATISTA </t>
  </si>
  <si>
    <t>STEFANIA MELOSI</t>
  </si>
  <si>
    <t xml:space="preserve">Tamara Grass </t>
  </si>
  <si>
    <t>/ Contrat :Bed &amp; Breakfast Flex Getaway Deal genious rate// Reservation le Sat May 02 2026 00:00:00 GMT+0100 (UTC+01:00)</t>
  </si>
  <si>
    <t xml:space="preserve">damiano zanon </t>
  </si>
  <si>
    <t>Julie Moir</t>
  </si>
  <si>
    <t>Andrew Anthony</t>
  </si>
  <si>
    <t xml:space="preserve">Mojdeh Givehchi </t>
  </si>
  <si>
    <t>Annulé le Mon Feb 19 2024 11:39:03 GMT+0100 (UTC+01:00)</t>
  </si>
  <si>
    <t>Melanie Bonal</t>
  </si>
  <si>
    <t>Marco Volpi</t>
  </si>
  <si>
    <t>john addison</t>
  </si>
  <si>
    <t xml:space="preserve">Mateo Rivero </t>
  </si>
  <si>
    <t>MANUELA TANFOGLIO</t>
  </si>
  <si>
    <t>DESIREE MIRAVALLS MAROTO</t>
  </si>
  <si>
    <t>Luana Madeira Da Silva</t>
  </si>
  <si>
    <t>MARIA DEL MAR VILA</t>
  </si>
  <si>
    <t>Jamila Sriti</t>
  </si>
  <si>
    <t>denis penouel</t>
  </si>
  <si>
    <t xml:space="preserve">Taina Jacquet </t>
  </si>
  <si>
    <t>Michele Damaskinos</t>
  </si>
  <si>
    <t>/ Contrat :Bed &amp; Breakfast Flex Getaway Deal genious rate// Reservation le Sun May 03 2026 00:00:00 GMT+0100 (UTC+01:00)</t>
  </si>
  <si>
    <t>ERDEM KIZILDERE</t>
  </si>
  <si>
    <t xml:space="preserve">Averil Keen </t>
  </si>
  <si>
    <t>Marie Barbe-Salenave</t>
  </si>
  <si>
    <t xml:space="preserve">Manuela Medina Riad </t>
  </si>
  <si>
    <t>Camille MICOUD</t>
  </si>
  <si>
    <t>Learco Finck</t>
  </si>
  <si>
    <t>Maria Lamelas Godinez</t>
  </si>
  <si>
    <t>Pauline Parisot</t>
  </si>
  <si>
    <t>Giorgio Castriota</t>
  </si>
  <si>
    <t xml:space="preserve">manuela Medina Riad </t>
  </si>
  <si>
    <t>AMIE ANNIKA</t>
  </si>
  <si>
    <t>/ Contrat :BB Non Refundable // Reservation le Sun May 03 2026 00:00:00 GMT+0100 (UTC+01:00)</t>
  </si>
  <si>
    <t>JASPER Leonard</t>
  </si>
  <si>
    <t>Armando Iorio</t>
  </si>
  <si>
    <t>Davide Zaccone</t>
  </si>
  <si>
    <t>Annulé le Fri May 10 2024 21:54:02 GMT+0100 (UTC+01:00)</t>
  </si>
  <si>
    <t>Jacopo De Paolis</t>
  </si>
  <si>
    <t xml:space="preserve">MANUELA Medina Riad </t>
  </si>
  <si>
    <t>Monique Heijnens-Coenjaerts</t>
  </si>
  <si>
    <t>amie annika</t>
  </si>
  <si>
    <t>Annulé le Wed Feb 07 2024 17:10:50 GMT+0100 (UTC+01:00)</t>
  </si>
  <si>
    <t>Kevin Valentini</t>
  </si>
  <si>
    <t>Sofiane HITAM</t>
  </si>
  <si>
    <t>Michaela Rygol</t>
  </si>
  <si>
    <t xml:space="preserve">Jolanda Nobels </t>
  </si>
  <si>
    <t>Yongcong Zhao</t>
  </si>
  <si>
    <t>Claire Baldo</t>
  </si>
  <si>
    <t xml:space="preserve">andy berna </t>
  </si>
  <si>
    <t>Annulé le Tue May 07 2024 09:20:03 GMT+0100 (UTC+01:00)</t>
  </si>
  <si>
    <t>/ Contrat :Bed &amp; Breakfast Flex Mobile(App) Rate genious rate// Reservation le Sun May 03 2026 00:00:00 GMT+0100 (UTC+01:00)</t>
  </si>
  <si>
    <t>Pierre Henri Dolle</t>
  </si>
  <si>
    <t xml:space="preserve">Jessica Palladino </t>
  </si>
  <si>
    <t>Carmela Salvo</t>
  </si>
  <si>
    <t xml:space="preserve">Carlos Moreau Byrne </t>
  </si>
  <si>
    <t>SOPHIE MME</t>
  </si>
  <si>
    <t>/ Contrat :Bed &amp; Breakfast Flex Getaway Deal genious rate// Reservation le Mon May 04 2026 00:00:00 GMT+0100 (UTC+01:00)</t>
  </si>
  <si>
    <t>Aino Pekkarinen</t>
  </si>
  <si>
    <t xml:space="preserve">Erika Slater </t>
  </si>
  <si>
    <t>Olkowicz Fabien</t>
  </si>
  <si>
    <t xml:space="preserve">Blocker Pour Traveaux </t>
  </si>
  <si>
    <t>Nicolas Delorme</t>
  </si>
  <si>
    <t>Hannah SMYTH</t>
  </si>
  <si>
    <t xml:space="preserve">Sabine Rosa Nickl </t>
  </si>
  <si>
    <t>Gianni Mosconi</t>
  </si>
  <si>
    <t xml:space="preserve">Robert Hardy </t>
  </si>
  <si>
    <t>/ Contrat :Bed &amp; Breakfast Flex Getaway Deal genious rate// Reservation le 05/05/2026</t>
  </si>
  <si>
    <t>Morgan Hanrahan</t>
  </si>
  <si>
    <t>Annulé le Fri Mar 22 2024 21:57:23 GMT+0000 (UTC)</t>
  </si>
  <si>
    <t>Roberto Simi</t>
  </si>
  <si>
    <t xml:space="preserve">Charlie Bertin </t>
  </si>
  <si>
    <t>Di Peng</t>
  </si>
  <si>
    <t>Rupert Supper</t>
  </si>
  <si>
    <t xml:space="preserve">Perraud Jade </t>
  </si>
  <si>
    <t>Lisa-anne Murphy</t>
  </si>
  <si>
    <t>/ Contrat :Bed &amp; Breakfast Flex Getaway Deal genious rate// Reservation le Wed May 06 2026 00:00:00 GMT+0100 (UTC+01:00)</t>
  </si>
  <si>
    <t>Paul Martin</t>
  </si>
  <si>
    <t xml:space="preserve">Caterina Fagiolari </t>
  </si>
  <si>
    <t>Wafa Cherif</t>
  </si>
  <si>
    <t xml:space="preserve">Sabrina Joos </t>
  </si>
  <si>
    <t>Julien VASSEUR</t>
  </si>
  <si>
    <t>/ Contrat :Bed &amp; Breakfast Flex Mobile(App) Rate genious rate// Reservation le Wed May 06 2026 00:00:00 GMT+0100 (UTC+01:00)</t>
  </si>
  <si>
    <t>Maxime Colas</t>
  </si>
  <si>
    <t>Ugo Guarnacci</t>
  </si>
  <si>
    <t>/ Contrat :Bed &amp; Breakfast Flex International genious rate// Reservation le Wed May 06 2026 00:00:00 GMT+0100 (UTC+01:00)</t>
  </si>
  <si>
    <t xml:space="preserve">Campeian Gomes </t>
  </si>
  <si>
    <t>Alice Attardo</t>
  </si>
  <si>
    <t>Katia Trincanato</t>
  </si>
  <si>
    <t xml:space="preserve">Mareike Greil </t>
  </si>
  <si>
    <t>Ana Rita Barata Miguel</t>
  </si>
  <si>
    <t xml:space="preserve">OSCAR SERRANO PEREZ-HIGUERAS </t>
  </si>
  <si>
    <t>hugo bordin</t>
  </si>
  <si>
    <t>/ Contrat :Bed &amp; Breakfast Flex International genious rate// Reservation le Thu May 07 2026 00:00:00 GMT+0100 (UTC+01:00)</t>
  </si>
  <si>
    <t>Yuqi Xian</t>
  </si>
  <si>
    <t>Alessandro Aosion</t>
  </si>
  <si>
    <t>/ Contrat :Bed &amp; Breakfast Flex Mobile(App) Rate genious rate// Reservation le Thu May 07 2026 00:00:00 GMT+0100 (UTC+01:00)</t>
  </si>
  <si>
    <t>Alessandro Arosio</t>
  </si>
  <si>
    <t>/ Contrat :Bed &amp; Breakfast Flex Getaway Deal genious rate// Reservation le Thu May 07 2026 00:00:00 GMT+0100 (UTC+01:00)</t>
  </si>
  <si>
    <t>Emilie blanquer</t>
  </si>
  <si>
    <t xml:space="preserve">Philipp Muehlegger </t>
  </si>
  <si>
    <t>Ilkka Paju</t>
  </si>
  <si>
    <t>sylvia mitja</t>
  </si>
  <si>
    <t xml:space="preserve">Francesca Bianchi </t>
  </si>
  <si>
    <t>Lacroix Alexandre</t>
  </si>
  <si>
    <t>Patrick Juin</t>
  </si>
  <si>
    <t xml:space="preserve">David Rowley </t>
  </si>
  <si>
    <t>Annulé le Fri Apr 12 2024 15:58:04 GMT+0000 (UTC)</t>
  </si>
  <si>
    <t>Marie Helene Prat</t>
  </si>
  <si>
    <t>Annulé le Fri Apr 12 2024 10:07:04 GMT+0000 (UTC)</t>
  </si>
  <si>
    <t>Amanda Brinton</t>
  </si>
  <si>
    <t xml:space="preserve">Laurens Helmond-Di Bella </t>
  </si>
  <si>
    <t>chloe maixandeau</t>
  </si>
  <si>
    <t>Dana Fell</t>
  </si>
  <si>
    <t>Chia ling Chen</t>
  </si>
  <si>
    <t xml:space="preserve">Manuella haag </t>
  </si>
  <si>
    <t>ANTONIO RAMIREZ DE ARELLANO</t>
  </si>
  <si>
    <t>Eva Rakuscek Mastnak</t>
  </si>
  <si>
    <t>Hamza Humayyon</t>
  </si>
  <si>
    <t xml:space="preserve">Natalie Dennis </t>
  </si>
  <si>
    <t>Caroline Brazard</t>
  </si>
  <si>
    <t>Rianne Rook</t>
  </si>
  <si>
    <t xml:space="preserve">Freddy Goncalves </t>
  </si>
  <si>
    <t>Lara Chantal Boehne</t>
  </si>
  <si>
    <t xml:space="preserve">Celine Rosenboom </t>
  </si>
  <si>
    <t>Victor Martin Rodriguez</t>
  </si>
  <si>
    <t xml:space="preserve">Lauren McAlister </t>
  </si>
  <si>
    <t>Damian Szulc</t>
  </si>
  <si>
    <t>/ Contrat :Bed &amp; Breakfast Flex Mobile(App) Rate genious rate// Reservation le Sat May 09 2026 00:00:00 GMT+0100 (UTC+01:00)</t>
  </si>
  <si>
    <t>Frederic Pierchon</t>
  </si>
  <si>
    <t xml:space="preserve">Roland Ducani </t>
  </si>
  <si>
    <t>Achraf Khelil</t>
  </si>
  <si>
    <t>Abigail Kerr</t>
  </si>
  <si>
    <t xml:space="preserve">Alina Soltanova </t>
  </si>
  <si>
    <t>Alfonso Maria Mottola</t>
  </si>
  <si>
    <t xml:space="preserve">Shai Clarke </t>
  </si>
  <si>
    <t>Charlotte Herzogenrath</t>
  </si>
  <si>
    <t>/ Contrat :Bed &amp; Breakfast Flex Getaway Deal genious rate// Reservation le Sat May 09 2026 00:00:00 GMT+0100 (UTC+01:00)</t>
  </si>
  <si>
    <t>Dymphi van Gils</t>
  </si>
  <si>
    <t xml:space="preserve">Ewald Kogler </t>
  </si>
  <si>
    <t>Izzy Agnew</t>
  </si>
  <si>
    <t>Juan Carvajal</t>
  </si>
  <si>
    <t xml:space="preserve">Abdulhakeem Almasaudi </t>
  </si>
  <si>
    <t>Matthew Siegal</t>
  </si>
  <si>
    <t>charlotte dufour baillet</t>
  </si>
  <si>
    <t>Sarah Robillard</t>
  </si>
  <si>
    <t xml:space="preserve">MONA DEBEAUX </t>
  </si>
  <si>
    <t>Deborah Warren</t>
  </si>
  <si>
    <t>Lydia Riddle</t>
  </si>
  <si>
    <t xml:space="preserve">Mona Debeaux </t>
  </si>
  <si>
    <t xml:space="preserve">cedric soler </t>
  </si>
  <si>
    <t>Ali Matar</t>
  </si>
  <si>
    <t>Seiler Claire</t>
  </si>
  <si>
    <t xml:space="preserve">Darcy van Diest </t>
  </si>
  <si>
    <t xml:space="preserve">Marta Donofrio </t>
  </si>
  <si>
    <t>Christopher Le Jeune</t>
  </si>
  <si>
    <t xml:space="preserve">Melanie Hasler </t>
  </si>
  <si>
    <t>Octavio Alba Posse</t>
  </si>
  <si>
    <t>Modification le 12/08/2026/ Contrat :Bed &amp; Breakfast Flex Getaway Deal genious rate</t>
  </si>
  <si>
    <t>Owen Leon</t>
  </si>
  <si>
    <t xml:space="preserve">vittorio di lella </t>
  </si>
  <si>
    <t>Vera Diakoff</t>
  </si>
  <si>
    <t>Modification le 10/07/2026/ Contrat :Bed &amp; Breakfast Flex Getaway Deal genious rate</t>
  </si>
  <si>
    <t>Coco Bogers</t>
  </si>
  <si>
    <t>Ines SANNA</t>
  </si>
  <si>
    <t xml:space="preserve">Robert Yeager </t>
  </si>
  <si>
    <t>/ Contrat :Bed &amp; Breakfast Flex Mobile(App) Rate genious rate// Reservation le Mon May 11 2026 00:00:00 GMT+0100 (UTC+01:00)</t>
  </si>
  <si>
    <t>Junova Ellis</t>
  </si>
  <si>
    <t xml:space="preserve">matteo pazzano </t>
  </si>
  <si>
    <t>/ Contrat :BB NRF #new Getaway Deal genious rate// Reservation le Tue May 12 2026 00:00:00 GMT+0100 (UTC+01:00)</t>
  </si>
  <si>
    <t>Luca Vadilonga</t>
  </si>
  <si>
    <t>Océane Boissonnet</t>
  </si>
  <si>
    <t xml:space="preserve">Catherine Darlay </t>
  </si>
  <si>
    <t>Anne-Sophie Chaparro Bejarano</t>
  </si>
  <si>
    <t xml:space="preserve">elie saad </t>
  </si>
  <si>
    <t>Sylwia Chorazy</t>
  </si>
  <si>
    <t>Sahara Experiences</t>
  </si>
  <si>
    <t>Andreia Martins</t>
  </si>
  <si>
    <t>Pedro Miguel de Campos Franco Ribeiro</t>
  </si>
  <si>
    <t>Michael Wong</t>
  </si>
  <si>
    <t xml:space="preserve">Adrian Moghaddassi </t>
  </si>
  <si>
    <t>Gabrielle Trebus</t>
  </si>
  <si>
    <t>victoria Davis</t>
  </si>
  <si>
    <t>Sharon Jordan</t>
  </si>
  <si>
    <t>sarah BUTTRICK</t>
  </si>
  <si>
    <t xml:space="preserve">Sebastian Moller </t>
  </si>
  <si>
    <t>Jari Michiels</t>
  </si>
  <si>
    <t>/ Contrat :Bed &amp; Breakfast Flex Getaway Deal genious rate// Reservation le Wed May 13 2026 00:00:00 GMT+0100 (UTC+01:00)</t>
  </si>
  <si>
    <t>Margaux Quaillet</t>
  </si>
  <si>
    <t>massimiliano de luna</t>
  </si>
  <si>
    <t xml:space="preserve">Alessandra Bellato </t>
  </si>
  <si>
    <t>Anna</t>
  </si>
  <si>
    <t xml:space="preserve">Ines Stavric </t>
  </si>
  <si>
    <t>anna</t>
  </si>
  <si>
    <t xml:space="preserve">Claire Chang </t>
  </si>
  <si>
    <t>/ Contrat :Bed &amp; Breakfast Flex Getaway Deal genious rate// Reservation le Thu May 14 2026 00:00:00 GMT+0100 (UTC+01:00)</t>
  </si>
  <si>
    <t xml:space="preserve">Bernardus Beune </t>
  </si>
  <si>
    <t xml:space="preserve">Mara Aguirre </t>
  </si>
  <si>
    <t>Morocco exp. Ibtissam</t>
  </si>
  <si>
    <t xml:space="preserve">Julie Degreve </t>
  </si>
  <si>
    <t xml:space="preserve">Prarthana Patelia </t>
  </si>
  <si>
    <t xml:space="preserve">Clarissa Schedlitz </t>
  </si>
  <si>
    <t>/ Contrat :Bed &amp; Breakfast Flex Mobile(App) Rate genious rate// Reservation le Sat May 16 2026 00:00:00 GMT+0100 (UTC+01:00)</t>
  </si>
  <si>
    <t>Daria Orzech</t>
  </si>
  <si>
    <t>David Allamby</t>
  </si>
  <si>
    <t>Rob Meijers</t>
  </si>
  <si>
    <t>Fernando Mollica Candella</t>
  </si>
  <si>
    <t>LORA SOTIRAKOPOULOU</t>
  </si>
  <si>
    <t>Annulé le Sun May 05 2024 14:58:05 GMT+0100 (UTC+01:00)</t>
  </si>
  <si>
    <t>Christina Smart</t>
  </si>
  <si>
    <t xml:space="preserve">Chris Cox </t>
  </si>
  <si>
    <t>Jan Knitter</t>
  </si>
  <si>
    <t>Gerken Charles</t>
  </si>
  <si>
    <t xml:space="preserve">Elyce Lilly </t>
  </si>
  <si>
    <t>Emmanuelle MONTEZ</t>
  </si>
  <si>
    <t>Eirini Mavridoglou</t>
  </si>
  <si>
    <t>Ctrip</t>
  </si>
  <si>
    <t>1128147982591035</t>
  </si>
  <si>
    <t xml:space="preserve">YUCHEN LIU </t>
  </si>
  <si>
    <t>Christian Kliem</t>
  </si>
  <si>
    <t>/ Contrat :Bed &amp; Breakfast Non-refundable  (Prepay)</t>
  </si>
  <si>
    <t>YUNGCHIEN LIU</t>
  </si>
  <si>
    <t xml:space="preserve">Kieran Heal </t>
  </si>
  <si>
    <t>EDWIN CANAS</t>
  </si>
  <si>
    <t>/ Contrat :Bed &amp; Breakfast Flex Getaway Deal genious rate// Reservation le Sun May 17 2026 00:00:00 GMT+0100 (UTC+01:00)</t>
  </si>
  <si>
    <t>Grant Cameron</t>
  </si>
  <si>
    <t xml:space="preserve">Adis Lonic </t>
  </si>
  <si>
    <t>Nausica Cangini</t>
  </si>
  <si>
    <t>European Economic Area Standard Rate</t>
  </si>
  <si>
    <t>Contrat : European Economic Area Standard Rate</t>
  </si>
  <si>
    <t>Christoph Repp</t>
  </si>
  <si>
    <t xml:space="preserve">Matthew Slark </t>
  </si>
  <si>
    <t>jean pierre santoni</t>
  </si>
  <si>
    <t>Chiara Isepponi</t>
  </si>
  <si>
    <t>kaori suzuki</t>
  </si>
  <si>
    <t xml:space="preserve">Clement Rousseau </t>
  </si>
  <si>
    <t>Alexandre Burger-Bach</t>
  </si>
  <si>
    <t>Tom Skogman</t>
  </si>
  <si>
    <t xml:space="preserve">Anita Maas </t>
  </si>
  <si>
    <t>Antonella D'Agostino</t>
  </si>
  <si>
    <t>Luca Mutti</t>
  </si>
  <si>
    <t>Rosa Cifuentes</t>
  </si>
  <si>
    <t xml:space="preserve">Stefan Theisen </t>
  </si>
  <si>
    <t>KIZILGUN DERYA</t>
  </si>
  <si>
    <t>Annulé le Wed Jun 12 2024 20:55:03 GMT+0100 (UTC+01:00)</t>
  </si>
  <si>
    <t>Marie Bounthavy</t>
  </si>
  <si>
    <t>/ Contrat :Bed &amp; Breakfast Flex Getaway Deal genious rate// Reservation le Mon May 18 2026 00:00:00 GMT+0100 (UTC+01:00)</t>
  </si>
  <si>
    <t>Annulé le Sun Aug 25 2024 20:00:03 GMT+0100 (UTC+01:00)</t>
  </si>
  <si>
    <t xml:space="preserve">johny minnen </t>
  </si>
  <si>
    <t>Thomas Hue</t>
  </si>
  <si>
    <t xml:space="preserve">Jade Bismuth </t>
  </si>
  <si>
    <t>Keri Hatley</t>
  </si>
  <si>
    <t>/ Contrat :Bed &amp; Breakfast Flex Mobile(App) Rate genious rate// Reservation le 18/05/2026</t>
  </si>
  <si>
    <t>Codrut Sabou</t>
  </si>
  <si>
    <t xml:space="preserve">De Lux Sana Mahalingam </t>
  </si>
  <si>
    <t>/ Contrat :Bed &amp; Breakfast Flex Getaway Deal genious rate// Reservation le Tue May 19 2026 00:00:00 GMT+0100 (UTC+01:00)</t>
  </si>
  <si>
    <t>Annulé le Thu Apr 11 2024 10:05:04 GMT+0000 (UTC)</t>
  </si>
  <si>
    <t xml:space="preserve">Maria Kochetkova </t>
  </si>
  <si>
    <t>john roberts</t>
  </si>
  <si>
    <t>/ Contrat :Bed &amp; Breakfast Flex Mobile(App) Rate genious rate// Reservation le Tue May 19 2026 00:00:00 GMT+0100 (UTC+01:00)</t>
  </si>
  <si>
    <t xml:space="preserve">Bradley Dijk </t>
  </si>
  <si>
    <t>jana azizi</t>
  </si>
  <si>
    <t xml:space="preserve">Ana Elsa Rodriguez Ramos </t>
  </si>
  <si>
    <t>de Poncheville</t>
  </si>
  <si>
    <t>Francisco Jose Diaz Sanchez</t>
  </si>
  <si>
    <t xml:space="preserve">Tricia Jensen </t>
  </si>
  <si>
    <t>Athena Groslambert</t>
  </si>
  <si>
    <t xml:space="preserve">Claire Lovatt </t>
  </si>
  <si>
    <t>/ Contrat :Bed &amp; Breakfast Flex Getaway Deal genious rate// Reservation le Wed May 20 2026 00:00:00 GMT+0100 (UTC+01:00)</t>
  </si>
  <si>
    <t>Chris Jarvis</t>
  </si>
  <si>
    <t xml:space="preserve">Brooke Currence </t>
  </si>
  <si>
    <t>Federica Malagesi</t>
  </si>
  <si>
    <t xml:space="preserve">Bernhard Pintarics </t>
  </si>
  <si>
    <t>Teodor Vasile</t>
  </si>
  <si>
    <t>/ Contrat :Bed &amp; Breakfast Flex Mobile(App) Rate genious rate// Reservation le Thu May 21 2026 00:00:00 GMT+0100 (UTC+01:00)</t>
  </si>
  <si>
    <t>Clovis da Silva Brito</t>
  </si>
  <si>
    <t>Stephane Heinrich</t>
  </si>
  <si>
    <t xml:space="preserve">Jose Ricardo Cypriano </t>
  </si>
  <si>
    <t>morgane jouan</t>
  </si>
  <si>
    <t>ilenia impei</t>
  </si>
  <si>
    <t xml:space="preserve">Cyrielle Douai </t>
  </si>
  <si>
    <t>Annulé le Sun Apr 07 2024 10:55:05 GMT+0000 (UTC)</t>
  </si>
  <si>
    <t xml:space="preserve">Juliette Doyer-van der Aa </t>
  </si>
  <si>
    <t>Stephane HEINRICH</t>
  </si>
  <si>
    <t xml:space="preserve">Lion Corentin </t>
  </si>
  <si>
    <t>Michael Bronstein</t>
  </si>
  <si>
    <t xml:space="preserve">Melanie Schafer </t>
  </si>
  <si>
    <t>Dimitra Theodoropulos</t>
  </si>
  <si>
    <t xml:space="preserve">Rebekah Green </t>
  </si>
  <si>
    <t>Mert Mertcan</t>
  </si>
  <si>
    <t>Navchetanpreet Singh</t>
  </si>
  <si>
    <t>Anouk Keijl</t>
  </si>
  <si>
    <t xml:space="preserve">Jose Andrade </t>
  </si>
  <si>
    <t>Jean-baptiste Nussbaum</t>
  </si>
  <si>
    <t xml:space="preserve">Joy Berta </t>
  </si>
  <si>
    <t>/ Contrat :Bed &amp; Breakfast Flex Getaway Deal genious rate// Reservation le Sat May 23 2026 00:00:00 GMT+0100 (UTC+01:00)</t>
  </si>
  <si>
    <t>Chorazy Chorazy</t>
  </si>
  <si>
    <t xml:space="preserve">Kim Hargraves </t>
  </si>
  <si>
    <t>Aliki Theodoraki</t>
  </si>
  <si>
    <t xml:space="preserve">Niko Pavlicek </t>
  </si>
  <si>
    <t>Enrica Mastantuoni</t>
  </si>
  <si>
    <t>Said Cousin amal adil</t>
  </si>
  <si>
    <t xml:space="preserve">Magda Tornaghi Romano </t>
  </si>
  <si>
    <t>/ Contrat :Bed &amp; Breakfast Flex Mobile(App) Rate genious rate// Reservation le Sun May 24 2026 00:00:00 GMT+0100 (UTC+01:00)</t>
  </si>
  <si>
    <t>136-3410503</t>
  </si>
  <si>
    <t>JESSICA MARI</t>
  </si>
  <si>
    <t xml:space="preserve">Lucie Birkett </t>
  </si>
  <si>
    <t>Contrat : GR-BARCOM</t>
  </si>
  <si>
    <t>ZAINEB LAZREQ</t>
  </si>
  <si>
    <t>Guilherme Ameni</t>
  </si>
  <si>
    <t>Mirta Luigia Brescia Morra</t>
  </si>
  <si>
    <t xml:space="preserve">Natalie King </t>
  </si>
  <si>
    <t>/ Contrat :Bed &amp; Breakfast Flex Getaway Deal genious rate// Reservation le Mon May 25 2026 00:00:00 GMT+0100 (UTC+01:00)</t>
  </si>
  <si>
    <t>Claudia Hell</t>
  </si>
  <si>
    <t>Flex genious rate</t>
  </si>
  <si>
    <t>Contrat : Flex genious rate</t>
  </si>
  <si>
    <t xml:space="preserve">Kaitlyn Hinshaw-Miller </t>
  </si>
  <si>
    <t>Alexis Grontmann</t>
  </si>
  <si>
    <t xml:space="preserve">Maximilian Teichmann </t>
  </si>
  <si>
    <t>Paolo Ottobelli</t>
  </si>
  <si>
    <t>inProgress</t>
  </si>
  <si>
    <t>Date</t>
  </si>
  <si>
    <t>Toshimitsu komooka</t>
  </si>
  <si>
    <t xml:space="preserve">Romain Bernard </t>
  </si>
  <si>
    <t>Rates Booked</t>
  </si>
  <si>
    <t>Laura Leal</t>
  </si>
  <si>
    <t>Promo</t>
  </si>
  <si>
    <t>Type de tarif</t>
  </si>
  <si>
    <t>Rooma Booked</t>
  </si>
  <si>
    <t>Lit</t>
  </si>
  <si>
    <t>Adulte</t>
  </si>
  <si>
    <t>Ian Corless</t>
  </si>
  <si>
    <t xml:space="preserve">Francesco Rota </t>
  </si>
  <si>
    <t>Confirmation de réservation</t>
  </si>
  <si>
    <t>LARGA ESTANCIA 15%</t>
  </si>
  <si>
    <t xml:space="preserve">Danner Magdalena </t>
  </si>
  <si>
    <t>Sabine Julia Albers</t>
  </si>
  <si>
    <t>Large</t>
  </si>
  <si>
    <t>Laura Stenger</t>
  </si>
  <si>
    <t>période HB</t>
  </si>
  <si>
    <t>Norbert Lamers</t>
  </si>
  <si>
    <t>grille HB</t>
  </si>
  <si>
    <t xml:space="preserve">Gian Reto Marugg </t>
  </si>
  <si>
    <t>BED AND BREAKFAST GR-ALL</t>
  </si>
  <si>
    <t>Christine Marsh</t>
  </si>
  <si>
    <t>GR-ALL</t>
  </si>
  <si>
    <t>Modification le 27/05/2026/ Contrat :BB NRF #new Early Booker Deal genious rate</t>
  </si>
  <si>
    <t>FIT</t>
  </si>
  <si>
    <t>Standard Suite STANDARD [1]</t>
  </si>
  <si>
    <t xml:space="preserve">Sharon Van tongeren </t>
  </si>
  <si>
    <t>136-3417911</t>
  </si>
  <si>
    <t>ZAHRA MAHAMOUD</t>
  </si>
  <si>
    <t>brigitte simonsen</t>
  </si>
  <si>
    <t>Reservation Change Confirmation</t>
  </si>
  <si>
    <t xml:space="preserve">Marvin Protacio </t>
  </si>
  <si>
    <t>LARGA ESTANCIA 20%</t>
  </si>
  <si>
    <t>/ Contrat :Bed &amp; Breakfast Flex Getaway Deal genious rate// Reservation le Wed May 27 2026 00:00:00 GMT+0100 (UTC+01:00)</t>
  </si>
  <si>
    <t>Gary Lancry</t>
  </si>
  <si>
    <t xml:space="preserve">Cristina Ibanez Gandia </t>
  </si>
  <si>
    <t>Giorgia Zannini</t>
  </si>
  <si>
    <t>BED AND BREAKFAST CG-OFFER</t>
  </si>
  <si>
    <t>CG-OFFER</t>
  </si>
  <si>
    <t>Florent Sudraud</t>
  </si>
  <si>
    <t>1128148226260262</t>
  </si>
  <si>
    <t xml:space="preserve">Ying Hu </t>
  </si>
  <si>
    <t>Standard Double STANDARD [1]</t>
  </si>
  <si>
    <t>Annulé le Mon Apr 15 2024 10:45:04 GMT+0100 (UTC+01:00)</t>
  </si>
  <si>
    <t>/ Contrat :Bed &amp; Breakfast  (Prepay)</t>
  </si>
  <si>
    <t>1128148226260268</t>
  </si>
  <si>
    <t xml:space="preserve">Ying Fang </t>
  </si>
  <si>
    <t>Zeus Medel Blanch</t>
  </si>
  <si>
    <t>Annulation de réservation</t>
  </si>
  <si>
    <t>BARCOM</t>
  </si>
  <si>
    <t>Bar</t>
  </si>
  <si>
    <t>Isabelle Brunel</t>
  </si>
  <si>
    <t>Nassim Dahak</t>
  </si>
  <si>
    <t>BED AND BREAKFAST GR-BARCOM</t>
  </si>
  <si>
    <t>BAR</t>
  </si>
  <si>
    <t xml:space="preserve">RUIYAN HUANG </t>
  </si>
  <si>
    <t>Deluxe Double DELUXE [1]</t>
  </si>
  <si>
    <t>Laura De Jaen</t>
  </si>
  <si>
    <t>Standard Rate 40% - Offre à Durée Limitée</t>
  </si>
  <si>
    <t>RESERVA ANTICIPADA</t>
  </si>
  <si>
    <t>Contrat : Standard Rate 40% - Offre à Durée Limitée</t>
  </si>
  <si>
    <t>Early</t>
  </si>
  <si>
    <t xml:space="preserve">Emmanuel Grillou </t>
  </si>
  <si>
    <t>Standard Rate 25% - Offre Saisonnière genious rate</t>
  </si>
  <si>
    <t>BED AND BREAKFAST NRF-ALL1</t>
  </si>
  <si>
    <t>NRF-ALL1</t>
  </si>
  <si>
    <t>Contrat : Standard Rate 25% - Offre Saisonnière genious rate</t>
  </si>
  <si>
    <t>Standard Double STANDARD [2]</t>
  </si>
  <si>
    <t>Elke Smeets</t>
  </si>
  <si>
    <t>Enfant</t>
  </si>
  <si>
    <t xml:space="preserve">Heinrich Claussen </t>
  </si>
  <si>
    <t>RESERVA ANTICIPADA 15%</t>
  </si>
  <si>
    <t>Annulé le Sat Sep 21 2024 21:05:05 GMT+0100 (UTC+01:00)</t>
  </si>
  <si>
    <t>Joel Dunand</t>
  </si>
  <si>
    <t>HALF BOARD CG-OFFER</t>
  </si>
  <si>
    <t>Deluxe Double DELUXE [2]</t>
  </si>
  <si>
    <t>HOTEL_OWN_PANEL</t>
  </si>
  <si>
    <t xml:space="preserve">Lucie Galeski </t>
  </si>
  <si>
    <t>RESERVA ANTICIPADA 10%</t>
  </si>
  <si>
    <t>BED AND BREAKFAST GR-OPAQUE1</t>
  </si>
  <si>
    <t>GR-OPAQUE1</t>
  </si>
  <si>
    <t>fabrice Gros</t>
  </si>
  <si>
    <t>Standard Suite STANDARD [2]</t>
  </si>
  <si>
    <t>Annulé le Sat Apr 20 2024 10:27:04 GMT+0100 (UTC+01:00)</t>
  </si>
  <si>
    <t xml:space="preserve">LOIC PICHON </t>
  </si>
  <si>
    <t>136-3419295</t>
  </si>
  <si>
    <t>CLARE ROBINSON</t>
  </si>
  <si>
    <t>Nabil Elaamouchi</t>
  </si>
  <si>
    <t xml:space="preserve">gianluca colangelo </t>
  </si>
  <si>
    <t>136-3419134</t>
  </si>
  <si>
    <t>ROBERT WHITMAN</t>
  </si>
  <si>
    <t>Guillaume Vanpoulle</t>
  </si>
  <si>
    <t>DESCUENTO NO REEMBOLSABLE 10%</t>
  </si>
  <si>
    <t>Carlos Puente</t>
  </si>
  <si>
    <t>HALF BOARD GR-BARCOM</t>
  </si>
  <si>
    <t>Chambre De Luxe</t>
  </si>
  <si>
    <t>Andreea Dumitrescu</t>
  </si>
  <si>
    <t>OPAQUE PACKAGE</t>
  </si>
  <si>
    <t xml:space="preserve">Badi Alkilani </t>
  </si>
  <si>
    <t>Kelly Bosmans</t>
  </si>
  <si>
    <t>Standard Rate Plan tarifaire pour les réservations anticipées (plus de 15 jours à l'avance)</t>
  </si>
  <si>
    <t>HALF BOARD GR-ALL</t>
  </si>
  <si>
    <t>Contrat : Standard Rate Plan tarifaire pour les réservations anticipées (plus de 15 jours à l'avance)</t>
  </si>
  <si>
    <t>Chambre Standard</t>
  </si>
  <si>
    <t>Sylvie Vanden Bruel</t>
  </si>
  <si>
    <t xml:space="preserve">Rochelle Ferguson </t>
  </si>
  <si>
    <t xml:space="preserve">Sazio Laetitia </t>
  </si>
  <si>
    <t>Florence De Wachter</t>
  </si>
  <si>
    <t>NON REFUNDABLE DISCOUNT 10%</t>
  </si>
  <si>
    <t>Modification le 13/06/2026/ Contrat :BB NRF #new Early Booker Deal genious rate</t>
  </si>
  <si>
    <t>HALF BOARD NRF-ALL1</t>
  </si>
  <si>
    <t>Julia Aebischer</t>
  </si>
  <si>
    <t>Suite</t>
  </si>
  <si>
    <t xml:space="preserve">Shivangi Sinha </t>
  </si>
  <si>
    <t>136-3419415</t>
  </si>
  <si>
    <t>MIRIAM NUNES</t>
  </si>
  <si>
    <t>NON REFUNDABLE DISCOUNT</t>
  </si>
  <si>
    <t>2nd market DO NOT TOUCH</t>
  </si>
  <si>
    <t xml:space="preserve">Palasia Patsou </t>
  </si>
  <si>
    <t>B2C</t>
  </si>
  <si>
    <t>Standard Double Room  1 King Bed</t>
  </si>
  <si>
    <t>A-CheapTickets</t>
  </si>
  <si>
    <t>charlotta loved</t>
  </si>
  <si>
    <t>EARLY BOOKING</t>
  </si>
  <si>
    <t xml:space="preserve">Solange Isidoro </t>
  </si>
  <si>
    <t>2nd market P DO NOT TOUCH Package</t>
  </si>
  <si>
    <t>Superior Suite</t>
  </si>
  <si>
    <t>MrJet</t>
  </si>
  <si>
    <t>LONG STAY</t>
  </si>
  <si>
    <t xml:space="preserve">Michelle Prall </t>
  </si>
  <si>
    <t>Kristin Savolainen</t>
  </si>
  <si>
    <t>Breakfast Included</t>
  </si>
  <si>
    <t>Brooke Montgomery</t>
  </si>
  <si>
    <t>Deluxe Double or Twin Room</t>
  </si>
  <si>
    <t xml:space="preserve">OMAR CAMPOS </t>
  </si>
  <si>
    <t>Opaque Package</t>
  </si>
  <si>
    <t>Breakfast Included Package</t>
  </si>
  <si>
    <t>Deluxe Double Room</t>
  </si>
  <si>
    <t>Mario De Gennaro</t>
  </si>
  <si>
    <t xml:space="preserve">martinez carla </t>
  </si>
  <si>
    <t>LARGA ESTANCIA</t>
  </si>
  <si>
    <t>Mobile users DO NOT TOUCH</t>
  </si>
  <si>
    <t>Standard  Double Room</t>
  </si>
  <si>
    <t xml:space="preserve">Benedetta Pacini </t>
  </si>
  <si>
    <t>Kevin GUEDES</t>
  </si>
  <si>
    <t>Non refundable Rate</t>
  </si>
  <si>
    <t>Modification le 09/07/2026/ Contrat :Bed &amp; Breakfast Flex Getaway Deal genious rate// Reservation le Tue Jun 02 2026 00:00:00 GMT+0100 (UTC+01:00)</t>
  </si>
  <si>
    <t>Sandrine Frasca</t>
  </si>
  <si>
    <t>Standard Double STANDARD [3]</t>
  </si>
  <si>
    <t xml:space="preserve">Liz Janneth Linares Bohren </t>
  </si>
  <si>
    <t>SunHotels</t>
  </si>
  <si>
    <t>Lloyd Griffiths</t>
  </si>
  <si>
    <t>Flex 25% - Offre Saisonnière genious rate</t>
  </si>
  <si>
    <t>Non refundable Rate basic</t>
  </si>
  <si>
    <t>Contrat : Flex 25% - Offre Saisonnière genious rate</t>
  </si>
  <si>
    <t>Deluxe Double DELUXE [3]</t>
  </si>
  <si>
    <t xml:space="preserve">Gautier Guerinel </t>
  </si>
  <si>
    <t>Non refundable Rate DÃƒÂƒÃ‚Â©cembre 2016</t>
  </si>
  <si>
    <t>Standard Suite</t>
  </si>
  <si>
    <t xml:space="preserve">Rebeca Escobedo Romero </t>
  </si>
  <si>
    <t>Non refundable Rate genius rate</t>
  </si>
  <si>
    <t>Carl Partow</t>
  </si>
  <si>
    <t>Standard Suite STANDARD [3]</t>
  </si>
  <si>
    <t>Emile Piloti</t>
  </si>
  <si>
    <t>Deluxe Suite</t>
  </si>
  <si>
    <t>Saraha Experinces Ibtissam</t>
  </si>
  <si>
    <t>Non refundable Rate Non Refund Promotion</t>
  </si>
  <si>
    <t xml:space="preserve">Julien Fosserat </t>
  </si>
  <si>
    <t>Family Suite</t>
  </si>
  <si>
    <t>BingYi Wu</t>
  </si>
  <si>
    <t>Google</t>
  </si>
  <si>
    <t>Standard Rate</t>
  </si>
  <si>
    <t>Standard Room</t>
  </si>
  <si>
    <t xml:space="preserve">amal karim ep TALBY </t>
  </si>
  <si>
    <t>Julian Hermes</t>
  </si>
  <si>
    <t>Standard Rate 10% - 24-11-2017</t>
  </si>
  <si>
    <t>/ Contrat :BB NRF #new Getaway Deal(20%) genious rate</t>
  </si>
  <si>
    <t>Habitación de Lujo</t>
  </si>
  <si>
    <t>Andrei Moldoveanu Dumitrescu</t>
  </si>
  <si>
    <t xml:space="preserve">Bellaton Sophie </t>
  </si>
  <si>
    <t>Standard Rate basic</t>
  </si>
  <si>
    <t>Camera Deluxe</t>
  </si>
  <si>
    <t xml:space="preserve">KEIJIRO KONDO </t>
  </si>
  <si>
    <t>Standard Rate dÃƒÂƒÃ‚Â©cembre 2017</t>
  </si>
  <si>
    <t>Anja Johansen</t>
  </si>
  <si>
    <t>Deluxe Suite DELUXE [1]</t>
  </si>
  <si>
    <t xml:space="preserve">Marco Corbetta </t>
  </si>
  <si>
    <t>Standard Rate decembre 2017 2</t>
  </si>
  <si>
    <t>Andrea Baldini</t>
  </si>
  <si>
    <t>Deluxe Suite DELUXE [2]</t>
  </si>
  <si>
    <t xml:space="preserve">Johanna von seidel </t>
  </si>
  <si>
    <t>Alessia Vultaggio</t>
  </si>
  <si>
    <t>Standard Family Room STANDARD [1]</t>
  </si>
  <si>
    <t>/ Contrat :Bed &amp; Breakfast Flex Getaway Deal genious rate// Reservation le Sat Jun 06 2026 00:00:00 GMT+0100 (UTC+01:00)</t>
  </si>
  <si>
    <t>Standard Rate early bk 1 mois</t>
  </si>
  <si>
    <t>EARLY</t>
  </si>
  <si>
    <t>Standard Double STANDARD [4]</t>
  </si>
  <si>
    <t xml:space="preserve">Michael Roots </t>
  </si>
  <si>
    <t>Petra Schmidt</t>
  </si>
  <si>
    <t>Standard Rate early bk 3 mois</t>
  </si>
  <si>
    <t>Standard Double STANDARD [5]</t>
  </si>
  <si>
    <t>Marta Andrade</t>
  </si>
  <si>
    <t xml:space="preserve">Nicola Lamedica </t>
  </si>
  <si>
    <t>Standard Rate EarlyBooking 12%</t>
  </si>
  <si>
    <t>Suite De Luxe</t>
  </si>
  <si>
    <t>/ Contrat :Bed &amp; Breakfast Flex Getaway Deal genious rate// Reservation le Sun Jun 07 2026 00:00:00 GMT+0100 (UTC+01:00)</t>
  </si>
  <si>
    <t>Franceso Modesti</t>
  </si>
  <si>
    <t>Standard Rate End Oct 2017</t>
  </si>
  <si>
    <t xml:space="preserve">Jasdev Bhakar </t>
  </si>
  <si>
    <t>Standard Double Room</t>
  </si>
  <si>
    <t>Zarina Funk</t>
  </si>
  <si>
    <t>AUTRE</t>
  </si>
  <si>
    <t>Deluxe Room</t>
  </si>
  <si>
    <t>Christophe EDALITI</t>
  </si>
  <si>
    <t>Standard Rate Memberdeal 10%</t>
  </si>
  <si>
    <t>Family Suite  2 Bedrooms</t>
  </si>
  <si>
    <t>Matteo Gasperi</t>
  </si>
  <si>
    <t>Matteo Cerutti</t>
  </si>
  <si>
    <t>Standard Rate MemberDeal 15%</t>
  </si>
  <si>
    <t>Deluxe kamer</t>
  </si>
  <si>
    <t>Jennifer Vidal</t>
  </si>
  <si>
    <t>Standard Rate MinStay4Nights 10%</t>
  </si>
  <si>
    <t>LARGE</t>
  </si>
  <si>
    <t>Luxury Suite</t>
  </si>
  <si>
    <t>Standard Rate novembre 2017</t>
  </si>
  <si>
    <t xml:space="preserve">Farrow-Smith Farrow-Smith </t>
  </si>
  <si>
    <t>Standard room</t>
  </si>
  <si>
    <t>ZARINA FUNK</t>
  </si>
  <si>
    <t>Standard Rate Pension ComplÃƒÂ¨te</t>
  </si>
  <si>
    <t>Deluxe Double DELUXE [4]</t>
  </si>
  <si>
    <t>Valentina Giani</t>
  </si>
  <si>
    <t xml:space="preserve">Leonie Siessl </t>
  </si>
  <si>
    <t>Standard Rate plus de 5 nuitees 20%</t>
  </si>
  <si>
    <t>Standard Suite STANDARD [4]</t>
  </si>
  <si>
    <t>Diane Abeyawickrama</t>
  </si>
  <si>
    <t>Annulé le Sun May 26 2024 21:28:04 GMT+0100 (UTC+01:00)</t>
  </si>
  <si>
    <t>Standard Rate secret</t>
  </si>
  <si>
    <t xml:space="preserve">Elloise Farrow Smith </t>
  </si>
  <si>
    <t>Double room - De Luxe</t>
  </si>
  <si>
    <t>Ana Filipa Cruz Silva</t>
  </si>
  <si>
    <t>Tarif Chambre Avec Petit DÃ©jeuner</t>
  </si>
  <si>
    <t>Standardzimmer</t>
  </si>
  <si>
    <t>Pierre Russell</t>
  </si>
  <si>
    <t xml:space="preserve">Gaelle MAMDOUH </t>
  </si>
  <si>
    <t>Frank Blokdijk</t>
  </si>
  <si>
    <t>Deluxe Zimmer</t>
  </si>
  <si>
    <t>Non refundable Rate DÃ?Â©cembre 2016</t>
  </si>
  <si>
    <t>ELAINE STEELE</t>
  </si>
  <si>
    <t>0Deluxe Suite</t>
  </si>
  <si>
    <t xml:space="preserve">Vasiliki Papakonstanti </t>
  </si>
  <si>
    <t>Joost Deen</t>
  </si>
  <si>
    <t>Standard Rate dÃ?Â©cembre 2017</t>
  </si>
  <si>
    <t>/ Contrat :Bed &amp; Breakfast Flex Mobile(App) Rate genious rate// Reservation le Tue Jun 09 2026 00:00:00 GMT+0100 (UTC+01:00)</t>
  </si>
  <si>
    <t>Two-Bedroom Suite</t>
  </si>
  <si>
    <t>Standard Rate Pension ComplÃ¨te</t>
  </si>
  <si>
    <t>Suite - De Luxe</t>
  </si>
  <si>
    <t>Natercia Braganca</t>
  </si>
  <si>
    <t>Standard Rate 30% - 28-6-2018</t>
  </si>
  <si>
    <t>Kathleen Thomason</t>
  </si>
  <si>
    <t>Bed &amp;amp; Breakfast Rate</t>
  </si>
  <si>
    <t xml:space="preserve">Sandrine Schwertler </t>
  </si>
  <si>
    <t>Fabienne Charriere</t>
  </si>
  <si>
    <t>Double Standard STANDARD [1]</t>
  </si>
  <si>
    <t>EarlyBooking 12%</t>
  </si>
  <si>
    <t xml:space="preserve">Tom Eiberger </t>
  </si>
  <si>
    <t>Suite Deluxe DELUXE [1]</t>
  </si>
  <si>
    <t>Andrea Rabizzi</t>
  </si>
  <si>
    <t>Tarifa de Alojamiento Y Desayuno</t>
  </si>
  <si>
    <t>Double Deluxe DELUXE [1]</t>
  </si>
  <si>
    <t>Cristina Fernandez</t>
  </si>
  <si>
    <t xml:space="preserve"> EarlyBooking 12%</t>
  </si>
  <si>
    <t>Omid Ebrahimzadeh</t>
  </si>
  <si>
    <t>Suite Standard STANDARD [1]</t>
  </si>
  <si>
    <t>Tariffa Bed&amp;amp;Breakfast</t>
  </si>
  <si>
    <t>Joshua Johnson</t>
  </si>
  <si>
    <t>0Chambre De Luxe</t>
  </si>
  <si>
    <t>Sabrina Jacquelin Nothelfer</t>
  </si>
  <si>
    <t>Tarif Bed&amp;amp;Breakfast</t>
  </si>
  <si>
    <t>0Suite De Luxe</t>
  </si>
  <si>
    <t>Stuart McMillan</t>
  </si>
  <si>
    <t>Standard</t>
  </si>
  <si>
    <t>1Chambre De Luxe</t>
  </si>
  <si>
    <t>Bart michiel kool</t>
  </si>
  <si>
    <t>Standard Rate Non-remboursable BB</t>
  </si>
  <si>
    <t>2Chambre De Luxe</t>
  </si>
  <si>
    <t>Claire Speer</t>
  </si>
  <si>
    <t>Bed&amp;amp;Breakfast tarief</t>
  </si>
  <si>
    <t xml:space="preserve">VIRGINIA CHIRICO </t>
  </si>
  <si>
    <t>2Family Suite</t>
  </si>
  <si>
    <t>laura chanel</t>
  </si>
  <si>
    <t>Standard Rate CUG EU POS</t>
  </si>
  <si>
    <t>Chambre Famille</t>
  </si>
  <si>
    <t>Federico Zuccotti</t>
  </si>
  <si>
    <t xml:space="preserve">stavros skafidas </t>
  </si>
  <si>
    <t>Standard Rate EU POS</t>
  </si>
  <si>
    <t>Yongcong ZHAO</t>
  </si>
  <si>
    <t>Suite de Lujo</t>
  </si>
  <si>
    <t>Standard Rate 20% - August Getaway Deal - Jul 17, 2019</t>
  </si>
  <si>
    <t>Mourad Ami Adil</t>
  </si>
  <si>
    <t>Special</t>
  </si>
  <si>
    <t>Suite Standard STANDARD</t>
  </si>
  <si>
    <t xml:space="preserve">Bettina Kempinger </t>
  </si>
  <si>
    <t>Leslie Fouquet</t>
  </si>
  <si>
    <t>Standard Rate - No meals</t>
  </si>
  <si>
    <t>Family Room Standard STANDARD [1]</t>
  </si>
  <si>
    <t>alessandro pollazzon</t>
  </si>
  <si>
    <t xml:space="preserve">Alexander Aarsman </t>
  </si>
  <si>
    <t>FULL BOARD GR-ALL</t>
  </si>
  <si>
    <t>Family Room Standard STANDARD [2]</t>
  </si>
  <si>
    <t>Annulé le Fri Nov 08 2024 09:25:04 GMT+0100 (UTC+01:00)</t>
  </si>
  <si>
    <t xml:space="preserve">Maria Del Rosario Chavez Rosas </t>
  </si>
  <si>
    <t>BED AND BREAKFAST NRF BAR</t>
  </si>
  <si>
    <t>Deluxe Double Room (Double Deluxe)</t>
  </si>
  <si>
    <t>/ Contrat :BB NRF #new Mobile(App) Rate genious rate</t>
  </si>
  <si>
    <t>Standard Rate 40% - Offre pour les Fêtes</t>
  </si>
  <si>
    <t>Samuel Amin</t>
  </si>
  <si>
    <t>Standard Double Room (Double Standard)</t>
  </si>
  <si>
    <t xml:space="preserve">Natalia Dolgacheva </t>
  </si>
  <si>
    <t>Farouk Zenaidi</t>
  </si>
  <si>
    <t>/ Contrat :Bed &amp; Breakfast Flex Getaway Deal genious rate// Reservation le Wed Jun 10 2026 00:00:00 GMT+0100 (UTC+01:00)</t>
  </si>
  <si>
    <t>Standard Rate 10% - Secret Deal</t>
  </si>
  <si>
    <t>Suite Deluxe DELUXE</t>
  </si>
  <si>
    <t xml:space="preserve">Reservation marwa </t>
  </si>
  <si>
    <t>NonRefundable Rate - Breakfast</t>
  </si>
  <si>
    <t>Standard Suite (Suite Standard)</t>
  </si>
  <si>
    <t>/ Contrat :BB Non Refundable // Reservation le Wed Jun 10 2026 00:00:00 GMT+0100 (UTC+01:00)</t>
  </si>
  <si>
    <t xml:space="preserve">Reservation Marwa </t>
  </si>
  <si>
    <t>Standard Rate 10% - Secret Deal genious rate</t>
  </si>
  <si>
    <t>Richard Johnson</t>
  </si>
  <si>
    <t>Double Deluxe DELUXE [2]</t>
  </si>
  <si>
    <t>Vera Lynn in 't Veld</t>
  </si>
  <si>
    <t xml:space="preserve">Nadine Leder-Rademacher </t>
  </si>
  <si>
    <t>FULL BOARD GR-BARCOM</t>
  </si>
  <si>
    <t>Suite Deluxe</t>
  </si>
  <si>
    <t>Gopolang Ngale Lekgetha</t>
  </si>
  <si>
    <t>/ Contrat :BB NRF #new Early Booker Deal genious rate// Reservation le Wed Jun 10 2026 00:00:00 GMT+0100 (UTC+01:00)</t>
  </si>
  <si>
    <t>Standard Rate Non-remboursable BB genious rate</t>
  </si>
  <si>
    <t>Charlie Debard</t>
  </si>
  <si>
    <r>
      <rPr>
        <rFont val="&quot;Google Sans&quot;, Roboto, sans-serif"/>
        <color rgb="FF1F1F1F"/>
        <sz val="11.0"/>
      </rPr>
      <t>Люкс</t>
    </r>
  </si>
  <si>
    <t>Rossat Mehdi</t>
  </si>
  <si>
    <t xml:space="preserve">Nastya Agafonova </t>
  </si>
  <si>
    <t>Standard Rate EarlyBooking 15% - 30Days genious rate</t>
  </si>
  <si>
    <t>Annulé le Sat Aug 03 2024 20:29:04 GMT+0100 (UTC+01:00)</t>
  </si>
  <si>
    <r>
      <rPr>
        <rFont val="&quot;Google Sans&quot;, Roboto, sans-serif"/>
        <color rgb="FF1F1F1F"/>
        <sz val="11.0"/>
      </rPr>
      <t>Suíte Luxo</t>
    </r>
  </si>
  <si>
    <t>Nadezhda Burtseva</t>
  </si>
  <si>
    <t>Standard Rate Stay5Nights - Pay4Nights genious rate</t>
  </si>
  <si>
    <t>Annulé le Sun Aug 18 2024 21:23:05 GMT+0100 (UTC+01:00)</t>
  </si>
  <si>
    <t>Номер Категории «Делюкс»</t>
  </si>
  <si>
    <t xml:space="preserve">Chantal Hugli </t>
  </si>
  <si>
    <t>Flavien Duhamel</t>
  </si>
  <si>
    <t>Standard Rate Demie-pension genious rate</t>
  </si>
  <si>
    <t>MARIELLE L HOTELLIER</t>
  </si>
  <si>
    <r>
      <rPr>
        <rFont val="&quot;Google Sans&quot;, Roboto, sans-serif"/>
        <color rgb="FF1F1F1F"/>
        <sz val="9.0"/>
      </rPr>
      <t>Double Deluxe DELUXE [3]</t>
    </r>
  </si>
  <si>
    <t xml:space="preserve">Robin Patricia </t>
  </si>
  <si>
    <t>Standard Rate Stay5Nights - Pay4Nights</t>
  </si>
  <si>
    <t>Sylvain LEGROS</t>
  </si>
  <si>
    <r>
      <rPr>
        <rFont val="&quot;Google Sans&quot;, Roboto, sans-serif"/>
        <color rgb="FF1F1F1F"/>
        <sz val="9.0"/>
      </rPr>
      <t>Suite Standard STANDARD [2]</t>
    </r>
  </si>
  <si>
    <t>Olivia Sanderson</t>
  </si>
  <si>
    <t>HALF BOARD NRF BAR</t>
  </si>
  <si>
    <r>
      <rPr>
        <rFont val="&quot;Google Sans&quot;, Roboto, sans-serif"/>
        <color rgb="FF1F1F1F"/>
        <sz val="9.0"/>
      </rPr>
      <t>Элитный Люкс</t>
    </r>
  </si>
  <si>
    <t>Raymond Onwunali</t>
  </si>
  <si>
    <t>Standard Rate EarlyBooking 15% - 30Days</t>
  </si>
  <si>
    <r>
      <rPr>
        <rFont val="&quot;Google Sans&quot;, Roboto, sans-serif"/>
        <color rgb="FF1F1F1F"/>
        <sz val="9.0"/>
      </rPr>
      <t>Стандартный Номер</t>
    </r>
  </si>
  <si>
    <t xml:space="preserve">Imane Boughdiri </t>
  </si>
  <si>
    <t>bilal adni</t>
  </si>
  <si>
    <t>Standard Rate - Breakfast</t>
  </si>
  <si>
    <t>Flex European Economic Area genious rate</t>
  </si>
  <si>
    <r>
      <rPr>
        <rFont val="&quot;Google Sans&quot;, Roboto, sans-serif"/>
        <color rgb="FF1F1F1F"/>
        <sz val="9.0"/>
      </rPr>
      <t>Camera Standard</t>
    </r>
  </si>
  <si>
    <t>Contrat : Flex European Economic Area genious rate</t>
  </si>
  <si>
    <t>Luisa Elsig</t>
  </si>
  <si>
    <t>Standard Rate Stay6Nights - Pay5Nights</t>
  </si>
  <si>
    <t>Flex Bed &amp; Breakfast NRF genious rate</t>
  </si>
  <si>
    <t>Contrat : Flex Bed &amp; Breakfast NRF genious rate</t>
  </si>
  <si>
    <r>
      <rPr>
        <rFont val="&quot;Google Sans&quot;, Roboto, sans-serif"/>
        <color rgb="FF1F1F1F"/>
        <sz val="9.0"/>
      </rPr>
      <t>Standart Oda</t>
    </r>
  </si>
  <si>
    <t xml:space="preserve">Tonya Rushmer </t>
  </si>
  <si>
    <t>Amelie Tiritilli</t>
  </si>
  <si>
    <t>Standard Rate 30% - Offre standard genious rate</t>
  </si>
  <si>
    <t>Standard Rate Pension ComplÃ¨te genious rate</t>
  </si>
  <si>
    <t>Contrat : Standard Rate 30% - Offre standard genious rate</t>
  </si>
  <si>
    <r>
      <rPr>
        <rFont val="&quot;Google Sans&quot;, Roboto, sans-serif"/>
        <color rgb="FF1F1F1F"/>
        <sz val="9.0"/>
      </rPr>
      <t>Standaard kamer</t>
    </r>
  </si>
  <si>
    <r>
      <rPr>
        <rFont val="&quot;Google Sans&quot;, Roboto, sans-serif"/>
        <color rgb="FF1F1F1F"/>
        <sz val="9.0"/>
      </rPr>
      <t>Habitación Estándar</t>
    </r>
  </si>
  <si>
    <t>Marica Valentini</t>
  </si>
  <si>
    <t>semaine genious rate</t>
  </si>
  <si>
    <t xml:space="preserve">Anita Bennett </t>
  </si>
  <si>
    <t>Standard STANDARD [1]</t>
  </si>
  <si>
    <t>/ Contrat :Bed &amp; Breakfast Flex Mobile(App) Rate genious rate// Reservation le Sat Jun 13 2026 00:00:00 GMT+0100 (UTC+01:00)</t>
  </si>
  <si>
    <t>SANDRA SERHAN</t>
  </si>
  <si>
    <t>Suite Standard STANDARD [2]</t>
  </si>
  <si>
    <t xml:space="preserve">Kim Pitcher </t>
  </si>
  <si>
    <t>plus de 15 jours</t>
  </si>
  <si>
    <t>Tessa Arkell</t>
  </si>
  <si>
    <t>Deluxe DELUXE [1]</t>
  </si>
  <si>
    <t xml:space="preserve">Modification le 14/06/2026/ Contrat :BB Non Refundable </t>
  </si>
  <si>
    <t>la semaine</t>
  </si>
  <si>
    <t>Deluxe DELUXE [2]</t>
  </si>
  <si>
    <t>Nicole Caimi</t>
  </si>
  <si>
    <t xml:space="preserve">Franganillo Carlos </t>
  </si>
  <si>
    <t>Bed &amp; Breakfast Flex Bed &amp; Breakfast NRF genious rate</t>
  </si>
  <si>
    <t>Standard STANDARD [2]</t>
  </si>
  <si>
    <t>136-3426712</t>
  </si>
  <si>
    <t>BLANDINE JACQUINET</t>
  </si>
  <si>
    <t>Bed &amp; Breakfast Flex</t>
  </si>
  <si>
    <t>Deluxe Double Room-BB</t>
  </si>
  <si>
    <t>Luis Batllo</t>
  </si>
  <si>
    <r>
      <rPr>
        <rFont val="Arial"/>
        <color rgb="FF000000"/>
      </rPr>
      <t>Bed &amp; Breakfast NRF</t>
    </r>
  </si>
  <si>
    <t>Family Suite-Flexible BB</t>
  </si>
  <si>
    <t xml:space="preserve">Laurent Kaeser </t>
  </si>
  <si>
    <t>Nuria Perez Fragueiro</t>
  </si>
  <si>
    <r>
      <rPr>
        <rFont val="&quot;Google Sans&quot;, Roboto, sans-serif"/>
        <color rgb="FF1F1F1F"/>
        <sz val="11.0"/>
      </rPr>
      <t>Half-Board Flex</t>
    </r>
  </si>
  <si>
    <t>Youssef Ami Adil</t>
  </si>
  <si>
    <t xml:space="preserve">Pierre Baux </t>
  </si>
  <si>
    <r>
      <rPr>
        <rFont val="&quot;Google Sans&quot;, Roboto, sans-serif"/>
        <color rgb="FF1F1F1F"/>
        <sz val="11.0"/>
      </rPr>
      <t>BB - Bed&amp;Breakfast</t>
    </r>
  </si>
  <si>
    <t>Hossem-Eddine Azizi</t>
  </si>
  <si>
    <r>
      <rPr>
        <rFont val="&quot;Google Sans&quot;, Roboto, sans-serif"/>
        <color rgb="FF1F1F1F"/>
        <sz val="11.0"/>
      </rPr>
      <t>Tarifa Com Café</t>
    </r>
  </si>
  <si>
    <t>AHMED TIBARI</t>
  </si>
  <si>
    <r>
      <rPr>
        <rFont val="Arial"/>
        <color rgb="FF000000"/>
      </rPr>
      <t>Breakfast - Beds Network</t>
    </r>
  </si>
  <si>
    <r>
      <rPr>
        <rFont val="&quot;Google Sans&quot;, Roboto, sans-serif"/>
        <color rgb="FF1F1F1F"/>
        <sz val="11.0"/>
      </rPr>
      <t>European Economic Area genious</t>
    </r>
  </si>
  <si>
    <t>Maxime Monard</t>
  </si>
  <si>
    <t>/ Contrat :Bed &amp; Breakfast Flex Getaway Deal genious rate// Reservation le Tue Jun 16 2026 00:00:00 GMT+0100 (UTC+01:00)</t>
  </si>
  <si>
    <r>
      <rPr>
        <rFont val="&quot;Google Sans&quot;, Roboto, sans-serif"/>
        <color rgb="FF1F1F1F"/>
        <sz val="11.0"/>
      </rPr>
      <t>Тариф</t>
    </r>
  </si>
  <si>
    <t xml:space="preserve">Elisa Lopez Molina </t>
  </si>
  <si>
    <t>MAYU KOJIMA</t>
  </si>
  <si>
    <t>BB NRF</t>
  </si>
  <si>
    <t>Amin Benmoussa</t>
  </si>
  <si>
    <t>Hawa Azhar</t>
  </si>
  <si>
    <t>HB NRF</t>
  </si>
  <si>
    <t>Gregory Allan</t>
  </si>
  <si>
    <t xml:space="preserve">tatiana Cecilia oyarzun </t>
  </si>
  <si>
    <t>Standard Rate Canada genious rate</t>
  </si>
  <si>
    <t>Contrat : Standard Rate Canada genious rate</t>
  </si>
  <si>
    <t>Catia Pereira</t>
  </si>
  <si>
    <t xml:space="preserve">Alina Berger </t>
  </si>
  <si>
    <t>Joanna Metcalfe-Smith</t>
  </si>
  <si>
    <t>/ Contrat :Bed &amp; Breakfast Flex Mobile(App) Rate genious rate// Reservation le Thu Jun 18 2026 00:00:00 GMT+0100 (UTC+01:00)</t>
  </si>
  <si>
    <t xml:space="preserve">Kajsa Oldin </t>
  </si>
  <si>
    <t>Sunny Dhinsey</t>
  </si>
  <si>
    <t>BB Non Refundable</t>
  </si>
  <si>
    <t>Annulé le Fri Apr 19 2024 20:17:03 GMT+0100 (UTC+01:00)</t>
  </si>
  <si>
    <t>Emmanuel Castillo de Carvalho</t>
  </si>
  <si>
    <t xml:space="preserve">Leslie Blankenship </t>
  </si>
  <si>
    <t>Myriam El Maamar</t>
  </si>
  <si>
    <t>Full Board</t>
  </si>
  <si>
    <t xml:space="preserve">Cynthia Stern </t>
  </si>
  <si>
    <t>Angel Luis Cartagena</t>
  </si>
  <si>
    <t>Half Board</t>
  </si>
  <si>
    <t>Modification le 08/07/2026/ Contrat :Bed &amp; Breakfast Flex International genious rate// Reservation le Sat Jun 20 2026 00:00:00 GMT+0100 (UTC+01:00)</t>
  </si>
  <si>
    <t>RTBF Service voyages</t>
  </si>
  <si>
    <t>Bed &amp; Breakfast  (Prepay)</t>
  </si>
  <si>
    <t xml:space="preserve">Christian Mr. Lhomony </t>
  </si>
  <si>
    <t>stephane bouchic</t>
  </si>
  <si>
    <t>Mario Vega Gomez</t>
  </si>
  <si>
    <t xml:space="preserve">Janko Rawiel </t>
  </si>
  <si>
    <t>Will Lynch</t>
  </si>
  <si>
    <t xml:space="preserve">Nico Cossyns </t>
  </si>
  <si>
    <t>Emmanuelle Caprais</t>
  </si>
  <si>
    <t>Thuen Berit</t>
  </si>
  <si>
    <t>Non remboursable BB genious rate Standard Rate Plan tarifaire pour les réservations anticipées (plus de 15 jours à l'avance)</t>
  </si>
  <si>
    <t>Contrat : Non remboursable BB genious rate Standard Rate Plan tarifaire pour les réservations anticipées (plus de 15 jours à l'avance)</t>
  </si>
  <si>
    <t xml:space="preserve">Jean DUCHATEL </t>
  </si>
  <si>
    <t xml:space="preserve">Jean-Jacques Suter </t>
  </si>
  <si>
    <t xml:space="preserve">Alexander Gillen </t>
  </si>
  <si>
    <t>Fiona Jacob</t>
  </si>
  <si>
    <t xml:space="preserve">Margaret Dempster </t>
  </si>
  <si>
    <t>VERONIQUE BONNEVAY</t>
  </si>
  <si>
    <t xml:space="preserve">Travaux travaux </t>
  </si>
  <si>
    <t>Julia Hoschek</t>
  </si>
  <si>
    <t xml:space="preserve">Jamil Ajjane </t>
  </si>
  <si>
    <t>Maud Pommier</t>
  </si>
  <si>
    <t xml:space="preserve">MAVIYA NOOR MOHAMMADI </t>
  </si>
  <si>
    <t>Moris Anderious</t>
  </si>
  <si>
    <t xml:space="preserve">Stephanie Bach </t>
  </si>
  <si>
    <t>Bruno Santos</t>
  </si>
  <si>
    <t xml:space="preserve">Sandra Finnegan </t>
  </si>
  <si>
    <t>Jayde Meade</t>
  </si>
  <si>
    <t xml:space="preserve">Marine legrande </t>
  </si>
  <si>
    <t>Derek Spiers</t>
  </si>
  <si>
    <t xml:space="preserve">Wessal Riad Ambre </t>
  </si>
  <si>
    <t>Renaud Barillet</t>
  </si>
  <si>
    <t xml:space="preserve">Massimo magni </t>
  </si>
  <si>
    <t xml:space="preserve">Martin Veitzman </t>
  </si>
  <si>
    <t>Alessia Palombo</t>
  </si>
  <si>
    <t xml:space="preserve">Benjamin Bratby </t>
  </si>
  <si>
    <t>maha rhandi</t>
  </si>
  <si>
    <t>Yassin ajig</t>
  </si>
  <si>
    <t>Contrat : Standard Rate European Economic Area</t>
  </si>
  <si>
    <t>Alba Bellofiore</t>
  </si>
  <si>
    <t xml:space="preserve">Jasmine Kelly </t>
  </si>
  <si>
    <t xml:space="preserve">Yeray Sanchez Pizarro </t>
  </si>
  <si>
    <t>Charlotte Penny</t>
  </si>
  <si>
    <t>Modification le 01/07/2026/ Contrat :BB NRF #new Early Booker Deal genious rate</t>
  </si>
  <si>
    <t>Coulee Carine</t>
  </si>
  <si>
    <t xml:space="preserve">Wessal ibtissam </t>
  </si>
  <si>
    <t>Annulé le Wed Sep 04 2024 09:55:05 GMT+0100 (UTC+01:00)</t>
  </si>
  <si>
    <t>FRANK SCHERMANN</t>
  </si>
  <si>
    <t xml:space="preserve">De Gennaro Angelo </t>
  </si>
  <si>
    <t>Charif Cherkaoui El Gacemi</t>
  </si>
  <si>
    <t>Oksana Averianova</t>
  </si>
  <si>
    <t xml:space="preserve">Joe Munroe </t>
  </si>
  <si>
    <t>Sharlesque George</t>
  </si>
  <si>
    <t xml:space="preserve">GIULIA FERRARI </t>
  </si>
  <si>
    <t>Nataliia Shpilchak</t>
  </si>
  <si>
    <t xml:space="preserve">inga zelvyte </t>
  </si>
  <si>
    <t>Paul Mulvey</t>
  </si>
  <si>
    <t xml:space="preserve">Abdelah Kamal </t>
  </si>
  <si>
    <t>Tobias Bremer</t>
  </si>
  <si>
    <t>davide boeris</t>
  </si>
  <si>
    <t>Samuel Kankuni</t>
  </si>
  <si>
    <t xml:space="preserve">Graeme Popplewell </t>
  </si>
  <si>
    <t>Luuk Boschker</t>
  </si>
  <si>
    <t>Modification le 11/07/2026/ Contrat :Bed &amp; Breakfast Flex Mobile(App) Rate genious rate</t>
  </si>
  <si>
    <t xml:space="preserve">Castro Ana </t>
  </si>
  <si>
    <t>Sophie CORNEE</t>
  </si>
  <si>
    <t>/ Contrat :Bed &amp; Breakfast Flex Mobile(MDot) Rate genious rate// Reservation le Sun Jul 05 2026 00:00:00 GMT+0100 (UTC+01:00)</t>
  </si>
  <si>
    <t xml:space="preserve">Barbara Figueiredo Veiga </t>
  </si>
  <si>
    <t>Leroueil Romain</t>
  </si>
  <si>
    <t>/ Contrat :Bed &amp; Breakfast Flex Mobile(App) Rate genious rate// Reservation le Sun Jul 05 2026 00:00:00 GMT+0100 (UTC+01:00)</t>
  </si>
  <si>
    <t xml:space="preserve">Stefanie Stauter </t>
  </si>
  <si>
    <t>hanan par adil</t>
  </si>
  <si>
    <t>Georgina Reinoso</t>
  </si>
  <si>
    <t xml:space="preserve">Gerard VdVegt </t>
  </si>
  <si>
    <t xml:space="preserve">Iris Hofbeck </t>
  </si>
  <si>
    <t>SUKSAWAT KAEWKAEN</t>
  </si>
  <si>
    <t xml:space="preserve">Emela Durakovic </t>
  </si>
  <si>
    <t>Patrik Pochon</t>
  </si>
  <si>
    <t xml:space="preserve">Caryn O\'Kane </t>
  </si>
  <si>
    <t>/ Contrat :Bed &amp; Breakfast Flex International genious rate// Reservation le Wed Jul 08 2026 00:00:00 GMT+0100 (UTC+01:00)</t>
  </si>
  <si>
    <t>Alexander Lethen</t>
  </si>
  <si>
    <t xml:space="preserve">Jorg Messirek </t>
  </si>
  <si>
    <t>Annulé le Sat May 04 2024 10:12:04 GMT+0100 (UTC+01:00)</t>
  </si>
  <si>
    <t xml:space="preserve">Federico Aleotti </t>
  </si>
  <si>
    <t>Elena d'Errico Reginelli</t>
  </si>
  <si>
    <t xml:space="preserve">Alessandro Gentile </t>
  </si>
  <si>
    <t>Breogan Abelleira</t>
  </si>
  <si>
    <t xml:space="preserve">Mounia Nati </t>
  </si>
  <si>
    <t>Annulé le Fri May 10 2024 10:23:03 GMT+0100 (UTC+01:00)</t>
  </si>
  <si>
    <t>Joana Melo</t>
  </si>
  <si>
    <t>Alexandra Leppanen</t>
  </si>
  <si>
    <t xml:space="preserve">Sabine Mayer </t>
  </si>
  <si>
    <t>MADOKA OKAMOTO</t>
  </si>
  <si>
    <t>Samira Freih</t>
  </si>
  <si>
    <t xml:space="preserve">Claudia Venzin </t>
  </si>
  <si>
    <t xml:space="preserve">Martin Brodnan </t>
  </si>
  <si>
    <t>CHRISTOPHE BUCHLIN</t>
  </si>
  <si>
    <t xml:space="preserve">Marta Chmielewska </t>
  </si>
  <si>
    <t xml:space="preserve">Traveaux Chambre </t>
  </si>
  <si>
    <t>HAROUT AINEJIAN</t>
  </si>
  <si>
    <t xml:space="preserve">Thomas Kristensen </t>
  </si>
  <si>
    <t>Zeinab Al Hujaj</t>
  </si>
  <si>
    <t>Dimas Wiranata</t>
  </si>
  <si>
    <t>Full-Board Flex genious rate</t>
  </si>
  <si>
    <t>Annulé le Thu May 02 2024 10:31:03 GMT+0100 (UTC+01:00)</t>
  </si>
  <si>
    <t>Mehmet Oncu</t>
  </si>
  <si>
    <t xml:space="preserve">Ahmed Alrammah </t>
  </si>
  <si>
    <t>Jessica Patel</t>
  </si>
  <si>
    <t xml:space="preserve">Marco Di Giambattista </t>
  </si>
  <si>
    <t>Diane Grair</t>
  </si>
  <si>
    <t xml:space="preserve">Hofbeck Iris </t>
  </si>
  <si>
    <t>Alice Hodgson</t>
  </si>
  <si>
    <t xml:space="preserve">Modification le 11/07/2026/ Contrat :BB Non Refundable </t>
  </si>
  <si>
    <t xml:space="preserve">Lewis Davis </t>
  </si>
  <si>
    <t>madsen zandra</t>
  </si>
  <si>
    <t xml:space="preserve">jaap kroot </t>
  </si>
  <si>
    <t>PACAUD Christophe</t>
  </si>
  <si>
    <t xml:space="preserve">Lourdes Pastor ponce </t>
  </si>
  <si>
    <t>Javier Ezquerra</t>
  </si>
  <si>
    <t xml:space="preserve">Marco Strambi </t>
  </si>
  <si>
    <t>laura maria cimino</t>
  </si>
  <si>
    <t xml:space="preserve">Abedul Hussain </t>
  </si>
  <si>
    <t>Virginia Wollny</t>
  </si>
  <si>
    <t xml:space="preserve">Alexandra Pohlmann </t>
  </si>
  <si>
    <t>Christoph Akeret</t>
  </si>
  <si>
    <t xml:space="preserve">Javier Martin </t>
  </si>
  <si>
    <t>Standard Rate Switzerland</t>
  </si>
  <si>
    <t>Contrat : Standard Rate Switzerland</t>
  </si>
  <si>
    <t xml:space="preserve">Cetin Aydin </t>
  </si>
  <si>
    <t>/ Contrat :BB NRF #new Getaway Deal genious rate// Reservation le Sun Jul 12 2026 00:00:00 GMT+0100 (UTC+01:00)</t>
  </si>
  <si>
    <t>Annulé le Sat Oct 05 2024 17:41:04 GMT+0100 (UTC+01:00)</t>
  </si>
  <si>
    <t>1359046122592934</t>
  </si>
  <si>
    <t xml:space="preserve">Scarlett Ho </t>
  </si>
  <si>
    <t>Erreur Param :Deluxe Suite-BB</t>
  </si>
  <si>
    <t>Julie MECHERY GRALL</t>
  </si>
  <si>
    <t xml:space="preserve">CATHERINE ERALDI </t>
  </si>
  <si>
    <t>Rothlisberger Christine</t>
  </si>
  <si>
    <t xml:space="preserve">Georgia Leaning </t>
  </si>
  <si>
    <t xml:space="preserve">Hugo Fournier </t>
  </si>
  <si>
    <t>Morran Maat</t>
  </si>
  <si>
    <t xml:space="preserve">Sharon Guenard </t>
  </si>
  <si>
    <t>sandrine fransca</t>
  </si>
  <si>
    <t xml:space="preserve">Louise Thirot </t>
  </si>
  <si>
    <t>GIAN ALBERTO SISTI</t>
  </si>
  <si>
    <t xml:space="preserve">Sana Jamil </t>
  </si>
  <si>
    <t>Emelien KATHARINA</t>
  </si>
  <si>
    <t xml:space="preserve">Nicole Murphy </t>
  </si>
  <si>
    <t>/ Contrat :Bed &amp; Breakfast Flex Getaway Deal genious rate// Reservation le Mon Jul 13 2026 00:00:00 GMT+0100 (UTC+01:00)</t>
  </si>
  <si>
    <t xml:space="preserve">Shirly Czaikowski </t>
  </si>
  <si>
    <t xml:space="preserve">Julie Zweili </t>
  </si>
  <si>
    <t xml:space="preserve">Yassir Semmar </t>
  </si>
  <si>
    <t xml:space="preserve">Suhaila Volpe </t>
  </si>
  <si>
    <t xml:space="preserve">travaux travaux </t>
  </si>
  <si>
    <t xml:space="preserve">Ansaldi Francesco </t>
  </si>
  <si>
    <t xml:space="preserve">Ismael Fernandez </t>
  </si>
  <si>
    <t xml:space="preserve">Marcela Monteiro Soares De Oliveira </t>
  </si>
  <si>
    <t xml:space="preserve">Elodie Blanc </t>
  </si>
  <si>
    <t xml:space="preserve">Jacek Borysowski </t>
  </si>
  <si>
    <t>Jamal Furreed</t>
  </si>
  <si>
    <t xml:space="preserve">IGNACIO Rodrigo Jarque </t>
  </si>
  <si>
    <t>piroi marco</t>
  </si>
  <si>
    <t>Baptistin Beulque</t>
  </si>
  <si>
    <t xml:space="preserve">fikri bouhoudane </t>
  </si>
  <si>
    <t>Alfredo Vicinanza</t>
  </si>
  <si>
    <t>/ Contrat :Bed &amp; Breakfast Flex Getaway Deal genious rate// Reservation le Wed Jul 15 2026 00:00:00 GMT+0100 (UTC+01:00)</t>
  </si>
  <si>
    <t>Tony Touache</t>
  </si>
  <si>
    <t xml:space="preserve">Lucas Nunes Quirino </t>
  </si>
  <si>
    <t xml:space="preserve">Oriol Ortiz Noriega </t>
  </si>
  <si>
    <t>Stefanie Heller</t>
  </si>
  <si>
    <t>1385434470785656</t>
  </si>
  <si>
    <t xml:space="preserve">KEIGO MIYOSHI </t>
  </si>
  <si>
    <t>Erreur Param :Standard Double Room-BB</t>
  </si>
  <si>
    <t>Stefan Gigl</t>
  </si>
  <si>
    <t xml:space="preserve">Frederik Hill </t>
  </si>
  <si>
    <t>1385434471319437</t>
  </si>
  <si>
    <t xml:space="preserve">INOUE SAYAKO </t>
  </si>
  <si>
    <t>Ali Ouasti</t>
  </si>
  <si>
    <t xml:space="preserve">Cheyanne Chamberlain </t>
  </si>
  <si>
    <t>BRONAGH LAGAN</t>
  </si>
  <si>
    <t xml:space="preserve">Sofie Sonck </t>
  </si>
  <si>
    <t xml:space="preserve">Manon van der Grijn-Visser </t>
  </si>
  <si>
    <t>PATRICIA MIGUEL LOPEZ</t>
  </si>
  <si>
    <t>1128149344590058</t>
  </si>
  <si>
    <t xml:space="preserve">XUPENG YANG </t>
  </si>
  <si>
    <t>Massimiliano Venanzi</t>
  </si>
  <si>
    <t xml:space="preserve">YI LU </t>
  </si>
  <si>
    <t xml:space="preserve">Fabian Bunzel </t>
  </si>
  <si>
    <t>Minne Groenveld</t>
  </si>
  <si>
    <t>/ Contrat :Half-Board Flex Getaway Deal genious rate// Reservation le Sat Jul 18 2026 00:00:00 GMT+0100 (UTC+01:00)</t>
  </si>
  <si>
    <t xml:space="preserve">Claudio Claudio </t>
  </si>
  <si>
    <t>Eric Buteau</t>
  </si>
  <si>
    <t xml:space="preserve">ODYSSEFS MARINOS </t>
  </si>
  <si>
    <t>Sharfraz Pinjara</t>
  </si>
  <si>
    <t xml:space="preserve">ANDRES GONZALEZ MOLINS </t>
  </si>
  <si>
    <t>/ Contrat :Bed &amp; Breakfast Flex Getaway Deal genious rate// Reservation le Sat Jul 18 2026 00:00:00 GMT+0100 (UTC+01:00)</t>
  </si>
  <si>
    <t xml:space="preserve">Laney Keys </t>
  </si>
  <si>
    <t xml:space="preserve">Simone Bandini </t>
  </si>
  <si>
    <t>Joao Sao Marcos</t>
  </si>
  <si>
    <t xml:space="preserve">Holly Etty </t>
  </si>
  <si>
    <t>/ Contrat :Bed &amp; Breakfast Flex Mobile(App) Rate genious rate// Reservation le Sun Jul 19 2026 00:00:00 GMT+0100 (UTC+01:00)</t>
  </si>
  <si>
    <t>Paola Meli</t>
  </si>
  <si>
    <t xml:space="preserve">Philipp Hurt </t>
  </si>
  <si>
    <t xml:space="preserve">Kebira EL MOUCHIR </t>
  </si>
  <si>
    <t xml:space="preserve">Ralia Doma </t>
  </si>
  <si>
    <t xml:space="preserve">Ariel Franz Ledda Howard </t>
  </si>
  <si>
    <t>Annulé le Sun Dec 22 2024 18:01:03 GMT+0100 (UTC+01:00)</t>
  </si>
  <si>
    <t xml:space="preserve">Celeste Villalobos </t>
  </si>
  <si>
    <t>WAFA CHERIF</t>
  </si>
  <si>
    <t xml:space="preserve">Ahmed Iraq </t>
  </si>
  <si>
    <t xml:space="preserve">Celine Bouchard </t>
  </si>
  <si>
    <t>SOPHIE MONTAYE</t>
  </si>
  <si>
    <t>/ Contrat :Bed &amp; Breakfast Flex Mobile(App) Rate genious rate// Reservation le Mon Jul 20 2026 00:00:00 GMT+0100 (UTC+01:00)</t>
  </si>
  <si>
    <t>136-3814492</t>
  </si>
  <si>
    <t xml:space="preserve">JOSE RUBIÑO GARCIA </t>
  </si>
  <si>
    <t xml:space="preserve">  *Agency Payment* Discounts for room 1:  EB 15% 2026 Discounts for room 2:  EB 15% 2026  / Contrat :BED AND BREAKFAST GR-BARCOM</t>
  </si>
  <si>
    <t>Sophia Sinclair</t>
  </si>
  <si>
    <t xml:space="preserve">Alexandra Chapcakova </t>
  </si>
  <si>
    <t>Damien Sabbe</t>
  </si>
  <si>
    <t xml:space="preserve">Jose Manuel Rodriguez Zarate </t>
  </si>
  <si>
    <t xml:space="preserve">Alejandro Argenal </t>
  </si>
  <si>
    <t>136-3436689</t>
  </si>
  <si>
    <t>KATHERYN PAULS</t>
  </si>
  <si>
    <t xml:space="preserve">Juan Cardona </t>
  </si>
  <si>
    <t>Beatrice DEROZIER</t>
  </si>
  <si>
    <t xml:space="preserve">Laura Schliz </t>
  </si>
  <si>
    <t xml:space="preserve">Isabel Loschner </t>
  </si>
  <si>
    <t xml:space="preserve">Fernando Fernandez </t>
  </si>
  <si>
    <t>Paul Spiteri</t>
  </si>
  <si>
    <t xml:space="preserve">rosettano navarra </t>
  </si>
  <si>
    <t>Emma Gazonnaud</t>
  </si>
  <si>
    <t>Martina Paglia</t>
  </si>
  <si>
    <t xml:space="preserve">Christian Ullmann </t>
  </si>
  <si>
    <t xml:space="preserve">cristina jaramillo </t>
  </si>
  <si>
    <t>Henri DELELIS FANIEN</t>
  </si>
  <si>
    <t xml:space="preserve">Eleanor Robinson </t>
  </si>
  <si>
    <t>yurena escobar</t>
  </si>
  <si>
    <t xml:space="preserve">Sanne Feenstra </t>
  </si>
  <si>
    <t xml:space="preserve">Valentina De Dominicis </t>
  </si>
  <si>
    <t xml:space="preserve">ANTONIO DE LEO </t>
  </si>
  <si>
    <t>Giuseppe Scovenna</t>
  </si>
  <si>
    <t xml:space="preserve">SIMONA POLITO </t>
  </si>
  <si>
    <t xml:space="preserve">Mickael Bouchot </t>
  </si>
  <si>
    <t>Enrico Pagot</t>
  </si>
  <si>
    <t>Raphael Briant</t>
  </si>
  <si>
    <t xml:space="preserve">Emma Gough </t>
  </si>
  <si>
    <t>Martin Hofer</t>
  </si>
  <si>
    <t xml:space="preserve">Laura Donaldson </t>
  </si>
  <si>
    <t>Van bergen Stephan</t>
  </si>
  <si>
    <t xml:space="preserve">Nils Breuer </t>
  </si>
  <si>
    <t>Alain Gancarek</t>
  </si>
  <si>
    <t xml:space="preserve">Client Karim Medina Riad </t>
  </si>
  <si>
    <t>Modification le 25/07/2026/ Contrat :BB Non Refundable // Reservation le Sat Jul 25 2026 00:00:00 GMT+0100 (UTC+01:00)</t>
  </si>
  <si>
    <t>Azeline Soupin</t>
  </si>
  <si>
    <t xml:space="preserve">Nina Whatsapp </t>
  </si>
  <si>
    <t>Adeline Berenger</t>
  </si>
  <si>
    <t xml:space="preserve">Giovanni Paolo Picardi </t>
  </si>
  <si>
    <t>/ Contrat :Half-Board Flex Mobile(App) Rate genious rate// Reservation le Sat Jul 25 2026 00:00:00 GMT+0100 (UTC+01:00)</t>
  </si>
  <si>
    <t>Gisela Velterop</t>
  </si>
  <si>
    <t xml:space="preserve">RUNQI ZHANG </t>
  </si>
  <si>
    <t>Laura Causanillas</t>
  </si>
  <si>
    <t xml:space="preserve">Sharma Samir </t>
  </si>
  <si>
    <t>Yassira Joseph</t>
  </si>
  <si>
    <t xml:space="preserve">Sandie Nicaty </t>
  </si>
  <si>
    <t>Modification le 04/08/2026/ Contrat :Half-Board Flex International genious rate// Reservation le Sun Jul 26 2026 00:00:00 GMT+0100 (UTC+01:00)</t>
  </si>
  <si>
    <t>Lydia Loucheni</t>
  </si>
  <si>
    <t xml:space="preserve">Marco Amato </t>
  </si>
  <si>
    <t xml:space="preserve">Lea Lehner </t>
  </si>
  <si>
    <t>Harun Kapetanovic</t>
  </si>
  <si>
    <t xml:space="preserve">Helge Kuehl </t>
  </si>
  <si>
    <t>Telma Duarte</t>
  </si>
  <si>
    <t>1128149580271529</t>
  </si>
  <si>
    <t xml:space="preserve">TIANYUAN ZHAO </t>
  </si>
  <si>
    <t xml:space="preserve">Loic GODFROY </t>
  </si>
  <si>
    <t>emilie coedic</t>
  </si>
  <si>
    <t xml:space="preserve">Tatiana Laverde </t>
  </si>
  <si>
    <t>Anna Reed</t>
  </si>
  <si>
    <t xml:space="preserve">Ricardo Rossini </t>
  </si>
  <si>
    <t>/ Contrat :Half-Board Flex Getaway Deal genious rate// Reservation le Mon Jul 27 2026 00:00:00 GMT+0100 (UTC+01:00)</t>
  </si>
  <si>
    <t xml:space="preserve">Elisa Adocchio </t>
  </si>
  <si>
    <t xml:space="preserve">Laura Donaldso, </t>
  </si>
  <si>
    <t>Chantel Kabahinza</t>
  </si>
  <si>
    <t xml:space="preserve">Muawia Yousif Fadlelmola Mohamed </t>
  </si>
  <si>
    <t>Remi Caracena</t>
  </si>
  <si>
    <t xml:space="preserve">Ellie Saad </t>
  </si>
  <si>
    <t>Ludovic Deumaga</t>
  </si>
  <si>
    <t>/ Contrat :BB Non Refundable // Reservation le Tue Jul 28 2026 00:00:00 GMT+0100 (UTC+01:00)</t>
  </si>
  <si>
    <t>Maximilian Patt</t>
  </si>
  <si>
    <t>Simon Frischhut</t>
  </si>
  <si>
    <t>Chris jarvis</t>
  </si>
  <si>
    <t>Giulia Di Carlo</t>
  </si>
  <si>
    <t>Tracey Stone</t>
  </si>
  <si>
    <t>WAHID AHMADYAR</t>
  </si>
  <si>
    <t xml:space="preserve">Melissa Wascheszio </t>
  </si>
  <si>
    <t>Annulé le Fri Jun 28 2024 22:33:03 GMT+0100 (UTC+01:00)</t>
  </si>
  <si>
    <t>Lucilia Duarte</t>
  </si>
  <si>
    <t>Leslie Neuffer</t>
  </si>
  <si>
    <t xml:space="preserve">Juergen&amp;Astrid Breuer-Rindermann </t>
  </si>
  <si>
    <t>Modification le 28/07/2026/ Contrat :Bed &amp; Breakfast Flex Mobile(App) Rate genious rate</t>
  </si>
  <si>
    <t>Chloe Martins</t>
  </si>
  <si>
    <t>Annulé le Thu Jun 27 2024 23:09:02 GMT+0100 (UTC+01:00)</t>
  </si>
  <si>
    <t>Stefano Lastrucci</t>
  </si>
  <si>
    <t>Annulé le Wed Sep 25 2024 12:06:05 GMT+0100 (UTC+01:00)</t>
  </si>
  <si>
    <t xml:space="preserve">HANKE LI </t>
  </si>
  <si>
    <t>Annulé le Wed Sep 25 2024 12:07:03 GMT+0100 (UTC+01:00)</t>
  </si>
  <si>
    <t>1359046488745102</t>
  </si>
  <si>
    <t>Marc Geyzen</t>
  </si>
  <si>
    <t xml:space="preserve">Kristin Hoyt </t>
  </si>
  <si>
    <t xml:space="preserve">Peter Lund </t>
  </si>
  <si>
    <t>Hermans Paul</t>
  </si>
  <si>
    <t>Natascha Olijnyk</t>
  </si>
  <si>
    <t xml:space="preserve">Arnaud Van Melkebeke </t>
  </si>
  <si>
    <t xml:space="preserve">Patricia Skolaude Dini </t>
  </si>
  <si>
    <t>Zaineb Lazreq Lazreq</t>
  </si>
  <si>
    <t xml:space="preserve">Anoesjka Kiemeney </t>
  </si>
  <si>
    <t>Charlotte HUAULT</t>
  </si>
  <si>
    <t>Vanessa Dusoye</t>
  </si>
  <si>
    <t>JULIE CAMPARA</t>
  </si>
  <si>
    <t>Morgan Yang</t>
  </si>
  <si>
    <t>1128149670410576</t>
  </si>
  <si>
    <t xml:space="preserve">JOHANNA FANG </t>
  </si>
  <si>
    <t>Timothy Chang</t>
  </si>
  <si>
    <t>Erreur Param :Standard Suite-BB</t>
  </si>
  <si>
    <t xml:space="preserve">Tilbe Arar </t>
  </si>
  <si>
    <t>Jessie Klomp</t>
  </si>
  <si>
    <t xml:space="preserve">stephane morice </t>
  </si>
  <si>
    <t>Kapetanovic Harun</t>
  </si>
  <si>
    <t xml:space="preserve">Filipe Cordeiro </t>
  </si>
  <si>
    <t>Olivia Newell</t>
  </si>
  <si>
    <t xml:space="preserve">nicolas de la croix Vaubois </t>
  </si>
  <si>
    <t>Sara REHANE</t>
  </si>
  <si>
    <t xml:space="preserve">Latifa Elbioui </t>
  </si>
  <si>
    <t>Jessica Matarazzo</t>
  </si>
  <si>
    <t>Suzanne Flammarion</t>
  </si>
  <si>
    <t>Irina Maksimova</t>
  </si>
  <si>
    <t>Annulé le Mon Oct 28 2024 16:13:02 GMT+0100 (UTC+01:00)</t>
  </si>
  <si>
    <t xml:space="preserve">Mohamad Amin Idlibi </t>
  </si>
  <si>
    <t>selma lazreq</t>
  </si>
  <si>
    <t>Laura Gisele Dioume</t>
  </si>
  <si>
    <t xml:space="preserve">Marianna Neri </t>
  </si>
  <si>
    <t>1306269981448958</t>
  </si>
  <si>
    <t xml:space="preserve">deyvid demirali </t>
  </si>
  <si>
    <t>Marta Wodzinska</t>
  </si>
  <si>
    <t xml:space="preserve">Zineb Thomas </t>
  </si>
  <si>
    <t xml:space="preserve">Masaaki Sueyoshi </t>
  </si>
  <si>
    <t>Maxime Mairesse</t>
  </si>
  <si>
    <t>Hasan BIYIK</t>
  </si>
  <si>
    <t xml:space="preserve">Martina Scarabel </t>
  </si>
  <si>
    <t xml:space="preserve">Jan Salzwedel </t>
  </si>
  <si>
    <t>Véronique Scaringella</t>
  </si>
  <si>
    <t xml:space="preserve">simon rosales vicente </t>
  </si>
  <si>
    <t>ROBERTO MURONI</t>
  </si>
  <si>
    <t xml:space="preserve">Geraldine Canalejas </t>
  </si>
  <si>
    <t>Annulé le Mon Aug 12 2024 19:39:03 GMT+0100 (UTC+01:00)</t>
  </si>
  <si>
    <t>Rafal Czyzewski</t>
  </si>
  <si>
    <t xml:space="preserve">Christian Mangos-johnson </t>
  </si>
  <si>
    <t>/ Contrat :BB NRF #new Getaway Deal genious rate// Reservation le Sun Aug 02 2026 00:00:00 GMT+0100 (UTC+01:00)</t>
  </si>
  <si>
    <t>Annulé le Tue Sep 03 2024 16:50:04 GMT+0100 (UTC+01:00)</t>
  </si>
  <si>
    <t>1167731555347809</t>
  </si>
  <si>
    <t xml:space="preserve">INDIA LUCY CRADDOCK </t>
  </si>
  <si>
    <t>Luca Parmegiani Della Corte</t>
  </si>
  <si>
    <t xml:space="preserve">miguel sapiro vaz </t>
  </si>
  <si>
    <t>James Anjorin</t>
  </si>
  <si>
    <t xml:space="preserve">Christophe FARRIOL </t>
  </si>
  <si>
    <t xml:space="preserve">Dionisio Peralta </t>
  </si>
  <si>
    <t>MARIA CALPE DOÑATE</t>
  </si>
  <si>
    <t xml:space="preserve">Agustin Alejandro De Abreu </t>
  </si>
  <si>
    <t>Contrat : Tarifa de Alojamiento Y Desayuno</t>
  </si>
  <si>
    <t>Fan Yang</t>
  </si>
  <si>
    <t>1128149835180779</t>
  </si>
  <si>
    <t xml:space="preserve">melanie marod </t>
  </si>
  <si>
    <t xml:space="preserve">Viktor Kozel </t>
  </si>
  <si>
    <t>Piotr Urban</t>
  </si>
  <si>
    <t>Manuel Roque</t>
  </si>
  <si>
    <t xml:space="preserve">virginia rapado garcia </t>
  </si>
  <si>
    <t>Annulé le Tue Oct 01 2024 09:19:03 GMT+0100 (UTC+01:00)</t>
  </si>
  <si>
    <t>Youness TOUMI</t>
  </si>
  <si>
    <t xml:space="preserve">Dimitra Adamidou </t>
  </si>
  <si>
    <t xml:space="preserve">Edera Giampiero </t>
  </si>
  <si>
    <t>Gabrielle Provost</t>
  </si>
  <si>
    <t xml:space="preserve">Anastasiia Iarkova </t>
  </si>
  <si>
    <t>Juliana Canovas</t>
  </si>
  <si>
    <t>Maria Zuzarte</t>
  </si>
  <si>
    <t xml:space="preserve">Pablo Via Mallo </t>
  </si>
  <si>
    <t xml:space="preserve">Linda Salzmann </t>
  </si>
  <si>
    <t>/ Contrat :Bed &amp; Breakfast Flex Mobile(App) Rate genious rate// Reservation le Wed Aug 05 2026 00:00:00 GMT+0100 (UTC+01:00)</t>
  </si>
  <si>
    <t>Alessandro Madaffari</t>
  </si>
  <si>
    <t xml:space="preserve">Cedric Lacroix </t>
  </si>
  <si>
    <t xml:space="preserve">Stephane Morera </t>
  </si>
  <si>
    <t>Dyna Malamusi</t>
  </si>
  <si>
    <t xml:space="preserve">julie bak </t>
  </si>
  <si>
    <t xml:space="preserve">Nazha Etahlali </t>
  </si>
  <si>
    <t xml:space="preserve">Caroline Baser </t>
  </si>
  <si>
    <t xml:space="preserve">Dominik Moser </t>
  </si>
  <si>
    <t>GERALD MORIAU</t>
  </si>
  <si>
    <t xml:space="preserve">Ayala Elian </t>
  </si>
  <si>
    <t>Annulé le Tue Sep 10 2024 19:18:05 GMT+0100 (UTC+01:00)</t>
  </si>
  <si>
    <t xml:space="preserve">Riva de Vries </t>
  </si>
  <si>
    <t>Wibo van Maanen</t>
  </si>
  <si>
    <t xml:space="preserve">Helena Lorenz </t>
  </si>
  <si>
    <t>Standard Rate 45% - Offre à Durée Limitée</t>
  </si>
  <si>
    <t>Contrat : Standard Rate 45% - Offre à Durée Limitée</t>
  </si>
  <si>
    <t xml:space="preserve">Hugo Huis in t Veld </t>
  </si>
  <si>
    <t>136-3446854</t>
  </si>
  <si>
    <t>MARTA PULIDO I ARTOLA</t>
  </si>
  <si>
    <t xml:space="preserve">Melanie Largeteau </t>
  </si>
  <si>
    <t xml:space="preserve">Lericolais Lucie </t>
  </si>
  <si>
    <t>136-3446853</t>
  </si>
  <si>
    <t>DOLORS ARTOLA VERNEDAS</t>
  </si>
  <si>
    <t xml:space="preserve">marta gonzalez carballada </t>
  </si>
  <si>
    <t>136-3446855</t>
  </si>
  <si>
    <t xml:space="preserve">Michael Berner </t>
  </si>
  <si>
    <t xml:space="preserve">Damian Borsboom </t>
  </si>
  <si>
    <t>136-3446856</t>
  </si>
  <si>
    <t xml:space="preserve">Felix Kampfel </t>
  </si>
  <si>
    <t>/ Contrat :Bed &amp; Breakfast Flex Mobile(App) Rate genious rate// Reservation le 08/08/2026</t>
  </si>
  <si>
    <t>Alexej Pedan</t>
  </si>
  <si>
    <t>Andreea Eliza Popa</t>
  </si>
  <si>
    <t xml:space="preserve">anton mullo </t>
  </si>
  <si>
    <t>Joe Dougall</t>
  </si>
  <si>
    <t>136-3447426</t>
  </si>
  <si>
    <t>CRISTINA FLORES</t>
  </si>
  <si>
    <t>Noman Yousaf</t>
  </si>
  <si>
    <t xml:space="preserve">Borislava Madzharova </t>
  </si>
  <si>
    <t>hanane zinnediaine</t>
  </si>
  <si>
    <t>/ Contrat :Bed &amp; Breakfast Flex Mobile(App) Rate genious rate// Reservation le 09/08/2026</t>
  </si>
  <si>
    <t>/ Contrat :Bed &amp; Breakfast Flex Mobile(App) Rate genious rate// Reservation le Sun Aug 09 2026 00:00:00 GMT+0100 (UTC+01:00)</t>
  </si>
  <si>
    <t>christophe lobrot</t>
  </si>
  <si>
    <t xml:space="preserve">Philippe Blando </t>
  </si>
  <si>
    <t>Nathaly VAN ASPEREN</t>
  </si>
  <si>
    <t>NIZUKI MURAMATSU</t>
  </si>
  <si>
    <t xml:space="preserve">Noemie Sifakis </t>
  </si>
  <si>
    <t>Troy Lowe</t>
  </si>
  <si>
    <t xml:space="preserve">George Beveridge </t>
  </si>
  <si>
    <t>Julia Passeraub</t>
  </si>
  <si>
    <t xml:space="preserve">Zakaria Abanouj </t>
  </si>
  <si>
    <t>Annulé le Sun Jun 02 2024 16:09:03 GMT+0100 (UTC+01:00)</t>
  </si>
  <si>
    <t>Life Travel</t>
  </si>
  <si>
    <t xml:space="preserve">Imad Hawwach </t>
  </si>
  <si>
    <t>Ночлег И Завтрак</t>
  </si>
  <si>
    <t>Contrat : Ночлег И Завтрак</t>
  </si>
  <si>
    <t xml:space="preserve">Jennifer Zhou </t>
  </si>
  <si>
    <t xml:space="preserve">Hedwig Pique </t>
  </si>
  <si>
    <t xml:space="preserve">Rebeca Nkoy Sandiel </t>
  </si>
  <si>
    <t>Marek Nizielski</t>
  </si>
  <si>
    <t xml:space="preserve">Erwin Staneke </t>
  </si>
  <si>
    <t>Araceli Capsi</t>
  </si>
  <si>
    <t xml:space="preserve">Camille Monney </t>
  </si>
  <si>
    <t xml:space="preserve">Charlotte Malone </t>
  </si>
  <si>
    <t>Andrey Kirlyuk</t>
  </si>
  <si>
    <t xml:space="preserve">Antoine Gallais </t>
  </si>
  <si>
    <t xml:space="preserve">Kristi Westervelt </t>
  </si>
  <si>
    <t xml:space="preserve">andrea peer </t>
  </si>
  <si>
    <t xml:space="preserve">Mohammed Atanane </t>
  </si>
  <si>
    <t xml:space="preserve">Kane Jackson </t>
  </si>
  <si>
    <t xml:space="preserve">Tristan Smith </t>
  </si>
  <si>
    <t>Irene Savoldelli</t>
  </si>
  <si>
    <t>1128150224839346</t>
  </si>
  <si>
    <t xml:space="preserve">YING ZHANG </t>
  </si>
  <si>
    <t>Erreur Param :Deluxe Double Room-Flexible BB</t>
  </si>
  <si>
    <t>Carolina Garcia Pastor</t>
  </si>
  <si>
    <t xml:space="preserve">Federico Bosco </t>
  </si>
  <si>
    <t>Nuno Alves</t>
  </si>
  <si>
    <t xml:space="preserve">Markus Brenk </t>
  </si>
  <si>
    <t>Ameera Saqr</t>
  </si>
  <si>
    <t xml:space="preserve">Stefano Bellandi </t>
  </si>
  <si>
    <t xml:space="preserve">Elisabeth Hachez </t>
  </si>
  <si>
    <t>Mengyi Xu</t>
  </si>
  <si>
    <t xml:space="preserve">Najat Benlemoudden </t>
  </si>
  <si>
    <t>Christian Samii</t>
  </si>
  <si>
    <t xml:space="preserve">Isabella Masserini </t>
  </si>
  <si>
    <t xml:space="preserve">YING LIAN </t>
  </si>
  <si>
    <t>Shaun Bird</t>
  </si>
  <si>
    <t xml:space="preserve">Kathalyn von Eyb </t>
  </si>
  <si>
    <t>ANAS ENGAZOU</t>
  </si>
  <si>
    <t xml:space="preserve">Delphine Berger </t>
  </si>
  <si>
    <t xml:space="preserve">Fauser Johannes </t>
  </si>
  <si>
    <t>Laia BG</t>
  </si>
  <si>
    <t xml:space="preserve">Bertille Praudel </t>
  </si>
  <si>
    <t>Gabriel Raven</t>
  </si>
  <si>
    <t>Kawtar Zouaq</t>
  </si>
  <si>
    <t>emanuela bevilacqua</t>
  </si>
  <si>
    <t>MARIE Dégardin</t>
  </si>
  <si>
    <t>Belen carmona roldan</t>
  </si>
  <si>
    <t>Annulé le Thu Jun 13 2024 19:50:50 GMT+0100 (UTC+01:00)</t>
  </si>
  <si>
    <t>Melanie Michels</t>
  </si>
  <si>
    <t>Maria Jose Soberon</t>
  </si>
  <si>
    <t>Flex Bed &amp; Breakfast NRF</t>
  </si>
  <si>
    <t>Contrat : Flex Bed &amp; Breakfast NRF</t>
  </si>
  <si>
    <t>Marlon Ngenge</t>
  </si>
  <si>
    <t>Zohair DAGHARI</t>
  </si>
  <si>
    <t>Sandra Gassmann</t>
  </si>
  <si>
    <t>Mylene Thiebaud</t>
  </si>
  <si>
    <t>Flex Switzerland genious rate</t>
  </si>
  <si>
    <t>Contrat : Flex Switzerland genious rate</t>
  </si>
  <si>
    <t>Lars Becker</t>
  </si>
  <si>
    <t>Lindy Munyanyi Munyanyi</t>
  </si>
  <si>
    <t>Markus Eberhardt</t>
  </si>
  <si>
    <t>Bed &amp; Breakfast NRF genious rate</t>
  </si>
  <si>
    <t>Contrat : Bed &amp; Breakfast NRF genious rate</t>
  </si>
  <si>
    <t>MAHA SULEIMAN</t>
  </si>
  <si>
    <t>NRF - Private Sale + Mobile + International Rate + Beds</t>
  </si>
  <si>
    <t>Contrat : NRF - Private Sale + Mobile + International Rate + Beds</t>
  </si>
  <si>
    <t>Mohammed Irfan Daudi</t>
  </si>
  <si>
    <t>Luis Filipe Paco</t>
  </si>
  <si>
    <t>Tim Hennings</t>
  </si>
  <si>
    <t>Aadil Mounir</t>
  </si>
  <si>
    <t>DERYA KIZILGUN</t>
  </si>
  <si>
    <t>raphael marmonier</t>
  </si>
  <si>
    <t>Giorgio Benelle</t>
  </si>
  <si>
    <t>BEGONA ROSALIA HERNANDO VAQUERO</t>
  </si>
  <si>
    <t>Flexible - Private Sale + Mobile + International Rate</t>
  </si>
  <si>
    <t>Contrat : Flexible - Private Sale + Mobile + International Rate</t>
  </si>
  <si>
    <t>Kimisha Sellers</t>
  </si>
  <si>
    <t>Flex United States genious rate</t>
  </si>
  <si>
    <t>Contrat : Flex United States genious rate</t>
  </si>
  <si>
    <t>alexandra weinrich</t>
  </si>
  <si>
    <t>Rina Nagano</t>
  </si>
  <si>
    <t>sylvie carlier</t>
  </si>
  <si>
    <t>NRF - Private Sale + Mobile + Beds Network - Controlled</t>
  </si>
  <si>
    <t>Contrat : NRF - Private Sale + Mobile + Beds Network - Controlled</t>
  </si>
  <si>
    <t>Jose Morgado</t>
  </si>
  <si>
    <t>Eleonora Luise</t>
  </si>
  <si>
    <t>Orlando La Marra</t>
  </si>
  <si>
    <t>Jorgen Mortensen</t>
  </si>
  <si>
    <t>Juan Pablo Organista</t>
  </si>
  <si>
    <t>Bylel Zerouali</t>
  </si>
  <si>
    <t>barbas boemio</t>
  </si>
  <si>
    <t>Flex European Economic Area</t>
  </si>
  <si>
    <t>Annulé le Mon Jun 24 2024 08:47:03 GMT+0100 (UTC+01:00)</t>
  </si>
  <si>
    <t>Almudena Zapico</t>
  </si>
  <si>
    <t>136-3456678</t>
  </si>
  <si>
    <t>Anaele Maman</t>
  </si>
  <si>
    <t>maryam beyzavi</t>
  </si>
  <si>
    <t>marie-louise verbeek</t>
  </si>
  <si>
    <t>Rita Rugeroni</t>
  </si>
  <si>
    <t>Javier Gereda Arriola</t>
  </si>
  <si>
    <t>b69516eef859c702</t>
  </si>
  <si>
    <t>Atinuke Sofiat Koyinsola Eyiowuawi</t>
  </si>
  <si>
    <t>FLASH SALE %80</t>
  </si>
  <si>
    <t>Contrat : FLASH SALE %80</t>
  </si>
  <si>
    <t>Lisa Dobinson</t>
  </si>
  <si>
    <t>Flex United Kingdom genious rate</t>
  </si>
  <si>
    <t>Contrat : Flex United Kingdom genious rate</t>
  </si>
  <si>
    <t>Iga Mlynarczyk</t>
  </si>
  <si>
    <t>Gianluca Treu</t>
  </si>
  <si>
    <t>Youssouf Lamrah</t>
  </si>
  <si>
    <t>Jiawei Hong</t>
  </si>
  <si>
    <t>Flex 30% - Offre standard genious rate</t>
  </si>
  <si>
    <t>Contrat : Flex 30% - Offre standard genious rate</t>
  </si>
  <si>
    <t>arnaud DELIGNY</t>
  </si>
  <si>
    <t>Maria Martin Jimenez</t>
  </si>
  <si>
    <t>Annulé le Mon Aug 19 2024 13:49:03 GMT+0100 (UTC+01:00)</t>
  </si>
  <si>
    <t>Claudia De La Pena Romero</t>
  </si>
  <si>
    <t>Emilia Vrabel</t>
  </si>
  <si>
    <t>Benedita Garcao</t>
  </si>
  <si>
    <t>Annulé le Fri Aug 23 2024 12:23:03 GMT+0100 (UTC+01:00)</t>
  </si>
  <si>
    <t>Sierra Highcloud</t>
  </si>
  <si>
    <t>Pratik Sinha</t>
  </si>
  <si>
    <t>Rustem Muratov</t>
  </si>
  <si>
    <t>Annulé le Wed Jul 17 2024 09:57:04 GMT+0100 (UTC+01:00)</t>
  </si>
  <si>
    <t>Gabriel Aguilar</t>
  </si>
  <si>
    <t>Annulé le Sun Aug 04 2024 13:17:04 GMT+0100 (UTC+01:00)</t>
  </si>
  <si>
    <t>MURIEL YAIR ABRIL CHEVALIER</t>
  </si>
  <si>
    <t>136-3460431</t>
  </si>
  <si>
    <t>SARA ALONSO FOZ</t>
  </si>
  <si>
    <t>jean marc lambert</t>
  </si>
  <si>
    <t>Jenni Ailion</t>
  </si>
  <si>
    <t>Rogerio Pinheiro Nanita</t>
  </si>
  <si>
    <t>Francesca Coluccio</t>
  </si>
  <si>
    <t>Vipul Hingne</t>
  </si>
  <si>
    <t>Nick Toorn</t>
  </si>
  <si>
    <t>Salima Salmane</t>
  </si>
  <si>
    <t>Suze Gazia</t>
  </si>
  <si>
    <t>Bettina van der Stelt</t>
  </si>
  <si>
    <t>ABDELLAH kamal</t>
  </si>
  <si>
    <t>Sebastian Cirneanu</t>
  </si>
  <si>
    <t>Julia Charles</t>
  </si>
  <si>
    <t>Ahmet Eren</t>
  </si>
  <si>
    <t>NRF genious rate</t>
  </si>
  <si>
    <t>Contrat : NRF genious rate</t>
  </si>
  <si>
    <t>Sarah Davies</t>
  </si>
  <si>
    <t>NRF - Package</t>
  </si>
  <si>
    <t>Contrat : NRF - Package</t>
  </si>
  <si>
    <t>Akim Zara</t>
  </si>
  <si>
    <t>Annulé le Sun Aug 18 2024 12:36:03 GMT+0100 (UTC+01:00)</t>
  </si>
  <si>
    <t>Daniela Robasto</t>
  </si>
  <si>
    <t>jerome Heitzler</t>
  </si>
  <si>
    <t>Annulé le Wed Jul 10 2024 10:42:03 GMT+0100 (UTC+01:00)</t>
  </si>
  <si>
    <t>Fanny Gourrier</t>
  </si>
  <si>
    <t>Annulé le Sat Jul 13 2024 12:46:03 GMT+0100 (UTC+01:00)</t>
  </si>
  <si>
    <t>andrea loaiza</t>
  </si>
  <si>
    <t>Christophe Sentenac</t>
  </si>
  <si>
    <t>martina giordano</t>
  </si>
  <si>
    <t>Simone Dal Canto</t>
  </si>
  <si>
    <t>Annulé le Mon Jul 15 2024 10:39:51 GMT+0100 (UTC+01:00)</t>
  </si>
  <si>
    <t>94227c782fc1fcc1</t>
  </si>
  <si>
    <t>Beatriz Rocha</t>
  </si>
  <si>
    <t>susanne thewanger</t>
  </si>
  <si>
    <t>jessica martin</t>
  </si>
  <si>
    <t>136-3469053</t>
  </si>
  <si>
    <t>JEANPAUL DEPRINS</t>
  </si>
  <si>
    <t>973cfbdb6be59e12</t>
  </si>
  <si>
    <t>isidora pino aprile</t>
  </si>
  <si>
    <t>FLASH SALE SS2024 %90</t>
  </si>
  <si>
    <t>Contrat : FLASH SALE SS2024 %90</t>
  </si>
  <si>
    <t>a016a33cb84ae8ee</t>
  </si>
  <si>
    <t>Francisco Jesús Rodríguez Del Pino</t>
  </si>
  <si>
    <t>a3dab21ad20ce1e4</t>
  </si>
  <si>
    <t>Mads Jacob Haugård Hansen</t>
  </si>
  <si>
    <t>Pablo Garcia</t>
  </si>
  <si>
    <t>Annulé le Sat Jul 20 2024 19:30:02 GMT+0100 (UTC+01:00)</t>
  </si>
  <si>
    <t>Atashka Karaev</t>
  </si>
  <si>
    <t>Aziz Rahemani</t>
  </si>
  <si>
    <t>Flex 30% - Offre standard</t>
  </si>
  <si>
    <t>Contrat : Flex 30% - Offre standard</t>
  </si>
  <si>
    <t>Fernandez Morgan</t>
  </si>
  <si>
    <t>SANDRINE FRASCA</t>
  </si>
  <si>
    <t>Maria Elena Jurado/ Gloria Sanchez Verónica Sandoval/ Gina Ugalde</t>
  </si>
  <si>
    <t>Sara Davies</t>
  </si>
  <si>
    <t>Roman List</t>
  </si>
  <si>
    <t>Manola Giusti</t>
  </si>
  <si>
    <t>ABDELLAH KAMAL</t>
  </si>
  <si>
    <t>Influenseuse Colab</t>
  </si>
  <si>
    <t>Ana Ferrandiz</t>
  </si>
  <si>
    <t>Cyrille Catoio</t>
  </si>
  <si>
    <t>136-3473437</t>
  </si>
  <si>
    <t>JUAN PABLO DURAN</t>
  </si>
  <si>
    <t>Martin Hancock</t>
  </si>
  <si>
    <t>Annulé le Sun Aug 04 2024 19:50:05 GMT+0100 (UTC+01:00)</t>
  </si>
  <si>
    <t>Alice Conroy</t>
  </si>
  <si>
    <t>IGOR Ardaiz</t>
  </si>
  <si>
    <t>Cem Iyibas</t>
  </si>
  <si>
    <t>Ingrid Morice</t>
  </si>
  <si>
    <t>Joana Carvalho</t>
  </si>
  <si>
    <t>EMILY SHIELDS</t>
  </si>
  <si>
    <t>Tim Fargo</t>
  </si>
  <si>
    <t>Maria Dobreva</t>
  </si>
  <si>
    <t>aziz rahemani</t>
  </si>
  <si>
    <t>Adriana Quintela Goncalves</t>
  </si>
  <si>
    <t>Noémia Silva</t>
  </si>
  <si>
    <t>Tarifa Com Café Da Manhã</t>
  </si>
  <si>
    <t>Contrat : Tarifa Com Café Da Manhã</t>
  </si>
  <si>
    <t>Client Colaboration</t>
  </si>
  <si>
    <t>Sam Kashani</t>
  </si>
  <si>
    <t>merlo gabriele</t>
  </si>
  <si>
    <t>Abdelmjid Tamoud</t>
  </si>
  <si>
    <t>grazia DELLAG</t>
  </si>
  <si>
    <t>Gabriel AGUILAR</t>
  </si>
  <si>
    <t>Liliana Gomes</t>
  </si>
  <si>
    <t>Amine Ben Messaoud</t>
  </si>
  <si>
    <t>minami nagaoka</t>
  </si>
  <si>
    <t>Mark Winkelmann</t>
  </si>
  <si>
    <t>Feel The Travel</t>
  </si>
  <si>
    <t>Contrat : Bed &amp; Breakfast Flex</t>
  </si>
  <si>
    <t>Nazia Carim</t>
  </si>
  <si>
    <t>Annulé le Fri Aug 09 2024 20:38:04 GMT+0100 (UTC+01:00)</t>
  </si>
  <si>
    <t>David Landreth</t>
  </si>
  <si>
    <t>MARIA RAMIREZ GOMEZ</t>
  </si>
  <si>
    <t>Mamadou Gueye</t>
  </si>
  <si>
    <t>Julien Ranvier</t>
  </si>
  <si>
    <t>MARIA ISABEL NAVARRO ALADRO</t>
  </si>
  <si>
    <t>PERRINE Vallet</t>
  </si>
  <si>
    <t>mr chehbouni</t>
  </si>
  <si>
    <t>Fanta Fofana</t>
  </si>
  <si>
    <t>Brooke Baldock</t>
  </si>
  <si>
    <t>kamal abdellah</t>
  </si>
  <si>
    <t>Nuria Sales Tresserra</t>
  </si>
  <si>
    <t>Annulé le Mon Aug 19 2024 11:30:05 GMT+0100 (UTC+01:00)</t>
  </si>
  <si>
    <t>Tina Rosemund Taylor</t>
  </si>
  <si>
    <t>Stefania Palumbo</t>
  </si>
  <si>
    <t>Mandy Edelin</t>
  </si>
  <si>
    <t>Sira Hauenstein</t>
  </si>
  <si>
    <t>Marco Buck</t>
  </si>
  <si>
    <t>Annulé le Thu Aug 15 2024 00:03:03 GMT+0100 (UTC+01:00)</t>
  </si>
  <si>
    <t>Krizia Ann Cruz</t>
  </si>
  <si>
    <t>Annulé le Sun Sep 08 2024 17:20:04 GMT+0100 (UTC+01:00)</t>
  </si>
  <si>
    <t>soulef Ben Youssef</t>
  </si>
  <si>
    <t>Marc BODINO</t>
  </si>
  <si>
    <t>Joaquim Anthony</t>
  </si>
  <si>
    <t>Ricardo Junqueiro</t>
  </si>
  <si>
    <t>Flex</t>
  </si>
  <si>
    <t>Contrat : Flex</t>
  </si>
  <si>
    <t>Ali Ajoul</t>
  </si>
  <si>
    <t>KARANI CHAIMAA</t>
  </si>
  <si>
    <t>Annulé le Mon Aug 19 2024 14:14:03 GMT+0100 (UTC+01:00)</t>
  </si>
  <si>
    <t>Leon Zegers</t>
  </si>
  <si>
    <t>Lola Morales</t>
  </si>
  <si>
    <t>Rebecca Caramelli</t>
  </si>
  <si>
    <t>Michael Wertebach</t>
  </si>
  <si>
    <t>SHOHEI YAMAGUCHI</t>
  </si>
  <si>
    <t>Lama Subhiyeh</t>
  </si>
  <si>
    <t>Annulé le Sun Aug 25 2024 11:47:04 GMT+0100 (UTC+01:00)</t>
  </si>
  <si>
    <t>Anne-Claire Jeannez</t>
  </si>
  <si>
    <t>Clemens Festner</t>
  </si>
  <si>
    <t>136-3484493</t>
  </si>
  <si>
    <t>MELANIE SENTI</t>
  </si>
  <si>
    <t>NRF BAR</t>
  </si>
  <si>
    <t>Contrat : NRF BAR</t>
  </si>
  <si>
    <t>Marie Aka</t>
  </si>
  <si>
    <t>Annulé le Wed Aug 21 2024 11:38:08 GMT+0100 (UTC+01:00)</t>
  </si>
  <si>
    <t>Bekkal Toufik</t>
  </si>
  <si>
    <t>Annulé le Wed Aug 21 2024 20:15:05 GMT+0100 (UTC+01:00)</t>
  </si>
  <si>
    <t>Toufik Bekkal</t>
  </si>
  <si>
    <t>Andrea Vaquero Remis</t>
  </si>
  <si>
    <t>Nicolas Guillot</t>
  </si>
  <si>
    <t>Chiara Trucco</t>
  </si>
  <si>
    <t>Jean-Baptiste GODFRIN</t>
  </si>
  <si>
    <t>Andre Buhler</t>
  </si>
  <si>
    <t>Flex Switzerland</t>
  </si>
  <si>
    <t>Contrat : Flex Switzerland</t>
  </si>
  <si>
    <t>Sarah Medroumi</t>
  </si>
  <si>
    <t>Kirubakaran Karunagaran</t>
  </si>
  <si>
    <t>Annulé le Sun Aug 25 2024 10:13:03 GMT+0100 (UTC+01:00)</t>
  </si>
  <si>
    <t>Paolo Pinzoni</t>
  </si>
  <si>
    <t>Rebecca Millman</t>
  </si>
  <si>
    <t>Annulé le Wed Aug 28 2024 13:04:03 GMT+0100 (UTC+01:00)</t>
  </si>
  <si>
    <t>Nikolaou Marina</t>
  </si>
  <si>
    <t>VALERIIA ARISTOVA</t>
  </si>
  <si>
    <t>Elisabetta Bove</t>
  </si>
  <si>
    <t>Rita Daeweritz</t>
  </si>
  <si>
    <t>mehdi zarwel</t>
  </si>
  <si>
    <t>Christian Wieser</t>
  </si>
  <si>
    <t>Santiago Figueroa Almanzar</t>
  </si>
  <si>
    <t>Nicolas Khedir</t>
  </si>
  <si>
    <t>Annulé le Sun Oct 27 2024 17:32:04 GMT+0100 (UTC+01:00)</t>
  </si>
  <si>
    <t>Eva Krautsdorfer</t>
  </si>
  <si>
    <t>Simone Duri’</t>
  </si>
  <si>
    <t>136-3487872</t>
  </si>
  <si>
    <t>MONIKA POHLMANN</t>
  </si>
  <si>
    <t>Marleen Jansen</t>
  </si>
  <si>
    <t>FLORENT AMI STEPHANE</t>
  </si>
  <si>
    <t>Antonio Ricchiuto</t>
  </si>
  <si>
    <t>hoko shimada</t>
  </si>
  <si>
    <t>RUBEN GUERRERO DIAZ MERCADO</t>
  </si>
  <si>
    <t>Julien Bauchiere</t>
  </si>
  <si>
    <t>Michelle Corsini-Jones</t>
  </si>
  <si>
    <t>136-3488657</t>
  </si>
  <si>
    <t>MARIO STEINBERG</t>
  </si>
  <si>
    <t>misha Guillo</t>
  </si>
  <si>
    <t>Marina Martini</t>
  </si>
  <si>
    <t>Francesco Carloni</t>
  </si>
  <si>
    <t>Pavel Dronenco</t>
  </si>
  <si>
    <t>lhaj part adil</t>
  </si>
  <si>
    <t>katiuscia izzi</t>
  </si>
  <si>
    <t>Laetitia Regneres</t>
  </si>
  <si>
    <t>136-3490922</t>
  </si>
  <si>
    <t>KARINE GUILLEMETTE</t>
  </si>
  <si>
    <t>Kevin Desnoux</t>
  </si>
  <si>
    <t>Louise Strong</t>
  </si>
  <si>
    <t>Juan Valcarcel Alfaro</t>
  </si>
  <si>
    <t>martina pacchiarini</t>
  </si>
  <si>
    <t>Samuel Tempest</t>
  </si>
  <si>
    <t>RANIM EL HAMSAOUI</t>
  </si>
  <si>
    <t>kim feremans</t>
  </si>
  <si>
    <t>Emily Bowden</t>
  </si>
  <si>
    <t>Elisa Rossetto</t>
  </si>
  <si>
    <t>Stephanie savage</t>
  </si>
  <si>
    <t>Melinda Gyorgy-Paoli</t>
  </si>
  <si>
    <t>136-3492606</t>
  </si>
  <si>
    <t>PIERRE VIGERIE</t>
  </si>
  <si>
    <t>Clemence Bekkat</t>
  </si>
  <si>
    <t>Brigitte Yuen Shan Kiu</t>
  </si>
  <si>
    <t>Matilde Rønning Gullach</t>
  </si>
  <si>
    <t>Krizia Ann Cruz CRUZ</t>
  </si>
  <si>
    <t>lamiae kiwan</t>
  </si>
  <si>
    <t>brigitta geerts</t>
  </si>
  <si>
    <t>Reyhana Bakhshaliyeva</t>
  </si>
  <si>
    <t>Che Haidacher</t>
  </si>
  <si>
    <t>Merlin Abgottspon</t>
  </si>
  <si>
    <t>136-3493789</t>
  </si>
  <si>
    <t>YOANN BROUZENG</t>
  </si>
  <si>
    <t>Baptiste LE BORGNE</t>
  </si>
  <si>
    <t>Annulé le Wed Oct 02 2024 18:48:05 GMT+0100 (UTC+01:00)</t>
  </si>
  <si>
    <t>Alan Sorrenti</t>
  </si>
  <si>
    <t>Roberto Panto</t>
  </si>
  <si>
    <t>Ghislaine Colle</t>
  </si>
  <si>
    <t>Florian Schober</t>
  </si>
  <si>
    <t>Abdoulaye Drame</t>
  </si>
  <si>
    <t>George Paganga</t>
  </si>
  <si>
    <t>Meryeme Chettouch Chettouch</t>
  </si>
  <si>
    <t>Rachael Hussey</t>
  </si>
  <si>
    <t>Christophe Wigniolle</t>
  </si>
  <si>
    <t>BALDE Ramatoulaye</t>
  </si>
  <si>
    <t>Alev Channig</t>
  </si>
  <si>
    <t>Edmund Wood</t>
  </si>
  <si>
    <t>Juliana Futa</t>
  </si>
  <si>
    <t>Salina Goh</t>
  </si>
  <si>
    <t>Hauryil Smaharzheuski</t>
  </si>
  <si>
    <t>Bruno Fernandes Campos</t>
  </si>
  <si>
    <t>CAROLE ESTEVE AMI STEPH</t>
  </si>
  <si>
    <t>Wiktoria Olszewska</t>
  </si>
  <si>
    <t>Laurent Labarrere</t>
  </si>
  <si>
    <t>Dobrota Mihai Danut</t>
  </si>
  <si>
    <t>Annulé le Tue Nov 05 2024 10:56:04 GMT+0100 (UTC+01:00)</t>
  </si>
  <si>
    <t>Dominique Ayrault</t>
  </si>
  <si>
    <t>Amaria Medjaed</t>
  </si>
  <si>
    <t>Najoua Medroumi</t>
  </si>
  <si>
    <t>Luis Sousa</t>
  </si>
  <si>
    <t>Demet Guliz Kozak</t>
  </si>
  <si>
    <t>Paula Pilato Llorens</t>
  </si>
  <si>
    <t>Maitam Clementine</t>
  </si>
  <si>
    <t>Half-Board NRF genious rate</t>
  </si>
  <si>
    <t>Annulé le Tue Nov 19 2024 21:48:03 GMT+0100 (UTC+01:00)</t>
  </si>
  <si>
    <t>alejandro mora</t>
  </si>
  <si>
    <t>Richard Woodward</t>
  </si>
  <si>
    <t>Wilhelmina Lemmens Lemmens</t>
  </si>
  <si>
    <t>Julie CUENOT</t>
  </si>
  <si>
    <t>camelia GouGou</t>
  </si>
  <si>
    <t>BORGIA DE MEDEIROS</t>
  </si>
  <si>
    <t>Liwia Guzal</t>
  </si>
  <si>
    <t>Margit Lõiv</t>
  </si>
  <si>
    <t>Debra Lange</t>
  </si>
  <si>
    <t>Flex Canada genious rate</t>
  </si>
  <si>
    <t>Contrat : Flex Canada genious rate</t>
  </si>
  <si>
    <t xml:space="preserve">Contrat : </t>
  </si>
  <si>
    <t>ZIXUAN CHENG</t>
  </si>
  <si>
    <t>Annulé le Wed Oct 02 2024 22:04:04 GMT+0100 (UTC+01:00)</t>
  </si>
  <si>
    <t>Gabriele Pantaleo</t>
  </si>
  <si>
    <t>Robert Andreasson</t>
  </si>
  <si>
    <t>Jonida Karaosmani</t>
  </si>
  <si>
    <t>Katriona Hilliard</t>
  </si>
  <si>
    <t>elger bouwman</t>
  </si>
  <si>
    <t>Giada Settembrini</t>
  </si>
  <si>
    <t>mattieu ribeiro</t>
  </si>
  <si>
    <t>FANNY COQUET BOUCHET</t>
  </si>
  <si>
    <t>Rafael Giraldo</t>
  </si>
  <si>
    <t>claire LE BOT</t>
  </si>
  <si>
    <t>Annulé le Wed Oct 02 2024 19:34:04 GMT+0100 (UTC+01:00)</t>
  </si>
  <si>
    <t>no</t>
  </si>
  <si>
    <t>Hitesh Julka</t>
  </si>
  <si>
    <t>Grille 1</t>
  </si>
  <si>
    <t>Robert Pauw</t>
  </si>
  <si>
    <t>christophh repp</t>
  </si>
  <si>
    <t>Validité</t>
  </si>
  <si>
    <t>Type de chambre</t>
  </si>
  <si>
    <t>Layla Khamlichi montoro</t>
  </si>
  <si>
    <t>Periode Basse</t>
  </si>
  <si>
    <t>BET SKIRDJ</t>
  </si>
  <si>
    <t>Periode Haute</t>
  </si>
  <si>
    <t>Période Très Haute</t>
  </si>
  <si>
    <t>Periode Moyenne</t>
  </si>
  <si>
    <t>Total Brut</t>
  </si>
  <si>
    <t>Du 06/01/16</t>
  </si>
  <si>
    <t>Maria Grazia Stomeo</t>
  </si>
  <si>
    <t>Etienne Moser</t>
  </si>
  <si>
    <t>Au 05/01/17</t>
  </si>
  <si>
    <t>Neil Fullarton</t>
  </si>
  <si>
    <t>bartolomeo albanese</t>
  </si>
  <si>
    <t>136-3505706</t>
  </si>
  <si>
    <t>GABRIELE LILL</t>
  </si>
  <si>
    <t>3 PAX</t>
  </si>
  <si>
    <t>Elisa Verbeek</t>
  </si>
  <si>
    <t>Jorn Pfotenhauer</t>
  </si>
  <si>
    <t>Annulé le Wed Oct 02 2024 19:20:06 GMT+0100 (UTC+01:00)</t>
  </si>
  <si>
    <t>Colaboration Mehdi</t>
  </si>
  <si>
    <t>amal amrani</t>
  </si>
  <si>
    <t>Harvey adams</t>
  </si>
  <si>
    <t>Isabelle Barras</t>
  </si>
  <si>
    <t>Hasmik Hakopian</t>
  </si>
  <si>
    <t>Exp Morocco agence</t>
  </si>
  <si>
    <t>dimitrios triantis</t>
  </si>
  <si>
    <t>Για Παραδοσιακή Πανσιόν</t>
  </si>
  <si>
    <t>Contrat : Για Παραδοσιακή Πανσιόν</t>
  </si>
  <si>
    <t>Lui Julie Chow</t>
  </si>
  <si>
    <t>Du 22/06/16</t>
  </si>
  <si>
    <t>CHRISTINE DA COSTA</t>
  </si>
  <si>
    <t>Matt Ingham</t>
  </si>
  <si>
    <t>Au 31/10/17</t>
  </si>
  <si>
    <t>Annulé le Tue Oct 08 2024 11:19:06 GMT+0100 (UTC+01:00)</t>
  </si>
  <si>
    <t>Gelila Aweke</t>
  </si>
  <si>
    <t>Luisa Ribeiro da Silva</t>
  </si>
  <si>
    <t>Pierre Castronovo</t>
  </si>
  <si>
    <t>Nadja Schneider</t>
  </si>
  <si>
    <t>Camila Dillais</t>
  </si>
  <si>
    <t>fabio ballabio</t>
  </si>
  <si>
    <t>Christian Zart</t>
  </si>
  <si>
    <t>FRANCISCO HERNANDEZ OLIVER</t>
  </si>
  <si>
    <t>Grille 2</t>
  </si>
  <si>
    <t>Magdalena Janicka</t>
  </si>
  <si>
    <t>Aleksei Peregudin</t>
  </si>
  <si>
    <t>Sarah Diouani</t>
  </si>
  <si>
    <t>Nicolas Gerard</t>
  </si>
  <si>
    <t>Florian Hirschmann</t>
  </si>
  <si>
    <t>Keong Loui Lim</t>
  </si>
  <si>
    <t>Sarah Baumgartner</t>
  </si>
  <si>
    <t>Romina Ardelean</t>
  </si>
  <si>
    <t>ROBERT GHIGLION</t>
  </si>
  <si>
    <t>Daniele Degl'innocenti</t>
  </si>
  <si>
    <t>Eva Schiller</t>
  </si>
  <si>
    <t>francis sola</t>
  </si>
  <si>
    <t>Rhyce Lein</t>
  </si>
  <si>
    <t>Greta Petrucionyte</t>
  </si>
  <si>
    <t>Annulé le Wed Nov 13 2024 10:31:05 GMT+0100 (UTC+01:00)</t>
  </si>
  <si>
    <t>Yanis Christian</t>
  </si>
  <si>
    <t>GR-OPAQUE2</t>
  </si>
  <si>
    <t>Federico Morini</t>
  </si>
  <si>
    <t>GR-OPAQUE3</t>
  </si>
  <si>
    <t>Brigit Van Dijk</t>
  </si>
  <si>
    <t>Swennja Albrecht</t>
  </si>
  <si>
    <t>Christopher Gooch</t>
  </si>
  <si>
    <t>Alexander Bodenstein</t>
  </si>
  <si>
    <t>Aurelie Gasana</t>
  </si>
  <si>
    <t>Anne Plonz</t>
  </si>
  <si>
    <t>Inigo Azcarate</t>
  </si>
  <si>
    <t>Annulé le Thu Dec 05 2024 14:43:03 GMT+0100 (UTC+01:00)</t>
  </si>
  <si>
    <t>Alexandre CAUCHOIS</t>
  </si>
  <si>
    <t>Stephane Jeantet</t>
  </si>
  <si>
    <t>Adel Yousfi</t>
  </si>
  <si>
    <t>Sebastien Raimond</t>
  </si>
  <si>
    <t>Sunith Raj Suresh</t>
  </si>
  <si>
    <t>Eirik Foslie Aaboe</t>
  </si>
  <si>
    <t>Prospero Benavente Lobato</t>
  </si>
  <si>
    <t>michele delrieu</t>
  </si>
  <si>
    <t>Vinod Venayak</t>
  </si>
  <si>
    <t>Annulé le Tue Jan 14 2025 20:50:04 GMT+0100 (UTC+01:00)</t>
  </si>
  <si>
    <t>136-3515855</t>
  </si>
  <si>
    <t>ANDREA GIMENO SÁNCHEZ</t>
  </si>
  <si>
    <t>siham beqal</t>
  </si>
  <si>
    <t>Imane Assermouh</t>
  </si>
  <si>
    <t>Fatima Moussaoui</t>
  </si>
  <si>
    <t>136-3516657</t>
  </si>
  <si>
    <t>NICOLO GIOVANNI CARMIMEO</t>
  </si>
  <si>
    <t>Adrian Videoghrapher collab</t>
  </si>
  <si>
    <t>Adrian Videoghrapher Collab</t>
  </si>
  <si>
    <t>loredana frazzitta</t>
  </si>
  <si>
    <t>Jean-Pierre Landolt</t>
  </si>
  <si>
    <t>Alice Panico</t>
  </si>
  <si>
    <t>Khedir Nicolas</t>
  </si>
  <si>
    <t>Pinar Ozalp</t>
  </si>
  <si>
    <t>Wael Shaikh</t>
  </si>
  <si>
    <t>Leroy Cecile</t>
  </si>
  <si>
    <t>Benjamin Flauss</t>
  </si>
  <si>
    <t>Maryam Kamranfar</t>
  </si>
  <si>
    <t>Jason Houle</t>
  </si>
  <si>
    <t>Anh Le Duy</t>
  </si>
  <si>
    <t>Eric Huguet</t>
  </si>
  <si>
    <t>Alexandre MENENDEZ</t>
  </si>
  <si>
    <t>Layla Wilson</t>
  </si>
  <si>
    <t>Paul Gillard</t>
  </si>
  <si>
    <t>Melissa Ann Walsh</t>
  </si>
  <si>
    <t>Emma Nevanpera</t>
  </si>
  <si>
    <t>nicole de carli</t>
  </si>
  <si>
    <t>Kathryn Masood</t>
  </si>
  <si>
    <t>Elli Mia Stancu</t>
  </si>
  <si>
    <t>Michelle Rockwell</t>
  </si>
  <si>
    <t>Jorge de Andres</t>
  </si>
  <si>
    <t>Andreea Georgiana Vlad</t>
  </si>
  <si>
    <t>Chantal van Doorn</t>
  </si>
  <si>
    <t>Berti Margherita</t>
  </si>
  <si>
    <t>susan rosenthal</t>
  </si>
  <si>
    <t>Flex United States</t>
  </si>
  <si>
    <t>Contrat : Flex United States</t>
  </si>
  <si>
    <t>Sarah Simm</t>
  </si>
  <si>
    <t>Brandon Sanders</t>
  </si>
  <si>
    <t>Fabian Delcliseur</t>
  </si>
  <si>
    <t>Christophe Vandenbroeck</t>
  </si>
  <si>
    <t>Alessandro Cielo</t>
  </si>
  <si>
    <t>Annulé le Thu Dec 05 2024 09:39:04 GMT+0100 (UTC+01:00)</t>
  </si>
  <si>
    <t>Jean Yves Castillo</t>
  </si>
  <si>
    <t>Kaye Anderson</t>
  </si>
  <si>
    <t>Alexandre Dormeuil</t>
  </si>
  <si>
    <t>Alix Catrix</t>
  </si>
  <si>
    <t>Annulé le Sat Dec 14 2024 18:34:04 GMT+0100 (UTC+01:00)</t>
  </si>
  <si>
    <t>CAMILIA GOUGOU</t>
  </si>
  <si>
    <t>Helen Frech</t>
  </si>
  <si>
    <t>Simon Bunting</t>
  </si>
  <si>
    <t>Annulé le Sun Dec 01 2024 14:48:03 GMT+0100 (UTC+01:00)</t>
  </si>
  <si>
    <t>Dietmar Majores</t>
  </si>
  <si>
    <t>Andrea Caratto</t>
  </si>
  <si>
    <t>Rachel Cooper</t>
  </si>
  <si>
    <t>Hausdorf Janine</t>
  </si>
  <si>
    <t>mathieu beguin</t>
  </si>
  <si>
    <t>Annulé le Mon Nov 18 2024 14:55:02 GMT+0100 (UTC+01:00)</t>
  </si>
  <si>
    <t>Erwan Garnier</t>
  </si>
  <si>
    <t>Beltran Angela</t>
  </si>
  <si>
    <t>Ranjana diwakar</t>
  </si>
  <si>
    <t>Manjari Singhel</t>
  </si>
  <si>
    <t>Lydia Tang</t>
  </si>
  <si>
    <t>JIAHUI CAO</t>
  </si>
  <si>
    <t>Viola Schopke</t>
  </si>
  <si>
    <t>Lena Mayer</t>
  </si>
  <si>
    <t>Alexis Burnod</t>
  </si>
  <si>
    <t>Ferre Vervoort</t>
  </si>
  <si>
    <t>Charlyne Berger</t>
  </si>
  <si>
    <t>bachir el khadir</t>
  </si>
  <si>
    <t>JORGE MARTINS</t>
  </si>
  <si>
    <t>Deborah Heacock</t>
  </si>
  <si>
    <t>Ciara Dolan</t>
  </si>
  <si>
    <t>Patrick Demanet</t>
  </si>
  <si>
    <t>He He</t>
  </si>
  <si>
    <t>Rafik Galiullin</t>
  </si>
  <si>
    <t>Annulé le Sun Dec 01 2024 20:50:04 GMT+0100 (UTC+01:00)</t>
  </si>
  <si>
    <t>Romain Tinel</t>
  </si>
  <si>
    <t>Annulé le Sun Dec 01 2024 15:47:06 GMT+0100 (UTC+01:00)</t>
  </si>
  <si>
    <t>Elsie Garrett</t>
  </si>
  <si>
    <t>Annulé le Sun Dec 08 2024 14:45:05 GMT+0100 (UTC+01:00)</t>
  </si>
  <si>
    <t>MAX BENET</t>
  </si>
  <si>
    <t>Konrad Kargula</t>
  </si>
  <si>
    <t>Zhiwei Qin</t>
  </si>
  <si>
    <t>ZIHAO LI</t>
  </si>
  <si>
    <t>Iñigo Azcarate</t>
  </si>
  <si>
    <t>alessandro cielo</t>
  </si>
  <si>
    <t>Maria Rodriguez Castan</t>
  </si>
  <si>
    <t>Joana Kulju Rodríguez</t>
  </si>
  <si>
    <t>Luljeta Morina</t>
  </si>
  <si>
    <t>Tajria Rahman</t>
  </si>
  <si>
    <t>BARBARA BONANSEA</t>
  </si>
  <si>
    <t>Full board non-refundable</t>
  </si>
  <si>
    <t>Contrat : Full board non-refundable</t>
  </si>
  <si>
    <t>Annulé le Mon Dec 09 2024 16:15:06 GMT+0100 (UTC+01:00)</t>
  </si>
  <si>
    <t>John Alfred Danao</t>
  </si>
  <si>
    <t>altararwah waleed</t>
  </si>
  <si>
    <t>Annulé le Wed Dec 18 2024 19:30:06 GMT+0100 (UTC+01:00)</t>
  </si>
  <si>
    <t>Tim Poppe</t>
  </si>
  <si>
    <t>Roberto Nibali</t>
  </si>
  <si>
    <t>Priscilla ROMANOS</t>
  </si>
  <si>
    <t>Annulé le Sat Dec 21 2024 20:03:05 GMT+0100 (UTC+01:00)</t>
  </si>
  <si>
    <t>Thomas Wolke</t>
  </si>
  <si>
    <t>Annulé le Wed Dec 18 2024 18:30:05 GMT+0100 (UTC+01:00)</t>
  </si>
  <si>
    <t>Venayak Vinod</t>
  </si>
  <si>
    <t>Vanessa</t>
  </si>
  <si>
    <t>Total Dispo</t>
  </si>
  <si>
    <t>Deluxe</t>
  </si>
  <si>
    <t>Suite (avec supplément)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</si>
</sst>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&quot; &quot;yyyy"/>
    <numFmt numFmtId="165" formatCode="#,##0.00\ [$€-1]"/>
    <numFmt numFmtId="166" formatCode="dd.mm.yyyy"/>
    <numFmt numFmtId="167" formatCode="#,##0.0\ [$€-1]"/>
    <numFmt numFmtId="168" formatCode="#,##0\ [$€-1]"/>
    <numFmt numFmtId="169" formatCode="dd/MM/yyyy"/>
    <numFmt numFmtId="170" formatCode="#,##0.0"/>
    <numFmt numFmtId="171" formatCode="d mmmm yyyy"/>
    <numFmt numFmtId="172" formatCode="dd/mm/yyyy"/>
    <numFmt numFmtId="173" formatCode="d/m/yyyy"/>
    <numFmt numFmtId="174" formatCode="m/d/yyyy h:mm:ss"/>
    <numFmt numFmtId="175" formatCode="mmmm d, yyyy"/>
    <numFmt numFmtId="176" formatCode="mmmm dd, yyyy"/>
  </numFmts>
  <fonts count="36">
    <font>
      <sz val="10.0"/>
      <color rgb="FF000000"/>
      <name val="Arial"/>
    </font>
    <font>
      <b/>
      <name val="Arial"/>
    </font>
    <font/>
    <font>
      <b/>
      <sz val="9.0"/>
      <color rgb="FF000000"/>
      <name val="Arial"/>
    </font>
    <font>
      <b/>
      <u/>
      <color rgb="FF0000FF"/>
      <name val="Arial"/>
    </font>
    <font>
      <name val="Arial"/>
    </font>
    <font>
      <sz val="9.0"/>
      <color rgb="FF000000"/>
      <name val="Arial"/>
    </font>
    <font>
      <sz val="11.0"/>
      <color rgb="FF000000"/>
      <name val="Inconsolata"/>
    </font>
    <font>
      <b/>
    </font>
    <font>
      <color rgb="FFFF0000"/>
      <name val="Arial"/>
    </font>
    <font>
      <color rgb="FFFF0000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sz val="11.0"/>
      <name val="Calibri"/>
    </font>
    <font>
      <sz val="11.0"/>
      <name val="Arial"/>
    </font>
    <font>
      <sz val="10.0"/>
      <color rgb="FF202124"/>
      <name val="Arial"/>
    </font>
    <font>
      <sz val="11.0"/>
      <color rgb="FF000000"/>
      <name val="Arial"/>
    </font>
    <font>
      <sz val="11.0"/>
      <color rgb="FF000000"/>
      <name val="Roboto"/>
    </font>
    <font>
      <color rgb="FF000000"/>
      <name val="Roboto"/>
    </font>
    <font>
      <color rgb="FF222222"/>
      <name val="Arial"/>
    </font>
    <font>
      <sz val="9.0"/>
      <color rgb="FF1F1F1F"/>
    </font>
    <font>
      <sz val="9.0"/>
      <color rgb="FF1F1F1F"/>
      <name val="&quot;Google Sans&quot;"/>
    </font>
    <font>
      <sz val="11.0"/>
      <color rgb="FF1F1F1F"/>
    </font>
    <font>
      <color rgb="FF000000"/>
      <name val="Arial"/>
    </font>
    <font>
      <color rgb="FF222222"/>
      <name val="Tahoma"/>
    </font>
    <font>
      <u/>
      <color rgb="FF1155CC"/>
      <name val="Arial"/>
    </font>
    <font>
      <b/>
      <sz val="11.0"/>
      <name val="Arial"/>
    </font>
    <font>
      <sz val="12.0"/>
      <color rgb="FF000000"/>
      <name val="&quot;Times New Roman&quot;"/>
    </font>
  </fonts>
  <fills count="3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8B2"/>
        <bgColor rgb="FFFCE8B2"/>
      </patternFill>
    </fill>
    <fill>
      <patternFill patternType="solid">
        <fgColor rgb="FFB2DFC9"/>
        <bgColor rgb="FFB2DFC9"/>
      </patternFill>
    </fill>
    <fill>
      <patternFill patternType="solid">
        <fgColor rgb="FFFAE8E7"/>
        <bgColor rgb="FFFAE8E7"/>
      </patternFill>
    </fill>
    <fill>
      <patternFill patternType="solid">
        <fgColor rgb="FFB7E1CD"/>
        <bgColor rgb="FFB7E1CD"/>
      </patternFill>
    </fill>
    <fill>
      <patternFill patternType="solid">
        <fgColor rgb="FFF7D9D7"/>
        <bgColor rgb="FFF7D9D7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AFDFC"/>
        <bgColor rgb="FFFAFDFC"/>
      </patternFill>
    </fill>
    <fill>
      <patternFill patternType="solid">
        <fgColor rgb="FFD9F0E4"/>
        <bgColor rgb="FFD9F0E4"/>
      </patternFill>
    </fill>
    <fill>
      <patternFill patternType="solid">
        <fgColor rgb="FFC9DAF8"/>
        <bgColor rgb="FFC9DAF8"/>
      </patternFill>
    </fill>
    <fill>
      <patternFill patternType="solid">
        <fgColor rgb="FFD5EEE2"/>
        <bgColor rgb="FFD5EEE2"/>
      </patternFill>
    </fill>
    <fill>
      <patternFill patternType="solid">
        <fgColor rgb="FFD6EFE3"/>
        <bgColor rgb="FFD6EFE3"/>
      </patternFill>
    </fill>
    <fill>
      <patternFill patternType="solid">
        <fgColor rgb="FFFEFCFC"/>
        <bgColor rgb="FFFEFCFC"/>
      </patternFill>
    </fill>
    <fill>
      <patternFill patternType="solid">
        <fgColor rgb="FFFAE8E6"/>
        <bgColor rgb="FFFAE8E6"/>
      </patternFill>
    </fill>
    <fill>
      <patternFill patternType="solid">
        <fgColor rgb="FFFEFFFE"/>
        <bgColor rgb="FFFEFFFE"/>
      </patternFill>
    </fill>
    <fill>
      <patternFill patternType="solid">
        <fgColor rgb="FFF1FAF5"/>
        <bgColor rgb="FFF1FAF5"/>
      </patternFill>
    </fill>
    <fill>
      <patternFill patternType="solid">
        <fgColor rgb="FFF2FAF6"/>
        <bgColor rgb="FFF2FAF6"/>
      </patternFill>
    </fill>
    <fill>
      <patternFill patternType="solid">
        <fgColor rgb="FFFAFDFB"/>
        <bgColor rgb="FFFAFDFB"/>
      </patternFill>
    </fill>
    <fill>
      <patternFill patternType="solid">
        <fgColor rgb="FFF1F9F5"/>
        <bgColor rgb="FFF1F9F5"/>
      </patternFill>
    </fill>
    <fill>
      <patternFill patternType="solid">
        <fgColor rgb="FFF9FDFB"/>
        <bgColor rgb="FFF9FDFB"/>
      </patternFill>
    </fill>
    <fill>
      <patternFill patternType="solid">
        <fgColor rgb="FFFCF0EF"/>
        <bgColor rgb="FFFCF0EF"/>
      </patternFill>
    </fill>
    <fill>
      <patternFill patternType="solid">
        <fgColor rgb="FFF8DFDD"/>
        <bgColor rgb="FFF8DFDD"/>
      </patternFill>
    </fill>
    <fill>
      <patternFill patternType="solid">
        <fgColor rgb="FFF9DFDD"/>
        <bgColor rgb="FFF9DFDD"/>
      </patternFill>
    </fill>
    <fill>
      <patternFill patternType="solid">
        <fgColor rgb="FFFCF2F1"/>
        <bgColor rgb="FFFCF2F1"/>
      </patternFill>
    </fill>
    <fill>
      <patternFill patternType="solid">
        <fgColor rgb="FFFCFEFD"/>
        <bgColor rgb="FFFCFEFD"/>
      </patternFill>
    </fill>
    <fill>
      <patternFill patternType="solid">
        <fgColor rgb="FFFDF9F8"/>
        <bgColor rgb="FFFDF9F8"/>
      </patternFill>
    </fill>
    <fill>
      <patternFill patternType="solid">
        <fgColor rgb="FFE1F3EA"/>
        <bgColor rgb="FFE1F3EA"/>
      </patternFill>
    </fill>
    <fill>
      <patternFill patternType="solid">
        <fgColor rgb="FFCEECDD"/>
        <bgColor rgb="FFCEECDD"/>
      </patternFill>
    </fill>
    <fill>
      <patternFill patternType="solid">
        <fgColor rgb="FFCAEADA"/>
        <bgColor rgb="FFCAEADA"/>
      </patternFill>
    </fill>
    <fill>
      <patternFill patternType="solid">
        <fgColor rgb="FFE3F4EB"/>
        <bgColor rgb="FFE3F4EB"/>
      </patternFill>
    </fill>
    <fill>
      <patternFill patternType="solid">
        <fgColor rgb="FFE4F5ED"/>
        <bgColor rgb="FFE4F5ED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left" shrinkToFit="0" textRotation="45" vertical="bottom" wrapText="1"/>
    </xf>
    <xf borderId="2" fillId="0" fontId="1" numFmtId="164" xfId="0" applyAlignment="1" applyBorder="1" applyFont="1" applyNumberFormat="1">
      <alignment horizontal="center" vertical="bottom"/>
    </xf>
    <xf borderId="3" fillId="0" fontId="2" numFmtId="0" xfId="0" applyBorder="1" applyFont="1"/>
    <xf borderId="1" fillId="0" fontId="1" numFmtId="165" xfId="0" applyAlignment="1" applyBorder="1" applyFont="1" applyNumberFormat="1">
      <alignment horizontal="left" shrinkToFit="0" textRotation="45" vertical="bottom" wrapText="1"/>
    </xf>
    <xf borderId="1" fillId="0" fontId="1" numFmtId="166" xfId="0" applyAlignment="1" applyBorder="1" applyFont="1" applyNumberFormat="1">
      <alignment horizontal="left" shrinkToFit="0" textRotation="45" vertical="bottom" wrapText="1"/>
    </xf>
    <xf borderId="1" fillId="0" fontId="1" numFmtId="0" xfId="0" applyAlignment="1" applyBorder="1" applyFont="1">
      <alignment horizontal="left" shrinkToFit="0" textRotation="45" vertical="bottom" wrapText="1"/>
    </xf>
    <xf borderId="1" fillId="2" fontId="3" numFmtId="0" xfId="0" applyAlignment="1" applyBorder="1" applyFill="1" applyFont="1">
      <alignment horizontal="left" shrinkToFit="0" textRotation="45" wrapText="1"/>
    </xf>
    <xf borderId="1" fillId="0" fontId="1" numFmtId="0" xfId="0" applyAlignment="1" applyBorder="1" applyFont="1">
      <alignment horizontal="left" readingOrder="0" shrinkToFit="0" textRotation="45" vertical="bottom" wrapText="1"/>
    </xf>
    <xf borderId="1" fillId="0" fontId="1" numFmtId="3" xfId="0" applyAlignment="1" applyBorder="1" applyFont="1" applyNumberFormat="1">
      <alignment horizontal="left" readingOrder="0" shrinkToFit="0" textRotation="45" vertical="center" wrapText="1"/>
    </xf>
    <xf borderId="1" fillId="0" fontId="4" numFmtId="0" xfId="0" applyAlignment="1" applyBorder="1" applyFont="1">
      <alignment horizontal="left" readingOrder="0" shrinkToFit="0" textRotation="45" vertical="bottom" wrapText="1"/>
    </xf>
    <xf borderId="1" fillId="0" fontId="1" numFmtId="0" xfId="0" applyAlignment="1" applyBorder="1" applyFont="1">
      <alignment horizontal="left" readingOrder="0" shrinkToFit="0" textRotation="45" vertical="center" wrapText="1"/>
    </xf>
    <xf borderId="1" fillId="0" fontId="1" numFmtId="0" xfId="0" applyAlignment="1" applyBorder="1" applyFont="1">
      <alignment horizontal="left" readingOrder="0" shrinkToFit="0" textRotation="45" vertical="center" wrapText="1"/>
    </xf>
    <xf borderId="1" fillId="0" fontId="1" numFmtId="9" xfId="0" applyAlignment="1" applyBorder="1" applyFont="1" applyNumberFormat="1">
      <alignment horizontal="left" readingOrder="0" shrinkToFit="0" textRotation="45" vertical="center" wrapText="1"/>
    </xf>
    <xf borderId="4" fillId="0" fontId="1" numFmtId="0" xfId="0" applyAlignment="1" applyBorder="1" applyFont="1">
      <alignment readingOrder="0" shrinkToFit="0" vertical="center" wrapText="0"/>
    </xf>
    <xf borderId="1" fillId="0" fontId="1" numFmtId="167" xfId="0" applyAlignment="1" applyBorder="1" applyFont="1" applyNumberFormat="1">
      <alignment horizontal="left" readingOrder="0" shrinkToFit="0" textRotation="45" vertical="center" wrapText="1"/>
    </xf>
    <xf borderId="1" fillId="0" fontId="1" numFmtId="0" xfId="0" applyAlignment="1" applyBorder="1" applyFont="1">
      <alignment readingOrder="0" shrinkToFit="0" vertical="bottom" wrapText="0"/>
    </xf>
    <xf borderId="1" fillId="0" fontId="1" numFmtId="165" xfId="0" applyAlignment="1" applyBorder="1" applyFont="1" applyNumberFormat="1">
      <alignment horizontal="left" readingOrder="0" shrinkToFit="0" textRotation="45" vertical="center" wrapText="1"/>
    </xf>
    <xf borderId="0" fillId="0" fontId="1" numFmtId="0" xfId="0" applyAlignment="1" applyFont="1">
      <alignment horizontal="left" shrinkToFit="0" textRotation="45" wrapText="1"/>
    </xf>
    <xf borderId="0" fillId="0" fontId="2" numFmtId="0" xfId="0" applyAlignment="1" applyFont="1">
      <alignment horizontal="center" textRotation="0"/>
    </xf>
    <xf borderId="5" fillId="2" fontId="5" numFmtId="168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1" fillId="0" fontId="5" numFmtId="49" xfId="0" applyAlignment="1" applyBorder="1" applyFont="1" applyNumberFormat="1">
      <alignment horizontal="center" textRotation="0" vertical="bottom"/>
    </xf>
    <xf borderId="1" fillId="0" fontId="5" numFmtId="3" xfId="0" applyAlignment="1" applyBorder="1" applyFont="1" applyNumberFormat="1">
      <alignment horizontal="center" textRotation="0" vertical="bottom"/>
    </xf>
    <xf borderId="1" fillId="2" fontId="6" numFmtId="3" xfId="0" applyAlignment="1" applyBorder="1" applyFont="1" applyNumberFormat="1">
      <alignment horizontal="center" textRotation="0"/>
    </xf>
    <xf borderId="1" fillId="0" fontId="5" numFmtId="3" xfId="0" applyAlignment="1" applyBorder="1" applyFont="1" applyNumberFormat="1">
      <alignment horizontal="center" readingOrder="0" textRotation="0" vertical="bottom"/>
    </xf>
    <xf borderId="1" fillId="0" fontId="5" numFmtId="3" xfId="0" applyAlignment="1" applyBorder="1" applyFont="1" applyNumberFormat="1">
      <alignment horizontal="center" readingOrder="0" textRotation="0" vertical="center"/>
    </xf>
    <xf borderId="0" fillId="0" fontId="5" numFmtId="0" xfId="0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vertical="bottom"/>
    </xf>
    <xf borderId="7" fillId="0" fontId="2" numFmtId="0" xfId="0" applyBorder="1" applyFont="1"/>
    <xf borderId="5" fillId="2" fontId="5" numFmtId="3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5" numFmtId="0" xfId="0" applyFont="1"/>
    <xf borderId="0" fillId="0" fontId="5" numFmtId="49" xfId="0" applyAlignment="1" applyFont="1" applyNumberFormat="1">
      <alignment horizontal="center" textRotation="0" vertical="bottom"/>
    </xf>
    <xf borderId="0" fillId="0" fontId="5" numFmtId="165" xfId="0" applyAlignment="1" applyFont="1" applyNumberFormat="1">
      <alignment horizontal="center" textRotation="0" vertical="bottom"/>
    </xf>
    <xf borderId="0" fillId="0" fontId="5" numFmtId="0" xfId="0" applyAlignment="1" applyFont="1">
      <alignment horizontal="center" textRotation="0" vertical="bottom"/>
    </xf>
    <xf borderId="5" fillId="2" fontId="5" numFmtId="10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readingOrder="0"/>
    </xf>
    <xf borderId="0" fillId="0" fontId="2" numFmtId="169" xfId="0" applyFont="1" applyNumberFormat="1"/>
    <xf borderId="0" fillId="0" fontId="2" numFmtId="3" xfId="0" applyFont="1" applyNumberFormat="1"/>
    <xf borderId="0" fillId="0" fontId="2" numFmtId="167" xfId="0" applyFont="1" applyNumberFormat="1"/>
    <xf borderId="8" fillId="0" fontId="2" numFmtId="0" xfId="0" applyBorder="1" applyFont="1"/>
    <xf borderId="5" fillId="2" fontId="5" numFmtId="167" xfId="0" applyAlignment="1" applyBorder="1" applyFont="1" applyNumberFormat="1">
      <alignment horizontal="center" shrinkToFit="0" vertical="bottom" wrapText="0"/>
    </xf>
    <xf borderId="9" fillId="0" fontId="1" numFmtId="169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1" numFmtId="0" xfId="0" applyAlignment="1" applyBorder="1" applyFont="1">
      <alignment horizontal="center" readingOrder="0" vertical="bottom"/>
    </xf>
    <xf borderId="3" fillId="0" fontId="1" numFmtId="167" xfId="0" applyAlignment="1" applyBorder="1" applyFont="1" applyNumberFormat="1">
      <alignment horizontal="center" readingOrder="0" vertical="bottom"/>
    </xf>
    <xf borderId="3" fillId="0" fontId="1" numFmtId="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9" fillId="0" fontId="5" numFmtId="169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6" fillId="3" fontId="5" numFmtId="3" xfId="0" applyAlignment="1" applyBorder="1" applyFill="1" applyFont="1" applyNumberFormat="1">
      <alignment horizontal="center" vertical="bottom"/>
    </xf>
    <xf borderId="6" fillId="4" fontId="5" numFmtId="167" xfId="0" applyAlignment="1" applyBorder="1" applyFill="1" applyFont="1" applyNumberFormat="1">
      <alignment horizontal="center" vertical="bottom"/>
    </xf>
    <xf borderId="6" fillId="0" fontId="1" numFmtId="168" xfId="0" applyAlignment="1" applyBorder="1" applyFont="1" applyNumberFormat="1">
      <alignment horizontal="center" vertical="bottom"/>
    </xf>
    <xf borderId="6" fillId="2" fontId="5" numFmtId="3" xfId="0" applyAlignment="1" applyBorder="1" applyFont="1" applyNumberFormat="1">
      <alignment horizontal="center" vertical="bottom"/>
    </xf>
    <xf borderId="6" fillId="2" fontId="5" numFmtId="168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49" xfId="0" applyAlignment="1" applyFont="1" applyNumberFormat="1">
      <alignment vertical="bottom"/>
    </xf>
    <xf borderId="0" fillId="0" fontId="1" numFmtId="1" xfId="0" applyAlignment="1" applyFont="1" applyNumberFormat="1">
      <alignment horizontal="center" shrinkToFit="0" vertical="bottom" wrapText="0"/>
    </xf>
    <xf borderId="10" fillId="5" fontId="5" numFmtId="167" xfId="0" applyAlignment="1" applyBorder="1" applyFill="1" applyFont="1" applyNumberFormat="1">
      <alignment horizontal="center" vertical="bottom"/>
    </xf>
    <xf borderId="11" fillId="6" fontId="5" numFmtId="0" xfId="0" applyAlignment="1" applyBorder="1" applyFill="1" applyFont="1">
      <alignment horizontal="center" vertical="bottom"/>
    </xf>
    <xf borderId="10" fillId="0" fontId="5" numFmtId="167" xfId="0" applyAlignment="1" applyBorder="1" applyFont="1" applyNumberFormat="1">
      <alignment horizontal="center" shrinkToFit="0" vertical="bottom" wrapText="0"/>
    </xf>
    <xf borderId="9" fillId="0" fontId="5" numFmtId="169" xfId="0" applyAlignment="1" applyBorder="1" applyFont="1" applyNumberFormat="1">
      <alignment vertical="bottom"/>
    </xf>
    <xf borderId="6" fillId="0" fontId="1" numFmtId="3" xfId="0" applyAlignment="1" applyBorder="1" applyFont="1" applyNumberFormat="1">
      <alignment horizontal="center" vertical="bottom"/>
    </xf>
    <xf borderId="6" fillId="0" fontId="5" numFmtId="167" xfId="0" applyAlignment="1" applyBorder="1" applyFont="1" applyNumberFormat="1">
      <alignment vertical="bottom"/>
    </xf>
    <xf borderId="6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6" fillId="4" fontId="1" numFmtId="3" xfId="0" applyAlignment="1" applyBorder="1" applyFont="1" applyNumberFormat="1">
      <alignment horizontal="center" vertical="bottom"/>
    </xf>
    <xf borderId="6" fillId="4" fontId="1" numFmtId="167" xfId="0" applyAlignment="1" applyBorder="1" applyFont="1" applyNumberFormat="1">
      <alignment horizontal="center" vertical="bottom"/>
    </xf>
    <xf borderId="6" fillId="2" fontId="1" numFmtId="168" xfId="0" applyAlignment="1" applyBorder="1" applyFont="1" applyNumberFormat="1">
      <alignment horizontal="center" vertical="bottom"/>
    </xf>
    <xf borderId="12" fillId="7" fontId="5" numFmtId="167" xfId="0" applyAlignment="1" applyBorder="1" applyFill="1" applyFont="1" applyNumberFormat="1">
      <alignment horizontal="center" vertical="bottom"/>
    </xf>
    <xf borderId="6" fillId="6" fontId="1" numFmtId="3" xfId="0" applyAlignment="1" applyBorder="1" applyFont="1" applyNumberFormat="1">
      <alignment horizontal="center" vertical="bottom"/>
    </xf>
    <xf borderId="13" fillId="6" fontId="5" numFmtId="0" xfId="0" applyAlignment="1" applyBorder="1" applyFont="1">
      <alignment horizontal="center" vertical="bottom"/>
    </xf>
    <xf borderId="6" fillId="6" fontId="1" numFmtId="167" xfId="0" applyAlignment="1" applyBorder="1" applyFont="1" applyNumberFormat="1">
      <alignment horizontal="center" vertical="bottom"/>
    </xf>
    <xf borderId="12" fillId="0" fontId="5" numFmtId="167" xfId="0" applyAlignment="1" applyBorder="1" applyFont="1" applyNumberFormat="1">
      <alignment horizontal="center" shrinkToFit="0" vertical="bottom" wrapText="0"/>
    </xf>
    <xf borderId="0" fillId="0" fontId="5" numFmtId="169" xfId="0" applyAlignment="1" applyFont="1" applyNumberFormat="1">
      <alignment vertical="bottom"/>
    </xf>
    <xf borderId="5" fillId="0" fontId="5" numFmtId="3" xfId="0" applyAlignment="1" applyBorder="1" applyFont="1" applyNumberFormat="1">
      <alignment vertical="bottom"/>
    </xf>
    <xf borderId="5" fillId="0" fontId="5" numFmtId="167" xfId="0" applyAlignment="1" applyBorder="1" applyFont="1" applyNumberFormat="1">
      <alignment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2" fontId="7" numFmtId="1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horizontal="center" readingOrder="0" vertical="bottom"/>
    </xf>
    <xf borderId="0" fillId="8" fontId="1" numFmtId="0" xfId="0" applyAlignment="1" applyFill="1" applyFont="1">
      <alignment vertical="bottom"/>
    </xf>
    <xf borderId="6" fillId="8" fontId="1" numFmtId="0" xfId="0" applyAlignment="1" applyBorder="1" applyFont="1">
      <alignment vertical="bottom"/>
    </xf>
    <xf borderId="14" fillId="0" fontId="1" numFmtId="0" xfId="0" applyAlignment="1" applyBorder="1" applyFont="1">
      <alignment horizontal="center" readingOrder="0" vertical="bottom"/>
    </xf>
    <xf borderId="14" fillId="0" fontId="2" numFmtId="0" xfId="0" applyBorder="1" applyFont="1"/>
    <xf borderId="9" fillId="8" fontId="1" numFmtId="0" xfId="0" applyAlignment="1" applyBorder="1" applyFont="1">
      <alignment vertical="bottom"/>
    </xf>
    <xf borderId="6" fillId="8" fontId="1" numFmtId="0" xfId="0" applyAlignment="1" applyBorder="1" applyFont="1">
      <alignment horizontal="center" vertical="bottom"/>
    </xf>
    <xf borderId="9" fillId="0" fontId="5" numFmtId="169" xfId="0" applyAlignment="1" applyBorder="1" applyFont="1" applyNumberFormat="1">
      <alignment horizontal="right" readingOrder="0" vertical="bottom"/>
    </xf>
    <xf borderId="3" fillId="9" fontId="1" numFmtId="4" xfId="0" applyAlignment="1" applyBorder="1" applyFill="1" applyFont="1" applyNumberFormat="1">
      <alignment horizontal="center" readingOrder="0" vertical="bottom"/>
    </xf>
    <xf borderId="12" fillId="10" fontId="5" numFmtId="167" xfId="0" applyAlignment="1" applyBorder="1" applyFill="1" applyFont="1" applyNumberFormat="1">
      <alignment horizontal="center" vertical="bottom"/>
    </xf>
    <xf borderId="1" fillId="9" fontId="1" numFmtId="0" xfId="0" applyAlignment="1" applyBorder="1" applyFont="1">
      <alignment horizontal="center" vertical="bottom"/>
    </xf>
    <xf borderId="6" fillId="9" fontId="5" numFmtId="167" xfId="0" applyAlignment="1" applyBorder="1" applyFont="1" applyNumberFormat="1">
      <alignment horizontal="center" vertical="bottom"/>
    </xf>
    <xf borderId="6" fillId="9" fontId="5" numFmtId="3" xfId="0" applyAlignment="1" applyBorder="1" applyFont="1" applyNumberFormat="1">
      <alignment horizontal="center" vertical="bottom"/>
    </xf>
    <xf borderId="3" fillId="9" fontId="1" numFmtId="170" xfId="0" applyAlignment="1" applyBorder="1" applyFont="1" applyNumberFormat="1">
      <alignment horizontal="center" readingOrder="0" vertical="bottom"/>
    </xf>
    <xf borderId="9" fillId="0" fontId="1" numFmtId="170" xfId="0" applyAlignment="1" applyBorder="1" applyFont="1" applyNumberFormat="1">
      <alignment horizontal="center" readingOrder="0" vertical="bottom"/>
    </xf>
    <xf borderId="12" fillId="11" fontId="5" numFmtId="167" xfId="0" applyAlignment="1" applyBorder="1" applyFill="1" applyFont="1" applyNumberFormat="1">
      <alignment horizontal="center" vertical="bottom"/>
    </xf>
    <xf borderId="1" fillId="9" fontId="1" numFmtId="3" xfId="0" applyAlignment="1" applyBorder="1" applyFont="1" applyNumberFormat="1">
      <alignment horizontal="center" vertical="bottom"/>
    </xf>
    <xf borderId="1" fillId="12" fontId="1" numFmtId="170" xfId="0" applyAlignment="1" applyBorder="1" applyFill="1" applyFont="1" applyNumberFormat="1">
      <alignment horizontal="center" readingOrder="0" vertical="bottom"/>
    </xf>
    <xf borderId="1" fillId="12" fontId="1" numFmtId="0" xfId="0" applyAlignment="1" applyBorder="1" applyFont="1">
      <alignment horizontal="center" vertical="bottom"/>
    </xf>
    <xf borderId="6" fillId="12" fontId="5" numFmtId="3" xfId="0" applyAlignment="1" applyBorder="1" applyFont="1" applyNumberFormat="1">
      <alignment horizontal="center" readingOrder="0" vertical="bottom"/>
    </xf>
    <xf borderId="6" fillId="12" fontId="5" numFmtId="3" xfId="0" applyAlignment="1" applyBorder="1" applyFont="1" applyNumberFormat="1">
      <alignment horizontal="center" vertical="bottom"/>
    </xf>
    <xf borderId="1" fillId="12" fontId="5" numFmtId="164" xfId="0" applyAlignment="1" applyBorder="1" applyFont="1" applyNumberFormat="1">
      <alignment horizontal="center" readingOrder="0" vertical="bottom"/>
    </xf>
    <xf borderId="1" fillId="12" fontId="1" numFmtId="10" xfId="0" applyAlignment="1" applyBorder="1" applyFont="1" applyNumberFormat="1">
      <alignment horizontal="center" vertical="bottom"/>
    </xf>
    <xf borderId="12" fillId="13" fontId="5" numFmtId="167" xfId="0" applyAlignment="1" applyBorder="1" applyFill="1" applyFont="1" applyNumberFormat="1">
      <alignment horizontal="center" vertical="bottom"/>
    </xf>
    <xf borderId="12" fillId="14" fontId="5" numFmtId="167" xfId="0" applyAlignment="1" applyBorder="1" applyFill="1" applyFont="1" applyNumberFormat="1">
      <alignment horizontal="center" vertical="bottom"/>
    </xf>
    <xf borderId="12" fillId="15" fontId="5" numFmtId="167" xfId="0" applyAlignment="1" applyBorder="1" applyFill="1" applyFont="1" applyNumberFormat="1">
      <alignment horizontal="center" vertical="bottom"/>
    </xf>
    <xf borderId="0" fillId="0" fontId="5" numFmtId="49" xfId="0" applyAlignment="1" applyFont="1" applyNumberFormat="1">
      <alignment horizontal="center" textRotation="0" vertical="bottom"/>
    </xf>
    <xf borderId="0" fillId="0" fontId="5" numFmtId="165" xfId="0" applyAlignment="1" applyFont="1" applyNumberFormat="1">
      <alignment horizontal="center" readingOrder="0" textRotation="0"/>
    </xf>
    <xf borderId="0" fillId="0" fontId="5" numFmtId="165" xfId="0" applyAlignment="1" applyFont="1" applyNumberFormat="1">
      <alignment horizontal="center" readingOrder="0" textRotation="0" vertical="bottom"/>
    </xf>
    <xf borderId="0" fillId="0" fontId="2" numFmtId="165" xfId="0" applyAlignment="1" applyFont="1" applyNumberFormat="1">
      <alignment horizontal="center" readingOrder="0" textRotation="0" vertical="center"/>
    </xf>
    <xf borderId="0" fillId="0" fontId="2" numFmtId="49" xfId="0" applyAlignment="1" applyFont="1" applyNumberFormat="1">
      <alignment horizontal="center" readingOrder="0" shrinkToFit="0" textRotation="0" vertical="top" wrapText="1"/>
    </xf>
    <xf borderId="0" fillId="0" fontId="5" numFmtId="165" xfId="0" applyAlignment="1" applyFont="1" applyNumberFormat="1">
      <alignment horizontal="center" readingOrder="0" textRotation="0" vertical="bottom"/>
    </xf>
    <xf borderId="12" fillId="16" fontId="5" numFmtId="167" xfId="0" applyAlignment="1" applyBorder="1" applyFill="1" applyFont="1" applyNumberFormat="1">
      <alignment horizontal="center" vertical="bottom"/>
    </xf>
    <xf borderId="9" fillId="8" fontId="5" numFmtId="169" xfId="0" applyAlignment="1" applyBorder="1" applyFont="1" applyNumberFormat="1">
      <alignment vertical="bottom"/>
    </xf>
    <xf borderId="1" fillId="8" fontId="1" numFmtId="0" xfId="0" applyAlignment="1" applyBorder="1" applyFont="1">
      <alignment horizontal="center" vertical="bottom"/>
    </xf>
    <xf borderId="6" fillId="8" fontId="5" numFmtId="3" xfId="0" applyAlignment="1" applyBorder="1" applyFont="1" applyNumberFormat="1">
      <alignment horizontal="center" vertical="bottom"/>
    </xf>
    <xf borderId="6" fillId="8" fontId="5" numFmtId="169" xfId="0" applyAlignment="1" applyBorder="1" applyFont="1" applyNumberFormat="1">
      <alignment vertical="bottom"/>
    </xf>
    <xf borderId="6" fillId="8" fontId="5" numFmtId="4" xfId="0" applyAlignment="1" applyBorder="1" applyFont="1" applyNumberFormat="1">
      <alignment horizontal="center" vertical="bottom"/>
    </xf>
    <xf borderId="6" fillId="8" fontId="5" numFmtId="0" xfId="0" applyAlignment="1" applyBorder="1" applyFont="1">
      <alignment horizontal="center" vertical="bottom"/>
    </xf>
    <xf borderId="1" fillId="8" fontId="1" numFmtId="169" xfId="0" applyAlignment="1" applyBorder="1" applyFont="1" applyNumberFormat="1">
      <alignment horizontal="center" vertical="bottom"/>
    </xf>
    <xf borderId="6" fillId="8" fontId="5" numFmtId="169" xfId="0" applyAlignment="1" applyBorder="1" applyFont="1" applyNumberFormat="1">
      <alignment horizontal="center" vertical="bottom"/>
    </xf>
    <xf borderId="0" fillId="0" fontId="5" numFmtId="165" xfId="0" applyAlignment="1" applyFont="1" applyNumberFormat="1">
      <alignment vertical="bottom"/>
    </xf>
    <xf borderId="12" fillId="17" fontId="5" numFmtId="167" xfId="0" applyAlignment="1" applyBorder="1" applyFill="1" applyFont="1" applyNumberFormat="1">
      <alignment horizontal="center" vertical="bottom"/>
    </xf>
    <xf borderId="6" fillId="8" fontId="5" numFmtId="0" xfId="0" applyAlignment="1" applyBorder="1" applyFont="1">
      <alignment readingOrder="0" vertical="bottom"/>
    </xf>
    <xf borderId="0" fillId="0" fontId="5" numFmtId="169" xfId="0" applyAlignment="1" applyFont="1" applyNumberFormat="1">
      <alignment horizontal="right" vertical="bottom"/>
    </xf>
    <xf borderId="0" fillId="2" fontId="5" numFmtId="3" xfId="0" applyAlignment="1" applyFont="1" applyNumberFormat="1">
      <alignment horizontal="center" vertical="bottom"/>
    </xf>
    <xf borderId="0" fillId="2" fontId="5" numFmtId="168" xfId="0" applyAlignment="1" applyFont="1" applyNumberFormat="1">
      <alignment horizontal="center" vertical="bottom"/>
    </xf>
    <xf borderId="0" fillId="3" fontId="5" numFmtId="3" xfId="0" applyAlignment="1" applyFont="1" applyNumberFormat="1">
      <alignment horizontal="center" vertical="bottom"/>
    </xf>
    <xf borderId="0" fillId="4" fontId="5" numFmtId="167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12" fillId="18" fontId="5" numFmtId="167" xfId="0" applyAlignment="1" applyBorder="1" applyFill="1" applyFont="1" applyNumberFormat="1">
      <alignment horizontal="center" vertical="bottom"/>
    </xf>
    <xf borderId="12" fillId="19" fontId="5" numFmtId="167" xfId="0" applyAlignment="1" applyBorder="1" applyFill="1" applyFont="1" applyNumberFormat="1">
      <alignment horizontal="center" vertical="bottom"/>
    </xf>
    <xf borderId="12" fillId="20" fontId="5" numFmtId="167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5" numFmtId="169" xfId="0" applyAlignment="1" applyFont="1" applyNumberForma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5" numFmtId="169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2" numFmtId="169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9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169" xfId="0" applyAlignment="1" applyFont="1" applyNumberForma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5" numFmtId="169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9" xfId="0" applyAlignment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5" numFmtId="169" xfId="0" applyAlignment="1" applyFont="1" applyNumberFormat="1">
      <alignment readingOrder="0" vertical="center"/>
    </xf>
    <xf borderId="0" fillId="0" fontId="5" numFmtId="169" xfId="0" applyAlignment="1" applyFont="1" applyNumberForma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5" numFmtId="169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 textRotation="0"/>
    </xf>
    <xf borderId="0" fillId="0" fontId="2" numFmtId="0" xfId="0" applyAlignment="1" applyFont="1">
      <alignment readingOrder="0" vertical="center"/>
    </xf>
    <xf borderId="12" fillId="21" fontId="5" numFmtId="167" xfId="0" applyAlignment="1" applyBorder="1" applyFill="1" applyFont="1" applyNumberFormat="1">
      <alignment horizontal="center" vertical="bottom"/>
    </xf>
    <xf borderId="0" fillId="0" fontId="2" numFmtId="14" xfId="0" applyAlignment="1" applyFont="1" applyNumberFormat="1">
      <alignment readingOrder="0" vertical="center"/>
    </xf>
    <xf borderId="0" fillId="0" fontId="2" numFmtId="171" xfId="0" applyAlignment="1" applyFont="1" applyNumberFormat="1">
      <alignment readingOrder="0" vertical="center"/>
    </xf>
    <xf borderId="12" fillId="22" fontId="5" numFmtId="167" xfId="0" applyAlignment="1" applyBorder="1" applyFill="1" applyFont="1" applyNumberFormat="1">
      <alignment horizontal="center" vertical="bottom"/>
    </xf>
    <xf borderId="0" fillId="0" fontId="2" numFmtId="172" xfId="0" applyAlignment="1" applyFont="1" applyNumberFormat="1">
      <alignment readingOrder="0" vertical="center"/>
    </xf>
    <xf borderId="0" fillId="0" fontId="5" numFmtId="0" xfId="0" applyAlignment="1" applyFont="1">
      <alignment horizontal="right" readingOrder="0" vertical="center"/>
    </xf>
    <xf borderId="0" fillId="0" fontId="2" numFmtId="173" xfId="0" applyAlignment="1" applyFont="1" applyNumberFormat="1">
      <alignment readingOrder="0" vertical="center"/>
    </xf>
    <xf borderId="12" fillId="23" fontId="5" numFmtId="167" xfId="0" applyAlignment="1" applyBorder="1" applyFill="1" applyFont="1" applyNumberFormat="1">
      <alignment horizontal="center" vertical="bottom"/>
    </xf>
    <xf borderId="12" fillId="24" fontId="5" numFmtId="167" xfId="0" applyAlignment="1" applyBorder="1" applyFill="1" applyFont="1" applyNumberFormat="1">
      <alignment horizontal="center" vertical="bottom"/>
    </xf>
    <xf borderId="0" fillId="0" fontId="5" numFmtId="14" xfId="0" applyAlignment="1" applyFont="1" applyNumberFormat="1">
      <alignment horizontal="right" readingOrder="0" vertical="center"/>
    </xf>
    <xf borderId="0" fillId="0" fontId="5" numFmtId="172" xfId="0" applyAlignment="1" applyFont="1" applyNumberFormat="1">
      <alignment horizontal="right" readingOrder="0" vertical="center"/>
    </xf>
    <xf borderId="12" fillId="25" fontId="5" numFmtId="167" xfId="0" applyAlignment="1" applyBorder="1" applyFill="1" applyFont="1" applyNumberFormat="1">
      <alignment horizontal="center" vertical="bottom"/>
    </xf>
    <xf borderId="0" fillId="0" fontId="5" numFmtId="14" xfId="0" applyAlignment="1" applyFont="1" applyNumberFormat="1">
      <alignment readingOrder="0" vertical="center"/>
    </xf>
    <xf borderId="12" fillId="26" fontId="5" numFmtId="167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readingOrder="0" shrinkToFit="0" vertical="center" wrapText="0"/>
    </xf>
    <xf borderId="0" fillId="0" fontId="5" numFmtId="169" xfId="0" applyAlignment="1" applyFont="1" applyNumberFormat="1">
      <alignment vertical="center"/>
    </xf>
    <xf borderId="12" fillId="27" fontId="5" numFmtId="167" xfId="0" applyAlignment="1" applyBorder="1" applyFill="1" applyFont="1" applyNumberFormat="1">
      <alignment horizontal="center" vertical="bottom"/>
    </xf>
    <xf borderId="12" fillId="2" fontId="5" numFmtId="167" xfId="0" applyAlignment="1" applyBorder="1" applyFont="1" applyNumberFormat="1">
      <alignment horizontal="center" vertical="bottom"/>
    </xf>
    <xf borderId="12" fillId="28" fontId="5" numFmtId="167" xfId="0" applyAlignment="1" applyBorder="1" applyFill="1" applyFont="1" applyNumberFormat="1">
      <alignment horizontal="center" vertical="bottom"/>
    </xf>
    <xf borderId="0" fillId="0" fontId="10" numFmtId="0" xfId="0" applyAlignment="1" applyFont="1">
      <alignment vertical="center"/>
    </xf>
    <xf borderId="0" fillId="0" fontId="5" numFmtId="172" xfId="0" applyAlignment="1" applyFont="1" applyNumberFormat="1">
      <alignment readingOrder="0" vertical="center"/>
    </xf>
    <xf borderId="12" fillId="29" fontId="5" numFmtId="167" xfId="0" applyAlignment="1" applyBorder="1" applyFill="1" applyFont="1" applyNumberFormat="1">
      <alignment horizontal="center" vertical="bottom"/>
    </xf>
    <xf borderId="12" fillId="30" fontId="5" numFmtId="167" xfId="0" applyAlignment="1" applyBorder="1" applyFill="1" applyFont="1" applyNumberFormat="1">
      <alignment horizontal="center" vertical="bottom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12" fillId="31" fontId="5" numFmtId="167" xfId="0" applyAlignment="1" applyBorder="1" applyFill="1" applyFont="1" applyNumberFormat="1">
      <alignment horizontal="center" vertical="bottom"/>
    </xf>
    <xf borderId="12" fillId="32" fontId="5" numFmtId="167" xfId="0" applyAlignment="1" applyBorder="1" applyFill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shrinkToFit="0" textRotation="0" vertical="top" wrapText="1"/>
    </xf>
    <xf borderId="12" fillId="33" fontId="5" numFmtId="167" xfId="0" applyAlignment="1" applyBorder="1" applyFill="1" applyFont="1" applyNumberFormat="1">
      <alignment horizontal="center" vertical="bottom"/>
    </xf>
    <xf borderId="12" fillId="0" fontId="5" numFmtId="167" xfId="0" applyAlignment="1" applyBorder="1" applyFont="1" applyNumberFormat="1">
      <alignment horizontal="center" vertical="bottom"/>
    </xf>
    <xf borderId="0" fillId="0" fontId="13" numFmtId="0" xfId="0" applyAlignment="1" applyFont="1">
      <alignment readingOrder="0" vertical="center"/>
    </xf>
    <xf borderId="15" fillId="0" fontId="5" numFmtId="167" xfId="0" applyAlignment="1" applyBorder="1" applyFont="1" applyNumberFormat="1">
      <alignment horizontal="center" vertical="bottom"/>
    </xf>
    <xf borderId="16" fillId="6" fontId="5" numFmtId="0" xfId="0" applyAlignment="1" applyBorder="1" applyFont="1">
      <alignment horizontal="center" vertical="bottom"/>
    </xf>
    <xf borderId="15" fillId="0" fontId="5" numFmtId="167" xfId="0" applyAlignment="1" applyBorder="1" applyFont="1" applyNumberFormat="1">
      <alignment horizontal="center" shrinkToFit="0" vertical="bottom" wrapText="0"/>
    </xf>
    <xf borderId="0" fillId="0" fontId="5" numFmtId="167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2" fontId="7" numFmtId="0" xfId="0" applyFont="1"/>
    <xf borderId="0" fillId="0" fontId="5" numFmtId="173" xfId="0" applyAlignment="1" applyFont="1" applyNumberFormat="1">
      <alignment horizontal="right" readingOrder="0" vertical="center"/>
    </xf>
    <xf borderId="0" fillId="0" fontId="14" numFmtId="0" xfId="0" applyAlignment="1" applyFont="1">
      <alignment readingOrder="0" vertical="center"/>
    </xf>
    <xf borderId="0" fillId="0" fontId="2" numFmtId="17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8" numFmtId="165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5" numFmtId="169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169" xfId="0" applyAlignment="1" applyFont="1" applyNumberFormat="1">
      <alignment readingOrder="0" vertical="bottom"/>
    </xf>
    <xf borderId="0" fillId="0" fontId="5" numFmtId="3" xfId="0" applyAlignment="1" applyFont="1" applyNumberFormat="1">
      <alignment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9" xfId="0" applyAlignment="1" applyFont="1" applyNumberFormat="1">
      <alignment horizontal="center" readingOrder="0" vertical="bottom"/>
    </xf>
    <xf borderId="0" fillId="0" fontId="5" numFmtId="167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vertical="bottom"/>
    </xf>
    <xf borderId="0" fillId="0" fontId="5" numFmtId="169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5" numFmtId="169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right" readingOrder="0"/>
    </xf>
    <xf borderId="0" fillId="0" fontId="5" numFmtId="9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vertical="bottom"/>
    </xf>
    <xf borderId="0" fillId="0" fontId="5" numFmtId="172" xfId="0" applyAlignment="1" applyFont="1" applyNumberFormat="1">
      <alignment horizontal="right" readingOrder="0" vertical="bottom"/>
    </xf>
    <xf borderId="0" fillId="0" fontId="5" numFmtId="172" xfId="0" applyAlignment="1" applyFont="1" applyNumberFormat="1">
      <alignment horizontal="center" readingOrder="0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174" xfId="0" applyAlignment="1" applyFont="1" applyNumberFormat="1">
      <alignment horizontal="right" readingOrder="0" vertical="bottom"/>
    </xf>
    <xf borderId="0" fillId="0" fontId="5" numFmtId="172" xfId="0" applyAlignment="1" applyFont="1" applyNumberFormat="1">
      <alignment horizontal="right" readingOrder="0"/>
    </xf>
    <xf borderId="0" fillId="0" fontId="5" numFmtId="172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74" xfId="0" applyAlignment="1" applyFont="1" applyNumberFormat="1">
      <alignment horizontal="right" readingOrder="0"/>
    </xf>
    <xf borderId="0" fillId="0" fontId="15" numFmtId="0" xfId="0" applyAlignment="1" applyFont="1">
      <alignment readingOrder="0" vertical="bottom"/>
    </xf>
    <xf borderId="0" fillId="0" fontId="5" numFmtId="174" xfId="0" applyAlignment="1" applyFont="1" applyNumberFormat="1">
      <alignment readingOrder="0"/>
    </xf>
    <xf borderId="0" fillId="0" fontId="2" numFmtId="172" xfId="0" applyAlignment="1" applyFont="1" applyNumberFormat="1">
      <alignment horizontal="center" readingOrder="0" vertical="center"/>
    </xf>
    <xf borderId="0" fillId="0" fontId="2" numFmtId="174" xfId="0" applyAlignment="1" applyFont="1" applyNumberFormat="1">
      <alignment readingOrder="0" vertical="center"/>
    </xf>
    <xf borderId="0" fillId="0" fontId="5" numFmtId="172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172" xfId="0" applyAlignment="1" applyFont="1" applyNumberFormat="1">
      <alignment horizontal="center" readingOrder="0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9" xfId="0" applyAlignment="1" applyFont="1" applyNumberFormat="1">
      <alignment horizontal="center" readingOrder="0" vertical="bottom"/>
    </xf>
    <xf borderId="0" fillId="0" fontId="5" numFmtId="167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17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16" numFmtId="0" xfId="0" applyAlignment="1" applyFont="1">
      <alignment readingOrder="0"/>
    </xf>
    <xf borderId="0" fillId="0" fontId="5" numFmtId="173" xfId="0" applyAlignment="1" applyFont="1" applyNumberFormat="1">
      <alignment horizontal="right" readingOrder="0" vertical="bottom"/>
    </xf>
    <xf borderId="0" fillId="0" fontId="5" numFmtId="173" xfId="0" applyAlignment="1" applyFont="1" applyNumberFormat="1">
      <alignment horizontal="right" readingOrder="0" vertical="bottom"/>
    </xf>
    <xf borderId="0" fillId="0" fontId="5" numFmtId="173" xfId="0" applyAlignment="1" applyFont="1" applyNumberFormat="1">
      <alignment horizontal="right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right" readingOrder="0" vertical="bottom"/>
    </xf>
    <xf borderId="0" fillId="0" fontId="19" numFmtId="169" xfId="0" applyAlignment="1" applyFont="1" applyNumberFormat="1">
      <alignment readingOrder="0" vertical="bottom"/>
    </xf>
    <xf borderId="0" fillId="0" fontId="5" numFmtId="14" xfId="0" applyAlignment="1" applyFont="1" applyNumberFormat="1">
      <alignment horizontal="right" readingOrder="0" vertical="bottom"/>
    </xf>
    <xf borderId="0" fillId="0" fontId="2" numFmtId="173" xfId="0" applyAlignment="1" applyFont="1" applyNumberFormat="1">
      <alignment horizontal="center" readingOrder="0" vertical="center"/>
    </xf>
    <xf borderId="0" fillId="0" fontId="5" numFmtId="173" xfId="0" applyAlignment="1" applyFont="1" applyNumberFormat="1">
      <alignment horizontal="center" readingOrder="0" vertical="bottom"/>
    </xf>
    <xf borderId="0" fillId="0" fontId="20" numFmtId="0" xfId="0" applyAlignment="1" applyFont="1">
      <alignment readingOrder="0" vertical="bottom"/>
    </xf>
    <xf borderId="0" fillId="0" fontId="5" numFmtId="173" xfId="0" applyAlignment="1" applyFont="1" applyNumberFormat="1">
      <alignment horizontal="center" readingOrder="0"/>
    </xf>
    <xf borderId="0" fillId="34" fontId="21" numFmtId="0" xfId="0" applyAlignment="1" applyFill="1" applyFont="1">
      <alignment vertical="bottom"/>
    </xf>
    <xf borderId="0" fillId="35" fontId="21" numFmtId="0" xfId="0" applyAlignment="1" applyFill="1" applyFont="1">
      <alignment vertical="bottom"/>
    </xf>
    <xf borderId="0" fillId="34" fontId="21" numFmtId="172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horizontal="center"/>
    </xf>
    <xf borderId="0" fillId="34" fontId="22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vertical="bottom"/>
    </xf>
    <xf borderId="0" fillId="2" fontId="23" numFmtId="0" xfId="0" applyAlignment="1" applyFont="1">
      <alignment readingOrder="0"/>
    </xf>
    <xf borderId="0" fillId="2" fontId="24" numFmtId="0" xfId="0" applyAlignment="1" applyFont="1">
      <alignment vertical="bottom"/>
    </xf>
    <xf borderId="0" fillId="0" fontId="22" numFmtId="9" xfId="0" applyAlignment="1" applyFont="1" applyNumberFormat="1">
      <alignment horizontal="right" vertical="bottom"/>
    </xf>
    <xf borderId="0" fillId="0" fontId="2" numFmtId="14" xfId="0" applyAlignment="1" applyFont="1" applyNumberFormat="1">
      <alignment readingOrder="0"/>
    </xf>
    <xf borderId="0" fillId="0" fontId="22" numFmtId="0" xfId="0" applyFont="1"/>
    <xf borderId="0" fillId="0" fontId="22" numFmtId="9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22" numFmtId="173" xfId="0" applyAlignment="1" applyFont="1" applyNumberFormat="1">
      <alignment horizontal="right" readingOrder="0" vertical="bottom"/>
    </xf>
    <xf borderId="0" fillId="0" fontId="22" numFmtId="172" xfId="0" applyAlignment="1" applyFont="1" applyNumberFormat="1">
      <alignment horizontal="right" vertical="bottom"/>
    </xf>
    <xf borderId="0" fillId="0" fontId="22" numFmtId="0" xfId="0" applyAlignment="1" applyFont="1">
      <alignment horizontal="right" vertical="bottom"/>
    </xf>
    <xf borderId="0" fillId="0" fontId="22" numFmtId="172" xfId="0" applyAlignment="1" applyFont="1" applyNumberFormat="1">
      <alignment horizontal="right" readingOrder="0" vertical="bottom"/>
    </xf>
    <xf borderId="0" fillId="0" fontId="22" numFmtId="0" xfId="0" applyAlignment="1" applyFont="1">
      <alignment horizontal="right" readingOrder="0" vertical="bottom"/>
    </xf>
    <xf borderId="0" fillId="2" fontId="24" numFmtId="0" xfId="0" applyAlignment="1" applyFont="1">
      <alignment vertical="bottom"/>
    </xf>
    <xf borderId="0" fillId="0" fontId="22" numFmtId="9" xfId="0" applyAlignment="1" applyFont="1" applyNumberFormat="1">
      <alignment horizontal="center" readingOrder="0" vertical="bottom"/>
    </xf>
    <xf borderId="0" fillId="0" fontId="21" numFmtId="0" xfId="0" applyAlignment="1" applyFont="1">
      <alignment horizontal="center" vertical="top"/>
    </xf>
    <xf borderId="0" fillId="0" fontId="5" numFmtId="0" xfId="0" applyAlignment="1" applyFont="1">
      <alignment readingOrder="0" shrinkToFit="0" wrapText="0"/>
    </xf>
    <xf borderId="0" fillId="2" fontId="21" numFmtId="0" xfId="0" applyAlignment="1" applyFont="1">
      <alignment vertical="top"/>
    </xf>
    <xf borderId="0" fillId="0" fontId="21" numFmtId="9" xfId="0" applyAlignment="1" applyFont="1" applyNumberFormat="1">
      <alignment horizontal="right" vertical="bottom"/>
    </xf>
    <xf borderId="0" fillId="35" fontId="22" numFmtId="0" xfId="0" applyAlignment="1" applyFont="1">
      <alignment horizontal="center" vertical="bottom"/>
    </xf>
    <xf borderId="0" fillId="0" fontId="21" numFmtId="9" xfId="0" applyAlignment="1" applyFont="1" applyNumberFormat="1">
      <alignment readingOrder="0" vertical="bottom"/>
    </xf>
    <xf borderId="0" fillId="2" fontId="21" numFmtId="0" xfId="0" applyAlignment="1" applyFont="1">
      <alignment vertical="bottom"/>
    </xf>
    <xf borderId="0" fillId="0" fontId="21" numFmtId="0" xfId="0" applyFont="1"/>
    <xf borderId="0" fillId="2" fontId="25" numFmtId="0" xfId="0" applyAlignment="1" applyFont="1">
      <alignment vertical="bottom"/>
    </xf>
    <xf borderId="0" fillId="35" fontId="22" numFmtId="0" xfId="0" applyAlignment="1" applyFont="1">
      <alignment horizontal="center" readingOrder="0" vertical="bottom"/>
    </xf>
    <xf borderId="0" fillId="35" fontId="21" numFmtId="0" xfId="0" applyAlignment="1" applyFont="1">
      <alignment readingOrder="0" vertical="bottom"/>
    </xf>
    <xf borderId="0" fillId="2" fontId="26" numFmtId="0" xfId="0" applyAlignment="1" applyFont="1">
      <alignment readingOrder="0"/>
    </xf>
    <xf borderId="0" fillId="34" fontId="27" numFmtId="0" xfId="0" applyAlignment="1" applyFont="1">
      <alignment readingOrder="0"/>
    </xf>
    <xf borderId="0" fillId="0" fontId="5" numFmtId="169" xfId="0" applyAlignment="1" applyFont="1" applyNumberFormat="1">
      <alignment horizontal="right" readingOrder="0" vertical="bottom"/>
    </xf>
    <xf borderId="0" fillId="0" fontId="5" numFmtId="169" xfId="0" applyAlignment="1" applyFont="1" applyNumberFormat="1">
      <alignment readingOrder="0" vertical="bottom"/>
    </xf>
    <xf borderId="0" fillId="0" fontId="5" numFmtId="3" xfId="0" applyAlignment="1" applyFont="1" applyNumberFormat="1">
      <alignment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2" fontId="21" numFmtId="0" xfId="0" applyAlignment="1" applyFont="1">
      <alignment readingOrder="0" vertical="bottom"/>
    </xf>
    <xf borderId="0" fillId="2" fontId="22" numFmtId="9" xfId="0" applyAlignment="1" applyFont="1" applyNumberFormat="1">
      <alignment horizontal="center"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readingOrder="0" vertical="bottom"/>
    </xf>
    <xf borderId="0" fillId="2" fontId="21" numFmtId="9" xfId="0" applyAlignment="1" applyFont="1" applyNumberFormat="1">
      <alignment readingOrder="0" vertical="bottom"/>
    </xf>
    <xf borderId="0" fillId="0" fontId="5" numFmtId="173" xfId="0" applyAlignment="1" applyFont="1" applyNumberFormat="1">
      <alignment horizontal="center" readingOrder="0" vertical="bottom"/>
    </xf>
    <xf borderId="0" fillId="2" fontId="7" numFmtId="0" xfId="0" applyAlignment="1" applyFont="1">
      <alignment readingOrder="0"/>
    </xf>
    <xf borderId="0" fillId="2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5" numFmtId="172" xfId="0" applyAlignment="1" applyFont="1" applyNumberFormat="1">
      <alignment horizontal="right" readingOrder="0" vertical="bottom"/>
    </xf>
    <xf borderId="0" fillId="2" fontId="3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2" numFmtId="0" xfId="0" applyAlignment="1" applyFont="1">
      <alignment horizontal="left" vertical="bottom"/>
    </xf>
    <xf borderId="0" fillId="2" fontId="21" numFmtId="0" xfId="0" applyAlignment="1" applyFont="1">
      <alignment vertical="bottom"/>
    </xf>
    <xf borderId="0" fillId="2" fontId="21" numFmtId="9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36" fontId="32" numFmtId="0" xfId="0" applyAlignment="1" applyFill="1" applyFont="1">
      <alignment readingOrder="0"/>
    </xf>
    <xf borderId="0" fillId="0" fontId="33" numFmtId="169" xfId="0" applyAlignment="1" applyFont="1" applyNumberFormat="1">
      <alignment readingOrder="0"/>
    </xf>
    <xf borderId="0" fillId="0" fontId="5" numFmtId="172" xfId="0" applyAlignment="1" applyFont="1" applyNumberFormat="1">
      <alignment readingOrder="0"/>
    </xf>
    <xf borderId="0" fillId="0" fontId="5" numFmtId="14" xfId="0" applyAlignment="1" applyFont="1" applyNumberFormat="1">
      <alignment readingOrder="0"/>
    </xf>
    <xf borderId="0" fillId="0" fontId="2" numFmtId="3" xfId="0" applyAlignment="1" applyFont="1" applyNumberFormat="1">
      <alignment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9" numFmtId="172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9" numFmtId="172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right" readingOrder="0"/>
    </xf>
    <xf borderId="0" fillId="0" fontId="5" numFmtId="169" xfId="0" applyAlignment="1" applyFont="1" applyNumberFormat="1">
      <alignment horizontal="right" readingOrder="0" vertical="bottom"/>
    </xf>
    <xf borderId="0" fillId="0" fontId="9" numFmtId="9" xfId="0" applyAlignment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9" numFmtId="0" xfId="0" applyAlignment="1" applyFont="1">
      <alignment readingOrder="0" shrinkToFit="0" wrapText="1"/>
    </xf>
    <xf borderId="0" fillId="0" fontId="9" numFmtId="174" xfId="0" applyAlignment="1" applyFont="1" applyNumberFormat="1">
      <alignment horizontal="right" readingOrder="0"/>
    </xf>
    <xf borderId="0" fillId="0" fontId="9" numFmtId="169" xfId="0" applyAlignment="1" applyFont="1" applyNumberFormat="1">
      <alignment horizontal="right"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readingOrder="0" vertical="center"/>
    </xf>
    <xf borderId="0" fillId="0" fontId="9" numFmtId="169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9" xfId="0" applyAlignment="1" applyFont="1" applyNumberFormat="1">
      <alignment horizontal="center" readingOrder="0" vertical="center"/>
    </xf>
    <xf borderId="0" fillId="0" fontId="9" numFmtId="167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shrinkToFit="0" vertical="center" wrapText="1"/>
    </xf>
    <xf borderId="0" fillId="2" fontId="34" numFmtId="0" xfId="0" applyAlignment="1" applyFont="1">
      <alignment horizontal="center" readingOrder="0" vertical="bottom"/>
    </xf>
    <xf borderId="1" fillId="2" fontId="34" numFmtId="14" xfId="0" applyAlignment="1" applyBorder="1" applyFont="1" applyNumberFormat="1">
      <alignment horizontal="center" vertical="bottom"/>
    </xf>
    <xf borderId="3" fillId="0" fontId="34" numFmtId="0" xfId="0" applyAlignment="1" applyBorder="1" applyFont="1">
      <alignment horizontal="center" vertical="bottom"/>
    </xf>
    <xf borderId="3" fillId="0" fontId="34" numFmtId="175" xfId="0" applyAlignment="1" applyBorder="1" applyFont="1" applyNumberFormat="1">
      <alignment horizontal="center" vertical="bottom"/>
    </xf>
    <xf borderId="3" fillId="0" fontId="34" numFmtId="0" xfId="0" applyAlignment="1" applyBorder="1" applyFont="1">
      <alignment horizontal="center" vertical="bottom"/>
    </xf>
    <xf borderId="0" fillId="2" fontId="22" numFmtId="0" xfId="0" applyAlignment="1" applyFont="1">
      <alignment readingOrder="0" vertical="bottom"/>
    </xf>
    <xf borderId="17" fillId="2" fontId="22" numFmtId="172" xfId="0" applyAlignment="1" applyBorder="1" applyFont="1" applyNumberFormat="1">
      <alignment vertical="bottom"/>
    </xf>
    <xf borderId="5" fillId="0" fontId="21" numFmtId="0" xfId="0" applyAlignment="1" applyBorder="1" applyFont="1">
      <alignment vertical="bottom"/>
    </xf>
    <xf borderId="5" fillId="0" fontId="22" numFmtId="0" xfId="0" applyAlignment="1" applyBorder="1" applyFont="1">
      <alignment vertical="bottom"/>
    </xf>
    <xf borderId="5" fillId="0" fontId="22" numFmtId="0" xfId="0" applyAlignment="1" applyBorder="1" applyFont="1">
      <alignment horizontal="right" vertical="bottom"/>
    </xf>
    <xf borderId="17" fillId="2" fontId="22" numFmtId="14" xfId="0" applyAlignment="1" applyBorder="1" applyFont="1" applyNumberFormat="1">
      <alignment vertical="bottom"/>
    </xf>
    <xf borderId="18" fillId="2" fontId="22" numFmtId="172" xfId="0" applyAlignment="1" applyBorder="1" applyFont="1" applyNumberFormat="1">
      <alignment vertical="bottom"/>
    </xf>
    <xf borderId="0" fillId="2" fontId="21" numFmtId="172" xfId="0" applyAlignment="1" applyFont="1" applyNumberFormat="1">
      <alignment vertical="bottom"/>
    </xf>
    <xf borderId="5" fillId="2" fontId="21" numFmtId="172" xfId="0" applyAlignment="1" applyBorder="1" applyFont="1" applyNumberFormat="1">
      <alignment vertical="bottom"/>
    </xf>
    <xf borderId="0" fillId="0" fontId="21" numFmtId="176" xfId="0" applyAlignment="1" applyFont="1" applyNumberFormat="1">
      <alignment vertical="bottom"/>
    </xf>
    <xf borderId="0" fillId="0" fontId="21" numFmtId="14" xfId="0" applyAlignment="1" applyFont="1" applyNumberFormat="1">
      <alignment vertical="bottom"/>
    </xf>
    <xf borderId="0" fillId="0" fontId="21" numFmtId="175" xfId="0" applyAlignment="1" applyFont="1" applyNumberFormat="1">
      <alignment vertical="bottom"/>
    </xf>
    <xf borderId="1" fillId="2" fontId="34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vertical="bottom"/>
    </xf>
    <xf borderId="1" fillId="0" fontId="22" numFmtId="0" xfId="0" applyAlignment="1" applyBorder="1" applyFont="1">
      <alignment horizontal="right" readingOrder="0" vertical="bottom"/>
    </xf>
    <xf borderId="1" fillId="2" fontId="35" numFmtId="0" xfId="0" applyAlignment="1" applyBorder="1" applyFont="1">
      <alignment horizontal="right" readingOrder="0"/>
    </xf>
    <xf borderId="0" fillId="2" fontId="35" numFmtId="0" xfId="0" applyAlignment="1" applyFont="1">
      <alignment horizontal="right" readingOrder="0"/>
    </xf>
    <xf borderId="0" fillId="37" fontId="35" numFmtId="0" xfId="0" applyAlignment="1" applyFill="1" applyFont="1">
      <alignment horizontal="right" readingOrder="0"/>
    </xf>
    <xf borderId="0" fillId="0" fontId="5" numFmtId="169" xfId="0" applyAlignment="1" applyFont="1" applyNumberFormat="1">
      <alignment vertical="bottom"/>
    </xf>
    <xf borderId="0" fillId="2" fontId="21" numFmtId="14" xfId="0" applyAlignment="1" applyFont="1" applyNumberFormat="1">
      <alignment vertical="bottom"/>
    </xf>
    <xf borderId="0" fillId="0" fontId="22" numFmtId="0" xfId="0" applyAlignment="1" applyFont="1">
      <alignment horizontal="right" readingOrder="0" vertical="bottom"/>
    </xf>
    <xf borderId="1" fillId="0" fontId="22" numFmtId="0" xfId="0" applyAlignment="1" applyBorder="1" applyFont="1">
      <alignment horizontal="right" readingOrder="0" vertical="bottom"/>
    </xf>
    <xf borderId="0" fillId="0" fontId="5" numFmtId="169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 readingOrder="0" vertical="bottom"/>
    </xf>
    <xf borderId="0" fillId="0" fontId="9" numFmtId="169" xfId="0" applyAlignment="1" applyFont="1" applyNumberFormat="1">
      <alignment horizontal="right" readingOrder="0"/>
    </xf>
    <xf borderId="0" fillId="0" fontId="9" numFmtId="169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0" fontId="9" numFmtId="165" xfId="0" applyAlignment="1" applyFont="1" applyNumberFormat="1">
      <alignment horizontal="center" readingOrder="0"/>
    </xf>
    <xf borderId="0" fillId="0" fontId="2" numFmtId="169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2" fontId="27" numFmtId="0" xfId="0" applyAlignment="1" applyFont="1">
      <alignment readingOrder="0" vertical="center"/>
    </xf>
    <xf borderId="0" fillId="0" fontId="9" numFmtId="169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Moyenne 7 jours nb Nuitées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Flux (Resa- Annu)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Graphique!$A$2:$A$100</c:f>
            </c:strRef>
          </c:cat>
          <c:val>
            <c:numRef>
              <c:f>Graphique!$C$2:$C$100</c:f>
              <c:numCache/>
            </c:numRef>
          </c:val>
          <c:smooth val="0"/>
        </c:ser>
        <c:ser>
          <c:idx val="1"/>
          <c:order val="1"/>
          <c:tx>
            <c:v>Resa</c:v>
          </c:tx>
          <c:spPr>
            <a:ln cmpd="sng">
              <a:solidFill>
                <a:srgbClr val="00FF00"/>
              </a:solidFill>
            </a:ln>
          </c:spPr>
          <c:marker>
            <c:symbol val="none"/>
          </c:marker>
          <c:cat>
            <c:strRef>
              <c:f>Graphique!$A$2:$A$100</c:f>
            </c:strRef>
          </c:cat>
          <c:val>
            <c:numRef>
              <c:f>Graphique!$G$2:$G$100</c:f>
              <c:numCache/>
            </c:numRef>
          </c:val>
          <c:smooth val="0"/>
        </c:ser>
        <c:ser>
          <c:idx val="2"/>
          <c:order val="2"/>
          <c:tx>
            <c:v>Annulation</c:v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Graphique!$A$2:$A$100</c:f>
            </c:strRef>
          </c:cat>
          <c:val>
            <c:numRef>
              <c:f>Graphique!$I$2:$I$100</c:f>
              <c:numCache/>
            </c:numRef>
          </c:val>
          <c:smooth val="0"/>
        </c:ser>
        <c:axId val="2047752361"/>
        <c:axId val="887126316"/>
      </c:lineChart>
      <c:catAx>
        <c:axId val="2047752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7126316"/>
      </c:catAx>
      <c:valAx>
        <c:axId val="887126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7752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Moyenne 7 jours tarifs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Graphique!$A$2:$A$100</c:f>
            </c:strRef>
          </c:cat>
          <c:val>
            <c:numRef>
              <c:f>Graphique!$E$2:$E$100</c:f>
              <c:numCache/>
            </c:numRef>
          </c:val>
          <c:smooth val="0"/>
        </c:ser>
        <c:axId val="46824590"/>
        <c:axId val="1493755736"/>
      </c:lineChart>
      <c:catAx>
        <c:axId val="46824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3755736"/>
      </c:catAx>
      <c:valAx>
        <c:axId val="1493755736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824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Moyenne 7 jours nb Nuitées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Graphique!$A$2:$A$73</c:f>
            </c:strRef>
          </c:cat>
          <c:val>
            <c:numRef>
              <c:f>Graphique!$C$1:$C$73</c:f>
              <c:numCache/>
            </c:numRef>
          </c:val>
          <c:smooth val="0"/>
        </c:ser>
        <c:axId val="742441355"/>
        <c:axId val="758596736"/>
      </c:lineChart>
      <c:catAx>
        <c:axId val="742441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8596736"/>
      </c:catAx>
      <c:valAx>
        <c:axId val="758596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2441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Moyenne 7 jours tarifs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Graphique!$A$2:$A$61</c:f>
            </c:strRef>
          </c:cat>
          <c:val>
            <c:numRef>
              <c:f>Graphique!$E$2:$E$61</c:f>
              <c:numCache/>
            </c:numRef>
          </c:val>
          <c:smooth val="0"/>
        </c:ser>
        <c:axId val="1147097210"/>
        <c:axId val="1779665630"/>
      </c:lineChart>
      <c:catAx>
        <c:axId val="1147097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9665630"/>
      </c:catAx>
      <c:valAx>
        <c:axId val="1779665630"/>
        <c:scaling>
          <c:orientation val="minMax"/>
          <c:min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7097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638175</xdr:colOff>
      <xdr:row>0</xdr:row>
      <xdr:rowOff>142875</xdr:rowOff>
    </xdr:from>
    <xdr:ext cx="5410200" cy="33337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628650</xdr:colOff>
      <xdr:row>19</xdr:row>
      <xdr:rowOff>85725</xdr:rowOff>
    </xdr:from>
    <xdr:ext cx="5410200" cy="340042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504825</xdr:colOff>
      <xdr:row>1</xdr:row>
      <xdr:rowOff>152400</xdr:rowOff>
    </xdr:from>
    <xdr:ext cx="4724400" cy="29146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504825</xdr:colOff>
      <xdr:row>18</xdr:row>
      <xdr:rowOff>95250</xdr:rowOff>
    </xdr:from>
    <xdr:ext cx="4724400" cy="29622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otels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otels.com" TargetMode="External"/><Relationship Id="rId2" Type="http://schemas.openxmlformats.org/officeDocument/2006/relationships/hyperlink" Target="http://hotels.com" TargetMode="External"/><Relationship Id="rId3" Type="http://schemas.openxmlformats.org/officeDocument/2006/relationships/hyperlink" Target="http://a-hotels.com" TargetMode="External"/><Relationship Id="rId4" Type="http://schemas.openxmlformats.org/officeDocument/2006/relationships/hyperlink" Target="http://a-hotels.com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otels.com" TargetMode="External"/><Relationship Id="rId2" Type="http://schemas.openxmlformats.org/officeDocument/2006/relationships/hyperlink" Target="http://hotels.com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hotels.com" TargetMode="External"/><Relationship Id="rId2" Type="http://schemas.openxmlformats.org/officeDocument/2006/relationships/hyperlink" Target="http://hotels.com" TargetMode="External"/><Relationship Id="rId3" Type="http://schemas.openxmlformats.org/officeDocument/2006/relationships/hyperlink" Target="http://hotels.com" TargetMode="External"/><Relationship Id="rId4" Type="http://schemas.openxmlformats.org/officeDocument/2006/relationships/hyperlink" Target="http://hotels.com" TargetMode="External"/><Relationship Id="rId5" Type="http://schemas.openxmlformats.org/officeDocument/2006/relationships/hyperlink" Target="http://hotels.com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hotels.com" TargetMode="External"/><Relationship Id="rId2" Type="http://schemas.openxmlformats.org/officeDocument/2006/relationships/hyperlink" Target="http://a-hotels.com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0"/>
    <col customWidth="1" min="2" max="2" width="10.0"/>
    <col customWidth="1" min="3" max="3" width="9.0"/>
    <col customWidth="1" min="4" max="4" width="3.88"/>
    <col customWidth="1" min="5" max="5" width="9.13"/>
    <col customWidth="1" min="6" max="6" width="3.88"/>
    <col customWidth="1" min="7" max="7" width="9.13"/>
    <col customWidth="1" min="8" max="8" width="3.88"/>
    <col customWidth="1" min="9" max="9" width="9.13"/>
    <col customWidth="1" min="10" max="10" width="3.88"/>
    <col customWidth="1" min="11" max="11" width="9.13"/>
    <col customWidth="1" min="12" max="12" width="3.88"/>
    <col customWidth="1" min="13" max="13" width="9.13"/>
    <col customWidth="1" min="14" max="14" width="3.88"/>
    <col customWidth="1" min="15" max="15" width="9.13"/>
    <col customWidth="1" min="16" max="16" width="3.88"/>
    <col customWidth="1" min="17" max="17" width="9.13"/>
    <col customWidth="1" min="18" max="18" width="3.88"/>
    <col customWidth="1" min="19" max="19" width="9.13"/>
    <col customWidth="1" min="20" max="20" width="3.88"/>
    <col customWidth="1" min="21" max="21" width="9.13"/>
    <col customWidth="1" min="22" max="22" width="3.88"/>
    <col customWidth="1" min="23" max="23" width="9.13"/>
    <col customWidth="1" min="24" max="24" width="3.88"/>
    <col customWidth="1" min="25" max="25" width="9.13"/>
    <col customWidth="1" min="26" max="26" width="3.88"/>
    <col customWidth="1" min="27" max="27" width="9.13"/>
    <col customWidth="1" min="28" max="28" width="3.88"/>
    <col customWidth="1" min="29" max="29" width="9.13"/>
    <col customWidth="1" min="30" max="30" width="3.88"/>
    <col customWidth="1" min="31" max="31" width="9.13"/>
    <col customWidth="1" min="32" max="32" width="3.88"/>
    <col customWidth="1" min="33" max="33" width="9.13"/>
    <col customWidth="1" min="34" max="34" width="3.88"/>
  </cols>
  <sheetData>
    <row r="1">
      <c r="A1" s="1" t="s">
        <v>0</v>
      </c>
      <c r="B1" s="2" t="s">
        <v>1</v>
      </c>
      <c r="C1" s="4">
        <f>EOMONTH(E1,-2)+1</f>
        <v>46174</v>
      </c>
      <c r="D1" s="5"/>
      <c r="E1" s="4">
        <f>EOMONTH(G1,-2)+1</f>
        <v>46204</v>
      </c>
      <c r="F1" s="5"/>
      <c r="G1" s="4">
        <f>DATE(YEAR(TODAY()),Month(TODAY()),1)</f>
        <v>46235</v>
      </c>
      <c r="H1" s="5"/>
      <c r="I1" s="4">
        <f>EOMONTH(G1,0)+1</f>
        <v>46266</v>
      </c>
      <c r="J1" s="5"/>
      <c r="K1" s="4">
        <f>EOMONTH(I1,0)+1</f>
        <v>46296</v>
      </c>
      <c r="L1" s="5"/>
      <c r="M1" s="4">
        <f>EOMONTH(K1,0)+1</f>
        <v>46327</v>
      </c>
      <c r="N1" s="5"/>
      <c r="O1" s="4">
        <f>EOMONTH(M1,0)+1</f>
        <v>46357</v>
      </c>
      <c r="P1" s="5"/>
      <c r="Q1" s="4">
        <f>EOMONTH(O1,0)+1</f>
        <v>46388</v>
      </c>
      <c r="R1" s="5"/>
      <c r="S1" s="4">
        <f>EOMONTH(Q1,0)+1</f>
        <v>46419</v>
      </c>
      <c r="T1" s="5"/>
      <c r="U1" s="4">
        <f>EOMONTH(S1,0)+1</f>
        <v>46447</v>
      </c>
      <c r="V1" s="5"/>
      <c r="W1" s="4">
        <f>EOMONTH(U1,0)+1</f>
        <v>46478</v>
      </c>
      <c r="X1" s="5"/>
      <c r="Y1" s="4">
        <f>EOMONTH(W1,0)+1</f>
        <v>46508</v>
      </c>
      <c r="Z1" s="5"/>
      <c r="AA1" s="4">
        <f>EOMONTH(Y1,0)+1</f>
        <v>46539</v>
      </c>
      <c r="AB1" s="5"/>
      <c r="AC1" s="4">
        <f>EOMONTH(AA1,0)+1</f>
        <v>46569</v>
      </c>
      <c r="AD1" s="5"/>
      <c r="AE1" s="4">
        <f>EOMONTH(AC1,0)+1</f>
        <v>46600</v>
      </c>
      <c r="AF1" s="5"/>
      <c r="AG1" s="4">
        <f>EOMONTH(AE1,0)+1</f>
        <v>46631</v>
      </c>
      <c r="AH1" s="5"/>
    </row>
    <row r="2">
      <c r="A2" s="16" t="s">
        <v>2</v>
      </c>
      <c r="B2" s="18" t="s">
        <v>3</v>
      </c>
      <c r="C2" s="22">
        <f>SUMIFS(dataMail!$R:$R,dataMail!$C:$C,"&lt;&gt;Annulation",dataMail!$G:$G,"&lt;"&amp;E$1,dataMail!$G:$G,"&gt;="&amp;C$1)</f>
        <v>38109.1776</v>
      </c>
      <c r="D2" s="23"/>
      <c r="E2" s="22">
        <f>SUMIFS(dataMail!$R:$R,dataMail!$C:$C,"&lt;&gt;Annulation",dataMail!$G:$G,"&lt;"&amp;G$1,dataMail!$G:$G,"&gt;="&amp;E$1)</f>
        <v>29567.798</v>
      </c>
      <c r="F2" s="23"/>
      <c r="G2" s="22">
        <f>SUMIFS(dataMail!$R:$R,dataMail!$C:$C,"&lt;&gt;Annulation",dataMail!$G:$G,"&lt;"&amp;I$1,dataMail!$G:$G,"&gt;="&amp;G$1)</f>
        <v>30273.6673</v>
      </c>
      <c r="H2" s="23"/>
      <c r="I2" s="22">
        <f>SUMIFS(dataMail!$R:$R,dataMail!$C:$C,"&lt;&gt;Annulation",dataMail!$G:$G,"&lt;"&amp;K$1,dataMail!$G:$G,"&gt;="&amp;I$1)</f>
        <v>32476.5614</v>
      </c>
      <c r="J2" s="23"/>
      <c r="K2" s="22">
        <f>SUMIFS(dataMail!$R:$R,dataMail!$C:$C,"&lt;&gt;Annulation",dataMail!$G:$G,"&lt;"&amp;M$1,dataMail!$G:$G,"&gt;="&amp;K$1)</f>
        <v>45567.947</v>
      </c>
      <c r="L2" s="23"/>
      <c r="M2" s="22">
        <f>SUMIFS(dataMail!$R:$R,dataMail!$C:$C,"&lt;&gt;Annulation",dataMail!$G:$G,"&lt;"&amp;O$1,dataMail!$G:$G,"&gt;="&amp;M$1)</f>
        <v>29328.6247</v>
      </c>
      <c r="N2" s="23"/>
      <c r="O2" s="22">
        <f>SUMIFS(dataMail!$R:$R,dataMail!$C:$C,"&lt;&gt;Annulation",dataMail!$G:$G,"&lt;"&amp;Q$1,dataMail!$G:$G,"&gt;="&amp;O$1)</f>
        <v>21874.0358</v>
      </c>
      <c r="P2" s="23"/>
      <c r="Q2" s="22">
        <f>SUMIFS(dataMail!$R:$R,dataMail!$C:$C,"&lt;&gt;Annulation",dataMail!$G:$G,"&lt;"&amp;S$1,dataMail!$G:$G,"&gt;="&amp;Q$1)</f>
        <v>15940.112</v>
      </c>
      <c r="R2" s="23"/>
      <c r="S2" s="22">
        <f>SUMIFS(dataMail!$R:$R,dataMail!$C:$C,"&lt;&gt;Annulation",dataMail!$G:$G,"&lt;"&amp;U$1,dataMail!$G:$G,"&gt;="&amp;S$1)</f>
        <v>11937.696</v>
      </c>
      <c r="T2" s="23"/>
      <c r="U2" s="22">
        <f>SUMIFS(dataMail!$R:$R,dataMail!$C:$C,"&lt;&gt;Annulation",dataMail!$G:$G,"&lt;"&amp;W$1,dataMail!$G:$G,"&gt;="&amp;U$1)</f>
        <v>4395.712</v>
      </c>
      <c r="V2" s="23"/>
      <c r="W2" s="22">
        <f>SUMIFS(dataMail!$R:$R,dataMail!$C:$C,"&lt;&gt;Annulation",dataMail!$G:$G,"&lt;"&amp;Y$1,dataMail!$G:$G,"&gt;="&amp;W$1)</f>
        <v>5596.9216</v>
      </c>
      <c r="X2" s="23"/>
      <c r="Y2" s="22">
        <f>SUMIFS(dataMail!$R:$R,dataMail!$C:$C,"&lt;&gt;Annulation",dataMail!$G:$G,"&lt;"&amp;AC$1,dataMail!$G:$G,"&gt;="&amp;Y$1)</f>
        <v>11413.76</v>
      </c>
      <c r="Z2" s="23"/>
      <c r="AA2" s="22">
        <f>SUMIFS(dataMail!$R:$R,dataMail!$C:$C,"&lt;&gt;Annulation",dataMail!$G:$G,"&lt;"&amp;AC$1,dataMail!$G:$G,"&gt;="&amp;AA$1)</f>
        <v>1656.832</v>
      </c>
      <c r="AB2" s="23"/>
      <c r="AC2" s="22">
        <f>SUMIFS(dataMail!$R:$R,dataMail!$C:$C,"&lt;&gt;Annulation",dataMail!$G:$G,"&lt;"&amp;AE$1,dataMail!$G:$G,"&gt;="&amp;AC$1)</f>
        <v>1080.24</v>
      </c>
      <c r="AD2" s="23"/>
      <c r="AE2" s="22">
        <f>SUMIFS(dataMail!$R:$R,dataMail!$C:$C,"&lt;&gt;Annulation",dataMail!$G:$G,"&lt;"&amp;AI$1,dataMail!$G:$G,"&gt;="&amp;AE$1)</f>
        <v>0</v>
      </c>
      <c r="AF2" s="23"/>
      <c r="AG2" s="22">
        <f>SUMIFS(dataMail!$R:$R,dataMail!$C:$C,"&lt;&gt;Annulation",dataMail!$G:$G,"&lt;"&amp;AK$1,dataMail!$G:$G,"&gt;="&amp;AG$1)</f>
        <v>0</v>
      </c>
      <c r="AH2" s="23"/>
    </row>
    <row r="3">
      <c r="A3" s="32"/>
      <c r="B3" s="18" t="s">
        <v>4</v>
      </c>
      <c r="C3" s="33">
        <f>IFERROR(SUMIFS(dataMail!$I:$I,dataMail!$C:$C,"&lt;&gt;Annulation",dataMail!$G:$G,"&lt;"&amp;E$1,dataMail!$G:$G,"&gt;="&amp;C$1),"-")</f>
        <v>281</v>
      </c>
      <c r="D3" s="23"/>
      <c r="E3" s="33">
        <f>IFERROR(SUMIFS(dataMail!$I:$I,dataMail!$C:$C,"&lt;&gt;Annulation",dataMail!$G:$G,"&lt;"&amp;G$1,dataMail!$G:$G,"&gt;="&amp;E$1),"-")</f>
        <v>241</v>
      </c>
      <c r="F3" s="23"/>
      <c r="G3" s="33">
        <f>IFERROR(SUMIFS(dataMail!$I:$I,dataMail!$C:$C,"&lt;&gt;Annulation",dataMail!$G:$G,"&lt;"&amp;I$1,dataMail!$G:$G,"&gt;="&amp;G$1),"-")</f>
        <v>280</v>
      </c>
      <c r="H3" s="23"/>
      <c r="I3" s="33">
        <f>IFERROR(SUMIFS(dataMail!$I:$I,dataMail!$C:$C,"&lt;&gt;Annulation",dataMail!$G:$G,"&lt;"&amp;K$1,dataMail!$G:$G,"&gt;="&amp;I$1),"-")</f>
        <v>248</v>
      </c>
      <c r="J3" s="23"/>
      <c r="K3" s="33">
        <f>IFERROR(SUMIFS(dataMail!$I:$I,dataMail!$C:$C,"&lt;&gt;Annulation",dataMail!$G:$G,"&lt;"&amp;M$1,dataMail!$G:$G,"&gt;="&amp;K$1),"-")</f>
        <v>275</v>
      </c>
      <c r="L3" s="23"/>
      <c r="M3" s="33">
        <f>IFERROR(SUMIFS(dataMail!$I:$I,dataMail!$C:$C,"&lt;&gt;Annulation",dataMail!$G:$G,"&lt;"&amp;O$1,dataMail!$G:$G,"&gt;="&amp;M$1),"-")</f>
        <v>184</v>
      </c>
      <c r="N3" s="23"/>
      <c r="O3" s="33">
        <f>IFERROR(SUMIFS(dataMail!$I:$I,dataMail!$C:$C,"&lt;&gt;Annulation",dataMail!$G:$G,"&lt;"&amp;Q$1,dataMail!$G:$G,"&gt;="&amp;O$1),"-")</f>
        <v>127</v>
      </c>
      <c r="P3" s="23"/>
      <c r="Q3" s="33">
        <f>IFERROR(SUMIFS(dataMail!$I:$I,dataMail!$C:$C,"&lt;&gt;Annulation",dataMail!$G:$G,"&lt;"&amp;S$1,dataMail!$G:$G,"&gt;="&amp;Q$1),"-")</f>
        <v>75</v>
      </c>
      <c r="R3" s="23"/>
      <c r="S3" s="33">
        <f>IFERROR(SUMIFS(dataMail!$I:$I,dataMail!$C:$C,"&lt;&gt;Annulation",dataMail!$G:$G,"&lt;"&amp;U$1,dataMail!$G:$G,"&gt;="&amp;S$1),"-")</f>
        <v>65</v>
      </c>
      <c r="T3" s="23"/>
      <c r="U3" s="33">
        <f>IFERROR(SUMIFS(dataMail!$I:$I,dataMail!$C:$C,"&lt;&gt;Annulation",dataMail!$G:$G,"&lt;"&amp;W$1,dataMail!$G:$G,"&gt;="&amp;U$1),"-")</f>
        <v>36</v>
      </c>
      <c r="V3" s="23"/>
      <c r="W3" s="33">
        <f>IFERROR(SUMIFS(dataMail!$I:$I,dataMail!$C:$C,"&lt;&gt;Annulation",dataMail!$G:$G,"&lt;"&amp;Y$1,dataMail!$G:$G,"&gt;="&amp;W$1),"-")</f>
        <v>35</v>
      </c>
      <c r="X3" s="23"/>
      <c r="Y3" s="33">
        <f>IFERROR(SUMIFS(dataMail!$I:$I,dataMail!$C:$C,"&lt;&gt;Annulation",dataMail!$G:$G,"&lt;"&amp;AC$1,dataMail!$G:$G,"&gt;="&amp;Y$1),"-")</f>
        <v>68</v>
      </c>
      <c r="Z3" s="23"/>
      <c r="AA3" s="33">
        <f>IFERROR(SUMIFS(dataMail!$I:$I,dataMail!$C:$C,"&lt;&gt;Annulation",dataMail!$G:$G,"&lt;"&amp;AC$1,dataMail!$G:$G,"&gt;="&amp;AA$1),"-")</f>
        <v>19</v>
      </c>
      <c r="AB3" s="23"/>
      <c r="AC3" s="33">
        <f>IFERROR(SUMIFS(dataMail!$I:$I,dataMail!$C:$C,"&lt;&gt;Annulation",dataMail!$G:$G,"&lt;"&amp;AE$1,dataMail!$G:$G,"&gt;="&amp;AC$1),"-")</f>
        <v>13</v>
      </c>
      <c r="AD3" s="23"/>
      <c r="AE3" s="33">
        <f>IFERROR(SUMIFS(dataMail!$I:$I,dataMail!$C:$C,"&lt;&gt;Annulation",dataMail!$G:$G,"&lt;"&amp;AI$1,dataMail!$G:$G,"&gt;="&amp;AE$1),"-")</f>
        <v>0</v>
      </c>
      <c r="AF3" s="23"/>
      <c r="AG3" s="33">
        <f>IFERROR(SUMIFS(dataMail!$I:$I,dataMail!$C:$C,"&lt;&gt;Annulation",dataMail!$G:$G,"&lt;"&amp;AK$1,dataMail!$G:$G,"&gt;="&amp;AG$1),"-")</f>
        <v>0</v>
      </c>
      <c r="AH3" s="23"/>
    </row>
    <row r="4">
      <c r="A4" s="32"/>
      <c r="B4" s="18" t="s">
        <v>5</v>
      </c>
      <c r="C4" s="40">
        <f>C3/(12*DAY(EOMONTH(C1,0)))</f>
        <v>0.7805555556</v>
      </c>
      <c r="D4" s="23"/>
      <c r="E4" s="40">
        <f>E3/(12*DAY(EOMONTH(E1,0)))</f>
        <v>0.6478494624</v>
      </c>
      <c r="F4" s="23"/>
      <c r="G4" s="40">
        <f>G3/(12*DAY(EOMONTH(G1,0)))</f>
        <v>0.752688172</v>
      </c>
      <c r="H4" s="23"/>
      <c r="I4" s="40">
        <f>I3/(12*DAY(EOMONTH(I1,0)))</f>
        <v>0.6888888889</v>
      </c>
      <c r="J4" s="23"/>
      <c r="K4" s="40">
        <f>K3/(12*DAY(EOMONTH(K1,0)))</f>
        <v>0.7392473118</v>
      </c>
      <c r="L4" s="23"/>
      <c r="M4" s="40">
        <f>M3/(12*DAY(EOMONTH(M1,0)))</f>
        <v>0.5111111111</v>
      </c>
      <c r="N4" s="23"/>
      <c r="O4" s="40">
        <f>O3/(12*DAY(EOMONTH(O1,0)))</f>
        <v>0.3413978495</v>
      </c>
      <c r="P4" s="23"/>
      <c r="Q4" s="40">
        <f>Q3/(12*DAY(EOMONTH(Q1,0)))</f>
        <v>0.2016129032</v>
      </c>
      <c r="R4" s="23"/>
      <c r="S4" s="40">
        <f>S3/(12*DAY(EOMONTH(S1,0)))</f>
        <v>0.193452381</v>
      </c>
      <c r="T4" s="23"/>
      <c r="U4" s="40">
        <f>U3/(12*DAY(EOMONTH(U1,0)))</f>
        <v>0.09677419355</v>
      </c>
      <c r="V4" s="23"/>
      <c r="W4" s="40">
        <f>W3/(12*DAY(EOMONTH(W1,0)))</f>
        <v>0.09722222222</v>
      </c>
      <c r="X4" s="23"/>
      <c r="Y4" s="40">
        <f>Y3/(12*DAY(EOMONTH(Y1,0)))</f>
        <v>0.1827956989</v>
      </c>
      <c r="Z4" s="23"/>
      <c r="AA4" s="40">
        <f>AA3/(12*DAY(EOMONTH(AA1,0)))</f>
        <v>0.05277777778</v>
      </c>
      <c r="AB4" s="23"/>
      <c r="AC4" s="40">
        <f>AC3/(12*DAY(EOMONTH(AC1,0)))</f>
        <v>0.03494623656</v>
      </c>
      <c r="AD4" s="23"/>
      <c r="AE4" s="40">
        <f>AE3/(12*DAY(EOMONTH(AE1,0)))</f>
        <v>0</v>
      </c>
      <c r="AF4" s="23"/>
      <c r="AG4" s="40">
        <f>AG3/(12*DAY(EOMONTH(AG1,0)))</f>
        <v>0</v>
      </c>
      <c r="AH4" s="23"/>
    </row>
    <row r="5">
      <c r="A5" s="32"/>
      <c r="B5" s="18" t="s">
        <v>9</v>
      </c>
      <c r="C5" s="22">
        <f>C2/C3</f>
        <v>135.6198491</v>
      </c>
      <c r="D5" s="23"/>
      <c r="E5" s="22">
        <f>E2/E3</f>
        <v>122.6879585</v>
      </c>
      <c r="F5" s="23"/>
      <c r="G5" s="22">
        <f>G2/G3</f>
        <v>108.1202404</v>
      </c>
      <c r="H5" s="23"/>
      <c r="I5" s="22">
        <f>I2/I3</f>
        <v>130.9538766</v>
      </c>
      <c r="J5" s="23"/>
      <c r="K5" s="22">
        <f>K2/K3</f>
        <v>165.7016255</v>
      </c>
      <c r="L5" s="23"/>
      <c r="M5" s="22">
        <f>M2/M3</f>
        <v>159.3946995</v>
      </c>
      <c r="N5" s="23"/>
      <c r="O5" s="22">
        <f>O2/O3</f>
        <v>172.2365024</v>
      </c>
      <c r="P5" s="23"/>
      <c r="Q5" s="22">
        <f>Q2/Q3</f>
        <v>212.5348267</v>
      </c>
      <c r="R5" s="23"/>
      <c r="S5" s="22">
        <f>S2/S3</f>
        <v>183.6568615</v>
      </c>
      <c r="T5" s="23"/>
      <c r="U5" s="22">
        <f>U2/U3</f>
        <v>122.1031111</v>
      </c>
      <c r="V5" s="23"/>
      <c r="W5" s="22">
        <f>W2/W3</f>
        <v>159.9120457</v>
      </c>
      <c r="X5" s="23"/>
      <c r="Y5" s="22">
        <f>Y2/Y3</f>
        <v>167.8494118</v>
      </c>
      <c r="Z5" s="23"/>
      <c r="AA5" s="22">
        <f>AA2/AA3</f>
        <v>87.20168421</v>
      </c>
      <c r="AB5" s="23"/>
      <c r="AC5" s="22">
        <f>AC2/AC3</f>
        <v>83.09538462</v>
      </c>
      <c r="AD5" s="23"/>
      <c r="AE5" s="22" t="str">
        <f>AE2/AE3</f>
        <v>#DIV/0!</v>
      </c>
      <c r="AF5" s="23"/>
      <c r="AG5" s="22" t="str">
        <f>AG2/AG3</f>
        <v>#DIV/0!</v>
      </c>
      <c r="AH5" s="23"/>
    </row>
    <row r="6">
      <c r="A6" s="32"/>
      <c r="B6" s="18" t="s">
        <v>10</v>
      </c>
      <c r="C6" s="40">
        <f>1-SUM(D11:D41)/(12*DAY(EOMONTH(C3,0)))</f>
        <v>0.8252688172</v>
      </c>
      <c r="D6" s="23"/>
      <c r="E6" s="40">
        <f>1-SUM(F11:F41)/(12*DAY(EOMONTH(E3,0)))</f>
        <v>0.7876344086</v>
      </c>
      <c r="F6" s="23"/>
      <c r="G6" s="40">
        <f>1-SUM(H11:H41)/(12*DAY(EOMONTH(G3,0)))</f>
        <v>0.8198924731</v>
      </c>
      <c r="H6" s="23"/>
      <c r="I6" s="40">
        <f>1-SUM(J11:J41)/(12*DAY(EOMONTH(I3,0)))</f>
        <v>0.8472222222</v>
      </c>
      <c r="J6" s="23"/>
      <c r="K6" s="40">
        <f>1-SUM(L11:L41)/(12*DAY(EOMONTH(K3,0)))</f>
        <v>0.8709677419</v>
      </c>
      <c r="L6" s="23"/>
      <c r="M6" s="40">
        <f>1-SUM(N11:N41)/(12*DAY(EOMONTH(M3,0)))</f>
        <v>0.6182795699</v>
      </c>
      <c r="N6" s="23"/>
      <c r="O6" s="40">
        <f>1-SUM(P11:P41)/(12*DAY(EOMONTH(O3,0)))</f>
        <v>0.4166666667</v>
      </c>
      <c r="P6" s="23"/>
      <c r="Q6" s="40">
        <f>1-SUM(R11:R41)/(12*DAY(EOMONTH(Q3,0)))</f>
        <v>0.2983870968</v>
      </c>
      <c r="R6" s="23"/>
      <c r="S6" s="40">
        <f>1-SUM(T11:T41)/(12*DAY(EOMONTH(S3,0)))</f>
        <v>0.2741935484</v>
      </c>
      <c r="T6" s="23"/>
      <c r="U6" s="40">
        <f>1-SUM(V11:V41)/(12*DAY(EOMONTH(U3,0)))</f>
        <v>0.0744047619</v>
      </c>
      <c r="V6" s="23"/>
      <c r="W6" s="40">
        <f>1-SUM(X11:X41)/(12*DAY(EOMONTH(W3,0)))</f>
        <v>0.1398809524</v>
      </c>
      <c r="X6" s="23"/>
      <c r="Y6" s="40">
        <f>1-SUM(Z11:Z41)/(12*DAY(EOMONTH(Y3,0)))</f>
        <v>0.2150537634</v>
      </c>
      <c r="Z6" s="23"/>
      <c r="AA6" s="40">
        <f>1-SUM(AB11:AB41)/(12*DAY(EOMONTH(AA3,0)))</f>
        <v>0.1639784946</v>
      </c>
      <c r="AB6" s="23"/>
      <c r="AC6" s="40">
        <f>1-SUM(AD11:AD41)/(12*DAY(EOMONTH(AC3,0)))</f>
        <v>0.1182795699</v>
      </c>
      <c r="AD6" s="23"/>
      <c r="AE6" s="40">
        <f>1-SUM(AF11:AF41)/(12*DAY(EOMONTH(AE3,0)))</f>
        <v>0.1747311828</v>
      </c>
      <c r="AF6" s="23"/>
      <c r="AG6" s="40">
        <f>1-SUM(AH11:AH41)/(12*DAY(EOMONTH(AG3,0)))</f>
        <v>0.1290322581</v>
      </c>
      <c r="AH6" s="23"/>
    </row>
    <row r="7">
      <c r="A7" s="45"/>
      <c r="B7" s="18" t="s">
        <v>11</v>
      </c>
      <c r="C7" s="22">
        <f>SUMIFS(dataMail!$S:$S,dataMail!$C:$C,"&lt;&gt;Annulation",dataMail!$G:$G,"&lt;"&amp;E$1,dataMail!$G:$G,"&gt;="&amp;C$1)</f>
        <v>36</v>
      </c>
      <c r="D7" s="23"/>
      <c r="E7" s="22">
        <f>SUMIFS(dataMail!$S:$S,dataMail!$C:$C,"&lt;&gt;Annulation",dataMail!$G:$G,"&lt;"&amp;G$1,dataMail!$G:$G,"&gt;="&amp;E$1)</f>
        <v>558</v>
      </c>
      <c r="F7" s="23"/>
      <c r="G7" s="22">
        <f>SUMIFS(dataMail!$S:$S,dataMail!$C:$C,"&lt;&gt;Annulation",dataMail!$G:$G,"&lt;"&amp;I$1,dataMail!$G:$G,"&gt;="&amp;G$1)</f>
        <v>0</v>
      </c>
      <c r="H7" s="23"/>
      <c r="I7" s="22">
        <f>SUMIFS(dataMail!$S:$S,dataMail!$C:$C,"&lt;&gt;Annulation",dataMail!$G:$G,"&lt;"&amp;K$1,dataMail!$G:$G,"&gt;="&amp;I$1)</f>
        <v>720</v>
      </c>
      <c r="J7" s="23"/>
      <c r="K7" s="22">
        <f>SUMIFS(dataMail!$S:$S,dataMail!$C:$C,"&lt;&gt;Annulation",dataMail!$G:$G,"&lt;"&amp;M$1,dataMail!$G:$G,"&gt;="&amp;K$1)</f>
        <v>630</v>
      </c>
      <c r="L7" s="23"/>
      <c r="M7" s="22">
        <f>SUMIFS(dataMail!$S:$S,dataMail!$C:$C,"&lt;&gt;Annulation",dataMail!$G:$G,"&lt;"&amp;O$1,dataMail!$G:$G,"&gt;="&amp;M$1)</f>
        <v>396</v>
      </c>
      <c r="N7" s="23"/>
      <c r="O7" s="22">
        <f>SUMIFS(dataMail!$S:$S,dataMail!$C:$C,"&lt;&gt;Annulation",dataMail!$G:$G,"&lt;"&amp;Q$1,dataMail!$G:$G,"&gt;="&amp;O$1)</f>
        <v>108</v>
      </c>
      <c r="P7" s="23"/>
      <c r="Q7" s="22">
        <f>SUMIFS(dataMail!$S:$S,dataMail!$C:$C,"&lt;&gt;Annulation",dataMail!$G:$G,"&lt;"&amp;S$1,dataMail!$G:$G,"&gt;="&amp;Q$1)</f>
        <v>36</v>
      </c>
      <c r="R7" s="23"/>
      <c r="S7" s="22">
        <f>SUMIFS(dataMail!$S:$S,dataMail!$C:$C,"&lt;&gt;Annulation",dataMail!$G:$G,"&lt;"&amp;U$1,dataMail!$G:$G,"&gt;="&amp;S$1)</f>
        <v>72</v>
      </c>
      <c r="T7" s="23"/>
      <c r="U7" s="22">
        <f>SUMIFS(dataMail!$S:$S,dataMail!$C:$C,"&lt;&gt;Annulation",dataMail!$G:$G,"&lt;"&amp;W$1,dataMail!$G:$G,"&gt;="&amp;U$1)</f>
        <v>216</v>
      </c>
      <c r="V7" s="23"/>
      <c r="W7" s="22">
        <f>SUMIFS(dataMail!$S:$S,dataMail!$C:$C,"&lt;&gt;Annulation",dataMail!$G:$G,"&lt;"&amp;Y$1,dataMail!$G:$G,"&gt;="&amp;W$1)</f>
        <v>72</v>
      </c>
      <c r="X7" s="23"/>
      <c r="Y7" s="22">
        <f>SUMIFS(dataMail!$S:$S,dataMail!$C:$C,"&lt;&gt;Annulation",dataMail!$G:$G,"&lt;"&amp;AC$1,dataMail!$G:$G,"&gt;="&amp;Y$1)</f>
        <v>0</v>
      </c>
      <c r="Z7" s="23"/>
      <c r="AA7" s="22">
        <f>SUMIFS(dataMail!$S:$S,dataMail!$C:$C,"&lt;&gt;Annulation",dataMail!$G:$G,"&lt;"&amp;AC$1,dataMail!$G:$G,"&gt;="&amp;AA$1)</f>
        <v>0</v>
      </c>
      <c r="AB7" s="23"/>
      <c r="AC7" s="22">
        <f>SUMIFS(dataMail!$S:$S,dataMail!$C:$C,"&lt;&gt;Annulation",dataMail!$G:$G,"&lt;"&amp;AE$1,dataMail!$G:$G,"&gt;="&amp;AC$1)</f>
        <v>0</v>
      </c>
      <c r="AD7" s="23"/>
      <c r="AE7" s="22">
        <f>SUMIFS(dataMail!$S:$S,dataMail!$C:$C,"&lt;&gt;Annulation",dataMail!$G:$G,"&lt;"&amp;AI$1,dataMail!$G:$G,"&gt;="&amp;AE$1)</f>
        <v>0</v>
      </c>
      <c r="AF7" s="23"/>
      <c r="AG7" s="22">
        <f>SUMIFS(dataMail!$S:$S,dataMail!$C:$C,"&lt;&gt;Annulation",dataMail!$G:$G,"&lt;"&amp;AK$1,dataMail!$G:$G,"&gt;="&amp;AG$1)</f>
        <v>0</v>
      </c>
      <c r="AH7" s="23"/>
    </row>
    <row r="8">
      <c r="A8" s="16" t="s">
        <v>12</v>
      </c>
      <c r="B8" s="18" t="s">
        <v>13</v>
      </c>
      <c r="C8" s="46">
        <f>SUMIFS(dataMail!$R:$R,dataMail!$C:$C,"&lt;&gt;Annulation",dataMail!$G:$G,"&lt;"&amp;E$1,dataMail!$G:$G,"&gt;="&amp;C$1,dataMail!$D:$D,$A8) +SUMIFS(dataMail!$S:$S,dataMail!$C:$C,"&lt;&gt;Annulation",dataMail!$G:$G,"&lt;"&amp;E$1,dataMail!$G:$G,"&gt;="&amp;C$1,dataMail!$D:$D,$A8)</f>
        <v>0</v>
      </c>
      <c r="D8" s="23"/>
      <c r="E8" s="46">
        <f>SUMIFS(dataMail!$R:$R,dataMail!$C:$C,"&lt;&gt;Annulation",dataMail!$G:$G,"&lt;"&amp;G$1,dataMail!$G:$G,"&gt;="&amp;E$1,dataMail!$D:$D,$A8) +SUMIFS(dataMail!$S:$S,dataMail!$C:$C,"&lt;&gt;Annulation",dataMail!$G:$G,"&lt;"&amp;G$1,dataMail!$G:$G,"&gt;="&amp;E$1,dataMail!$D:$D,$A8)</f>
        <v>0</v>
      </c>
      <c r="F8" s="23"/>
      <c r="G8" s="46">
        <f>SUMIFS(dataMail!$R:$R,dataMail!$C:$C,"&lt;&gt;Annulation",dataMail!$G:$G,"&lt;"&amp;I$1,dataMail!$G:$G,"&gt;="&amp;G$1,dataMail!$D:$D,$A8) +SUMIFS(dataMail!$S:$S,dataMail!$C:$C,"&lt;&gt;Annulation",dataMail!$G:$G,"&lt;"&amp;I$1,dataMail!$G:$G,"&gt;="&amp;G$1,dataMail!$D:$D,$A8)</f>
        <v>0</v>
      </c>
      <c r="H8" s="23"/>
      <c r="I8" s="46">
        <f>SUMIFS(dataMail!$R:$R,dataMail!$C:$C,"&lt;&gt;Annulation",dataMail!$G:$G,"&lt;"&amp;K$1,dataMail!$G:$G,"&gt;="&amp;I$1,dataMail!$D:$D,$A8) +SUMIFS(dataMail!$S:$S,dataMail!$C:$C,"&lt;&gt;Annulation",dataMail!$G:$G,"&lt;"&amp;K$1,dataMail!$G:$G,"&gt;="&amp;I$1,dataMail!$D:$D,$A8)</f>
        <v>287.72</v>
      </c>
      <c r="J8" s="23"/>
      <c r="K8" s="46">
        <f>SUMIFS(dataMail!$R:$R,dataMail!$C:$C,"&lt;&gt;Annulation",dataMail!$G:$G,"&lt;"&amp;M$1,dataMail!$G:$G,"&gt;="&amp;K$1,dataMail!$D:$D,$A8) +SUMIFS(dataMail!$S:$S,dataMail!$C:$C,"&lt;&gt;Annulation",dataMail!$G:$G,"&lt;"&amp;M$1,dataMail!$G:$G,"&gt;="&amp;K$1,dataMail!$D:$D,$A8)</f>
        <v>2253.824</v>
      </c>
      <c r="L8" s="23"/>
      <c r="M8" s="46">
        <f>SUMIFS(dataMail!$R:$R,dataMail!$C:$C,"&lt;&gt;Annulation",dataMail!$G:$G,"&lt;"&amp;O$1,dataMail!$G:$G,"&gt;="&amp;M$1,dataMail!$D:$D,$A8) +SUMIFS(dataMail!$S:$S,dataMail!$C:$C,"&lt;&gt;Annulation",dataMail!$G:$G,"&lt;"&amp;O$1,dataMail!$G:$G,"&gt;="&amp;M$1,dataMail!$D:$D,$A8)</f>
        <v>612.992</v>
      </c>
      <c r="N8" s="23"/>
      <c r="O8" s="46">
        <f>SUMIFS(dataMail!$R:$R,dataMail!$C:$C,"&lt;&gt;Annulation",dataMail!$G:$G,"&lt;"&amp;Q$1,dataMail!$G:$G,"&gt;="&amp;O$1,dataMail!$D:$D,$A8) +SUMIFS(dataMail!$S:$S,dataMail!$C:$C,"&lt;&gt;Annulation",dataMail!$G:$G,"&lt;"&amp;Q$1,dataMail!$G:$G,"&gt;="&amp;O$1,dataMail!$D:$D,$A8)</f>
        <v>0</v>
      </c>
      <c r="P8" s="23"/>
      <c r="Q8" s="46">
        <f>SUMIFS(dataMail!$R:$R,dataMail!$C:$C,"&lt;&gt;Annulation",dataMail!$G:$G,"&lt;"&amp;S$1,dataMail!$G:$G,"&gt;="&amp;Q$1,dataMail!$D:$D,$A8) +SUMIFS(dataMail!$S:$S,dataMail!$C:$C,"&lt;&gt;Annulation",dataMail!$G:$G,"&lt;"&amp;S$1,dataMail!$G:$G,"&gt;="&amp;Q$1,dataMail!$D:$D,$A8)</f>
        <v>0</v>
      </c>
      <c r="R8" s="23"/>
      <c r="S8" s="46">
        <f>SUMIFS(dataMail!$R:$R,dataMail!$C:$C,"&lt;&gt;Annulation",dataMail!$G:$G,"&lt;"&amp;U$1,dataMail!$G:$G,"&gt;="&amp;S$1,dataMail!$D:$D,$A8) +SUMIFS(dataMail!$S:$S,dataMail!$C:$C,"&lt;&gt;Annulation",dataMail!$G:$G,"&lt;"&amp;U$1,dataMail!$G:$G,"&gt;="&amp;S$1,dataMail!$D:$D,$A8)</f>
        <v>0</v>
      </c>
      <c r="T8" s="23"/>
      <c r="U8" s="46">
        <f>SUMIFS(dataMail!$R:$R,dataMail!$C:$C,"&lt;&gt;Annulation",dataMail!$G:$G,"&lt;"&amp;W$1,dataMail!$G:$G,"&gt;="&amp;U$1,dataMail!$D:$D,$A8) +SUMIFS(dataMail!$S:$S,dataMail!$C:$C,"&lt;&gt;Annulation",dataMail!$G:$G,"&lt;"&amp;W$1,dataMail!$G:$G,"&gt;="&amp;U$1,dataMail!$D:$D,$A8)</f>
        <v>0</v>
      </c>
      <c r="V8" s="23"/>
      <c r="W8" s="46">
        <f>SUMIFS(dataMail!$R:$R,dataMail!$C:$C,"&lt;&gt;Annulation",dataMail!$G:$G,"&lt;"&amp;Y$1,dataMail!$G:$G,"&gt;="&amp;W$1,dataMail!$D:$D,$A8) +SUMIFS(dataMail!$S:$S,dataMail!$C:$C,"&lt;&gt;Annulation",dataMail!$G:$G,"&lt;"&amp;Y$1,dataMail!$G:$G,"&gt;="&amp;W$1,dataMail!$D:$D,$A8)</f>
        <v>0</v>
      </c>
      <c r="X8" s="23"/>
      <c r="Y8" s="46">
        <f>SUMIFS(dataMail!$R:$R,dataMail!$C:$C,"&lt;&gt;Annulation",dataMail!$G:$G,"&lt;"&amp;AC$1,dataMail!$G:$G,"&gt;="&amp;Y$1,dataMail!$D:$D,$A8) +SUMIFS(dataMail!$S:$S,dataMail!$C:$C,"&lt;&gt;Annulation",dataMail!$G:$G,"&lt;"&amp;AC$1,dataMail!$G:$G,"&gt;="&amp;Y$1,dataMail!$D:$D,$A8)</f>
        <v>0</v>
      </c>
      <c r="Z8" s="23"/>
      <c r="AA8" s="46">
        <f>SUMIFS(dataMail!$R:$R,dataMail!$C:$C,"&lt;&gt;Annulation",dataMail!$G:$G,"&lt;"&amp;AC$1,dataMail!$G:$G,"&gt;="&amp;AA$1,dataMail!$D:$D,$A8) +SUMIFS(dataMail!$S:$S,dataMail!$C:$C,"&lt;&gt;Annulation",dataMail!$G:$G,"&lt;"&amp;AC$1,dataMail!$G:$G,"&gt;="&amp;AA$1,dataMail!$D:$D,$A8)</f>
        <v>0</v>
      </c>
      <c r="AB8" s="23"/>
      <c r="AC8" s="46">
        <f>SUMIFS(dataMail!$R:$R,dataMail!$C:$C,"&lt;&gt;Annulation",dataMail!$G:$G,"&lt;"&amp;AE$1,dataMail!$G:$G,"&gt;="&amp;AC$1,dataMail!$D:$D,$A8) +SUMIFS(dataMail!$S:$S,dataMail!$C:$C,"&lt;&gt;Annulation",dataMail!$G:$G,"&lt;"&amp;AE$1,dataMail!$G:$G,"&gt;="&amp;AC$1,dataMail!$D:$D,$A8)</f>
        <v>0</v>
      </c>
      <c r="AD8" s="23"/>
      <c r="AE8" s="46">
        <f>SUMIFS(dataMail!$R:$R,dataMail!$C:$C,"&lt;&gt;Annulation",dataMail!$G:$G,"&lt;"&amp;AI$1,dataMail!$G:$G,"&gt;="&amp;AE$1,dataMail!$D:$D,$A8) +SUMIFS(dataMail!$S:$S,dataMail!$C:$C,"&lt;&gt;Annulation",dataMail!$G:$G,"&lt;"&amp;AI$1,dataMail!$G:$G,"&gt;="&amp;AE$1,dataMail!$D:$D,$A8)</f>
        <v>0</v>
      </c>
      <c r="AF8" s="23"/>
      <c r="AG8" s="46">
        <f>SUMIFS(dataMail!$R:$R,dataMail!$C:$C,"&lt;&gt;Annulation",dataMail!$G:$G,"&lt;"&amp;AK$1,dataMail!$G:$G,"&gt;="&amp;AG$1,dataMail!$D:$D,$A8) +SUMIFS(dataMail!$S:$S,dataMail!$C:$C,"&lt;&gt;Annulation",dataMail!$G:$G,"&lt;"&amp;AK$1,dataMail!$G:$G,"&gt;="&amp;AG$1,dataMail!$D:$D,$A8)</f>
        <v>0</v>
      </c>
      <c r="AH8" s="23"/>
    </row>
    <row r="9">
      <c r="A9" s="45"/>
      <c r="B9" s="55" t="s">
        <v>9</v>
      </c>
      <c r="C9" s="46" t="str">
        <f>IFERROR(AVERAGEIFS(dataMail!$P:$P,dataMail!$C:$C,"&lt;&gt;Annulation",dataMail!$G:$G,"&lt;"&amp;E$1,dataMail!$G:$G,"&gt;="&amp;C$1,dataMail!$D:$D,$A8),"-")</f>
        <v>-</v>
      </c>
      <c r="D9" s="23"/>
      <c r="E9" s="46" t="str">
        <f>IFERROR(AVERAGEIFS(dataMail!$P:$P,dataMail!$C:$C,"&lt;&gt;Annulation",dataMail!$G:$G,"&lt;"&amp;G$1,dataMail!$G:$G,"&gt;="&amp;E$1,dataMail!$D:$D,$A8),"-")</f>
        <v>-</v>
      </c>
      <c r="F9" s="23"/>
      <c r="G9" s="46" t="str">
        <f>IFERROR(AVERAGEIFS(dataMail!$P:$P,dataMail!$C:$C,"&lt;&gt;Annulation",dataMail!$G:$G,"&lt;"&amp;I$1,dataMail!$G:$G,"&gt;="&amp;G$1,dataMail!$D:$D,$A8),"-")</f>
        <v>-</v>
      </c>
      <c r="H9" s="23"/>
      <c r="I9" s="46">
        <f>IFERROR(AVERAGEIFS(dataMail!$P:$P,dataMail!$C:$C,"&lt;&gt;Annulation",dataMail!$G:$G,"&lt;"&amp;K$1,dataMail!$G:$G,"&gt;="&amp;I$1,dataMail!$D:$D,$A8),"-")</f>
        <v>143.86</v>
      </c>
      <c r="J9" s="23"/>
      <c r="K9" s="46">
        <f>IFERROR(AVERAGEIFS(dataMail!$P:$P,dataMail!$C:$C,"&lt;&gt;Annulation",dataMail!$G:$G,"&lt;"&amp;M$1,dataMail!$G:$G,"&gt;="&amp;K$1,dataMail!$D:$D,$A8),"-")</f>
        <v>301.92</v>
      </c>
      <c r="L9" s="23"/>
      <c r="M9" s="46">
        <f>IFERROR(AVERAGEIFS(dataMail!$P:$P,dataMail!$C:$C,"&lt;&gt;Annulation",dataMail!$G:$G,"&lt;"&amp;O$1,dataMail!$G:$G,"&gt;="&amp;M$1,dataMail!$D:$D,$A8),"-")</f>
        <v>153.248</v>
      </c>
      <c r="N9" s="23"/>
      <c r="O9" s="46" t="str">
        <f>IFERROR(AVERAGEIFS(dataMail!$P:$P,dataMail!$C:$C,"&lt;&gt;Annulation",dataMail!$G:$G,"&lt;"&amp;Q$1,dataMail!$G:$G,"&gt;="&amp;O$1,dataMail!$D:$D,$A8),"-")</f>
        <v>-</v>
      </c>
      <c r="P9" s="23"/>
      <c r="Q9" s="46" t="str">
        <f>IFERROR(AVERAGEIFS(dataMail!$P:$P,dataMail!$C:$C,"&lt;&gt;Annulation",dataMail!$G:$G,"&lt;"&amp;S$1,dataMail!$G:$G,"&gt;="&amp;Q$1,dataMail!$D:$D,$A8),"-")</f>
        <v>-</v>
      </c>
      <c r="R9" s="23"/>
      <c r="S9" s="46" t="str">
        <f>IFERROR(AVERAGEIFS(dataMail!$P:$P,dataMail!$C:$C,"&lt;&gt;Annulation",dataMail!$G:$G,"&lt;"&amp;U$1,dataMail!$G:$G,"&gt;="&amp;S$1,dataMail!$D:$D,$A8),"-")</f>
        <v>-</v>
      </c>
      <c r="T9" s="23"/>
      <c r="U9" s="46" t="str">
        <f>IFERROR(AVERAGEIFS(dataMail!$P:$P,dataMail!$C:$C,"&lt;&gt;Annulation",dataMail!$G:$G,"&lt;"&amp;W$1,dataMail!$G:$G,"&gt;="&amp;U$1,dataMail!$D:$D,$A8),"-")</f>
        <v>-</v>
      </c>
      <c r="V9" s="23"/>
      <c r="W9" s="46" t="str">
        <f>IFERROR(AVERAGEIFS(dataMail!$P:$P,dataMail!$C:$C,"&lt;&gt;Annulation",dataMail!$G:$G,"&lt;"&amp;Y$1,dataMail!$G:$G,"&gt;="&amp;W$1,dataMail!$D:$D,$A8),"-")</f>
        <v>-</v>
      </c>
      <c r="X9" s="23"/>
      <c r="Y9" s="46" t="str">
        <f>IFERROR(AVERAGEIFS(dataMail!$P:$P,dataMail!$C:$C,"&lt;&gt;Annulation",dataMail!$G:$G,"&lt;"&amp;AC$1,dataMail!$G:$G,"&gt;="&amp;Y$1,dataMail!$D:$D,$A8),"-")</f>
        <v>-</v>
      </c>
      <c r="Z9" s="23"/>
      <c r="AA9" s="46" t="str">
        <f>IFERROR(AVERAGEIFS(dataMail!$P:$P,dataMail!$C:$C,"&lt;&gt;Annulation",dataMail!$G:$G,"&lt;"&amp;AC$1,dataMail!$G:$G,"&gt;="&amp;AA$1,dataMail!$D:$D,$A8),"-")</f>
        <v>-</v>
      </c>
      <c r="AB9" s="23"/>
      <c r="AC9" s="46" t="str">
        <f>IFERROR(AVERAGEIFS(dataMail!$P:$P,dataMail!$C:$C,"&lt;&gt;Annulation",dataMail!$G:$G,"&lt;"&amp;AE$1,dataMail!$G:$G,"&gt;="&amp;AC$1,dataMail!$D:$D,$A8),"-")</f>
        <v>-</v>
      </c>
      <c r="AD9" s="23"/>
      <c r="AE9" s="46" t="str">
        <f>IFERROR(AVERAGEIFS(dataMail!$P:$P,dataMail!$C:$C,"&lt;&gt;Annulation",dataMail!$G:$G,"&lt;"&amp;AI$1,dataMail!$G:$G,"&gt;="&amp;AE$1,dataMail!$D:$D,$A8),"-")</f>
        <v>-</v>
      </c>
      <c r="AF9" s="23"/>
      <c r="AG9" s="46" t="str">
        <f>IFERROR(AVERAGEIFS(dataMail!$P:$P,dataMail!$C:$C,"&lt;&gt;Annulation",dataMail!$G:$G,"&lt;"&amp;AK$1,dataMail!$G:$G,"&gt;="&amp;AG$1,dataMail!$D:$D,$A8),"-")</f>
        <v>-</v>
      </c>
      <c r="AH9" s="23"/>
    </row>
    <row r="10">
      <c r="A10" s="53"/>
      <c r="B10" s="53"/>
      <c r="C10" s="53"/>
      <c r="D10" s="53"/>
      <c r="E10" s="53"/>
      <c r="F10" s="53"/>
      <c r="G10" s="53"/>
      <c r="H10" s="53"/>
      <c r="I10" s="64"/>
      <c r="J10" s="64"/>
      <c r="K10" s="64"/>
      <c r="L10" s="64"/>
      <c r="M10" s="64"/>
      <c r="N10" s="64"/>
      <c r="O10" s="64"/>
      <c r="P10" s="64"/>
      <c r="Q10" s="65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</row>
    <row r="11">
      <c r="A11" s="66"/>
      <c r="B11" s="66">
        <v>1.0</v>
      </c>
      <c r="C11" s="67">
        <f>IF(DAY(EOMONTH(C$1,0))&gt;=$B11,IFERROR(AVERAGEIFS(dataMail!$P:$P,dataMail!$C:$C,"Confirmation",dataMail!$G:$G,"&lt;="&amp;(C$1+$B11-1),dataMail!$H:$H,"&gt;"&amp;(C$1+$B11-1)),"-"),"-")</f>
        <v>122.4887513</v>
      </c>
      <c r="D11" s="68">
        <f>IF(DAY(EOMONTH(C$1,0))&gt;=$B11, 11-COUNTIFS(dataMail!$C:$C,"&lt;&gt;Annulation",dataMail!$G:$G,"&lt;="&amp;(C$1+$B11-1),dataMail!$H:$H,"&gt;"&amp;(C$1+$B11-1)),"-")</f>
        <v>2</v>
      </c>
      <c r="E11" s="69">
        <f>IF(DAY(EOMONTH(E$1,0))&gt;=$B11,IFERROR(AVERAGEIFS(dataMail!$P:$P,dataMail!$C:$C,"Confirmation",dataMail!$G:$G,"&lt;="&amp;(E$1+$B11-1),dataMail!$H:$H,"&gt;"&amp;(E$1+$B11-1)),"-"),"-")</f>
        <v>161.8592667</v>
      </c>
      <c r="F11" s="68">
        <f>IF(DAY(EOMONTH(E$1,0))&gt;=$B11, 11-COUNTIFS(dataMail!$C:$C,"&lt;&gt;Annulation",dataMail!$G:$G,"&lt;="&amp;(E$1+$B11-1),dataMail!$H:$H,"&gt;"&amp;(E$1+$B11-1)),"-")</f>
        <v>3</v>
      </c>
      <c r="G11" s="69">
        <f>IF(DAY(EOMONTH(G$1,0))&gt;=$B11,IFERROR(AVERAGEIFS(dataMail!$P:$P,dataMail!$C:$C,"Confirmation",dataMail!$G:$G,"&lt;="&amp;(G$1+$B11-1),dataMail!$H:$H,"&gt;"&amp;(G$1+$B11-1)),"-"),"-")</f>
        <v>96.6784</v>
      </c>
      <c r="H11" s="68">
        <f>IF(DAY(EOMONTH(G$1,0))&gt;=$B11, 11-COUNTIFS(dataMail!$C:$C,"&lt;&gt;Annulation",dataMail!$G:$G,"&lt;="&amp;(G$1+$B11-1),dataMail!$H:$H,"&gt;"&amp;(G$1+$B11-1)),"-")</f>
        <v>1</v>
      </c>
      <c r="I11" s="67">
        <f>IF(DAY(EOMONTH(I$1,0))&gt;=$B11,IFERROR(AVERAGEIFS(dataMail!$P:$P,dataMail!$C:$C,"Confirmation",dataMail!$G:$G,"&lt;="&amp;(I$1+$B11-1),dataMail!$H:$H,"&gt;"&amp;(I$1+$B11-1)),"-"),"-")</f>
        <v>126.1462</v>
      </c>
      <c r="J11" s="68">
        <f>IF(DAY(EOMONTH(I$1,0))&gt;=$B11, 11-COUNTIFS(dataMail!$C:$C,"&lt;&gt;Annulation",dataMail!$G:$G,"&lt;="&amp;(I$1+$B11-1),dataMail!$H:$H,"&gt;"&amp;(I$1+$B11-1)),"-")</f>
        <v>1</v>
      </c>
      <c r="K11" s="67">
        <f>IF(DAY(EOMONTH(K$1,0))&gt;=$B11,IFERROR(AVERAGEIFS(dataMail!$P:$P,dataMail!$C:$C,"Confirmation",dataMail!$G:$G,"&lt;="&amp;(K$1+$B11-1),dataMail!$H:$H,"&gt;"&amp;(K$1+$B11-1)),"-"),"-")</f>
        <v>132.7</v>
      </c>
      <c r="L11" s="68">
        <f>IF(DAY(EOMONTH(K$1,0))&gt;=$B11, 11-COUNTIFS(dataMail!$C:$C,"&lt;&gt;Annulation",dataMail!$G:$G,"&lt;="&amp;(K$1+$B11-1),dataMail!$H:$H,"&gt;"&amp;(K$1+$B11-1)),"-")</f>
        <v>-4</v>
      </c>
      <c r="M11" s="67">
        <f>IF(DAY(EOMONTH(M$1,0))&gt;=$B11,IFERROR(AVERAGEIFS(dataMail!$P:$P,dataMail!$C:$C,"Confirmation",dataMail!$G:$G,"&lt;="&amp;(M$1+$B11-1),dataMail!$H:$H,"&gt;"&amp;(M$1+$B11-1)),"-"),"-")</f>
        <v>181.8666667</v>
      </c>
      <c r="N11" s="68">
        <f>IF(DAY(EOMONTH(M$1,0))&gt;=$B11, 11-COUNTIFS(dataMail!$C:$C,"&lt;&gt;Annulation",dataMail!$G:$G,"&lt;="&amp;(M$1+$B11-1),dataMail!$H:$H,"&gt;"&amp;(M$1+$B11-1)),"-")</f>
        <v>8</v>
      </c>
      <c r="O11" s="67">
        <f>IF(DAY(EOMONTH(O$1,0))&gt;=$B11,IFERROR(AVERAGEIFS(dataMail!$P:$P,dataMail!$C:$C,"Confirmation",dataMail!$G:$G,"&lt;="&amp;(O$1+$B11-1),dataMail!$H:$H,"&gt;"&amp;(O$1+$B11-1)),"-"),"-")</f>
        <v>134.456</v>
      </c>
      <c r="P11" s="68">
        <f>IF(DAY(EOMONTH(O$1,0))&gt;=$B11, 11-COUNTIFS(dataMail!$C:$C,"&lt;&gt;Annulation",dataMail!$G:$G,"&lt;="&amp;(O$1+$B11-1),dataMail!$H:$H,"&gt;"&amp;(O$1+$B11-1)),"-")</f>
        <v>9</v>
      </c>
      <c r="Q11" s="67">
        <f>IF(DAY(EOMONTH(Q$1,0))&gt;=$B11,IFERROR(AVERAGEIFS(dataMail!$P:$P,dataMail!$C:$C,"Confirmation",dataMail!$G:$G,"&lt;="&amp;(Q$1+$B11-1),dataMail!$H:$H,"&gt;"&amp;(Q$1+$B11-1)),"-"),"-")</f>
        <v>190.1391667</v>
      </c>
      <c r="R11" s="68">
        <f>IF(DAY(EOMONTH(Q$1,0))&gt;=$B11, 11-COUNTIFS(dataMail!$C:$C,"&lt;&gt;Annulation",dataMail!$G:$G,"&lt;="&amp;(Q$1+$B11-1),dataMail!$H:$H,"&gt;"&amp;(Q$1+$B11-1)),"-")</f>
        <v>8</v>
      </c>
      <c r="S11" s="67">
        <f>IF(DAY(EOMONTH(S$1,0))&gt;=$B11,IFERROR(AVERAGEIFS(dataMail!$P:$P,dataMail!$C:$C,"Confirmation",dataMail!$G:$G,"&lt;="&amp;(S$1+$B11-1),dataMail!$H:$H,"&gt;"&amp;(S$1+$B11-1)),"-"),"-")</f>
        <v>120.576</v>
      </c>
      <c r="T11" s="68">
        <f>IF(DAY(EOMONTH(S$1,0))&gt;=$B11, 11-COUNTIFS(dataMail!$C:$C,"&lt;&gt;Annulation",dataMail!$G:$G,"&lt;="&amp;(S$1+$B11-1),dataMail!$H:$H,"&gt;"&amp;(S$1+$B11-1)),"-")</f>
        <v>10</v>
      </c>
      <c r="U11" s="67" t="str">
        <f>IF(DAY(EOMONTH(U$1,0))&gt;=$B11,IFERROR(AVERAGEIFS(dataMail!$P:$P,dataMail!$C:$C,"Confirmation",dataMail!$G:$G,"&lt;="&amp;(U$1+$B11-1),dataMail!$H:$H,"&gt;"&amp;(U$1+$B11-1)),"-"),"-")</f>
        <v>-</v>
      </c>
      <c r="V11" s="68">
        <f>IF(DAY(EOMONTH(U$1,0))&gt;=$B11, 11-COUNTIFS(dataMail!$C:$C,"&lt;&gt;Annulation",dataMail!$G:$G,"&lt;="&amp;(U$1+$B11-1),dataMail!$H:$H,"&gt;"&amp;(U$1+$B11-1)),"-")</f>
        <v>11</v>
      </c>
      <c r="W11" s="67">
        <f>IF(DAY(EOMONTH(W$1,0))&gt;=$B11,IFERROR(AVERAGEIFS(dataMail!$P:$P,dataMail!$C:$C,"Confirmation",dataMail!$G:$G,"&lt;="&amp;(W$1+$B11-1),dataMail!$H:$H,"&gt;"&amp;(W$1+$B11-1)),"-"),"-")</f>
        <v>146.868</v>
      </c>
      <c r="X11" s="68">
        <f>IF(DAY(EOMONTH(W$1,0))&gt;=$B11, 11-COUNTIFS(dataMail!$C:$C,"&lt;&gt;Annulation",dataMail!$G:$G,"&lt;="&amp;(W$1+$B11-1),dataMail!$H:$H,"&gt;"&amp;(W$1+$B11-1)),"-")</f>
        <v>9</v>
      </c>
      <c r="Y11" s="67" t="str">
        <f>IF(DAY(EOMONTH(Y$1,0))&gt;=$B11,IFERROR(AVERAGEIFS(dataMail!$P:$P,dataMail!$C:$C,"Confirmation",dataMail!$G:$G,"&lt;="&amp;(Y$1+$B11-1),dataMail!$H:$H,"&gt;"&amp;(Y$1+$B11-1)),"-"),"-")</f>
        <v>-</v>
      </c>
      <c r="Z11" s="68">
        <f>IF(DAY(EOMONTH(Y$1,0))&gt;=$B11, 11-COUNTIFS(dataMail!$C:$C,"&lt;&gt;Annulation",dataMail!$G:$G,"&lt;="&amp;(Y$1+$B11-1),dataMail!$H:$H,"&gt;"&amp;(Y$1+$B11-1)),"-")</f>
        <v>11</v>
      </c>
      <c r="AA11" s="67" t="str">
        <f>IF(DAY(EOMONTH(AA$1,0))&gt;=$B11,IFERROR(AVERAGEIFS(dataMail!$P:$P,dataMail!$C:$C,"Confirmation",dataMail!$G:$G,"&lt;="&amp;(AA$1+$B11-1),dataMail!$H:$H,"&gt;"&amp;(AA$1+$B11-1)),"-"),"-")</f>
        <v>-</v>
      </c>
      <c r="AB11" s="68">
        <f>IF(DAY(EOMONTH(AA$1,0))&gt;=$B11, 11-COUNTIFS(dataMail!$C:$C,"&lt;&gt;Annulation",dataMail!$G:$G,"&lt;="&amp;(AA$1+$B11-1),dataMail!$H:$H,"&gt;"&amp;(AA$1+$B11-1)),"-")</f>
        <v>11</v>
      </c>
      <c r="AC11" s="67" t="str">
        <f>IF(DAY(EOMONTH(AC$1,0))&gt;=$B11,IFERROR(AVERAGEIFS(dataMail!$P:$P,dataMail!$C:$C,"Confirmation",dataMail!$G:$G,"&lt;="&amp;(AC$1+$B11-1),dataMail!$H:$H,"&gt;"&amp;(AC$1+$B11-1)),"-"),"-")</f>
        <v>-</v>
      </c>
      <c r="AD11" s="68">
        <f>IF(DAY(EOMONTH(AC$1,0))&gt;=$B11, 11-COUNTIFS(dataMail!$C:$C,"&lt;&gt;Annulation",dataMail!$G:$G,"&lt;="&amp;(AC$1+$B11-1),dataMail!$H:$H,"&gt;"&amp;(AC$1+$B11-1)),"-")</f>
        <v>11</v>
      </c>
      <c r="AE11" s="67" t="str">
        <f>IF(DAY(EOMONTH(AE$1,0))&gt;=$B11,IFERROR(AVERAGEIFS(dataMail!$P:$P,dataMail!$C:$C,"Confirmation",dataMail!$G:$G,"&lt;="&amp;(AE$1+$B11-1),dataMail!$H:$H,"&gt;"&amp;(AE$1+$B11-1)),"-"),"-")</f>
        <v>-</v>
      </c>
      <c r="AF11" s="68">
        <f>IF(DAY(EOMONTH(AE$1,0))&gt;=$B11, 11-COUNTIFS(dataMail!$C:$C,"&lt;&gt;Annulation",dataMail!$G:$G,"&lt;="&amp;(AE$1+$B11-1),dataMail!$H:$H,"&gt;"&amp;(AE$1+$B11-1)),"-")</f>
        <v>11</v>
      </c>
      <c r="AG11" s="67">
        <f>IF(DAY(EOMONTH(AG$1,0))&gt;=$B11,IFERROR(AVERAGEIFS(dataMail!$P:$P,dataMail!$C:$C,"Confirmation",dataMail!$G:$G,"&lt;="&amp;(AG$1+$B11-1),dataMail!$H:$H,"&gt;"&amp;(AG$1+$B11-1)),"-"),"-")</f>
        <v>115.312</v>
      </c>
      <c r="AH11" s="68">
        <f>IF(DAY(EOMONTH(AG$1,0))&gt;=$B11, 11-COUNTIFS(dataMail!$C:$C,"&lt;&gt;Annulation",dataMail!$G:$G,"&lt;="&amp;(AG$1+$B11-1),dataMail!$H:$H,"&gt;"&amp;(AG$1+$B11-1)),"-")</f>
        <v>10</v>
      </c>
    </row>
    <row r="12">
      <c r="A12" s="66"/>
      <c r="B12" s="66">
        <v>2.0</v>
      </c>
      <c r="C12" s="78">
        <f>IF(DAY(EOMONTH(C$1,0))&gt;=$B12,IFERROR(AVERAGEIFS(dataMail!$P:$P,dataMail!$C:$C,"Confirmation",dataMail!$G:$G,"&lt;="&amp;(C$1+$B12-1),dataMail!$H:$H,"&gt;"&amp;(C$1+$B12-1)),"-"),"-")</f>
        <v>108.4411786</v>
      </c>
      <c r="D12" s="80">
        <f>IF(DAY(EOMONTH(C$1,0))&gt;=$B12, 11-COUNTIFS(dataMail!$C:$C,"&lt;&gt;Annulation",dataMail!$G:$G,"&lt;="&amp;(C$1+$B12-1),dataMail!$H:$H,"&gt;"&amp;(C$1+$B12-1)),"-")</f>
        <v>3</v>
      </c>
      <c r="E12" s="82">
        <f>IF(DAY(EOMONTH(E$1,0))&gt;=$B12,IFERROR(AVERAGEIFS(dataMail!$P:$P,dataMail!$C:$C,"Confirmation",dataMail!$G:$G,"&lt;="&amp;(E$1+$B12-1),dataMail!$H:$H,"&gt;"&amp;(E$1+$B12-1)),"-"),"-")</f>
        <v>178.6824</v>
      </c>
      <c r="F12" s="80">
        <f>IF(DAY(EOMONTH(E$1,0))&gt;=$B12, 11-COUNTIFS(dataMail!$C:$C,"&lt;&gt;Annulation",dataMail!$G:$G,"&lt;="&amp;(E$1+$B12-1),dataMail!$H:$H,"&gt;"&amp;(E$1+$B12-1)),"-")</f>
        <v>5</v>
      </c>
      <c r="G12" s="82">
        <f>IF(DAY(EOMONTH(G$1,0))&gt;=$B12,IFERROR(AVERAGEIFS(dataMail!$P:$P,dataMail!$C:$C,"Confirmation",dataMail!$G:$G,"&lt;="&amp;(G$1+$B12-1),dataMail!$H:$H,"&gt;"&amp;(G$1+$B12-1)),"-"),"-")</f>
        <v>109.736</v>
      </c>
      <c r="H12" s="80">
        <f>IF(DAY(EOMONTH(G$1,0))&gt;=$B12, 11-COUNTIFS(dataMail!$C:$C,"&lt;&gt;Annulation",dataMail!$G:$G,"&lt;="&amp;(G$1+$B12-1),dataMail!$H:$H,"&gt;"&amp;(G$1+$B12-1)),"-")</f>
        <v>4</v>
      </c>
      <c r="I12" s="78">
        <f>IF(DAY(EOMONTH(I$1,0))&gt;=$B12,IFERROR(AVERAGEIFS(dataMail!$P:$P,dataMail!$C:$C,"Confirmation",dataMail!$G:$G,"&lt;="&amp;(I$1+$B12-1),dataMail!$H:$H,"&gt;"&amp;(I$1+$B12-1)),"-"),"-")</f>
        <v>130.3198</v>
      </c>
      <c r="J12" s="80">
        <f>IF(DAY(EOMONTH(I$1,0))&gt;=$B12, 11-COUNTIFS(dataMail!$C:$C,"&lt;&gt;Annulation",dataMail!$G:$G,"&lt;="&amp;(I$1+$B12-1),dataMail!$H:$H,"&gt;"&amp;(I$1+$B12-1)),"-")</f>
        <v>0</v>
      </c>
      <c r="K12" s="78">
        <f>IF(DAY(EOMONTH(K$1,0))&gt;=$B12,IFERROR(AVERAGEIFS(dataMail!$P:$P,dataMail!$C:$C,"Confirmation",dataMail!$G:$G,"&lt;="&amp;(K$1+$B12-1),dataMail!$H:$H,"&gt;"&amp;(K$1+$B12-1)),"-"),"-")</f>
        <v>133.504</v>
      </c>
      <c r="L12" s="80">
        <f>IF(DAY(EOMONTH(K$1,0))&gt;=$B12, 11-COUNTIFS(dataMail!$C:$C,"&lt;&gt;Annulation",dataMail!$G:$G,"&lt;="&amp;(K$1+$B12-1),dataMail!$H:$H,"&gt;"&amp;(K$1+$B12-1)),"-")</f>
        <v>-2</v>
      </c>
      <c r="M12" s="78">
        <f>IF(DAY(EOMONTH(M$1,0))&gt;=$B12,IFERROR(AVERAGEIFS(dataMail!$P:$P,dataMail!$C:$C,"Confirmation",dataMail!$G:$G,"&lt;="&amp;(M$1+$B12-1),dataMail!$H:$H,"&gt;"&amp;(M$1+$B12-1)),"-"),"-")</f>
        <v>148.3074286</v>
      </c>
      <c r="N12" s="80">
        <f>IF(DAY(EOMONTH(M$1,0))&gt;=$B12, 11-COUNTIFS(dataMail!$C:$C,"&lt;&gt;Annulation",dataMail!$G:$G,"&lt;="&amp;(M$1+$B12-1),dataMail!$H:$H,"&gt;"&amp;(M$1+$B12-1)),"-")</f>
        <v>4</v>
      </c>
      <c r="O12" s="78">
        <f>IF(DAY(EOMONTH(O$1,0))&gt;=$B12,IFERROR(AVERAGEIFS(dataMail!$P:$P,dataMail!$C:$C,"Confirmation",dataMail!$G:$G,"&lt;="&amp;(O$1+$B12-1),dataMail!$H:$H,"&gt;"&amp;(O$1+$B12-1)),"-"),"-")</f>
        <v>206.768</v>
      </c>
      <c r="P12" s="80">
        <f>IF(DAY(EOMONTH(O$1,0))&gt;=$B12, 11-COUNTIFS(dataMail!$C:$C,"&lt;&gt;Annulation",dataMail!$G:$G,"&lt;="&amp;(O$1+$B12-1),dataMail!$H:$H,"&gt;"&amp;(O$1+$B12-1)),"-")</f>
        <v>7</v>
      </c>
      <c r="Q12" s="78">
        <f>IF(DAY(EOMONTH(Q$1,0))&gt;=$B12,IFERROR(AVERAGEIFS(dataMail!$P:$P,dataMail!$C:$C,"Confirmation",dataMail!$G:$G,"&lt;="&amp;(Q$1+$B12-1),dataMail!$H:$H,"&gt;"&amp;(Q$1+$B12-1)),"-"),"-")</f>
        <v>214.674375</v>
      </c>
      <c r="R12" s="80">
        <f>IF(DAY(EOMONTH(Q$1,0))&gt;=$B12, 11-COUNTIFS(dataMail!$C:$C,"&lt;&gt;Annulation",dataMail!$G:$G,"&lt;="&amp;(Q$1+$B12-1),dataMail!$H:$H,"&gt;"&amp;(Q$1+$B12-1)),"-")</f>
        <v>7</v>
      </c>
      <c r="S12" s="78">
        <f>IF(DAY(EOMONTH(S$1,0))&gt;=$B12,IFERROR(AVERAGEIFS(dataMail!$P:$P,dataMail!$C:$C,"Confirmation",dataMail!$G:$G,"&lt;="&amp;(S$1+$B12-1),dataMail!$H:$H,"&gt;"&amp;(S$1+$B12-1)),"-"),"-")</f>
        <v>120.576</v>
      </c>
      <c r="T12" s="80">
        <f>IF(DAY(EOMONTH(S$1,0))&gt;=$B12, 11-COUNTIFS(dataMail!$C:$C,"&lt;&gt;Annulation",dataMail!$G:$G,"&lt;="&amp;(S$1+$B12-1),dataMail!$H:$H,"&gt;"&amp;(S$1+$B12-1)),"-")</f>
        <v>9</v>
      </c>
      <c r="U12" s="78" t="str">
        <f>IF(DAY(EOMONTH(U$1,0))&gt;=$B12,IFERROR(AVERAGEIFS(dataMail!$P:$P,dataMail!$C:$C,"Confirmation",dataMail!$G:$G,"&lt;="&amp;(U$1+$B12-1),dataMail!$H:$H,"&gt;"&amp;(U$1+$B12-1)),"-"),"-")</f>
        <v>-</v>
      </c>
      <c r="V12" s="80">
        <f>IF(DAY(EOMONTH(U$1,0))&gt;=$B12, 11-COUNTIFS(dataMail!$C:$C,"&lt;&gt;Annulation",dataMail!$G:$G,"&lt;="&amp;(U$1+$B12-1),dataMail!$H:$H,"&gt;"&amp;(U$1+$B12-1)),"-")</f>
        <v>11</v>
      </c>
      <c r="W12" s="78">
        <f>IF(DAY(EOMONTH(W$1,0))&gt;=$B12,IFERROR(AVERAGEIFS(dataMail!$P:$P,dataMail!$C:$C,"Confirmation",dataMail!$G:$G,"&lt;="&amp;(W$1+$B12-1),dataMail!$H:$H,"&gt;"&amp;(W$1+$B12-1)),"-"),"-")</f>
        <v>167.2912</v>
      </c>
      <c r="X12" s="80">
        <f>IF(DAY(EOMONTH(W$1,0))&gt;=$B12, 11-COUNTIFS(dataMail!$C:$C,"&lt;&gt;Annulation",dataMail!$G:$G,"&lt;="&amp;(W$1+$B12-1),dataMail!$H:$H,"&gt;"&amp;(W$1+$B12-1)),"-")</f>
        <v>8</v>
      </c>
      <c r="Y12" s="78" t="str">
        <f>IF(DAY(EOMONTH(Y$1,0))&gt;=$B12,IFERROR(AVERAGEIFS(dataMail!$P:$P,dataMail!$C:$C,"Confirmation",dataMail!$G:$G,"&lt;="&amp;(Y$1+$B12-1),dataMail!$H:$H,"&gt;"&amp;(Y$1+$B12-1)),"-"),"-")</f>
        <v>-</v>
      </c>
      <c r="Z12" s="80">
        <f>IF(DAY(EOMONTH(Y$1,0))&gt;=$B12, 11-COUNTIFS(dataMail!$C:$C,"&lt;&gt;Annulation",dataMail!$G:$G,"&lt;="&amp;(Y$1+$B12-1),dataMail!$H:$H,"&gt;"&amp;(Y$1+$B12-1)),"-")</f>
        <v>11</v>
      </c>
      <c r="AA12" s="78" t="str">
        <f>IF(DAY(EOMONTH(AA$1,0))&gt;=$B12,IFERROR(AVERAGEIFS(dataMail!$P:$P,dataMail!$C:$C,"Confirmation",dataMail!$G:$G,"&lt;="&amp;(AA$1+$B12-1),dataMail!$H:$H,"&gt;"&amp;(AA$1+$B12-1)),"-"),"-")</f>
        <v>-</v>
      </c>
      <c r="AB12" s="80">
        <f>IF(DAY(EOMONTH(AA$1,0))&gt;=$B12, 11-COUNTIFS(dataMail!$C:$C,"&lt;&gt;Annulation",dataMail!$G:$G,"&lt;="&amp;(AA$1+$B12-1),dataMail!$H:$H,"&gt;"&amp;(AA$1+$B12-1)),"-")</f>
        <v>11</v>
      </c>
      <c r="AC12" s="78" t="str">
        <f>IF(DAY(EOMONTH(AC$1,0))&gt;=$B12,IFERROR(AVERAGEIFS(dataMail!$P:$P,dataMail!$C:$C,"Confirmation",dataMail!$G:$G,"&lt;="&amp;(AC$1+$B12-1),dataMail!$H:$H,"&gt;"&amp;(AC$1+$B12-1)),"-"),"-")</f>
        <v>-</v>
      </c>
      <c r="AD12" s="80">
        <f>IF(DAY(EOMONTH(AC$1,0))&gt;=$B12, 11-COUNTIFS(dataMail!$C:$C,"&lt;&gt;Annulation",dataMail!$G:$G,"&lt;="&amp;(AC$1+$B12-1),dataMail!$H:$H,"&gt;"&amp;(AC$1+$B12-1)),"-")</f>
        <v>11</v>
      </c>
      <c r="AE12" s="78" t="str">
        <f>IF(DAY(EOMONTH(AE$1,0))&gt;=$B12,IFERROR(AVERAGEIFS(dataMail!$P:$P,dataMail!$C:$C,"Confirmation",dataMail!$G:$G,"&lt;="&amp;(AE$1+$B12-1),dataMail!$H:$H,"&gt;"&amp;(AE$1+$B12-1)),"-"),"-")</f>
        <v>-</v>
      </c>
      <c r="AF12" s="80">
        <f>IF(DAY(EOMONTH(AE$1,0))&gt;=$B12, 11-COUNTIFS(dataMail!$C:$C,"&lt;&gt;Annulation",dataMail!$G:$G,"&lt;="&amp;(AE$1+$B12-1),dataMail!$H:$H,"&gt;"&amp;(AE$1+$B12-1)),"-")</f>
        <v>11</v>
      </c>
      <c r="AG12" s="78" t="str">
        <f>IF(DAY(EOMONTH(AG$1,0))&gt;=$B12,IFERROR(AVERAGEIFS(dataMail!$P:$P,dataMail!$C:$C,"Confirmation",dataMail!$G:$G,"&lt;="&amp;(AG$1+$B12-1),dataMail!$H:$H,"&gt;"&amp;(AG$1+$B12-1)),"-"),"-")</f>
        <v>-</v>
      </c>
      <c r="AH12" s="80">
        <f>IF(DAY(EOMONTH(AG$1,0))&gt;=$B12, 11-COUNTIFS(dataMail!$C:$C,"&lt;&gt;Annulation",dataMail!$G:$G,"&lt;="&amp;(AG$1+$B12-1),dataMail!$H:$H,"&gt;"&amp;(AG$1+$B12-1)),"-")</f>
        <v>11</v>
      </c>
    </row>
    <row r="13">
      <c r="A13" s="66"/>
      <c r="B13" s="66">
        <v>3.0</v>
      </c>
      <c r="C13" s="101">
        <f>IF(DAY(EOMONTH(C$1,0))&gt;=$B13,IFERROR(AVERAGEIFS(dataMail!$P:$P,dataMail!$C:$C,"Confirmation",dataMail!$G:$G,"&lt;="&amp;(C$1+$B13-1),dataMail!$H:$H,"&gt;"&amp;(C$1+$B13-1)),"-"),"-")</f>
        <v>108.902381</v>
      </c>
      <c r="D13" s="80">
        <f>IF(DAY(EOMONTH(C$1,0))&gt;=$B13, 11-COUNTIFS(dataMail!$C:$C,"&lt;&gt;Annulation",dataMail!$G:$G,"&lt;="&amp;(C$1+$B13-1),dataMail!$H:$H,"&gt;"&amp;(C$1+$B13-1)),"-")</f>
        <v>2</v>
      </c>
      <c r="E13" s="82">
        <f>IF(DAY(EOMONTH(E$1,0))&gt;=$B13,IFERROR(AVERAGEIFS(dataMail!$P:$P,dataMail!$C:$C,"Confirmation",dataMail!$G:$G,"&lt;="&amp;(E$1+$B13-1),dataMail!$H:$H,"&gt;"&amp;(E$1+$B13-1)),"-"),"-")</f>
        <v>134.4149333</v>
      </c>
      <c r="F13" s="80">
        <f>IF(DAY(EOMONTH(E$1,0))&gt;=$B13, 11-COUNTIFS(dataMail!$C:$C,"&lt;&gt;Annulation",dataMail!$G:$G,"&lt;="&amp;(E$1+$B13-1),dataMail!$H:$H,"&gt;"&amp;(E$1+$B13-1)),"-")</f>
        <v>5</v>
      </c>
      <c r="G13" s="82">
        <f>IF(DAY(EOMONTH(G$1,0))&gt;=$B13,IFERROR(AVERAGEIFS(dataMail!$P:$P,dataMail!$C:$C,"Confirmation",dataMail!$G:$G,"&lt;="&amp;(G$1+$B13-1),dataMail!$H:$H,"&gt;"&amp;(G$1+$B13-1)),"-"),"-")</f>
        <v>94.09257143</v>
      </c>
      <c r="H13" s="80">
        <f>IF(DAY(EOMONTH(G$1,0))&gt;=$B13, 11-COUNTIFS(dataMail!$C:$C,"&lt;&gt;Annulation",dataMail!$G:$G,"&lt;="&amp;(G$1+$B13-1),dataMail!$H:$H,"&gt;"&amp;(G$1+$B13-1)),"-")</f>
        <v>4</v>
      </c>
      <c r="I13" s="101">
        <f>IF(DAY(EOMONTH(I$1,0))&gt;=$B13,IFERROR(AVERAGEIFS(dataMail!$P:$P,dataMail!$C:$C,"Confirmation",dataMail!$G:$G,"&lt;="&amp;(I$1+$B13-1),dataMail!$H:$H,"&gt;"&amp;(I$1+$B13-1)),"-"),"-")</f>
        <v>109.50275</v>
      </c>
      <c r="J13" s="80">
        <f>IF(DAY(EOMONTH(I$1,0))&gt;=$B13, 11-COUNTIFS(dataMail!$C:$C,"&lt;&gt;Annulation",dataMail!$G:$G,"&lt;="&amp;(I$1+$B13-1),dataMail!$H:$H,"&gt;"&amp;(I$1+$B13-1)),"-")</f>
        <v>2</v>
      </c>
      <c r="K13" s="101">
        <f>IF(DAY(EOMONTH(K$1,0))&gt;=$B13,IFERROR(AVERAGEIFS(dataMail!$P:$P,dataMail!$C:$C,"Confirmation",dataMail!$G:$G,"&lt;="&amp;(K$1+$B13-1),dataMail!$H:$H,"&gt;"&amp;(K$1+$B13-1)),"-"),"-")</f>
        <v>130.0186667</v>
      </c>
      <c r="L13" s="80">
        <f>IF(DAY(EOMONTH(K$1,0))&gt;=$B13, 11-COUNTIFS(dataMail!$C:$C,"&lt;&gt;Annulation",dataMail!$G:$G,"&lt;="&amp;(K$1+$B13-1),dataMail!$H:$H,"&gt;"&amp;(K$1+$B13-1)),"-")</f>
        <v>4</v>
      </c>
      <c r="M13" s="101">
        <f>IF(DAY(EOMONTH(M$1,0))&gt;=$B13,IFERROR(AVERAGEIFS(dataMail!$P:$P,dataMail!$C:$C,"Confirmation",dataMail!$G:$G,"&lt;="&amp;(M$1+$B13-1),dataMail!$H:$H,"&gt;"&amp;(M$1+$B13-1)),"-"),"-")</f>
        <v>156.1051429</v>
      </c>
      <c r="N13" s="80">
        <f>IF(DAY(EOMONTH(M$1,0))&gt;=$B13, 11-COUNTIFS(dataMail!$C:$C,"&lt;&gt;Annulation",dataMail!$G:$G,"&lt;="&amp;(M$1+$B13-1),dataMail!$H:$H,"&gt;"&amp;(M$1+$B13-1)),"-")</f>
        <v>3</v>
      </c>
      <c r="O13" s="101">
        <f>IF(DAY(EOMONTH(O$1,0))&gt;=$B13,IFERROR(AVERAGEIFS(dataMail!$P:$P,dataMail!$C:$C,"Confirmation",dataMail!$G:$G,"&lt;="&amp;(O$1+$B13-1),dataMail!$H:$H,"&gt;"&amp;(O$1+$B13-1)),"-"),"-")</f>
        <v>206.768</v>
      </c>
      <c r="P13" s="80">
        <f>IF(DAY(EOMONTH(O$1,0))&gt;=$B13, 11-COUNTIFS(dataMail!$C:$C,"&lt;&gt;Annulation",dataMail!$G:$G,"&lt;="&amp;(O$1+$B13-1),dataMail!$H:$H,"&gt;"&amp;(O$1+$B13-1)),"-")</f>
        <v>7</v>
      </c>
      <c r="Q13" s="101">
        <f>IF(DAY(EOMONTH(Q$1,0))&gt;=$B13,IFERROR(AVERAGEIFS(dataMail!$P:$P,dataMail!$C:$C,"Confirmation",dataMail!$G:$G,"&lt;="&amp;(Q$1+$B13-1),dataMail!$H:$H,"&gt;"&amp;(Q$1+$B13-1)),"-"),"-")</f>
        <v>187.168</v>
      </c>
      <c r="R13" s="80">
        <f>IF(DAY(EOMONTH(Q$1,0))&gt;=$B13, 11-COUNTIFS(dataMail!$C:$C,"&lt;&gt;Annulation",dataMail!$G:$G,"&lt;="&amp;(Q$1+$B13-1),dataMail!$H:$H,"&gt;"&amp;(Q$1+$B13-1)),"-")</f>
        <v>6</v>
      </c>
      <c r="S13" s="101" t="str">
        <f>IF(DAY(EOMONTH(S$1,0))&gt;=$B13,IFERROR(AVERAGEIFS(dataMail!$P:$P,dataMail!$C:$C,"Confirmation",dataMail!$G:$G,"&lt;="&amp;(S$1+$B13-1),dataMail!$H:$H,"&gt;"&amp;(S$1+$B13-1)),"-"),"-")</f>
        <v>-</v>
      </c>
      <c r="T13" s="80">
        <f>IF(DAY(EOMONTH(S$1,0))&gt;=$B13, 11-COUNTIFS(dataMail!$C:$C,"&lt;&gt;Annulation",dataMail!$G:$G,"&lt;="&amp;(S$1+$B13-1),dataMail!$H:$H,"&gt;"&amp;(S$1+$B13-1)),"-")</f>
        <v>10</v>
      </c>
      <c r="U13" s="101" t="str">
        <f>IF(DAY(EOMONTH(U$1,0))&gt;=$B13,IFERROR(AVERAGEIFS(dataMail!$P:$P,dataMail!$C:$C,"Confirmation",dataMail!$G:$G,"&lt;="&amp;(U$1+$B13-1),dataMail!$H:$H,"&gt;"&amp;(U$1+$B13-1)),"-"),"-")</f>
        <v>-</v>
      </c>
      <c r="V13" s="80">
        <f>IF(DAY(EOMONTH(U$1,0))&gt;=$B13, 11-COUNTIFS(dataMail!$C:$C,"&lt;&gt;Annulation",dataMail!$G:$G,"&lt;="&amp;(U$1+$B13-1),dataMail!$H:$H,"&gt;"&amp;(U$1+$B13-1)),"-")</f>
        <v>11</v>
      </c>
      <c r="W13" s="101">
        <f>IF(DAY(EOMONTH(W$1,0))&gt;=$B13,IFERROR(AVERAGEIFS(dataMail!$P:$P,dataMail!$C:$C,"Confirmation",dataMail!$G:$G,"&lt;="&amp;(W$1+$B13-1),dataMail!$H:$H,"&gt;"&amp;(W$1+$B13-1)),"-"),"-")</f>
        <v>146.868</v>
      </c>
      <c r="X13" s="80">
        <f>IF(DAY(EOMONTH(W$1,0))&gt;=$B13, 11-COUNTIFS(dataMail!$C:$C,"&lt;&gt;Annulation",dataMail!$G:$G,"&lt;="&amp;(W$1+$B13-1),dataMail!$H:$H,"&gt;"&amp;(W$1+$B13-1)),"-")</f>
        <v>9</v>
      </c>
      <c r="Y13" s="101" t="str">
        <f>IF(DAY(EOMONTH(Y$1,0))&gt;=$B13,IFERROR(AVERAGEIFS(dataMail!$P:$P,dataMail!$C:$C,"Confirmation",dataMail!$G:$G,"&lt;="&amp;(Y$1+$B13-1),dataMail!$H:$H,"&gt;"&amp;(Y$1+$B13-1)),"-"),"-")</f>
        <v>-</v>
      </c>
      <c r="Z13" s="80">
        <f>IF(DAY(EOMONTH(Y$1,0))&gt;=$B13, 11-COUNTIFS(dataMail!$C:$C,"&lt;&gt;Annulation",dataMail!$G:$G,"&lt;="&amp;(Y$1+$B13-1),dataMail!$H:$H,"&gt;"&amp;(Y$1+$B13-1)),"-")</f>
        <v>11</v>
      </c>
      <c r="AA13" s="101">
        <f>IF(DAY(EOMONTH(AA$1,0))&gt;=$B13,IFERROR(AVERAGEIFS(dataMail!$P:$P,dataMail!$C:$C,"Confirmation",dataMail!$G:$G,"&lt;="&amp;(AA$1+$B13-1),dataMail!$H:$H,"&gt;"&amp;(AA$1+$B13-1)),"-"),"-")</f>
        <v>94.8</v>
      </c>
      <c r="AB13" s="80">
        <f>IF(DAY(EOMONTH(AA$1,0))&gt;=$B13, 11-COUNTIFS(dataMail!$C:$C,"&lt;&gt;Annulation",dataMail!$G:$G,"&lt;="&amp;(AA$1+$B13-1),dataMail!$H:$H,"&gt;"&amp;(AA$1+$B13-1)),"-")</f>
        <v>9</v>
      </c>
      <c r="AC13" s="101" t="str">
        <f>IF(DAY(EOMONTH(AC$1,0))&gt;=$B13,IFERROR(AVERAGEIFS(dataMail!$P:$P,dataMail!$C:$C,"Confirmation",dataMail!$G:$G,"&lt;="&amp;(AC$1+$B13-1),dataMail!$H:$H,"&gt;"&amp;(AC$1+$B13-1)),"-"),"-")</f>
        <v>-</v>
      </c>
      <c r="AD13" s="80">
        <f>IF(DAY(EOMONTH(AC$1,0))&gt;=$B13, 11-COUNTIFS(dataMail!$C:$C,"&lt;&gt;Annulation",dataMail!$G:$G,"&lt;="&amp;(AC$1+$B13-1),dataMail!$H:$H,"&gt;"&amp;(AC$1+$B13-1)),"-")</f>
        <v>11</v>
      </c>
      <c r="AE13" s="101" t="str">
        <f>IF(DAY(EOMONTH(AE$1,0))&gt;=$B13,IFERROR(AVERAGEIFS(dataMail!$P:$P,dataMail!$C:$C,"Confirmation",dataMail!$G:$G,"&lt;="&amp;(AE$1+$B13-1),dataMail!$H:$H,"&gt;"&amp;(AE$1+$B13-1)),"-"),"-")</f>
        <v>-</v>
      </c>
      <c r="AF13" s="80">
        <f>IF(DAY(EOMONTH(AE$1,0))&gt;=$B13, 11-COUNTIFS(dataMail!$C:$C,"&lt;&gt;Annulation",dataMail!$G:$G,"&lt;="&amp;(AE$1+$B13-1),dataMail!$H:$H,"&gt;"&amp;(AE$1+$B13-1)),"-")</f>
        <v>11</v>
      </c>
      <c r="AG13" s="101" t="str">
        <f>IF(DAY(EOMONTH(AG$1,0))&gt;=$B13,IFERROR(AVERAGEIFS(dataMail!$P:$P,dataMail!$C:$C,"Confirmation",dataMail!$G:$G,"&lt;="&amp;(AG$1+$B13-1),dataMail!$H:$H,"&gt;"&amp;(AG$1+$B13-1)),"-"),"-")</f>
        <v>-</v>
      </c>
      <c r="AH13" s="80">
        <f>IF(DAY(EOMONTH(AG$1,0))&gt;=$B13, 11-COUNTIFS(dataMail!$C:$C,"&lt;&gt;Annulation",dataMail!$G:$G,"&lt;="&amp;(AG$1+$B13-1),dataMail!$H:$H,"&gt;"&amp;(AG$1+$B13-1)),"-")</f>
        <v>11</v>
      </c>
    </row>
    <row r="14">
      <c r="A14" s="66"/>
      <c r="B14" s="66">
        <v>4.0</v>
      </c>
      <c r="C14" s="107">
        <f>IF(DAY(EOMONTH(C$1,0))&gt;=$B14,IFERROR(AVERAGEIFS(dataMail!$P:$P,dataMail!$C:$C,"Confirmation",dataMail!$G:$G,"&lt;="&amp;(C$1+$B14-1),dataMail!$H:$H,"&gt;"&amp;(C$1+$B14-1)),"-"),"-")</f>
        <v>103.5019184</v>
      </c>
      <c r="D14" s="80">
        <f>IF(DAY(EOMONTH(C$1,0))&gt;=$B14, 11-COUNTIFS(dataMail!$C:$C,"&lt;&gt;Annulation",dataMail!$G:$G,"&lt;="&amp;(C$1+$B14-1),dataMail!$H:$H,"&gt;"&amp;(C$1+$B14-1)),"-")</f>
        <v>4</v>
      </c>
      <c r="E14" s="82">
        <f>IF(DAY(EOMONTH(E$1,0))&gt;=$B14,IFERROR(AVERAGEIFS(dataMail!$P:$P,dataMail!$C:$C,"Confirmation",dataMail!$G:$G,"&lt;="&amp;(E$1+$B14-1),dataMail!$H:$H,"&gt;"&amp;(E$1+$B14-1)),"-"),"-")</f>
        <v>139.0968</v>
      </c>
      <c r="F14" s="80">
        <f>IF(DAY(EOMONTH(E$1,0))&gt;=$B14, 11-COUNTIFS(dataMail!$C:$C,"&lt;&gt;Annulation",dataMail!$G:$G,"&lt;="&amp;(E$1+$B14-1),dataMail!$H:$H,"&gt;"&amp;(E$1+$B14-1)),"-")</f>
        <v>1</v>
      </c>
      <c r="G14" s="82">
        <f>IF(DAY(EOMONTH(G$1,0))&gt;=$B14,IFERROR(AVERAGEIFS(dataMail!$P:$P,dataMail!$C:$C,"Confirmation",dataMail!$G:$G,"&lt;="&amp;(G$1+$B14-1),dataMail!$H:$H,"&gt;"&amp;(G$1+$B14-1)),"-"),"-")</f>
        <v>93.4936</v>
      </c>
      <c r="H14" s="80">
        <f>IF(DAY(EOMONTH(G$1,0))&gt;=$B14, 11-COUNTIFS(dataMail!$C:$C,"&lt;&gt;Annulation",dataMail!$G:$G,"&lt;="&amp;(G$1+$B14-1),dataMail!$H:$H,"&gt;"&amp;(G$1+$B14-1)),"-")</f>
        <v>1</v>
      </c>
      <c r="I14" s="107">
        <f>IF(DAY(EOMONTH(I$1,0))&gt;=$B14,IFERROR(AVERAGEIFS(dataMail!$P:$P,dataMail!$C:$C,"Confirmation",dataMail!$G:$G,"&lt;="&amp;(I$1+$B14-1),dataMail!$H:$H,"&gt;"&amp;(I$1+$B14-1)),"-"),"-")</f>
        <v>124.812</v>
      </c>
      <c r="J14" s="80">
        <f>IF(DAY(EOMONTH(I$1,0))&gt;=$B14, 11-COUNTIFS(dataMail!$C:$C,"&lt;&gt;Annulation",dataMail!$G:$G,"&lt;="&amp;(I$1+$B14-1),dataMail!$H:$H,"&gt;"&amp;(I$1+$B14-1)),"-")</f>
        <v>7</v>
      </c>
      <c r="K14" s="107">
        <f>IF(DAY(EOMONTH(K$1,0))&gt;=$B14,IFERROR(AVERAGEIFS(dataMail!$P:$P,dataMail!$C:$C,"Confirmation",dataMail!$G:$G,"&lt;="&amp;(K$1+$B14-1),dataMail!$H:$H,"&gt;"&amp;(K$1+$B14-1)),"-"),"-")</f>
        <v>135.0679545</v>
      </c>
      <c r="L14" s="80">
        <f>IF(DAY(EOMONTH(K$1,0))&gt;=$B14, 11-COUNTIFS(dataMail!$C:$C,"&lt;&gt;Annulation",dataMail!$G:$G,"&lt;="&amp;(K$1+$B14-1),dataMail!$H:$H,"&gt;"&amp;(K$1+$B14-1)),"-")</f>
        <v>-1</v>
      </c>
      <c r="M14" s="107">
        <f>IF(DAY(EOMONTH(M$1,0))&gt;=$B14,IFERROR(AVERAGEIFS(dataMail!$P:$P,dataMail!$C:$C,"Confirmation",dataMail!$G:$G,"&lt;="&amp;(M$1+$B14-1),dataMail!$H:$H,"&gt;"&amp;(M$1+$B14-1)),"-"),"-")</f>
        <v>165.344</v>
      </c>
      <c r="N14" s="80">
        <f>IF(DAY(EOMONTH(M$1,0))&gt;=$B14, 11-COUNTIFS(dataMail!$C:$C,"&lt;&gt;Annulation",dataMail!$G:$G,"&lt;="&amp;(M$1+$B14-1),dataMail!$H:$H,"&gt;"&amp;(M$1+$B14-1)),"-")</f>
        <v>4</v>
      </c>
      <c r="O14" s="107">
        <f>IF(DAY(EOMONTH(O$1,0))&gt;=$B14,IFERROR(AVERAGEIFS(dataMail!$P:$P,dataMail!$C:$C,"Confirmation",dataMail!$G:$G,"&lt;="&amp;(O$1+$B14-1),dataMail!$H:$H,"&gt;"&amp;(O$1+$B14-1)),"-"),"-")</f>
        <v>266.796</v>
      </c>
      <c r="P14" s="80">
        <f>IF(DAY(EOMONTH(O$1,0))&gt;=$B14, 11-COUNTIFS(dataMail!$C:$C,"&lt;&gt;Annulation",dataMail!$G:$G,"&lt;="&amp;(O$1+$B14-1),dataMail!$H:$H,"&gt;"&amp;(O$1+$B14-1)),"-")</f>
        <v>9</v>
      </c>
      <c r="Q14" s="107">
        <f>IF(DAY(EOMONTH(Q$1,0))&gt;=$B14,IFERROR(AVERAGEIFS(dataMail!$P:$P,dataMail!$C:$C,"Confirmation",dataMail!$G:$G,"&lt;="&amp;(Q$1+$B14-1),dataMail!$H:$H,"&gt;"&amp;(Q$1+$B14-1)),"-"),"-")</f>
        <v>229.28</v>
      </c>
      <c r="R14" s="80">
        <f>IF(DAY(EOMONTH(Q$1,0))&gt;=$B14, 11-COUNTIFS(dataMail!$C:$C,"&lt;&gt;Annulation",dataMail!$G:$G,"&lt;="&amp;(Q$1+$B14-1),dataMail!$H:$H,"&gt;"&amp;(Q$1+$B14-1)),"-")</f>
        <v>0</v>
      </c>
      <c r="S14" s="107" t="str">
        <f>IF(DAY(EOMONTH(S$1,0))&gt;=$B14,IFERROR(AVERAGEIFS(dataMail!$P:$P,dataMail!$C:$C,"Confirmation",dataMail!$G:$G,"&lt;="&amp;(S$1+$B14-1),dataMail!$H:$H,"&gt;"&amp;(S$1+$B14-1)),"-"),"-")</f>
        <v>-</v>
      </c>
      <c r="T14" s="80">
        <f>IF(DAY(EOMONTH(S$1,0))&gt;=$B14, 11-COUNTIFS(dataMail!$C:$C,"&lt;&gt;Annulation",dataMail!$G:$G,"&lt;="&amp;(S$1+$B14-1),dataMail!$H:$H,"&gt;"&amp;(S$1+$B14-1)),"-")</f>
        <v>10</v>
      </c>
      <c r="U14" s="107">
        <f>IF(DAY(EOMONTH(U$1,0))&gt;=$B14,IFERROR(AVERAGEIFS(dataMail!$P:$P,dataMail!$C:$C,"Confirmation",dataMail!$G:$G,"&lt;="&amp;(U$1+$B14-1),dataMail!$H:$H,"&gt;"&amp;(U$1+$B14-1)),"-"),"-")</f>
        <v>147.096</v>
      </c>
      <c r="V14" s="80">
        <f>IF(DAY(EOMONTH(U$1,0))&gt;=$B14, 11-COUNTIFS(dataMail!$C:$C,"&lt;&gt;Annulation",dataMail!$G:$G,"&lt;="&amp;(U$1+$B14-1),dataMail!$H:$H,"&gt;"&amp;(U$1+$B14-1)),"-")</f>
        <v>10</v>
      </c>
      <c r="W14" s="107" t="str">
        <f>IF(DAY(EOMONTH(W$1,0))&gt;=$B14,IFERROR(AVERAGEIFS(dataMail!$P:$P,dataMail!$C:$C,"Confirmation",dataMail!$G:$G,"&lt;="&amp;(W$1+$B14-1),dataMail!$H:$H,"&gt;"&amp;(W$1+$B14-1)),"-"),"-")</f>
        <v>-</v>
      </c>
      <c r="X14" s="80">
        <f>IF(DAY(EOMONTH(W$1,0))&gt;=$B14, 11-COUNTIFS(dataMail!$C:$C,"&lt;&gt;Annulation",dataMail!$G:$G,"&lt;="&amp;(W$1+$B14-1),dataMail!$H:$H,"&gt;"&amp;(W$1+$B14-1)),"-")</f>
        <v>11</v>
      </c>
      <c r="Y14" s="107">
        <f>IF(DAY(EOMONTH(Y$1,0))&gt;=$B14,IFERROR(AVERAGEIFS(dataMail!$P:$P,dataMail!$C:$C,"Confirmation",dataMail!$G:$G,"&lt;="&amp;(Y$1+$B14-1),dataMail!$H:$H,"&gt;"&amp;(Y$1+$B14-1)),"-"),"-")</f>
        <v>199.392</v>
      </c>
      <c r="Z14" s="80">
        <f>IF(DAY(EOMONTH(Y$1,0))&gt;=$B14, 11-COUNTIFS(dataMail!$C:$C,"&lt;&gt;Annulation",dataMail!$G:$G,"&lt;="&amp;(Y$1+$B14-1),dataMail!$H:$H,"&gt;"&amp;(Y$1+$B14-1)),"-")</f>
        <v>9</v>
      </c>
      <c r="AA14" s="107">
        <f>IF(DAY(EOMONTH(AA$1,0))&gt;=$B14,IFERROR(AVERAGEIFS(dataMail!$P:$P,dataMail!$C:$C,"Confirmation",dataMail!$G:$G,"&lt;="&amp;(AA$1+$B14-1),dataMail!$H:$H,"&gt;"&amp;(AA$1+$B14-1)),"-"),"-")</f>
        <v>94.8</v>
      </c>
      <c r="AB14" s="80">
        <f>IF(DAY(EOMONTH(AA$1,0))&gt;=$B14, 11-COUNTIFS(dataMail!$C:$C,"&lt;&gt;Annulation",dataMail!$G:$G,"&lt;="&amp;(AA$1+$B14-1),dataMail!$H:$H,"&gt;"&amp;(AA$1+$B14-1)),"-")</f>
        <v>9</v>
      </c>
      <c r="AC14" s="107" t="str">
        <f>IF(DAY(EOMONTH(AC$1,0))&gt;=$B14,IFERROR(AVERAGEIFS(dataMail!$P:$P,dataMail!$C:$C,"Confirmation",dataMail!$G:$G,"&lt;="&amp;(AC$1+$B14-1),dataMail!$H:$H,"&gt;"&amp;(AC$1+$B14-1)),"-"),"-")</f>
        <v>-</v>
      </c>
      <c r="AD14" s="80">
        <f>IF(DAY(EOMONTH(AC$1,0))&gt;=$B14, 11-COUNTIFS(dataMail!$C:$C,"&lt;&gt;Annulation",dataMail!$G:$G,"&lt;="&amp;(AC$1+$B14-1),dataMail!$H:$H,"&gt;"&amp;(AC$1+$B14-1)),"-")</f>
        <v>11</v>
      </c>
      <c r="AE14" s="107">
        <f>IF(DAY(EOMONTH(AE$1,0))&gt;=$B14,IFERROR(AVERAGEIFS(dataMail!$P:$P,dataMail!$C:$C,"Confirmation",dataMail!$G:$G,"&lt;="&amp;(AE$1+$B14-1),dataMail!$H:$H,"&gt;"&amp;(AE$1+$B14-1)),"-"),"-")</f>
        <v>94.624</v>
      </c>
      <c r="AF14" s="80">
        <f>IF(DAY(EOMONTH(AE$1,0))&gt;=$B14, 11-COUNTIFS(dataMail!$C:$C,"&lt;&gt;Annulation",dataMail!$G:$G,"&lt;="&amp;(AE$1+$B14-1),dataMail!$H:$H,"&gt;"&amp;(AE$1+$B14-1)),"-")</f>
        <v>10</v>
      </c>
      <c r="AG14" s="107" t="str">
        <f>IF(DAY(EOMONTH(AG$1,0))&gt;=$B14,IFERROR(AVERAGEIFS(dataMail!$P:$P,dataMail!$C:$C,"Confirmation",dataMail!$G:$G,"&lt;="&amp;(AG$1+$B14-1),dataMail!$H:$H,"&gt;"&amp;(AG$1+$B14-1)),"-"),"-")</f>
        <v>-</v>
      </c>
      <c r="AH14" s="80">
        <f>IF(DAY(EOMONTH(AG$1,0))&gt;=$B14, 11-COUNTIFS(dataMail!$C:$C,"&lt;&gt;Annulation",dataMail!$G:$G,"&lt;="&amp;(AG$1+$B14-1),dataMail!$H:$H,"&gt;"&amp;(AG$1+$B14-1)),"-")</f>
        <v>11</v>
      </c>
    </row>
    <row r="15">
      <c r="A15" s="66"/>
      <c r="B15" s="66">
        <v>5.0</v>
      </c>
      <c r="C15" s="115">
        <f>IF(DAY(EOMONTH(C$1,0))&gt;=$B15,IFERROR(AVERAGEIFS(dataMail!$P:$P,dataMail!$C:$C,"Confirmation",dataMail!$G:$G,"&lt;="&amp;(C$1+$B15-1),dataMail!$H:$H,"&gt;"&amp;(C$1+$B15-1)),"-"),"-")</f>
        <v>131.9574026</v>
      </c>
      <c r="D15" s="80">
        <f>IF(DAY(EOMONTH(C$1,0))&gt;=$B15, 11-COUNTIFS(dataMail!$C:$C,"&lt;&gt;Annulation",dataMail!$G:$G,"&lt;="&amp;(C$1+$B15-1),dataMail!$H:$H,"&gt;"&amp;(C$1+$B15-1)),"-")</f>
        <v>0</v>
      </c>
      <c r="E15" s="82">
        <f>IF(DAY(EOMONTH(E$1,0))&gt;=$B15,IFERROR(AVERAGEIFS(dataMail!$P:$P,dataMail!$C:$C,"Confirmation",dataMail!$G:$G,"&lt;="&amp;(E$1+$B15-1),dataMail!$H:$H,"&gt;"&amp;(E$1+$B15-1)),"-"),"-")</f>
        <v>142.6071111</v>
      </c>
      <c r="F15" s="80">
        <f>IF(DAY(EOMONTH(E$1,0))&gt;=$B15, 11-COUNTIFS(dataMail!$C:$C,"&lt;&gt;Annulation",dataMail!$G:$G,"&lt;="&amp;(E$1+$B15-1),dataMail!$H:$H,"&gt;"&amp;(E$1+$B15-1)),"-")</f>
        <v>2</v>
      </c>
      <c r="G15" s="82">
        <f>IF(DAY(EOMONTH(G$1,0))&gt;=$B15,IFERROR(AVERAGEIFS(dataMail!$P:$P,dataMail!$C:$C,"Confirmation",dataMail!$G:$G,"&lt;="&amp;(G$1+$B15-1),dataMail!$H:$H,"&gt;"&amp;(G$1+$B15-1)),"-"),"-")</f>
        <v>100.8728</v>
      </c>
      <c r="H15" s="80">
        <f>IF(DAY(EOMONTH(G$1,0))&gt;=$B15, 11-COUNTIFS(dataMail!$C:$C,"&lt;&gt;Annulation",dataMail!$G:$G,"&lt;="&amp;(G$1+$B15-1),dataMail!$H:$H,"&gt;"&amp;(G$1+$B15-1)),"-")</f>
        <v>1</v>
      </c>
      <c r="I15" s="115">
        <f>IF(DAY(EOMONTH(I$1,0))&gt;=$B15,IFERROR(AVERAGEIFS(dataMail!$P:$P,dataMail!$C:$C,"Confirmation",dataMail!$G:$G,"&lt;="&amp;(I$1+$B15-1),dataMail!$H:$H,"&gt;"&amp;(I$1+$B15-1)),"-"),"-")</f>
        <v>120.1382857</v>
      </c>
      <c r="J15" s="80">
        <f>IF(DAY(EOMONTH(I$1,0))&gt;=$B15, 11-COUNTIFS(dataMail!$C:$C,"&lt;&gt;Annulation",dataMail!$G:$G,"&lt;="&amp;(I$1+$B15-1),dataMail!$H:$H,"&gt;"&amp;(I$1+$B15-1)),"-")</f>
        <v>2</v>
      </c>
      <c r="K15" s="115">
        <f>IF(DAY(EOMONTH(K$1,0))&gt;=$B15,IFERROR(AVERAGEIFS(dataMail!$P:$P,dataMail!$C:$C,"Confirmation",dataMail!$G:$G,"&lt;="&amp;(K$1+$B15-1),dataMail!$H:$H,"&gt;"&amp;(K$1+$B15-1)),"-"),"-")</f>
        <v>124.248</v>
      </c>
      <c r="L15" s="80">
        <f>IF(DAY(EOMONTH(K$1,0))&gt;=$B15, 11-COUNTIFS(dataMail!$C:$C,"&lt;&gt;Annulation",dataMail!$G:$G,"&lt;="&amp;(K$1+$B15-1),dataMail!$H:$H,"&gt;"&amp;(K$1+$B15-1)),"-")</f>
        <v>6</v>
      </c>
      <c r="M15" s="115">
        <f>IF(DAY(EOMONTH(M$1,0))&gt;=$B15,IFERROR(AVERAGEIFS(dataMail!$P:$P,dataMail!$C:$C,"Confirmation",dataMail!$G:$G,"&lt;="&amp;(M$1+$B15-1),dataMail!$H:$H,"&gt;"&amp;(M$1+$B15-1)),"-"),"-")</f>
        <v>150.9714286</v>
      </c>
      <c r="N15" s="80">
        <f>IF(DAY(EOMONTH(M$1,0))&gt;=$B15, 11-COUNTIFS(dataMail!$C:$C,"&lt;&gt;Annulation",dataMail!$G:$G,"&lt;="&amp;(M$1+$B15-1),dataMail!$H:$H,"&gt;"&amp;(M$1+$B15-1)),"-")</f>
        <v>3</v>
      </c>
      <c r="O15" s="115">
        <f>IF(DAY(EOMONTH(O$1,0))&gt;=$B15,IFERROR(AVERAGEIFS(dataMail!$P:$P,dataMail!$C:$C,"Confirmation",dataMail!$G:$G,"&lt;="&amp;(O$1+$B15-1),dataMail!$H:$H,"&gt;"&amp;(O$1+$B15-1)),"-"),"-")</f>
        <v>133.84</v>
      </c>
      <c r="P15" s="80">
        <f>IF(DAY(EOMONTH(O$1,0))&gt;=$B15, 11-COUNTIFS(dataMail!$C:$C,"&lt;&gt;Annulation",dataMail!$G:$G,"&lt;="&amp;(O$1+$B15-1),dataMail!$H:$H,"&gt;"&amp;(O$1+$B15-1)),"-")</f>
        <v>10</v>
      </c>
      <c r="Q15" s="115">
        <f>IF(DAY(EOMONTH(Q$1,0))&gt;=$B15,IFERROR(AVERAGEIFS(dataMail!$P:$P,dataMail!$C:$C,"Confirmation",dataMail!$G:$G,"&lt;="&amp;(Q$1+$B15-1),dataMail!$H:$H,"&gt;"&amp;(Q$1+$B15-1)),"-"),"-")</f>
        <v>228.706</v>
      </c>
      <c r="R15" s="80">
        <f>IF(DAY(EOMONTH(Q$1,0))&gt;=$B15, 11-COUNTIFS(dataMail!$C:$C,"&lt;&gt;Annulation",dataMail!$G:$G,"&lt;="&amp;(Q$1+$B15-1),dataMail!$H:$H,"&gt;"&amp;(Q$1+$B15-1)),"-")</f>
        <v>-1</v>
      </c>
      <c r="S15" s="115" t="str">
        <f>IF(DAY(EOMONTH(S$1,0))&gt;=$B15,IFERROR(AVERAGEIFS(dataMail!$P:$P,dataMail!$C:$C,"Confirmation",dataMail!$G:$G,"&lt;="&amp;(S$1+$B15-1),dataMail!$H:$H,"&gt;"&amp;(S$1+$B15-1)),"-"),"-")</f>
        <v>-</v>
      </c>
      <c r="T15" s="80">
        <f>IF(DAY(EOMONTH(S$1,0))&gt;=$B15, 11-COUNTIFS(dataMail!$C:$C,"&lt;&gt;Annulation",dataMail!$G:$G,"&lt;="&amp;(S$1+$B15-1),dataMail!$H:$H,"&gt;"&amp;(S$1+$B15-1)),"-")</f>
        <v>10</v>
      </c>
      <c r="U15" s="115">
        <f>IF(DAY(EOMONTH(U$1,0))&gt;=$B15,IFERROR(AVERAGEIFS(dataMail!$P:$P,dataMail!$C:$C,"Confirmation",dataMail!$G:$G,"&lt;="&amp;(U$1+$B15-1),dataMail!$H:$H,"&gt;"&amp;(U$1+$B15-1)),"-"),"-")</f>
        <v>147.096</v>
      </c>
      <c r="V15" s="80">
        <f>IF(DAY(EOMONTH(U$1,0))&gt;=$B15, 11-COUNTIFS(dataMail!$C:$C,"&lt;&gt;Annulation",dataMail!$G:$G,"&lt;="&amp;(U$1+$B15-1),dataMail!$H:$H,"&gt;"&amp;(U$1+$B15-1)),"-")</f>
        <v>10</v>
      </c>
      <c r="W15" s="115" t="str">
        <f>IF(DAY(EOMONTH(W$1,0))&gt;=$B15,IFERROR(AVERAGEIFS(dataMail!$P:$P,dataMail!$C:$C,"Confirmation",dataMail!$G:$G,"&lt;="&amp;(W$1+$B15-1),dataMail!$H:$H,"&gt;"&amp;(W$1+$B15-1)),"-"),"-")</f>
        <v>-</v>
      </c>
      <c r="X15" s="80">
        <f>IF(DAY(EOMONTH(W$1,0))&gt;=$B15, 11-COUNTIFS(dataMail!$C:$C,"&lt;&gt;Annulation",dataMail!$G:$G,"&lt;="&amp;(W$1+$B15-1),dataMail!$H:$H,"&gt;"&amp;(W$1+$B15-1)),"-")</f>
        <v>11</v>
      </c>
      <c r="Y15" s="115" t="str">
        <f>IF(DAY(EOMONTH(Y$1,0))&gt;=$B15,IFERROR(AVERAGEIFS(dataMail!$P:$P,dataMail!$C:$C,"Confirmation",dataMail!$G:$G,"&lt;="&amp;(Y$1+$B15-1),dataMail!$H:$H,"&gt;"&amp;(Y$1+$B15-1)),"-"),"-")</f>
        <v>-</v>
      </c>
      <c r="Z15" s="80">
        <f>IF(DAY(EOMONTH(Y$1,0))&gt;=$B15, 11-COUNTIFS(dataMail!$C:$C,"&lt;&gt;Annulation",dataMail!$G:$G,"&lt;="&amp;(Y$1+$B15-1),dataMail!$H:$H,"&gt;"&amp;(Y$1+$B15-1)),"-")</f>
        <v>11</v>
      </c>
      <c r="AA15" s="115">
        <f>IF(DAY(EOMONTH(AA$1,0))&gt;=$B15,IFERROR(AVERAGEIFS(dataMail!$P:$P,dataMail!$C:$C,"Confirmation",dataMail!$G:$G,"&lt;="&amp;(AA$1+$B15-1),dataMail!$H:$H,"&gt;"&amp;(AA$1+$B15-1)),"-"),"-")</f>
        <v>94.8</v>
      </c>
      <c r="AB15" s="80">
        <f>IF(DAY(EOMONTH(AA$1,0))&gt;=$B15, 11-COUNTIFS(dataMail!$C:$C,"&lt;&gt;Annulation",dataMail!$G:$G,"&lt;="&amp;(AA$1+$B15-1),dataMail!$H:$H,"&gt;"&amp;(AA$1+$B15-1)),"-")</f>
        <v>9</v>
      </c>
      <c r="AC15" s="115" t="str">
        <f>IF(DAY(EOMONTH(AC$1,0))&gt;=$B15,IFERROR(AVERAGEIFS(dataMail!$P:$P,dataMail!$C:$C,"Confirmation",dataMail!$G:$G,"&lt;="&amp;(AC$1+$B15-1),dataMail!$H:$H,"&gt;"&amp;(AC$1+$B15-1)),"-"),"-")</f>
        <v>-</v>
      </c>
      <c r="AD15" s="80">
        <f>IF(DAY(EOMONTH(AC$1,0))&gt;=$B15, 11-COUNTIFS(dataMail!$C:$C,"&lt;&gt;Annulation",dataMail!$G:$G,"&lt;="&amp;(AC$1+$B15-1),dataMail!$H:$H,"&gt;"&amp;(AC$1+$B15-1)),"-")</f>
        <v>11</v>
      </c>
      <c r="AE15" s="115">
        <f>IF(DAY(EOMONTH(AE$1,0))&gt;=$B15,IFERROR(AVERAGEIFS(dataMail!$P:$P,dataMail!$C:$C,"Confirmation",dataMail!$G:$G,"&lt;="&amp;(AE$1+$B15-1),dataMail!$H:$H,"&gt;"&amp;(AE$1+$B15-1)),"-"),"-")</f>
        <v>94.624</v>
      </c>
      <c r="AF15" s="80">
        <f>IF(DAY(EOMONTH(AE$1,0))&gt;=$B15, 11-COUNTIFS(dataMail!$C:$C,"&lt;&gt;Annulation",dataMail!$G:$G,"&lt;="&amp;(AE$1+$B15-1),dataMail!$H:$H,"&gt;"&amp;(AE$1+$B15-1)),"-")</f>
        <v>10</v>
      </c>
      <c r="AG15" s="115" t="str">
        <f>IF(DAY(EOMONTH(AG$1,0))&gt;=$B15,IFERROR(AVERAGEIFS(dataMail!$P:$P,dataMail!$C:$C,"Confirmation",dataMail!$G:$G,"&lt;="&amp;(AG$1+$B15-1),dataMail!$H:$H,"&gt;"&amp;(AG$1+$B15-1)),"-"),"-")</f>
        <v>-</v>
      </c>
      <c r="AH15" s="80">
        <f>IF(DAY(EOMONTH(AG$1,0))&gt;=$B15, 11-COUNTIFS(dataMail!$C:$C,"&lt;&gt;Annulation",dataMail!$G:$G,"&lt;="&amp;(AG$1+$B15-1),dataMail!$H:$H,"&gt;"&amp;(AG$1+$B15-1)),"-")</f>
        <v>11</v>
      </c>
    </row>
    <row r="16">
      <c r="A16" s="66"/>
      <c r="B16" s="66">
        <v>6.0</v>
      </c>
      <c r="C16" s="116">
        <f>IF(DAY(EOMONTH(C$1,0))&gt;=$B16,IFERROR(AVERAGEIFS(dataMail!$P:$P,dataMail!$C:$C,"Confirmation",dataMail!$G:$G,"&lt;="&amp;(C$1+$B16-1),dataMail!$H:$H,"&gt;"&amp;(C$1+$B16-1)),"-"),"-")</f>
        <v>125.4208</v>
      </c>
      <c r="D16" s="80">
        <f>IF(DAY(EOMONTH(C$1,0))&gt;=$B16, 11-COUNTIFS(dataMail!$C:$C,"&lt;&gt;Annulation",dataMail!$G:$G,"&lt;="&amp;(C$1+$B16-1),dataMail!$H:$H,"&gt;"&amp;(C$1+$B16-1)),"-")</f>
        <v>1</v>
      </c>
      <c r="E16" s="82">
        <f>IF(DAY(EOMONTH(E$1,0))&gt;=$B16,IFERROR(AVERAGEIFS(dataMail!$P:$P,dataMail!$C:$C,"Confirmation",dataMail!$G:$G,"&lt;="&amp;(E$1+$B16-1),dataMail!$H:$H,"&gt;"&amp;(E$1+$B16-1)),"-"),"-")</f>
        <v>152.404</v>
      </c>
      <c r="F16" s="80">
        <f>IF(DAY(EOMONTH(E$1,0))&gt;=$B16, 11-COUNTIFS(dataMail!$C:$C,"&lt;&gt;Annulation",dataMail!$G:$G,"&lt;="&amp;(E$1+$B16-1),dataMail!$H:$H,"&gt;"&amp;(E$1+$B16-1)),"-")</f>
        <v>3</v>
      </c>
      <c r="G16" s="82">
        <f>IF(DAY(EOMONTH(G$1,0))&gt;=$B16,IFERROR(AVERAGEIFS(dataMail!$P:$P,dataMail!$C:$C,"Confirmation",dataMail!$G:$G,"&lt;="&amp;(G$1+$B16-1),dataMail!$H:$H,"&gt;"&amp;(G$1+$B16-1)),"-"),"-")</f>
        <v>104.0346667</v>
      </c>
      <c r="H16" s="80">
        <f>IF(DAY(EOMONTH(G$1,0))&gt;=$B16, 11-COUNTIFS(dataMail!$C:$C,"&lt;&gt;Annulation",dataMail!$G:$G,"&lt;="&amp;(G$1+$B16-1),dataMail!$H:$H,"&gt;"&amp;(G$1+$B16-1)),"-")</f>
        <v>2</v>
      </c>
      <c r="I16" s="116">
        <f>IF(DAY(EOMONTH(I$1,0))&gt;=$B16,IFERROR(AVERAGEIFS(dataMail!$P:$P,dataMail!$C:$C,"Confirmation",dataMail!$G:$G,"&lt;="&amp;(I$1+$B16-1),dataMail!$H:$H,"&gt;"&amp;(I$1+$B16-1)),"-"),"-")</f>
        <v>125.304</v>
      </c>
      <c r="J16" s="80">
        <f>IF(DAY(EOMONTH(I$1,0))&gt;=$B16, 11-COUNTIFS(dataMail!$C:$C,"&lt;&gt;Annulation",dataMail!$G:$G,"&lt;="&amp;(I$1+$B16-1),dataMail!$H:$H,"&gt;"&amp;(I$1+$B16-1)),"-")</f>
        <v>1</v>
      </c>
      <c r="K16" s="116">
        <f>IF(DAY(EOMONTH(K$1,0))&gt;=$B16,IFERROR(AVERAGEIFS(dataMail!$P:$P,dataMail!$C:$C,"Confirmation",dataMail!$G:$G,"&lt;="&amp;(K$1+$B16-1),dataMail!$H:$H,"&gt;"&amp;(K$1+$B16-1)),"-"),"-")</f>
        <v>187.4096</v>
      </c>
      <c r="L16" s="80">
        <f>IF(DAY(EOMONTH(K$1,0))&gt;=$B16, 11-COUNTIFS(dataMail!$C:$C,"&lt;&gt;Annulation",dataMail!$G:$G,"&lt;="&amp;(K$1+$B16-1),dataMail!$H:$H,"&gt;"&amp;(K$1+$B16-1)),"-")</f>
        <v>6</v>
      </c>
      <c r="M16" s="116">
        <f>IF(DAY(EOMONTH(M$1,0))&gt;=$B16,IFERROR(AVERAGEIFS(dataMail!$P:$P,dataMail!$C:$C,"Confirmation",dataMail!$G:$G,"&lt;="&amp;(M$1+$B16-1),dataMail!$H:$H,"&gt;"&amp;(M$1+$B16-1)),"-"),"-")</f>
        <v>208.2749091</v>
      </c>
      <c r="N16" s="80">
        <f>IF(DAY(EOMONTH(M$1,0))&gt;=$B16, 11-COUNTIFS(dataMail!$C:$C,"&lt;&gt;Annulation",dataMail!$G:$G,"&lt;="&amp;(M$1+$B16-1),dataMail!$H:$H,"&gt;"&amp;(M$1+$B16-1)),"-")</f>
        <v>0</v>
      </c>
      <c r="O16" s="116" t="str">
        <f>IF(DAY(EOMONTH(O$1,0))&gt;=$B16,IFERROR(AVERAGEIFS(dataMail!$P:$P,dataMail!$C:$C,"Confirmation",dataMail!$G:$G,"&lt;="&amp;(O$1+$B16-1),dataMail!$H:$H,"&gt;"&amp;(O$1+$B16-1)),"-"),"-")</f>
        <v>-</v>
      </c>
      <c r="P16" s="80">
        <f>IF(DAY(EOMONTH(O$1,0))&gt;=$B16, 11-COUNTIFS(dataMail!$C:$C,"&lt;&gt;Annulation",dataMail!$G:$G,"&lt;="&amp;(O$1+$B16-1),dataMail!$H:$H,"&gt;"&amp;(O$1+$B16-1)),"-")</f>
        <v>11</v>
      </c>
      <c r="Q16" s="116">
        <f>IF(DAY(EOMONTH(Q$1,0))&gt;=$B16,IFERROR(AVERAGEIFS(dataMail!$P:$P,dataMail!$C:$C,"Confirmation",dataMail!$G:$G,"&lt;="&amp;(Q$1+$B16-1),dataMail!$H:$H,"&gt;"&amp;(Q$1+$B16-1)),"-"),"-")</f>
        <v>234.7170909</v>
      </c>
      <c r="R16" s="80">
        <f>IF(DAY(EOMONTH(Q$1,0))&gt;=$B16, 11-COUNTIFS(dataMail!$C:$C,"&lt;&gt;Annulation",dataMail!$G:$G,"&lt;="&amp;(Q$1+$B16-1),dataMail!$H:$H,"&gt;"&amp;(Q$1+$B16-1)),"-")</f>
        <v>0</v>
      </c>
      <c r="S16" s="116" t="str">
        <f>IF(DAY(EOMONTH(S$1,0))&gt;=$B16,IFERROR(AVERAGEIFS(dataMail!$P:$P,dataMail!$C:$C,"Confirmation",dataMail!$G:$G,"&lt;="&amp;(S$1+$B16-1),dataMail!$H:$H,"&gt;"&amp;(S$1+$B16-1)),"-"),"-")</f>
        <v>-</v>
      </c>
      <c r="T16" s="80">
        <f>IF(DAY(EOMONTH(S$1,0))&gt;=$B16, 11-COUNTIFS(dataMail!$C:$C,"&lt;&gt;Annulation",dataMail!$G:$G,"&lt;="&amp;(S$1+$B16-1),dataMail!$H:$H,"&gt;"&amp;(S$1+$B16-1)),"-")</f>
        <v>10</v>
      </c>
      <c r="U16" s="116">
        <f>IF(DAY(EOMONTH(U$1,0))&gt;=$B16,IFERROR(AVERAGEIFS(dataMail!$P:$P,dataMail!$C:$C,"Confirmation",dataMail!$G:$G,"&lt;="&amp;(U$1+$B16-1),dataMail!$H:$H,"&gt;"&amp;(U$1+$B16-1)),"-"),"-")</f>
        <v>147.096</v>
      </c>
      <c r="V16" s="80">
        <f>IF(DAY(EOMONTH(U$1,0))&gt;=$B16, 11-COUNTIFS(dataMail!$C:$C,"&lt;&gt;Annulation",dataMail!$G:$G,"&lt;="&amp;(U$1+$B16-1),dataMail!$H:$H,"&gt;"&amp;(U$1+$B16-1)),"-")</f>
        <v>10</v>
      </c>
      <c r="W16" s="116" t="str">
        <f>IF(DAY(EOMONTH(W$1,0))&gt;=$B16,IFERROR(AVERAGEIFS(dataMail!$P:$P,dataMail!$C:$C,"Confirmation",dataMail!$G:$G,"&lt;="&amp;(W$1+$B16-1),dataMail!$H:$H,"&gt;"&amp;(W$1+$B16-1)),"-"),"-")</f>
        <v>-</v>
      </c>
      <c r="X16" s="80">
        <f>IF(DAY(EOMONTH(W$1,0))&gt;=$B16, 11-COUNTIFS(dataMail!$C:$C,"&lt;&gt;Annulation",dataMail!$G:$G,"&lt;="&amp;(W$1+$B16-1),dataMail!$H:$H,"&gt;"&amp;(W$1+$B16-1)),"-")</f>
        <v>11</v>
      </c>
      <c r="Y16" s="116">
        <f>IF(DAY(EOMONTH(Y$1,0))&gt;=$B16,IFERROR(AVERAGEIFS(dataMail!$P:$P,dataMail!$C:$C,"Confirmation",dataMail!$G:$G,"&lt;="&amp;(Y$1+$B16-1),dataMail!$H:$H,"&gt;"&amp;(Y$1+$B16-1)),"-"),"-")</f>
        <v>142.384</v>
      </c>
      <c r="Z16" s="80">
        <f>IF(DAY(EOMONTH(Y$1,0))&gt;=$B16, 11-COUNTIFS(dataMail!$C:$C,"&lt;&gt;Annulation",dataMail!$G:$G,"&lt;="&amp;(Y$1+$B16-1),dataMail!$H:$H,"&gt;"&amp;(Y$1+$B16-1)),"-")</f>
        <v>9</v>
      </c>
      <c r="AA16" s="116">
        <f>IF(DAY(EOMONTH(AA$1,0))&gt;=$B16,IFERROR(AVERAGEIFS(dataMail!$P:$P,dataMail!$C:$C,"Confirmation",dataMail!$G:$G,"&lt;="&amp;(AA$1+$B16-1),dataMail!$H:$H,"&gt;"&amp;(AA$1+$B16-1)),"-"),"-")</f>
        <v>94.8</v>
      </c>
      <c r="AB16" s="80">
        <f>IF(DAY(EOMONTH(AA$1,0))&gt;=$B16, 11-COUNTIFS(dataMail!$C:$C,"&lt;&gt;Annulation",dataMail!$G:$G,"&lt;="&amp;(AA$1+$B16-1),dataMail!$H:$H,"&gt;"&amp;(AA$1+$B16-1)),"-")</f>
        <v>9</v>
      </c>
      <c r="AC16" s="116" t="str">
        <f>IF(DAY(EOMONTH(AC$1,0))&gt;=$B16,IFERROR(AVERAGEIFS(dataMail!$P:$P,dataMail!$C:$C,"Confirmation",dataMail!$G:$G,"&lt;="&amp;(AC$1+$B16-1),dataMail!$H:$H,"&gt;"&amp;(AC$1+$B16-1)),"-"),"-")</f>
        <v>-</v>
      </c>
      <c r="AD16" s="80">
        <f>IF(DAY(EOMONTH(AC$1,0))&gt;=$B16, 11-COUNTIFS(dataMail!$C:$C,"&lt;&gt;Annulation",dataMail!$G:$G,"&lt;="&amp;(AC$1+$B16-1),dataMail!$H:$H,"&gt;"&amp;(AC$1+$B16-1)),"-")</f>
        <v>11</v>
      </c>
      <c r="AE16" s="116">
        <f>IF(DAY(EOMONTH(AE$1,0))&gt;=$B16,IFERROR(AVERAGEIFS(dataMail!$P:$P,dataMail!$C:$C,"Confirmation",dataMail!$G:$G,"&lt;="&amp;(AE$1+$B16-1),dataMail!$H:$H,"&gt;"&amp;(AE$1+$B16-1)),"-"),"-")</f>
        <v>94.624</v>
      </c>
      <c r="AF16" s="80">
        <f>IF(DAY(EOMONTH(AE$1,0))&gt;=$B16, 11-COUNTIFS(dataMail!$C:$C,"&lt;&gt;Annulation",dataMail!$G:$G,"&lt;="&amp;(AE$1+$B16-1),dataMail!$H:$H,"&gt;"&amp;(AE$1+$B16-1)),"-")</f>
        <v>10</v>
      </c>
      <c r="AG16" s="116" t="str">
        <f>IF(DAY(EOMONTH(AG$1,0))&gt;=$B16,IFERROR(AVERAGEIFS(dataMail!$P:$P,dataMail!$C:$C,"Confirmation",dataMail!$G:$G,"&lt;="&amp;(AG$1+$B16-1),dataMail!$H:$H,"&gt;"&amp;(AG$1+$B16-1)),"-"),"-")</f>
        <v>-</v>
      </c>
      <c r="AH16" s="80">
        <f>IF(DAY(EOMONTH(AG$1,0))&gt;=$B16, 11-COUNTIFS(dataMail!$C:$C,"&lt;&gt;Annulation",dataMail!$G:$G,"&lt;="&amp;(AG$1+$B16-1),dataMail!$H:$H,"&gt;"&amp;(AG$1+$B16-1)),"-")</f>
        <v>11</v>
      </c>
    </row>
    <row r="17">
      <c r="A17" s="66"/>
      <c r="B17" s="66">
        <v>7.0</v>
      </c>
      <c r="C17" s="117">
        <f>IF(DAY(EOMONTH(C$1,0))&gt;=$B17,IFERROR(AVERAGEIFS(dataMail!$P:$P,dataMail!$C:$C,"Confirmation",dataMail!$G:$G,"&lt;="&amp;(C$1+$B17-1),dataMail!$H:$H,"&gt;"&amp;(C$1+$B17-1)),"-"),"-")</f>
        <v>107.8331429</v>
      </c>
      <c r="D17" s="80">
        <f>IF(DAY(EOMONTH(C$1,0))&gt;=$B17, 11-COUNTIFS(dataMail!$C:$C,"&lt;&gt;Annulation",dataMail!$G:$G,"&lt;="&amp;(C$1+$B17-1),dataMail!$H:$H,"&gt;"&amp;(C$1+$B17-1)),"-")</f>
        <v>3</v>
      </c>
      <c r="E17" s="82">
        <f>IF(DAY(EOMONTH(E$1,0))&gt;=$B17,IFERROR(AVERAGEIFS(dataMail!$P:$P,dataMail!$C:$C,"Confirmation",dataMail!$G:$G,"&lt;="&amp;(E$1+$B17-1),dataMail!$H:$H,"&gt;"&amp;(E$1+$B17-1)),"-"),"-")</f>
        <v>166.6973333</v>
      </c>
      <c r="F17" s="80">
        <f>IF(DAY(EOMONTH(E$1,0))&gt;=$B17, 11-COUNTIFS(dataMail!$C:$C,"&lt;&gt;Annulation",dataMail!$G:$G,"&lt;="&amp;(E$1+$B17-1),dataMail!$H:$H,"&gt;"&amp;(E$1+$B17-1)),"-")</f>
        <v>4</v>
      </c>
      <c r="G17" s="82">
        <f>IF(DAY(EOMONTH(G$1,0))&gt;=$B17,IFERROR(AVERAGEIFS(dataMail!$P:$P,dataMail!$C:$C,"Confirmation",dataMail!$G:$G,"&lt;="&amp;(G$1+$B17-1),dataMail!$H:$H,"&gt;"&amp;(G$1+$B17-1)),"-"),"-")</f>
        <v>106.959</v>
      </c>
      <c r="H17" s="80">
        <f>IF(DAY(EOMONTH(G$1,0))&gt;=$B17, 11-COUNTIFS(dataMail!$C:$C,"&lt;&gt;Annulation",dataMail!$G:$G,"&lt;="&amp;(G$1+$B17-1),dataMail!$H:$H,"&gt;"&amp;(G$1+$B17-1)),"-")</f>
        <v>3</v>
      </c>
      <c r="I17" s="117">
        <f>IF(DAY(EOMONTH(I$1,0))&gt;=$B17,IFERROR(AVERAGEIFS(dataMail!$P:$P,dataMail!$C:$C,"Confirmation",dataMail!$G:$G,"&lt;="&amp;(I$1+$B17-1),dataMail!$H:$H,"&gt;"&amp;(I$1+$B17-1)),"-"),"-")</f>
        <v>118.7325714</v>
      </c>
      <c r="J17" s="80">
        <f>IF(DAY(EOMONTH(I$1,0))&gt;=$B17, 11-COUNTIFS(dataMail!$C:$C,"&lt;&gt;Annulation",dataMail!$G:$G,"&lt;="&amp;(I$1+$B17-1),dataMail!$H:$H,"&gt;"&amp;(I$1+$B17-1)),"-")</f>
        <v>3</v>
      </c>
      <c r="K17" s="117">
        <f>IF(DAY(EOMONTH(K$1,0))&gt;=$B17,IFERROR(AVERAGEIFS(dataMail!$P:$P,dataMail!$C:$C,"Confirmation",dataMail!$G:$G,"&lt;="&amp;(K$1+$B17-1),dataMail!$H:$H,"&gt;"&amp;(K$1+$B17-1)),"-"),"-")</f>
        <v>168.4352</v>
      </c>
      <c r="L17" s="80">
        <f>IF(DAY(EOMONTH(K$1,0))&gt;=$B17, 11-COUNTIFS(dataMail!$C:$C,"&lt;&gt;Annulation",dataMail!$G:$G,"&lt;="&amp;(K$1+$B17-1),dataMail!$H:$H,"&gt;"&amp;(K$1+$B17-1)),"-")</f>
        <v>6</v>
      </c>
      <c r="M17" s="117">
        <f>IF(DAY(EOMONTH(M$1,0))&gt;=$B17,IFERROR(AVERAGEIFS(dataMail!$P:$P,dataMail!$C:$C,"Confirmation",dataMail!$G:$G,"&lt;="&amp;(M$1+$B17-1),dataMail!$H:$H,"&gt;"&amp;(M$1+$B17-1)),"-"),"-")</f>
        <v>131.688</v>
      </c>
      <c r="N17" s="80">
        <f>IF(DAY(EOMONTH(M$1,0))&gt;=$B17, 11-COUNTIFS(dataMail!$C:$C,"&lt;&gt;Annulation",dataMail!$G:$G,"&lt;="&amp;(M$1+$B17-1),dataMail!$H:$H,"&gt;"&amp;(M$1+$B17-1)),"-")</f>
        <v>6</v>
      </c>
      <c r="O17" s="117" t="str">
        <f>IF(DAY(EOMONTH(O$1,0))&gt;=$B17,IFERROR(AVERAGEIFS(dataMail!$P:$P,dataMail!$C:$C,"Confirmation",dataMail!$G:$G,"&lt;="&amp;(O$1+$B17-1),dataMail!$H:$H,"&gt;"&amp;(O$1+$B17-1)),"-"),"-")</f>
        <v>-</v>
      </c>
      <c r="P17" s="80">
        <f>IF(DAY(EOMONTH(O$1,0))&gt;=$B17, 11-COUNTIFS(dataMail!$C:$C,"&lt;&gt;Annulation",dataMail!$G:$G,"&lt;="&amp;(O$1+$B17-1),dataMail!$H:$H,"&gt;"&amp;(O$1+$B17-1)),"-")</f>
        <v>11</v>
      </c>
      <c r="Q17" s="117">
        <f>IF(DAY(EOMONTH(Q$1,0))&gt;=$B17,IFERROR(AVERAGEIFS(dataMail!$P:$P,dataMail!$C:$C,"Confirmation",dataMail!$G:$G,"&lt;="&amp;(Q$1+$B17-1),dataMail!$H:$H,"&gt;"&amp;(Q$1+$B17-1)),"-"),"-")</f>
        <v>260.2182857</v>
      </c>
      <c r="R17" s="80">
        <f>IF(DAY(EOMONTH(Q$1,0))&gt;=$B17, 11-COUNTIFS(dataMail!$C:$C,"&lt;&gt;Annulation",dataMail!$G:$G,"&lt;="&amp;(Q$1+$B17-1),dataMail!$H:$H,"&gt;"&amp;(Q$1+$B17-1)),"-")</f>
        <v>4</v>
      </c>
      <c r="S17" s="117" t="str">
        <f>IF(DAY(EOMONTH(S$1,0))&gt;=$B17,IFERROR(AVERAGEIFS(dataMail!$P:$P,dataMail!$C:$C,"Confirmation",dataMail!$G:$G,"&lt;="&amp;(S$1+$B17-1),dataMail!$H:$H,"&gt;"&amp;(S$1+$B17-1)),"-"),"-")</f>
        <v>-</v>
      </c>
      <c r="T17" s="80">
        <f>IF(DAY(EOMONTH(S$1,0))&gt;=$B17, 11-COUNTIFS(dataMail!$C:$C,"&lt;&gt;Annulation",dataMail!$G:$G,"&lt;="&amp;(S$1+$B17-1),dataMail!$H:$H,"&gt;"&amp;(S$1+$B17-1)),"-")</f>
        <v>11</v>
      </c>
      <c r="U17" s="117" t="str">
        <f>IF(DAY(EOMONTH(U$1,0))&gt;=$B17,IFERROR(AVERAGEIFS(dataMail!$P:$P,dataMail!$C:$C,"Confirmation",dataMail!$G:$G,"&lt;="&amp;(U$1+$B17-1),dataMail!$H:$H,"&gt;"&amp;(U$1+$B17-1)),"-"),"-")</f>
        <v>-</v>
      </c>
      <c r="V17" s="80">
        <f>IF(DAY(EOMONTH(U$1,0))&gt;=$B17, 11-COUNTIFS(dataMail!$C:$C,"&lt;&gt;Annulation",dataMail!$G:$G,"&lt;="&amp;(U$1+$B17-1),dataMail!$H:$H,"&gt;"&amp;(U$1+$B17-1)),"-")</f>
        <v>11</v>
      </c>
      <c r="W17" s="117" t="str">
        <f>IF(DAY(EOMONTH(W$1,0))&gt;=$B17,IFERROR(AVERAGEIFS(dataMail!$P:$P,dataMail!$C:$C,"Confirmation",dataMail!$G:$G,"&lt;="&amp;(W$1+$B17-1),dataMail!$H:$H,"&gt;"&amp;(W$1+$B17-1)),"-"),"-")</f>
        <v>-</v>
      </c>
      <c r="X17" s="80">
        <f>IF(DAY(EOMONTH(W$1,0))&gt;=$B17, 11-COUNTIFS(dataMail!$C:$C,"&lt;&gt;Annulation",dataMail!$G:$G,"&lt;="&amp;(W$1+$B17-1),dataMail!$H:$H,"&gt;"&amp;(W$1+$B17-1)),"-")</f>
        <v>11</v>
      </c>
      <c r="Y17" s="117">
        <f>IF(DAY(EOMONTH(Y$1,0))&gt;=$B17,IFERROR(AVERAGEIFS(dataMail!$P:$P,dataMail!$C:$C,"Confirmation",dataMail!$G:$G,"&lt;="&amp;(Y$1+$B17-1),dataMail!$H:$H,"&gt;"&amp;(Y$1+$B17-1)),"-"),"-")</f>
        <v>142.384</v>
      </c>
      <c r="Z17" s="80">
        <f>IF(DAY(EOMONTH(Y$1,0))&gt;=$B17, 11-COUNTIFS(dataMail!$C:$C,"&lt;&gt;Annulation",dataMail!$G:$G,"&lt;="&amp;(Y$1+$B17-1),dataMail!$H:$H,"&gt;"&amp;(Y$1+$B17-1)),"-")</f>
        <v>9</v>
      </c>
      <c r="AA17" s="117">
        <f>IF(DAY(EOMONTH(AA$1,0))&gt;=$B17,IFERROR(AVERAGEIFS(dataMail!$P:$P,dataMail!$C:$C,"Confirmation",dataMail!$G:$G,"&lt;="&amp;(AA$1+$B17-1),dataMail!$H:$H,"&gt;"&amp;(AA$1+$B17-1)),"-"),"-")</f>
        <v>92.448</v>
      </c>
      <c r="AB17" s="80">
        <f>IF(DAY(EOMONTH(AA$1,0))&gt;=$B17, 11-COUNTIFS(dataMail!$C:$C,"&lt;&gt;Annulation",dataMail!$G:$G,"&lt;="&amp;(AA$1+$B17-1),dataMail!$H:$H,"&gt;"&amp;(AA$1+$B17-1)),"-")</f>
        <v>10</v>
      </c>
      <c r="AC17" s="117" t="str">
        <f>IF(DAY(EOMONTH(AC$1,0))&gt;=$B17,IFERROR(AVERAGEIFS(dataMail!$P:$P,dataMail!$C:$C,"Confirmation",dataMail!$G:$G,"&lt;="&amp;(AC$1+$B17-1),dataMail!$H:$H,"&gt;"&amp;(AC$1+$B17-1)),"-"),"-")</f>
        <v>-</v>
      </c>
      <c r="AD17" s="80">
        <f>IF(DAY(EOMONTH(AC$1,0))&gt;=$B17, 11-COUNTIFS(dataMail!$C:$C,"&lt;&gt;Annulation",dataMail!$G:$G,"&lt;="&amp;(AC$1+$B17-1),dataMail!$H:$H,"&gt;"&amp;(AC$1+$B17-1)),"-")</f>
        <v>11</v>
      </c>
      <c r="AE17" s="117">
        <f>IF(DAY(EOMONTH(AE$1,0))&gt;=$B17,IFERROR(AVERAGEIFS(dataMail!$P:$P,dataMail!$C:$C,"Confirmation",dataMail!$G:$G,"&lt;="&amp;(AE$1+$B17-1),dataMail!$H:$H,"&gt;"&amp;(AE$1+$B17-1)),"-"),"-")</f>
        <v>0</v>
      </c>
      <c r="AF17" s="80">
        <f>IF(DAY(EOMONTH(AE$1,0))&gt;=$B17, 11-COUNTIFS(dataMail!$C:$C,"&lt;&gt;Annulation",dataMail!$G:$G,"&lt;="&amp;(AE$1+$B17-1),dataMail!$H:$H,"&gt;"&amp;(AE$1+$B17-1)),"-")</f>
        <v>10</v>
      </c>
      <c r="AG17" s="117">
        <f>IF(DAY(EOMONTH(AG$1,0))&gt;=$B17,IFERROR(AVERAGEIFS(dataMail!$P:$P,dataMail!$C:$C,"Confirmation",dataMail!$G:$G,"&lt;="&amp;(AG$1+$B17-1),dataMail!$H:$H,"&gt;"&amp;(AG$1+$B17-1)),"-"),"-")</f>
        <v>128.896</v>
      </c>
      <c r="AH17" s="80">
        <f>IF(DAY(EOMONTH(AG$1,0))&gt;=$B17, 11-COUNTIFS(dataMail!$C:$C,"&lt;&gt;Annulation",dataMail!$G:$G,"&lt;="&amp;(AG$1+$B17-1),dataMail!$H:$H,"&gt;"&amp;(AG$1+$B17-1)),"-")</f>
        <v>10</v>
      </c>
    </row>
    <row r="18">
      <c r="A18" s="66"/>
      <c r="B18" s="66">
        <v>8.0</v>
      </c>
      <c r="C18" s="124">
        <f>IF(DAY(EOMONTH(C$1,0))&gt;=$B18,IFERROR(AVERAGEIFS(dataMail!$P:$P,dataMail!$C:$C,"Confirmation",dataMail!$G:$G,"&lt;="&amp;(C$1+$B18-1),dataMail!$H:$H,"&gt;"&amp;(C$1+$B18-1)),"-"),"-")</f>
        <v>139.5328</v>
      </c>
      <c r="D18" s="80">
        <f>IF(DAY(EOMONTH(C$1,0))&gt;=$B18, 11-COUNTIFS(dataMail!$C:$C,"&lt;&gt;Annulation",dataMail!$G:$G,"&lt;="&amp;(C$1+$B18-1),dataMail!$H:$H,"&gt;"&amp;(C$1+$B18-1)),"-")</f>
        <v>0</v>
      </c>
      <c r="E18" s="82">
        <f>IF(DAY(EOMONTH(E$1,0))&gt;=$B18,IFERROR(AVERAGEIFS(dataMail!$P:$P,dataMail!$C:$C,"Confirmation",dataMail!$G:$G,"&lt;="&amp;(E$1+$B18-1),dataMail!$H:$H,"&gt;"&amp;(E$1+$B18-1)),"-"),"-")</f>
        <v>188.126</v>
      </c>
      <c r="F18" s="80">
        <f>IF(DAY(EOMONTH(E$1,0))&gt;=$B18, 11-COUNTIFS(dataMail!$C:$C,"&lt;&gt;Annulation",dataMail!$G:$G,"&lt;="&amp;(E$1+$B18-1),dataMail!$H:$H,"&gt;"&amp;(E$1+$B18-1)),"-")</f>
        <v>6</v>
      </c>
      <c r="G18" s="82">
        <f>IF(DAY(EOMONTH(G$1,0))&gt;=$B18,IFERROR(AVERAGEIFS(dataMail!$P:$P,dataMail!$C:$C,"Confirmation",dataMail!$G:$G,"&lt;="&amp;(G$1+$B18-1),dataMail!$H:$H,"&gt;"&amp;(G$1+$B18-1)),"-"),"-")</f>
        <v>103.2538182</v>
      </c>
      <c r="H18" s="80">
        <f>IF(DAY(EOMONTH(G$1,0))&gt;=$B18, 11-COUNTIFS(dataMail!$C:$C,"&lt;&gt;Annulation",dataMail!$G:$G,"&lt;="&amp;(G$1+$B18-1),dataMail!$H:$H,"&gt;"&amp;(G$1+$B18-1)),"-")</f>
        <v>0</v>
      </c>
      <c r="I18" s="124">
        <f>IF(DAY(EOMONTH(I$1,0))&gt;=$B18,IFERROR(AVERAGEIFS(dataMail!$P:$P,dataMail!$C:$C,"Confirmation",dataMail!$G:$G,"&lt;="&amp;(I$1+$B18-1),dataMail!$H:$H,"&gt;"&amp;(I$1+$B18-1)),"-"),"-")</f>
        <v>111.567</v>
      </c>
      <c r="J18" s="80">
        <f>IF(DAY(EOMONTH(I$1,0))&gt;=$B18, 11-COUNTIFS(dataMail!$C:$C,"&lt;&gt;Annulation",dataMail!$G:$G,"&lt;="&amp;(I$1+$B18-1),dataMail!$H:$H,"&gt;"&amp;(I$1+$B18-1)),"-")</f>
        <v>2</v>
      </c>
      <c r="K18" s="124">
        <f>IF(DAY(EOMONTH(K$1,0))&gt;=$B18,IFERROR(AVERAGEIFS(dataMail!$P:$P,dataMail!$C:$C,"Confirmation",dataMail!$G:$G,"&lt;="&amp;(K$1+$B18-1),dataMail!$H:$H,"&gt;"&amp;(K$1+$B18-1)),"-"),"-")</f>
        <v>147.1432</v>
      </c>
      <c r="L18" s="80">
        <f>IF(DAY(EOMONTH(K$1,0))&gt;=$B18, 11-COUNTIFS(dataMail!$C:$C,"&lt;&gt;Annulation",dataMail!$G:$G,"&lt;="&amp;(K$1+$B18-1),dataMail!$H:$H,"&gt;"&amp;(K$1+$B18-1)),"-")</f>
        <v>1</v>
      </c>
      <c r="M18" s="124">
        <f>IF(DAY(EOMONTH(M$1,0))&gt;=$B18,IFERROR(AVERAGEIFS(dataMail!$P:$P,dataMail!$C:$C,"Confirmation",dataMail!$G:$G,"&lt;="&amp;(M$1+$B18-1),dataMail!$H:$H,"&gt;"&amp;(M$1+$B18-1)),"-"),"-")</f>
        <v>126.5946667</v>
      </c>
      <c r="N18" s="80">
        <f>IF(DAY(EOMONTH(M$1,0))&gt;=$B18, 11-COUNTIFS(dataMail!$C:$C,"&lt;&gt;Annulation",dataMail!$G:$G,"&lt;="&amp;(M$1+$B18-1),dataMail!$H:$H,"&gt;"&amp;(M$1+$B18-1)),"-")</f>
        <v>5</v>
      </c>
      <c r="O18" s="124">
        <f>IF(DAY(EOMONTH(O$1,0))&gt;=$B18,IFERROR(AVERAGEIFS(dataMail!$P:$P,dataMail!$C:$C,"Confirmation",dataMail!$G:$G,"&lt;="&amp;(O$1+$B18-1),dataMail!$H:$H,"&gt;"&amp;(O$1+$B18-1)),"-"),"-")</f>
        <v>120.576</v>
      </c>
      <c r="P18" s="80">
        <f>IF(DAY(EOMONTH(O$1,0))&gt;=$B18, 11-COUNTIFS(dataMail!$C:$C,"&lt;&gt;Annulation",dataMail!$G:$G,"&lt;="&amp;(O$1+$B18-1),dataMail!$H:$H,"&gt;"&amp;(O$1+$B18-1)),"-")</f>
        <v>9</v>
      </c>
      <c r="Q18" s="124">
        <f>IF(DAY(EOMONTH(Q$1,0))&gt;=$B18,IFERROR(AVERAGEIFS(dataMail!$P:$P,dataMail!$C:$C,"Confirmation",dataMail!$G:$G,"&lt;="&amp;(Q$1+$B18-1),dataMail!$H:$H,"&gt;"&amp;(Q$1+$B18-1)),"-"),"-")</f>
        <v>256.7485714</v>
      </c>
      <c r="R18" s="80">
        <f>IF(DAY(EOMONTH(Q$1,0))&gt;=$B18, 11-COUNTIFS(dataMail!$C:$C,"&lt;&gt;Annulation",dataMail!$G:$G,"&lt;="&amp;(Q$1+$B18-1),dataMail!$H:$H,"&gt;"&amp;(Q$1+$B18-1)),"-")</f>
        <v>4</v>
      </c>
      <c r="S18" s="124">
        <f>IF(DAY(EOMONTH(S$1,0))&gt;=$B18,IFERROR(AVERAGEIFS(dataMail!$P:$P,dataMail!$C:$C,"Confirmation",dataMail!$G:$G,"&lt;="&amp;(S$1+$B18-1),dataMail!$H:$H,"&gt;"&amp;(S$1+$B18-1)),"-"),"-")</f>
        <v>195.96</v>
      </c>
      <c r="T18" s="80">
        <f>IF(DAY(EOMONTH(S$1,0))&gt;=$B18, 11-COUNTIFS(dataMail!$C:$C,"&lt;&gt;Annulation",dataMail!$G:$G,"&lt;="&amp;(S$1+$B18-1),dataMail!$H:$H,"&gt;"&amp;(S$1+$B18-1)),"-")</f>
        <v>5</v>
      </c>
      <c r="U18" s="124" t="str">
        <f>IF(DAY(EOMONTH(U$1,0))&gt;=$B18,IFERROR(AVERAGEIFS(dataMail!$P:$P,dataMail!$C:$C,"Confirmation",dataMail!$G:$G,"&lt;="&amp;(U$1+$B18-1),dataMail!$H:$H,"&gt;"&amp;(U$1+$B18-1)),"-"),"-")</f>
        <v>-</v>
      </c>
      <c r="V18" s="80">
        <f>IF(DAY(EOMONTH(U$1,0))&gt;=$B18, 11-COUNTIFS(dataMail!$C:$C,"&lt;&gt;Annulation",dataMail!$G:$G,"&lt;="&amp;(U$1+$B18-1),dataMail!$H:$H,"&gt;"&amp;(U$1+$B18-1)),"-")</f>
        <v>11</v>
      </c>
      <c r="W18" s="124" t="str">
        <f>IF(DAY(EOMONTH(W$1,0))&gt;=$B18,IFERROR(AVERAGEIFS(dataMail!$P:$P,dataMail!$C:$C,"Confirmation",dataMail!$G:$G,"&lt;="&amp;(W$1+$B18-1),dataMail!$H:$H,"&gt;"&amp;(W$1+$B18-1)),"-"),"-")</f>
        <v>-</v>
      </c>
      <c r="X18" s="80">
        <f>IF(DAY(EOMONTH(W$1,0))&gt;=$B18, 11-COUNTIFS(dataMail!$C:$C,"&lt;&gt;Annulation",dataMail!$G:$G,"&lt;="&amp;(W$1+$B18-1),dataMail!$H:$H,"&gt;"&amp;(W$1+$B18-1)),"-")</f>
        <v>11</v>
      </c>
      <c r="Y18" s="124">
        <f>IF(DAY(EOMONTH(Y$1,0))&gt;=$B18,IFERROR(AVERAGEIFS(dataMail!$P:$P,dataMail!$C:$C,"Confirmation",dataMail!$G:$G,"&lt;="&amp;(Y$1+$B18-1),dataMail!$H:$H,"&gt;"&amp;(Y$1+$B18-1)),"-"),"-")</f>
        <v>142.384</v>
      </c>
      <c r="Z18" s="80">
        <f>IF(DAY(EOMONTH(Y$1,0))&gt;=$B18, 11-COUNTIFS(dataMail!$C:$C,"&lt;&gt;Annulation",dataMail!$G:$G,"&lt;="&amp;(Y$1+$B18-1),dataMail!$H:$H,"&gt;"&amp;(Y$1+$B18-1)),"-")</f>
        <v>9</v>
      </c>
      <c r="AA18" s="124" t="str">
        <f>IF(DAY(EOMONTH(AA$1,0))&gt;=$B18,IFERROR(AVERAGEIFS(dataMail!$P:$P,dataMail!$C:$C,"Confirmation",dataMail!$G:$G,"&lt;="&amp;(AA$1+$B18-1),dataMail!$H:$H,"&gt;"&amp;(AA$1+$B18-1)),"-"),"-")</f>
        <v>-</v>
      </c>
      <c r="AB18" s="80">
        <f>IF(DAY(EOMONTH(AA$1,0))&gt;=$B18, 11-COUNTIFS(dataMail!$C:$C,"&lt;&gt;Annulation",dataMail!$G:$G,"&lt;="&amp;(AA$1+$B18-1),dataMail!$H:$H,"&gt;"&amp;(AA$1+$B18-1)),"-")</f>
        <v>11</v>
      </c>
      <c r="AC18" s="124" t="str">
        <f>IF(DAY(EOMONTH(AC$1,0))&gt;=$B18,IFERROR(AVERAGEIFS(dataMail!$P:$P,dataMail!$C:$C,"Confirmation",dataMail!$G:$G,"&lt;="&amp;(AC$1+$B18-1),dataMail!$H:$H,"&gt;"&amp;(AC$1+$B18-1)),"-"),"-")</f>
        <v>-</v>
      </c>
      <c r="AD18" s="80">
        <f>IF(DAY(EOMONTH(AC$1,0))&gt;=$B18, 11-COUNTIFS(dataMail!$C:$C,"&lt;&gt;Annulation",dataMail!$G:$G,"&lt;="&amp;(AC$1+$B18-1),dataMail!$H:$H,"&gt;"&amp;(AC$1+$B18-1)),"-")</f>
        <v>11</v>
      </c>
      <c r="AE18" s="124">
        <f>IF(DAY(EOMONTH(AE$1,0))&gt;=$B18,IFERROR(AVERAGEIFS(dataMail!$P:$P,dataMail!$C:$C,"Confirmation",dataMail!$G:$G,"&lt;="&amp;(AE$1+$B18-1),dataMail!$H:$H,"&gt;"&amp;(AE$1+$B18-1)),"-"),"-")</f>
        <v>0</v>
      </c>
      <c r="AF18" s="80">
        <f>IF(DAY(EOMONTH(AE$1,0))&gt;=$B18, 11-COUNTIFS(dataMail!$C:$C,"&lt;&gt;Annulation",dataMail!$G:$G,"&lt;="&amp;(AE$1+$B18-1),dataMail!$H:$H,"&gt;"&amp;(AE$1+$B18-1)),"-")</f>
        <v>10</v>
      </c>
      <c r="AG18" s="124">
        <f>IF(DAY(EOMONTH(AG$1,0))&gt;=$B18,IFERROR(AVERAGEIFS(dataMail!$P:$P,dataMail!$C:$C,"Confirmation",dataMail!$G:$G,"&lt;="&amp;(AG$1+$B18-1),dataMail!$H:$H,"&gt;"&amp;(AG$1+$B18-1)),"-"),"-")</f>
        <v>128.896</v>
      </c>
      <c r="AH18" s="80">
        <f>IF(DAY(EOMONTH(AG$1,0))&gt;=$B18, 11-COUNTIFS(dataMail!$C:$C,"&lt;&gt;Annulation",dataMail!$G:$G,"&lt;="&amp;(AG$1+$B18-1),dataMail!$H:$H,"&gt;"&amp;(AG$1+$B18-1)),"-")</f>
        <v>10</v>
      </c>
    </row>
    <row r="19">
      <c r="A19" s="66"/>
      <c r="B19" s="66">
        <v>9.0</v>
      </c>
      <c r="C19" s="134">
        <f>IF(DAY(EOMONTH(C$1,0))&gt;=$B19,IFERROR(AVERAGEIFS(dataMail!$P:$P,dataMail!$C:$C,"Confirmation",dataMail!$G:$G,"&lt;="&amp;(C$1+$B19-1),dataMail!$H:$H,"&gt;"&amp;(C$1+$B19-1)),"-"),"-")</f>
        <v>146.3083636</v>
      </c>
      <c r="D19" s="80">
        <f>IF(DAY(EOMONTH(C$1,0))&gt;=$B19, 11-COUNTIFS(dataMail!$C:$C,"&lt;&gt;Annulation",dataMail!$G:$G,"&lt;="&amp;(C$1+$B19-1),dataMail!$H:$H,"&gt;"&amp;(C$1+$B19-1)),"-")</f>
        <v>0</v>
      </c>
      <c r="E19" s="82">
        <f>IF(DAY(EOMONTH(E$1,0))&gt;=$B19,IFERROR(AVERAGEIFS(dataMail!$P:$P,dataMail!$C:$C,"Confirmation",dataMail!$G:$G,"&lt;="&amp;(E$1+$B19-1),dataMail!$H:$H,"&gt;"&amp;(E$1+$B19-1)),"-"),"-")</f>
        <v>138.2704</v>
      </c>
      <c r="F19" s="80">
        <f>IF(DAY(EOMONTH(E$1,0))&gt;=$B19, 11-COUNTIFS(dataMail!$C:$C,"&lt;&gt;Annulation",dataMail!$G:$G,"&lt;="&amp;(E$1+$B19-1),dataMail!$H:$H,"&gt;"&amp;(E$1+$B19-1)),"-")</f>
        <v>1</v>
      </c>
      <c r="G19" s="82">
        <f>IF(DAY(EOMONTH(G$1,0))&gt;=$B19,IFERROR(AVERAGEIFS(dataMail!$P:$P,dataMail!$C:$C,"Confirmation",dataMail!$G:$G,"&lt;="&amp;(G$1+$B19-1),dataMail!$H:$H,"&gt;"&amp;(G$1+$B19-1)),"-"),"-")</f>
        <v>105.379</v>
      </c>
      <c r="H19" s="80">
        <f>IF(DAY(EOMONTH(G$1,0))&gt;=$B19, 11-COUNTIFS(dataMail!$C:$C,"&lt;&gt;Annulation",dataMail!$G:$G,"&lt;="&amp;(G$1+$B19-1),dataMail!$H:$H,"&gt;"&amp;(G$1+$B19-1)),"-")</f>
        <v>3</v>
      </c>
      <c r="I19" s="134">
        <f>IF(DAY(EOMONTH(I$1,0))&gt;=$B19,IFERROR(AVERAGEIFS(dataMail!$P:$P,dataMail!$C:$C,"Confirmation",dataMail!$G:$G,"&lt;="&amp;(I$1+$B19-1),dataMail!$H:$H,"&gt;"&amp;(I$1+$B19-1)),"-"),"-")</f>
        <v>115.368</v>
      </c>
      <c r="J19" s="80">
        <f>IF(DAY(EOMONTH(I$1,0))&gt;=$B19, 11-COUNTIFS(dataMail!$C:$C,"&lt;&gt;Annulation",dataMail!$G:$G,"&lt;="&amp;(I$1+$B19-1),dataMail!$H:$H,"&gt;"&amp;(I$1+$B19-1)),"-")</f>
        <v>3</v>
      </c>
      <c r="K19" s="134">
        <f>IF(DAY(EOMONTH(K$1,0))&gt;=$B19,IFERROR(AVERAGEIFS(dataMail!$P:$P,dataMail!$C:$C,"Confirmation",dataMail!$G:$G,"&lt;="&amp;(K$1+$B19-1),dataMail!$H:$H,"&gt;"&amp;(K$1+$B19-1)),"-"),"-")</f>
        <v>154.851</v>
      </c>
      <c r="L19" s="80">
        <f>IF(DAY(EOMONTH(K$1,0))&gt;=$B19, 11-COUNTIFS(dataMail!$C:$C,"&lt;&gt;Annulation",dataMail!$G:$G,"&lt;="&amp;(K$1+$B19-1),dataMail!$H:$H,"&gt;"&amp;(K$1+$B19-1)),"-")</f>
        <v>2</v>
      </c>
      <c r="M19" s="134">
        <f>IF(DAY(EOMONTH(M$1,0))&gt;=$B19,IFERROR(AVERAGEIFS(dataMail!$P:$P,dataMail!$C:$C,"Confirmation",dataMail!$G:$G,"&lt;="&amp;(M$1+$B19-1),dataMail!$H:$H,"&gt;"&amp;(M$1+$B19-1)),"-"),"-")</f>
        <v>134.9936</v>
      </c>
      <c r="N19" s="80">
        <f>IF(DAY(EOMONTH(M$1,0))&gt;=$B19, 11-COUNTIFS(dataMail!$C:$C,"&lt;&gt;Annulation",dataMail!$G:$G,"&lt;="&amp;(M$1+$B19-1),dataMail!$H:$H,"&gt;"&amp;(M$1+$B19-1)),"-")</f>
        <v>5</v>
      </c>
      <c r="O19" s="134">
        <f>IF(DAY(EOMONTH(O$1,0))&gt;=$B19,IFERROR(AVERAGEIFS(dataMail!$P:$P,dataMail!$C:$C,"Confirmation",dataMail!$G:$G,"&lt;="&amp;(O$1+$B19-1),dataMail!$H:$H,"&gt;"&amp;(O$1+$B19-1)),"-"),"-")</f>
        <v>130.682925</v>
      </c>
      <c r="P19" s="80">
        <f>IF(DAY(EOMONTH(O$1,0))&gt;=$B19, 11-COUNTIFS(dataMail!$C:$C,"&lt;&gt;Annulation",dataMail!$G:$G,"&lt;="&amp;(O$1+$B19-1),dataMail!$H:$H,"&gt;"&amp;(O$1+$B19-1)),"-")</f>
        <v>7</v>
      </c>
      <c r="Q19" s="134">
        <f>IF(DAY(EOMONTH(Q$1,0))&gt;=$B19,IFERROR(AVERAGEIFS(dataMail!$P:$P,dataMail!$C:$C,"Confirmation",dataMail!$G:$G,"&lt;="&amp;(Q$1+$B19-1),dataMail!$H:$H,"&gt;"&amp;(Q$1+$B19-1)),"-"),"-")</f>
        <v>185.708</v>
      </c>
      <c r="R19" s="80">
        <f>IF(DAY(EOMONTH(Q$1,0))&gt;=$B19, 11-COUNTIFS(dataMail!$C:$C,"&lt;&gt;Annulation",dataMail!$G:$G,"&lt;="&amp;(Q$1+$B19-1),dataMail!$H:$H,"&gt;"&amp;(Q$1+$B19-1)),"-")</f>
        <v>9</v>
      </c>
      <c r="S19" s="134" t="str">
        <f>IF(DAY(EOMONTH(S$1,0))&gt;=$B19,IFERROR(AVERAGEIFS(dataMail!$P:$P,dataMail!$C:$C,"Confirmation",dataMail!$G:$G,"&lt;="&amp;(S$1+$B19-1),dataMail!$H:$H,"&gt;"&amp;(S$1+$B19-1)),"-"),"-")</f>
        <v>-</v>
      </c>
      <c r="T19" s="80">
        <f>IF(DAY(EOMONTH(S$1,0))&gt;=$B19, 11-COUNTIFS(dataMail!$C:$C,"&lt;&gt;Annulation",dataMail!$G:$G,"&lt;="&amp;(S$1+$B19-1),dataMail!$H:$H,"&gt;"&amp;(S$1+$B19-1)),"-")</f>
        <v>11</v>
      </c>
      <c r="U19" s="134" t="str">
        <f>IF(DAY(EOMONTH(U$1,0))&gt;=$B19,IFERROR(AVERAGEIFS(dataMail!$P:$P,dataMail!$C:$C,"Confirmation",dataMail!$G:$G,"&lt;="&amp;(U$1+$B19-1),dataMail!$H:$H,"&gt;"&amp;(U$1+$B19-1)),"-"),"-")</f>
        <v>-</v>
      </c>
      <c r="V19" s="80">
        <f>IF(DAY(EOMONTH(U$1,0))&gt;=$B19, 11-COUNTIFS(dataMail!$C:$C,"&lt;&gt;Annulation",dataMail!$G:$G,"&lt;="&amp;(U$1+$B19-1),dataMail!$H:$H,"&gt;"&amp;(U$1+$B19-1)),"-")</f>
        <v>11</v>
      </c>
      <c r="W19" s="134" t="str">
        <f>IF(DAY(EOMONTH(W$1,0))&gt;=$B19,IFERROR(AVERAGEIFS(dataMail!$P:$P,dataMail!$C:$C,"Confirmation",dataMail!$G:$G,"&lt;="&amp;(W$1+$B19-1),dataMail!$H:$H,"&gt;"&amp;(W$1+$B19-1)),"-"),"-")</f>
        <v>-</v>
      </c>
      <c r="X19" s="80">
        <f>IF(DAY(EOMONTH(W$1,0))&gt;=$B19, 11-COUNTIFS(dataMail!$C:$C,"&lt;&gt;Annulation",dataMail!$G:$G,"&lt;="&amp;(W$1+$B19-1),dataMail!$H:$H,"&gt;"&amp;(W$1+$B19-1)),"-")</f>
        <v>11</v>
      </c>
      <c r="Y19" s="134">
        <f>IF(DAY(EOMONTH(Y$1,0))&gt;=$B19,IFERROR(AVERAGEIFS(dataMail!$P:$P,dataMail!$C:$C,"Confirmation",dataMail!$G:$G,"&lt;="&amp;(Y$1+$B19-1),dataMail!$H:$H,"&gt;"&amp;(Y$1+$B19-1)),"-"),"-")</f>
        <v>142.384</v>
      </c>
      <c r="Z19" s="80">
        <f>IF(DAY(EOMONTH(Y$1,0))&gt;=$B19, 11-COUNTIFS(dataMail!$C:$C,"&lt;&gt;Annulation",dataMail!$G:$G,"&lt;="&amp;(Y$1+$B19-1),dataMail!$H:$H,"&gt;"&amp;(Y$1+$B19-1)),"-")</f>
        <v>9</v>
      </c>
      <c r="AA19" s="134" t="str">
        <f>IF(DAY(EOMONTH(AA$1,0))&gt;=$B19,IFERROR(AVERAGEIFS(dataMail!$P:$P,dataMail!$C:$C,"Confirmation",dataMail!$G:$G,"&lt;="&amp;(AA$1+$B19-1),dataMail!$H:$H,"&gt;"&amp;(AA$1+$B19-1)),"-"),"-")</f>
        <v>-</v>
      </c>
      <c r="AB19" s="80">
        <f>IF(DAY(EOMONTH(AA$1,0))&gt;=$B19, 11-COUNTIFS(dataMail!$C:$C,"&lt;&gt;Annulation",dataMail!$G:$G,"&lt;="&amp;(AA$1+$B19-1),dataMail!$H:$H,"&gt;"&amp;(AA$1+$B19-1)),"-")</f>
        <v>11</v>
      </c>
      <c r="AC19" s="134" t="str">
        <f>IF(DAY(EOMONTH(AC$1,0))&gt;=$B19,IFERROR(AVERAGEIFS(dataMail!$P:$P,dataMail!$C:$C,"Confirmation",dataMail!$G:$G,"&lt;="&amp;(AC$1+$B19-1),dataMail!$H:$H,"&gt;"&amp;(AC$1+$B19-1)),"-"),"-")</f>
        <v>-</v>
      </c>
      <c r="AD19" s="80">
        <f>IF(DAY(EOMONTH(AC$1,0))&gt;=$B19, 11-COUNTIFS(dataMail!$C:$C,"&lt;&gt;Annulation",dataMail!$G:$G,"&lt;="&amp;(AC$1+$B19-1),dataMail!$H:$H,"&gt;"&amp;(AC$1+$B19-1)),"-")</f>
        <v>11</v>
      </c>
      <c r="AE19" s="134">
        <f>IF(DAY(EOMONTH(AE$1,0))&gt;=$B19,IFERROR(AVERAGEIFS(dataMail!$P:$P,dataMail!$C:$C,"Confirmation",dataMail!$G:$G,"&lt;="&amp;(AE$1+$B19-1),dataMail!$H:$H,"&gt;"&amp;(AE$1+$B19-1)),"-"),"-")</f>
        <v>0</v>
      </c>
      <c r="AF19" s="80">
        <f>IF(DAY(EOMONTH(AE$1,0))&gt;=$B19, 11-COUNTIFS(dataMail!$C:$C,"&lt;&gt;Annulation",dataMail!$G:$G,"&lt;="&amp;(AE$1+$B19-1),dataMail!$H:$H,"&gt;"&amp;(AE$1+$B19-1)),"-")</f>
        <v>10</v>
      </c>
      <c r="AG19" s="134">
        <f>IF(DAY(EOMONTH(AG$1,0))&gt;=$B19,IFERROR(AVERAGEIFS(dataMail!$P:$P,dataMail!$C:$C,"Confirmation",dataMail!$G:$G,"&lt;="&amp;(AG$1+$B19-1),dataMail!$H:$H,"&gt;"&amp;(AG$1+$B19-1)),"-"),"-")</f>
        <v>128.896</v>
      </c>
      <c r="AH19" s="80">
        <f>IF(DAY(EOMONTH(AG$1,0))&gt;=$B19, 11-COUNTIFS(dataMail!$C:$C,"&lt;&gt;Annulation",dataMail!$G:$G,"&lt;="&amp;(AG$1+$B19-1),dataMail!$H:$H,"&gt;"&amp;(AG$1+$B19-1)),"-")</f>
        <v>10</v>
      </c>
    </row>
    <row r="20">
      <c r="A20" s="66"/>
      <c r="B20" s="66">
        <v>10.0</v>
      </c>
      <c r="C20" s="142">
        <f>IF(DAY(EOMONTH(C$1,0))&gt;=$B20,IFERROR(AVERAGEIFS(dataMail!$P:$P,dataMail!$C:$C,"Confirmation",dataMail!$G:$G,"&lt;="&amp;(C$1+$B20-1),dataMail!$H:$H,"&gt;"&amp;(C$1+$B20-1)),"-"),"-")</f>
        <v>157.8603636</v>
      </c>
      <c r="D20" s="80">
        <f>IF(DAY(EOMONTH(C$1,0))&gt;=$B20, 11-COUNTIFS(dataMail!$C:$C,"&lt;&gt;Annulation",dataMail!$G:$G,"&lt;="&amp;(C$1+$B20-1),dataMail!$H:$H,"&gt;"&amp;(C$1+$B20-1)),"-")</f>
        <v>0</v>
      </c>
      <c r="E20" s="82">
        <f>IF(DAY(EOMONTH(E$1,0))&gt;=$B20,IFERROR(AVERAGEIFS(dataMail!$P:$P,dataMail!$C:$C,"Confirmation",dataMail!$G:$G,"&lt;="&amp;(E$1+$B20-1),dataMail!$H:$H,"&gt;"&amp;(E$1+$B20-1)),"-"),"-")</f>
        <v>121.988</v>
      </c>
      <c r="F20" s="80">
        <f>IF(DAY(EOMONTH(E$1,0))&gt;=$B20, 11-COUNTIFS(dataMail!$C:$C,"&lt;&gt;Annulation",dataMail!$G:$G,"&lt;="&amp;(E$1+$B20-1),dataMail!$H:$H,"&gt;"&amp;(E$1+$B20-1)),"-")</f>
        <v>3</v>
      </c>
      <c r="G20" s="82">
        <f>IF(DAY(EOMONTH(G$1,0))&gt;=$B20,IFERROR(AVERAGEIFS(dataMail!$P:$P,dataMail!$C:$C,"Confirmation",dataMail!$G:$G,"&lt;="&amp;(G$1+$B20-1),dataMail!$H:$H,"&gt;"&amp;(G$1+$B20-1)),"-"),"-")</f>
        <v>105.228</v>
      </c>
      <c r="H20" s="80">
        <f>IF(DAY(EOMONTH(G$1,0))&gt;=$B20, 11-COUNTIFS(dataMail!$C:$C,"&lt;&gt;Annulation",dataMail!$G:$G,"&lt;="&amp;(G$1+$B20-1),dataMail!$H:$H,"&gt;"&amp;(G$1+$B20-1)),"-")</f>
        <v>5</v>
      </c>
      <c r="I20" s="142">
        <f>IF(DAY(EOMONTH(I$1,0))&gt;=$B20,IFERROR(AVERAGEIFS(dataMail!$P:$P,dataMail!$C:$C,"Confirmation",dataMail!$G:$G,"&lt;="&amp;(I$1+$B20-1),dataMail!$H:$H,"&gt;"&amp;(I$1+$B20-1)),"-"),"-")</f>
        <v>160.9351111</v>
      </c>
      <c r="J20" s="80">
        <f>IF(DAY(EOMONTH(I$1,0))&gt;=$B20, 11-COUNTIFS(dataMail!$C:$C,"&lt;&gt;Annulation",dataMail!$G:$G,"&lt;="&amp;(I$1+$B20-1),dataMail!$H:$H,"&gt;"&amp;(I$1+$B20-1)),"-")</f>
        <v>2</v>
      </c>
      <c r="K20" s="142">
        <f>IF(DAY(EOMONTH(K$1,0))&gt;=$B20,IFERROR(AVERAGEIFS(dataMail!$P:$P,dataMail!$C:$C,"Confirmation",dataMail!$G:$G,"&lt;="&amp;(K$1+$B20-1),dataMail!$H:$H,"&gt;"&amp;(K$1+$B20-1)),"-"),"-")</f>
        <v>123.5234286</v>
      </c>
      <c r="L20" s="80">
        <f>IF(DAY(EOMONTH(K$1,0))&gt;=$B20, 11-COUNTIFS(dataMail!$C:$C,"&lt;&gt;Annulation",dataMail!$G:$G,"&lt;="&amp;(K$1+$B20-1),dataMail!$H:$H,"&gt;"&amp;(K$1+$B20-1)),"-")</f>
        <v>3</v>
      </c>
      <c r="M20" s="142">
        <f>IF(DAY(EOMONTH(M$1,0))&gt;=$B20,IFERROR(AVERAGEIFS(dataMail!$P:$P,dataMail!$C:$C,"Confirmation",dataMail!$G:$G,"&lt;="&amp;(M$1+$B20-1),dataMail!$H:$H,"&gt;"&amp;(M$1+$B20-1)),"-"),"-")</f>
        <v>144.2788571</v>
      </c>
      <c r="N20" s="80">
        <f>IF(DAY(EOMONTH(M$1,0))&gt;=$B20, 11-COUNTIFS(dataMail!$C:$C,"&lt;&gt;Annulation",dataMail!$G:$G,"&lt;="&amp;(M$1+$B20-1),dataMail!$H:$H,"&gt;"&amp;(M$1+$B20-1)),"-")</f>
        <v>2</v>
      </c>
      <c r="O20" s="142">
        <f>IF(DAY(EOMONTH(O$1,0))&gt;=$B20,IFERROR(AVERAGEIFS(dataMail!$P:$P,dataMail!$C:$C,"Confirmation",dataMail!$G:$G,"&lt;="&amp;(O$1+$B20-1),dataMail!$H:$H,"&gt;"&amp;(O$1+$B20-1)),"-"),"-")</f>
        <v>124.1952833</v>
      </c>
      <c r="P20" s="80">
        <f>IF(DAY(EOMONTH(O$1,0))&gt;=$B20, 11-COUNTIFS(dataMail!$C:$C,"&lt;&gt;Annulation",dataMail!$G:$G,"&lt;="&amp;(O$1+$B20-1),dataMail!$H:$H,"&gt;"&amp;(O$1+$B20-1)),"-")</f>
        <v>5</v>
      </c>
      <c r="Q20" s="142">
        <f>IF(DAY(EOMONTH(Q$1,0))&gt;=$B20,IFERROR(AVERAGEIFS(dataMail!$P:$P,dataMail!$C:$C,"Confirmation",dataMail!$G:$G,"&lt;="&amp;(Q$1+$B20-1),dataMail!$H:$H,"&gt;"&amp;(Q$1+$B20-1)),"-"),"-")</f>
        <v>185.708</v>
      </c>
      <c r="R20" s="80">
        <f>IF(DAY(EOMONTH(Q$1,0))&gt;=$B20, 11-COUNTIFS(dataMail!$C:$C,"&lt;&gt;Annulation",dataMail!$G:$G,"&lt;="&amp;(Q$1+$B20-1),dataMail!$H:$H,"&gt;"&amp;(Q$1+$B20-1)),"-")</f>
        <v>9</v>
      </c>
      <c r="S20" s="142" t="str">
        <f>IF(DAY(EOMONTH(S$1,0))&gt;=$B20,IFERROR(AVERAGEIFS(dataMail!$P:$P,dataMail!$C:$C,"Confirmation",dataMail!$G:$G,"&lt;="&amp;(S$1+$B20-1),dataMail!$H:$H,"&gt;"&amp;(S$1+$B20-1)),"-"),"-")</f>
        <v>-</v>
      </c>
      <c r="T20" s="80">
        <f>IF(DAY(EOMONTH(S$1,0))&gt;=$B20, 11-COUNTIFS(dataMail!$C:$C,"&lt;&gt;Annulation",dataMail!$G:$G,"&lt;="&amp;(S$1+$B20-1),dataMail!$H:$H,"&gt;"&amp;(S$1+$B20-1)),"-")</f>
        <v>11</v>
      </c>
      <c r="U20" s="142" t="str">
        <f>IF(DAY(EOMONTH(U$1,0))&gt;=$B20,IFERROR(AVERAGEIFS(dataMail!$P:$P,dataMail!$C:$C,"Confirmation",dataMail!$G:$G,"&lt;="&amp;(U$1+$B20-1),dataMail!$H:$H,"&gt;"&amp;(U$1+$B20-1)),"-"),"-")</f>
        <v>-</v>
      </c>
      <c r="V20" s="80">
        <f>IF(DAY(EOMONTH(U$1,0))&gt;=$B20, 11-COUNTIFS(dataMail!$C:$C,"&lt;&gt;Annulation",dataMail!$G:$G,"&lt;="&amp;(U$1+$B20-1),dataMail!$H:$H,"&gt;"&amp;(U$1+$B20-1)),"-")</f>
        <v>11</v>
      </c>
      <c r="W20" s="142" t="str">
        <f>IF(DAY(EOMONTH(W$1,0))&gt;=$B20,IFERROR(AVERAGEIFS(dataMail!$P:$P,dataMail!$C:$C,"Confirmation",dataMail!$G:$G,"&lt;="&amp;(W$1+$B20-1),dataMail!$H:$H,"&gt;"&amp;(W$1+$B20-1)),"-"),"-")</f>
        <v>-</v>
      </c>
      <c r="X20" s="80">
        <f>IF(DAY(EOMONTH(W$1,0))&gt;=$B20, 11-COUNTIFS(dataMail!$C:$C,"&lt;&gt;Annulation",dataMail!$G:$G,"&lt;="&amp;(W$1+$B20-1),dataMail!$H:$H,"&gt;"&amp;(W$1+$B20-1)),"-")</f>
        <v>11</v>
      </c>
      <c r="Y20" s="142">
        <f>IF(DAY(EOMONTH(Y$1,0))&gt;=$B20,IFERROR(AVERAGEIFS(dataMail!$P:$P,dataMail!$C:$C,"Confirmation",dataMail!$G:$G,"&lt;="&amp;(Y$1+$B20-1),dataMail!$H:$H,"&gt;"&amp;(Y$1+$B20-1)),"-"),"-")</f>
        <v>142.384</v>
      </c>
      <c r="Z20" s="80">
        <f>IF(DAY(EOMONTH(Y$1,0))&gt;=$B20, 11-COUNTIFS(dataMail!$C:$C,"&lt;&gt;Annulation",dataMail!$G:$G,"&lt;="&amp;(Y$1+$B20-1),dataMail!$H:$H,"&gt;"&amp;(Y$1+$B20-1)),"-")</f>
        <v>9</v>
      </c>
      <c r="AA20" s="142" t="str">
        <f>IF(DAY(EOMONTH(AA$1,0))&gt;=$B20,IFERROR(AVERAGEIFS(dataMail!$P:$P,dataMail!$C:$C,"Confirmation",dataMail!$G:$G,"&lt;="&amp;(AA$1+$B20-1),dataMail!$H:$H,"&gt;"&amp;(AA$1+$B20-1)),"-"),"-")</f>
        <v>-</v>
      </c>
      <c r="AB20" s="80">
        <f>IF(DAY(EOMONTH(AA$1,0))&gt;=$B20, 11-COUNTIFS(dataMail!$C:$C,"&lt;&gt;Annulation",dataMail!$G:$G,"&lt;="&amp;(AA$1+$B20-1),dataMail!$H:$H,"&gt;"&amp;(AA$1+$B20-1)),"-")</f>
        <v>11</v>
      </c>
      <c r="AC20" s="142" t="str">
        <f>IF(DAY(EOMONTH(AC$1,0))&gt;=$B20,IFERROR(AVERAGEIFS(dataMail!$P:$P,dataMail!$C:$C,"Confirmation",dataMail!$G:$G,"&lt;="&amp;(AC$1+$B20-1),dataMail!$H:$H,"&gt;"&amp;(AC$1+$B20-1)),"-"),"-")</f>
        <v>-</v>
      </c>
      <c r="AD20" s="80">
        <f>IF(DAY(EOMONTH(AC$1,0))&gt;=$B20, 11-COUNTIFS(dataMail!$C:$C,"&lt;&gt;Annulation",dataMail!$G:$G,"&lt;="&amp;(AC$1+$B20-1),dataMail!$H:$H,"&gt;"&amp;(AC$1+$B20-1)),"-")</f>
        <v>11</v>
      </c>
      <c r="AE20" s="142" t="str">
        <f>IF(DAY(EOMONTH(AE$1,0))&gt;=$B20,IFERROR(AVERAGEIFS(dataMail!$P:$P,dataMail!$C:$C,"Confirmation",dataMail!$G:$G,"&lt;="&amp;(AE$1+$B20-1),dataMail!$H:$H,"&gt;"&amp;(AE$1+$B20-1)),"-"),"-")</f>
        <v>-</v>
      </c>
      <c r="AF20" s="80">
        <f>IF(DAY(EOMONTH(AE$1,0))&gt;=$B20, 11-COUNTIFS(dataMail!$C:$C,"&lt;&gt;Annulation",dataMail!$G:$G,"&lt;="&amp;(AE$1+$B20-1),dataMail!$H:$H,"&gt;"&amp;(AE$1+$B20-1)),"-")</f>
        <v>11</v>
      </c>
      <c r="AG20" s="142">
        <f>IF(DAY(EOMONTH(AG$1,0))&gt;=$B20,IFERROR(AVERAGEIFS(dataMail!$P:$P,dataMail!$C:$C,"Confirmation",dataMail!$G:$G,"&lt;="&amp;(AG$1+$B20-1),dataMail!$H:$H,"&gt;"&amp;(AG$1+$B20-1)),"-"),"-")</f>
        <v>128.896</v>
      </c>
      <c r="AH20" s="80">
        <f>IF(DAY(EOMONTH(AG$1,0))&gt;=$B20, 11-COUNTIFS(dataMail!$C:$C,"&lt;&gt;Annulation",dataMail!$G:$G,"&lt;="&amp;(AG$1+$B20-1),dataMail!$H:$H,"&gt;"&amp;(AG$1+$B20-1)),"-")</f>
        <v>10</v>
      </c>
    </row>
    <row r="21">
      <c r="A21" s="66"/>
      <c r="B21" s="66">
        <v>11.0</v>
      </c>
      <c r="C21" s="143">
        <f>IF(DAY(EOMONTH(C$1,0))&gt;=$B21,IFERROR(AVERAGEIFS(dataMail!$P:$P,dataMail!$C:$C,"Confirmation",dataMail!$G:$G,"&lt;="&amp;(C$1+$B21-1),dataMail!$H:$H,"&gt;"&amp;(C$1+$B21-1)),"-"),"-")</f>
        <v>124.49048</v>
      </c>
      <c r="D21" s="80">
        <f>IF(DAY(EOMONTH(C$1,0))&gt;=$B21, 11-COUNTIFS(dataMail!$C:$C,"&lt;&gt;Annulation",dataMail!$G:$G,"&lt;="&amp;(C$1+$B21-1),dataMail!$H:$H,"&gt;"&amp;(C$1+$B21-1)),"-")</f>
        <v>1</v>
      </c>
      <c r="E21" s="82">
        <f>IF(DAY(EOMONTH(E$1,0))&gt;=$B21,IFERROR(AVERAGEIFS(dataMail!$P:$P,dataMail!$C:$C,"Confirmation",dataMail!$G:$G,"&lt;="&amp;(E$1+$B21-1),dataMail!$H:$H,"&gt;"&amp;(E$1+$B21-1)),"-"),"-")</f>
        <v>107.0906667</v>
      </c>
      <c r="F21" s="80">
        <f>IF(DAY(EOMONTH(E$1,0))&gt;=$B21, 11-COUNTIFS(dataMail!$C:$C,"&lt;&gt;Annulation",dataMail!$G:$G,"&lt;="&amp;(E$1+$B21-1),dataMail!$H:$H,"&gt;"&amp;(E$1+$B21-1)),"-")</f>
        <v>5</v>
      </c>
      <c r="G21" s="82">
        <f>IF(DAY(EOMONTH(G$1,0))&gt;=$B21,IFERROR(AVERAGEIFS(dataMail!$P:$P,dataMail!$C:$C,"Confirmation",dataMail!$G:$G,"&lt;="&amp;(G$1+$B21-1),dataMail!$H:$H,"&gt;"&amp;(G$1+$B21-1)),"-"),"-")</f>
        <v>101.80817</v>
      </c>
      <c r="H21" s="80">
        <f>IF(DAY(EOMONTH(G$1,0))&gt;=$B21, 11-COUNTIFS(dataMail!$C:$C,"&lt;&gt;Annulation",dataMail!$G:$G,"&lt;="&amp;(G$1+$B21-1),dataMail!$H:$H,"&gt;"&amp;(G$1+$B21-1)),"-")</f>
        <v>1</v>
      </c>
      <c r="I21" s="143">
        <f>IF(DAY(EOMONTH(I$1,0))&gt;=$B21,IFERROR(AVERAGEIFS(dataMail!$P:$P,dataMail!$C:$C,"Confirmation",dataMail!$G:$G,"&lt;="&amp;(I$1+$B21-1),dataMail!$H:$H,"&gt;"&amp;(I$1+$B21-1)),"-"),"-")</f>
        <v>158.96</v>
      </c>
      <c r="J21" s="80">
        <f>IF(DAY(EOMONTH(I$1,0))&gt;=$B21, 11-COUNTIFS(dataMail!$C:$C,"&lt;&gt;Annulation",dataMail!$G:$G,"&lt;="&amp;(I$1+$B21-1),dataMail!$H:$H,"&gt;"&amp;(I$1+$B21-1)),"-")</f>
        <v>2</v>
      </c>
      <c r="K21" s="143">
        <f>IF(DAY(EOMONTH(K$1,0))&gt;=$B21,IFERROR(AVERAGEIFS(dataMail!$P:$P,dataMail!$C:$C,"Confirmation",dataMail!$G:$G,"&lt;="&amp;(K$1+$B21-1),dataMail!$H:$H,"&gt;"&amp;(K$1+$B21-1)),"-"),"-")</f>
        <v>124.9748571</v>
      </c>
      <c r="L21" s="80">
        <f>IF(DAY(EOMONTH(K$1,0))&gt;=$B21, 11-COUNTIFS(dataMail!$C:$C,"&lt;&gt;Annulation",dataMail!$G:$G,"&lt;="&amp;(K$1+$B21-1),dataMail!$H:$H,"&gt;"&amp;(K$1+$B21-1)),"-")</f>
        <v>4</v>
      </c>
      <c r="M21" s="143">
        <f>IF(DAY(EOMONTH(M$1,0))&gt;=$B21,IFERROR(AVERAGEIFS(dataMail!$P:$P,dataMail!$C:$C,"Confirmation",dataMail!$G:$G,"&lt;="&amp;(M$1+$B21-1),dataMail!$H:$H,"&gt;"&amp;(M$1+$B21-1)),"-"),"-")</f>
        <v>147.0306667</v>
      </c>
      <c r="N21" s="80">
        <f>IF(DAY(EOMONTH(M$1,0))&gt;=$B21, 11-COUNTIFS(dataMail!$C:$C,"&lt;&gt;Annulation",dataMail!$G:$G,"&lt;="&amp;(M$1+$B21-1),dataMail!$H:$H,"&gt;"&amp;(M$1+$B21-1)),"-")</f>
        <v>2</v>
      </c>
      <c r="O21" s="143">
        <f>IF(DAY(EOMONTH(O$1,0))&gt;=$B21,IFERROR(AVERAGEIFS(dataMail!$P:$P,dataMail!$C:$C,"Confirmation",dataMail!$G:$G,"&lt;="&amp;(O$1+$B21-1),dataMail!$H:$H,"&gt;"&amp;(O$1+$B21-1)),"-"),"-")</f>
        <v>124.1952833</v>
      </c>
      <c r="P21" s="80">
        <f>IF(DAY(EOMONTH(O$1,0))&gt;=$B21, 11-COUNTIFS(dataMail!$C:$C,"&lt;&gt;Annulation",dataMail!$G:$G,"&lt;="&amp;(O$1+$B21-1),dataMail!$H:$H,"&gt;"&amp;(O$1+$B21-1)),"-")</f>
        <v>5</v>
      </c>
      <c r="Q21" s="143">
        <f>IF(DAY(EOMONTH(Q$1,0))&gt;=$B21,IFERROR(AVERAGEIFS(dataMail!$P:$P,dataMail!$C:$C,"Confirmation",dataMail!$G:$G,"&lt;="&amp;(Q$1+$B21-1),dataMail!$H:$H,"&gt;"&amp;(Q$1+$B21-1)),"-"),"-")</f>
        <v>185.708</v>
      </c>
      <c r="R21" s="80">
        <f>IF(DAY(EOMONTH(Q$1,0))&gt;=$B21, 11-COUNTIFS(dataMail!$C:$C,"&lt;&gt;Annulation",dataMail!$G:$G,"&lt;="&amp;(Q$1+$B21-1),dataMail!$H:$H,"&gt;"&amp;(Q$1+$B21-1)),"-")</f>
        <v>9</v>
      </c>
      <c r="S21" s="143" t="str">
        <f>IF(DAY(EOMONTH(S$1,0))&gt;=$B21,IFERROR(AVERAGEIFS(dataMail!$P:$P,dataMail!$C:$C,"Confirmation",dataMail!$G:$G,"&lt;="&amp;(S$1+$B21-1),dataMail!$H:$H,"&gt;"&amp;(S$1+$B21-1)),"-"),"-")</f>
        <v>-</v>
      </c>
      <c r="T21" s="80">
        <f>IF(DAY(EOMONTH(S$1,0))&gt;=$B21, 11-COUNTIFS(dataMail!$C:$C,"&lt;&gt;Annulation",dataMail!$G:$G,"&lt;="&amp;(S$1+$B21-1),dataMail!$H:$H,"&gt;"&amp;(S$1+$B21-1)),"-")</f>
        <v>11</v>
      </c>
      <c r="U21" s="143">
        <f>IF(DAY(EOMONTH(U$1,0))&gt;=$B21,IFERROR(AVERAGEIFS(dataMail!$P:$P,dataMail!$C:$C,"Confirmation",dataMail!$G:$G,"&lt;="&amp;(U$1+$B21-1),dataMail!$H:$H,"&gt;"&amp;(U$1+$B21-1)),"-"),"-")</f>
        <v>128.352</v>
      </c>
      <c r="V21" s="80">
        <f>IF(DAY(EOMONTH(U$1,0))&gt;=$B21, 11-COUNTIFS(dataMail!$C:$C,"&lt;&gt;Annulation",dataMail!$G:$G,"&lt;="&amp;(U$1+$B21-1),dataMail!$H:$H,"&gt;"&amp;(U$1+$B21-1)),"-")</f>
        <v>8</v>
      </c>
      <c r="W21" s="143">
        <f>IF(DAY(EOMONTH(W$1,0))&gt;=$B21,IFERROR(AVERAGEIFS(dataMail!$P:$P,dataMail!$C:$C,"Confirmation",dataMail!$G:$G,"&lt;="&amp;(W$1+$B21-1),dataMail!$H:$H,"&gt;"&amp;(W$1+$B21-1)),"-"),"-")</f>
        <v>108.528</v>
      </c>
      <c r="X21" s="80">
        <f>IF(DAY(EOMONTH(W$1,0))&gt;=$B21, 11-COUNTIFS(dataMail!$C:$C,"&lt;&gt;Annulation",dataMail!$G:$G,"&lt;="&amp;(W$1+$B21-1),dataMail!$H:$H,"&gt;"&amp;(W$1+$B21-1)),"-")</f>
        <v>10</v>
      </c>
      <c r="Y21" s="143">
        <f>IF(DAY(EOMONTH(Y$1,0))&gt;=$B21,IFERROR(AVERAGEIFS(dataMail!$P:$P,dataMail!$C:$C,"Confirmation",dataMail!$G:$G,"&lt;="&amp;(Y$1+$B21-1),dataMail!$H:$H,"&gt;"&amp;(Y$1+$B21-1)),"-"),"-")</f>
        <v>124.576</v>
      </c>
      <c r="Z21" s="80">
        <f>IF(DAY(EOMONTH(Y$1,0))&gt;=$B21, 11-COUNTIFS(dataMail!$C:$C,"&lt;&gt;Annulation",dataMail!$G:$G,"&lt;="&amp;(Y$1+$B21-1),dataMail!$H:$H,"&gt;"&amp;(Y$1+$B21-1)),"-")</f>
        <v>10</v>
      </c>
      <c r="AA21" s="143" t="str">
        <f>IF(DAY(EOMONTH(AA$1,0))&gt;=$B21,IFERROR(AVERAGEIFS(dataMail!$P:$P,dataMail!$C:$C,"Confirmation",dataMail!$G:$G,"&lt;="&amp;(AA$1+$B21-1),dataMail!$H:$H,"&gt;"&amp;(AA$1+$B21-1)),"-"),"-")</f>
        <v>-</v>
      </c>
      <c r="AB21" s="80">
        <f>IF(DAY(EOMONTH(AA$1,0))&gt;=$B21, 11-COUNTIFS(dataMail!$C:$C,"&lt;&gt;Annulation",dataMail!$G:$G,"&lt;="&amp;(AA$1+$B21-1),dataMail!$H:$H,"&gt;"&amp;(AA$1+$B21-1)),"-")</f>
        <v>11</v>
      </c>
      <c r="AC21" s="143" t="str">
        <f>IF(DAY(EOMONTH(AC$1,0))&gt;=$B21,IFERROR(AVERAGEIFS(dataMail!$P:$P,dataMail!$C:$C,"Confirmation",dataMail!$G:$G,"&lt;="&amp;(AC$1+$B21-1),dataMail!$H:$H,"&gt;"&amp;(AC$1+$B21-1)),"-"),"-")</f>
        <v>-</v>
      </c>
      <c r="AD21" s="80">
        <f>IF(DAY(EOMONTH(AC$1,0))&gt;=$B21, 11-COUNTIFS(dataMail!$C:$C,"&lt;&gt;Annulation",dataMail!$G:$G,"&lt;="&amp;(AC$1+$B21-1),dataMail!$H:$H,"&gt;"&amp;(AC$1+$B21-1)),"-")</f>
        <v>11</v>
      </c>
      <c r="AE21" s="143" t="str">
        <f>IF(DAY(EOMONTH(AE$1,0))&gt;=$B21,IFERROR(AVERAGEIFS(dataMail!$P:$P,dataMail!$C:$C,"Confirmation",dataMail!$G:$G,"&lt;="&amp;(AE$1+$B21-1),dataMail!$H:$H,"&gt;"&amp;(AE$1+$B21-1)),"-"),"-")</f>
        <v>-</v>
      </c>
      <c r="AF21" s="80">
        <f>IF(DAY(EOMONTH(AE$1,0))&gt;=$B21, 11-COUNTIFS(dataMail!$C:$C,"&lt;&gt;Annulation",dataMail!$G:$G,"&lt;="&amp;(AE$1+$B21-1),dataMail!$H:$H,"&gt;"&amp;(AE$1+$B21-1)),"-")</f>
        <v>11</v>
      </c>
      <c r="AG21" s="143">
        <f>IF(DAY(EOMONTH(AG$1,0))&gt;=$B21,IFERROR(AVERAGEIFS(dataMail!$P:$P,dataMail!$C:$C,"Confirmation",dataMail!$G:$G,"&lt;="&amp;(AG$1+$B21-1),dataMail!$H:$H,"&gt;"&amp;(AG$1+$B21-1)),"-"),"-")</f>
        <v>128.896</v>
      </c>
      <c r="AH21" s="80">
        <f>IF(DAY(EOMONTH(AG$1,0))&gt;=$B21, 11-COUNTIFS(dataMail!$C:$C,"&lt;&gt;Annulation",dataMail!$G:$G,"&lt;="&amp;(AG$1+$B21-1),dataMail!$H:$H,"&gt;"&amp;(AG$1+$B21-1)),"-")</f>
        <v>10</v>
      </c>
    </row>
    <row r="22">
      <c r="A22" s="66"/>
      <c r="B22" s="66">
        <v>12.0</v>
      </c>
      <c r="C22" s="144">
        <f>IF(DAY(EOMONTH(C$1,0))&gt;=$B22,IFERROR(AVERAGEIFS(dataMail!$P:$P,dataMail!$C:$C,"Confirmation",dataMail!$G:$G,"&lt;="&amp;(C$1+$B22-1),dataMail!$H:$H,"&gt;"&amp;(C$1+$B22-1)),"-"),"-")</f>
        <v>124.2891</v>
      </c>
      <c r="D22" s="80">
        <f>IF(DAY(EOMONTH(C$1,0))&gt;=$B22, 11-COUNTIFS(dataMail!$C:$C,"&lt;&gt;Annulation",dataMail!$G:$G,"&lt;="&amp;(C$1+$B22-1),dataMail!$H:$H,"&gt;"&amp;(C$1+$B22-1)),"-")</f>
        <v>3</v>
      </c>
      <c r="E22" s="82">
        <f>IF(DAY(EOMONTH(E$1,0))&gt;=$B22,IFERROR(AVERAGEIFS(dataMail!$P:$P,dataMail!$C:$C,"Confirmation",dataMail!$G:$G,"&lt;="&amp;(E$1+$B22-1),dataMail!$H:$H,"&gt;"&amp;(E$1+$B22-1)),"-"),"-")</f>
        <v>108.781</v>
      </c>
      <c r="F22" s="80">
        <f>IF(DAY(EOMONTH(E$1,0))&gt;=$B22, 11-COUNTIFS(dataMail!$C:$C,"&lt;&gt;Annulation",dataMail!$G:$G,"&lt;="&amp;(E$1+$B22-1),dataMail!$H:$H,"&gt;"&amp;(E$1+$B22-1)),"-")</f>
        <v>3</v>
      </c>
      <c r="G22" s="82">
        <f>IF(DAY(EOMONTH(G$1,0))&gt;=$B22,IFERROR(AVERAGEIFS(dataMail!$P:$P,dataMail!$C:$C,"Confirmation",dataMail!$G:$G,"&lt;="&amp;(G$1+$B22-1),dataMail!$H:$H,"&gt;"&amp;(G$1+$B22-1)),"-"),"-")</f>
        <v>118.6167273</v>
      </c>
      <c r="H22" s="80">
        <f>IF(DAY(EOMONTH(G$1,0))&gt;=$B22, 11-COUNTIFS(dataMail!$C:$C,"&lt;&gt;Annulation",dataMail!$G:$G,"&lt;="&amp;(G$1+$B22-1),dataMail!$H:$H,"&gt;"&amp;(G$1+$B22-1)),"-")</f>
        <v>0</v>
      </c>
      <c r="I22" s="144">
        <f>IF(DAY(EOMONTH(I$1,0))&gt;=$B22,IFERROR(AVERAGEIFS(dataMail!$P:$P,dataMail!$C:$C,"Confirmation",dataMail!$G:$G,"&lt;="&amp;(I$1+$B22-1),dataMail!$H:$H,"&gt;"&amp;(I$1+$B22-1)),"-"),"-")</f>
        <v>154.2363636</v>
      </c>
      <c r="J22" s="80">
        <f>IF(DAY(EOMONTH(I$1,0))&gt;=$B22, 11-COUNTIFS(dataMail!$C:$C,"&lt;&gt;Annulation",dataMail!$G:$G,"&lt;="&amp;(I$1+$B22-1),dataMail!$H:$H,"&gt;"&amp;(I$1+$B22-1)),"-")</f>
        <v>0</v>
      </c>
      <c r="K22" s="144">
        <f>IF(DAY(EOMONTH(K$1,0))&gt;=$B22,IFERROR(AVERAGEIFS(dataMail!$P:$P,dataMail!$C:$C,"Confirmation",dataMail!$G:$G,"&lt;="&amp;(K$1+$B22-1),dataMail!$H:$H,"&gt;"&amp;(K$1+$B22-1)),"-"),"-")</f>
        <v>120.6933333</v>
      </c>
      <c r="L22" s="80">
        <f>IF(DAY(EOMONTH(K$1,0))&gt;=$B22, 11-COUNTIFS(dataMail!$C:$C,"&lt;&gt;Annulation",dataMail!$G:$G,"&lt;="&amp;(K$1+$B22-1),dataMail!$H:$H,"&gt;"&amp;(K$1+$B22-1)),"-")</f>
        <v>2</v>
      </c>
      <c r="M22" s="144">
        <f>IF(DAY(EOMONTH(M$1,0))&gt;=$B22,IFERROR(AVERAGEIFS(dataMail!$P:$P,dataMail!$C:$C,"Confirmation",dataMail!$G:$G,"&lt;="&amp;(M$1+$B22-1),dataMail!$H:$H,"&gt;"&amp;(M$1+$B22-1)),"-"),"-")</f>
        <v>178.0306667</v>
      </c>
      <c r="N22" s="80">
        <f>IF(DAY(EOMONTH(M$1,0))&gt;=$B22, 11-COUNTIFS(dataMail!$C:$C,"&lt;&gt;Annulation",dataMail!$G:$G,"&lt;="&amp;(M$1+$B22-1),dataMail!$H:$H,"&gt;"&amp;(M$1+$B22-1)),"-")</f>
        <v>3</v>
      </c>
      <c r="O22" s="144">
        <f>IF(DAY(EOMONTH(O$1,0))&gt;=$B22,IFERROR(AVERAGEIFS(dataMail!$P:$P,dataMail!$C:$C,"Confirmation",dataMail!$G:$G,"&lt;="&amp;(O$1+$B22-1),dataMail!$H:$H,"&gt;"&amp;(O$1+$B22-1)),"-"),"-")</f>
        <v>114.3386667</v>
      </c>
      <c r="P22" s="80">
        <f>IF(DAY(EOMONTH(O$1,0))&gt;=$B22, 11-COUNTIFS(dataMail!$C:$C,"&lt;&gt;Annulation",dataMail!$G:$G,"&lt;="&amp;(O$1+$B22-1),dataMail!$H:$H,"&gt;"&amp;(O$1+$B22-1)),"-")</f>
        <v>8</v>
      </c>
      <c r="Q22" s="144">
        <f>IF(DAY(EOMONTH(Q$1,0))&gt;=$B22,IFERROR(AVERAGEIFS(dataMail!$P:$P,dataMail!$C:$C,"Confirmation",dataMail!$G:$G,"&lt;="&amp;(Q$1+$B22-1),dataMail!$H:$H,"&gt;"&amp;(Q$1+$B22-1)),"-"),"-")</f>
        <v>195.744</v>
      </c>
      <c r="R22" s="80">
        <f>IF(DAY(EOMONTH(Q$1,0))&gt;=$B22, 11-COUNTIFS(dataMail!$C:$C,"&lt;&gt;Annulation",dataMail!$G:$G,"&lt;="&amp;(Q$1+$B22-1),dataMail!$H:$H,"&gt;"&amp;(Q$1+$B22-1)),"-")</f>
        <v>10</v>
      </c>
      <c r="S22" s="144" t="str">
        <f>IF(DAY(EOMONTH(S$1,0))&gt;=$B22,IFERROR(AVERAGEIFS(dataMail!$P:$P,dataMail!$C:$C,"Confirmation",dataMail!$G:$G,"&lt;="&amp;(S$1+$B22-1),dataMail!$H:$H,"&gt;"&amp;(S$1+$B22-1)),"-"),"-")</f>
        <v>-</v>
      </c>
      <c r="T22" s="80">
        <f>IF(DAY(EOMONTH(S$1,0))&gt;=$B22, 11-COUNTIFS(dataMail!$C:$C,"&lt;&gt;Annulation",dataMail!$G:$G,"&lt;="&amp;(S$1+$B22-1),dataMail!$H:$H,"&gt;"&amp;(S$1+$B22-1)),"-")</f>
        <v>11</v>
      </c>
      <c r="U22" s="144">
        <f>IF(DAY(EOMONTH(U$1,0))&gt;=$B22,IFERROR(AVERAGEIFS(dataMail!$P:$P,dataMail!$C:$C,"Confirmation",dataMail!$G:$G,"&lt;="&amp;(U$1+$B22-1),dataMail!$H:$H,"&gt;"&amp;(U$1+$B22-1)),"-"),"-")</f>
        <v>135.368</v>
      </c>
      <c r="V22" s="80">
        <f>IF(DAY(EOMONTH(U$1,0))&gt;=$B22, 11-COUNTIFS(dataMail!$C:$C,"&lt;&gt;Annulation",dataMail!$G:$G,"&lt;="&amp;(U$1+$B22-1),dataMail!$H:$H,"&gt;"&amp;(U$1+$B22-1)),"-")</f>
        <v>7</v>
      </c>
      <c r="W22" s="144">
        <f>IF(DAY(EOMONTH(W$1,0))&gt;=$B22,IFERROR(AVERAGEIFS(dataMail!$P:$P,dataMail!$C:$C,"Confirmation",dataMail!$G:$G,"&lt;="&amp;(W$1+$B22-1),dataMail!$H:$H,"&gt;"&amp;(W$1+$B22-1)),"-"),"-")</f>
        <v>277</v>
      </c>
      <c r="X22" s="80">
        <f>IF(DAY(EOMONTH(W$1,0))&gt;=$B22, 11-COUNTIFS(dataMail!$C:$C,"&lt;&gt;Annulation",dataMail!$G:$G,"&lt;="&amp;(W$1+$B22-1),dataMail!$H:$H,"&gt;"&amp;(W$1+$B22-1)),"-")</f>
        <v>9</v>
      </c>
      <c r="Y22" s="144">
        <f>IF(DAY(EOMONTH(Y$1,0))&gt;=$B22,IFERROR(AVERAGEIFS(dataMail!$P:$P,dataMail!$C:$C,"Confirmation",dataMail!$G:$G,"&lt;="&amp;(Y$1+$B22-1),dataMail!$H:$H,"&gt;"&amp;(Y$1+$B22-1)),"-"),"-")</f>
        <v>124.576</v>
      </c>
      <c r="Z22" s="80">
        <f>IF(DAY(EOMONTH(Y$1,0))&gt;=$B22, 11-COUNTIFS(dataMail!$C:$C,"&lt;&gt;Annulation",dataMail!$G:$G,"&lt;="&amp;(Y$1+$B22-1),dataMail!$H:$H,"&gt;"&amp;(Y$1+$B22-1)),"-")</f>
        <v>10</v>
      </c>
      <c r="AA22" s="144" t="str">
        <f>IF(DAY(EOMONTH(AA$1,0))&gt;=$B22,IFERROR(AVERAGEIFS(dataMail!$P:$P,dataMail!$C:$C,"Confirmation",dataMail!$G:$G,"&lt;="&amp;(AA$1+$B22-1),dataMail!$H:$H,"&gt;"&amp;(AA$1+$B22-1)),"-"),"-")</f>
        <v>-</v>
      </c>
      <c r="AB22" s="80">
        <f>IF(DAY(EOMONTH(AA$1,0))&gt;=$B22, 11-COUNTIFS(dataMail!$C:$C,"&lt;&gt;Annulation",dataMail!$G:$G,"&lt;="&amp;(AA$1+$B22-1),dataMail!$H:$H,"&gt;"&amp;(AA$1+$B22-1)),"-")</f>
        <v>11</v>
      </c>
      <c r="AC22" s="144">
        <f>IF(DAY(EOMONTH(AC$1,0))&gt;=$B22,IFERROR(AVERAGEIFS(dataMail!$P:$P,dataMail!$C:$C,"Confirmation",dataMail!$G:$G,"&lt;="&amp;(AC$1+$B22-1),dataMail!$H:$H,"&gt;"&amp;(AC$1+$B22-1)),"-"),"-")</f>
        <v>89.28</v>
      </c>
      <c r="AD22" s="80">
        <f>IF(DAY(EOMONTH(AC$1,0))&gt;=$B22, 11-COUNTIFS(dataMail!$C:$C,"&lt;&gt;Annulation",dataMail!$G:$G,"&lt;="&amp;(AC$1+$B22-1),dataMail!$H:$H,"&gt;"&amp;(AC$1+$B22-1)),"-")</f>
        <v>10</v>
      </c>
      <c r="AE22" s="144">
        <f>IF(DAY(EOMONTH(AE$1,0))&gt;=$B22,IFERROR(AVERAGEIFS(dataMail!$P:$P,dataMail!$C:$C,"Confirmation",dataMail!$G:$G,"&lt;="&amp;(AE$1+$B22-1),dataMail!$H:$H,"&gt;"&amp;(AE$1+$B22-1)),"-"),"-")</f>
        <v>75.52</v>
      </c>
      <c r="AF22" s="80">
        <f>IF(DAY(EOMONTH(AE$1,0))&gt;=$B22, 11-COUNTIFS(dataMail!$C:$C,"&lt;&gt;Annulation",dataMail!$G:$G,"&lt;="&amp;(AE$1+$B22-1),dataMail!$H:$H,"&gt;"&amp;(AE$1+$B22-1)),"-")</f>
        <v>8</v>
      </c>
      <c r="AG22" s="144" t="str">
        <f>IF(DAY(EOMONTH(AG$1,0))&gt;=$B22,IFERROR(AVERAGEIFS(dataMail!$P:$P,dataMail!$C:$C,"Confirmation",dataMail!$G:$G,"&lt;="&amp;(AG$1+$B22-1),dataMail!$H:$H,"&gt;"&amp;(AG$1+$B22-1)),"-"),"-")</f>
        <v>-</v>
      </c>
      <c r="AH22" s="80">
        <f>IF(DAY(EOMONTH(AG$1,0))&gt;=$B22, 11-COUNTIFS(dataMail!$C:$C,"&lt;&gt;Annulation",dataMail!$G:$G,"&lt;="&amp;(AG$1+$B22-1),dataMail!$H:$H,"&gt;"&amp;(AG$1+$B22-1)),"-")</f>
        <v>11</v>
      </c>
    </row>
    <row r="23">
      <c r="A23" s="66"/>
      <c r="B23" s="66">
        <v>13.0</v>
      </c>
      <c r="C23" s="206">
        <f>IF(DAY(EOMONTH(C$1,0))&gt;=$B23,IFERROR(AVERAGEIFS(dataMail!$P:$P,dataMail!$C:$C,"Confirmation",dataMail!$G:$G,"&lt;="&amp;(C$1+$B23-1),dataMail!$H:$H,"&gt;"&amp;(C$1+$B23-1)),"-"),"-")</f>
        <v>136.9467556</v>
      </c>
      <c r="D23" s="80">
        <f>IF(DAY(EOMONTH(C$1,0))&gt;=$B23, 11-COUNTIFS(dataMail!$C:$C,"&lt;&gt;Annulation",dataMail!$G:$G,"&lt;="&amp;(C$1+$B23-1),dataMail!$H:$H,"&gt;"&amp;(C$1+$B23-1)),"-")</f>
        <v>2</v>
      </c>
      <c r="E23" s="82">
        <f>IF(DAY(EOMONTH(E$1,0))&gt;=$B23,IFERROR(AVERAGEIFS(dataMail!$P:$P,dataMail!$C:$C,"Confirmation",dataMail!$G:$G,"&lt;="&amp;(E$1+$B23-1),dataMail!$H:$H,"&gt;"&amp;(E$1+$B23-1)),"-"),"-")</f>
        <v>106.8217143</v>
      </c>
      <c r="F23" s="80">
        <f>IF(DAY(EOMONTH(E$1,0))&gt;=$B23, 11-COUNTIFS(dataMail!$C:$C,"&lt;&gt;Annulation",dataMail!$G:$G,"&lt;="&amp;(E$1+$B23-1),dataMail!$H:$H,"&gt;"&amp;(E$1+$B23-1)),"-")</f>
        <v>4</v>
      </c>
      <c r="G23" s="82">
        <f>IF(DAY(EOMONTH(G$1,0))&gt;=$B23,IFERROR(AVERAGEIFS(dataMail!$P:$P,dataMail!$C:$C,"Confirmation",dataMail!$G:$G,"&lt;="&amp;(G$1+$B23-1),dataMail!$H:$H,"&gt;"&amp;(G$1+$B23-1)),"-"),"-")</f>
        <v>120.298</v>
      </c>
      <c r="H23" s="80">
        <f>IF(DAY(EOMONTH(G$1,0))&gt;=$B23, 11-COUNTIFS(dataMail!$C:$C,"&lt;&gt;Annulation",dataMail!$G:$G,"&lt;="&amp;(G$1+$B23-1),dataMail!$H:$H,"&gt;"&amp;(G$1+$B23-1)),"-")</f>
        <v>3</v>
      </c>
      <c r="I23" s="206">
        <f>IF(DAY(EOMONTH(I$1,0))&gt;=$B23,IFERROR(AVERAGEIFS(dataMail!$P:$P,dataMail!$C:$C,"Confirmation",dataMail!$G:$G,"&lt;="&amp;(I$1+$B23-1),dataMail!$H:$H,"&gt;"&amp;(I$1+$B23-1)),"-"),"-")</f>
        <v>119.7804444</v>
      </c>
      <c r="J23" s="80">
        <f>IF(DAY(EOMONTH(I$1,0))&gt;=$B23, 11-COUNTIFS(dataMail!$C:$C,"&lt;&gt;Annulation",dataMail!$G:$G,"&lt;="&amp;(I$1+$B23-1),dataMail!$H:$H,"&gt;"&amp;(I$1+$B23-1)),"-")</f>
        <v>2</v>
      </c>
      <c r="K23" s="206">
        <f>IF(DAY(EOMONTH(K$1,0))&gt;=$B23,IFERROR(AVERAGEIFS(dataMail!$P:$P,dataMail!$C:$C,"Confirmation",dataMail!$G:$G,"&lt;="&amp;(K$1+$B23-1),dataMail!$H:$H,"&gt;"&amp;(K$1+$B23-1)),"-"),"-")</f>
        <v>212.50464</v>
      </c>
      <c r="L23" s="80">
        <f>IF(DAY(EOMONTH(K$1,0))&gt;=$B23, 11-COUNTIFS(dataMail!$C:$C,"&lt;&gt;Annulation",dataMail!$G:$G,"&lt;="&amp;(K$1+$B23-1),dataMail!$H:$H,"&gt;"&amp;(K$1+$B23-1)),"-")</f>
        <v>1</v>
      </c>
      <c r="M23" s="206">
        <f>IF(DAY(EOMONTH(M$1,0))&gt;=$B23,IFERROR(AVERAGEIFS(dataMail!$P:$P,dataMail!$C:$C,"Confirmation",dataMail!$G:$G,"&lt;="&amp;(M$1+$B23-1),dataMail!$H:$H,"&gt;"&amp;(M$1+$B23-1)),"-"),"-")</f>
        <v>172.104</v>
      </c>
      <c r="N23" s="80">
        <f>IF(DAY(EOMONTH(M$1,0))&gt;=$B23, 11-COUNTIFS(dataMail!$C:$C,"&lt;&gt;Annulation",dataMail!$G:$G,"&lt;="&amp;(M$1+$B23-1),dataMail!$H:$H,"&gt;"&amp;(M$1+$B23-1)),"-")</f>
        <v>4</v>
      </c>
      <c r="O23" s="206">
        <f>IF(DAY(EOMONTH(O$1,0))&gt;=$B23,IFERROR(AVERAGEIFS(dataMail!$P:$P,dataMail!$C:$C,"Confirmation",dataMail!$G:$G,"&lt;="&amp;(O$1+$B23-1),dataMail!$H:$H,"&gt;"&amp;(O$1+$B23-1)),"-"),"-")</f>
        <v>91.912</v>
      </c>
      <c r="P23" s="80">
        <f>IF(DAY(EOMONTH(O$1,0))&gt;=$B23, 11-COUNTIFS(dataMail!$C:$C,"&lt;&gt;Annulation",dataMail!$G:$G,"&lt;="&amp;(O$1+$B23-1),dataMail!$H:$H,"&gt;"&amp;(O$1+$B23-1)),"-")</f>
        <v>10</v>
      </c>
      <c r="Q23" s="206">
        <f>IF(DAY(EOMONTH(Q$1,0))&gt;=$B23,IFERROR(AVERAGEIFS(dataMail!$P:$P,dataMail!$C:$C,"Confirmation",dataMail!$G:$G,"&lt;="&amp;(Q$1+$B23-1),dataMail!$H:$H,"&gt;"&amp;(Q$1+$B23-1)),"-"),"-")</f>
        <v>195.744</v>
      </c>
      <c r="R23" s="80">
        <f>IF(DAY(EOMONTH(Q$1,0))&gt;=$B23, 11-COUNTIFS(dataMail!$C:$C,"&lt;&gt;Annulation",dataMail!$G:$G,"&lt;="&amp;(Q$1+$B23-1),dataMail!$H:$H,"&gt;"&amp;(Q$1+$B23-1)),"-")</f>
        <v>10</v>
      </c>
      <c r="S23" s="206" t="str">
        <f>IF(DAY(EOMONTH(S$1,0))&gt;=$B23,IFERROR(AVERAGEIFS(dataMail!$P:$P,dataMail!$C:$C,"Confirmation",dataMail!$G:$G,"&lt;="&amp;(S$1+$B23-1),dataMail!$H:$H,"&gt;"&amp;(S$1+$B23-1)),"-"),"-")</f>
        <v>-</v>
      </c>
      <c r="T23" s="80">
        <f>IF(DAY(EOMONTH(S$1,0))&gt;=$B23, 11-COUNTIFS(dataMail!$C:$C,"&lt;&gt;Annulation",dataMail!$G:$G,"&lt;="&amp;(S$1+$B23-1),dataMail!$H:$H,"&gt;"&amp;(S$1+$B23-1)),"-")</f>
        <v>8</v>
      </c>
      <c r="U23" s="206">
        <f>IF(DAY(EOMONTH(U$1,0))&gt;=$B23,IFERROR(AVERAGEIFS(dataMail!$P:$P,dataMail!$C:$C,"Confirmation",dataMail!$G:$G,"&lt;="&amp;(U$1+$B23-1),dataMail!$H:$H,"&gt;"&amp;(U$1+$B23-1)),"-"),"-")</f>
        <v>135.368</v>
      </c>
      <c r="V23" s="80">
        <f>IF(DAY(EOMONTH(U$1,0))&gt;=$B23, 11-COUNTIFS(dataMail!$C:$C,"&lt;&gt;Annulation",dataMail!$G:$G,"&lt;="&amp;(U$1+$B23-1),dataMail!$H:$H,"&gt;"&amp;(U$1+$B23-1)),"-")</f>
        <v>7</v>
      </c>
      <c r="W23" s="206">
        <f>IF(DAY(EOMONTH(W$1,0))&gt;=$B23,IFERROR(AVERAGEIFS(dataMail!$P:$P,dataMail!$C:$C,"Confirmation",dataMail!$G:$G,"&lt;="&amp;(W$1+$B23-1),dataMail!$H:$H,"&gt;"&amp;(W$1+$B23-1)),"-"),"-")</f>
        <v>108.528</v>
      </c>
      <c r="X23" s="80">
        <f>IF(DAY(EOMONTH(W$1,0))&gt;=$B23, 11-COUNTIFS(dataMail!$C:$C,"&lt;&gt;Annulation",dataMail!$G:$G,"&lt;="&amp;(W$1+$B23-1),dataMail!$H:$H,"&gt;"&amp;(W$1+$B23-1)),"-")</f>
        <v>10</v>
      </c>
      <c r="Y23" s="206">
        <f>IF(DAY(EOMONTH(Y$1,0))&gt;=$B23,IFERROR(AVERAGEIFS(dataMail!$P:$P,dataMail!$C:$C,"Confirmation",dataMail!$G:$G,"&lt;="&amp;(Y$1+$B23-1),dataMail!$H:$H,"&gt;"&amp;(Y$1+$B23-1)),"-"),"-")</f>
        <v>124.576</v>
      </c>
      <c r="Z23" s="80">
        <f>IF(DAY(EOMONTH(Y$1,0))&gt;=$B23, 11-COUNTIFS(dataMail!$C:$C,"&lt;&gt;Annulation",dataMail!$G:$G,"&lt;="&amp;(Y$1+$B23-1),dataMail!$H:$H,"&gt;"&amp;(Y$1+$B23-1)),"-")</f>
        <v>10</v>
      </c>
      <c r="AA23" s="206" t="str">
        <f>IF(DAY(EOMONTH(AA$1,0))&gt;=$B23,IFERROR(AVERAGEIFS(dataMail!$P:$P,dataMail!$C:$C,"Confirmation",dataMail!$G:$G,"&lt;="&amp;(AA$1+$B23-1),dataMail!$H:$H,"&gt;"&amp;(AA$1+$B23-1)),"-"),"-")</f>
        <v>-</v>
      </c>
      <c r="AB23" s="80">
        <f>IF(DAY(EOMONTH(AA$1,0))&gt;=$B23, 11-COUNTIFS(dataMail!$C:$C,"&lt;&gt;Annulation",dataMail!$G:$G,"&lt;="&amp;(AA$1+$B23-1),dataMail!$H:$H,"&gt;"&amp;(AA$1+$B23-1)),"-")</f>
        <v>11</v>
      </c>
      <c r="AC23" s="206">
        <f>IF(DAY(EOMONTH(AC$1,0))&gt;=$B23,IFERROR(AVERAGEIFS(dataMail!$P:$P,dataMail!$C:$C,"Confirmation",dataMail!$G:$G,"&lt;="&amp;(AC$1+$B23-1),dataMail!$H:$H,"&gt;"&amp;(AC$1+$B23-1)),"-"),"-")</f>
        <v>89.28</v>
      </c>
      <c r="AD23" s="80">
        <f>IF(DAY(EOMONTH(AC$1,0))&gt;=$B23, 11-COUNTIFS(dataMail!$C:$C,"&lt;&gt;Annulation",dataMail!$G:$G,"&lt;="&amp;(AC$1+$B23-1),dataMail!$H:$H,"&gt;"&amp;(AC$1+$B23-1)),"-")</f>
        <v>10</v>
      </c>
      <c r="AE23" s="206">
        <f>IF(DAY(EOMONTH(AE$1,0))&gt;=$B23,IFERROR(AVERAGEIFS(dataMail!$P:$P,dataMail!$C:$C,"Confirmation",dataMail!$G:$G,"&lt;="&amp;(AE$1+$B23-1),dataMail!$H:$H,"&gt;"&amp;(AE$1+$B23-1)),"-"),"-")</f>
        <v>75.52</v>
      </c>
      <c r="AF23" s="80">
        <f>IF(DAY(EOMONTH(AE$1,0))&gt;=$B23, 11-COUNTIFS(dataMail!$C:$C,"&lt;&gt;Annulation",dataMail!$G:$G,"&lt;="&amp;(AE$1+$B23-1),dataMail!$H:$H,"&gt;"&amp;(AE$1+$B23-1)),"-")</f>
        <v>8</v>
      </c>
      <c r="AG23" s="206" t="str">
        <f>IF(DAY(EOMONTH(AG$1,0))&gt;=$B23,IFERROR(AVERAGEIFS(dataMail!$P:$P,dataMail!$C:$C,"Confirmation",dataMail!$G:$G,"&lt;="&amp;(AG$1+$B23-1),dataMail!$H:$H,"&gt;"&amp;(AG$1+$B23-1)),"-"),"-")</f>
        <v>-</v>
      </c>
      <c r="AH23" s="80">
        <f>IF(DAY(EOMONTH(AG$1,0))&gt;=$B23, 11-COUNTIFS(dataMail!$C:$C,"&lt;&gt;Annulation",dataMail!$G:$G,"&lt;="&amp;(AG$1+$B23-1),dataMail!$H:$H,"&gt;"&amp;(AG$1+$B23-1)),"-")</f>
        <v>11</v>
      </c>
    </row>
    <row r="24">
      <c r="A24" s="66"/>
      <c r="B24" s="66">
        <v>14.0</v>
      </c>
      <c r="C24" s="209">
        <f>IF(DAY(EOMONTH(C$1,0))&gt;=$B24,IFERROR(AVERAGEIFS(dataMail!$P:$P,dataMail!$C:$C,"Confirmation",dataMail!$G:$G,"&lt;="&amp;(C$1+$B24-1),dataMail!$H:$H,"&gt;"&amp;(C$1+$B24-1)),"-"),"-")</f>
        <v>182.2524</v>
      </c>
      <c r="D24" s="80">
        <f>IF(DAY(EOMONTH(C$1,0))&gt;=$B24, 11-COUNTIFS(dataMail!$C:$C,"&lt;&gt;Annulation",dataMail!$G:$G,"&lt;="&amp;(C$1+$B24-1),dataMail!$H:$H,"&gt;"&amp;(C$1+$B24-1)),"-")</f>
        <v>1</v>
      </c>
      <c r="E24" s="82">
        <f>IF(DAY(EOMONTH(E$1,0))&gt;=$B24,IFERROR(AVERAGEIFS(dataMail!$P:$P,dataMail!$C:$C,"Confirmation",dataMail!$G:$G,"&lt;="&amp;(E$1+$B24-1),dataMail!$H:$H,"&gt;"&amp;(E$1+$B24-1)),"-"),"-")</f>
        <v>119.7608889</v>
      </c>
      <c r="F24" s="80">
        <f>IF(DAY(EOMONTH(E$1,0))&gt;=$B24, 11-COUNTIFS(dataMail!$C:$C,"&lt;&gt;Annulation",dataMail!$G:$G,"&lt;="&amp;(E$1+$B24-1),dataMail!$H:$H,"&gt;"&amp;(E$1+$B24-1)),"-")</f>
        <v>2</v>
      </c>
      <c r="G24" s="82">
        <f>IF(DAY(EOMONTH(G$1,0))&gt;=$B24,IFERROR(AVERAGEIFS(dataMail!$P:$P,dataMail!$C:$C,"Confirmation",dataMail!$G:$G,"&lt;="&amp;(G$1+$B24-1),dataMail!$H:$H,"&gt;"&amp;(G$1+$B24-1)),"-"),"-")</f>
        <v>112.348</v>
      </c>
      <c r="H24" s="80">
        <f>IF(DAY(EOMONTH(G$1,0))&gt;=$B24, 11-COUNTIFS(dataMail!$C:$C,"&lt;&gt;Annulation",dataMail!$G:$G,"&lt;="&amp;(G$1+$B24-1),dataMail!$H:$H,"&gt;"&amp;(G$1+$B24-1)),"-")</f>
        <v>1</v>
      </c>
      <c r="I24" s="209">
        <f>IF(DAY(EOMONTH(I$1,0))&gt;=$B24,IFERROR(AVERAGEIFS(dataMail!$P:$P,dataMail!$C:$C,"Confirmation",dataMail!$G:$G,"&lt;="&amp;(I$1+$B24-1),dataMail!$H:$H,"&gt;"&amp;(I$1+$B24-1)),"-"),"-")</f>
        <v>135.2936</v>
      </c>
      <c r="J24" s="80">
        <f>IF(DAY(EOMONTH(I$1,0))&gt;=$B24, 11-COUNTIFS(dataMail!$C:$C,"&lt;&gt;Annulation",dataMail!$G:$G,"&lt;="&amp;(I$1+$B24-1),dataMail!$H:$H,"&gt;"&amp;(I$1+$B24-1)),"-")</f>
        <v>1</v>
      </c>
      <c r="K24" s="209">
        <f>IF(DAY(EOMONTH(K$1,0))&gt;=$B24,IFERROR(AVERAGEIFS(dataMail!$P:$P,dataMail!$C:$C,"Confirmation",dataMail!$G:$G,"&lt;="&amp;(K$1+$B24-1),dataMail!$H:$H,"&gt;"&amp;(K$1+$B24-1)),"-"),"-")</f>
        <v>225.84544</v>
      </c>
      <c r="L24" s="80">
        <f>IF(DAY(EOMONTH(K$1,0))&gt;=$B24, 11-COUNTIFS(dataMail!$C:$C,"&lt;&gt;Annulation",dataMail!$G:$G,"&lt;="&amp;(K$1+$B24-1),dataMail!$H:$H,"&gt;"&amp;(K$1+$B24-1)),"-")</f>
        <v>1</v>
      </c>
      <c r="M24" s="209">
        <f>IF(DAY(EOMONTH(M$1,0))&gt;=$B24,IFERROR(AVERAGEIFS(dataMail!$P:$P,dataMail!$C:$C,"Confirmation",dataMail!$G:$G,"&lt;="&amp;(M$1+$B24-1),dataMail!$H:$H,"&gt;"&amp;(M$1+$B24-1)),"-"),"-")</f>
        <v>151.667</v>
      </c>
      <c r="N24" s="80">
        <f>IF(DAY(EOMONTH(M$1,0))&gt;=$B24, 11-COUNTIFS(dataMail!$C:$C,"&lt;&gt;Annulation",dataMail!$G:$G,"&lt;="&amp;(M$1+$B24-1),dataMail!$H:$H,"&gt;"&amp;(M$1+$B24-1)),"-")</f>
        <v>3</v>
      </c>
      <c r="O24" s="209">
        <f>IF(DAY(EOMONTH(O$1,0))&gt;=$B24,IFERROR(AVERAGEIFS(dataMail!$P:$P,dataMail!$C:$C,"Confirmation",dataMail!$G:$G,"&lt;="&amp;(O$1+$B24-1),dataMail!$H:$H,"&gt;"&amp;(O$1+$B24-1)),"-"),"-")</f>
        <v>173.098</v>
      </c>
      <c r="P24" s="80">
        <f>IF(DAY(EOMONTH(O$1,0))&gt;=$B24, 11-COUNTIFS(dataMail!$C:$C,"&lt;&gt;Annulation",dataMail!$G:$G,"&lt;="&amp;(O$1+$B24-1),dataMail!$H:$H,"&gt;"&amp;(O$1+$B24-1)),"-")</f>
        <v>7</v>
      </c>
      <c r="Q24" s="209">
        <f>IF(DAY(EOMONTH(Q$1,0))&gt;=$B24,IFERROR(AVERAGEIFS(dataMail!$P:$P,dataMail!$C:$C,"Confirmation",dataMail!$G:$G,"&lt;="&amp;(Q$1+$B24-1),dataMail!$H:$H,"&gt;"&amp;(Q$1+$B24-1)),"-"),"-")</f>
        <v>195.744</v>
      </c>
      <c r="R24" s="80">
        <f>IF(DAY(EOMONTH(Q$1,0))&gt;=$B24, 11-COUNTIFS(dataMail!$C:$C,"&lt;&gt;Annulation",dataMail!$G:$G,"&lt;="&amp;(Q$1+$B24-1),dataMail!$H:$H,"&gt;"&amp;(Q$1+$B24-1)),"-")</f>
        <v>10</v>
      </c>
      <c r="S24" s="209" t="str">
        <f>IF(DAY(EOMONTH(S$1,0))&gt;=$B24,IFERROR(AVERAGEIFS(dataMail!$P:$P,dataMail!$C:$C,"Confirmation",dataMail!$G:$G,"&lt;="&amp;(S$1+$B24-1),dataMail!$H:$H,"&gt;"&amp;(S$1+$B24-1)),"-"),"-")</f>
        <v>-</v>
      </c>
      <c r="T24" s="80">
        <f>IF(DAY(EOMONTH(S$1,0))&gt;=$B24, 11-COUNTIFS(dataMail!$C:$C,"&lt;&gt;Annulation",dataMail!$G:$G,"&lt;="&amp;(S$1+$B24-1),dataMail!$H:$H,"&gt;"&amp;(S$1+$B24-1)),"-")</f>
        <v>8</v>
      </c>
      <c r="U24" s="209" t="str">
        <f>IF(DAY(EOMONTH(U$1,0))&gt;=$B24,IFERROR(AVERAGEIFS(dataMail!$P:$P,dataMail!$C:$C,"Confirmation",dataMail!$G:$G,"&lt;="&amp;(U$1+$B24-1),dataMail!$H:$H,"&gt;"&amp;(U$1+$B24-1)),"-"),"-")</f>
        <v>-</v>
      </c>
      <c r="V24" s="80">
        <f>IF(DAY(EOMONTH(U$1,0))&gt;=$B24, 11-COUNTIFS(dataMail!$C:$C,"&lt;&gt;Annulation",dataMail!$G:$G,"&lt;="&amp;(U$1+$B24-1),dataMail!$H:$H,"&gt;"&amp;(U$1+$B24-1)),"-")</f>
        <v>11</v>
      </c>
      <c r="W24" s="209" t="str">
        <f>IF(DAY(EOMONTH(W$1,0))&gt;=$B24,IFERROR(AVERAGEIFS(dataMail!$P:$P,dataMail!$C:$C,"Confirmation",dataMail!$G:$G,"&lt;="&amp;(W$1+$B24-1),dataMail!$H:$H,"&gt;"&amp;(W$1+$B24-1)),"-"),"-")</f>
        <v>-</v>
      </c>
      <c r="X24" s="80">
        <f>IF(DAY(EOMONTH(W$1,0))&gt;=$B24, 11-COUNTIFS(dataMail!$C:$C,"&lt;&gt;Annulation",dataMail!$G:$G,"&lt;="&amp;(W$1+$B24-1),dataMail!$H:$H,"&gt;"&amp;(W$1+$B24-1)),"-")</f>
        <v>11</v>
      </c>
      <c r="Y24" s="209">
        <f>IF(DAY(EOMONTH(Y$1,0))&gt;=$B24,IFERROR(AVERAGEIFS(dataMail!$P:$P,dataMail!$C:$C,"Confirmation",dataMail!$G:$G,"&lt;="&amp;(Y$1+$B24-1),dataMail!$H:$H,"&gt;"&amp;(Y$1+$B24-1)),"-"),"-")</f>
        <v>244.1828571</v>
      </c>
      <c r="Z24" s="80">
        <f>IF(DAY(EOMONTH(Y$1,0))&gt;=$B24, 11-COUNTIFS(dataMail!$C:$C,"&lt;&gt;Annulation",dataMail!$G:$G,"&lt;="&amp;(Y$1+$B24-1),dataMail!$H:$H,"&gt;"&amp;(Y$1+$B24-1)),"-")</f>
        <v>4</v>
      </c>
      <c r="AA24" s="209" t="str">
        <f>IF(DAY(EOMONTH(AA$1,0))&gt;=$B24,IFERROR(AVERAGEIFS(dataMail!$P:$P,dataMail!$C:$C,"Confirmation",dataMail!$G:$G,"&lt;="&amp;(AA$1+$B24-1),dataMail!$H:$H,"&gt;"&amp;(AA$1+$B24-1)),"-"),"-")</f>
        <v>-</v>
      </c>
      <c r="AB24" s="80">
        <f>IF(DAY(EOMONTH(AA$1,0))&gt;=$B24, 11-COUNTIFS(dataMail!$C:$C,"&lt;&gt;Annulation",dataMail!$G:$G,"&lt;="&amp;(AA$1+$B24-1),dataMail!$H:$H,"&gt;"&amp;(AA$1+$B24-1)),"-")</f>
        <v>11</v>
      </c>
      <c r="AC24" s="209">
        <f>IF(DAY(EOMONTH(AC$1,0))&gt;=$B24,IFERROR(AVERAGEIFS(dataMail!$P:$P,dataMail!$C:$C,"Confirmation",dataMail!$G:$G,"&lt;="&amp;(AC$1+$B24-1),dataMail!$H:$H,"&gt;"&amp;(AC$1+$B24-1)),"-"),"-")</f>
        <v>89.28</v>
      </c>
      <c r="AD24" s="80">
        <f>IF(DAY(EOMONTH(AC$1,0))&gt;=$B24, 11-COUNTIFS(dataMail!$C:$C,"&lt;&gt;Annulation",dataMail!$G:$G,"&lt;="&amp;(AC$1+$B24-1),dataMail!$H:$H,"&gt;"&amp;(AC$1+$B24-1)),"-")</f>
        <v>10</v>
      </c>
      <c r="AE24" s="209">
        <f>IF(DAY(EOMONTH(AE$1,0))&gt;=$B24,IFERROR(AVERAGEIFS(dataMail!$P:$P,dataMail!$C:$C,"Confirmation",dataMail!$G:$G,"&lt;="&amp;(AE$1+$B24-1),dataMail!$H:$H,"&gt;"&amp;(AE$1+$B24-1)),"-"),"-")</f>
        <v>75.52</v>
      </c>
      <c r="AF24" s="80">
        <f>IF(DAY(EOMONTH(AE$1,0))&gt;=$B24, 11-COUNTIFS(dataMail!$C:$C,"&lt;&gt;Annulation",dataMail!$G:$G,"&lt;="&amp;(AE$1+$B24-1),dataMail!$H:$H,"&gt;"&amp;(AE$1+$B24-1)),"-")</f>
        <v>8</v>
      </c>
      <c r="AG24" s="209" t="str">
        <f>IF(DAY(EOMONTH(AG$1,0))&gt;=$B24,IFERROR(AVERAGEIFS(dataMail!$P:$P,dataMail!$C:$C,"Confirmation",dataMail!$G:$G,"&lt;="&amp;(AG$1+$B24-1),dataMail!$H:$H,"&gt;"&amp;(AG$1+$B24-1)),"-"),"-")</f>
        <v>-</v>
      </c>
      <c r="AH24" s="80">
        <f>IF(DAY(EOMONTH(AG$1,0))&gt;=$B24, 11-COUNTIFS(dataMail!$C:$C,"&lt;&gt;Annulation",dataMail!$G:$G,"&lt;="&amp;(AG$1+$B24-1),dataMail!$H:$H,"&gt;"&amp;(AG$1+$B24-1)),"-")</f>
        <v>11</v>
      </c>
    </row>
    <row r="25">
      <c r="A25" s="66"/>
      <c r="B25" s="66">
        <v>15.0</v>
      </c>
      <c r="C25" s="213">
        <f>IF(DAY(EOMONTH(C$1,0))&gt;=$B25,IFERROR(AVERAGEIFS(dataMail!$P:$P,dataMail!$C:$C,"Confirmation",dataMail!$G:$G,"&lt;="&amp;(C$1+$B25-1),dataMail!$H:$H,"&gt;"&amp;(C$1+$B25-1)),"-"),"-")</f>
        <v>191.5488</v>
      </c>
      <c r="D25" s="80">
        <f>IF(DAY(EOMONTH(C$1,0))&gt;=$B25, 11-COUNTIFS(dataMail!$C:$C,"&lt;&gt;Annulation",dataMail!$G:$G,"&lt;="&amp;(C$1+$B25-1),dataMail!$H:$H,"&gt;"&amp;(C$1+$B25-1)),"-")</f>
        <v>2</v>
      </c>
      <c r="E25" s="82">
        <f>IF(DAY(EOMONTH(E$1,0))&gt;=$B25,IFERROR(AVERAGEIFS(dataMail!$P:$P,dataMail!$C:$C,"Confirmation",dataMail!$G:$G,"&lt;="&amp;(E$1+$B25-1),dataMail!$H:$H,"&gt;"&amp;(E$1+$B25-1)),"-"),"-")</f>
        <v>123.5724444</v>
      </c>
      <c r="F25" s="80">
        <f>IF(DAY(EOMONTH(E$1,0))&gt;=$B25, 11-COUNTIFS(dataMail!$C:$C,"&lt;&gt;Annulation",dataMail!$G:$G,"&lt;="&amp;(E$1+$B25-1),dataMail!$H:$H,"&gt;"&amp;(E$1+$B25-1)),"-")</f>
        <v>2</v>
      </c>
      <c r="G25" s="82">
        <f>IF(DAY(EOMONTH(G$1,0))&gt;=$B25,IFERROR(AVERAGEIFS(dataMail!$P:$P,dataMail!$C:$C,"Confirmation",dataMail!$G:$G,"&lt;="&amp;(G$1+$B25-1),dataMail!$H:$H,"&gt;"&amp;(G$1+$B25-1)),"-"),"-")</f>
        <v>105.592</v>
      </c>
      <c r="H25" s="80">
        <f>IF(DAY(EOMONTH(G$1,0))&gt;=$B25, 11-COUNTIFS(dataMail!$C:$C,"&lt;&gt;Annulation",dataMail!$G:$G,"&lt;="&amp;(G$1+$B25-1),dataMail!$H:$H,"&gt;"&amp;(G$1+$B25-1)),"-")</f>
        <v>0</v>
      </c>
      <c r="I25" s="213">
        <f>IF(DAY(EOMONTH(I$1,0))&gt;=$B25,IFERROR(AVERAGEIFS(dataMail!$P:$P,dataMail!$C:$C,"Confirmation",dataMail!$G:$G,"&lt;="&amp;(I$1+$B25-1),dataMail!$H:$H,"&gt;"&amp;(I$1+$B25-1)),"-"),"-")</f>
        <v>133.4024</v>
      </c>
      <c r="J25" s="80">
        <f>IF(DAY(EOMONTH(I$1,0))&gt;=$B25, 11-COUNTIFS(dataMail!$C:$C,"&lt;&gt;Annulation",dataMail!$G:$G,"&lt;="&amp;(I$1+$B25-1),dataMail!$H:$H,"&gt;"&amp;(I$1+$B25-1)),"-")</f>
        <v>1</v>
      </c>
      <c r="K25" s="213">
        <f>IF(DAY(EOMONTH(K$1,0))&gt;=$B25,IFERROR(AVERAGEIFS(dataMail!$P:$P,dataMail!$C:$C,"Confirmation",dataMail!$G:$G,"&lt;="&amp;(K$1+$B25-1),dataMail!$H:$H,"&gt;"&amp;(K$1+$B25-1)),"-"),"-")</f>
        <v>279.8586667</v>
      </c>
      <c r="L25" s="80">
        <f>IF(DAY(EOMONTH(K$1,0))&gt;=$B25, 11-COUNTIFS(dataMail!$C:$C,"&lt;&gt;Annulation",dataMail!$G:$G,"&lt;="&amp;(K$1+$B25-1),dataMail!$H:$H,"&gt;"&amp;(K$1+$B25-1)),"-")</f>
        <v>-4</v>
      </c>
      <c r="M25" s="213">
        <f>IF(DAY(EOMONTH(M$1,0))&gt;=$B25,IFERROR(AVERAGEIFS(dataMail!$P:$P,dataMail!$C:$C,"Confirmation",dataMail!$G:$G,"&lt;="&amp;(M$1+$B25-1),dataMail!$H:$H,"&gt;"&amp;(M$1+$B25-1)),"-"),"-")</f>
        <v>205.7497444</v>
      </c>
      <c r="N25" s="80">
        <f>IF(DAY(EOMONTH(M$1,0))&gt;=$B25, 11-COUNTIFS(dataMail!$C:$C,"&lt;&gt;Annulation",dataMail!$G:$G,"&lt;="&amp;(M$1+$B25-1),dataMail!$H:$H,"&gt;"&amp;(M$1+$B25-1)),"-")</f>
        <v>2</v>
      </c>
      <c r="O25" s="213">
        <f>IF(DAY(EOMONTH(O$1,0))&gt;=$B25,IFERROR(AVERAGEIFS(dataMail!$P:$P,dataMail!$C:$C,"Confirmation",dataMail!$G:$G,"&lt;="&amp;(O$1+$B25-1),dataMail!$H:$H,"&gt;"&amp;(O$1+$B25-1)),"-"),"-")</f>
        <v>173.098</v>
      </c>
      <c r="P25" s="80">
        <f>IF(DAY(EOMONTH(O$1,0))&gt;=$B25, 11-COUNTIFS(dataMail!$C:$C,"&lt;&gt;Annulation",dataMail!$G:$G,"&lt;="&amp;(O$1+$B25-1),dataMail!$H:$H,"&gt;"&amp;(O$1+$B25-1)),"-")</f>
        <v>7</v>
      </c>
      <c r="Q25" s="213">
        <f>IF(DAY(EOMONTH(Q$1,0))&gt;=$B25,IFERROR(AVERAGEIFS(dataMail!$P:$P,dataMail!$C:$C,"Confirmation",dataMail!$G:$G,"&lt;="&amp;(Q$1+$B25-1),dataMail!$H:$H,"&gt;"&amp;(Q$1+$B25-1)),"-"),"-")</f>
        <v>152.608</v>
      </c>
      <c r="R25" s="80">
        <f>IF(DAY(EOMONTH(Q$1,0))&gt;=$B25, 11-COUNTIFS(dataMail!$C:$C,"&lt;&gt;Annulation",dataMail!$G:$G,"&lt;="&amp;(Q$1+$B25-1),dataMail!$H:$H,"&gt;"&amp;(Q$1+$B25-1)),"-")</f>
        <v>10</v>
      </c>
      <c r="S25" s="213" t="str">
        <f>IF(DAY(EOMONTH(S$1,0))&gt;=$B25,IFERROR(AVERAGEIFS(dataMail!$P:$P,dataMail!$C:$C,"Confirmation",dataMail!$G:$G,"&lt;="&amp;(S$1+$B25-1),dataMail!$H:$H,"&gt;"&amp;(S$1+$B25-1)),"-"),"-")</f>
        <v>-</v>
      </c>
      <c r="T25" s="80">
        <f>IF(DAY(EOMONTH(S$1,0))&gt;=$B25, 11-COUNTIFS(dataMail!$C:$C,"&lt;&gt;Annulation",dataMail!$G:$G,"&lt;="&amp;(S$1+$B25-1),dataMail!$H:$H,"&gt;"&amp;(S$1+$B25-1)),"-")</f>
        <v>8</v>
      </c>
      <c r="U25" s="213" t="str">
        <f>IF(DAY(EOMONTH(U$1,0))&gt;=$B25,IFERROR(AVERAGEIFS(dataMail!$P:$P,dataMail!$C:$C,"Confirmation",dataMail!$G:$G,"&lt;="&amp;(U$1+$B25-1),dataMail!$H:$H,"&gt;"&amp;(U$1+$B25-1)),"-"),"-")</f>
        <v>-</v>
      </c>
      <c r="V25" s="80">
        <f>IF(DAY(EOMONTH(U$1,0))&gt;=$B25, 11-COUNTIFS(dataMail!$C:$C,"&lt;&gt;Annulation",dataMail!$G:$G,"&lt;="&amp;(U$1+$B25-1),dataMail!$H:$H,"&gt;"&amp;(U$1+$B25-1)),"-")</f>
        <v>11</v>
      </c>
      <c r="W25" s="213" t="str">
        <f>IF(DAY(EOMONTH(W$1,0))&gt;=$B25,IFERROR(AVERAGEIFS(dataMail!$P:$P,dataMail!$C:$C,"Confirmation",dataMail!$G:$G,"&lt;="&amp;(W$1+$B25-1),dataMail!$H:$H,"&gt;"&amp;(W$1+$B25-1)),"-"),"-")</f>
        <v>-</v>
      </c>
      <c r="X25" s="80">
        <f>IF(DAY(EOMONTH(W$1,0))&gt;=$B25, 11-COUNTIFS(dataMail!$C:$C,"&lt;&gt;Annulation",dataMail!$G:$G,"&lt;="&amp;(W$1+$B25-1),dataMail!$H:$H,"&gt;"&amp;(W$1+$B25-1)),"-")</f>
        <v>11</v>
      </c>
      <c r="Y25" s="213">
        <f>IF(DAY(EOMONTH(Y$1,0))&gt;=$B25,IFERROR(AVERAGEIFS(dataMail!$P:$P,dataMail!$C:$C,"Confirmation",dataMail!$G:$G,"&lt;="&amp;(Y$1+$B25-1),dataMail!$H:$H,"&gt;"&amp;(Y$1+$B25-1)),"-"),"-")</f>
        <v>244.1828571</v>
      </c>
      <c r="Z25" s="80">
        <f>IF(DAY(EOMONTH(Y$1,0))&gt;=$B25, 11-COUNTIFS(dataMail!$C:$C,"&lt;&gt;Annulation",dataMail!$G:$G,"&lt;="&amp;(Y$1+$B25-1),dataMail!$H:$H,"&gt;"&amp;(Y$1+$B25-1)),"-")</f>
        <v>4</v>
      </c>
      <c r="AA25" s="213" t="str">
        <f>IF(DAY(EOMONTH(AA$1,0))&gt;=$B25,IFERROR(AVERAGEIFS(dataMail!$P:$P,dataMail!$C:$C,"Confirmation",dataMail!$G:$G,"&lt;="&amp;(AA$1+$B25-1),dataMail!$H:$H,"&gt;"&amp;(AA$1+$B25-1)),"-"),"-")</f>
        <v>-</v>
      </c>
      <c r="AB25" s="80">
        <f>IF(DAY(EOMONTH(AA$1,0))&gt;=$B25, 11-COUNTIFS(dataMail!$C:$C,"&lt;&gt;Annulation",dataMail!$G:$G,"&lt;="&amp;(AA$1+$B25-1),dataMail!$H:$H,"&gt;"&amp;(AA$1+$B25-1)),"-")</f>
        <v>11</v>
      </c>
      <c r="AC25" s="213">
        <f>IF(DAY(EOMONTH(AC$1,0))&gt;=$B25,IFERROR(AVERAGEIFS(dataMail!$P:$P,dataMail!$C:$C,"Confirmation",dataMail!$G:$G,"&lt;="&amp;(AC$1+$B25-1),dataMail!$H:$H,"&gt;"&amp;(AC$1+$B25-1)),"-"),"-")</f>
        <v>89.28</v>
      </c>
      <c r="AD25" s="80">
        <f>IF(DAY(EOMONTH(AC$1,0))&gt;=$B25, 11-COUNTIFS(dataMail!$C:$C,"&lt;&gt;Annulation",dataMail!$G:$G,"&lt;="&amp;(AC$1+$B25-1),dataMail!$H:$H,"&gt;"&amp;(AC$1+$B25-1)),"-")</f>
        <v>10</v>
      </c>
      <c r="AE25" s="213">
        <f>IF(DAY(EOMONTH(AE$1,0))&gt;=$B25,IFERROR(AVERAGEIFS(dataMail!$P:$P,dataMail!$C:$C,"Confirmation",dataMail!$G:$G,"&lt;="&amp;(AE$1+$B25-1),dataMail!$H:$H,"&gt;"&amp;(AE$1+$B25-1)),"-"),"-")</f>
        <v>75.52</v>
      </c>
      <c r="AF25" s="80">
        <f>IF(DAY(EOMONTH(AE$1,0))&gt;=$B25, 11-COUNTIFS(dataMail!$C:$C,"&lt;&gt;Annulation",dataMail!$G:$G,"&lt;="&amp;(AE$1+$B25-1),dataMail!$H:$H,"&gt;"&amp;(AE$1+$B25-1)),"-")</f>
        <v>8</v>
      </c>
      <c r="AG25" s="213" t="str">
        <f>IF(DAY(EOMONTH(AG$1,0))&gt;=$B25,IFERROR(AVERAGEIFS(dataMail!$P:$P,dataMail!$C:$C,"Confirmation",dataMail!$G:$G,"&lt;="&amp;(AG$1+$B25-1),dataMail!$H:$H,"&gt;"&amp;(AG$1+$B25-1)),"-"),"-")</f>
        <v>-</v>
      </c>
      <c r="AH25" s="80">
        <f>IF(DAY(EOMONTH(AG$1,0))&gt;=$B25, 11-COUNTIFS(dataMail!$C:$C,"&lt;&gt;Annulation",dataMail!$G:$G,"&lt;="&amp;(AG$1+$B25-1),dataMail!$H:$H,"&gt;"&amp;(AG$1+$B25-1)),"-")</f>
        <v>11</v>
      </c>
    </row>
    <row r="26">
      <c r="A26" s="66"/>
      <c r="B26" s="66">
        <v>16.0</v>
      </c>
      <c r="C26" s="214">
        <f>IF(DAY(EOMONTH(C$1,0))&gt;=$B26,IFERROR(AVERAGEIFS(dataMail!$P:$P,dataMail!$C:$C,"Confirmation",dataMail!$G:$G,"&lt;="&amp;(C$1+$B26-1),dataMail!$H:$H,"&gt;"&amp;(C$1+$B26-1)),"-"),"-")</f>
        <v>181.44</v>
      </c>
      <c r="D26" s="80">
        <f>IF(DAY(EOMONTH(C$1,0))&gt;=$B26, 11-COUNTIFS(dataMail!$C:$C,"&lt;&gt;Annulation",dataMail!$G:$G,"&lt;="&amp;(C$1+$B26-1),dataMail!$H:$H,"&gt;"&amp;(C$1+$B26-1)),"-")</f>
        <v>3</v>
      </c>
      <c r="E26" s="82">
        <f>IF(DAY(EOMONTH(E$1,0))&gt;=$B26,IFERROR(AVERAGEIFS(dataMail!$P:$P,dataMail!$C:$C,"Confirmation",dataMail!$G:$G,"&lt;="&amp;(E$1+$B26-1),dataMail!$H:$H,"&gt;"&amp;(E$1+$B26-1)),"-"),"-")</f>
        <v>132.8946667</v>
      </c>
      <c r="F26" s="80">
        <f>IF(DAY(EOMONTH(E$1,0))&gt;=$B26, 11-COUNTIFS(dataMail!$C:$C,"&lt;&gt;Annulation",dataMail!$G:$G,"&lt;="&amp;(E$1+$B26-1),dataMail!$H:$H,"&gt;"&amp;(E$1+$B26-1)),"-")</f>
        <v>4</v>
      </c>
      <c r="G26" s="82">
        <f>IF(DAY(EOMONTH(G$1,0))&gt;=$B26,IFERROR(AVERAGEIFS(dataMail!$P:$P,dataMail!$C:$C,"Confirmation",dataMail!$G:$G,"&lt;="&amp;(G$1+$B26-1),dataMail!$H:$H,"&gt;"&amp;(G$1+$B26-1)),"-"),"-")</f>
        <v>136.388</v>
      </c>
      <c r="H26" s="80">
        <f>IF(DAY(EOMONTH(G$1,0))&gt;=$B26, 11-COUNTIFS(dataMail!$C:$C,"&lt;&gt;Annulation",dataMail!$G:$G,"&lt;="&amp;(G$1+$B26-1),dataMail!$H:$H,"&gt;"&amp;(G$1+$B26-1)),"-")</f>
        <v>-1</v>
      </c>
      <c r="I26" s="214">
        <f>IF(DAY(EOMONTH(I$1,0))&gt;=$B26,IFERROR(AVERAGEIFS(dataMail!$P:$P,dataMail!$C:$C,"Confirmation",dataMail!$G:$G,"&lt;="&amp;(I$1+$B26-1),dataMail!$H:$H,"&gt;"&amp;(I$1+$B26-1)),"-"),"-")</f>
        <v>129.028</v>
      </c>
      <c r="J26" s="80">
        <f>IF(DAY(EOMONTH(I$1,0))&gt;=$B26, 11-COUNTIFS(dataMail!$C:$C,"&lt;&gt;Annulation",dataMail!$G:$G,"&lt;="&amp;(I$1+$B26-1),dataMail!$H:$H,"&gt;"&amp;(I$1+$B26-1)),"-")</f>
        <v>3</v>
      </c>
      <c r="K26" s="214">
        <f>IF(DAY(EOMONTH(K$1,0))&gt;=$B26,IFERROR(AVERAGEIFS(dataMail!$P:$P,dataMail!$C:$C,"Confirmation",dataMail!$G:$G,"&lt;="&amp;(K$1+$B26-1),dataMail!$H:$H,"&gt;"&amp;(K$1+$B26-1)),"-"),"-")</f>
        <v>230.0088</v>
      </c>
      <c r="L26" s="80">
        <f>IF(DAY(EOMONTH(K$1,0))&gt;=$B26, 11-COUNTIFS(dataMail!$C:$C,"&lt;&gt;Annulation",dataMail!$G:$G,"&lt;="&amp;(K$1+$B26-1),dataMail!$H:$H,"&gt;"&amp;(K$1+$B26-1)),"-")</f>
        <v>-2</v>
      </c>
      <c r="M26" s="214">
        <f>IF(DAY(EOMONTH(M$1,0))&gt;=$B26,IFERROR(AVERAGEIFS(dataMail!$P:$P,dataMail!$C:$C,"Confirmation",dataMail!$G:$G,"&lt;="&amp;(M$1+$B26-1),dataMail!$H:$H,"&gt;"&amp;(M$1+$B26-1)),"-"),"-")</f>
        <v>176.648</v>
      </c>
      <c r="N26" s="80">
        <f>IF(DAY(EOMONTH(M$1,0))&gt;=$B26, 11-COUNTIFS(dataMail!$C:$C,"&lt;&gt;Annulation",dataMail!$G:$G,"&lt;="&amp;(M$1+$B26-1),dataMail!$H:$H,"&gt;"&amp;(M$1+$B26-1)),"-")</f>
        <v>6</v>
      </c>
      <c r="O26" s="214">
        <f>IF(DAY(EOMONTH(O$1,0))&gt;=$B26,IFERROR(AVERAGEIFS(dataMail!$P:$P,dataMail!$C:$C,"Confirmation",dataMail!$G:$G,"&lt;="&amp;(O$1+$B26-1),dataMail!$H:$H,"&gt;"&amp;(O$1+$B26-1)),"-"),"-")</f>
        <v>184.8</v>
      </c>
      <c r="P26" s="80">
        <f>IF(DAY(EOMONTH(O$1,0))&gt;=$B26, 11-COUNTIFS(dataMail!$C:$C,"&lt;&gt;Annulation",dataMail!$G:$G,"&lt;="&amp;(O$1+$B26-1),dataMail!$H:$H,"&gt;"&amp;(O$1+$B26-1)),"-")</f>
        <v>7</v>
      </c>
      <c r="Q26" s="214">
        <f>IF(DAY(EOMONTH(Q$1,0))&gt;=$B26,IFERROR(AVERAGEIFS(dataMail!$P:$P,dataMail!$C:$C,"Confirmation",dataMail!$G:$G,"&lt;="&amp;(Q$1+$B26-1),dataMail!$H:$H,"&gt;"&amp;(Q$1+$B26-1)),"-"),"-")</f>
        <v>152.608</v>
      </c>
      <c r="R26" s="80">
        <f>IF(DAY(EOMONTH(Q$1,0))&gt;=$B26, 11-COUNTIFS(dataMail!$C:$C,"&lt;&gt;Annulation",dataMail!$G:$G,"&lt;="&amp;(Q$1+$B26-1),dataMail!$H:$H,"&gt;"&amp;(Q$1+$B26-1)),"-")</f>
        <v>10</v>
      </c>
      <c r="S26" s="214" t="str">
        <f>IF(DAY(EOMONTH(S$1,0))&gt;=$B26,IFERROR(AVERAGEIFS(dataMail!$P:$P,dataMail!$C:$C,"Confirmation",dataMail!$G:$G,"&lt;="&amp;(S$1+$B26-1),dataMail!$H:$H,"&gt;"&amp;(S$1+$B26-1)),"-"),"-")</f>
        <v>-</v>
      </c>
      <c r="T26" s="80">
        <f>IF(DAY(EOMONTH(S$1,0))&gt;=$B26, 11-COUNTIFS(dataMail!$C:$C,"&lt;&gt;Annulation",dataMail!$G:$G,"&lt;="&amp;(S$1+$B26-1),dataMail!$H:$H,"&gt;"&amp;(S$1+$B26-1)),"-")</f>
        <v>8</v>
      </c>
      <c r="U26" s="214" t="str">
        <f>IF(DAY(EOMONTH(U$1,0))&gt;=$B26,IFERROR(AVERAGEIFS(dataMail!$P:$P,dataMail!$C:$C,"Confirmation",dataMail!$G:$G,"&lt;="&amp;(U$1+$B26-1),dataMail!$H:$H,"&gt;"&amp;(U$1+$B26-1)),"-"),"-")</f>
        <v>-</v>
      </c>
      <c r="V26" s="80">
        <f>IF(DAY(EOMONTH(U$1,0))&gt;=$B26, 11-COUNTIFS(dataMail!$C:$C,"&lt;&gt;Annulation",dataMail!$G:$G,"&lt;="&amp;(U$1+$B26-1),dataMail!$H:$H,"&gt;"&amp;(U$1+$B26-1)),"-")</f>
        <v>11</v>
      </c>
      <c r="W26" s="214" t="str">
        <f>IF(DAY(EOMONTH(W$1,0))&gt;=$B26,IFERROR(AVERAGEIFS(dataMail!$P:$P,dataMail!$C:$C,"Confirmation",dataMail!$G:$G,"&lt;="&amp;(W$1+$B26-1),dataMail!$H:$H,"&gt;"&amp;(W$1+$B26-1)),"-"),"-")</f>
        <v>-</v>
      </c>
      <c r="X26" s="80">
        <f>IF(DAY(EOMONTH(W$1,0))&gt;=$B26, 11-COUNTIFS(dataMail!$C:$C,"&lt;&gt;Annulation",dataMail!$G:$G,"&lt;="&amp;(W$1+$B26-1),dataMail!$H:$H,"&gt;"&amp;(W$1+$B26-1)),"-")</f>
        <v>11</v>
      </c>
      <c r="Y26" s="214">
        <f>IF(DAY(EOMONTH(Y$1,0))&gt;=$B26,IFERROR(AVERAGEIFS(dataMail!$P:$P,dataMail!$C:$C,"Confirmation",dataMail!$G:$G,"&lt;="&amp;(Y$1+$B26-1),dataMail!$H:$H,"&gt;"&amp;(Y$1+$B26-1)),"-"),"-")</f>
        <v>244.1828571</v>
      </c>
      <c r="Z26" s="80">
        <f>IF(DAY(EOMONTH(Y$1,0))&gt;=$B26, 11-COUNTIFS(dataMail!$C:$C,"&lt;&gt;Annulation",dataMail!$G:$G,"&lt;="&amp;(Y$1+$B26-1),dataMail!$H:$H,"&gt;"&amp;(Y$1+$B26-1)),"-")</f>
        <v>4</v>
      </c>
      <c r="AA26" s="214" t="str">
        <f>IF(DAY(EOMONTH(AA$1,0))&gt;=$B26,IFERROR(AVERAGEIFS(dataMail!$P:$P,dataMail!$C:$C,"Confirmation",dataMail!$G:$G,"&lt;="&amp;(AA$1+$B26-1),dataMail!$H:$H,"&gt;"&amp;(AA$1+$B26-1)),"-"),"-")</f>
        <v>-</v>
      </c>
      <c r="AB26" s="80">
        <f>IF(DAY(EOMONTH(AA$1,0))&gt;=$B26, 11-COUNTIFS(dataMail!$C:$C,"&lt;&gt;Annulation",dataMail!$G:$G,"&lt;="&amp;(AA$1+$B26-1),dataMail!$H:$H,"&gt;"&amp;(AA$1+$B26-1)),"-")</f>
        <v>11</v>
      </c>
      <c r="AC26" s="214">
        <f>IF(DAY(EOMONTH(AC$1,0))&gt;=$B26,IFERROR(AVERAGEIFS(dataMail!$P:$P,dataMail!$C:$C,"Confirmation",dataMail!$G:$G,"&lt;="&amp;(AC$1+$B26-1),dataMail!$H:$H,"&gt;"&amp;(AC$1+$B26-1)),"-"),"-")</f>
        <v>89.28</v>
      </c>
      <c r="AD26" s="80">
        <f>IF(DAY(EOMONTH(AC$1,0))&gt;=$B26, 11-COUNTIFS(dataMail!$C:$C,"&lt;&gt;Annulation",dataMail!$G:$G,"&lt;="&amp;(AC$1+$B26-1),dataMail!$H:$H,"&gt;"&amp;(AC$1+$B26-1)),"-")</f>
        <v>10</v>
      </c>
      <c r="AE26" s="214">
        <f>IF(DAY(EOMONTH(AE$1,0))&gt;=$B26,IFERROR(AVERAGEIFS(dataMail!$P:$P,dataMail!$C:$C,"Confirmation",dataMail!$G:$G,"&lt;="&amp;(AE$1+$B26-1),dataMail!$H:$H,"&gt;"&amp;(AE$1+$B26-1)),"-"),"-")</f>
        <v>75.52</v>
      </c>
      <c r="AF26" s="80">
        <f>IF(DAY(EOMONTH(AE$1,0))&gt;=$B26, 11-COUNTIFS(dataMail!$C:$C,"&lt;&gt;Annulation",dataMail!$G:$G,"&lt;="&amp;(AE$1+$B26-1),dataMail!$H:$H,"&gt;"&amp;(AE$1+$B26-1)),"-")</f>
        <v>8</v>
      </c>
      <c r="AG26" s="214" t="str">
        <f>IF(DAY(EOMONTH(AG$1,0))&gt;=$B26,IFERROR(AVERAGEIFS(dataMail!$P:$P,dataMail!$C:$C,"Confirmation",dataMail!$G:$G,"&lt;="&amp;(AG$1+$B26-1),dataMail!$H:$H,"&gt;"&amp;(AG$1+$B26-1)),"-"),"-")</f>
        <v>-</v>
      </c>
      <c r="AH26" s="80">
        <f>IF(DAY(EOMONTH(AG$1,0))&gt;=$B26, 11-COUNTIFS(dataMail!$C:$C,"&lt;&gt;Annulation",dataMail!$G:$G,"&lt;="&amp;(AG$1+$B26-1),dataMail!$H:$H,"&gt;"&amp;(AG$1+$B26-1)),"-")</f>
        <v>11</v>
      </c>
    </row>
    <row r="27">
      <c r="A27" s="66"/>
      <c r="B27" s="66">
        <v>17.0</v>
      </c>
      <c r="C27" s="217">
        <f>IF(DAY(EOMONTH(C$1,0))&gt;=$B27,IFERROR(AVERAGEIFS(dataMail!$P:$P,dataMail!$C:$C,"Confirmation",dataMail!$G:$G,"&lt;="&amp;(C$1+$B27-1),dataMail!$H:$H,"&gt;"&amp;(C$1+$B27-1)),"-"),"-")</f>
        <v>146.136</v>
      </c>
      <c r="D27" s="80">
        <f>IF(DAY(EOMONTH(C$1,0))&gt;=$B27, 11-COUNTIFS(dataMail!$C:$C,"&lt;&gt;Annulation",dataMail!$G:$G,"&lt;="&amp;(C$1+$B27-1),dataMail!$H:$H,"&gt;"&amp;(C$1+$B27-1)),"-")</f>
        <v>2</v>
      </c>
      <c r="E27" s="82">
        <f>IF(DAY(EOMONTH(E$1,0))&gt;=$B27,IFERROR(AVERAGEIFS(dataMail!$P:$P,dataMail!$C:$C,"Confirmation",dataMail!$G:$G,"&lt;="&amp;(E$1+$B27-1),dataMail!$H:$H,"&gt;"&amp;(E$1+$B27-1)),"-"),"-")</f>
        <v>104.953</v>
      </c>
      <c r="F27" s="80">
        <f>IF(DAY(EOMONTH(E$1,0))&gt;=$B27, 11-COUNTIFS(dataMail!$C:$C,"&lt;&gt;Annulation",dataMail!$G:$G,"&lt;="&amp;(E$1+$B27-1),dataMail!$H:$H,"&gt;"&amp;(E$1+$B27-1)),"-")</f>
        <v>2</v>
      </c>
      <c r="G27" s="82">
        <f>IF(DAY(EOMONTH(G$1,0))&gt;=$B27,IFERROR(AVERAGEIFS(dataMail!$P:$P,dataMail!$C:$C,"Confirmation",dataMail!$G:$G,"&lt;="&amp;(G$1+$B27-1),dataMail!$H:$H,"&gt;"&amp;(G$1+$B27-1)),"-"),"-")</f>
        <v>109.2450909</v>
      </c>
      <c r="H27" s="80">
        <f>IF(DAY(EOMONTH(G$1,0))&gt;=$B27, 11-COUNTIFS(dataMail!$C:$C,"&lt;&gt;Annulation",dataMail!$G:$G,"&lt;="&amp;(G$1+$B27-1),dataMail!$H:$H,"&gt;"&amp;(G$1+$B27-1)),"-")</f>
        <v>0</v>
      </c>
      <c r="I27" s="217">
        <f>IF(DAY(EOMONTH(I$1,0))&gt;=$B27,IFERROR(AVERAGEIFS(dataMail!$P:$P,dataMail!$C:$C,"Confirmation",dataMail!$G:$G,"&lt;="&amp;(I$1+$B27-1),dataMail!$H:$H,"&gt;"&amp;(I$1+$B27-1)),"-"),"-")</f>
        <v>107.9271111</v>
      </c>
      <c r="J27" s="80">
        <f>IF(DAY(EOMONTH(I$1,0))&gt;=$B27, 11-COUNTIFS(dataMail!$C:$C,"&lt;&gt;Annulation",dataMail!$G:$G,"&lt;="&amp;(I$1+$B27-1),dataMail!$H:$H,"&gt;"&amp;(I$1+$B27-1)),"-")</f>
        <v>2</v>
      </c>
      <c r="K27" s="217">
        <f>IF(DAY(EOMONTH(K$1,0))&gt;=$B27,IFERROR(AVERAGEIFS(dataMail!$P:$P,dataMail!$C:$C,"Confirmation",dataMail!$G:$G,"&lt;="&amp;(K$1+$B27-1),dataMail!$H:$H,"&gt;"&amp;(K$1+$B27-1)),"-"),"-")</f>
        <v>182.7528889</v>
      </c>
      <c r="L27" s="80">
        <f>IF(DAY(EOMONTH(K$1,0))&gt;=$B27, 11-COUNTIFS(dataMail!$C:$C,"&lt;&gt;Annulation",dataMail!$G:$G,"&lt;="&amp;(K$1+$B27-1),dataMail!$H:$H,"&gt;"&amp;(K$1+$B27-1)),"-")</f>
        <v>2</v>
      </c>
      <c r="M27" s="217">
        <f>IF(DAY(EOMONTH(M$1,0))&gt;=$B27,IFERROR(AVERAGEIFS(dataMail!$P:$P,dataMail!$C:$C,"Confirmation",dataMail!$G:$G,"&lt;="&amp;(M$1+$B27-1),dataMail!$H:$H,"&gt;"&amp;(M$1+$B27-1)),"-"),"-")</f>
        <v>172.2626667</v>
      </c>
      <c r="N27" s="80">
        <f>IF(DAY(EOMONTH(M$1,0))&gt;=$B27, 11-COUNTIFS(dataMail!$C:$C,"&lt;&gt;Annulation",dataMail!$G:$G,"&lt;="&amp;(M$1+$B27-1),dataMail!$H:$H,"&gt;"&amp;(M$1+$B27-1)),"-")</f>
        <v>5</v>
      </c>
      <c r="O27" s="217">
        <f>IF(DAY(EOMONTH(O$1,0))&gt;=$B27,IFERROR(AVERAGEIFS(dataMail!$P:$P,dataMail!$C:$C,"Confirmation",dataMail!$G:$G,"&lt;="&amp;(O$1+$B27-1),dataMail!$H:$H,"&gt;"&amp;(O$1+$B27-1)),"-"),"-")</f>
        <v>138.72</v>
      </c>
      <c r="P27" s="80">
        <f>IF(DAY(EOMONTH(O$1,0))&gt;=$B27, 11-COUNTIFS(dataMail!$C:$C,"&lt;&gt;Annulation",dataMail!$G:$G,"&lt;="&amp;(O$1+$B27-1),dataMail!$H:$H,"&gt;"&amp;(O$1+$B27-1)),"-")</f>
        <v>10</v>
      </c>
      <c r="Q27" s="217">
        <f>IF(DAY(EOMONTH(Q$1,0))&gt;=$B27,IFERROR(AVERAGEIFS(dataMail!$P:$P,dataMail!$C:$C,"Confirmation",dataMail!$G:$G,"&lt;="&amp;(Q$1+$B27-1),dataMail!$H:$H,"&gt;"&amp;(Q$1+$B27-1)),"-"),"-")</f>
        <v>152.608</v>
      </c>
      <c r="R27" s="80">
        <f>IF(DAY(EOMONTH(Q$1,0))&gt;=$B27, 11-COUNTIFS(dataMail!$C:$C,"&lt;&gt;Annulation",dataMail!$G:$G,"&lt;="&amp;(Q$1+$B27-1),dataMail!$H:$H,"&gt;"&amp;(Q$1+$B27-1)),"-")</f>
        <v>10</v>
      </c>
      <c r="S27" s="217" t="str">
        <f>IF(DAY(EOMONTH(S$1,0))&gt;=$B27,IFERROR(AVERAGEIFS(dataMail!$P:$P,dataMail!$C:$C,"Confirmation",dataMail!$G:$G,"&lt;="&amp;(S$1+$B27-1),dataMail!$H:$H,"&gt;"&amp;(S$1+$B27-1)),"-"),"-")</f>
        <v>-</v>
      </c>
      <c r="T27" s="80">
        <f>IF(DAY(EOMONTH(S$1,0))&gt;=$B27, 11-COUNTIFS(dataMail!$C:$C,"&lt;&gt;Annulation",dataMail!$G:$G,"&lt;="&amp;(S$1+$B27-1),dataMail!$H:$H,"&gt;"&amp;(S$1+$B27-1)),"-")</f>
        <v>8</v>
      </c>
      <c r="U27" s="217" t="str">
        <f>IF(DAY(EOMONTH(U$1,0))&gt;=$B27,IFERROR(AVERAGEIFS(dataMail!$P:$P,dataMail!$C:$C,"Confirmation",dataMail!$G:$G,"&lt;="&amp;(U$1+$B27-1),dataMail!$H:$H,"&gt;"&amp;(U$1+$B27-1)),"-"),"-")</f>
        <v>-</v>
      </c>
      <c r="V27" s="80">
        <f>IF(DAY(EOMONTH(U$1,0))&gt;=$B27, 11-COUNTIFS(dataMail!$C:$C,"&lt;&gt;Annulation",dataMail!$G:$G,"&lt;="&amp;(U$1+$B27-1),dataMail!$H:$H,"&gt;"&amp;(U$1+$B27-1)),"-")</f>
        <v>11</v>
      </c>
      <c r="W27" s="217">
        <f>IF(DAY(EOMONTH(W$1,0))&gt;=$B27,IFERROR(AVERAGEIFS(dataMail!$P:$P,dataMail!$C:$C,"Confirmation",dataMail!$G:$G,"&lt;="&amp;(W$1+$B27-1),dataMail!$H:$H,"&gt;"&amp;(W$1+$B27-1)),"-"),"-")</f>
        <v>139.168</v>
      </c>
      <c r="X27" s="80">
        <f>IF(DAY(EOMONTH(W$1,0))&gt;=$B27, 11-COUNTIFS(dataMail!$C:$C,"&lt;&gt;Annulation",dataMail!$G:$G,"&lt;="&amp;(W$1+$B27-1),dataMail!$H:$H,"&gt;"&amp;(W$1+$B27-1)),"-")</f>
        <v>10</v>
      </c>
      <c r="Y27" s="217">
        <f>IF(DAY(EOMONTH(Y$1,0))&gt;=$B27,IFERROR(AVERAGEIFS(dataMail!$P:$P,dataMail!$C:$C,"Confirmation",dataMail!$G:$G,"&lt;="&amp;(Y$1+$B27-1),dataMail!$H:$H,"&gt;"&amp;(Y$1+$B27-1)),"-"),"-")</f>
        <v>244.1828571</v>
      </c>
      <c r="Z27" s="80">
        <f>IF(DAY(EOMONTH(Y$1,0))&gt;=$B27, 11-COUNTIFS(dataMail!$C:$C,"&lt;&gt;Annulation",dataMail!$G:$G,"&lt;="&amp;(Y$1+$B27-1),dataMail!$H:$H,"&gt;"&amp;(Y$1+$B27-1)),"-")</f>
        <v>4</v>
      </c>
      <c r="AA27" s="217">
        <f>IF(DAY(EOMONTH(AA$1,0))&gt;=$B27,IFERROR(AVERAGEIFS(dataMail!$P:$P,dataMail!$C:$C,"Confirmation",dataMail!$G:$G,"&lt;="&amp;(AA$1+$B27-1),dataMail!$H:$H,"&gt;"&amp;(AA$1+$B27-1)),"-"),"-")</f>
        <v>75.52</v>
      </c>
      <c r="AB27" s="80">
        <f>IF(DAY(EOMONTH(AA$1,0))&gt;=$B27, 11-COUNTIFS(dataMail!$C:$C,"&lt;&gt;Annulation",dataMail!$G:$G,"&lt;="&amp;(AA$1+$B27-1),dataMail!$H:$H,"&gt;"&amp;(AA$1+$B27-1)),"-")</f>
        <v>10</v>
      </c>
      <c r="AC27" s="217">
        <f>IF(DAY(EOMONTH(AC$1,0))&gt;=$B27,IFERROR(AVERAGEIFS(dataMail!$P:$P,dataMail!$C:$C,"Confirmation",dataMail!$G:$G,"&lt;="&amp;(AC$1+$B27-1),dataMail!$H:$H,"&gt;"&amp;(AC$1+$B27-1)),"-"),"-")</f>
        <v>89.28</v>
      </c>
      <c r="AD27" s="80">
        <f>IF(DAY(EOMONTH(AC$1,0))&gt;=$B27, 11-COUNTIFS(dataMail!$C:$C,"&lt;&gt;Annulation",dataMail!$G:$G,"&lt;="&amp;(AC$1+$B27-1),dataMail!$H:$H,"&gt;"&amp;(AC$1+$B27-1)),"-")</f>
        <v>10</v>
      </c>
      <c r="AE27" s="217">
        <f>IF(DAY(EOMONTH(AE$1,0))&gt;=$B27,IFERROR(AVERAGEIFS(dataMail!$P:$P,dataMail!$C:$C,"Confirmation",dataMail!$G:$G,"&lt;="&amp;(AE$1+$B27-1),dataMail!$H:$H,"&gt;"&amp;(AE$1+$B27-1)),"-"),"-")</f>
        <v>75.52</v>
      </c>
      <c r="AF27" s="80">
        <f>IF(DAY(EOMONTH(AE$1,0))&gt;=$B27, 11-COUNTIFS(dataMail!$C:$C,"&lt;&gt;Annulation",dataMail!$G:$G,"&lt;="&amp;(AE$1+$B27-1),dataMail!$H:$H,"&gt;"&amp;(AE$1+$B27-1)),"-")</f>
        <v>8</v>
      </c>
      <c r="AG27" s="217" t="str">
        <f>IF(DAY(EOMONTH(AG$1,0))&gt;=$B27,IFERROR(AVERAGEIFS(dataMail!$P:$P,dataMail!$C:$C,"Confirmation",dataMail!$G:$G,"&lt;="&amp;(AG$1+$B27-1),dataMail!$H:$H,"&gt;"&amp;(AG$1+$B27-1)),"-"),"-")</f>
        <v>-</v>
      </c>
      <c r="AH27" s="80">
        <f>IF(DAY(EOMONTH(AG$1,0))&gt;=$B27, 11-COUNTIFS(dataMail!$C:$C,"&lt;&gt;Annulation",dataMail!$G:$G,"&lt;="&amp;(AG$1+$B27-1),dataMail!$H:$H,"&gt;"&amp;(AG$1+$B27-1)),"-")</f>
        <v>11</v>
      </c>
    </row>
    <row r="28">
      <c r="A28" s="66"/>
      <c r="B28" s="66">
        <v>18.0</v>
      </c>
      <c r="C28" s="219">
        <f>IF(DAY(EOMONTH(C$1,0))&gt;=$B28,IFERROR(AVERAGEIFS(dataMail!$P:$P,dataMail!$C:$C,"Confirmation",dataMail!$G:$G,"&lt;="&amp;(C$1+$B28-1),dataMail!$H:$H,"&gt;"&amp;(C$1+$B28-1)),"-"),"-")</f>
        <v>130.8053333</v>
      </c>
      <c r="D28" s="80">
        <f>IF(DAY(EOMONTH(C$1,0))&gt;=$B28, 11-COUNTIFS(dataMail!$C:$C,"&lt;&gt;Annulation",dataMail!$G:$G,"&lt;="&amp;(C$1+$B28-1),dataMail!$H:$H,"&gt;"&amp;(C$1+$B28-1)),"-")</f>
        <v>2</v>
      </c>
      <c r="E28" s="82">
        <f>IF(DAY(EOMONTH(E$1,0))&gt;=$B28,IFERROR(AVERAGEIFS(dataMail!$P:$P,dataMail!$C:$C,"Confirmation",dataMail!$G:$G,"&lt;="&amp;(E$1+$B28-1),dataMail!$H:$H,"&gt;"&amp;(E$1+$B28-1)),"-"),"-")</f>
        <v>161.8740444</v>
      </c>
      <c r="F28" s="80">
        <f>IF(DAY(EOMONTH(E$1,0))&gt;=$B28, 11-COUNTIFS(dataMail!$C:$C,"&lt;&gt;Annulation",dataMail!$G:$G,"&lt;="&amp;(E$1+$B28-1),dataMail!$H:$H,"&gt;"&amp;(E$1+$B28-1)),"-")</f>
        <v>1</v>
      </c>
      <c r="G28" s="82">
        <f>IF(DAY(EOMONTH(G$1,0))&gt;=$B28,IFERROR(AVERAGEIFS(dataMail!$P:$P,dataMail!$C:$C,"Confirmation",dataMail!$G:$G,"&lt;="&amp;(G$1+$B28-1),dataMail!$H:$H,"&gt;"&amp;(G$1+$B28-1)),"-"),"-")</f>
        <v>69.39377778</v>
      </c>
      <c r="H28" s="80">
        <f>IF(DAY(EOMONTH(G$1,0))&gt;=$B28, 11-COUNTIFS(dataMail!$C:$C,"&lt;&gt;Annulation",dataMail!$G:$G,"&lt;="&amp;(G$1+$B28-1),dataMail!$H:$H,"&gt;"&amp;(G$1+$B28-1)),"-")</f>
        <v>2</v>
      </c>
      <c r="I28" s="219">
        <f>IF(DAY(EOMONTH(I$1,0))&gt;=$B28,IFERROR(AVERAGEIFS(dataMail!$P:$P,dataMail!$C:$C,"Confirmation",dataMail!$G:$G,"&lt;="&amp;(I$1+$B28-1),dataMail!$H:$H,"&gt;"&amp;(I$1+$B28-1)),"-"),"-")</f>
        <v>123.5736</v>
      </c>
      <c r="J28" s="80">
        <f>IF(DAY(EOMONTH(I$1,0))&gt;=$B28, 11-COUNTIFS(dataMail!$C:$C,"&lt;&gt;Annulation",dataMail!$G:$G,"&lt;="&amp;(I$1+$B28-1),dataMail!$H:$H,"&gt;"&amp;(I$1+$B28-1)),"-")</f>
        <v>1</v>
      </c>
      <c r="K28" s="219">
        <f>IF(DAY(EOMONTH(K$1,0))&gt;=$B28,IFERROR(AVERAGEIFS(dataMail!$P:$P,dataMail!$C:$C,"Confirmation",dataMail!$G:$G,"&lt;="&amp;(K$1+$B28-1),dataMail!$H:$H,"&gt;"&amp;(K$1+$B28-1)),"-"),"-")</f>
        <v>149.966</v>
      </c>
      <c r="L28" s="80">
        <f>IF(DAY(EOMONTH(K$1,0))&gt;=$B28, 11-COUNTIFS(dataMail!$C:$C,"&lt;&gt;Annulation",dataMail!$G:$G,"&lt;="&amp;(K$1+$B28-1),dataMail!$H:$H,"&gt;"&amp;(K$1+$B28-1)),"-")</f>
        <v>2</v>
      </c>
      <c r="M28" s="219">
        <f>IF(DAY(EOMONTH(M$1,0))&gt;=$B28,IFERROR(AVERAGEIFS(dataMail!$P:$P,dataMail!$C:$C,"Confirmation",dataMail!$G:$G,"&lt;="&amp;(M$1+$B28-1),dataMail!$H:$H,"&gt;"&amp;(M$1+$B28-1)),"-"),"-")</f>
        <v>126.04</v>
      </c>
      <c r="N28" s="80">
        <f>IF(DAY(EOMONTH(M$1,0))&gt;=$B28, 11-COUNTIFS(dataMail!$C:$C,"&lt;&gt;Annulation",dataMail!$G:$G,"&lt;="&amp;(M$1+$B28-1),dataMail!$H:$H,"&gt;"&amp;(M$1+$B28-1)),"-")</f>
        <v>5</v>
      </c>
      <c r="O28" s="219">
        <f>IF(DAY(EOMONTH(O$1,0))&gt;=$B28,IFERROR(AVERAGEIFS(dataMail!$P:$P,dataMail!$C:$C,"Confirmation",dataMail!$G:$G,"&lt;="&amp;(O$1+$B28-1),dataMail!$H:$H,"&gt;"&amp;(O$1+$B28-1)),"-"),"-")</f>
        <v>138.72</v>
      </c>
      <c r="P28" s="80">
        <f>IF(DAY(EOMONTH(O$1,0))&gt;=$B28, 11-COUNTIFS(dataMail!$C:$C,"&lt;&gt;Annulation",dataMail!$G:$G,"&lt;="&amp;(O$1+$B28-1),dataMail!$H:$H,"&gt;"&amp;(O$1+$B28-1)),"-")</f>
        <v>10</v>
      </c>
      <c r="Q28" s="219" t="str">
        <f>IF(DAY(EOMONTH(Q$1,0))&gt;=$B28,IFERROR(AVERAGEIFS(dataMail!$P:$P,dataMail!$C:$C,"Confirmation",dataMail!$G:$G,"&lt;="&amp;(Q$1+$B28-1),dataMail!$H:$H,"&gt;"&amp;(Q$1+$B28-1)),"-"),"-")</f>
        <v>-</v>
      </c>
      <c r="R28" s="80">
        <f>IF(DAY(EOMONTH(Q$1,0))&gt;=$B28, 11-COUNTIFS(dataMail!$C:$C,"&lt;&gt;Annulation",dataMail!$G:$G,"&lt;="&amp;(Q$1+$B28-1),dataMail!$H:$H,"&gt;"&amp;(Q$1+$B28-1)),"-")</f>
        <v>11</v>
      </c>
      <c r="S28" s="219" t="str">
        <f>IF(DAY(EOMONTH(S$1,0))&gt;=$B28,IFERROR(AVERAGEIFS(dataMail!$P:$P,dataMail!$C:$C,"Confirmation",dataMail!$G:$G,"&lt;="&amp;(S$1+$B28-1),dataMail!$H:$H,"&gt;"&amp;(S$1+$B28-1)),"-"),"-")</f>
        <v>-</v>
      </c>
      <c r="T28" s="80">
        <f>IF(DAY(EOMONTH(S$1,0))&gt;=$B28, 11-COUNTIFS(dataMail!$C:$C,"&lt;&gt;Annulation",dataMail!$G:$G,"&lt;="&amp;(S$1+$B28-1),dataMail!$H:$H,"&gt;"&amp;(S$1+$B28-1)),"-")</f>
        <v>8</v>
      </c>
      <c r="U28" s="219" t="str">
        <f>IF(DAY(EOMONTH(U$1,0))&gt;=$B28,IFERROR(AVERAGEIFS(dataMail!$P:$P,dataMail!$C:$C,"Confirmation",dataMail!$G:$G,"&lt;="&amp;(U$1+$B28-1),dataMail!$H:$H,"&gt;"&amp;(U$1+$B28-1)),"-"),"-")</f>
        <v>-</v>
      </c>
      <c r="V28" s="80">
        <f>IF(DAY(EOMONTH(U$1,0))&gt;=$B28, 11-COUNTIFS(dataMail!$C:$C,"&lt;&gt;Annulation",dataMail!$G:$G,"&lt;="&amp;(U$1+$B28-1),dataMail!$H:$H,"&gt;"&amp;(U$1+$B28-1)),"-")</f>
        <v>11</v>
      </c>
      <c r="W28" s="219">
        <f>IF(DAY(EOMONTH(W$1,0))&gt;=$B28,IFERROR(AVERAGEIFS(dataMail!$P:$P,dataMail!$C:$C,"Confirmation",dataMail!$G:$G,"&lt;="&amp;(W$1+$B28-1),dataMail!$H:$H,"&gt;"&amp;(W$1+$B28-1)),"-"),"-")</f>
        <v>139.168</v>
      </c>
      <c r="X28" s="80">
        <f>IF(DAY(EOMONTH(W$1,0))&gt;=$B28, 11-COUNTIFS(dataMail!$C:$C,"&lt;&gt;Annulation",dataMail!$G:$G,"&lt;="&amp;(W$1+$B28-1),dataMail!$H:$H,"&gt;"&amp;(W$1+$B28-1)),"-")</f>
        <v>10</v>
      </c>
      <c r="Y28" s="219" t="str">
        <f>IF(DAY(EOMONTH(Y$1,0))&gt;=$B28,IFERROR(AVERAGEIFS(dataMail!$P:$P,dataMail!$C:$C,"Confirmation",dataMail!$G:$G,"&lt;="&amp;(Y$1+$B28-1),dataMail!$H:$H,"&gt;"&amp;(Y$1+$B28-1)),"-"),"-")</f>
        <v>-</v>
      </c>
      <c r="Z28" s="80">
        <f>IF(DAY(EOMONTH(Y$1,0))&gt;=$B28, 11-COUNTIFS(dataMail!$C:$C,"&lt;&gt;Annulation",dataMail!$G:$G,"&lt;="&amp;(Y$1+$B28-1),dataMail!$H:$H,"&gt;"&amp;(Y$1+$B28-1)),"-")</f>
        <v>11</v>
      </c>
      <c r="AA28" s="219">
        <f>IF(DAY(EOMONTH(AA$1,0))&gt;=$B28,IFERROR(AVERAGEIFS(dataMail!$P:$P,dataMail!$C:$C,"Confirmation",dataMail!$G:$G,"&lt;="&amp;(AA$1+$B28-1),dataMail!$H:$H,"&gt;"&amp;(AA$1+$B28-1)),"-"),"-")</f>
        <v>75.52</v>
      </c>
      <c r="AB28" s="80">
        <f>IF(DAY(EOMONTH(AA$1,0))&gt;=$B28, 11-COUNTIFS(dataMail!$C:$C,"&lt;&gt;Annulation",dataMail!$G:$G,"&lt;="&amp;(AA$1+$B28-1),dataMail!$H:$H,"&gt;"&amp;(AA$1+$B28-1)),"-")</f>
        <v>10</v>
      </c>
      <c r="AC28" s="219" t="str">
        <f>IF(DAY(EOMONTH(AC$1,0))&gt;=$B28,IFERROR(AVERAGEIFS(dataMail!$P:$P,dataMail!$C:$C,"Confirmation",dataMail!$G:$G,"&lt;="&amp;(AC$1+$B28-1),dataMail!$H:$H,"&gt;"&amp;(AC$1+$B28-1)),"-"),"-")</f>
        <v>-</v>
      </c>
      <c r="AD28" s="80">
        <f>IF(DAY(EOMONTH(AC$1,0))&gt;=$B28, 11-COUNTIFS(dataMail!$C:$C,"&lt;&gt;Annulation",dataMail!$G:$G,"&lt;="&amp;(AC$1+$B28-1),dataMail!$H:$H,"&gt;"&amp;(AC$1+$B28-1)),"-")</f>
        <v>11</v>
      </c>
      <c r="AE28" s="219">
        <f>IF(DAY(EOMONTH(AE$1,0))&gt;=$B28,IFERROR(AVERAGEIFS(dataMail!$P:$P,dataMail!$C:$C,"Confirmation",dataMail!$G:$G,"&lt;="&amp;(AE$1+$B28-1),dataMail!$H:$H,"&gt;"&amp;(AE$1+$B28-1)),"-"),"-")</f>
        <v>75.52</v>
      </c>
      <c r="AF28" s="80">
        <f>IF(DAY(EOMONTH(AE$1,0))&gt;=$B28, 11-COUNTIFS(dataMail!$C:$C,"&lt;&gt;Annulation",dataMail!$G:$G,"&lt;="&amp;(AE$1+$B28-1),dataMail!$H:$H,"&gt;"&amp;(AE$1+$B28-1)),"-")</f>
        <v>8</v>
      </c>
      <c r="AG28" s="219" t="str">
        <f>IF(DAY(EOMONTH(AG$1,0))&gt;=$B28,IFERROR(AVERAGEIFS(dataMail!$P:$P,dataMail!$C:$C,"Confirmation",dataMail!$G:$G,"&lt;="&amp;(AG$1+$B28-1),dataMail!$H:$H,"&gt;"&amp;(AG$1+$B28-1)),"-"),"-")</f>
        <v>-</v>
      </c>
      <c r="AH28" s="80">
        <f>IF(DAY(EOMONTH(AG$1,0))&gt;=$B28, 11-COUNTIFS(dataMail!$C:$C,"&lt;&gt;Annulation",dataMail!$G:$G,"&lt;="&amp;(AG$1+$B28-1),dataMail!$H:$H,"&gt;"&amp;(AG$1+$B28-1)),"-")</f>
        <v>11</v>
      </c>
    </row>
    <row r="29">
      <c r="A29" s="66"/>
      <c r="B29" s="66">
        <v>19.0</v>
      </c>
      <c r="C29" s="209">
        <f>IF(DAY(EOMONTH(C$1,0))&gt;=$B29,IFERROR(AVERAGEIFS(dataMail!$P:$P,dataMail!$C:$C,"Confirmation",dataMail!$G:$G,"&lt;="&amp;(C$1+$B29-1),dataMail!$H:$H,"&gt;"&amp;(C$1+$B29-1)),"-"),"-")</f>
        <v>112.6631111</v>
      </c>
      <c r="D29" s="80">
        <f>IF(DAY(EOMONTH(C$1,0))&gt;=$B29, 11-COUNTIFS(dataMail!$C:$C,"&lt;&gt;Annulation",dataMail!$G:$G,"&lt;="&amp;(C$1+$B29-1),dataMail!$H:$H,"&gt;"&amp;(C$1+$B29-1)),"-")</f>
        <v>2</v>
      </c>
      <c r="E29" s="82">
        <f>IF(DAY(EOMONTH(E$1,0))&gt;=$B29,IFERROR(AVERAGEIFS(dataMail!$P:$P,dataMail!$C:$C,"Confirmation",dataMail!$G:$G,"&lt;="&amp;(E$1+$B29-1),dataMail!$H:$H,"&gt;"&amp;(E$1+$B29-1)),"-"),"-")</f>
        <v>126.7008</v>
      </c>
      <c r="F29" s="80">
        <f>IF(DAY(EOMONTH(E$1,0))&gt;=$B29, 11-COUNTIFS(dataMail!$C:$C,"&lt;&gt;Annulation",dataMail!$G:$G,"&lt;="&amp;(E$1+$B29-1),dataMail!$H:$H,"&gt;"&amp;(E$1+$B29-1)),"-")</f>
        <v>1</v>
      </c>
      <c r="G29" s="82">
        <f>IF(DAY(EOMONTH(G$1,0))&gt;=$B29,IFERROR(AVERAGEIFS(dataMail!$P:$P,dataMail!$C:$C,"Confirmation",dataMail!$G:$G,"&lt;="&amp;(G$1+$B29-1),dataMail!$H:$H,"&gt;"&amp;(G$1+$B29-1)),"-"),"-")</f>
        <v>84.04266667</v>
      </c>
      <c r="H29" s="80">
        <f>IF(DAY(EOMONTH(G$1,0))&gt;=$B29, 11-COUNTIFS(dataMail!$C:$C,"&lt;&gt;Annulation",dataMail!$G:$G,"&lt;="&amp;(G$1+$B29-1),dataMail!$H:$H,"&gt;"&amp;(G$1+$B29-1)),"-")</f>
        <v>2</v>
      </c>
      <c r="I29" s="209">
        <f>IF(DAY(EOMONTH(I$1,0))&gt;=$B29,IFERROR(AVERAGEIFS(dataMail!$P:$P,dataMail!$C:$C,"Confirmation",dataMail!$G:$G,"&lt;="&amp;(I$1+$B29-1),dataMail!$H:$H,"&gt;"&amp;(I$1+$B29-1)),"-"),"-")</f>
        <v>138.2058182</v>
      </c>
      <c r="J29" s="80">
        <f>IF(DAY(EOMONTH(I$1,0))&gt;=$B29, 11-COUNTIFS(dataMail!$C:$C,"&lt;&gt;Annulation",dataMail!$G:$G,"&lt;="&amp;(I$1+$B29-1),dataMail!$H:$H,"&gt;"&amp;(I$1+$B29-1)),"-")</f>
        <v>0</v>
      </c>
      <c r="K29" s="209">
        <f>IF(DAY(EOMONTH(K$1,0))&gt;=$B29,IFERROR(AVERAGEIFS(dataMail!$P:$P,dataMail!$C:$C,"Confirmation",dataMail!$G:$G,"&lt;="&amp;(K$1+$B29-1),dataMail!$H:$H,"&gt;"&amp;(K$1+$B29-1)),"-"),"-")</f>
        <v>115.1794286</v>
      </c>
      <c r="L29" s="80">
        <f>IF(DAY(EOMONTH(K$1,0))&gt;=$B29, 11-COUNTIFS(dataMail!$C:$C,"&lt;&gt;Annulation",dataMail!$G:$G,"&lt;="&amp;(K$1+$B29-1),dataMail!$H:$H,"&gt;"&amp;(K$1+$B29-1)),"-")</f>
        <v>3</v>
      </c>
      <c r="M29" s="209">
        <f>IF(DAY(EOMONTH(M$1,0))&gt;=$B29,IFERROR(AVERAGEIFS(dataMail!$P:$P,dataMail!$C:$C,"Confirmation",dataMail!$G:$G,"&lt;="&amp;(M$1+$B29-1),dataMail!$H:$H,"&gt;"&amp;(M$1+$B29-1)),"-"),"-")</f>
        <v>181.0408889</v>
      </c>
      <c r="N29" s="80">
        <f>IF(DAY(EOMONTH(M$1,0))&gt;=$B29, 11-COUNTIFS(dataMail!$C:$C,"&lt;&gt;Annulation",dataMail!$G:$G,"&lt;="&amp;(M$1+$B29-1),dataMail!$H:$H,"&gt;"&amp;(M$1+$B29-1)),"-")</f>
        <v>1</v>
      </c>
      <c r="O29" s="209" t="str">
        <f>IF(DAY(EOMONTH(O$1,0))&gt;=$B29,IFERROR(AVERAGEIFS(dataMail!$P:$P,dataMail!$C:$C,"Confirmation",dataMail!$G:$G,"&lt;="&amp;(O$1+$B29-1),dataMail!$H:$H,"&gt;"&amp;(O$1+$B29-1)),"-"),"-")</f>
        <v>-</v>
      </c>
      <c r="P29" s="80">
        <f>IF(DAY(EOMONTH(O$1,0))&gt;=$B29, 11-COUNTIFS(dataMail!$C:$C,"&lt;&gt;Annulation",dataMail!$G:$G,"&lt;="&amp;(O$1+$B29-1),dataMail!$H:$H,"&gt;"&amp;(O$1+$B29-1)),"-")</f>
        <v>11</v>
      </c>
      <c r="Q29" s="209">
        <f>IF(DAY(EOMONTH(Q$1,0))&gt;=$B29,IFERROR(AVERAGEIFS(dataMail!$P:$P,dataMail!$C:$C,"Confirmation",dataMail!$G:$G,"&lt;="&amp;(Q$1+$B29-1),dataMail!$H:$H,"&gt;"&amp;(Q$1+$B29-1)),"-"),"-")</f>
        <v>140.448</v>
      </c>
      <c r="R29" s="80">
        <f>IF(DAY(EOMONTH(Q$1,0))&gt;=$B29, 11-COUNTIFS(dataMail!$C:$C,"&lt;&gt;Annulation",dataMail!$G:$G,"&lt;="&amp;(Q$1+$B29-1),dataMail!$H:$H,"&gt;"&amp;(Q$1+$B29-1)),"-")</f>
        <v>10</v>
      </c>
      <c r="S29" s="209" t="str">
        <f>IF(DAY(EOMONTH(S$1,0))&gt;=$B29,IFERROR(AVERAGEIFS(dataMail!$P:$P,dataMail!$C:$C,"Confirmation",dataMail!$G:$G,"&lt;="&amp;(S$1+$B29-1),dataMail!$H:$H,"&gt;"&amp;(S$1+$B29-1)),"-"),"-")</f>
        <v>-</v>
      </c>
      <c r="T29" s="80">
        <f>IF(DAY(EOMONTH(S$1,0))&gt;=$B29, 11-COUNTIFS(dataMail!$C:$C,"&lt;&gt;Annulation",dataMail!$G:$G,"&lt;="&amp;(S$1+$B29-1),dataMail!$H:$H,"&gt;"&amp;(S$1+$B29-1)),"-")</f>
        <v>8</v>
      </c>
      <c r="U29" s="209" t="str">
        <f>IF(DAY(EOMONTH(U$1,0))&gt;=$B29,IFERROR(AVERAGEIFS(dataMail!$P:$P,dataMail!$C:$C,"Confirmation",dataMail!$G:$G,"&lt;="&amp;(U$1+$B29-1),dataMail!$H:$H,"&gt;"&amp;(U$1+$B29-1)),"-"),"-")</f>
        <v>-</v>
      </c>
      <c r="V29" s="80">
        <f>IF(DAY(EOMONTH(U$1,0))&gt;=$B29, 11-COUNTIFS(dataMail!$C:$C,"&lt;&gt;Annulation",dataMail!$G:$G,"&lt;="&amp;(U$1+$B29-1),dataMail!$H:$H,"&gt;"&amp;(U$1+$B29-1)),"-")</f>
        <v>11</v>
      </c>
      <c r="W29" s="209">
        <f>IF(DAY(EOMONTH(W$1,0))&gt;=$B29,IFERROR(AVERAGEIFS(dataMail!$P:$P,dataMail!$C:$C,"Confirmation",dataMail!$G:$G,"&lt;="&amp;(W$1+$B29-1),dataMail!$H:$H,"&gt;"&amp;(W$1+$B29-1)),"-"),"-")</f>
        <v>139.168</v>
      </c>
      <c r="X29" s="80">
        <f>IF(DAY(EOMONTH(W$1,0))&gt;=$B29, 11-COUNTIFS(dataMail!$C:$C,"&lt;&gt;Annulation",dataMail!$G:$G,"&lt;="&amp;(W$1+$B29-1),dataMail!$H:$H,"&gt;"&amp;(W$1+$B29-1)),"-")</f>
        <v>10</v>
      </c>
      <c r="Y29" s="209" t="str">
        <f>IF(DAY(EOMONTH(Y$1,0))&gt;=$B29,IFERROR(AVERAGEIFS(dataMail!$P:$P,dataMail!$C:$C,"Confirmation",dataMail!$G:$G,"&lt;="&amp;(Y$1+$B29-1),dataMail!$H:$H,"&gt;"&amp;(Y$1+$B29-1)),"-"),"-")</f>
        <v>-</v>
      </c>
      <c r="Z29" s="80">
        <f>IF(DAY(EOMONTH(Y$1,0))&gt;=$B29, 11-COUNTIFS(dataMail!$C:$C,"&lt;&gt;Annulation",dataMail!$G:$G,"&lt;="&amp;(Y$1+$B29-1),dataMail!$H:$H,"&gt;"&amp;(Y$1+$B29-1)),"-")</f>
        <v>11</v>
      </c>
      <c r="AA29" s="209">
        <f>IF(DAY(EOMONTH(AA$1,0))&gt;=$B29,IFERROR(AVERAGEIFS(dataMail!$P:$P,dataMail!$C:$C,"Confirmation",dataMail!$G:$G,"&lt;="&amp;(AA$1+$B29-1),dataMail!$H:$H,"&gt;"&amp;(AA$1+$B29-1)),"-"),"-")</f>
        <v>75.52</v>
      </c>
      <c r="AB29" s="80">
        <f>IF(DAY(EOMONTH(AA$1,0))&gt;=$B29, 11-COUNTIFS(dataMail!$C:$C,"&lt;&gt;Annulation",dataMail!$G:$G,"&lt;="&amp;(AA$1+$B29-1),dataMail!$H:$H,"&gt;"&amp;(AA$1+$B29-1)),"-")</f>
        <v>10</v>
      </c>
      <c r="AC29" s="209" t="str">
        <f>IF(DAY(EOMONTH(AC$1,0))&gt;=$B29,IFERROR(AVERAGEIFS(dataMail!$P:$P,dataMail!$C:$C,"Confirmation",dataMail!$G:$G,"&lt;="&amp;(AC$1+$B29-1),dataMail!$H:$H,"&gt;"&amp;(AC$1+$B29-1)),"-"),"-")</f>
        <v>-</v>
      </c>
      <c r="AD29" s="80">
        <f>IF(DAY(EOMONTH(AC$1,0))&gt;=$B29, 11-COUNTIFS(dataMail!$C:$C,"&lt;&gt;Annulation",dataMail!$G:$G,"&lt;="&amp;(AC$1+$B29-1),dataMail!$H:$H,"&gt;"&amp;(AC$1+$B29-1)),"-")</f>
        <v>11</v>
      </c>
      <c r="AE29" s="209" t="str">
        <f>IF(DAY(EOMONTH(AE$1,0))&gt;=$B29,IFERROR(AVERAGEIFS(dataMail!$P:$P,dataMail!$C:$C,"Confirmation",dataMail!$G:$G,"&lt;="&amp;(AE$1+$B29-1),dataMail!$H:$H,"&gt;"&amp;(AE$1+$B29-1)),"-"),"-")</f>
        <v>-</v>
      </c>
      <c r="AF29" s="80">
        <f>IF(DAY(EOMONTH(AE$1,0))&gt;=$B29, 11-COUNTIFS(dataMail!$C:$C,"&lt;&gt;Annulation",dataMail!$G:$G,"&lt;="&amp;(AE$1+$B29-1),dataMail!$H:$H,"&gt;"&amp;(AE$1+$B29-1)),"-")</f>
        <v>11</v>
      </c>
      <c r="AG29" s="209" t="str">
        <f>IF(DAY(EOMONTH(AG$1,0))&gt;=$B29,IFERROR(AVERAGEIFS(dataMail!$P:$P,dataMail!$C:$C,"Confirmation",dataMail!$G:$G,"&lt;="&amp;(AG$1+$B29-1),dataMail!$H:$H,"&gt;"&amp;(AG$1+$B29-1)),"-"),"-")</f>
        <v>-</v>
      </c>
      <c r="AH29" s="80">
        <f>IF(DAY(EOMONTH(AG$1,0))&gt;=$B29, 11-COUNTIFS(dataMail!$C:$C,"&lt;&gt;Annulation",dataMail!$G:$G,"&lt;="&amp;(AG$1+$B29-1),dataMail!$H:$H,"&gt;"&amp;(AG$1+$B29-1)),"-")</f>
        <v>11</v>
      </c>
    </row>
    <row r="30">
      <c r="A30" s="66"/>
      <c r="B30" s="66">
        <v>20.0</v>
      </c>
      <c r="C30" s="222">
        <f>IF(DAY(EOMONTH(C$1,0))&gt;=$B30,IFERROR(AVERAGEIFS(dataMail!$P:$P,dataMail!$C:$C,"Confirmation",dataMail!$G:$G,"&lt;="&amp;(C$1+$B30-1),dataMail!$H:$H,"&gt;"&amp;(C$1+$B30-1)),"-"),"-")</f>
        <v>109.1968</v>
      </c>
      <c r="D30" s="80">
        <f>IF(DAY(EOMONTH(C$1,0))&gt;=$B30, 11-COUNTIFS(dataMail!$C:$C,"&lt;&gt;Annulation",dataMail!$G:$G,"&lt;="&amp;(C$1+$B30-1),dataMail!$H:$H,"&gt;"&amp;(C$1+$B30-1)),"-")</f>
        <v>1</v>
      </c>
      <c r="E30" s="82">
        <f>IF(DAY(EOMONTH(E$1,0))&gt;=$B30,IFERROR(AVERAGEIFS(dataMail!$P:$P,dataMail!$C:$C,"Confirmation",dataMail!$G:$G,"&lt;="&amp;(E$1+$B30-1),dataMail!$H:$H,"&gt;"&amp;(E$1+$B30-1)),"-"),"-")</f>
        <v>122.0471111</v>
      </c>
      <c r="F30" s="80">
        <f>IF(DAY(EOMONTH(E$1,0))&gt;=$B30, 11-COUNTIFS(dataMail!$C:$C,"&lt;&gt;Annulation",dataMail!$G:$G,"&lt;="&amp;(E$1+$B30-1),dataMail!$H:$H,"&gt;"&amp;(E$1+$B30-1)),"-")</f>
        <v>2</v>
      </c>
      <c r="G30" s="82">
        <f>IF(DAY(EOMONTH(G$1,0))&gt;=$B30,IFERROR(AVERAGEIFS(dataMail!$P:$P,dataMail!$C:$C,"Confirmation",dataMail!$G:$G,"&lt;="&amp;(G$1+$B30-1),dataMail!$H:$H,"&gt;"&amp;(G$1+$B30-1)),"-"),"-")</f>
        <v>107.2302222</v>
      </c>
      <c r="H30" s="80">
        <f>IF(DAY(EOMONTH(G$1,0))&gt;=$B30, 11-COUNTIFS(dataMail!$C:$C,"&lt;&gt;Annulation",dataMail!$G:$G,"&lt;="&amp;(G$1+$B30-1),dataMail!$H:$H,"&gt;"&amp;(G$1+$B30-1)),"-")</f>
        <v>0</v>
      </c>
      <c r="I30" s="222">
        <f>IF(DAY(EOMONTH(I$1,0))&gt;=$B30,IFERROR(AVERAGEIFS(dataMail!$P:$P,dataMail!$C:$C,"Confirmation",dataMail!$G:$G,"&lt;="&amp;(I$1+$B30-1),dataMail!$H:$H,"&gt;"&amp;(I$1+$B30-1)),"-"),"-")</f>
        <v>125.65127</v>
      </c>
      <c r="J30" s="80">
        <f>IF(DAY(EOMONTH(I$1,0))&gt;=$B30, 11-COUNTIFS(dataMail!$C:$C,"&lt;&gt;Annulation",dataMail!$G:$G,"&lt;="&amp;(I$1+$B30-1),dataMail!$H:$H,"&gt;"&amp;(I$1+$B30-1)),"-")</f>
        <v>1</v>
      </c>
      <c r="K30" s="222">
        <f>IF(DAY(EOMONTH(K$1,0))&gt;=$B30,IFERROR(AVERAGEIFS(dataMail!$P:$P,dataMail!$C:$C,"Confirmation",dataMail!$G:$G,"&lt;="&amp;(K$1+$B30-1),dataMail!$H:$H,"&gt;"&amp;(K$1+$B30-1)),"-"),"-")</f>
        <v>115.8297143</v>
      </c>
      <c r="L30" s="80">
        <f>IF(DAY(EOMONTH(K$1,0))&gt;=$B30, 11-COUNTIFS(dataMail!$C:$C,"&lt;&gt;Annulation",dataMail!$G:$G,"&lt;="&amp;(K$1+$B30-1),dataMail!$H:$H,"&gt;"&amp;(K$1+$B30-1)),"-")</f>
        <v>4</v>
      </c>
      <c r="M30" s="222">
        <f>IF(DAY(EOMONTH(M$1,0))&gt;=$B30,IFERROR(AVERAGEIFS(dataMail!$P:$P,dataMail!$C:$C,"Confirmation",dataMail!$G:$G,"&lt;="&amp;(M$1+$B30-1),dataMail!$H:$H,"&gt;"&amp;(M$1+$B30-1)),"-"),"-")</f>
        <v>188.7448889</v>
      </c>
      <c r="N30" s="80">
        <f>IF(DAY(EOMONTH(M$1,0))&gt;=$B30, 11-COUNTIFS(dataMail!$C:$C,"&lt;&gt;Annulation",dataMail!$G:$G,"&lt;="&amp;(M$1+$B30-1),dataMail!$H:$H,"&gt;"&amp;(M$1+$B30-1)),"-")</f>
        <v>1</v>
      </c>
      <c r="O30" s="222" t="str">
        <f>IF(DAY(EOMONTH(O$1,0))&gt;=$B30,IFERROR(AVERAGEIFS(dataMail!$P:$P,dataMail!$C:$C,"Confirmation",dataMail!$G:$G,"&lt;="&amp;(O$1+$B30-1),dataMail!$H:$H,"&gt;"&amp;(O$1+$B30-1)),"-"),"-")</f>
        <v>-</v>
      </c>
      <c r="P30" s="80">
        <f>IF(DAY(EOMONTH(O$1,0))&gt;=$B30, 11-COUNTIFS(dataMail!$C:$C,"&lt;&gt;Annulation",dataMail!$G:$G,"&lt;="&amp;(O$1+$B30-1),dataMail!$H:$H,"&gt;"&amp;(O$1+$B30-1)),"-")</f>
        <v>11</v>
      </c>
      <c r="Q30" s="222">
        <f>IF(DAY(EOMONTH(Q$1,0))&gt;=$B30,IFERROR(AVERAGEIFS(dataMail!$P:$P,dataMail!$C:$C,"Confirmation",dataMail!$G:$G,"&lt;="&amp;(Q$1+$B30-1),dataMail!$H:$H,"&gt;"&amp;(Q$1+$B30-1)),"-"),"-")</f>
        <v>157.892</v>
      </c>
      <c r="R30" s="80">
        <f>IF(DAY(EOMONTH(Q$1,0))&gt;=$B30, 11-COUNTIFS(dataMail!$C:$C,"&lt;&gt;Annulation",dataMail!$G:$G,"&lt;="&amp;(Q$1+$B30-1),dataMail!$H:$H,"&gt;"&amp;(Q$1+$B30-1)),"-")</f>
        <v>9</v>
      </c>
      <c r="S30" s="222">
        <f>IF(DAY(EOMONTH(S$1,0))&gt;=$B30,IFERROR(AVERAGEIFS(dataMail!$P:$P,dataMail!$C:$C,"Confirmation",dataMail!$G:$G,"&lt;="&amp;(S$1+$B30-1),dataMail!$H:$H,"&gt;"&amp;(S$1+$B30-1)),"-"),"-")</f>
        <v>202.752</v>
      </c>
      <c r="T30" s="80">
        <f>IF(DAY(EOMONTH(S$1,0))&gt;=$B30, 11-COUNTIFS(dataMail!$C:$C,"&lt;&gt;Annulation",dataMail!$G:$G,"&lt;="&amp;(S$1+$B30-1),dataMail!$H:$H,"&gt;"&amp;(S$1+$B30-1)),"-")</f>
        <v>9</v>
      </c>
      <c r="U30" s="222" t="str">
        <f>IF(DAY(EOMONTH(U$1,0))&gt;=$B30,IFERROR(AVERAGEIFS(dataMail!$P:$P,dataMail!$C:$C,"Confirmation",dataMail!$G:$G,"&lt;="&amp;(U$1+$B30-1),dataMail!$H:$H,"&gt;"&amp;(U$1+$B30-1)),"-"),"-")</f>
        <v>-</v>
      </c>
      <c r="V30" s="80">
        <f>IF(DAY(EOMONTH(U$1,0))&gt;=$B30, 11-COUNTIFS(dataMail!$C:$C,"&lt;&gt;Annulation",dataMail!$G:$G,"&lt;="&amp;(U$1+$B30-1),dataMail!$H:$H,"&gt;"&amp;(U$1+$B30-1)),"-")</f>
        <v>11</v>
      </c>
      <c r="W30" s="222">
        <f>IF(DAY(EOMONTH(W$1,0))&gt;=$B30,IFERROR(AVERAGEIFS(dataMail!$P:$P,dataMail!$C:$C,"Confirmation",dataMail!$G:$G,"&lt;="&amp;(W$1+$B30-1),dataMail!$H:$H,"&gt;"&amp;(W$1+$B30-1)),"-"),"-")</f>
        <v>191.12</v>
      </c>
      <c r="X30" s="80">
        <f>IF(DAY(EOMONTH(W$1,0))&gt;=$B30, 11-COUNTIFS(dataMail!$C:$C,"&lt;&gt;Annulation",dataMail!$G:$G,"&lt;="&amp;(W$1+$B30-1),dataMail!$H:$H,"&gt;"&amp;(W$1+$B30-1)),"-")</f>
        <v>9</v>
      </c>
      <c r="Y30" s="222">
        <f>IF(DAY(EOMONTH(Y$1,0))&gt;=$B30,IFERROR(AVERAGEIFS(dataMail!$P:$P,dataMail!$C:$C,"Confirmation",dataMail!$G:$G,"&lt;="&amp;(Y$1+$B30-1),dataMail!$H:$H,"&gt;"&amp;(Y$1+$B30-1)),"-"),"-")</f>
        <v>120.576</v>
      </c>
      <c r="Z30" s="80">
        <f>IF(DAY(EOMONTH(Y$1,0))&gt;=$B30, 11-COUNTIFS(dataMail!$C:$C,"&lt;&gt;Annulation",dataMail!$G:$G,"&lt;="&amp;(Y$1+$B30-1),dataMail!$H:$H,"&gt;"&amp;(Y$1+$B30-1)),"-")</f>
        <v>10</v>
      </c>
      <c r="AA30" s="222">
        <f>IF(DAY(EOMONTH(AA$1,0))&gt;=$B30,IFERROR(AVERAGEIFS(dataMail!$P:$P,dataMail!$C:$C,"Confirmation",dataMail!$G:$G,"&lt;="&amp;(AA$1+$B30-1),dataMail!$H:$H,"&gt;"&amp;(AA$1+$B30-1)),"-"),"-")</f>
        <v>75.52</v>
      </c>
      <c r="AB30" s="80">
        <f>IF(DAY(EOMONTH(AA$1,0))&gt;=$B30, 11-COUNTIFS(dataMail!$C:$C,"&lt;&gt;Annulation",dataMail!$G:$G,"&lt;="&amp;(AA$1+$B30-1),dataMail!$H:$H,"&gt;"&amp;(AA$1+$B30-1)),"-")</f>
        <v>10</v>
      </c>
      <c r="AC30" s="222" t="str">
        <f>IF(DAY(EOMONTH(AC$1,0))&gt;=$B30,IFERROR(AVERAGEIFS(dataMail!$P:$P,dataMail!$C:$C,"Confirmation",dataMail!$G:$G,"&lt;="&amp;(AC$1+$B30-1),dataMail!$H:$H,"&gt;"&amp;(AC$1+$B30-1)),"-"),"-")</f>
        <v>-</v>
      </c>
      <c r="AD30" s="80">
        <f>IF(DAY(EOMONTH(AC$1,0))&gt;=$B30, 11-COUNTIFS(dataMail!$C:$C,"&lt;&gt;Annulation",dataMail!$G:$G,"&lt;="&amp;(AC$1+$B30-1),dataMail!$H:$H,"&gt;"&amp;(AC$1+$B30-1)),"-")</f>
        <v>11</v>
      </c>
      <c r="AE30" s="222" t="str">
        <f>IF(DAY(EOMONTH(AE$1,0))&gt;=$B30,IFERROR(AVERAGEIFS(dataMail!$P:$P,dataMail!$C:$C,"Confirmation",dataMail!$G:$G,"&lt;="&amp;(AE$1+$B30-1),dataMail!$H:$H,"&gt;"&amp;(AE$1+$B30-1)),"-"),"-")</f>
        <v>-</v>
      </c>
      <c r="AF30" s="80">
        <f>IF(DAY(EOMONTH(AE$1,0))&gt;=$B30, 11-COUNTIFS(dataMail!$C:$C,"&lt;&gt;Annulation",dataMail!$G:$G,"&lt;="&amp;(AE$1+$B30-1),dataMail!$H:$H,"&gt;"&amp;(AE$1+$B30-1)),"-")</f>
        <v>11</v>
      </c>
      <c r="AG30" s="222" t="str">
        <f>IF(DAY(EOMONTH(AG$1,0))&gt;=$B30,IFERROR(AVERAGEIFS(dataMail!$P:$P,dataMail!$C:$C,"Confirmation",dataMail!$G:$G,"&lt;="&amp;(AG$1+$B30-1),dataMail!$H:$H,"&gt;"&amp;(AG$1+$B30-1)),"-"),"-")</f>
        <v>-</v>
      </c>
      <c r="AH30" s="80">
        <f>IF(DAY(EOMONTH(AG$1,0))&gt;=$B30, 11-COUNTIFS(dataMail!$C:$C,"&lt;&gt;Annulation",dataMail!$G:$G,"&lt;="&amp;(AG$1+$B30-1),dataMail!$H:$H,"&gt;"&amp;(AG$1+$B30-1)),"-")</f>
        <v>11</v>
      </c>
    </row>
    <row r="31">
      <c r="A31" s="66"/>
      <c r="B31" s="66">
        <v>21.0</v>
      </c>
      <c r="C31" s="223">
        <f>IF(DAY(EOMONTH(C$1,0))&gt;=$B31,IFERROR(AVERAGEIFS(dataMail!$P:$P,dataMail!$C:$C,"Confirmation",dataMail!$G:$G,"&lt;="&amp;(C$1+$B31-1),dataMail!$H:$H,"&gt;"&amp;(C$1+$B31-1)),"-"),"-")</f>
        <v>100.3777778</v>
      </c>
      <c r="D31" s="80">
        <f>IF(DAY(EOMONTH(C$1,0))&gt;=$B31, 11-COUNTIFS(dataMail!$C:$C,"&lt;&gt;Annulation",dataMail!$G:$G,"&lt;="&amp;(C$1+$B31-1),dataMail!$H:$H,"&gt;"&amp;(C$1+$B31-1)),"-")</f>
        <v>2</v>
      </c>
      <c r="E31" s="82">
        <f>IF(DAY(EOMONTH(E$1,0))&gt;=$B31,IFERROR(AVERAGEIFS(dataMail!$P:$P,dataMail!$C:$C,"Confirmation",dataMail!$G:$G,"&lt;="&amp;(E$1+$B31-1),dataMail!$H:$H,"&gt;"&amp;(E$1+$B31-1)),"-"),"-")</f>
        <v>125.9112</v>
      </c>
      <c r="F31" s="80">
        <f>IF(DAY(EOMONTH(E$1,0))&gt;=$B31, 11-COUNTIFS(dataMail!$C:$C,"&lt;&gt;Annulation",dataMail!$G:$G,"&lt;="&amp;(E$1+$B31-1),dataMail!$H:$H,"&gt;"&amp;(E$1+$B31-1)),"-")</f>
        <v>1</v>
      </c>
      <c r="G31" s="82">
        <f>IF(DAY(EOMONTH(G$1,0))&gt;=$B31,IFERROR(AVERAGEIFS(dataMail!$P:$P,dataMail!$C:$C,"Confirmation",dataMail!$G:$G,"&lt;="&amp;(G$1+$B31-1),dataMail!$H:$H,"&gt;"&amp;(G$1+$B31-1)),"-"),"-")</f>
        <v>114.129</v>
      </c>
      <c r="H31" s="80">
        <f>IF(DAY(EOMONTH(G$1,0))&gt;=$B31, 11-COUNTIFS(dataMail!$C:$C,"&lt;&gt;Annulation",dataMail!$G:$G,"&lt;="&amp;(G$1+$B31-1),dataMail!$H:$H,"&gt;"&amp;(G$1+$B31-1)),"-")</f>
        <v>1</v>
      </c>
      <c r="I31" s="223">
        <f>IF(DAY(EOMONTH(I$1,0))&gt;=$B31,IFERROR(AVERAGEIFS(dataMail!$P:$P,dataMail!$C:$C,"Confirmation",dataMail!$G:$G,"&lt;="&amp;(I$1+$B31-1),dataMail!$H:$H,"&gt;"&amp;(I$1+$B31-1)),"-"),"-")</f>
        <v>125.65127</v>
      </c>
      <c r="J31" s="80">
        <f>IF(DAY(EOMONTH(I$1,0))&gt;=$B31, 11-COUNTIFS(dataMail!$C:$C,"&lt;&gt;Annulation",dataMail!$G:$G,"&lt;="&amp;(I$1+$B31-1),dataMail!$H:$H,"&gt;"&amp;(I$1+$B31-1)),"-")</f>
        <v>1</v>
      </c>
      <c r="K31" s="223">
        <f>IF(DAY(EOMONTH(K$1,0))&gt;=$B31,IFERROR(AVERAGEIFS(dataMail!$P:$P,dataMail!$C:$C,"Confirmation",dataMail!$G:$G,"&lt;="&amp;(K$1+$B31-1),dataMail!$H:$H,"&gt;"&amp;(K$1+$B31-1)),"-"),"-")</f>
        <v>130.3348571</v>
      </c>
      <c r="L31" s="80">
        <f>IF(DAY(EOMONTH(K$1,0))&gt;=$B31, 11-COUNTIFS(dataMail!$C:$C,"&lt;&gt;Annulation",dataMail!$G:$G,"&lt;="&amp;(K$1+$B31-1),dataMail!$H:$H,"&gt;"&amp;(K$1+$B31-1)),"-")</f>
        <v>4</v>
      </c>
      <c r="M31" s="223">
        <f>IF(DAY(EOMONTH(M$1,0))&gt;=$B31,IFERROR(AVERAGEIFS(dataMail!$P:$P,dataMail!$C:$C,"Confirmation",dataMail!$G:$G,"&lt;="&amp;(M$1+$B31-1),dataMail!$H:$H,"&gt;"&amp;(M$1+$B31-1)),"-"),"-")</f>
        <v>185.7376</v>
      </c>
      <c r="N31" s="80">
        <f>IF(DAY(EOMONTH(M$1,0))&gt;=$B31, 11-COUNTIFS(dataMail!$C:$C,"&lt;&gt;Annulation",dataMail!$G:$G,"&lt;="&amp;(M$1+$B31-1),dataMail!$H:$H,"&gt;"&amp;(M$1+$B31-1)),"-")</f>
        <v>1</v>
      </c>
      <c r="O31" s="223">
        <f>IF(DAY(EOMONTH(O$1,0))&gt;=$B31,IFERROR(AVERAGEIFS(dataMail!$P:$P,dataMail!$C:$C,"Confirmation",dataMail!$G:$G,"&lt;="&amp;(O$1+$B31-1),dataMail!$H:$H,"&gt;"&amp;(O$1+$B31-1)),"-"),"-")</f>
        <v>270</v>
      </c>
      <c r="P31" s="80">
        <f>IF(DAY(EOMONTH(O$1,0))&gt;=$B31, 11-COUNTIFS(dataMail!$C:$C,"&lt;&gt;Annulation",dataMail!$G:$G,"&lt;="&amp;(O$1+$B31-1),dataMail!$H:$H,"&gt;"&amp;(O$1+$B31-1)),"-")</f>
        <v>10</v>
      </c>
      <c r="Q31" s="223">
        <f>IF(DAY(EOMONTH(Q$1,0))&gt;=$B31,IFERROR(AVERAGEIFS(dataMail!$P:$P,dataMail!$C:$C,"Confirmation",dataMail!$G:$G,"&lt;="&amp;(Q$1+$B31-1),dataMail!$H:$H,"&gt;"&amp;(Q$1+$B31-1)),"-"),"-")</f>
        <v>140.448</v>
      </c>
      <c r="R31" s="80">
        <f>IF(DAY(EOMONTH(Q$1,0))&gt;=$B31, 11-COUNTIFS(dataMail!$C:$C,"&lt;&gt;Annulation",dataMail!$G:$G,"&lt;="&amp;(Q$1+$B31-1),dataMail!$H:$H,"&gt;"&amp;(Q$1+$B31-1)),"-")</f>
        <v>10</v>
      </c>
      <c r="S31" s="223" t="str">
        <f>IF(DAY(EOMONTH(S$1,0))&gt;=$B31,IFERROR(AVERAGEIFS(dataMail!$P:$P,dataMail!$C:$C,"Confirmation",dataMail!$G:$G,"&lt;="&amp;(S$1+$B31-1),dataMail!$H:$H,"&gt;"&amp;(S$1+$B31-1)),"-"),"-")</f>
        <v>-</v>
      </c>
      <c r="T31" s="80">
        <f>IF(DAY(EOMONTH(S$1,0))&gt;=$B31, 11-COUNTIFS(dataMail!$C:$C,"&lt;&gt;Annulation",dataMail!$G:$G,"&lt;="&amp;(S$1+$B31-1),dataMail!$H:$H,"&gt;"&amp;(S$1+$B31-1)),"-")</f>
        <v>11</v>
      </c>
      <c r="U31" s="223" t="str">
        <f>IF(DAY(EOMONTH(U$1,0))&gt;=$B31,IFERROR(AVERAGEIFS(dataMail!$P:$P,dataMail!$C:$C,"Confirmation",dataMail!$G:$G,"&lt;="&amp;(U$1+$B31-1),dataMail!$H:$H,"&gt;"&amp;(U$1+$B31-1)),"-"),"-")</f>
        <v>-</v>
      </c>
      <c r="V31" s="80">
        <f>IF(DAY(EOMONTH(U$1,0))&gt;=$B31, 11-COUNTIFS(dataMail!$C:$C,"&lt;&gt;Annulation",dataMail!$G:$G,"&lt;="&amp;(U$1+$B31-1),dataMail!$H:$H,"&gt;"&amp;(U$1+$B31-1)),"-")</f>
        <v>11</v>
      </c>
      <c r="W31" s="223">
        <f>IF(DAY(EOMONTH(W$1,0))&gt;=$B31,IFERROR(AVERAGEIFS(dataMail!$P:$P,dataMail!$C:$C,"Confirmation",dataMail!$G:$G,"&lt;="&amp;(W$1+$B31-1),dataMail!$H:$H,"&gt;"&amp;(W$1+$B31-1)),"-"),"-")</f>
        <v>191.12</v>
      </c>
      <c r="X31" s="80">
        <f>IF(DAY(EOMONTH(W$1,0))&gt;=$B31, 11-COUNTIFS(dataMail!$C:$C,"&lt;&gt;Annulation",dataMail!$G:$G,"&lt;="&amp;(W$1+$B31-1),dataMail!$H:$H,"&gt;"&amp;(W$1+$B31-1)),"-")</f>
        <v>9</v>
      </c>
      <c r="Y31" s="223">
        <f>IF(DAY(EOMONTH(Y$1,0))&gt;=$B31,IFERROR(AVERAGEIFS(dataMail!$P:$P,dataMail!$C:$C,"Confirmation",dataMail!$G:$G,"&lt;="&amp;(Y$1+$B31-1),dataMail!$H:$H,"&gt;"&amp;(Y$1+$B31-1)),"-"),"-")</f>
        <v>120.576</v>
      </c>
      <c r="Z31" s="80">
        <f>IF(DAY(EOMONTH(Y$1,0))&gt;=$B31, 11-COUNTIFS(dataMail!$C:$C,"&lt;&gt;Annulation",dataMail!$G:$G,"&lt;="&amp;(Y$1+$B31-1),dataMail!$H:$H,"&gt;"&amp;(Y$1+$B31-1)),"-")</f>
        <v>10</v>
      </c>
      <c r="AA31" s="223">
        <f>IF(DAY(EOMONTH(AA$1,0))&gt;=$B31,IFERROR(AVERAGEIFS(dataMail!$P:$P,dataMail!$C:$C,"Confirmation",dataMail!$G:$G,"&lt;="&amp;(AA$1+$B31-1),dataMail!$H:$H,"&gt;"&amp;(AA$1+$B31-1)),"-"),"-")</f>
        <v>75.52</v>
      </c>
      <c r="AB31" s="80">
        <f>IF(DAY(EOMONTH(AA$1,0))&gt;=$B31, 11-COUNTIFS(dataMail!$C:$C,"&lt;&gt;Annulation",dataMail!$G:$G,"&lt;="&amp;(AA$1+$B31-1),dataMail!$H:$H,"&gt;"&amp;(AA$1+$B31-1)),"-")</f>
        <v>10</v>
      </c>
      <c r="AC31" s="223">
        <f>IF(DAY(EOMONTH(AC$1,0))&gt;=$B31,IFERROR(AVERAGEIFS(dataMail!$P:$P,dataMail!$C:$C,"Confirmation",dataMail!$G:$G,"&lt;="&amp;(AC$1+$B31-1),dataMail!$H:$H,"&gt;"&amp;(AC$1+$B31-1)),"-"),"-")</f>
        <v>77.52</v>
      </c>
      <c r="AD31" s="80">
        <f>IF(DAY(EOMONTH(AC$1,0))&gt;=$B31, 11-COUNTIFS(dataMail!$C:$C,"&lt;&gt;Annulation",dataMail!$G:$G,"&lt;="&amp;(AC$1+$B31-1),dataMail!$H:$H,"&gt;"&amp;(AC$1+$B31-1)),"-")</f>
        <v>10</v>
      </c>
      <c r="AE31" s="223" t="str">
        <f>IF(DAY(EOMONTH(AE$1,0))&gt;=$B31,IFERROR(AVERAGEIFS(dataMail!$P:$P,dataMail!$C:$C,"Confirmation",dataMail!$G:$G,"&lt;="&amp;(AE$1+$B31-1),dataMail!$H:$H,"&gt;"&amp;(AE$1+$B31-1)),"-"),"-")</f>
        <v>-</v>
      </c>
      <c r="AF31" s="80">
        <f>IF(DAY(EOMONTH(AE$1,0))&gt;=$B31, 11-COUNTIFS(dataMail!$C:$C,"&lt;&gt;Annulation",dataMail!$G:$G,"&lt;="&amp;(AE$1+$B31-1),dataMail!$H:$H,"&gt;"&amp;(AE$1+$B31-1)),"-")</f>
        <v>11</v>
      </c>
      <c r="AG31" s="223" t="str">
        <f>IF(DAY(EOMONTH(AG$1,0))&gt;=$B31,IFERROR(AVERAGEIFS(dataMail!$P:$P,dataMail!$C:$C,"Confirmation",dataMail!$G:$G,"&lt;="&amp;(AG$1+$B31-1),dataMail!$H:$H,"&gt;"&amp;(AG$1+$B31-1)),"-"),"-")</f>
        <v>-</v>
      </c>
      <c r="AH31" s="80">
        <f>IF(DAY(EOMONTH(AG$1,0))&gt;=$B31, 11-COUNTIFS(dataMail!$C:$C,"&lt;&gt;Annulation",dataMail!$G:$G,"&lt;="&amp;(AG$1+$B31-1),dataMail!$H:$H,"&gt;"&amp;(AG$1+$B31-1)),"-")</f>
        <v>11</v>
      </c>
    </row>
    <row r="32">
      <c r="A32" s="66"/>
      <c r="B32" s="66">
        <v>22.0</v>
      </c>
      <c r="C32" s="224">
        <f>IF(DAY(EOMONTH(C$1,0))&gt;=$B32,IFERROR(AVERAGEIFS(dataMail!$P:$P,dataMail!$C:$C,"Confirmation",dataMail!$G:$G,"&lt;="&amp;(C$1+$B32-1),dataMail!$H:$H,"&gt;"&amp;(C$1+$B32-1)),"-"),"-")</f>
        <v>98.59111111</v>
      </c>
      <c r="D32" s="80">
        <f>IF(DAY(EOMONTH(C$1,0))&gt;=$B32, 11-COUNTIFS(dataMail!$C:$C,"&lt;&gt;Annulation",dataMail!$G:$G,"&lt;="&amp;(C$1+$B32-1),dataMail!$H:$H,"&gt;"&amp;(C$1+$B32-1)),"-")</f>
        <v>2</v>
      </c>
      <c r="E32" s="82">
        <f>IF(DAY(EOMONTH(E$1,0))&gt;=$B32,IFERROR(AVERAGEIFS(dataMail!$P:$P,dataMail!$C:$C,"Confirmation",dataMail!$G:$G,"&lt;="&amp;(E$1+$B32-1),dataMail!$H:$H,"&gt;"&amp;(E$1+$B32-1)),"-"),"-")</f>
        <v>121.8971852</v>
      </c>
      <c r="F32" s="80">
        <f>IF(DAY(EOMONTH(E$1,0))&gt;=$B32, 11-COUNTIFS(dataMail!$C:$C,"&lt;&gt;Annulation",dataMail!$G:$G,"&lt;="&amp;(E$1+$B32-1),dataMail!$H:$H,"&gt;"&amp;(E$1+$B32-1)),"-")</f>
        <v>2</v>
      </c>
      <c r="G32" s="82">
        <f>IF(DAY(EOMONTH(G$1,0))&gt;=$B32,IFERROR(AVERAGEIFS(dataMail!$P:$P,dataMail!$C:$C,"Confirmation",dataMail!$G:$G,"&lt;="&amp;(G$1+$B32-1),dataMail!$H:$H,"&gt;"&amp;(G$1+$B32-1)),"-"),"-")</f>
        <v>112.061</v>
      </c>
      <c r="H32" s="80">
        <f>IF(DAY(EOMONTH(G$1,0))&gt;=$B32, 11-COUNTIFS(dataMail!$C:$C,"&lt;&gt;Annulation",dataMail!$G:$G,"&lt;="&amp;(G$1+$B32-1),dataMail!$H:$H,"&gt;"&amp;(G$1+$B32-1)),"-")</f>
        <v>1</v>
      </c>
      <c r="I32" s="224">
        <f>IF(DAY(EOMONTH(I$1,0))&gt;=$B32,IFERROR(AVERAGEIFS(dataMail!$P:$P,dataMail!$C:$C,"Confirmation",dataMail!$G:$G,"&lt;="&amp;(I$1+$B32-1),dataMail!$H:$H,"&gt;"&amp;(I$1+$B32-1)),"-"),"-")</f>
        <v>118.9287909</v>
      </c>
      <c r="J32" s="80">
        <f>IF(DAY(EOMONTH(I$1,0))&gt;=$B32, 11-COUNTIFS(dataMail!$C:$C,"&lt;&gt;Annulation",dataMail!$G:$G,"&lt;="&amp;(I$1+$B32-1),dataMail!$H:$H,"&gt;"&amp;(I$1+$B32-1)),"-")</f>
        <v>0</v>
      </c>
      <c r="K32" s="224">
        <f>IF(DAY(EOMONTH(K$1,0))&gt;=$B32,IFERROR(AVERAGEIFS(dataMail!$P:$P,dataMail!$C:$C,"Confirmation",dataMail!$G:$G,"&lt;="&amp;(K$1+$B32-1),dataMail!$H:$H,"&gt;"&amp;(K$1+$B32-1)),"-"),"-")</f>
        <v>134.8858182</v>
      </c>
      <c r="L32" s="80">
        <f>IF(DAY(EOMONTH(K$1,0))&gt;=$B32, 11-COUNTIFS(dataMail!$C:$C,"&lt;&gt;Annulation",dataMail!$G:$G,"&lt;="&amp;(K$1+$B32-1),dataMail!$H:$H,"&gt;"&amp;(K$1+$B32-1)),"-")</f>
        <v>0</v>
      </c>
      <c r="M32" s="224">
        <f>IF(DAY(EOMONTH(M$1,0))&gt;=$B32,IFERROR(AVERAGEIFS(dataMail!$P:$P,dataMail!$C:$C,"Confirmation",dataMail!$G:$G,"&lt;="&amp;(M$1+$B32-1),dataMail!$H:$H,"&gt;"&amp;(M$1+$B32-1)),"-"),"-")</f>
        <v>147.4592</v>
      </c>
      <c r="N32" s="80">
        <f>IF(DAY(EOMONTH(M$1,0))&gt;=$B32, 11-COUNTIFS(dataMail!$C:$C,"&lt;&gt;Annulation",dataMail!$G:$G,"&lt;="&amp;(M$1+$B32-1),dataMail!$H:$H,"&gt;"&amp;(M$1+$B32-1)),"-")</f>
        <v>6</v>
      </c>
      <c r="O32" s="224">
        <f>IF(DAY(EOMONTH(O$1,0))&gt;=$B32,IFERROR(AVERAGEIFS(dataMail!$P:$P,dataMail!$C:$C,"Confirmation",dataMail!$G:$G,"&lt;="&amp;(O$1+$B32-1),dataMail!$H:$H,"&gt;"&amp;(O$1+$B32-1)),"-"),"-")</f>
        <v>151.6179556</v>
      </c>
      <c r="P32" s="80">
        <f>IF(DAY(EOMONTH(O$1,0))&gt;=$B32, 11-COUNTIFS(dataMail!$C:$C,"&lt;&gt;Annulation",dataMail!$G:$G,"&lt;="&amp;(O$1+$B32-1),dataMail!$H:$H,"&gt;"&amp;(O$1+$B32-1)),"-")</f>
        <v>6</v>
      </c>
      <c r="Q32" s="224">
        <f>IF(DAY(EOMONTH(Q$1,0))&gt;=$B32,IFERROR(AVERAGEIFS(dataMail!$P:$P,dataMail!$C:$C,"Confirmation",dataMail!$G:$G,"&lt;="&amp;(Q$1+$B32-1),dataMail!$H:$H,"&gt;"&amp;(Q$1+$B32-1)),"-"),"-")</f>
        <v>140.448</v>
      </c>
      <c r="R32" s="80">
        <f>IF(DAY(EOMONTH(Q$1,0))&gt;=$B32, 11-COUNTIFS(dataMail!$C:$C,"&lt;&gt;Annulation",dataMail!$G:$G,"&lt;="&amp;(Q$1+$B32-1),dataMail!$H:$H,"&gt;"&amp;(Q$1+$B32-1)),"-")</f>
        <v>10</v>
      </c>
      <c r="S32" s="224" t="str">
        <f>IF(DAY(EOMONTH(S$1,0))&gt;=$B32,IFERROR(AVERAGEIFS(dataMail!$P:$P,dataMail!$C:$C,"Confirmation",dataMail!$G:$G,"&lt;="&amp;(S$1+$B32-1),dataMail!$H:$H,"&gt;"&amp;(S$1+$B32-1)),"-"),"-")</f>
        <v>-</v>
      </c>
      <c r="T32" s="80">
        <f>IF(DAY(EOMONTH(S$1,0))&gt;=$B32, 11-COUNTIFS(dataMail!$C:$C,"&lt;&gt;Annulation",dataMail!$G:$G,"&lt;="&amp;(S$1+$B32-1),dataMail!$H:$H,"&gt;"&amp;(S$1+$B32-1)),"-")</f>
        <v>11</v>
      </c>
      <c r="U32" s="224">
        <f>IF(DAY(EOMONTH(U$1,0))&gt;=$B32,IFERROR(AVERAGEIFS(dataMail!$P:$P,dataMail!$C:$C,"Confirmation",dataMail!$G:$G,"&lt;="&amp;(U$1+$B32-1),dataMail!$H:$H,"&gt;"&amp;(U$1+$B32-1)),"-"),"-")</f>
        <v>138.496</v>
      </c>
      <c r="V32" s="80">
        <f>IF(DAY(EOMONTH(U$1,0))&gt;=$B32, 11-COUNTIFS(dataMail!$C:$C,"&lt;&gt;Annulation",dataMail!$G:$G,"&lt;="&amp;(U$1+$B32-1),dataMail!$H:$H,"&gt;"&amp;(U$1+$B32-1)),"-")</f>
        <v>10</v>
      </c>
      <c r="W32" s="224" t="str">
        <f>IF(DAY(EOMONTH(W$1,0))&gt;=$B32,IFERROR(AVERAGEIFS(dataMail!$P:$P,dataMail!$C:$C,"Confirmation",dataMail!$G:$G,"&lt;="&amp;(W$1+$B32-1),dataMail!$H:$H,"&gt;"&amp;(W$1+$B32-1)),"-"),"-")</f>
        <v>-</v>
      </c>
      <c r="X32" s="80">
        <f>IF(DAY(EOMONTH(W$1,0))&gt;=$B32, 11-COUNTIFS(dataMail!$C:$C,"&lt;&gt;Annulation",dataMail!$G:$G,"&lt;="&amp;(W$1+$B32-1),dataMail!$H:$H,"&gt;"&amp;(W$1+$B32-1)),"-")</f>
        <v>10</v>
      </c>
      <c r="Y32" s="224">
        <f>IF(DAY(EOMONTH(Y$1,0))&gt;=$B32,IFERROR(AVERAGEIFS(dataMail!$P:$P,dataMail!$C:$C,"Confirmation",dataMail!$G:$G,"&lt;="&amp;(Y$1+$B32-1),dataMail!$H:$H,"&gt;"&amp;(Y$1+$B32-1)),"-"),"-")</f>
        <v>120.576</v>
      </c>
      <c r="Z32" s="80">
        <f>IF(DAY(EOMONTH(Y$1,0))&gt;=$B32, 11-COUNTIFS(dataMail!$C:$C,"&lt;&gt;Annulation",dataMail!$G:$G,"&lt;="&amp;(Y$1+$B32-1),dataMail!$H:$H,"&gt;"&amp;(Y$1+$B32-1)),"-")</f>
        <v>10</v>
      </c>
      <c r="AA32" s="224">
        <f>IF(DAY(EOMONTH(AA$1,0))&gt;=$B32,IFERROR(AVERAGEIFS(dataMail!$P:$P,dataMail!$C:$C,"Confirmation",dataMail!$G:$G,"&lt;="&amp;(AA$1+$B32-1),dataMail!$H:$H,"&gt;"&amp;(AA$1+$B32-1)),"-"),"-")</f>
        <v>75.52</v>
      </c>
      <c r="AB32" s="80">
        <f>IF(DAY(EOMONTH(AA$1,0))&gt;=$B32, 11-COUNTIFS(dataMail!$C:$C,"&lt;&gt;Annulation",dataMail!$G:$G,"&lt;="&amp;(AA$1+$B32-1),dataMail!$H:$H,"&gt;"&amp;(AA$1+$B32-1)),"-")</f>
        <v>10</v>
      </c>
      <c r="AC32" s="224">
        <f>IF(DAY(EOMONTH(AC$1,0))&gt;=$B32,IFERROR(AVERAGEIFS(dataMail!$P:$P,dataMail!$C:$C,"Confirmation",dataMail!$G:$G,"&lt;="&amp;(AC$1+$B32-1),dataMail!$H:$H,"&gt;"&amp;(AC$1+$B32-1)),"-"),"-")</f>
        <v>77.52</v>
      </c>
      <c r="AD32" s="80">
        <f>IF(DAY(EOMONTH(AC$1,0))&gt;=$B32, 11-COUNTIFS(dataMail!$C:$C,"&lt;&gt;Annulation",dataMail!$G:$G,"&lt;="&amp;(AC$1+$B32-1),dataMail!$H:$H,"&gt;"&amp;(AC$1+$B32-1)),"-")</f>
        <v>10</v>
      </c>
      <c r="AE32" s="224" t="str">
        <f>IF(DAY(EOMONTH(AE$1,0))&gt;=$B32,IFERROR(AVERAGEIFS(dataMail!$P:$P,dataMail!$C:$C,"Confirmation",dataMail!$G:$G,"&lt;="&amp;(AE$1+$B32-1),dataMail!$H:$H,"&gt;"&amp;(AE$1+$B32-1)),"-"),"-")</f>
        <v>-</v>
      </c>
      <c r="AF32" s="80">
        <f>IF(DAY(EOMONTH(AE$1,0))&gt;=$B32, 11-COUNTIFS(dataMail!$C:$C,"&lt;&gt;Annulation",dataMail!$G:$G,"&lt;="&amp;(AE$1+$B32-1),dataMail!$H:$H,"&gt;"&amp;(AE$1+$B32-1)),"-")</f>
        <v>11</v>
      </c>
      <c r="AG32" s="224" t="str">
        <f>IF(DAY(EOMONTH(AG$1,0))&gt;=$B32,IFERROR(AVERAGEIFS(dataMail!$P:$P,dataMail!$C:$C,"Confirmation",dataMail!$G:$G,"&lt;="&amp;(AG$1+$B32-1),dataMail!$H:$H,"&gt;"&amp;(AG$1+$B32-1)),"-"),"-")</f>
        <v>-</v>
      </c>
      <c r="AH32" s="80">
        <f>IF(DAY(EOMONTH(AG$1,0))&gt;=$B32, 11-COUNTIFS(dataMail!$C:$C,"&lt;&gt;Annulation",dataMail!$G:$G,"&lt;="&amp;(AG$1+$B32-1),dataMail!$H:$H,"&gt;"&amp;(AG$1+$B32-1)),"-")</f>
        <v>11</v>
      </c>
    </row>
    <row r="33">
      <c r="A33" s="66"/>
      <c r="B33" s="66">
        <v>23.0</v>
      </c>
      <c r="C33" s="117">
        <f>IF(DAY(EOMONTH(C$1,0))&gt;=$B33,IFERROR(AVERAGEIFS(dataMail!$P:$P,dataMail!$C:$C,"Confirmation",dataMail!$G:$G,"&lt;="&amp;(C$1+$B33-1),dataMail!$H:$H,"&gt;"&amp;(C$1+$B33-1)),"-"),"-")</f>
        <v>102.3866667</v>
      </c>
      <c r="D33" s="80">
        <f>IF(DAY(EOMONTH(C$1,0))&gt;=$B33, 11-COUNTIFS(dataMail!$C:$C,"&lt;&gt;Annulation",dataMail!$G:$G,"&lt;="&amp;(C$1+$B33-1),dataMail!$H:$H,"&gt;"&amp;(C$1+$B33-1)),"-")</f>
        <v>2</v>
      </c>
      <c r="E33" s="82">
        <f>IF(DAY(EOMONTH(E$1,0))&gt;=$B33,IFERROR(AVERAGEIFS(dataMail!$P:$P,dataMail!$C:$C,"Confirmation",dataMail!$G:$G,"&lt;="&amp;(E$1+$B33-1),dataMail!$H:$H,"&gt;"&amp;(E$1+$B33-1)),"-"),"-")</f>
        <v>126.7482667</v>
      </c>
      <c r="F33" s="80">
        <f>IF(DAY(EOMONTH(E$1,0))&gt;=$B33, 11-COUNTIFS(dataMail!$C:$C,"&lt;&gt;Annulation",dataMail!$G:$G,"&lt;="&amp;(E$1+$B33-1),dataMail!$H:$H,"&gt;"&amp;(E$1+$B33-1)),"-")</f>
        <v>1</v>
      </c>
      <c r="G33" s="82">
        <f>IF(DAY(EOMONTH(G$1,0))&gt;=$B33,IFERROR(AVERAGEIFS(dataMail!$P:$P,dataMail!$C:$C,"Confirmation",dataMail!$G:$G,"&lt;="&amp;(G$1+$B33-1),dataMail!$H:$H,"&gt;"&amp;(G$1+$B33-1)),"-"),"-")</f>
        <v>78.61028571</v>
      </c>
      <c r="H33" s="80">
        <f>IF(DAY(EOMONTH(G$1,0))&gt;=$B33, 11-COUNTIFS(dataMail!$C:$C,"&lt;&gt;Annulation",dataMail!$G:$G,"&lt;="&amp;(G$1+$B33-1),dataMail!$H:$H,"&gt;"&amp;(G$1+$B33-1)),"-")</f>
        <v>4</v>
      </c>
      <c r="I33" s="117">
        <f>IF(DAY(EOMONTH(I$1,0))&gt;=$B33,IFERROR(AVERAGEIFS(dataMail!$P:$P,dataMail!$C:$C,"Confirmation",dataMail!$G:$G,"&lt;="&amp;(I$1+$B33-1),dataMail!$H:$H,"&gt;"&amp;(I$1+$B33-1)),"-"),"-")</f>
        <v>111.2464</v>
      </c>
      <c r="J33" s="80">
        <f>IF(DAY(EOMONTH(I$1,0))&gt;=$B33, 11-COUNTIFS(dataMail!$C:$C,"&lt;&gt;Annulation",dataMail!$G:$G,"&lt;="&amp;(I$1+$B33-1),dataMail!$H:$H,"&gt;"&amp;(I$1+$B33-1)),"-")</f>
        <v>1</v>
      </c>
      <c r="K33" s="117">
        <f>IF(DAY(EOMONTH(K$1,0))&gt;=$B33,IFERROR(AVERAGEIFS(dataMail!$P:$P,dataMail!$C:$C,"Confirmation",dataMail!$G:$G,"&lt;="&amp;(K$1+$B33-1),dataMail!$H:$H,"&gt;"&amp;(K$1+$B33-1)),"-"),"-")</f>
        <v>143.7206167</v>
      </c>
      <c r="L33" s="80">
        <f>IF(DAY(EOMONTH(K$1,0))&gt;=$B33, 11-COUNTIFS(dataMail!$C:$C,"&lt;&gt;Annulation",dataMail!$G:$G,"&lt;="&amp;(K$1+$B33-1),dataMail!$H:$H,"&gt;"&amp;(K$1+$B33-1)),"-")</f>
        <v>5</v>
      </c>
      <c r="M33" s="117">
        <f>IF(DAY(EOMONTH(M$1,0))&gt;=$B33,IFERROR(AVERAGEIFS(dataMail!$P:$P,dataMail!$C:$C,"Confirmation",dataMail!$G:$G,"&lt;="&amp;(M$1+$B33-1),dataMail!$H:$H,"&gt;"&amp;(M$1+$B33-1)),"-"),"-")</f>
        <v>126.3862857</v>
      </c>
      <c r="N33" s="80">
        <f>IF(DAY(EOMONTH(M$1,0))&gt;=$B33, 11-COUNTIFS(dataMail!$C:$C,"&lt;&gt;Annulation",dataMail!$G:$G,"&lt;="&amp;(M$1+$B33-1),dataMail!$H:$H,"&gt;"&amp;(M$1+$B33-1)),"-")</f>
        <v>4</v>
      </c>
      <c r="O33" s="117">
        <f>IF(DAY(EOMONTH(O$1,0))&gt;=$B33,IFERROR(AVERAGEIFS(dataMail!$P:$P,dataMail!$C:$C,"Confirmation",dataMail!$G:$G,"&lt;="&amp;(O$1+$B33-1),dataMail!$H:$H,"&gt;"&amp;(O$1+$B33-1)),"-"),"-")</f>
        <v>157.7724444</v>
      </c>
      <c r="P33" s="80">
        <f>IF(DAY(EOMONTH(O$1,0))&gt;=$B33, 11-COUNTIFS(dataMail!$C:$C,"&lt;&gt;Annulation",dataMail!$G:$G,"&lt;="&amp;(O$1+$B33-1),dataMail!$H:$H,"&gt;"&amp;(O$1+$B33-1)),"-")</f>
        <v>7</v>
      </c>
      <c r="Q33" s="117" t="str">
        <f>IF(DAY(EOMONTH(Q$1,0))&gt;=$B33,IFERROR(AVERAGEIFS(dataMail!$P:$P,dataMail!$C:$C,"Confirmation",dataMail!$G:$G,"&lt;="&amp;(Q$1+$B33-1),dataMail!$H:$H,"&gt;"&amp;(Q$1+$B33-1)),"-"),"-")</f>
        <v>-</v>
      </c>
      <c r="R33" s="80">
        <f>IF(DAY(EOMONTH(Q$1,0))&gt;=$B33, 11-COUNTIFS(dataMail!$C:$C,"&lt;&gt;Annulation",dataMail!$G:$G,"&lt;="&amp;(Q$1+$B33-1),dataMail!$H:$H,"&gt;"&amp;(Q$1+$B33-1)),"-")</f>
        <v>11</v>
      </c>
      <c r="S33" s="117" t="str">
        <f>IF(DAY(EOMONTH(S$1,0))&gt;=$B33,IFERROR(AVERAGEIFS(dataMail!$P:$P,dataMail!$C:$C,"Confirmation",dataMail!$G:$G,"&lt;="&amp;(S$1+$B33-1),dataMail!$H:$H,"&gt;"&amp;(S$1+$B33-1)),"-"),"-")</f>
        <v>-</v>
      </c>
      <c r="T33" s="80">
        <f>IF(DAY(EOMONTH(S$1,0))&gt;=$B33, 11-COUNTIFS(dataMail!$C:$C,"&lt;&gt;Annulation",dataMail!$G:$G,"&lt;="&amp;(S$1+$B33-1),dataMail!$H:$H,"&gt;"&amp;(S$1+$B33-1)),"-")</f>
        <v>11</v>
      </c>
      <c r="U33" s="117">
        <f>IF(DAY(EOMONTH(U$1,0))&gt;=$B33,IFERROR(AVERAGEIFS(dataMail!$P:$P,dataMail!$C:$C,"Confirmation",dataMail!$G:$G,"&lt;="&amp;(U$1+$B33-1),dataMail!$H:$H,"&gt;"&amp;(U$1+$B33-1)),"-"),"-")</f>
        <v>141.208</v>
      </c>
      <c r="V33" s="80">
        <f>IF(DAY(EOMONTH(U$1,0))&gt;=$B33, 11-COUNTIFS(dataMail!$C:$C,"&lt;&gt;Annulation",dataMail!$G:$G,"&lt;="&amp;(U$1+$B33-1),dataMail!$H:$H,"&gt;"&amp;(U$1+$B33-1)),"-")</f>
        <v>9</v>
      </c>
      <c r="W33" s="117" t="str">
        <f>IF(DAY(EOMONTH(W$1,0))&gt;=$B33,IFERROR(AVERAGEIFS(dataMail!$P:$P,dataMail!$C:$C,"Confirmation",dataMail!$G:$G,"&lt;="&amp;(W$1+$B33-1),dataMail!$H:$H,"&gt;"&amp;(W$1+$B33-1)),"-"),"-")</f>
        <v>-</v>
      </c>
      <c r="X33" s="80">
        <f>IF(DAY(EOMONTH(W$1,0))&gt;=$B33, 11-COUNTIFS(dataMail!$C:$C,"&lt;&gt;Annulation",dataMail!$G:$G,"&lt;="&amp;(W$1+$B33-1),dataMail!$H:$H,"&gt;"&amp;(W$1+$B33-1)),"-")</f>
        <v>10</v>
      </c>
      <c r="Y33" s="117">
        <f>IF(DAY(EOMONTH(Y$1,0))&gt;=$B33,IFERROR(AVERAGEIFS(dataMail!$P:$P,dataMail!$C:$C,"Confirmation",dataMail!$G:$G,"&lt;="&amp;(Y$1+$B33-1),dataMail!$H:$H,"&gt;"&amp;(Y$1+$B33-1)),"-"),"-")</f>
        <v>120.576</v>
      </c>
      <c r="Z33" s="80">
        <f>IF(DAY(EOMONTH(Y$1,0))&gt;=$B33, 11-COUNTIFS(dataMail!$C:$C,"&lt;&gt;Annulation",dataMail!$G:$G,"&lt;="&amp;(Y$1+$B33-1),dataMail!$H:$H,"&gt;"&amp;(Y$1+$B33-1)),"-")</f>
        <v>10</v>
      </c>
      <c r="AA33" s="117">
        <f>IF(DAY(EOMONTH(AA$1,0))&gt;=$B33,IFERROR(AVERAGEIFS(dataMail!$P:$P,dataMail!$C:$C,"Confirmation",dataMail!$G:$G,"&lt;="&amp;(AA$1+$B33-1),dataMail!$H:$H,"&gt;"&amp;(AA$1+$B33-1)),"-"),"-")</f>
        <v>75.52</v>
      </c>
      <c r="AB33" s="80">
        <f>IF(DAY(EOMONTH(AA$1,0))&gt;=$B33, 11-COUNTIFS(dataMail!$C:$C,"&lt;&gt;Annulation",dataMail!$G:$G,"&lt;="&amp;(AA$1+$B33-1),dataMail!$H:$H,"&gt;"&amp;(AA$1+$B33-1)),"-")</f>
        <v>10</v>
      </c>
      <c r="AC33" s="117">
        <f>IF(DAY(EOMONTH(AC$1,0))&gt;=$B33,IFERROR(AVERAGEIFS(dataMail!$P:$P,dataMail!$C:$C,"Confirmation",dataMail!$G:$G,"&lt;="&amp;(AC$1+$B33-1),dataMail!$H:$H,"&gt;"&amp;(AC$1+$B33-1)),"-"),"-")</f>
        <v>77.52</v>
      </c>
      <c r="AD33" s="80">
        <f>IF(DAY(EOMONTH(AC$1,0))&gt;=$B33, 11-COUNTIFS(dataMail!$C:$C,"&lt;&gt;Annulation",dataMail!$G:$G,"&lt;="&amp;(AC$1+$B33-1),dataMail!$H:$H,"&gt;"&amp;(AC$1+$B33-1)),"-")</f>
        <v>10</v>
      </c>
      <c r="AE33" s="117" t="str">
        <f>IF(DAY(EOMONTH(AE$1,0))&gt;=$B33,IFERROR(AVERAGEIFS(dataMail!$P:$P,dataMail!$C:$C,"Confirmation",dataMail!$G:$G,"&lt;="&amp;(AE$1+$B33-1),dataMail!$H:$H,"&gt;"&amp;(AE$1+$B33-1)),"-"),"-")</f>
        <v>-</v>
      </c>
      <c r="AF33" s="80">
        <f>IF(DAY(EOMONTH(AE$1,0))&gt;=$B33, 11-COUNTIFS(dataMail!$C:$C,"&lt;&gt;Annulation",dataMail!$G:$G,"&lt;="&amp;(AE$1+$B33-1),dataMail!$H:$H,"&gt;"&amp;(AE$1+$B33-1)),"-")</f>
        <v>11</v>
      </c>
      <c r="AG33" s="117" t="str">
        <f>IF(DAY(EOMONTH(AG$1,0))&gt;=$B33,IFERROR(AVERAGEIFS(dataMail!$P:$P,dataMail!$C:$C,"Confirmation",dataMail!$G:$G,"&lt;="&amp;(AG$1+$B33-1),dataMail!$H:$H,"&gt;"&amp;(AG$1+$B33-1)),"-"),"-")</f>
        <v>-</v>
      </c>
      <c r="AH33" s="80">
        <f>IF(DAY(EOMONTH(AG$1,0))&gt;=$B33, 11-COUNTIFS(dataMail!$C:$C,"&lt;&gt;Annulation",dataMail!$G:$G,"&lt;="&amp;(AG$1+$B33-1),dataMail!$H:$H,"&gt;"&amp;(AG$1+$B33-1)),"-")</f>
        <v>11</v>
      </c>
    </row>
    <row r="34">
      <c r="A34" s="66"/>
      <c r="B34" s="66">
        <v>24.0</v>
      </c>
      <c r="C34" s="227">
        <f>IF(DAY(EOMONTH(C$1,0))&gt;=$B34,IFERROR(AVERAGEIFS(dataMail!$P:$P,dataMail!$C:$C,"Confirmation",dataMail!$G:$G,"&lt;="&amp;(C$1+$B34-1),dataMail!$H:$H,"&gt;"&amp;(C$1+$B34-1)),"-"),"-")</f>
        <v>110.0377143</v>
      </c>
      <c r="D34" s="80">
        <f>IF(DAY(EOMONTH(C$1,0))&gt;=$B34, 11-COUNTIFS(dataMail!$C:$C,"&lt;&gt;Annulation",dataMail!$G:$G,"&lt;="&amp;(C$1+$B34-1),dataMail!$H:$H,"&gt;"&amp;(C$1+$B34-1)),"-")</f>
        <v>4</v>
      </c>
      <c r="E34" s="82">
        <f>IF(DAY(EOMONTH(E$1,0))&gt;=$B34,IFERROR(AVERAGEIFS(dataMail!$P:$P,dataMail!$C:$C,"Confirmation",dataMail!$G:$G,"&lt;="&amp;(E$1+$B34-1),dataMail!$H:$H,"&gt;"&amp;(E$1+$B34-1)),"-"),"-")</f>
        <v>113.7460741</v>
      </c>
      <c r="F34" s="80">
        <f>IF(DAY(EOMONTH(E$1,0))&gt;=$B34, 11-COUNTIFS(dataMail!$C:$C,"&lt;&gt;Annulation",dataMail!$G:$G,"&lt;="&amp;(E$1+$B34-1),dataMail!$H:$H,"&gt;"&amp;(E$1+$B34-1)),"-")</f>
        <v>2</v>
      </c>
      <c r="G34" s="82">
        <f>IF(DAY(EOMONTH(G$1,0))&gt;=$B34,IFERROR(AVERAGEIFS(dataMail!$P:$P,dataMail!$C:$C,"Confirmation",dataMail!$G:$G,"&lt;="&amp;(G$1+$B34-1),dataMail!$H:$H,"&gt;"&amp;(G$1+$B34-1)),"-"),"-")</f>
        <v>108.0774857</v>
      </c>
      <c r="H34" s="80">
        <f>IF(DAY(EOMONTH(G$1,0))&gt;=$B34, 11-COUNTIFS(dataMail!$C:$C,"&lt;&gt;Annulation",dataMail!$G:$G,"&lt;="&amp;(G$1+$B34-1),dataMail!$H:$H,"&gt;"&amp;(G$1+$B34-1)),"-")</f>
        <v>4</v>
      </c>
      <c r="I34" s="227">
        <f>IF(DAY(EOMONTH(I$1,0))&gt;=$B34,IFERROR(AVERAGEIFS(dataMail!$P:$P,dataMail!$C:$C,"Confirmation",dataMail!$G:$G,"&lt;="&amp;(I$1+$B34-1),dataMail!$H:$H,"&gt;"&amp;(I$1+$B34-1)),"-"),"-")</f>
        <v>111.8933333</v>
      </c>
      <c r="J34" s="80">
        <f>IF(DAY(EOMONTH(I$1,0))&gt;=$B34, 11-COUNTIFS(dataMail!$C:$C,"&lt;&gt;Annulation",dataMail!$G:$G,"&lt;="&amp;(I$1+$B34-1),dataMail!$H:$H,"&gt;"&amp;(I$1+$B34-1)),"-")</f>
        <v>2</v>
      </c>
      <c r="K34" s="227">
        <f>IF(DAY(EOMONTH(K$1,0))&gt;=$B34,IFERROR(AVERAGEIFS(dataMail!$P:$P,dataMail!$C:$C,"Confirmation",dataMail!$G:$G,"&lt;="&amp;(K$1+$B34-1),dataMail!$H:$H,"&gt;"&amp;(K$1+$B34-1)),"-"),"-")</f>
        <v>195.24595</v>
      </c>
      <c r="L34" s="80">
        <f>IF(DAY(EOMONTH(K$1,0))&gt;=$B34, 11-COUNTIFS(dataMail!$C:$C,"&lt;&gt;Annulation",dataMail!$G:$G,"&lt;="&amp;(K$1+$B34-1),dataMail!$H:$H,"&gt;"&amp;(K$1+$B34-1)),"-")</f>
        <v>3</v>
      </c>
      <c r="M34" s="227">
        <f>IF(DAY(EOMONTH(M$1,0))&gt;=$B34,IFERROR(AVERAGEIFS(dataMail!$P:$P,dataMail!$C:$C,"Confirmation",dataMail!$G:$G,"&lt;="&amp;(M$1+$B34-1),dataMail!$H:$H,"&gt;"&amp;(M$1+$B34-1)),"-"),"-")</f>
        <v>121.736</v>
      </c>
      <c r="N34" s="80">
        <f>IF(DAY(EOMONTH(M$1,0))&gt;=$B34, 11-COUNTIFS(dataMail!$C:$C,"&lt;&gt;Annulation",dataMail!$G:$G,"&lt;="&amp;(M$1+$B34-1),dataMail!$H:$H,"&gt;"&amp;(M$1+$B34-1)),"-")</f>
        <v>6</v>
      </c>
      <c r="O34" s="227">
        <f>IF(DAY(EOMONTH(O$1,0))&gt;=$B34,IFERROR(AVERAGEIFS(dataMail!$P:$P,dataMail!$C:$C,"Confirmation",dataMail!$G:$G,"&lt;="&amp;(O$1+$B34-1),dataMail!$H:$H,"&gt;"&amp;(O$1+$B34-1)),"-"),"-")</f>
        <v>171.6508444</v>
      </c>
      <c r="P34" s="80">
        <f>IF(DAY(EOMONTH(O$1,0))&gt;=$B34, 11-COUNTIFS(dataMail!$C:$C,"&lt;&gt;Annulation",dataMail!$G:$G,"&lt;="&amp;(O$1+$B34-1),dataMail!$H:$H,"&gt;"&amp;(O$1+$B34-1)),"-")</f>
        <v>1</v>
      </c>
      <c r="Q34" s="227" t="str">
        <f>IF(DAY(EOMONTH(Q$1,0))&gt;=$B34,IFERROR(AVERAGEIFS(dataMail!$P:$P,dataMail!$C:$C,"Confirmation",dataMail!$G:$G,"&lt;="&amp;(Q$1+$B34-1),dataMail!$H:$H,"&gt;"&amp;(Q$1+$B34-1)),"-"),"-")</f>
        <v>-</v>
      </c>
      <c r="R34" s="80">
        <f>IF(DAY(EOMONTH(Q$1,0))&gt;=$B34, 11-COUNTIFS(dataMail!$C:$C,"&lt;&gt;Annulation",dataMail!$G:$G,"&lt;="&amp;(Q$1+$B34-1),dataMail!$H:$H,"&gt;"&amp;(Q$1+$B34-1)),"-")</f>
        <v>11</v>
      </c>
      <c r="S34" s="227">
        <f>IF(DAY(EOMONTH(S$1,0))&gt;=$B34,IFERROR(AVERAGEIFS(dataMail!$P:$P,dataMail!$C:$C,"Confirmation",dataMail!$G:$G,"&lt;="&amp;(S$1+$B34-1),dataMail!$H:$H,"&gt;"&amp;(S$1+$B34-1)),"-"),"-")</f>
        <v>145.664</v>
      </c>
      <c r="T34" s="80">
        <f>IF(DAY(EOMONTH(S$1,0))&gt;=$B34, 11-COUNTIFS(dataMail!$C:$C,"&lt;&gt;Annulation",dataMail!$G:$G,"&lt;="&amp;(S$1+$B34-1),dataMail!$H:$H,"&gt;"&amp;(S$1+$B34-1)),"-")</f>
        <v>10</v>
      </c>
      <c r="U34" s="227">
        <f>IF(DAY(EOMONTH(U$1,0))&gt;=$B34,IFERROR(AVERAGEIFS(dataMail!$P:$P,dataMail!$C:$C,"Confirmation",dataMail!$G:$G,"&lt;="&amp;(U$1+$B34-1),dataMail!$H:$H,"&gt;"&amp;(U$1+$B34-1)),"-"),"-")</f>
        <v>94.13866667</v>
      </c>
      <c r="V34" s="80">
        <f>IF(DAY(EOMONTH(U$1,0))&gt;=$B34, 11-COUNTIFS(dataMail!$C:$C,"&lt;&gt;Annulation",dataMail!$G:$G,"&lt;="&amp;(U$1+$B34-1),dataMail!$H:$H,"&gt;"&amp;(U$1+$B34-1)),"-")</f>
        <v>8</v>
      </c>
      <c r="W34" s="227" t="str">
        <f>IF(DAY(EOMONTH(W$1,0))&gt;=$B34,IFERROR(AVERAGEIFS(dataMail!$P:$P,dataMail!$C:$C,"Confirmation",dataMail!$G:$G,"&lt;="&amp;(W$1+$B34-1),dataMail!$H:$H,"&gt;"&amp;(W$1+$B34-1)),"-"),"-")</f>
        <v>-</v>
      </c>
      <c r="X34" s="80">
        <f>IF(DAY(EOMONTH(W$1,0))&gt;=$B34, 11-COUNTIFS(dataMail!$C:$C,"&lt;&gt;Annulation",dataMail!$G:$G,"&lt;="&amp;(W$1+$B34-1),dataMail!$H:$H,"&gt;"&amp;(W$1+$B34-1)),"-")</f>
        <v>10</v>
      </c>
      <c r="Y34" s="227">
        <f>IF(DAY(EOMONTH(Y$1,0))&gt;=$B34,IFERROR(AVERAGEIFS(dataMail!$P:$P,dataMail!$C:$C,"Confirmation",dataMail!$G:$G,"&lt;="&amp;(Y$1+$B34-1),dataMail!$H:$H,"&gt;"&amp;(Y$1+$B34-1)),"-"),"-")</f>
        <v>120.576</v>
      </c>
      <c r="Z34" s="80">
        <f>IF(DAY(EOMONTH(Y$1,0))&gt;=$B34, 11-COUNTIFS(dataMail!$C:$C,"&lt;&gt;Annulation",dataMail!$G:$G,"&lt;="&amp;(Y$1+$B34-1),dataMail!$H:$H,"&gt;"&amp;(Y$1+$B34-1)),"-")</f>
        <v>10</v>
      </c>
      <c r="AA34" s="227">
        <f>IF(DAY(EOMONTH(AA$1,0))&gt;=$B34,IFERROR(AVERAGEIFS(dataMail!$P:$P,dataMail!$C:$C,"Confirmation",dataMail!$G:$G,"&lt;="&amp;(AA$1+$B34-1),dataMail!$H:$H,"&gt;"&amp;(AA$1+$B34-1)),"-"),"-")</f>
        <v>92.448</v>
      </c>
      <c r="AB34" s="80">
        <f>IF(DAY(EOMONTH(AA$1,0))&gt;=$B34, 11-COUNTIFS(dataMail!$C:$C,"&lt;&gt;Annulation",dataMail!$G:$G,"&lt;="&amp;(AA$1+$B34-1),dataMail!$H:$H,"&gt;"&amp;(AA$1+$B34-1)),"-")</f>
        <v>10</v>
      </c>
      <c r="AC34" s="227" t="str">
        <f>IF(DAY(EOMONTH(AC$1,0))&gt;=$B34,IFERROR(AVERAGEIFS(dataMail!$P:$P,dataMail!$C:$C,"Confirmation",dataMail!$G:$G,"&lt;="&amp;(AC$1+$B34-1),dataMail!$H:$H,"&gt;"&amp;(AC$1+$B34-1)),"-"),"-")</f>
        <v>-</v>
      </c>
      <c r="AD34" s="80">
        <f>IF(DAY(EOMONTH(AC$1,0))&gt;=$B34, 11-COUNTIFS(dataMail!$C:$C,"&lt;&gt;Annulation",dataMail!$G:$G,"&lt;="&amp;(AC$1+$B34-1),dataMail!$H:$H,"&gt;"&amp;(AC$1+$B34-1)),"-")</f>
        <v>11</v>
      </c>
      <c r="AE34" s="227" t="str">
        <f>IF(DAY(EOMONTH(AE$1,0))&gt;=$B34,IFERROR(AVERAGEIFS(dataMail!$P:$P,dataMail!$C:$C,"Confirmation",dataMail!$G:$G,"&lt;="&amp;(AE$1+$B34-1),dataMail!$H:$H,"&gt;"&amp;(AE$1+$B34-1)),"-"),"-")</f>
        <v>-</v>
      </c>
      <c r="AF34" s="80">
        <f>IF(DAY(EOMONTH(AE$1,0))&gt;=$B34, 11-COUNTIFS(dataMail!$C:$C,"&lt;&gt;Annulation",dataMail!$G:$G,"&lt;="&amp;(AE$1+$B34-1),dataMail!$H:$H,"&gt;"&amp;(AE$1+$B34-1)),"-")</f>
        <v>11</v>
      </c>
      <c r="AG34" s="227" t="str">
        <f>IF(DAY(EOMONTH(AG$1,0))&gt;=$B34,IFERROR(AVERAGEIFS(dataMail!$P:$P,dataMail!$C:$C,"Confirmation",dataMail!$G:$G,"&lt;="&amp;(AG$1+$B34-1),dataMail!$H:$H,"&gt;"&amp;(AG$1+$B34-1)),"-"),"-")</f>
        <v>-</v>
      </c>
      <c r="AH34" s="80">
        <f>IF(DAY(EOMONTH(AG$1,0))&gt;=$B34, 11-COUNTIFS(dataMail!$C:$C,"&lt;&gt;Annulation",dataMail!$G:$G,"&lt;="&amp;(AG$1+$B34-1),dataMail!$H:$H,"&gt;"&amp;(AG$1+$B34-1)),"-")</f>
        <v>11</v>
      </c>
    </row>
    <row r="35">
      <c r="A35" s="66"/>
      <c r="B35" s="66">
        <v>25.0</v>
      </c>
      <c r="C35" s="228">
        <f>IF(DAY(EOMONTH(C$1,0))&gt;=$B35,IFERROR(AVERAGEIFS(dataMail!$P:$P,dataMail!$C:$C,"Confirmation",dataMail!$G:$G,"&lt;="&amp;(C$1+$B35-1),dataMail!$H:$H,"&gt;"&amp;(C$1+$B35-1)),"-"),"-")</f>
        <v>149.454</v>
      </c>
      <c r="D35" s="80">
        <f>IF(DAY(EOMONTH(C$1,0))&gt;=$B35, 11-COUNTIFS(dataMail!$C:$C,"&lt;&gt;Annulation",dataMail!$G:$G,"&lt;="&amp;(C$1+$B35-1),dataMail!$H:$H,"&gt;"&amp;(C$1+$B35-1)),"-")</f>
        <v>4</v>
      </c>
      <c r="E35" s="82">
        <f>IF(DAY(EOMONTH(E$1,0))&gt;=$B35,IFERROR(AVERAGEIFS(dataMail!$P:$P,dataMail!$C:$C,"Confirmation",dataMail!$G:$G,"&lt;="&amp;(E$1+$B35-1),dataMail!$H:$H,"&gt;"&amp;(E$1+$B35-1)),"-"),"-")</f>
        <v>110.4346667</v>
      </c>
      <c r="F35" s="80">
        <f>IF(DAY(EOMONTH(E$1,0))&gt;=$B35, 11-COUNTIFS(dataMail!$C:$C,"&lt;&gt;Annulation",dataMail!$G:$G,"&lt;="&amp;(E$1+$B35-1),dataMail!$H:$H,"&gt;"&amp;(E$1+$B35-1)),"-")</f>
        <v>5</v>
      </c>
      <c r="G35" s="82">
        <f>IF(DAY(EOMONTH(G$1,0))&gt;=$B35,IFERROR(AVERAGEIFS(dataMail!$P:$P,dataMail!$C:$C,"Confirmation",dataMail!$G:$G,"&lt;="&amp;(G$1+$B35-1),dataMail!$H:$H,"&gt;"&amp;(G$1+$B35-1)),"-"),"-")</f>
        <v>96.12906667</v>
      </c>
      <c r="H35" s="80">
        <f>IF(DAY(EOMONTH(G$1,0))&gt;=$B35, 11-COUNTIFS(dataMail!$C:$C,"&lt;&gt;Annulation",dataMail!$G:$G,"&lt;="&amp;(G$1+$B35-1),dataMail!$H:$H,"&gt;"&amp;(G$1+$B35-1)),"-")</f>
        <v>5</v>
      </c>
      <c r="I35" s="228">
        <f>IF(DAY(EOMONTH(I$1,0))&gt;=$B35,IFERROR(AVERAGEIFS(dataMail!$P:$P,dataMail!$C:$C,"Confirmation",dataMail!$G:$G,"&lt;="&amp;(I$1+$B35-1),dataMail!$H:$H,"&gt;"&amp;(I$1+$B35-1)),"-"),"-")</f>
        <v>113.47</v>
      </c>
      <c r="J35" s="80">
        <f>IF(DAY(EOMONTH(I$1,0))&gt;=$B35, 11-COUNTIFS(dataMail!$C:$C,"&lt;&gt;Annulation",dataMail!$G:$G,"&lt;="&amp;(I$1+$B35-1),dataMail!$H:$H,"&gt;"&amp;(I$1+$B35-1)),"-")</f>
        <v>3</v>
      </c>
      <c r="K35" s="228">
        <f>IF(DAY(EOMONTH(K$1,0))&gt;=$B35,IFERROR(AVERAGEIFS(dataMail!$P:$P,dataMail!$C:$C,"Confirmation",dataMail!$G:$G,"&lt;="&amp;(K$1+$B35-1),dataMail!$H:$H,"&gt;"&amp;(K$1+$B35-1)),"-"),"-")</f>
        <v>188.2051</v>
      </c>
      <c r="L35" s="80">
        <f>IF(DAY(EOMONTH(K$1,0))&gt;=$B35, 11-COUNTIFS(dataMail!$C:$C,"&lt;&gt;Annulation",dataMail!$G:$G,"&lt;="&amp;(K$1+$B35-1),dataMail!$H:$H,"&gt;"&amp;(K$1+$B35-1)),"-")</f>
        <v>2</v>
      </c>
      <c r="M35" s="228">
        <f>IF(DAY(EOMONTH(M$1,0))&gt;=$B35,IFERROR(AVERAGEIFS(dataMail!$P:$P,dataMail!$C:$C,"Confirmation",dataMail!$G:$G,"&lt;="&amp;(M$1+$B35-1),dataMail!$H:$H,"&gt;"&amp;(M$1+$B35-1)),"-"),"-")</f>
        <v>117.2746667</v>
      </c>
      <c r="N35" s="80">
        <f>IF(DAY(EOMONTH(M$1,0))&gt;=$B35, 11-COUNTIFS(dataMail!$C:$C,"&lt;&gt;Annulation",dataMail!$G:$G,"&lt;="&amp;(M$1+$B35-1),dataMail!$H:$H,"&gt;"&amp;(M$1+$B35-1)),"-")</f>
        <v>8</v>
      </c>
      <c r="O35" s="228">
        <f>IF(DAY(EOMONTH(O$1,0))&gt;=$B35,IFERROR(AVERAGEIFS(dataMail!$P:$P,dataMail!$C:$C,"Confirmation",dataMail!$G:$G,"&lt;="&amp;(O$1+$B35-1),dataMail!$H:$H,"&gt;"&amp;(O$1+$B35-1)),"-"),"-")</f>
        <v>187.7477722</v>
      </c>
      <c r="P35" s="80">
        <f>IF(DAY(EOMONTH(O$1,0))&gt;=$B35, 11-COUNTIFS(dataMail!$C:$C,"&lt;&gt;Annulation",dataMail!$G:$G,"&lt;="&amp;(O$1+$B35-1),dataMail!$H:$H,"&gt;"&amp;(O$1+$B35-1)),"-")</f>
        <v>0</v>
      </c>
      <c r="Q35" s="228" t="str">
        <f>IF(DAY(EOMONTH(Q$1,0))&gt;=$B35,IFERROR(AVERAGEIFS(dataMail!$P:$P,dataMail!$C:$C,"Confirmation",dataMail!$G:$G,"&lt;="&amp;(Q$1+$B35-1),dataMail!$H:$H,"&gt;"&amp;(Q$1+$B35-1)),"-"),"-")</f>
        <v>-</v>
      </c>
      <c r="R35" s="80">
        <f>IF(DAY(EOMONTH(Q$1,0))&gt;=$B35, 11-COUNTIFS(dataMail!$C:$C,"&lt;&gt;Annulation",dataMail!$G:$G,"&lt;="&amp;(Q$1+$B35-1),dataMail!$H:$H,"&gt;"&amp;(Q$1+$B35-1)),"-")</f>
        <v>11</v>
      </c>
      <c r="S35" s="228">
        <f>IF(DAY(EOMONTH(S$1,0))&gt;=$B35,IFERROR(AVERAGEIFS(dataMail!$P:$P,dataMail!$C:$C,"Confirmation",dataMail!$G:$G,"&lt;="&amp;(S$1+$B35-1),dataMail!$H:$H,"&gt;"&amp;(S$1+$B35-1)),"-"),"-")</f>
        <v>145.664</v>
      </c>
      <c r="T35" s="80">
        <f>IF(DAY(EOMONTH(S$1,0))&gt;=$B35, 11-COUNTIFS(dataMail!$C:$C,"&lt;&gt;Annulation",dataMail!$G:$G,"&lt;="&amp;(S$1+$B35-1),dataMail!$H:$H,"&gt;"&amp;(S$1+$B35-1)),"-")</f>
        <v>10</v>
      </c>
      <c r="U35" s="228">
        <f>IF(DAY(EOMONTH(U$1,0))&gt;=$B35,IFERROR(AVERAGEIFS(dataMail!$P:$P,dataMail!$C:$C,"Confirmation",dataMail!$G:$G,"&lt;="&amp;(U$1+$B35-1),dataMail!$H:$H,"&gt;"&amp;(U$1+$B35-1)),"-"),"-")</f>
        <v>71.96</v>
      </c>
      <c r="V35" s="80">
        <f>IF(DAY(EOMONTH(U$1,0))&gt;=$B35, 11-COUNTIFS(dataMail!$C:$C,"&lt;&gt;Annulation",dataMail!$G:$G,"&lt;="&amp;(U$1+$B35-1),dataMail!$H:$H,"&gt;"&amp;(U$1+$B35-1)),"-")</f>
        <v>9</v>
      </c>
      <c r="W35" s="228">
        <f>IF(DAY(EOMONTH(W$1,0))&gt;=$B35,IFERROR(AVERAGEIFS(dataMail!$P:$P,dataMail!$C:$C,"Confirmation",dataMail!$G:$G,"&lt;="&amp;(W$1+$B35-1),dataMail!$H:$H,"&gt;"&amp;(W$1+$B35-1)),"-"),"-")</f>
        <v>145.664</v>
      </c>
      <c r="X35" s="80">
        <f>IF(DAY(EOMONTH(W$1,0))&gt;=$B35, 11-COUNTIFS(dataMail!$C:$C,"&lt;&gt;Annulation",dataMail!$G:$G,"&lt;="&amp;(W$1+$B35-1),dataMail!$H:$H,"&gt;"&amp;(W$1+$B35-1)),"-")</f>
        <v>9</v>
      </c>
      <c r="Y35" s="228">
        <f>IF(DAY(EOMONTH(Y$1,0))&gt;=$B35,IFERROR(AVERAGEIFS(dataMail!$P:$P,dataMail!$C:$C,"Confirmation",dataMail!$G:$G,"&lt;="&amp;(Y$1+$B35-1),dataMail!$H:$H,"&gt;"&amp;(Y$1+$B35-1)),"-"),"-")</f>
        <v>120.576</v>
      </c>
      <c r="Z35" s="80">
        <f>IF(DAY(EOMONTH(Y$1,0))&gt;=$B35, 11-COUNTIFS(dataMail!$C:$C,"&lt;&gt;Annulation",dataMail!$G:$G,"&lt;="&amp;(Y$1+$B35-1),dataMail!$H:$H,"&gt;"&amp;(Y$1+$B35-1)),"-")</f>
        <v>10</v>
      </c>
      <c r="AA35" s="228">
        <f>IF(DAY(EOMONTH(AA$1,0))&gt;=$B35,IFERROR(AVERAGEIFS(dataMail!$P:$P,dataMail!$C:$C,"Confirmation",dataMail!$G:$G,"&lt;="&amp;(AA$1+$B35-1),dataMail!$H:$H,"&gt;"&amp;(AA$1+$B35-1)),"-"),"-")</f>
        <v>92.448</v>
      </c>
      <c r="AB35" s="80">
        <f>IF(DAY(EOMONTH(AA$1,0))&gt;=$B35, 11-COUNTIFS(dataMail!$C:$C,"&lt;&gt;Annulation",dataMail!$G:$G,"&lt;="&amp;(AA$1+$B35-1),dataMail!$H:$H,"&gt;"&amp;(AA$1+$B35-1)),"-")</f>
        <v>10</v>
      </c>
      <c r="AC35" s="228" t="str">
        <f>IF(DAY(EOMONTH(AC$1,0))&gt;=$B35,IFERROR(AVERAGEIFS(dataMail!$P:$P,dataMail!$C:$C,"Confirmation",dataMail!$G:$G,"&lt;="&amp;(AC$1+$B35-1),dataMail!$H:$H,"&gt;"&amp;(AC$1+$B35-1)),"-"),"-")</f>
        <v>-</v>
      </c>
      <c r="AD35" s="80">
        <f>IF(DAY(EOMONTH(AC$1,0))&gt;=$B35, 11-COUNTIFS(dataMail!$C:$C,"&lt;&gt;Annulation",dataMail!$G:$G,"&lt;="&amp;(AC$1+$B35-1),dataMail!$H:$H,"&gt;"&amp;(AC$1+$B35-1)),"-")</f>
        <v>11</v>
      </c>
      <c r="AE35" s="228">
        <f>IF(DAY(EOMONTH(AE$1,0))&gt;=$B35,IFERROR(AVERAGEIFS(dataMail!$P:$P,dataMail!$C:$C,"Confirmation",dataMail!$G:$G,"&lt;="&amp;(AE$1+$B35-1),dataMail!$H:$H,"&gt;"&amp;(AE$1+$B35-1)),"-"),"-")</f>
        <v>255.184</v>
      </c>
      <c r="AF35" s="80">
        <f>IF(DAY(EOMONTH(AE$1,0))&gt;=$B35, 11-COUNTIFS(dataMail!$C:$C,"&lt;&gt;Annulation",dataMail!$G:$G,"&lt;="&amp;(AE$1+$B35-1),dataMail!$H:$H,"&gt;"&amp;(AE$1+$B35-1)),"-")</f>
        <v>10</v>
      </c>
      <c r="AG35" s="228" t="str">
        <f>IF(DAY(EOMONTH(AG$1,0))&gt;=$B35,IFERROR(AVERAGEIFS(dataMail!$P:$P,dataMail!$C:$C,"Confirmation",dataMail!$G:$G,"&lt;="&amp;(AG$1+$B35-1),dataMail!$H:$H,"&gt;"&amp;(AG$1+$B35-1)),"-"),"-")</f>
        <v>-</v>
      </c>
      <c r="AH35" s="80">
        <f>IF(DAY(EOMONTH(AG$1,0))&gt;=$B35, 11-COUNTIFS(dataMail!$C:$C,"&lt;&gt;Annulation",dataMail!$G:$G,"&lt;="&amp;(AG$1+$B35-1),dataMail!$H:$H,"&gt;"&amp;(AG$1+$B35-1)),"-")</f>
        <v>11</v>
      </c>
    </row>
    <row r="36">
      <c r="A36" s="66"/>
      <c r="B36" s="66">
        <v>26.0</v>
      </c>
      <c r="C36" s="231">
        <f>IF(DAY(EOMONTH(C$1,0))&gt;=$B36,IFERROR(AVERAGEIFS(dataMail!$P:$P,dataMail!$C:$C,"Confirmation",dataMail!$G:$G,"&lt;="&amp;(C$1+$B36-1),dataMail!$H:$H,"&gt;"&amp;(C$1+$B36-1)),"-"),"-")</f>
        <v>149.1252</v>
      </c>
      <c r="D36" s="80">
        <f>IF(DAY(EOMONTH(C$1,0))&gt;=$B36, 11-COUNTIFS(dataMail!$C:$C,"&lt;&gt;Annulation",dataMail!$G:$G,"&lt;="&amp;(C$1+$B36-1),dataMail!$H:$H,"&gt;"&amp;(C$1+$B36-1)),"-")</f>
        <v>5</v>
      </c>
      <c r="E36" s="82">
        <f>IF(DAY(EOMONTH(E$1,0))&gt;=$B36,IFERROR(AVERAGEIFS(dataMail!$P:$P,dataMail!$C:$C,"Confirmation",dataMail!$G:$G,"&lt;="&amp;(E$1+$B36-1),dataMail!$H:$H,"&gt;"&amp;(E$1+$B36-1)),"-"),"-")</f>
        <v>125.89852</v>
      </c>
      <c r="F36" s="80">
        <f>IF(DAY(EOMONTH(E$1,0))&gt;=$B36, 11-COUNTIFS(dataMail!$C:$C,"&lt;&gt;Annulation",dataMail!$G:$G,"&lt;="&amp;(E$1+$B36-1),dataMail!$H:$H,"&gt;"&amp;(E$1+$B36-1)),"-")</f>
        <v>1</v>
      </c>
      <c r="G36" s="82">
        <f>IF(DAY(EOMONTH(G$1,0))&gt;=$B36,IFERROR(AVERAGEIFS(dataMail!$P:$P,dataMail!$C:$C,"Confirmation",dataMail!$G:$G,"&lt;="&amp;(G$1+$B36-1),dataMail!$H:$H,"&gt;"&amp;(G$1+$B36-1)),"-"),"-")</f>
        <v>134.4908</v>
      </c>
      <c r="H36" s="80">
        <f>IF(DAY(EOMONTH(G$1,0))&gt;=$B36, 11-COUNTIFS(dataMail!$C:$C,"&lt;&gt;Annulation",dataMail!$G:$G,"&lt;="&amp;(G$1+$B36-1),dataMail!$H:$H,"&gt;"&amp;(G$1+$B36-1)),"-")</f>
        <v>3</v>
      </c>
      <c r="I36" s="231">
        <f>IF(DAY(EOMONTH(I$1,0))&gt;=$B36,IFERROR(AVERAGEIFS(dataMail!$P:$P,dataMail!$C:$C,"Confirmation",dataMail!$G:$G,"&lt;="&amp;(I$1+$B36-1),dataMail!$H:$H,"&gt;"&amp;(I$1+$B36-1)),"-"),"-")</f>
        <v>156.5804444</v>
      </c>
      <c r="J36" s="80">
        <f>IF(DAY(EOMONTH(I$1,0))&gt;=$B36, 11-COUNTIFS(dataMail!$C:$C,"&lt;&gt;Annulation",dataMail!$G:$G,"&lt;="&amp;(I$1+$B36-1),dataMail!$H:$H,"&gt;"&amp;(I$1+$B36-1)),"-")</f>
        <v>2</v>
      </c>
      <c r="K36" s="231">
        <f>IF(DAY(EOMONTH(K$1,0))&gt;=$B36,IFERROR(AVERAGEIFS(dataMail!$P:$P,dataMail!$C:$C,"Confirmation",dataMail!$G:$G,"&lt;="&amp;(K$1+$B36-1),dataMail!$H:$H,"&gt;"&amp;(K$1+$B36-1)),"-"),"-")</f>
        <v>179.6173</v>
      </c>
      <c r="L36" s="80">
        <f>IF(DAY(EOMONTH(K$1,0))&gt;=$B36, 11-COUNTIFS(dataMail!$C:$C,"&lt;&gt;Annulation",dataMail!$G:$G,"&lt;="&amp;(K$1+$B36-1),dataMail!$H:$H,"&gt;"&amp;(K$1+$B36-1)),"-")</f>
        <v>0</v>
      </c>
      <c r="M36" s="231">
        <f>IF(DAY(EOMONTH(M$1,0))&gt;=$B36,IFERROR(AVERAGEIFS(dataMail!$P:$P,dataMail!$C:$C,"Confirmation",dataMail!$G:$G,"&lt;="&amp;(M$1+$B36-1),dataMail!$H:$H,"&gt;"&amp;(M$1+$B36-1)),"-"),"-")</f>
        <v>119.408</v>
      </c>
      <c r="N36" s="80">
        <f>IF(DAY(EOMONTH(M$1,0))&gt;=$B36, 11-COUNTIFS(dataMail!$C:$C,"&lt;&gt;Annulation",dataMail!$G:$G,"&lt;="&amp;(M$1+$B36-1),dataMail!$H:$H,"&gt;"&amp;(M$1+$B36-1)),"-")</f>
        <v>9</v>
      </c>
      <c r="O36" s="231">
        <f>IF(DAY(EOMONTH(O$1,0))&gt;=$B36,IFERROR(AVERAGEIFS(dataMail!$P:$P,dataMail!$C:$C,"Confirmation",dataMail!$G:$G,"&lt;="&amp;(O$1+$B36-1),dataMail!$H:$H,"&gt;"&amp;(O$1+$B36-1)),"-"),"-")</f>
        <v>183.5845585</v>
      </c>
      <c r="P36" s="80">
        <f>IF(DAY(EOMONTH(O$1,0))&gt;=$B36, 11-COUNTIFS(dataMail!$C:$C,"&lt;&gt;Annulation",dataMail!$G:$G,"&lt;="&amp;(O$1+$B36-1),dataMail!$H:$H,"&gt;"&amp;(O$1+$B36-1)),"-")</f>
        <v>-7</v>
      </c>
      <c r="Q36" s="231" t="str">
        <f>IF(DAY(EOMONTH(Q$1,0))&gt;=$B36,IFERROR(AVERAGEIFS(dataMail!$P:$P,dataMail!$C:$C,"Confirmation",dataMail!$G:$G,"&lt;="&amp;(Q$1+$B36-1),dataMail!$H:$H,"&gt;"&amp;(Q$1+$B36-1)),"-"),"-")</f>
        <v>-</v>
      </c>
      <c r="R36" s="80">
        <f>IF(DAY(EOMONTH(Q$1,0))&gt;=$B36, 11-COUNTIFS(dataMail!$C:$C,"&lt;&gt;Annulation",dataMail!$G:$G,"&lt;="&amp;(Q$1+$B36-1),dataMail!$H:$H,"&gt;"&amp;(Q$1+$B36-1)),"-")</f>
        <v>11</v>
      </c>
      <c r="S36" s="231" t="str">
        <f>IF(DAY(EOMONTH(S$1,0))&gt;=$B36,IFERROR(AVERAGEIFS(dataMail!$P:$P,dataMail!$C:$C,"Confirmation",dataMail!$G:$G,"&lt;="&amp;(S$1+$B36-1),dataMail!$H:$H,"&gt;"&amp;(S$1+$B36-1)),"-"),"-")</f>
        <v>-</v>
      </c>
      <c r="T36" s="80">
        <f>IF(DAY(EOMONTH(S$1,0))&gt;=$B36, 11-COUNTIFS(dataMail!$C:$C,"&lt;&gt;Annulation",dataMail!$G:$G,"&lt;="&amp;(S$1+$B36-1),dataMail!$H:$H,"&gt;"&amp;(S$1+$B36-1)),"-")</f>
        <v>11</v>
      </c>
      <c r="U36" s="231">
        <f>IF(DAY(EOMONTH(U$1,0))&gt;=$B36,IFERROR(AVERAGEIFS(dataMail!$P:$P,dataMail!$C:$C,"Confirmation",dataMail!$G:$G,"&lt;="&amp;(U$1+$B36-1),dataMail!$H:$H,"&gt;"&amp;(U$1+$B36-1)),"-"),"-")</f>
        <v>0</v>
      </c>
      <c r="V36" s="80">
        <f>IF(DAY(EOMONTH(U$1,0))&gt;=$B36, 11-COUNTIFS(dataMail!$C:$C,"&lt;&gt;Annulation",dataMail!$G:$G,"&lt;="&amp;(U$1+$B36-1),dataMail!$H:$H,"&gt;"&amp;(U$1+$B36-1)),"-")</f>
        <v>10</v>
      </c>
      <c r="W36" s="231">
        <f>IF(DAY(EOMONTH(W$1,0))&gt;=$B36,IFERROR(AVERAGEIFS(dataMail!$P:$P,dataMail!$C:$C,"Confirmation",dataMail!$G:$G,"&lt;="&amp;(W$1+$B36-1),dataMail!$H:$H,"&gt;"&amp;(W$1+$B36-1)),"-"),"-")</f>
        <v>139.8933333</v>
      </c>
      <c r="X36" s="80">
        <f>IF(DAY(EOMONTH(W$1,0))&gt;=$B36, 11-COUNTIFS(dataMail!$C:$C,"&lt;&gt;Annulation",dataMail!$G:$G,"&lt;="&amp;(W$1+$B36-1),dataMail!$H:$H,"&gt;"&amp;(W$1+$B36-1)),"-")</f>
        <v>8</v>
      </c>
      <c r="Y36" s="231" t="str">
        <f>IF(DAY(EOMONTH(Y$1,0))&gt;=$B36,IFERROR(AVERAGEIFS(dataMail!$P:$P,dataMail!$C:$C,"Confirmation",dataMail!$G:$G,"&lt;="&amp;(Y$1+$B36-1),dataMail!$H:$H,"&gt;"&amp;(Y$1+$B36-1)),"-"),"-")</f>
        <v>-</v>
      </c>
      <c r="Z36" s="80">
        <f>IF(DAY(EOMONTH(Y$1,0))&gt;=$B36, 11-COUNTIFS(dataMail!$C:$C,"&lt;&gt;Annulation",dataMail!$G:$G,"&lt;="&amp;(Y$1+$B36-1),dataMail!$H:$H,"&gt;"&amp;(Y$1+$B36-1)),"-")</f>
        <v>11</v>
      </c>
      <c r="AA36" s="231">
        <f>IF(DAY(EOMONTH(AA$1,0))&gt;=$B36,IFERROR(AVERAGEIFS(dataMail!$P:$P,dataMail!$C:$C,"Confirmation",dataMail!$G:$G,"&lt;="&amp;(AA$1+$B36-1),dataMail!$H:$H,"&gt;"&amp;(AA$1+$B36-1)),"-"),"-")</f>
        <v>92.448</v>
      </c>
      <c r="AB36" s="80">
        <f>IF(DAY(EOMONTH(AA$1,0))&gt;=$B36, 11-COUNTIFS(dataMail!$C:$C,"&lt;&gt;Annulation",dataMail!$G:$G,"&lt;="&amp;(AA$1+$B36-1),dataMail!$H:$H,"&gt;"&amp;(AA$1+$B36-1)),"-")</f>
        <v>10</v>
      </c>
      <c r="AC36" s="231">
        <f>IF(DAY(EOMONTH(AC$1,0))&gt;=$B36,IFERROR(AVERAGEIFS(dataMail!$P:$P,dataMail!$C:$C,"Confirmation",dataMail!$G:$G,"&lt;="&amp;(AC$1+$B36-1),dataMail!$H:$H,"&gt;"&amp;(AC$1+$B36-1)),"-"),"-")</f>
        <v>78</v>
      </c>
      <c r="AD36" s="80">
        <f>IF(DAY(EOMONTH(AC$1,0))&gt;=$B36, 11-COUNTIFS(dataMail!$C:$C,"&lt;&gt;Annulation",dataMail!$G:$G,"&lt;="&amp;(AC$1+$B36-1),dataMail!$H:$H,"&gt;"&amp;(AC$1+$B36-1)),"-")</f>
        <v>10</v>
      </c>
      <c r="AE36" s="231">
        <f>IF(DAY(EOMONTH(AE$1,0))&gt;=$B36,IFERROR(AVERAGEIFS(dataMail!$P:$P,dataMail!$C:$C,"Confirmation",dataMail!$G:$G,"&lt;="&amp;(AE$1+$B36-1),dataMail!$H:$H,"&gt;"&amp;(AE$1+$B36-1)),"-"),"-")</f>
        <v>255.184</v>
      </c>
      <c r="AF36" s="80">
        <f>IF(DAY(EOMONTH(AE$1,0))&gt;=$B36, 11-COUNTIFS(dataMail!$C:$C,"&lt;&gt;Annulation",dataMail!$G:$G,"&lt;="&amp;(AE$1+$B36-1),dataMail!$H:$H,"&gt;"&amp;(AE$1+$B36-1)),"-")</f>
        <v>10</v>
      </c>
      <c r="AG36" s="231" t="str">
        <f>IF(DAY(EOMONTH(AG$1,0))&gt;=$B36,IFERROR(AVERAGEIFS(dataMail!$P:$P,dataMail!$C:$C,"Confirmation",dataMail!$G:$G,"&lt;="&amp;(AG$1+$B36-1),dataMail!$H:$H,"&gt;"&amp;(AG$1+$B36-1)),"-"),"-")</f>
        <v>-</v>
      </c>
      <c r="AH36" s="80">
        <f>IF(DAY(EOMONTH(AG$1,0))&gt;=$B36, 11-COUNTIFS(dataMail!$C:$C,"&lt;&gt;Annulation",dataMail!$G:$G,"&lt;="&amp;(AG$1+$B36-1),dataMail!$H:$H,"&gt;"&amp;(AG$1+$B36-1)),"-")</f>
        <v>11</v>
      </c>
    </row>
    <row r="37">
      <c r="A37" s="66"/>
      <c r="B37" s="66">
        <v>27.0</v>
      </c>
      <c r="C37" s="232">
        <f>IF(DAY(EOMONTH(C$1,0))&gt;=$B37,IFERROR(AVERAGEIFS(dataMail!$P:$P,dataMail!$C:$C,"Confirmation",dataMail!$G:$G,"&lt;="&amp;(C$1+$B37-1),dataMail!$H:$H,"&gt;"&amp;(C$1+$B37-1)),"-"),"-")</f>
        <v>145.096</v>
      </c>
      <c r="D37" s="80">
        <f>IF(DAY(EOMONTH(C$1,0))&gt;=$B37, 11-COUNTIFS(dataMail!$C:$C,"&lt;&gt;Annulation",dataMail!$G:$G,"&lt;="&amp;(C$1+$B37-1),dataMail!$H:$H,"&gt;"&amp;(C$1+$B37-1)),"-")</f>
        <v>5</v>
      </c>
      <c r="E37" s="82">
        <f>IF(DAY(EOMONTH(E$1,0))&gt;=$B37,IFERROR(AVERAGEIFS(dataMail!$P:$P,dataMail!$C:$C,"Confirmation",dataMail!$G:$G,"&lt;="&amp;(E$1+$B37-1),dataMail!$H:$H,"&gt;"&amp;(E$1+$B37-1)),"-"),"-")</f>
        <v>128.2321333</v>
      </c>
      <c r="F37" s="80">
        <f>IF(DAY(EOMONTH(E$1,0))&gt;=$B37, 11-COUNTIFS(dataMail!$C:$C,"&lt;&gt;Annulation",dataMail!$G:$G,"&lt;="&amp;(E$1+$B37-1),dataMail!$H:$H,"&gt;"&amp;(E$1+$B37-1)),"-")</f>
        <v>2</v>
      </c>
      <c r="G37" s="82">
        <f>IF(DAY(EOMONTH(G$1,0))&gt;=$B37,IFERROR(AVERAGEIFS(dataMail!$P:$P,dataMail!$C:$C,"Confirmation",dataMail!$G:$G,"&lt;="&amp;(G$1+$B37-1),dataMail!$H:$H,"&gt;"&amp;(G$1+$B37-1)),"-"),"-")</f>
        <v>132.5548</v>
      </c>
      <c r="H37" s="80">
        <f>IF(DAY(EOMONTH(G$1,0))&gt;=$B37, 11-COUNTIFS(dataMail!$C:$C,"&lt;&gt;Annulation",dataMail!$G:$G,"&lt;="&amp;(G$1+$B37-1),dataMail!$H:$H,"&gt;"&amp;(G$1+$B37-1)),"-")</f>
        <v>3</v>
      </c>
      <c r="I37" s="232">
        <f>IF(DAY(EOMONTH(I$1,0))&gt;=$B37,IFERROR(AVERAGEIFS(dataMail!$P:$P,dataMail!$C:$C,"Confirmation",dataMail!$G:$G,"&lt;="&amp;(I$1+$B37-1),dataMail!$H:$H,"&gt;"&amp;(I$1+$B37-1)),"-"),"-")</f>
        <v>123.8813333</v>
      </c>
      <c r="J37" s="80">
        <f>IF(DAY(EOMONTH(I$1,0))&gt;=$B37, 11-COUNTIFS(dataMail!$C:$C,"&lt;&gt;Annulation",dataMail!$G:$G,"&lt;="&amp;(I$1+$B37-1),dataMail!$H:$H,"&gt;"&amp;(I$1+$B37-1)),"-")</f>
        <v>5</v>
      </c>
      <c r="K37" s="232">
        <f>IF(DAY(EOMONTH(K$1,0))&gt;=$B37,IFERROR(AVERAGEIFS(dataMail!$P:$P,dataMail!$C:$C,"Confirmation",dataMail!$G:$G,"&lt;="&amp;(K$1+$B37-1),dataMail!$H:$H,"&gt;"&amp;(K$1+$B37-1)),"-"),"-")</f>
        <v>177.0127</v>
      </c>
      <c r="L37" s="80">
        <f>IF(DAY(EOMONTH(K$1,0))&gt;=$B37, 11-COUNTIFS(dataMail!$C:$C,"&lt;&gt;Annulation",dataMail!$G:$G,"&lt;="&amp;(K$1+$B37-1),dataMail!$H:$H,"&gt;"&amp;(K$1+$B37-1)),"-")</f>
        <v>-1</v>
      </c>
      <c r="M37" s="232">
        <f>IF(DAY(EOMONTH(M$1,0))&gt;=$B37,IFERROR(AVERAGEIFS(dataMail!$P:$P,dataMail!$C:$C,"Confirmation",dataMail!$G:$G,"&lt;="&amp;(M$1+$B37-1),dataMail!$H:$H,"&gt;"&amp;(M$1+$B37-1)),"-"),"-")</f>
        <v>128.736</v>
      </c>
      <c r="N37" s="80">
        <f>IF(DAY(EOMONTH(M$1,0))&gt;=$B37, 11-COUNTIFS(dataMail!$C:$C,"&lt;&gt;Annulation",dataMail!$G:$G,"&lt;="&amp;(M$1+$B37-1),dataMail!$H:$H,"&gt;"&amp;(M$1+$B37-1)),"-")</f>
        <v>8</v>
      </c>
      <c r="O37" s="232">
        <f>IF(DAY(EOMONTH(O$1,0))&gt;=$B37,IFERROR(AVERAGEIFS(dataMail!$P:$P,dataMail!$C:$C,"Confirmation",dataMail!$G:$G,"&lt;="&amp;(O$1+$B37-1),dataMail!$H:$H,"&gt;"&amp;(O$1+$B37-1)),"-"),"-")</f>
        <v>181.5382828</v>
      </c>
      <c r="P37" s="80">
        <f>IF(DAY(EOMONTH(O$1,0))&gt;=$B37, 11-COUNTIFS(dataMail!$C:$C,"&lt;&gt;Annulation",dataMail!$G:$G,"&lt;="&amp;(O$1+$B37-1),dataMail!$H:$H,"&gt;"&amp;(O$1+$B37-1)),"-")</f>
        <v>1</v>
      </c>
      <c r="Q37" s="232" t="str">
        <f>IF(DAY(EOMONTH(Q$1,0))&gt;=$B37,IFERROR(AVERAGEIFS(dataMail!$P:$P,dataMail!$C:$C,"Confirmation",dataMail!$G:$G,"&lt;="&amp;(Q$1+$B37-1),dataMail!$H:$H,"&gt;"&amp;(Q$1+$B37-1)),"-"),"-")</f>
        <v>-</v>
      </c>
      <c r="R37" s="80">
        <f>IF(DAY(EOMONTH(Q$1,0))&gt;=$B37, 11-COUNTIFS(dataMail!$C:$C,"&lt;&gt;Annulation",dataMail!$G:$G,"&lt;="&amp;(Q$1+$B37-1),dataMail!$H:$H,"&gt;"&amp;(Q$1+$B37-1)),"-")</f>
        <v>11</v>
      </c>
      <c r="S37" s="232" t="str">
        <f>IF(DAY(EOMONTH(S$1,0))&gt;=$B37,IFERROR(AVERAGEIFS(dataMail!$P:$P,dataMail!$C:$C,"Confirmation",dataMail!$G:$G,"&lt;="&amp;(S$1+$B37-1),dataMail!$H:$H,"&gt;"&amp;(S$1+$B37-1)),"-"),"-")</f>
        <v>-</v>
      </c>
      <c r="T37" s="80">
        <f>IF(DAY(EOMONTH(S$1,0))&gt;=$B37, 11-COUNTIFS(dataMail!$C:$C,"&lt;&gt;Annulation",dataMail!$G:$G,"&lt;="&amp;(S$1+$B37-1),dataMail!$H:$H,"&gt;"&amp;(S$1+$B37-1)),"-")</f>
        <v>11</v>
      </c>
      <c r="U37" s="232">
        <f>IF(DAY(EOMONTH(U$1,0))&gt;=$B37,IFERROR(AVERAGEIFS(dataMail!$P:$P,dataMail!$C:$C,"Confirmation",dataMail!$G:$G,"&lt;="&amp;(U$1+$B37-1),dataMail!$H:$H,"&gt;"&amp;(U$1+$B37-1)),"-"),"-")</f>
        <v>0</v>
      </c>
      <c r="V37" s="80">
        <f>IF(DAY(EOMONTH(U$1,0))&gt;=$B37, 11-COUNTIFS(dataMail!$C:$C,"&lt;&gt;Annulation",dataMail!$G:$G,"&lt;="&amp;(U$1+$B37-1),dataMail!$H:$H,"&gt;"&amp;(U$1+$B37-1)),"-")</f>
        <v>10</v>
      </c>
      <c r="W37" s="232">
        <f>IF(DAY(EOMONTH(W$1,0))&gt;=$B37,IFERROR(AVERAGEIFS(dataMail!$P:$P,dataMail!$C:$C,"Confirmation",dataMail!$G:$G,"&lt;="&amp;(W$1+$B37-1),dataMail!$H:$H,"&gt;"&amp;(W$1+$B37-1)),"-"),"-")</f>
        <v>154.96</v>
      </c>
      <c r="X37" s="80">
        <f>IF(DAY(EOMONTH(W$1,0))&gt;=$B37, 11-COUNTIFS(dataMail!$C:$C,"&lt;&gt;Annulation",dataMail!$G:$G,"&lt;="&amp;(W$1+$B37-1),dataMail!$H:$H,"&gt;"&amp;(W$1+$B37-1)),"-")</f>
        <v>7</v>
      </c>
      <c r="Y37" s="232" t="str">
        <f>IF(DAY(EOMONTH(Y$1,0))&gt;=$B37,IFERROR(AVERAGEIFS(dataMail!$P:$P,dataMail!$C:$C,"Confirmation",dataMail!$G:$G,"&lt;="&amp;(Y$1+$B37-1),dataMail!$H:$H,"&gt;"&amp;(Y$1+$B37-1)),"-"),"-")</f>
        <v>-</v>
      </c>
      <c r="Z37" s="80">
        <f>IF(DAY(EOMONTH(Y$1,0))&gt;=$B37, 11-COUNTIFS(dataMail!$C:$C,"&lt;&gt;Annulation",dataMail!$G:$G,"&lt;="&amp;(Y$1+$B37-1),dataMail!$H:$H,"&gt;"&amp;(Y$1+$B37-1)),"-")</f>
        <v>11</v>
      </c>
      <c r="AA37" s="232" t="str">
        <f>IF(DAY(EOMONTH(AA$1,0))&gt;=$B37,IFERROR(AVERAGEIFS(dataMail!$P:$P,dataMail!$C:$C,"Confirmation",dataMail!$G:$G,"&lt;="&amp;(AA$1+$B37-1),dataMail!$H:$H,"&gt;"&amp;(AA$1+$B37-1)),"-"),"-")</f>
        <v>-</v>
      </c>
      <c r="AB37" s="80">
        <f>IF(DAY(EOMONTH(AA$1,0))&gt;=$B37, 11-COUNTIFS(dataMail!$C:$C,"&lt;&gt;Annulation",dataMail!$G:$G,"&lt;="&amp;(AA$1+$B37-1),dataMail!$H:$H,"&gt;"&amp;(AA$1+$B37-1)),"-")</f>
        <v>11</v>
      </c>
      <c r="AC37" s="232">
        <f>IF(DAY(EOMONTH(AC$1,0))&gt;=$B37,IFERROR(AVERAGEIFS(dataMail!$P:$P,dataMail!$C:$C,"Confirmation",dataMail!$G:$G,"&lt;="&amp;(AC$1+$B37-1),dataMail!$H:$H,"&gt;"&amp;(AC$1+$B37-1)),"-"),"-")</f>
        <v>78</v>
      </c>
      <c r="AD37" s="80">
        <f>IF(DAY(EOMONTH(AC$1,0))&gt;=$B37, 11-COUNTIFS(dataMail!$C:$C,"&lt;&gt;Annulation",dataMail!$G:$G,"&lt;="&amp;(AC$1+$B37-1),dataMail!$H:$H,"&gt;"&amp;(AC$1+$B37-1)),"-")</f>
        <v>10</v>
      </c>
      <c r="AE37" s="232">
        <f>IF(DAY(EOMONTH(AE$1,0))&gt;=$B37,IFERROR(AVERAGEIFS(dataMail!$P:$P,dataMail!$C:$C,"Confirmation",dataMail!$G:$G,"&lt;="&amp;(AE$1+$B37-1),dataMail!$H:$H,"&gt;"&amp;(AE$1+$B37-1)),"-"),"-")</f>
        <v>255.184</v>
      </c>
      <c r="AF37" s="80">
        <f>IF(DAY(EOMONTH(AE$1,0))&gt;=$B37, 11-COUNTIFS(dataMail!$C:$C,"&lt;&gt;Annulation",dataMail!$G:$G,"&lt;="&amp;(AE$1+$B37-1),dataMail!$H:$H,"&gt;"&amp;(AE$1+$B37-1)),"-")</f>
        <v>10</v>
      </c>
      <c r="AG37" s="232" t="str">
        <f>IF(DAY(EOMONTH(AG$1,0))&gt;=$B37,IFERROR(AVERAGEIFS(dataMail!$P:$P,dataMail!$C:$C,"Confirmation",dataMail!$G:$G,"&lt;="&amp;(AG$1+$B37-1),dataMail!$H:$H,"&gt;"&amp;(AG$1+$B37-1)),"-"),"-")</f>
        <v>-</v>
      </c>
      <c r="AH37" s="80">
        <f>IF(DAY(EOMONTH(AG$1,0))&gt;=$B37, 11-COUNTIFS(dataMail!$C:$C,"&lt;&gt;Annulation",dataMail!$G:$G,"&lt;="&amp;(AG$1+$B37-1),dataMail!$H:$H,"&gt;"&amp;(AG$1+$B37-1)),"-")</f>
        <v>11</v>
      </c>
    </row>
    <row r="38">
      <c r="A38" s="66"/>
      <c r="B38" s="66">
        <v>28.0</v>
      </c>
      <c r="C38" s="234">
        <f>IF(DAY(EOMONTH(C$1,0))&gt;=$B38,IFERROR(AVERAGEIFS(dataMail!$P:$P,dataMail!$C:$C,"Confirmation",dataMail!$G:$G,"&lt;="&amp;(C$1+$B38-1),dataMail!$H:$H,"&gt;"&amp;(C$1+$B38-1)),"-"),"-")</f>
        <v>169.6066667</v>
      </c>
      <c r="D38" s="80">
        <f>IF(DAY(EOMONTH(C$1,0))&gt;=$B38, 11-COUNTIFS(dataMail!$C:$C,"&lt;&gt;Annulation",dataMail!$G:$G,"&lt;="&amp;(C$1+$B38-1),dataMail!$H:$H,"&gt;"&amp;(C$1+$B38-1)),"-")</f>
        <v>2</v>
      </c>
      <c r="E38" s="82">
        <f>IF(DAY(EOMONTH(E$1,0))&gt;=$B38,IFERROR(AVERAGEIFS(dataMail!$P:$P,dataMail!$C:$C,"Confirmation",dataMail!$G:$G,"&lt;="&amp;(E$1+$B38-1),dataMail!$H:$H,"&gt;"&amp;(E$1+$B38-1)),"-"),"-")</f>
        <v>114.6374333</v>
      </c>
      <c r="F38" s="80">
        <f>IF(DAY(EOMONTH(E$1,0))&gt;=$B38, 11-COUNTIFS(dataMail!$C:$C,"&lt;&gt;Annulation",dataMail!$G:$G,"&lt;="&amp;(E$1+$B38-1),dataMail!$H:$H,"&gt;"&amp;(E$1+$B38-1)),"-")</f>
        <v>-1</v>
      </c>
      <c r="G38" s="82">
        <f>IF(DAY(EOMONTH(G$1,0))&gt;=$B38,IFERROR(AVERAGEIFS(dataMail!$P:$P,dataMail!$C:$C,"Confirmation",dataMail!$G:$G,"&lt;="&amp;(G$1+$B38-1),dataMail!$H:$H,"&gt;"&amp;(G$1+$B38-1)),"-"),"-")</f>
        <v>131.8731429</v>
      </c>
      <c r="H38" s="80">
        <f>IF(DAY(EOMONTH(G$1,0))&gt;=$B38, 11-COUNTIFS(dataMail!$C:$C,"&lt;&gt;Annulation",dataMail!$G:$G,"&lt;="&amp;(G$1+$B38-1),dataMail!$H:$H,"&gt;"&amp;(G$1+$B38-1)),"-")</f>
        <v>2</v>
      </c>
      <c r="I38" s="234">
        <f>IF(DAY(EOMONTH(I$1,0))&gt;=$B38,IFERROR(AVERAGEIFS(dataMail!$P:$P,dataMail!$C:$C,"Confirmation",dataMail!$G:$G,"&lt;="&amp;(I$1+$B38-1),dataMail!$H:$H,"&gt;"&amp;(I$1+$B38-1)),"-"),"-")</f>
        <v>122.98</v>
      </c>
      <c r="J38" s="80">
        <f>IF(DAY(EOMONTH(I$1,0))&gt;=$B38, 11-COUNTIFS(dataMail!$C:$C,"&lt;&gt;Annulation",dataMail!$G:$G,"&lt;="&amp;(I$1+$B38-1),dataMail!$H:$H,"&gt;"&amp;(I$1+$B38-1)),"-")</f>
        <v>3</v>
      </c>
      <c r="K38" s="234">
        <f>IF(DAY(EOMONTH(K$1,0))&gt;=$B38,IFERROR(AVERAGEIFS(dataMail!$P:$P,dataMail!$C:$C,"Confirmation",dataMail!$G:$G,"&lt;="&amp;(K$1+$B38-1),dataMail!$H:$H,"&gt;"&amp;(K$1+$B38-1)),"-"),"-")</f>
        <v>176.1848889</v>
      </c>
      <c r="L38" s="80">
        <f>IF(DAY(EOMONTH(K$1,0))&gt;=$B38, 11-COUNTIFS(dataMail!$C:$C,"&lt;&gt;Annulation",dataMail!$G:$G,"&lt;="&amp;(K$1+$B38-1),dataMail!$H:$H,"&gt;"&amp;(K$1+$B38-1)),"-")</f>
        <v>0</v>
      </c>
      <c r="M38" s="234">
        <f>IF(DAY(EOMONTH(M$1,0))&gt;=$B38,IFERROR(AVERAGEIFS(dataMail!$P:$P,dataMail!$C:$C,"Confirmation",dataMail!$G:$G,"&lt;="&amp;(M$1+$B38-1),dataMail!$H:$H,"&gt;"&amp;(M$1+$B38-1)),"-"),"-")</f>
        <v>142.056</v>
      </c>
      <c r="N38" s="80">
        <f>IF(DAY(EOMONTH(M$1,0))&gt;=$B38, 11-COUNTIFS(dataMail!$C:$C,"&lt;&gt;Annulation",dataMail!$G:$G,"&lt;="&amp;(M$1+$B38-1),dataMail!$H:$H,"&gt;"&amp;(M$1+$B38-1)),"-")</f>
        <v>9</v>
      </c>
      <c r="O38" s="234">
        <f>IF(DAY(EOMONTH(O$1,0))&gt;=$B38,IFERROR(AVERAGEIFS(dataMail!$P:$P,dataMail!$C:$C,"Confirmation",dataMail!$G:$G,"&lt;="&amp;(O$1+$B38-1),dataMail!$H:$H,"&gt;"&amp;(O$1+$B38-1)),"-"),"-")</f>
        <v>181.1628535</v>
      </c>
      <c r="P38" s="80">
        <f>IF(DAY(EOMONTH(O$1,0))&gt;=$B38, 11-COUNTIFS(dataMail!$C:$C,"&lt;&gt;Annulation",dataMail!$G:$G,"&lt;="&amp;(O$1+$B38-1),dataMail!$H:$H,"&gt;"&amp;(O$1+$B38-1)),"-")</f>
        <v>3</v>
      </c>
      <c r="Q38" s="234" t="str">
        <f>IF(DAY(EOMONTH(Q$1,0))&gt;=$B38,IFERROR(AVERAGEIFS(dataMail!$P:$P,dataMail!$C:$C,"Confirmation",dataMail!$G:$G,"&lt;="&amp;(Q$1+$B38-1),dataMail!$H:$H,"&gt;"&amp;(Q$1+$B38-1)),"-"),"-")</f>
        <v>-</v>
      </c>
      <c r="R38" s="80">
        <f>IF(DAY(EOMONTH(Q$1,0))&gt;=$B38, 11-COUNTIFS(dataMail!$C:$C,"&lt;&gt;Annulation",dataMail!$G:$G,"&lt;="&amp;(Q$1+$B38-1),dataMail!$H:$H,"&gt;"&amp;(Q$1+$B38-1)),"-")</f>
        <v>11</v>
      </c>
      <c r="S38" s="234" t="str">
        <f>IF(DAY(EOMONTH(S$1,0))&gt;=$B38,IFERROR(AVERAGEIFS(dataMail!$P:$P,dataMail!$C:$C,"Confirmation",dataMail!$G:$G,"&lt;="&amp;(S$1+$B38-1),dataMail!$H:$H,"&gt;"&amp;(S$1+$B38-1)),"-"),"-")</f>
        <v>-</v>
      </c>
      <c r="T38" s="80">
        <f>IF(DAY(EOMONTH(S$1,0))&gt;=$B38, 11-COUNTIFS(dataMail!$C:$C,"&lt;&gt;Annulation",dataMail!$G:$G,"&lt;="&amp;(S$1+$B38-1),dataMail!$H:$H,"&gt;"&amp;(S$1+$B38-1)),"-")</f>
        <v>11</v>
      </c>
      <c r="U38" s="234">
        <f>IF(DAY(EOMONTH(U$1,0))&gt;=$B38,IFERROR(AVERAGEIFS(dataMail!$P:$P,dataMail!$C:$C,"Confirmation",dataMail!$G:$G,"&lt;="&amp;(U$1+$B38-1),dataMail!$H:$H,"&gt;"&amp;(U$1+$B38-1)),"-"),"-")</f>
        <v>0</v>
      </c>
      <c r="V38" s="80">
        <f>IF(DAY(EOMONTH(U$1,0))&gt;=$B38, 11-COUNTIFS(dataMail!$C:$C,"&lt;&gt;Annulation",dataMail!$G:$G,"&lt;="&amp;(U$1+$B38-1),dataMail!$H:$H,"&gt;"&amp;(U$1+$B38-1)),"-")</f>
        <v>10</v>
      </c>
      <c r="W38" s="234">
        <f>IF(DAY(EOMONTH(W$1,0))&gt;=$B38,IFERROR(AVERAGEIFS(dataMail!$P:$P,dataMail!$C:$C,"Confirmation",dataMail!$G:$G,"&lt;="&amp;(W$1+$B38-1),dataMail!$H:$H,"&gt;"&amp;(W$1+$B38-1)),"-"),"-")</f>
        <v>154.96</v>
      </c>
      <c r="X38" s="80">
        <f>IF(DAY(EOMONTH(W$1,0))&gt;=$B38, 11-COUNTIFS(dataMail!$C:$C,"&lt;&gt;Annulation",dataMail!$G:$G,"&lt;="&amp;(W$1+$B38-1),dataMail!$H:$H,"&gt;"&amp;(W$1+$B38-1)),"-")</f>
        <v>7</v>
      </c>
      <c r="Y38" s="234" t="str">
        <f>IF(DAY(EOMONTH(Y$1,0))&gt;=$B38,IFERROR(AVERAGEIFS(dataMail!$P:$P,dataMail!$C:$C,"Confirmation",dataMail!$G:$G,"&lt;="&amp;(Y$1+$B38-1),dataMail!$H:$H,"&gt;"&amp;(Y$1+$B38-1)),"-"),"-")</f>
        <v>-</v>
      </c>
      <c r="Z38" s="80">
        <f>IF(DAY(EOMONTH(Y$1,0))&gt;=$B38, 11-COUNTIFS(dataMail!$C:$C,"&lt;&gt;Annulation",dataMail!$G:$G,"&lt;="&amp;(Y$1+$B38-1),dataMail!$H:$H,"&gt;"&amp;(Y$1+$B38-1)),"-")</f>
        <v>11</v>
      </c>
      <c r="AA38" s="234" t="str">
        <f>IF(DAY(EOMONTH(AA$1,0))&gt;=$B38,IFERROR(AVERAGEIFS(dataMail!$P:$P,dataMail!$C:$C,"Confirmation",dataMail!$G:$G,"&lt;="&amp;(AA$1+$B38-1),dataMail!$H:$H,"&gt;"&amp;(AA$1+$B38-1)),"-"),"-")</f>
        <v>-</v>
      </c>
      <c r="AB38" s="80">
        <f>IF(DAY(EOMONTH(AA$1,0))&gt;=$B38, 11-COUNTIFS(dataMail!$C:$C,"&lt;&gt;Annulation",dataMail!$G:$G,"&lt;="&amp;(AA$1+$B38-1),dataMail!$H:$H,"&gt;"&amp;(AA$1+$B38-1)),"-")</f>
        <v>11</v>
      </c>
      <c r="AC38" s="234">
        <f>IF(DAY(EOMONTH(AC$1,0))&gt;=$B38,IFERROR(AVERAGEIFS(dataMail!$P:$P,dataMail!$C:$C,"Confirmation",dataMail!$G:$G,"&lt;="&amp;(AC$1+$B38-1),dataMail!$H:$H,"&gt;"&amp;(AC$1+$B38-1)),"-"),"-")</f>
        <v>78</v>
      </c>
      <c r="AD38" s="80">
        <f>IF(DAY(EOMONTH(AC$1,0))&gt;=$B38, 11-COUNTIFS(dataMail!$C:$C,"&lt;&gt;Annulation",dataMail!$G:$G,"&lt;="&amp;(AC$1+$B38-1),dataMail!$H:$H,"&gt;"&amp;(AC$1+$B38-1)),"-")</f>
        <v>10</v>
      </c>
      <c r="AE38" s="234">
        <f>IF(DAY(EOMONTH(AE$1,0))&gt;=$B38,IFERROR(AVERAGEIFS(dataMail!$P:$P,dataMail!$C:$C,"Confirmation",dataMail!$G:$G,"&lt;="&amp;(AE$1+$B38-1),dataMail!$H:$H,"&gt;"&amp;(AE$1+$B38-1)),"-"),"-")</f>
        <v>115.312</v>
      </c>
      <c r="AF38" s="80">
        <f>IF(DAY(EOMONTH(AE$1,0))&gt;=$B38, 11-COUNTIFS(dataMail!$C:$C,"&lt;&gt;Annulation",dataMail!$G:$G,"&lt;="&amp;(AE$1+$B38-1),dataMail!$H:$H,"&gt;"&amp;(AE$1+$B38-1)),"-")</f>
        <v>10</v>
      </c>
      <c r="AG38" s="234" t="str">
        <f>IF(DAY(EOMONTH(AG$1,0))&gt;=$B38,IFERROR(AVERAGEIFS(dataMail!$P:$P,dataMail!$C:$C,"Confirmation",dataMail!$G:$G,"&lt;="&amp;(AG$1+$B38-1),dataMail!$H:$H,"&gt;"&amp;(AG$1+$B38-1)),"-"),"-")</f>
        <v>-</v>
      </c>
      <c r="AH38" s="80">
        <f>IF(DAY(EOMONTH(AG$1,0))&gt;=$B38, 11-COUNTIFS(dataMail!$C:$C,"&lt;&gt;Annulation",dataMail!$G:$G,"&lt;="&amp;(AG$1+$B38-1),dataMail!$H:$H,"&gt;"&amp;(AG$1+$B38-1)),"-")</f>
        <v>11</v>
      </c>
    </row>
    <row r="39">
      <c r="A39" s="66"/>
      <c r="B39" s="66">
        <v>29.0</v>
      </c>
      <c r="C39" s="235">
        <f>IF(DAY(EOMONTH(C$1,0))&gt;=$B39,IFERROR(AVERAGEIFS(dataMail!$P:$P,dataMail!$C:$C,"Confirmation",dataMail!$G:$G,"&lt;="&amp;(C$1+$B39-1),dataMail!$H:$H,"&gt;"&amp;(C$1+$B39-1)),"-"),"-")</f>
        <v>148.5949333</v>
      </c>
      <c r="D39" s="80">
        <f>IF(DAY(EOMONTH(C$1,0))&gt;=$B39, 11-COUNTIFS(dataMail!$C:$C,"&lt;&gt;Annulation",dataMail!$G:$G,"&lt;="&amp;(C$1+$B39-1),dataMail!$H:$H,"&gt;"&amp;(C$1+$B39-1)),"-")</f>
        <v>3</v>
      </c>
      <c r="E39" s="82">
        <f>IF(DAY(EOMONTH(E$1,0))&gt;=$B39,IFERROR(AVERAGEIFS(dataMail!$P:$P,dataMail!$C:$C,"Confirmation",dataMail!$G:$G,"&lt;="&amp;(E$1+$B39-1),dataMail!$H:$H,"&gt;"&amp;(E$1+$B39-1)),"-"),"-")</f>
        <v>127.924</v>
      </c>
      <c r="F39" s="80">
        <f>IF(DAY(EOMONTH(E$1,0))&gt;=$B39, 11-COUNTIFS(dataMail!$C:$C,"&lt;&gt;Annulation",dataMail!$G:$G,"&lt;="&amp;(E$1+$B39-1),dataMail!$H:$H,"&gt;"&amp;(E$1+$B39-1)),"-")</f>
        <v>3</v>
      </c>
      <c r="G39" s="82">
        <f>IF(DAY(EOMONTH(G$1,0))&gt;=$B39,IFERROR(AVERAGEIFS(dataMail!$P:$P,dataMail!$C:$C,"Confirmation",dataMail!$G:$G,"&lt;="&amp;(G$1+$B39-1),dataMail!$H:$H,"&gt;"&amp;(G$1+$B39-1)),"-"),"-")</f>
        <v>109.7893333</v>
      </c>
      <c r="H39" s="80">
        <f>IF(DAY(EOMONTH(G$1,0))&gt;=$B39, 11-COUNTIFS(dataMail!$C:$C,"&lt;&gt;Annulation",dataMail!$G:$G,"&lt;="&amp;(G$1+$B39-1),dataMail!$H:$H,"&gt;"&amp;(G$1+$B39-1)),"-")</f>
        <v>5</v>
      </c>
      <c r="I39" s="235">
        <f>IF(DAY(EOMONTH(I$1,0))&gt;=$B39,IFERROR(AVERAGEIFS(dataMail!$P:$P,dataMail!$C:$C,"Confirmation",dataMail!$G:$G,"&lt;="&amp;(I$1+$B39-1),dataMail!$H:$H,"&gt;"&amp;(I$1+$B39-1)),"-"),"-")</f>
        <v>136.2112</v>
      </c>
      <c r="J39" s="80">
        <f>IF(DAY(EOMONTH(I$1,0))&gt;=$B39, 11-COUNTIFS(dataMail!$C:$C,"&lt;&gt;Annulation",dataMail!$G:$G,"&lt;="&amp;(I$1+$B39-1),dataMail!$H:$H,"&gt;"&amp;(I$1+$B39-1)),"-")</f>
        <v>1</v>
      </c>
      <c r="K39" s="235">
        <f>IF(DAY(EOMONTH(K$1,0))&gt;=$B39,IFERROR(AVERAGEIFS(dataMail!$P:$P,dataMail!$C:$C,"Confirmation",dataMail!$G:$G,"&lt;="&amp;(K$1+$B39-1),dataMail!$H:$H,"&gt;"&amp;(K$1+$B39-1)),"-"),"-")</f>
        <v>161.0385455</v>
      </c>
      <c r="L39" s="80">
        <f>IF(DAY(EOMONTH(K$1,0))&gt;=$B39, 11-COUNTIFS(dataMail!$C:$C,"&lt;&gt;Annulation",dataMail!$G:$G,"&lt;="&amp;(K$1+$B39-1),dataMail!$H:$H,"&gt;"&amp;(K$1+$B39-1)),"-")</f>
        <v>0</v>
      </c>
      <c r="M39" s="235">
        <f>IF(DAY(EOMONTH(M$1,0))&gt;=$B39,IFERROR(AVERAGEIFS(dataMail!$P:$P,dataMail!$C:$C,"Confirmation",dataMail!$G:$G,"&lt;="&amp;(M$1+$B39-1),dataMail!$H:$H,"&gt;"&amp;(M$1+$B39-1)),"-"),"-")</f>
        <v>142.056</v>
      </c>
      <c r="N39" s="80">
        <f>IF(DAY(EOMONTH(M$1,0))&gt;=$B39, 11-COUNTIFS(dataMail!$C:$C,"&lt;&gt;Annulation",dataMail!$G:$G,"&lt;="&amp;(M$1+$B39-1),dataMail!$H:$H,"&gt;"&amp;(M$1+$B39-1)),"-")</f>
        <v>9</v>
      </c>
      <c r="O39" s="235">
        <f>IF(DAY(EOMONTH(O$1,0))&gt;=$B39,IFERROR(AVERAGEIFS(dataMail!$P:$P,dataMail!$C:$C,"Confirmation",dataMail!$G:$G,"&lt;="&amp;(O$1+$B39-1),dataMail!$H:$H,"&gt;"&amp;(O$1+$B39-1)),"-"),"-")</f>
        <v>155.8245926</v>
      </c>
      <c r="P39" s="80">
        <f>IF(DAY(EOMONTH(O$1,0))&gt;=$B39, 11-COUNTIFS(dataMail!$C:$C,"&lt;&gt;Annulation",dataMail!$G:$G,"&lt;="&amp;(O$1+$B39-1),dataMail!$H:$H,"&gt;"&amp;(O$1+$B39-1)),"-")</f>
        <v>8</v>
      </c>
      <c r="Q39" s="235">
        <f>IF(DAY(EOMONTH(Q$1,0))&gt;=$B39,IFERROR(AVERAGEIFS(dataMail!$P:$P,dataMail!$C:$C,"Confirmation",dataMail!$G:$G,"&lt;="&amp;(Q$1+$B39-1),dataMail!$H:$H,"&gt;"&amp;(Q$1+$B39-1)),"-"),"-")</f>
        <v>120.576</v>
      </c>
      <c r="R39" s="80">
        <f>IF(DAY(EOMONTH(Q$1,0))&gt;=$B39, 11-COUNTIFS(dataMail!$C:$C,"&lt;&gt;Annulation",dataMail!$G:$G,"&lt;="&amp;(Q$1+$B39-1),dataMail!$H:$H,"&gt;"&amp;(Q$1+$B39-1)),"-")</f>
        <v>10</v>
      </c>
      <c r="S39" s="235" t="str">
        <f>IF(DAY(EOMONTH(S$1,0))&gt;=$B39,IFERROR(AVERAGEIFS(dataMail!$P:$P,dataMail!$C:$C,"Confirmation",dataMail!$G:$G,"&lt;="&amp;(S$1+$B39-1),dataMail!$H:$H,"&gt;"&amp;(S$1+$B39-1)),"-"),"-")</f>
        <v>-</v>
      </c>
      <c r="T39" s="80" t="str">
        <f>IF(DAY(EOMONTH(S$1,0))&gt;=$B39, 11-COUNTIFS(dataMail!$C:$C,"&lt;&gt;Annulation",dataMail!$G:$G,"&lt;="&amp;(S$1+$B39-1),dataMail!$H:$H,"&gt;"&amp;(S$1+$B39-1)),"-")</f>
        <v>-</v>
      </c>
      <c r="U39" s="235">
        <f>IF(DAY(EOMONTH(U$1,0))&gt;=$B39,IFERROR(AVERAGEIFS(dataMail!$P:$P,dataMail!$C:$C,"Confirmation",dataMail!$G:$G,"&lt;="&amp;(U$1+$B39-1),dataMail!$H:$H,"&gt;"&amp;(U$1+$B39-1)),"-"),"-")</f>
        <v>170.496</v>
      </c>
      <c r="V39" s="80">
        <f>IF(DAY(EOMONTH(U$1,0))&gt;=$B39, 11-COUNTIFS(dataMail!$C:$C,"&lt;&gt;Annulation",dataMail!$G:$G,"&lt;="&amp;(U$1+$B39-1),dataMail!$H:$H,"&gt;"&amp;(U$1+$B39-1)),"-")</f>
        <v>10</v>
      </c>
      <c r="W39" s="235">
        <f>IF(DAY(EOMONTH(W$1,0))&gt;=$B39,IFERROR(AVERAGEIFS(dataMail!$P:$P,dataMail!$C:$C,"Confirmation",dataMail!$G:$G,"&lt;="&amp;(W$1+$B39-1),dataMail!$H:$H,"&gt;"&amp;(W$1+$B39-1)),"-"),"-")</f>
        <v>154.96</v>
      </c>
      <c r="X39" s="80">
        <f>IF(DAY(EOMONTH(W$1,0))&gt;=$B39, 11-COUNTIFS(dataMail!$C:$C,"&lt;&gt;Annulation",dataMail!$G:$G,"&lt;="&amp;(W$1+$B39-1),dataMail!$H:$H,"&gt;"&amp;(W$1+$B39-1)),"-")</f>
        <v>7</v>
      </c>
      <c r="Y39" s="235" t="str">
        <f>IF(DAY(EOMONTH(Y$1,0))&gt;=$B39,IFERROR(AVERAGEIFS(dataMail!$P:$P,dataMail!$C:$C,"Confirmation",dataMail!$G:$G,"&lt;="&amp;(Y$1+$B39-1),dataMail!$H:$H,"&gt;"&amp;(Y$1+$B39-1)),"-"),"-")</f>
        <v>-</v>
      </c>
      <c r="Z39" s="80">
        <f>IF(DAY(EOMONTH(Y$1,0))&gt;=$B39, 11-COUNTIFS(dataMail!$C:$C,"&lt;&gt;Annulation",dataMail!$G:$G,"&lt;="&amp;(Y$1+$B39-1),dataMail!$H:$H,"&gt;"&amp;(Y$1+$B39-1)),"-")</f>
        <v>11</v>
      </c>
      <c r="AA39" s="235" t="str">
        <f>IF(DAY(EOMONTH(AA$1,0))&gt;=$B39,IFERROR(AVERAGEIFS(dataMail!$P:$P,dataMail!$C:$C,"Confirmation",dataMail!$G:$G,"&lt;="&amp;(AA$1+$B39-1),dataMail!$H:$H,"&gt;"&amp;(AA$1+$B39-1)),"-"),"-")</f>
        <v>-</v>
      </c>
      <c r="AB39" s="80">
        <f>IF(DAY(EOMONTH(AA$1,0))&gt;=$B39, 11-COUNTIFS(dataMail!$C:$C,"&lt;&gt;Annulation",dataMail!$G:$G,"&lt;="&amp;(AA$1+$B39-1),dataMail!$H:$H,"&gt;"&amp;(AA$1+$B39-1)),"-")</f>
        <v>11</v>
      </c>
      <c r="AC39" s="235">
        <f>IF(DAY(EOMONTH(AC$1,0))&gt;=$B39,IFERROR(AVERAGEIFS(dataMail!$P:$P,dataMail!$C:$C,"Confirmation",dataMail!$G:$G,"&lt;="&amp;(AC$1+$B39-1),dataMail!$H:$H,"&gt;"&amp;(AC$1+$B39-1)),"-"),"-")</f>
        <v>78</v>
      </c>
      <c r="AD39" s="80">
        <f>IF(DAY(EOMONTH(AC$1,0))&gt;=$B39, 11-COUNTIFS(dataMail!$C:$C,"&lt;&gt;Annulation",dataMail!$G:$G,"&lt;="&amp;(AC$1+$B39-1),dataMail!$H:$H,"&gt;"&amp;(AC$1+$B39-1)),"-")</f>
        <v>10</v>
      </c>
      <c r="AE39" s="235">
        <f>IF(DAY(EOMONTH(AE$1,0))&gt;=$B39,IFERROR(AVERAGEIFS(dataMail!$P:$P,dataMail!$C:$C,"Confirmation",dataMail!$G:$G,"&lt;="&amp;(AE$1+$B39-1),dataMail!$H:$H,"&gt;"&amp;(AE$1+$B39-1)),"-"),"-")</f>
        <v>115.312</v>
      </c>
      <c r="AF39" s="80">
        <f>IF(DAY(EOMONTH(AE$1,0))&gt;=$B39, 11-COUNTIFS(dataMail!$C:$C,"&lt;&gt;Annulation",dataMail!$G:$G,"&lt;="&amp;(AE$1+$B39-1),dataMail!$H:$H,"&gt;"&amp;(AE$1+$B39-1)),"-")</f>
        <v>10</v>
      </c>
      <c r="AG39" s="235" t="str">
        <f>IF(DAY(EOMONTH(AG$1,0))&gt;=$B39,IFERROR(AVERAGEIFS(dataMail!$P:$P,dataMail!$C:$C,"Confirmation",dataMail!$G:$G,"&lt;="&amp;(AG$1+$B39-1),dataMail!$H:$H,"&gt;"&amp;(AG$1+$B39-1)),"-"),"-")</f>
        <v>-</v>
      </c>
      <c r="AH39" s="80">
        <f>IF(DAY(EOMONTH(AG$1,0))&gt;=$B39, 11-COUNTIFS(dataMail!$C:$C,"&lt;&gt;Annulation",dataMail!$G:$G,"&lt;="&amp;(AG$1+$B39-1),dataMail!$H:$H,"&gt;"&amp;(AG$1+$B39-1)),"-")</f>
        <v>11</v>
      </c>
    </row>
    <row r="40">
      <c r="A40" s="66"/>
      <c r="B40" s="66">
        <v>30.0</v>
      </c>
      <c r="C40" s="235">
        <f>IF(DAY(EOMONTH(C$1,0))&gt;=$B40,IFERROR(AVERAGEIFS(dataMail!$P:$P,dataMail!$C:$C,"Confirmation",dataMail!$G:$G,"&lt;="&amp;(C$1+$B40-1),dataMail!$H:$H,"&gt;"&amp;(C$1+$B40-1)),"-"),"-")</f>
        <v>166.7136571</v>
      </c>
      <c r="D40" s="80">
        <f>IF(DAY(EOMONTH(C$1,0))&gt;=$B40, 11-COUNTIFS(dataMail!$C:$C,"&lt;&gt;Annulation",dataMail!$G:$G,"&lt;="&amp;(C$1+$B40-1),dataMail!$H:$H,"&gt;"&amp;(C$1+$B40-1)),"-")</f>
        <v>2</v>
      </c>
      <c r="E40" s="82">
        <f>IF(DAY(EOMONTH(E$1,0))&gt;=$B40,IFERROR(AVERAGEIFS(dataMail!$P:$P,dataMail!$C:$C,"Confirmation",dataMail!$G:$G,"&lt;="&amp;(E$1+$B40-1),dataMail!$H:$H,"&gt;"&amp;(E$1+$B40-1)),"-"),"-")</f>
        <v>141.1617778</v>
      </c>
      <c r="F40" s="80">
        <f>IF(DAY(EOMONTH(E$1,0))&gt;=$B40, 11-COUNTIFS(dataMail!$C:$C,"&lt;&gt;Annulation",dataMail!$G:$G,"&lt;="&amp;(E$1+$B40-1),dataMail!$H:$H,"&gt;"&amp;(E$1+$B40-1)),"-")</f>
        <v>2</v>
      </c>
      <c r="G40" s="82">
        <f>IF(DAY(EOMONTH(G$1,0))&gt;=$B40,IFERROR(AVERAGEIFS(dataMail!$P:$P,dataMail!$C:$C,"Confirmation",dataMail!$G:$G,"&lt;="&amp;(G$1+$B40-1),dataMail!$H:$H,"&gt;"&amp;(G$1+$B40-1)),"-"),"-")</f>
        <v>114.656</v>
      </c>
      <c r="H40" s="80">
        <f>IF(DAY(EOMONTH(G$1,0))&gt;=$B40, 11-COUNTIFS(dataMail!$C:$C,"&lt;&gt;Annulation",dataMail!$G:$G,"&lt;="&amp;(G$1+$B40-1),dataMail!$H:$H,"&gt;"&amp;(G$1+$B40-1)),"-")</f>
        <v>3</v>
      </c>
      <c r="I40" s="235">
        <f>IF(DAY(EOMONTH(I$1,0))&gt;=$B40,IFERROR(AVERAGEIFS(dataMail!$P:$P,dataMail!$C:$C,"Confirmation",dataMail!$G:$G,"&lt;="&amp;(I$1+$B40-1),dataMail!$H:$H,"&gt;"&amp;(I$1+$B40-1)),"-"),"-")</f>
        <v>132.4088</v>
      </c>
      <c r="J40" s="80">
        <f>IF(DAY(EOMONTH(I$1,0))&gt;=$B40, 11-COUNTIFS(dataMail!$C:$C,"&lt;&gt;Annulation",dataMail!$G:$G,"&lt;="&amp;(I$1+$B40-1),dataMail!$H:$H,"&gt;"&amp;(I$1+$B40-1)),"-")</f>
        <v>1</v>
      </c>
      <c r="K40" s="235">
        <f>IF(DAY(EOMONTH(K$1,0))&gt;=$B40,IFERROR(AVERAGEIFS(dataMail!$P:$P,dataMail!$C:$C,"Confirmation",dataMail!$G:$G,"&lt;="&amp;(K$1+$B40-1),dataMail!$H:$H,"&gt;"&amp;(K$1+$B40-1)),"-"),"-")</f>
        <v>136.4853333</v>
      </c>
      <c r="L40" s="80">
        <f>IF(DAY(EOMONTH(K$1,0))&gt;=$B40, 11-COUNTIFS(dataMail!$C:$C,"&lt;&gt;Annulation",dataMail!$G:$G,"&lt;="&amp;(K$1+$B40-1),dataMail!$H:$H,"&gt;"&amp;(K$1+$B40-1)),"-")</f>
        <v>-1</v>
      </c>
      <c r="M40" s="235">
        <f>IF(DAY(EOMONTH(M$1,0))&gt;=$B40,IFERROR(AVERAGEIFS(dataMail!$P:$P,dataMail!$C:$C,"Confirmation",dataMail!$G:$G,"&lt;="&amp;(M$1+$B40-1),dataMail!$H:$H,"&gt;"&amp;(M$1+$B40-1)),"-"),"-")</f>
        <v>136.72</v>
      </c>
      <c r="N40" s="80">
        <f>IF(DAY(EOMONTH(M$1,0))&gt;=$B40, 11-COUNTIFS(dataMail!$C:$C,"&lt;&gt;Annulation",dataMail!$G:$G,"&lt;="&amp;(M$1+$B40-1),dataMail!$H:$H,"&gt;"&amp;(M$1+$B40-1)),"-")</f>
        <v>10</v>
      </c>
      <c r="O40" s="235">
        <f>IF(DAY(EOMONTH(O$1,0))&gt;=$B40,IFERROR(AVERAGEIFS(dataMail!$P:$P,dataMail!$C:$C,"Confirmation",dataMail!$G:$G,"&lt;="&amp;(O$1+$B40-1),dataMail!$H:$H,"&gt;"&amp;(O$1+$B40-1)),"-"),"-")</f>
        <v>157.0288889</v>
      </c>
      <c r="P40" s="80">
        <f>IF(DAY(EOMONTH(O$1,0))&gt;=$B40, 11-COUNTIFS(dataMail!$C:$C,"&lt;&gt;Annulation",dataMail!$G:$G,"&lt;="&amp;(O$1+$B40-1),dataMail!$H:$H,"&gt;"&amp;(O$1+$B40-1)),"-")</f>
        <v>9</v>
      </c>
      <c r="Q40" s="235">
        <f>IF(DAY(EOMONTH(Q$1,0))&gt;=$B40,IFERROR(AVERAGEIFS(dataMail!$P:$P,dataMail!$C:$C,"Confirmation",dataMail!$G:$G,"&lt;="&amp;(Q$1+$B40-1),dataMail!$H:$H,"&gt;"&amp;(Q$1+$B40-1)),"-"),"-")</f>
        <v>120.576</v>
      </c>
      <c r="R40" s="80">
        <f>IF(DAY(EOMONTH(Q$1,0))&gt;=$B40, 11-COUNTIFS(dataMail!$C:$C,"&lt;&gt;Annulation",dataMail!$G:$G,"&lt;="&amp;(Q$1+$B40-1),dataMail!$H:$H,"&gt;"&amp;(Q$1+$B40-1)),"-")</f>
        <v>10</v>
      </c>
      <c r="S40" s="235" t="str">
        <f>IF(DAY(EOMONTH(S$1,0))&gt;=$B40,IFERROR(AVERAGEIFS(dataMail!$P:$P,dataMail!$C:$C,"Confirmation",dataMail!$G:$G,"&lt;="&amp;(S$1+$B40-1),dataMail!$H:$H,"&gt;"&amp;(S$1+$B40-1)),"-"),"-")</f>
        <v>-</v>
      </c>
      <c r="T40" s="80" t="str">
        <f>IF(DAY(EOMONTH(S$1,0))&gt;=$B40, 11-COUNTIFS(dataMail!$C:$C,"&lt;&gt;Annulation",dataMail!$G:$G,"&lt;="&amp;(S$1+$B40-1),dataMail!$H:$H,"&gt;"&amp;(S$1+$B40-1)),"-")</f>
        <v>-</v>
      </c>
      <c r="U40" s="235">
        <f>IF(DAY(EOMONTH(U$1,0))&gt;=$B40,IFERROR(AVERAGEIFS(dataMail!$P:$P,dataMail!$C:$C,"Confirmation",dataMail!$G:$G,"&lt;="&amp;(U$1+$B40-1),dataMail!$H:$H,"&gt;"&amp;(U$1+$B40-1)),"-"),"-")</f>
        <v>146.868</v>
      </c>
      <c r="V40" s="80">
        <f>IF(DAY(EOMONTH(U$1,0))&gt;=$B40, 11-COUNTIFS(dataMail!$C:$C,"&lt;&gt;Annulation",dataMail!$G:$G,"&lt;="&amp;(U$1+$B40-1),dataMail!$H:$H,"&gt;"&amp;(U$1+$B40-1)),"-")</f>
        <v>9</v>
      </c>
      <c r="W40" s="235">
        <f>IF(DAY(EOMONTH(W$1,0))&gt;=$B40,IFERROR(AVERAGEIFS(dataMail!$P:$P,dataMail!$C:$C,"Confirmation",dataMail!$G:$G,"&lt;="&amp;(W$1+$B40-1),dataMail!$H:$H,"&gt;"&amp;(W$1+$B40-1)),"-"),"-")</f>
        <v>163.8293333</v>
      </c>
      <c r="X40" s="80">
        <f>IF(DAY(EOMONTH(W$1,0))&gt;=$B40, 11-COUNTIFS(dataMail!$C:$C,"&lt;&gt;Annulation",dataMail!$G:$G,"&lt;="&amp;(W$1+$B40-1),dataMail!$H:$H,"&gt;"&amp;(W$1+$B40-1)),"-")</f>
        <v>8</v>
      </c>
      <c r="Y40" s="235" t="str">
        <f>IF(DAY(EOMONTH(Y$1,0))&gt;=$B40,IFERROR(AVERAGEIFS(dataMail!$P:$P,dataMail!$C:$C,"Confirmation",dataMail!$G:$G,"&lt;="&amp;(Y$1+$B40-1),dataMail!$H:$H,"&gt;"&amp;(Y$1+$B40-1)),"-"),"-")</f>
        <v>-</v>
      </c>
      <c r="Z40" s="80">
        <f>IF(DAY(EOMONTH(Y$1,0))&gt;=$B40, 11-COUNTIFS(dataMail!$C:$C,"&lt;&gt;Annulation",dataMail!$G:$G,"&lt;="&amp;(Y$1+$B40-1),dataMail!$H:$H,"&gt;"&amp;(Y$1+$B40-1)),"-")</f>
        <v>11</v>
      </c>
      <c r="AA40" s="235" t="str">
        <f>IF(DAY(EOMONTH(AA$1,0))&gt;=$B40,IFERROR(AVERAGEIFS(dataMail!$P:$P,dataMail!$C:$C,"Confirmation",dataMail!$G:$G,"&lt;="&amp;(AA$1+$B40-1),dataMail!$H:$H,"&gt;"&amp;(AA$1+$B40-1)),"-"),"-")</f>
        <v>-</v>
      </c>
      <c r="AB40" s="80">
        <f>IF(DAY(EOMONTH(AA$1,0))&gt;=$B40, 11-COUNTIFS(dataMail!$C:$C,"&lt;&gt;Annulation",dataMail!$G:$G,"&lt;="&amp;(AA$1+$B40-1),dataMail!$H:$H,"&gt;"&amp;(AA$1+$B40-1)),"-")</f>
        <v>11</v>
      </c>
      <c r="AC40" s="235" t="str">
        <f>IF(DAY(EOMONTH(AC$1,0))&gt;=$B40,IFERROR(AVERAGEIFS(dataMail!$P:$P,dataMail!$C:$C,"Confirmation",dataMail!$G:$G,"&lt;="&amp;(AC$1+$B40-1),dataMail!$H:$H,"&gt;"&amp;(AC$1+$B40-1)),"-"),"-")</f>
        <v>-</v>
      </c>
      <c r="AD40" s="80">
        <f>IF(DAY(EOMONTH(AC$1,0))&gt;=$B40, 11-COUNTIFS(dataMail!$C:$C,"&lt;&gt;Annulation",dataMail!$G:$G,"&lt;="&amp;(AC$1+$B40-1),dataMail!$H:$H,"&gt;"&amp;(AC$1+$B40-1)),"-")</f>
        <v>11</v>
      </c>
      <c r="AE40" s="235">
        <f>IF(DAY(EOMONTH(AE$1,0))&gt;=$B40,IFERROR(AVERAGEIFS(dataMail!$P:$P,dataMail!$C:$C,"Confirmation",dataMail!$G:$G,"&lt;="&amp;(AE$1+$B40-1),dataMail!$H:$H,"&gt;"&amp;(AE$1+$B40-1)),"-"),"-")</f>
        <v>115.312</v>
      </c>
      <c r="AF40" s="80">
        <f>IF(DAY(EOMONTH(AE$1,0))&gt;=$B40, 11-COUNTIFS(dataMail!$C:$C,"&lt;&gt;Annulation",dataMail!$G:$G,"&lt;="&amp;(AE$1+$B40-1),dataMail!$H:$H,"&gt;"&amp;(AE$1+$B40-1)),"-")</f>
        <v>10</v>
      </c>
      <c r="AG40" s="235" t="str">
        <f>IF(DAY(EOMONTH(AG$1,0))&gt;=$B40,IFERROR(AVERAGEIFS(dataMail!$P:$P,dataMail!$C:$C,"Confirmation",dataMail!$G:$G,"&lt;="&amp;(AG$1+$B40-1),dataMail!$H:$H,"&gt;"&amp;(AG$1+$B40-1)),"-"),"-")</f>
        <v>-</v>
      </c>
      <c r="AH40" s="80">
        <f>IF(DAY(EOMONTH(AG$1,0))&gt;=$B40, 11-COUNTIFS(dataMail!$C:$C,"&lt;&gt;Annulation",dataMail!$G:$G,"&lt;="&amp;(AG$1+$B40-1),dataMail!$H:$H,"&gt;"&amp;(AG$1+$B40-1)),"-")</f>
        <v>11</v>
      </c>
    </row>
    <row r="41">
      <c r="A41" s="66"/>
      <c r="B41" s="66">
        <v>31.0</v>
      </c>
      <c r="C41" s="237" t="str">
        <f>IF(DAY(EOMONTH(C$1,0))&gt;=$B41,IFERROR(AVERAGEIFS(dataMail!$P:$P,dataMail!$C:$C,"Confirmation",dataMail!$G:$G,"&lt;="&amp;(C$1+$B41-1),dataMail!$H:$H,"&gt;"&amp;(C$1+$B41-1)),"-"),"-")</f>
        <v>-</v>
      </c>
      <c r="D41" s="238" t="str">
        <f>IF(DAY(EOMONTH(C$1,0))&gt;=$B41, 11-COUNTIFS(dataMail!$C:$C,"&lt;&gt;Annulation",dataMail!$G:$G,"&lt;="&amp;(C$1+$B41-1),dataMail!$H:$H,"&gt;"&amp;(C$1+$B41-1)),"-")</f>
        <v>-</v>
      </c>
      <c r="E41" s="239">
        <f>IF(DAY(EOMONTH(E$1,0))&gt;=$B41,IFERROR(AVERAGEIFS(dataMail!$P:$P,dataMail!$C:$C,"Confirmation",dataMail!$G:$G,"&lt;="&amp;(E$1+$B41-1),dataMail!$H:$H,"&gt;"&amp;(E$1+$B41-1)),"-"),"-")</f>
        <v>108.2577778</v>
      </c>
      <c r="F41" s="238">
        <f>IF(DAY(EOMONTH(E$1,0))&gt;=$B41, 11-COUNTIFS(dataMail!$C:$C,"&lt;&gt;Annulation",dataMail!$G:$G,"&lt;="&amp;(E$1+$B41-1),dataMail!$H:$H,"&gt;"&amp;(E$1+$B41-1)),"-")</f>
        <v>2</v>
      </c>
      <c r="G41" s="239">
        <f>IF(DAY(EOMONTH(G$1,0))&gt;=$B41,IFERROR(AVERAGEIFS(dataMail!$P:$P,dataMail!$C:$C,"Confirmation",dataMail!$G:$G,"&lt;="&amp;(G$1+$B41-1),dataMail!$H:$H,"&gt;"&amp;(G$1+$B41-1)),"-"),"-")</f>
        <v>107.6282857</v>
      </c>
      <c r="H41" s="238">
        <f>IF(DAY(EOMONTH(G$1,0))&gt;=$B41, 11-COUNTIFS(dataMail!$C:$C,"&lt;&gt;Annulation",dataMail!$G:$G,"&lt;="&amp;(G$1+$B41-1),dataMail!$H:$H,"&gt;"&amp;(G$1+$B41-1)),"-")</f>
        <v>4</v>
      </c>
      <c r="I41" s="237" t="str">
        <f>IF(DAY(EOMONTH(I$1,0))&gt;=$B41,IFERROR(AVERAGEIFS(dataMail!$P:$P,dataMail!$C:$C,"Confirmation",dataMail!$G:$G,"&lt;="&amp;(I$1+$B41-1),dataMail!$H:$H,"&gt;"&amp;(I$1+$B41-1)),"-"),"-")</f>
        <v>-</v>
      </c>
      <c r="J41" s="238" t="str">
        <f>IF(DAY(EOMONTH(I$1,0))&gt;=$B41, 11-COUNTIFS(dataMail!$C:$C,"&lt;&gt;Annulation",dataMail!$G:$G,"&lt;="&amp;(I$1+$B41-1),dataMail!$H:$H,"&gt;"&amp;(I$1+$B41-1)),"-")</f>
        <v>-</v>
      </c>
      <c r="K41" s="237">
        <f>IF(DAY(EOMONTH(K$1,0))&gt;=$B41,IFERROR(AVERAGEIFS(dataMail!$P:$P,dataMail!$C:$C,"Confirmation",dataMail!$G:$G,"&lt;="&amp;(K$1+$B41-1),dataMail!$H:$H,"&gt;"&amp;(K$1+$B41-1)),"-"),"-")</f>
        <v>142.0986667</v>
      </c>
      <c r="L41" s="238">
        <f>IF(DAY(EOMONTH(K$1,0))&gt;=$B41, 11-COUNTIFS(dataMail!$C:$C,"&lt;&gt;Annulation",dataMail!$G:$G,"&lt;="&amp;(K$1+$B41-1),dataMail!$H:$H,"&gt;"&amp;(K$1+$B41-1)),"-")</f>
        <v>2</v>
      </c>
      <c r="M41" s="237" t="str">
        <f>IF(DAY(EOMONTH(M$1,0))&gt;=$B41,IFERROR(AVERAGEIFS(dataMail!$P:$P,dataMail!$C:$C,"Confirmation",dataMail!$G:$G,"&lt;="&amp;(M$1+$B41-1),dataMail!$H:$H,"&gt;"&amp;(M$1+$B41-1)),"-"),"-")</f>
        <v>-</v>
      </c>
      <c r="N41" s="238" t="str">
        <f>IF(DAY(EOMONTH(M$1,0))&gt;=$B41, 11-COUNTIFS(dataMail!$C:$C,"&lt;&gt;Annulation",dataMail!$G:$G,"&lt;="&amp;(M$1+$B41-1),dataMail!$H:$H,"&gt;"&amp;(M$1+$B41-1)),"-")</f>
        <v>-</v>
      </c>
      <c r="O41" s="237">
        <f>IF(DAY(EOMONTH(O$1,0))&gt;=$B41,IFERROR(AVERAGEIFS(dataMail!$P:$P,dataMail!$C:$C,"Confirmation",dataMail!$G:$G,"&lt;="&amp;(O$1+$B41-1),dataMail!$H:$H,"&gt;"&amp;(O$1+$B41-1)),"-"),"-")</f>
        <v>190.1391667</v>
      </c>
      <c r="P41" s="238">
        <f>IF(DAY(EOMONTH(O$1,0))&gt;=$B41, 11-COUNTIFS(dataMail!$C:$C,"&lt;&gt;Annulation",dataMail!$G:$G,"&lt;="&amp;(O$1+$B41-1),dataMail!$H:$H,"&gt;"&amp;(O$1+$B41-1)),"-")</f>
        <v>8</v>
      </c>
      <c r="Q41" s="237">
        <f>IF(DAY(EOMONTH(Q$1,0))&gt;=$B41,IFERROR(AVERAGEIFS(dataMail!$P:$P,dataMail!$C:$C,"Confirmation",dataMail!$G:$G,"&lt;="&amp;(Q$1+$B41-1),dataMail!$H:$H,"&gt;"&amp;(Q$1+$B41-1)),"-"),"-")</f>
        <v>120.576</v>
      </c>
      <c r="R41" s="238">
        <f>IF(DAY(EOMONTH(Q$1,0))&gt;=$B41, 11-COUNTIFS(dataMail!$C:$C,"&lt;&gt;Annulation",dataMail!$G:$G,"&lt;="&amp;(Q$1+$B41-1),dataMail!$H:$H,"&gt;"&amp;(Q$1+$B41-1)),"-")</f>
        <v>10</v>
      </c>
      <c r="S41" s="237" t="str">
        <f>IF(DAY(EOMONTH(S$1,0))&gt;=$B41,IFERROR(AVERAGEIFS(dataMail!$P:$P,dataMail!$C:$C,"Confirmation",dataMail!$G:$G,"&lt;="&amp;(S$1+$B41-1),dataMail!$H:$H,"&gt;"&amp;(S$1+$B41-1)),"-"),"-")</f>
        <v>-</v>
      </c>
      <c r="T41" s="238" t="str">
        <f>IF(DAY(EOMONTH(S$1,0))&gt;=$B41, 11-COUNTIFS(dataMail!$C:$C,"&lt;&gt;Annulation",dataMail!$G:$G,"&lt;="&amp;(S$1+$B41-1),dataMail!$H:$H,"&gt;"&amp;(S$1+$B41-1)),"-")</f>
        <v>-</v>
      </c>
      <c r="U41" s="237">
        <f>IF(DAY(EOMONTH(U$1,0))&gt;=$B41,IFERROR(AVERAGEIFS(dataMail!$P:$P,dataMail!$C:$C,"Confirmation",dataMail!$G:$G,"&lt;="&amp;(U$1+$B41-1),dataMail!$H:$H,"&gt;"&amp;(U$1+$B41-1)),"-"),"-")</f>
        <v>146.868</v>
      </c>
      <c r="V41" s="238">
        <f>IF(DAY(EOMONTH(U$1,0))&gt;=$B41, 11-COUNTIFS(dataMail!$C:$C,"&lt;&gt;Annulation",dataMail!$G:$G,"&lt;="&amp;(U$1+$B41-1),dataMail!$H:$H,"&gt;"&amp;(U$1+$B41-1)),"-")</f>
        <v>9</v>
      </c>
      <c r="W41" s="237" t="str">
        <f>IF(DAY(EOMONTH(W$1,0))&gt;=$B41,IFERROR(AVERAGEIFS(dataMail!$P:$P,dataMail!$C:$C,"Confirmation",dataMail!$G:$G,"&lt;="&amp;(W$1+$B41-1),dataMail!$H:$H,"&gt;"&amp;(W$1+$B41-1)),"-"),"-")</f>
        <v>-</v>
      </c>
      <c r="X41" s="238" t="str">
        <f>IF(DAY(EOMONTH(W$1,0))&gt;=$B41, 11-COUNTIFS(dataMail!$C:$C,"&lt;&gt;Annulation",dataMail!$G:$G,"&lt;="&amp;(W$1+$B41-1),dataMail!$H:$H,"&gt;"&amp;(W$1+$B41-1)),"-")</f>
        <v>-</v>
      </c>
      <c r="Y41" s="237" t="str">
        <f>IF(DAY(EOMONTH(Y$1,0))&gt;=$B41,IFERROR(AVERAGEIFS(dataMail!$P:$P,dataMail!$C:$C,"Confirmation",dataMail!$G:$G,"&lt;="&amp;(Y$1+$B41-1),dataMail!$H:$H,"&gt;"&amp;(Y$1+$B41-1)),"-"),"-")</f>
        <v>-</v>
      </c>
      <c r="Z41" s="238">
        <f>IF(DAY(EOMONTH(Y$1,0))&gt;=$B41, 11-COUNTIFS(dataMail!$C:$C,"&lt;&gt;Annulation",dataMail!$G:$G,"&lt;="&amp;(Y$1+$B41-1),dataMail!$H:$H,"&gt;"&amp;(Y$1+$B41-1)),"-")</f>
        <v>11</v>
      </c>
      <c r="AA41" s="237" t="str">
        <f>IF(DAY(EOMONTH(AA$1,0))&gt;=$B41,IFERROR(AVERAGEIFS(dataMail!$P:$P,dataMail!$C:$C,"Confirmation",dataMail!$G:$G,"&lt;="&amp;(AA$1+$B41-1),dataMail!$H:$H,"&gt;"&amp;(AA$1+$B41-1)),"-"),"-")</f>
        <v>-</v>
      </c>
      <c r="AB41" s="238" t="str">
        <f>IF(DAY(EOMONTH(AA$1,0))&gt;=$B41, 11-COUNTIFS(dataMail!$C:$C,"&lt;&gt;Annulation",dataMail!$G:$G,"&lt;="&amp;(AA$1+$B41-1),dataMail!$H:$H,"&gt;"&amp;(AA$1+$B41-1)),"-")</f>
        <v>-</v>
      </c>
      <c r="AC41" s="237" t="str">
        <f>IF(DAY(EOMONTH(AC$1,0))&gt;=$B41,IFERROR(AVERAGEIFS(dataMail!$P:$P,dataMail!$C:$C,"Confirmation",dataMail!$G:$G,"&lt;="&amp;(AC$1+$B41-1),dataMail!$H:$H,"&gt;"&amp;(AC$1+$B41-1)),"-"),"-")</f>
        <v>-</v>
      </c>
      <c r="AD41" s="238">
        <f>IF(DAY(EOMONTH(AC$1,0))&gt;=$B41, 11-COUNTIFS(dataMail!$C:$C,"&lt;&gt;Annulation",dataMail!$G:$G,"&lt;="&amp;(AC$1+$B41-1),dataMail!$H:$H,"&gt;"&amp;(AC$1+$B41-1)),"-")</f>
        <v>11</v>
      </c>
      <c r="AE41" s="237">
        <f>IF(DAY(EOMONTH(AE$1,0))&gt;=$B41,IFERROR(AVERAGEIFS(dataMail!$P:$P,dataMail!$C:$C,"Confirmation",dataMail!$G:$G,"&lt;="&amp;(AE$1+$B41-1),dataMail!$H:$H,"&gt;"&amp;(AE$1+$B41-1)),"-"),"-")</f>
        <v>115.312</v>
      </c>
      <c r="AF41" s="238">
        <f>IF(DAY(EOMONTH(AE$1,0))&gt;=$B41, 11-COUNTIFS(dataMail!$C:$C,"&lt;&gt;Annulation",dataMail!$G:$G,"&lt;="&amp;(AE$1+$B41-1),dataMail!$H:$H,"&gt;"&amp;(AE$1+$B41-1)),"-")</f>
        <v>10</v>
      </c>
      <c r="AG41" s="237" t="str">
        <f>IF(DAY(EOMONTH(AG$1,0))&gt;=$B41,IFERROR(AVERAGEIFS(dataMail!$P:$P,dataMail!$C:$C,"Confirmation",dataMail!$G:$G,"&lt;="&amp;(AG$1+$B41-1),dataMail!$H:$H,"&gt;"&amp;(AG$1+$B41-1)),"-"),"-")</f>
        <v>-</v>
      </c>
      <c r="AH41" s="238" t="str">
        <f>IF(DAY(EOMONTH(AG$1,0))&gt;=$B41, 11-COUNTIFS(dataMail!$C:$C,"&lt;&gt;Annulation",dataMail!$G:$G,"&lt;="&amp;(AG$1+$B41-1),dataMail!$H:$H,"&gt;"&amp;(AG$1+$B41-1)),"-")</f>
        <v>-</v>
      </c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</row>
    <row r="44">
      <c r="A44" s="53"/>
      <c r="B44" s="53"/>
      <c r="C44" s="53"/>
      <c r="D44" s="53"/>
      <c r="E44" s="53"/>
      <c r="F44" s="242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</row>
  </sheetData>
  <mergeCells count="146">
    <mergeCell ref="AE1:AF1"/>
    <mergeCell ref="AG1:AH1"/>
    <mergeCell ref="Q1:R1"/>
    <mergeCell ref="S1:T1"/>
    <mergeCell ref="U1:V1"/>
    <mergeCell ref="W1:X1"/>
    <mergeCell ref="Y1:Z1"/>
    <mergeCell ref="AA1:AB1"/>
    <mergeCell ref="AC1:AD1"/>
    <mergeCell ref="C1:D1"/>
    <mergeCell ref="C2:D2"/>
    <mergeCell ref="E2:F2"/>
    <mergeCell ref="G2:H2"/>
    <mergeCell ref="I2:J2"/>
    <mergeCell ref="K2:L2"/>
    <mergeCell ref="AA2:AB2"/>
    <mergeCell ref="AC2:AD2"/>
    <mergeCell ref="AE2:AF2"/>
    <mergeCell ref="AG2:AH2"/>
    <mergeCell ref="M2:N2"/>
    <mergeCell ref="O2:P2"/>
    <mergeCell ref="Q2:R2"/>
    <mergeCell ref="S2:T2"/>
    <mergeCell ref="U2:V2"/>
    <mergeCell ref="W2:X2"/>
    <mergeCell ref="Y2:Z2"/>
    <mergeCell ref="AA4:AB4"/>
    <mergeCell ref="AC4:AD4"/>
    <mergeCell ref="K4:L4"/>
    <mergeCell ref="M4:N4"/>
    <mergeCell ref="Q4:R4"/>
    <mergeCell ref="S4:T4"/>
    <mergeCell ref="U4:V4"/>
    <mergeCell ref="W4:X4"/>
    <mergeCell ref="Y4:Z4"/>
    <mergeCell ref="G1:H1"/>
    <mergeCell ref="I1:J1"/>
    <mergeCell ref="K1:L1"/>
    <mergeCell ref="M1:N1"/>
    <mergeCell ref="O1:P1"/>
    <mergeCell ref="O3:P3"/>
    <mergeCell ref="O4:P4"/>
    <mergeCell ref="G4:H4"/>
    <mergeCell ref="I4:J4"/>
    <mergeCell ref="G5:H5"/>
    <mergeCell ref="I5:J5"/>
    <mergeCell ref="K5:L5"/>
    <mergeCell ref="M5:N5"/>
    <mergeCell ref="O5:P5"/>
    <mergeCell ref="G3:H3"/>
    <mergeCell ref="I3:J3"/>
    <mergeCell ref="E1:F1"/>
    <mergeCell ref="C4:D4"/>
    <mergeCell ref="E4:F4"/>
    <mergeCell ref="E5:F5"/>
    <mergeCell ref="E6:F6"/>
    <mergeCell ref="G6:H6"/>
    <mergeCell ref="I6:J6"/>
    <mergeCell ref="C3:D3"/>
    <mergeCell ref="E3:F3"/>
    <mergeCell ref="C7:D7"/>
    <mergeCell ref="C8:D8"/>
    <mergeCell ref="U8:V8"/>
    <mergeCell ref="W8:X8"/>
    <mergeCell ref="Y8:Z8"/>
    <mergeCell ref="AA8:AB8"/>
    <mergeCell ref="AC8:AD8"/>
    <mergeCell ref="AE8:AF8"/>
    <mergeCell ref="AG8:AH8"/>
    <mergeCell ref="E8:F8"/>
    <mergeCell ref="G8:H8"/>
    <mergeCell ref="K8:L8"/>
    <mergeCell ref="M8:N8"/>
    <mergeCell ref="O8:P8"/>
    <mergeCell ref="Q8:R8"/>
    <mergeCell ref="S8:T8"/>
    <mergeCell ref="A2:A7"/>
    <mergeCell ref="C5:D5"/>
    <mergeCell ref="C6:D6"/>
    <mergeCell ref="E7:F7"/>
    <mergeCell ref="G7:H7"/>
    <mergeCell ref="I7:J7"/>
    <mergeCell ref="I8:J8"/>
    <mergeCell ref="A8:A9"/>
    <mergeCell ref="C9:D9"/>
    <mergeCell ref="E9:F9"/>
    <mergeCell ref="G9:H9"/>
    <mergeCell ref="I9:J9"/>
    <mergeCell ref="K9:L9"/>
    <mergeCell ref="M9:N9"/>
    <mergeCell ref="AC9:AD9"/>
    <mergeCell ref="AE9:AF9"/>
    <mergeCell ref="AG9:AH9"/>
    <mergeCell ref="O9:P9"/>
    <mergeCell ref="Q9:R9"/>
    <mergeCell ref="S9:T9"/>
    <mergeCell ref="U9:V9"/>
    <mergeCell ref="W9:X9"/>
    <mergeCell ref="Y9:Z9"/>
    <mergeCell ref="AA9:AB9"/>
    <mergeCell ref="AA3:AB3"/>
    <mergeCell ref="AC3:AD3"/>
    <mergeCell ref="AE3:AF3"/>
    <mergeCell ref="AG3:AH3"/>
    <mergeCell ref="AE4:AF4"/>
    <mergeCell ref="AG4:AH4"/>
    <mergeCell ref="K3:L3"/>
    <mergeCell ref="M3:N3"/>
    <mergeCell ref="Q3:R3"/>
    <mergeCell ref="S3:T3"/>
    <mergeCell ref="U3:V3"/>
    <mergeCell ref="W3:X3"/>
    <mergeCell ref="Y3:Z3"/>
    <mergeCell ref="AE5:AF5"/>
    <mergeCell ref="AG5:AH5"/>
    <mergeCell ref="Q5:R5"/>
    <mergeCell ref="S5:T5"/>
    <mergeCell ref="U5:V5"/>
    <mergeCell ref="W5:X5"/>
    <mergeCell ref="Y5:Z5"/>
    <mergeCell ref="AA5:AB5"/>
    <mergeCell ref="AC5:AD5"/>
    <mergeCell ref="Y6:Z6"/>
    <mergeCell ref="AA6:AB6"/>
    <mergeCell ref="AC6:AD6"/>
    <mergeCell ref="AE6:AF6"/>
    <mergeCell ref="AG6:AH6"/>
    <mergeCell ref="K6:L6"/>
    <mergeCell ref="M6:N6"/>
    <mergeCell ref="O6:P6"/>
    <mergeCell ref="Q6:R6"/>
    <mergeCell ref="S6:T6"/>
    <mergeCell ref="U6:V6"/>
    <mergeCell ref="W6:X6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W7:X7"/>
  </mergeCells>
  <conditionalFormatting sqref="C2:AH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8:AH8">
    <cfRule type="cellIs" dxfId="0" priority="2" operator="lessThan">
      <formula>8000</formula>
    </cfRule>
  </conditionalFormatting>
  <conditionalFormatting sqref="C8:AH8">
    <cfRule type="cellIs" dxfId="1" priority="3" operator="greaterThan">
      <formula>8000</formula>
    </cfRule>
  </conditionalFormatting>
  <conditionalFormatting sqref="C11:C41 E11:E41 G11:G41 I11:I41 K11:K41 M11:M41 O11:O41 Q11:Q41 S11:S41 U11:U41 W11:W41 Y11:Y41 AA11:AA41 AC11:AC41 AE11:AE41 AG11:AG41">
    <cfRule type="colorScale" priority="4">
      <colorScale>
        <cfvo type="min"/>
        <cfvo type="formula" val="75"/>
        <cfvo type="max"/>
        <color rgb="FFE67C73"/>
        <color rgb="FFFFFFFF"/>
        <color rgb="FF57BB8A"/>
      </colorScale>
    </cfRule>
  </conditionalFormatting>
  <conditionalFormatting sqref="D11:D41 F11:F41 H11:H41 J11:J41 L11:L41 N11:N41 P11:P41 R11:R41 T11:T41 V11:V41 X11:X41 Z11:Z41 AB11:AB41 AD11:AD41 AF11:AH41">
    <cfRule type="cellIs" dxfId="2" priority="5" operator="lessThan">
      <formula>0</formula>
    </cfRule>
  </conditionalFormatting>
  <conditionalFormatting sqref="D11:D41 F11:F41 H11:H41 J11:J41 L11:L41 N11:N41 P11:P41 R11:R41 T11:T41 V11:V41 X11:X41 Z11:Z41 AB11:AB41 AD11:AD41 AF11:AH41">
    <cfRule type="cellIs" dxfId="3" priority="6" operator="greaterThanOrEqual">
      <formula>9</formula>
    </cfRule>
  </conditionalFormatting>
  <conditionalFormatting sqref="D11:D41 F11:F41 H11:H41 J11:J41 L11:L41 N11:N41 P11:P41 R11:R41 T11:T41 V11:V41 X11:X41 Z11:Z41 AB11:AB41 AD11:AD41 AF11:AH41">
    <cfRule type="cellIs" dxfId="4" priority="7" operator="greaterThanOrEqual">
      <formula>4</formula>
    </cfRule>
  </conditionalFormatting>
  <conditionalFormatting sqref="D11:D41 F11:F41 H11:H41 J11:J41 L11:L41 N11:N41 P11:P41 R11:R41 T11:T41 V11:V41 X11:X41 Z11:Z41 AB11:AB41 AD11:AD41 AF11:AH41">
    <cfRule type="cellIs" dxfId="1" priority="8" operator="lessThan">
      <formula>4</formula>
    </cfRule>
  </conditionalFormatting>
  <conditionalFormatting sqref="C4:AH4 C6:AH6">
    <cfRule type="colorScale" priority="9">
      <colorScale>
        <cfvo type="formula" val="0"/>
        <cfvo type="formula" val="0.7"/>
        <cfvo type="formula" val="1"/>
        <color rgb="FFE67C73"/>
        <color rgb="FFFFFFFF"/>
        <color rgb="FF57BB8A"/>
      </colorScale>
    </cfRule>
  </conditionalFormatting>
  <conditionalFormatting sqref="C5:AH5">
    <cfRule type="colorScale" priority="10">
      <colorScale>
        <cfvo type="formula" val="65"/>
        <cfvo type="formula" val="75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10" width="6.13"/>
    <col customWidth="1" min="11" max="11" width="8.13"/>
    <col customWidth="1" min="12" max="24" width="6.13"/>
  </cols>
  <sheetData>
    <row r="1" ht="89.25" customHeight="1">
      <c r="A1" s="3" t="str">
        <f>IFERROR(__xludf.DUMMYFUNCTION("QUERY(QUERY(dataMail!A1:V4326,""select D,C,I, YEAR(A)*100+(MONTH(A)+1) where C&lt;&gt;'Annulation' ORDER BY A DESC""), "" select Col4, SUM(Col3) GROUP BY Col4 PIVOT Col1"")"),"sum(product(year(Date Rec)100())sum(month(Date Rec)1()))")</f>
        <v>sum(product(year(Date Rec)100())sum(month(Date Rec)1()))</v>
      </c>
      <c r="B1" s="6" t="str">
        <f>IFERROR(__xludf.DUMMYFUNCTION("""COMPUTED_VALUE"""),"")</f>
        <v/>
      </c>
      <c r="C1" s="6" t="str">
        <f>IFERROR(__xludf.DUMMYFUNCTION("""COMPUTED_VALUE"""),"A-Expedia")</f>
        <v>A-Expedia</v>
      </c>
      <c r="D1" s="7" t="str">
        <f>IFERROR(__xludf.DUMMYFUNCTION("""COMPUTED_VALUE"""),"A-Expedia Affiliate Network")</f>
        <v>A-Expedia Affiliate Network</v>
      </c>
      <c r="E1" s="7" t="str">
        <f>IFERROR(__xludf.DUMMYFUNCTION("""COMPUTED_VALUE"""),"Agoda2")</f>
        <v>Agoda2</v>
      </c>
      <c r="F1" s="8" t="str">
        <f>IFERROR(__xludf.DUMMYFUNCTION("""COMPUTED_VALUE"""),"American Express Travel")</f>
        <v>American Express Travel</v>
      </c>
      <c r="G1" s="8" t="str">
        <f>IFERROR(__xludf.DUMMYFUNCTION("""COMPUTED_VALUE"""),"BookingCom")</f>
        <v>BookingCom</v>
      </c>
      <c r="H1" s="9" t="str">
        <f>IFERROR(__xludf.DUMMYFUNCTION("""COMPUTED_VALUE"""),"Ctrip")</f>
        <v>Ctrip</v>
      </c>
      <c r="I1" s="10" t="str">
        <f>IFERROR(__xludf.DUMMYFUNCTION("""COMPUTED_VALUE"""),"Expedia")</f>
        <v>Expedia</v>
      </c>
      <c r="J1" s="9" t="str">
        <f>IFERROR(__xludf.DUMMYFUNCTION("""COMPUTED_VALUE"""),"Expedia Affiliate Network")</f>
        <v>Expedia Affiliate Network</v>
      </c>
      <c r="K1" s="11" t="str">
        <f>IFERROR(__xludf.DUMMYFUNCTION("""COMPUTED_VALUE"""),"HotelBeds")</f>
        <v>HotelBeds</v>
      </c>
      <c r="L1" s="12" t="str">
        <f>IFERROR(__xludf.DUMMYFUNCTION("""COMPUTED_VALUE"""),"Hotels.com")</f>
        <v>Hotels.com</v>
      </c>
      <c r="M1" s="10" t="str">
        <f>IFERROR(__xludf.DUMMYFUNCTION("""COMPUTED_VALUE"""),"Reseliva")</f>
        <v>Reseliva</v>
      </c>
      <c r="N1" s="13" t="str">
        <f>IFERROR(__xludf.DUMMYFUNCTION("""COMPUTED_VALUE"""),"Reseliva Pannel")</f>
        <v>Reseliva Pannel</v>
      </c>
      <c r="O1" s="14"/>
      <c r="P1" s="15"/>
      <c r="Q1" s="17"/>
      <c r="R1" s="17"/>
      <c r="S1" s="14"/>
      <c r="T1" s="19"/>
      <c r="U1" s="19"/>
      <c r="V1" s="19"/>
      <c r="W1" s="19"/>
      <c r="X1" s="19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24">
        <f>IFERROR(__xludf.DUMMYFUNCTION("""COMPUTED_VALUE"""),202503.0)</f>
        <v>202503</v>
      </c>
      <c r="B3" s="25"/>
      <c r="C3" s="25"/>
      <c r="D3" s="25"/>
      <c r="E3" s="25"/>
      <c r="F3" s="25"/>
      <c r="G3" s="25">
        <f>IFERROR(__xludf.DUMMYFUNCTION("""COMPUTED_VALUE"""),5.0)</f>
        <v>5</v>
      </c>
      <c r="H3" s="26"/>
      <c r="I3" s="27"/>
      <c r="J3" s="26"/>
      <c r="K3" s="28"/>
      <c r="L3" s="27"/>
      <c r="M3" s="27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</row>
    <row r="4">
      <c r="A4" s="24">
        <f>IFERROR(__xludf.DUMMYFUNCTION("""COMPUTED_VALUE"""),202504.0)</f>
        <v>202504</v>
      </c>
      <c r="B4" s="25"/>
      <c r="C4" s="25"/>
      <c r="D4" s="25"/>
      <c r="E4" s="25"/>
      <c r="F4" s="25"/>
      <c r="G4" s="25"/>
      <c r="H4" s="26"/>
      <c r="I4" s="27"/>
      <c r="J4" s="26"/>
      <c r="K4" s="28"/>
      <c r="L4" s="27"/>
      <c r="M4" s="27">
        <f>IFERROR(__xludf.DUMMYFUNCTION("""COMPUTED_VALUE"""),6.0)</f>
        <v>6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</row>
    <row r="5">
      <c r="A5" s="24">
        <f>IFERROR(__xludf.DUMMYFUNCTION("""COMPUTED_VALUE"""),202505.0)</f>
        <v>202505</v>
      </c>
      <c r="B5" s="25"/>
      <c r="C5" s="25"/>
      <c r="D5" s="25"/>
      <c r="E5" s="25"/>
      <c r="F5" s="25"/>
      <c r="G5" s="25">
        <f>IFERROR(__xludf.DUMMYFUNCTION("""COMPUTED_VALUE"""),5.0)</f>
        <v>5</v>
      </c>
      <c r="H5" s="26"/>
      <c r="I5" s="27"/>
      <c r="J5" s="26">
        <f>IFERROR(__xludf.DUMMYFUNCTION("""COMPUTED_VALUE"""),1.0)</f>
        <v>1</v>
      </c>
      <c r="K5" s="28"/>
      <c r="L5" s="27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</row>
    <row r="6">
      <c r="A6" s="24">
        <f>IFERROR(__xludf.DUMMYFUNCTION("""COMPUTED_VALUE"""),202506.0)</f>
        <v>202506</v>
      </c>
      <c r="B6" s="25"/>
      <c r="C6" s="25"/>
      <c r="D6" s="25">
        <f>IFERROR(__xludf.DUMMYFUNCTION("""COMPUTED_VALUE"""),5.0)</f>
        <v>5</v>
      </c>
      <c r="E6" s="25"/>
      <c r="F6" s="25"/>
      <c r="G6" s="25">
        <f>IFERROR(__xludf.DUMMYFUNCTION("""COMPUTED_VALUE"""),7.0)</f>
        <v>7</v>
      </c>
      <c r="H6" s="26"/>
      <c r="I6" s="27"/>
      <c r="J6" s="26">
        <f>IFERROR(__xludf.DUMMYFUNCTION("""COMPUTED_VALUE"""),4.0)</f>
        <v>4</v>
      </c>
      <c r="K6" s="28"/>
      <c r="L6" s="27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>
      <c r="A7" s="24">
        <f>IFERROR(__xludf.DUMMYFUNCTION("""COMPUTED_VALUE"""),202507.0)</f>
        <v>202507</v>
      </c>
      <c r="B7" s="25"/>
      <c r="C7" s="25"/>
      <c r="D7" s="25"/>
      <c r="E7" s="25"/>
      <c r="F7" s="25"/>
      <c r="G7" s="25">
        <f>IFERROR(__xludf.DUMMYFUNCTION("""COMPUTED_VALUE"""),13.0)</f>
        <v>13</v>
      </c>
      <c r="H7" s="26"/>
      <c r="I7" s="27"/>
      <c r="J7" s="26"/>
      <c r="K7" s="28"/>
      <c r="L7" s="27"/>
      <c r="M7" s="27">
        <f>IFERROR(__xludf.DUMMYFUNCTION("""COMPUTED_VALUE"""),5.0)</f>
        <v>5</v>
      </c>
      <c r="N7" s="28">
        <f>IFERROR(__xludf.DUMMYFUNCTION("""COMPUTED_VALUE"""),3.0)</f>
        <v>3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>
      <c r="A8" s="24">
        <f>IFERROR(__xludf.DUMMYFUNCTION("""COMPUTED_VALUE"""),202508.0)</f>
        <v>202508</v>
      </c>
      <c r="B8" s="25"/>
      <c r="C8" s="25">
        <f>IFERROR(__xludf.DUMMYFUNCTION("""COMPUTED_VALUE"""),25.0)</f>
        <v>25</v>
      </c>
      <c r="D8" s="25"/>
      <c r="E8" s="25"/>
      <c r="F8" s="25"/>
      <c r="G8" s="25">
        <f>IFERROR(__xludf.DUMMYFUNCTION("""COMPUTED_VALUE"""),26.0)</f>
        <v>26</v>
      </c>
      <c r="H8" s="26"/>
      <c r="I8" s="27"/>
      <c r="J8" s="26">
        <f>IFERROR(__xludf.DUMMYFUNCTION("""COMPUTED_VALUE"""),1.0)</f>
        <v>1</v>
      </c>
      <c r="K8" s="28">
        <f>IFERROR(__xludf.DUMMYFUNCTION("""COMPUTED_VALUE"""),1.0)</f>
        <v>1</v>
      </c>
      <c r="L8" s="27"/>
      <c r="M8" s="27">
        <f>IFERROR(__xludf.DUMMYFUNCTION("""COMPUTED_VALUE"""),1.0)</f>
        <v>1</v>
      </c>
      <c r="N8" s="28">
        <f>IFERROR(__xludf.DUMMYFUNCTION("""COMPUTED_VALUE"""),5.0)</f>
        <v>5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</row>
    <row r="9">
      <c r="A9" s="24">
        <f>IFERROR(__xludf.DUMMYFUNCTION("""COMPUTED_VALUE"""),202509.0)</f>
        <v>202509</v>
      </c>
      <c r="B9" s="25"/>
      <c r="C9" s="25"/>
      <c r="D9" s="25"/>
      <c r="E9" s="25"/>
      <c r="F9" s="25"/>
      <c r="G9" s="25">
        <f>IFERROR(__xludf.DUMMYFUNCTION("""COMPUTED_VALUE"""),70.0)</f>
        <v>70</v>
      </c>
      <c r="H9" s="26"/>
      <c r="I9" s="27"/>
      <c r="J9" s="26"/>
      <c r="K9" s="28">
        <f>IFERROR(__xludf.DUMMYFUNCTION("""COMPUTED_VALUE"""),5.0)</f>
        <v>5</v>
      </c>
      <c r="L9" s="27"/>
      <c r="M9" s="27">
        <f>IFERROR(__xludf.DUMMYFUNCTION("""COMPUTED_VALUE"""),5.0)</f>
        <v>5</v>
      </c>
      <c r="N9" s="28">
        <f>IFERROR(__xludf.DUMMYFUNCTION("""COMPUTED_VALUE"""),1.0)</f>
        <v>1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ht="1.5" customHeight="1">
      <c r="A10" s="24">
        <f>IFERROR(__xludf.DUMMYFUNCTION("""COMPUTED_VALUE"""),202510.0)</f>
        <v>202510</v>
      </c>
      <c r="B10" s="25"/>
      <c r="C10" s="25"/>
      <c r="D10" s="25"/>
      <c r="E10" s="25">
        <f>IFERROR(__xludf.DUMMYFUNCTION("""COMPUTED_VALUE"""),8.0)</f>
        <v>8</v>
      </c>
      <c r="F10" s="25"/>
      <c r="G10" s="25">
        <f>IFERROR(__xludf.DUMMYFUNCTION("""COMPUTED_VALUE"""),295.0)</f>
        <v>295</v>
      </c>
      <c r="H10" s="26"/>
      <c r="I10" s="27"/>
      <c r="J10" s="26"/>
      <c r="K10" s="28">
        <f>IFERROR(__xludf.DUMMYFUNCTION("""COMPUTED_VALUE"""),2.0)</f>
        <v>2</v>
      </c>
      <c r="L10" s="27"/>
      <c r="M10" s="27">
        <f>IFERROR(__xludf.DUMMYFUNCTION("""COMPUTED_VALUE"""),21.0)</f>
        <v>21</v>
      </c>
      <c r="N10" s="28">
        <f>IFERROR(__xludf.DUMMYFUNCTION("""COMPUTED_VALUE"""),41.0)</f>
        <v>41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>
      <c r="A11" s="24">
        <f>IFERROR(__xludf.DUMMYFUNCTION("""COMPUTED_VALUE"""),202511.0)</f>
        <v>202511</v>
      </c>
      <c r="B11" s="25"/>
      <c r="C11" s="25"/>
      <c r="D11" s="25"/>
      <c r="E11" s="25"/>
      <c r="F11" s="25"/>
      <c r="G11" s="25">
        <f>IFERROR(__xludf.DUMMYFUNCTION("""COMPUTED_VALUE"""),236.0)</f>
        <v>236</v>
      </c>
      <c r="H11" s="26"/>
      <c r="I11" s="27"/>
      <c r="J11" s="26">
        <f>IFERROR(__xludf.DUMMYFUNCTION("""COMPUTED_VALUE"""),5.0)</f>
        <v>5</v>
      </c>
      <c r="K11" s="28"/>
      <c r="L11" s="27">
        <f>IFERROR(__xludf.DUMMYFUNCTION("""COMPUTED_VALUE"""),1.0)</f>
        <v>1</v>
      </c>
      <c r="M11" s="27">
        <f>IFERROR(__xludf.DUMMYFUNCTION("""COMPUTED_VALUE"""),15.0)</f>
        <v>15</v>
      </c>
      <c r="N11" s="28">
        <f>IFERROR(__xludf.DUMMYFUNCTION("""COMPUTED_VALUE"""),32.0)</f>
        <v>32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>
      <c r="A12" s="24">
        <f>IFERROR(__xludf.DUMMYFUNCTION("""COMPUTED_VALUE"""),202512.0)</f>
        <v>202512</v>
      </c>
      <c r="B12" s="25"/>
      <c r="C12" s="25"/>
      <c r="D12" s="25">
        <f>IFERROR(__xludf.DUMMYFUNCTION("""COMPUTED_VALUE"""),1.0)</f>
        <v>1</v>
      </c>
      <c r="E12" s="25"/>
      <c r="F12" s="25"/>
      <c r="G12" s="25">
        <f>IFERROR(__xludf.DUMMYFUNCTION("""COMPUTED_VALUE"""),203.0)</f>
        <v>203</v>
      </c>
      <c r="H12" s="26"/>
      <c r="I12" s="27"/>
      <c r="J12" s="26">
        <f>IFERROR(__xludf.DUMMYFUNCTION("""COMPUTED_VALUE"""),11.0)</f>
        <v>11</v>
      </c>
      <c r="K12" s="28"/>
      <c r="L12" s="27"/>
      <c r="M12" s="27">
        <f>IFERROR(__xludf.DUMMYFUNCTION("""COMPUTED_VALUE"""),12.0)</f>
        <v>12</v>
      </c>
      <c r="N12" s="28">
        <f>IFERROR(__xludf.DUMMYFUNCTION("""COMPUTED_VALUE"""),41.0)</f>
        <v>41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</row>
    <row r="13">
      <c r="A13" s="24">
        <f>IFERROR(__xludf.DUMMYFUNCTION("""COMPUTED_VALUE"""),202601.0)</f>
        <v>202601</v>
      </c>
      <c r="B13" s="25"/>
      <c r="C13" s="25"/>
      <c r="D13" s="25"/>
      <c r="E13" s="25">
        <f>IFERROR(__xludf.DUMMYFUNCTION("""COMPUTED_VALUE"""),5.0)</f>
        <v>5</v>
      </c>
      <c r="F13" s="25">
        <f>IFERROR(__xludf.DUMMYFUNCTION("""COMPUTED_VALUE"""),3.0)</f>
        <v>3</v>
      </c>
      <c r="G13" s="25">
        <f>IFERROR(__xludf.DUMMYFUNCTION("""COMPUTED_VALUE"""),291.0)</f>
        <v>291</v>
      </c>
      <c r="H13" s="26"/>
      <c r="I13" s="27">
        <f>IFERROR(__xludf.DUMMYFUNCTION("""COMPUTED_VALUE"""),3.0)</f>
        <v>3</v>
      </c>
      <c r="J13" s="26">
        <f>IFERROR(__xludf.DUMMYFUNCTION("""COMPUTED_VALUE"""),1.0)</f>
        <v>1</v>
      </c>
      <c r="K13" s="28">
        <f>IFERROR(__xludf.DUMMYFUNCTION("""COMPUTED_VALUE"""),4.0)</f>
        <v>4</v>
      </c>
      <c r="L13" s="27"/>
      <c r="M13" s="27">
        <f>IFERROR(__xludf.DUMMYFUNCTION("""COMPUTED_VALUE"""),15.0)</f>
        <v>15</v>
      </c>
      <c r="N13" s="28">
        <f>IFERROR(__xludf.DUMMYFUNCTION("""COMPUTED_VALUE"""),63.0)</f>
        <v>63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>
      <c r="A14" s="24">
        <f>IFERROR(__xludf.DUMMYFUNCTION("""COMPUTED_VALUE"""),202602.0)</f>
        <v>202602</v>
      </c>
      <c r="B14" s="25"/>
      <c r="C14" s="25"/>
      <c r="D14" s="25"/>
      <c r="E14" s="25">
        <f>IFERROR(__xludf.DUMMYFUNCTION("""COMPUTED_VALUE"""),19.0)</f>
        <v>19</v>
      </c>
      <c r="F14" s="25"/>
      <c r="G14" s="25">
        <f>IFERROR(__xludf.DUMMYFUNCTION("""COMPUTED_VALUE"""),221.0)</f>
        <v>221</v>
      </c>
      <c r="H14" s="26"/>
      <c r="I14" s="27"/>
      <c r="J14" s="26">
        <f>IFERROR(__xludf.DUMMYFUNCTION("""COMPUTED_VALUE"""),6.0)</f>
        <v>6</v>
      </c>
      <c r="K14" s="28">
        <f>IFERROR(__xludf.DUMMYFUNCTION("""COMPUTED_VALUE"""),4.0)</f>
        <v>4</v>
      </c>
      <c r="L14" s="27">
        <f>IFERROR(__xludf.DUMMYFUNCTION("""COMPUTED_VALUE"""),1.0)</f>
        <v>1</v>
      </c>
      <c r="M14" s="27">
        <f>IFERROR(__xludf.DUMMYFUNCTION("""COMPUTED_VALUE"""),2.0)</f>
        <v>2</v>
      </c>
      <c r="N14" s="28">
        <f>IFERROR(__xludf.DUMMYFUNCTION("""COMPUTED_VALUE"""),15.0)</f>
        <v>15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</row>
    <row r="15">
      <c r="A15" s="24">
        <f>IFERROR(__xludf.DUMMYFUNCTION("""COMPUTED_VALUE"""),202603.0)</f>
        <v>202603</v>
      </c>
      <c r="B15" s="25"/>
      <c r="C15" s="25"/>
      <c r="D15" s="25"/>
      <c r="E15" s="25">
        <f>IFERROR(__xludf.DUMMYFUNCTION("""COMPUTED_VALUE"""),8.0)</f>
        <v>8</v>
      </c>
      <c r="F15" s="25"/>
      <c r="G15" s="25">
        <f>IFERROR(__xludf.DUMMYFUNCTION("""COMPUTED_VALUE"""),191.0)</f>
        <v>191</v>
      </c>
      <c r="H15" s="26"/>
      <c r="I15" s="27"/>
      <c r="J15" s="26">
        <f>IFERROR(__xludf.DUMMYFUNCTION("""COMPUTED_VALUE"""),9.0)</f>
        <v>9</v>
      </c>
      <c r="K15" s="28">
        <f>IFERROR(__xludf.DUMMYFUNCTION("""COMPUTED_VALUE"""),1.0)</f>
        <v>1</v>
      </c>
      <c r="L15" s="27"/>
      <c r="M15" s="27">
        <f>IFERROR(__xludf.DUMMYFUNCTION("""COMPUTED_VALUE"""),19.0)</f>
        <v>19</v>
      </c>
      <c r="N15" s="28">
        <f>IFERROR(__xludf.DUMMYFUNCTION("""COMPUTED_VALUE"""),17.0)</f>
        <v>17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>
      <c r="A16" s="24">
        <f>IFERROR(__xludf.DUMMYFUNCTION("""COMPUTED_VALUE"""),202604.0)</f>
        <v>202604</v>
      </c>
      <c r="B16" s="25"/>
      <c r="C16" s="25"/>
      <c r="D16" s="25"/>
      <c r="E16" s="25">
        <f>IFERROR(__xludf.DUMMYFUNCTION("""COMPUTED_VALUE"""),2.0)</f>
        <v>2</v>
      </c>
      <c r="F16" s="25"/>
      <c r="G16" s="25">
        <f>IFERROR(__xludf.DUMMYFUNCTION("""COMPUTED_VALUE"""),279.0)</f>
        <v>279</v>
      </c>
      <c r="H16" s="26"/>
      <c r="I16" s="27"/>
      <c r="J16" s="26">
        <f>IFERROR(__xludf.DUMMYFUNCTION("""COMPUTED_VALUE"""),12.0)</f>
        <v>12</v>
      </c>
      <c r="K16" s="28">
        <f>IFERROR(__xludf.DUMMYFUNCTION("""COMPUTED_VALUE"""),4.0)</f>
        <v>4</v>
      </c>
      <c r="L16" s="27"/>
      <c r="M16" s="27">
        <f>IFERROR(__xludf.DUMMYFUNCTION("""COMPUTED_VALUE"""),23.0)</f>
        <v>23</v>
      </c>
      <c r="N16" s="28">
        <f>IFERROR(__xludf.DUMMYFUNCTION("""COMPUTED_VALUE"""),71.0)</f>
        <v>71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>
      <c r="A17" s="24">
        <f>IFERROR(__xludf.DUMMYFUNCTION("""COMPUTED_VALUE"""),202605.0)</f>
        <v>202605</v>
      </c>
      <c r="B17" s="25"/>
      <c r="C17" s="25"/>
      <c r="D17" s="25"/>
      <c r="E17" s="25">
        <f>IFERROR(__xludf.DUMMYFUNCTION("""COMPUTED_VALUE"""),5.0)</f>
        <v>5</v>
      </c>
      <c r="F17" s="25"/>
      <c r="G17" s="25">
        <f>IFERROR(__xludf.DUMMYFUNCTION("""COMPUTED_VALUE"""),256.0)</f>
        <v>256</v>
      </c>
      <c r="H17" s="26">
        <f>IFERROR(__xludf.DUMMYFUNCTION("""COMPUTED_VALUE"""),7.0)</f>
        <v>7</v>
      </c>
      <c r="I17" s="27">
        <f>IFERROR(__xludf.DUMMYFUNCTION("""COMPUTED_VALUE"""),3.0)</f>
        <v>3</v>
      </c>
      <c r="J17" s="26">
        <f>IFERROR(__xludf.DUMMYFUNCTION("""COMPUTED_VALUE"""),1.0)</f>
        <v>1</v>
      </c>
      <c r="K17" s="28"/>
      <c r="L17" s="27"/>
      <c r="M17" s="27">
        <f>IFERROR(__xludf.DUMMYFUNCTION("""COMPUTED_VALUE"""),2.0)</f>
        <v>2</v>
      </c>
      <c r="N17" s="28">
        <f>IFERROR(__xludf.DUMMYFUNCTION("""COMPUTED_VALUE"""),33.0)</f>
        <v>33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>
      <c r="A18" s="24">
        <f>IFERROR(__xludf.DUMMYFUNCTION("""COMPUTED_VALUE"""),202606.0)</f>
        <v>202606</v>
      </c>
      <c r="B18" s="25"/>
      <c r="C18" s="25"/>
      <c r="D18" s="25"/>
      <c r="E18" s="25"/>
      <c r="F18" s="25"/>
      <c r="G18" s="25">
        <f>IFERROR(__xludf.DUMMYFUNCTION("""COMPUTED_VALUE"""),122.0)</f>
        <v>122</v>
      </c>
      <c r="H18" s="26"/>
      <c r="I18" s="27"/>
      <c r="J18" s="26"/>
      <c r="K18" s="28"/>
      <c r="L18" s="27"/>
      <c r="M18" s="27">
        <f>IFERROR(__xludf.DUMMYFUNCTION("""COMPUTED_VALUE"""),10.0)</f>
        <v>10</v>
      </c>
      <c r="N18" s="28">
        <f>IFERROR(__xludf.DUMMYFUNCTION("""COMPUTED_VALUE"""),41.0)</f>
        <v>41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>
      <c r="A19" s="24">
        <f>IFERROR(__xludf.DUMMYFUNCTION("""COMPUTED_VALUE"""),202607.0)</f>
        <v>202607</v>
      </c>
      <c r="B19" s="25"/>
      <c r="C19" s="25"/>
      <c r="D19" s="25"/>
      <c r="E19" s="25">
        <f>IFERROR(__xludf.DUMMYFUNCTION("""COMPUTED_VALUE"""),9.0)</f>
        <v>9</v>
      </c>
      <c r="F19" s="25"/>
      <c r="G19" s="25">
        <f>IFERROR(__xludf.DUMMYFUNCTION("""COMPUTED_VALUE"""),275.0)</f>
        <v>275</v>
      </c>
      <c r="H19" s="26">
        <f>IFERROR(__xludf.DUMMYFUNCTION("""COMPUTED_VALUE"""),9.0)</f>
        <v>9</v>
      </c>
      <c r="I19" s="27"/>
      <c r="J19" s="26">
        <f>IFERROR(__xludf.DUMMYFUNCTION("""COMPUTED_VALUE"""),16.0)</f>
        <v>16</v>
      </c>
      <c r="K19" s="28">
        <f>IFERROR(__xludf.DUMMYFUNCTION("""COMPUTED_VALUE"""),2.0)</f>
        <v>2</v>
      </c>
      <c r="L19" s="27"/>
      <c r="M19" s="27">
        <f>IFERROR(__xludf.DUMMYFUNCTION("""COMPUTED_VALUE"""),13.0)</f>
        <v>13</v>
      </c>
      <c r="N19" s="28">
        <f>IFERROR(__xludf.DUMMYFUNCTION("""COMPUTED_VALUE"""),81.0)</f>
        <v>81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>
      <c r="A20" s="24">
        <f>IFERROR(__xludf.DUMMYFUNCTION("""COMPUTED_VALUE"""),202608.0)</f>
        <v>202608</v>
      </c>
      <c r="B20" s="25"/>
      <c r="C20" s="25"/>
      <c r="D20" s="25"/>
      <c r="E20" s="25">
        <f>IFERROR(__xludf.DUMMYFUNCTION("""COMPUTED_VALUE"""),2.0)</f>
        <v>2</v>
      </c>
      <c r="F20" s="25"/>
      <c r="G20" s="25">
        <f>IFERROR(__xludf.DUMMYFUNCTION("""COMPUTED_VALUE"""),142.0)</f>
        <v>142</v>
      </c>
      <c r="H20" s="26">
        <f>IFERROR(__xludf.DUMMYFUNCTION("""COMPUTED_VALUE"""),6.0)</f>
        <v>6</v>
      </c>
      <c r="I20" s="27"/>
      <c r="J20" s="26"/>
      <c r="K20" s="28"/>
      <c r="L20" s="27"/>
      <c r="M20" s="27">
        <f>IFERROR(__xludf.DUMMYFUNCTION("""COMPUTED_VALUE"""),4.0)</f>
        <v>4</v>
      </c>
      <c r="N20" s="28">
        <f>IFERROR(__xludf.DUMMYFUNCTION("""COMPUTED_VALUE"""),4.0)</f>
        <v>4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>
      <c r="A21" s="24"/>
      <c r="B21" s="25"/>
      <c r="C21" s="25"/>
      <c r="D21" s="25"/>
      <c r="E21" s="25"/>
      <c r="F21" s="25"/>
      <c r="G21" s="25"/>
      <c r="H21" s="26"/>
      <c r="I21" s="27"/>
      <c r="J21" s="26"/>
      <c r="K21" s="28"/>
      <c r="L21" s="27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36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>
      <c r="A22" s="24"/>
      <c r="B22" s="25"/>
      <c r="C22" s="25"/>
      <c r="D22" s="25"/>
      <c r="E22" s="25"/>
      <c r="F22" s="25"/>
      <c r="G22" s="25"/>
      <c r="H22" s="26"/>
      <c r="I22" s="27"/>
      <c r="J22" s="26"/>
      <c r="K22" s="28"/>
      <c r="L22" s="27"/>
      <c r="M22" s="27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>
      <c r="A23" s="24"/>
      <c r="B23" s="25"/>
      <c r="C23" s="25"/>
      <c r="D23" s="25"/>
      <c r="E23" s="25"/>
      <c r="F23" s="25"/>
      <c r="G23" s="25"/>
      <c r="H23" s="26"/>
      <c r="I23" s="27"/>
      <c r="J23" s="26"/>
      <c r="K23" s="28"/>
      <c r="L23" s="27"/>
      <c r="M23" s="27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>
      <c r="A24" s="24"/>
      <c r="B24" s="25"/>
      <c r="C24" s="25"/>
      <c r="D24" s="25"/>
      <c r="E24" s="25"/>
      <c r="F24" s="25"/>
      <c r="G24" s="25"/>
      <c r="H24" s="26"/>
      <c r="I24" s="27"/>
      <c r="J24" s="26"/>
      <c r="K24" s="28"/>
      <c r="L24" s="27"/>
      <c r="M24" s="27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>
      <c r="A25" s="24"/>
      <c r="B25" s="25"/>
      <c r="C25" s="25"/>
      <c r="D25" s="25"/>
      <c r="E25" s="25"/>
      <c r="F25" s="25"/>
      <c r="G25" s="25"/>
      <c r="H25" s="26"/>
      <c r="I25" s="27"/>
      <c r="J25" s="26"/>
      <c r="K25" s="28"/>
      <c r="L25" s="27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>
      <c r="A26" s="24"/>
      <c r="B26" s="25"/>
      <c r="C26" s="25"/>
      <c r="D26" s="25"/>
      <c r="E26" s="25"/>
      <c r="F26" s="25"/>
      <c r="G26" s="25"/>
      <c r="H26" s="26"/>
      <c r="I26" s="27"/>
      <c r="J26" s="26"/>
      <c r="K26" s="28"/>
      <c r="L26" s="27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>
      <c r="A27" s="24"/>
      <c r="B27" s="25"/>
      <c r="C27" s="25"/>
      <c r="D27" s="25"/>
      <c r="E27" s="25"/>
      <c r="F27" s="25"/>
      <c r="G27" s="25"/>
      <c r="H27" s="26"/>
      <c r="I27" s="27"/>
      <c r="J27" s="26"/>
      <c r="K27" s="28"/>
      <c r="L27" s="27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>
      <c r="A28" s="24"/>
      <c r="B28" s="25"/>
      <c r="C28" s="25"/>
      <c r="D28" s="25"/>
      <c r="E28" s="25"/>
      <c r="F28" s="25"/>
      <c r="G28" s="25"/>
      <c r="H28" s="26"/>
      <c r="I28" s="27"/>
      <c r="J28" s="26"/>
      <c r="K28" s="28"/>
      <c r="L28" s="27"/>
      <c r="M28" s="27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>
      <c r="A29" s="24"/>
      <c r="B29" s="25"/>
      <c r="C29" s="25"/>
      <c r="D29" s="25"/>
      <c r="E29" s="25"/>
      <c r="F29" s="25"/>
      <c r="G29" s="25"/>
      <c r="H29" s="26"/>
      <c r="I29" s="27"/>
      <c r="J29" s="26"/>
      <c r="K29" s="28"/>
      <c r="L29" s="27"/>
      <c r="M29" s="27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>
      <c r="A30" s="24"/>
      <c r="B30" s="25"/>
      <c r="C30" s="25"/>
      <c r="D30" s="25"/>
      <c r="E30" s="25"/>
      <c r="F30" s="25"/>
      <c r="G30" s="25"/>
      <c r="H30" s="26"/>
      <c r="I30" s="27"/>
      <c r="J30" s="26"/>
      <c r="K30" s="28"/>
      <c r="L30" s="27"/>
      <c r="M30" s="27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>
      <c r="A31" s="24"/>
      <c r="B31" s="25"/>
      <c r="C31" s="25"/>
      <c r="D31" s="25"/>
      <c r="E31" s="25"/>
      <c r="F31" s="25"/>
      <c r="G31" s="25"/>
      <c r="H31" s="26"/>
      <c r="I31" s="27"/>
      <c r="J31" s="26"/>
      <c r="K31" s="28"/>
      <c r="L31" s="27"/>
      <c r="M31" s="27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>
      <c r="A32" s="24"/>
      <c r="B32" s="25"/>
      <c r="C32" s="25"/>
      <c r="D32" s="25"/>
      <c r="E32" s="25"/>
      <c r="F32" s="25"/>
      <c r="G32" s="25"/>
      <c r="H32" s="26"/>
      <c r="I32" s="27"/>
      <c r="J32" s="26"/>
      <c r="K32" s="28"/>
      <c r="L32" s="27"/>
      <c r="M32" s="27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>
      <c r="A33" s="24"/>
      <c r="B33" s="25"/>
      <c r="C33" s="25"/>
      <c r="D33" s="25"/>
      <c r="E33" s="25"/>
      <c r="F33" s="25"/>
      <c r="G33" s="25"/>
      <c r="H33" s="26"/>
      <c r="I33" s="27"/>
      <c r="J33" s="26"/>
      <c r="K33" s="28"/>
      <c r="L33" s="27"/>
      <c r="M33" s="27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>
      <c r="A34" s="24"/>
      <c r="B34" s="25"/>
      <c r="C34" s="25"/>
      <c r="D34" s="25"/>
      <c r="E34" s="25"/>
      <c r="F34" s="25"/>
      <c r="G34" s="25"/>
      <c r="H34" s="26"/>
      <c r="I34" s="27"/>
      <c r="J34" s="26"/>
      <c r="K34" s="28"/>
      <c r="L34" s="27"/>
      <c r="M34" s="27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>
      <c r="A35" s="24"/>
      <c r="B35" s="25"/>
      <c r="C35" s="25"/>
      <c r="D35" s="25"/>
      <c r="E35" s="25"/>
      <c r="F35" s="25"/>
      <c r="G35" s="25"/>
      <c r="H35" s="26"/>
      <c r="I35" s="27"/>
      <c r="J35" s="26"/>
      <c r="K35" s="28"/>
      <c r="L35" s="27"/>
      <c r="M35" s="27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>
      <c r="A36" s="24"/>
      <c r="B36" s="25"/>
      <c r="C36" s="25"/>
      <c r="D36" s="25"/>
      <c r="E36" s="25"/>
      <c r="F36" s="25"/>
      <c r="G36" s="25"/>
      <c r="H36" s="26"/>
      <c r="I36" s="27"/>
      <c r="J36" s="26"/>
      <c r="K36" s="28"/>
      <c r="L36" s="27"/>
      <c r="M36" s="27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>
      <c r="A37" s="24"/>
      <c r="B37" s="25"/>
      <c r="C37" s="25"/>
      <c r="D37" s="25"/>
      <c r="E37" s="25"/>
      <c r="F37" s="25"/>
      <c r="G37" s="25"/>
      <c r="H37" s="26"/>
      <c r="I37" s="27"/>
      <c r="J37" s="26"/>
      <c r="K37" s="28"/>
      <c r="L37" s="27"/>
      <c r="M37" s="2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>
      <c r="A38" s="24"/>
      <c r="B38" s="25"/>
      <c r="C38" s="25"/>
      <c r="D38" s="25"/>
      <c r="E38" s="25"/>
      <c r="F38" s="25"/>
      <c r="G38" s="25"/>
      <c r="H38" s="26"/>
      <c r="I38" s="27"/>
      <c r="J38" s="26"/>
      <c r="K38" s="28"/>
      <c r="L38" s="27"/>
      <c r="M38" s="2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>
      <c r="A39" s="24"/>
      <c r="B39" s="25"/>
      <c r="C39" s="25"/>
      <c r="D39" s="25"/>
      <c r="E39" s="25"/>
      <c r="F39" s="25"/>
      <c r="G39" s="25"/>
      <c r="H39" s="26"/>
      <c r="I39" s="27"/>
      <c r="J39" s="26"/>
      <c r="K39" s="28"/>
      <c r="L39" s="27"/>
      <c r="M39" s="2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>
      <c r="A40" s="24"/>
      <c r="B40" s="25"/>
      <c r="C40" s="25"/>
      <c r="D40" s="25"/>
      <c r="E40" s="25"/>
      <c r="F40" s="25"/>
      <c r="G40" s="25"/>
      <c r="H40" s="26"/>
      <c r="I40" s="27"/>
      <c r="J40" s="26"/>
      <c r="K40" s="28"/>
      <c r="L40" s="27"/>
      <c r="M40" s="2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>
      <c r="A41" s="37"/>
      <c r="B41" s="38"/>
      <c r="C41" s="38"/>
      <c r="D41" s="39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37"/>
      <c r="B42" s="38"/>
      <c r="C42" s="38"/>
      <c r="D42" s="39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37"/>
      <c r="B43" s="38"/>
      <c r="C43" s="38"/>
      <c r="D43" s="39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37"/>
      <c r="B44" s="38"/>
      <c r="C44" s="38"/>
      <c r="D44" s="39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37"/>
      <c r="B45" s="38"/>
      <c r="C45" s="38"/>
      <c r="D45" s="39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37"/>
      <c r="B46" s="38"/>
      <c r="C46" s="38"/>
      <c r="D46" s="39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37"/>
      <c r="B47" s="38"/>
      <c r="C47" s="38"/>
      <c r="D47" s="39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37"/>
      <c r="B48" s="38"/>
      <c r="C48" s="38"/>
      <c r="D48" s="39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37"/>
      <c r="B49" s="38"/>
      <c r="C49" s="38"/>
      <c r="D49" s="39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37"/>
      <c r="B50" s="38"/>
      <c r="C50" s="38"/>
      <c r="D50" s="39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37"/>
      <c r="B51" s="38"/>
      <c r="C51" s="38"/>
      <c r="D51" s="39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37"/>
      <c r="B52" s="38"/>
      <c r="C52" s="38"/>
      <c r="D52" s="39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37"/>
      <c r="B53" s="38"/>
      <c r="C53" s="38"/>
      <c r="D53" s="39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37"/>
      <c r="B54" s="38"/>
      <c r="C54" s="38"/>
      <c r="D54" s="39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37"/>
      <c r="B55" s="38"/>
      <c r="C55" s="38"/>
      <c r="D55" s="39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37"/>
      <c r="B56" s="38"/>
      <c r="C56" s="38"/>
      <c r="D56" s="39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37"/>
      <c r="B57" s="38"/>
      <c r="C57" s="38"/>
      <c r="D57" s="39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37"/>
      <c r="B58" s="38"/>
      <c r="C58" s="38"/>
      <c r="D58" s="39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37"/>
      <c r="B59" s="38"/>
      <c r="C59" s="38"/>
      <c r="D59" s="39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37"/>
      <c r="B60" s="38"/>
      <c r="C60" s="38"/>
      <c r="D60" s="39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37"/>
      <c r="B61" s="38"/>
      <c r="C61" s="38"/>
      <c r="D61" s="39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37"/>
      <c r="B62" s="38"/>
      <c r="C62" s="38"/>
      <c r="D62" s="39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37"/>
      <c r="B63" s="38"/>
      <c r="C63" s="38"/>
      <c r="D63" s="39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37"/>
      <c r="B64" s="38"/>
      <c r="C64" s="38"/>
      <c r="D64" s="39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37"/>
      <c r="B65" s="38"/>
      <c r="C65" s="38"/>
      <c r="D65" s="39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37"/>
      <c r="B66" s="38"/>
      <c r="C66" s="38"/>
      <c r="D66" s="39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37"/>
      <c r="B67" s="38"/>
      <c r="C67" s="38"/>
      <c r="D67" s="39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37"/>
      <c r="B68" s="38"/>
      <c r="C68" s="38"/>
      <c r="D68" s="39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37"/>
      <c r="B69" s="38"/>
      <c r="C69" s="38"/>
      <c r="D69" s="39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37"/>
      <c r="B70" s="38"/>
      <c r="C70" s="38"/>
      <c r="D70" s="39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37"/>
      <c r="B71" s="38"/>
      <c r="C71" s="38"/>
      <c r="D71" s="39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37"/>
      <c r="B72" s="38"/>
      <c r="C72" s="38"/>
      <c r="D72" s="39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37"/>
      <c r="B73" s="38"/>
      <c r="C73" s="38"/>
      <c r="D73" s="39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37"/>
      <c r="B74" s="38"/>
      <c r="C74" s="38"/>
      <c r="D74" s="39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37"/>
      <c r="B75" s="38"/>
      <c r="C75" s="38"/>
      <c r="D75" s="39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37"/>
      <c r="B76" s="38"/>
      <c r="C76" s="38"/>
      <c r="D76" s="39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37"/>
      <c r="B77" s="38"/>
      <c r="C77" s="38"/>
      <c r="D77" s="39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37"/>
      <c r="B78" s="38"/>
      <c r="C78" s="38"/>
      <c r="D78" s="39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37"/>
      <c r="B79" s="38"/>
      <c r="C79" s="38"/>
      <c r="D79" s="39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37"/>
      <c r="B80" s="38"/>
      <c r="C80" s="38"/>
      <c r="D80" s="39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37"/>
      <c r="B81" s="38"/>
      <c r="C81" s="38"/>
      <c r="D81" s="39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37"/>
      <c r="B82" s="38"/>
      <c r="C82" s="38"/>
      <c r="D82" s="39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37"/>
      <c r="B83" s="38"/>
      <c r="C83" s="38"/>
      <c r="D83" s="39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37"/>
      <c r="B84" s="38"/>
      <c r="C84" s="38"/>
      <c r="D84" s="39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37"/>
      <c r="B85" s="38"/>
      <c r="C85" s="38"/>
      <c r="D85" s="39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37"/>
      <c r="B86" s="38"/>
      <c r="C86" s="38"/>
      <c r="D86" s="39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37"/>
      <c r="B87" s="38"/>
      <c r="C87" s="38"/>
      <c r="D87" s="39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37"/>
      <c r="B88" s="38"/>
      <c r="C88" s="38"/>
      <c r="D88" s="39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37"/>
      <c r="B89" s="38"/>
      <c r="C89" s="38"/>
      <c r="D89" s="3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37"/>
      <c r="B90" s="38"/>
      <c r="C90" s="38"/>
      <c r="D90" s="3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37"/>
      <c r="B91" s="38"/>
      <c r="C91" s="38"/>
      <c r="D91" s="3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37"/>
      <c r="B92" s="38"/>
      <c r="C92" s="38"/>
      <c r="D92" s="3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37"/>
      <c r="B93" s="38"/>
      <c r="C93" s="38"/>
      <c r="D93" s="3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37"/>
      <c r="B94" s="38"/>
      <c r="C94" s="38"/>
      <c r="D94" s="3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37"/>
      <c r="B95" s="38"/>
      <c r="C95" s="38"/>
      <c r="D95" s="3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37"/>
      <c r="B96" s="38"/>
      <c r="C96" s="38"/>
      <c r="D96" s="3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37"/>
      <c r="B97" s="38"/>
      <c r="C97" s="38"/>
      <c r="D97" s="3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37"/>
      <c r="B98" s="38"/>
      <c r="C98" s="38"/>
      <c r="D98" s="3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37"/>
      <c r="B99" s="38"/>
      <c r="C99" s="38"/>
      <c r="D99" s="3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37"/>
      <c r="B100" s="38"/>
      <c r="C100" s="38"/>
      <c r="D100" s="39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37"/>
      <c r="B101" s="38"/>
      <c r="C101" s="38"/>
      <c r="D101" s="39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37"/>
      <c r="B102" s="38"/>
      <c r="C102" s="38"/>
      <c r="D102" s="39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37"/>
      <c r="B103" s="38"/>
      <c r="C103" s="38"/>
      <c r="D103" s="39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37"/>
      <c r="B104" s="38"/>
      <c r="C104" s="38"/>
      <c r="D104" s="39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37"/>
      <c r="B105" s="38"/>
      <c r="C105" s="38"/>
      <c r="D105" s="39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37"/>
      <c r="B106" s="38"/>
      <c r="C106" s="38"/>
      <c r="D106" s="39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37"/>
      <c r="B107" s="38"/>
      <c r="C107" s="38"/>
      <c r="D107" s="39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37"/>
      <c r="B108" s="38"/>
      <c r="C108" s="38"/>
      <c r="D108" s="39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37"/>
      <c r="B109" s="38"/>
      <c r="C109" s="38"/>
      <c r="D109" s="3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37"/>
      <c r="B110" s="38"/>
      <c r="C110" s="38"/>
      <c r="D110" s="3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37"/>
      <c r="B111" s="38"/>
      <c r="C111" s="38"/>
      <c r="D111" s="39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37"/>
      <c r="B112" s="38"/>
      <c r="C112" s="38"/>
      <c r="D112" s="3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37"/>
      <c r="B113" s="38"/>
      <c r="C113" s="38"/>
      <c r="D113" s="3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37"/>
      <c r="B114" s="38"/>
      <c r="C114" s="38"/>
      <c r="D114" s="3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37"/>
      <c r="B115" s="38"/>
      <c r="C115" s="38"/>
      <c r="D115" s="3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37"/>
      <c r="B116" s="38"/>
      <c r="C116" s="38"/>
      <c r="D116" s="39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37"/>
      <c r="B117" s="38"/>
      <c r="C117" s="38"/>
      <c r="D117" s="39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37"/>
      <c r="B118" s="38"/>
      <c r="C118" s="38"/>
      <c r="D118" s="39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37"/>
      <c r="B119" s="38"/>
      <c r="C119" s="38"/>
      <c r="D119" s="39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37"/>
      <c r="B120" s="38"/>
      <c r="C120" s="38"/>
      <c r="D120" s="39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37"/>
      <c r="B121" s="38"/>
      <c r="C121" s="38"/>
      <c r="D121" s="39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37"/>
      <c r="B122" s="38"/>
      <c r="C122" s="38"/>
      <c r="D122" s="39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37"/>
      <c r="B123" s="38"/>
      <c r="C123" s="38"/>
      <c r="D123" s="39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37"/>
      <c r="B124" s="38"/>
      <c r="C124" s="38"/>
      <c r="D124" s="39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37"/>
      <c r="B125" s="38"/>
      <c r="C125" s="38"/>
      <c r="D125" s="39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37"/>
      <c r="B126" s="38"/>
      <c r="C126" s="38"/>
      <c r="D126" s="39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37"/>
      <c r="B127" s="38"/>
      <c r="C127" s="38"/>
      <c r="D127" s="39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37"/>
      <c r="B128" s="38"/>
      <c r="C128" s="38"/>
      <c r="D128" s="39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37"/>
      <c r="B129" s="38"/>
      <c r="C129" s="38"/>
      <c r="D129" s="39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37"/>
      <c r="B130" s="38"/>
      <c r="C130" s="38"/>
      <c r="D130" s="39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37"/>
      <c r="B131" s="38"/>
      <c r="C131" s="38"/>
      <c r="D131" s="39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37"/>
      <c r="B132" s="38"/>
      <c r="C132" s="38"/>
      <c r="D132" s="39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37"/>
      <c r="B133" s="38"/>
      <c r="C133" s="38"/>
      <c r="D133" s="39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37"/>
      <c r="B134" s="38"/>
      <c r="C134" s="38"/>
      <c r="D134" s="39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37"/>
      <c r="B135" s="38"/>
      <c r="C135" s="38"/>
      <c r="D135" s="39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37"/>
      <c r="B136" s="38"/>
      <c r="C136" s="38"/>
      <c r="D136" s="39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37"/>
      <c r="B137" s="38"/>
      <c r="C137" s="38"/>
      <c r="D137" s="39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37"/>
      <c r="B138" s="38"/>
      <c r="C138" s="38"/>
      <c r="D138" s="39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37"/>
      <c r="B139" s="38"/>
      <c r="C139" s="38"/>
      <c r="D139" s="39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37"/>
      <c r="B140" s="38"/>
      <c r="C140" s="38"/>
      <c r="D140" s="39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37"/>
      <c r="B141" s="38"/>
      <c r="C141" s="38"/>
      <c r="D141" s="39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37"/>
      <c r="B142" s="38"/>
      <c r="C142" s="38"/>
      <c r="D142" s="39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37"/>
      <c r="B143" s="38"/>
      <c r="C143" s="38"/>
      <c r="D143" s="39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37"/>
      <c r="B144" s="38"/>
      <c r="C144" s="38"/>
      <c r="D144" s="39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37"/>
      <c r="B145" s="38"/>
      <c r="C145" s="38"/>
      <c r="D145" s="39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37"/>
      <c r="B146" s="38"/>
      <c r="C146" s="38"/>
      <c r="D146" s="39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37"/>
      <c r="B147" s="38"/>
      <c r="C147" s="38"/>
      <c r="D147" s="39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37"/>
      <c r="B148" s="38"/>
      <c r="C148" s="38"/>
      <c r="D148" s="39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37"/>
      <c r="B149" s="38"/>
      <c r="C149" s="38"/>
      <c r="D149" s="39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37"/>
      <c r="B150" s="38"/>
      <c r="C150" s="38"/>
      <c r="D150" s="39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37"/>
      <c r="B151" s="38"/>
      <c r="C151" s="38"/>
      <c r="D151" s="39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37"/>
      <c r="B152" s="38"/>
      <c r="C152" s="38"/>
      <c r="D152" s="39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37"/>
      <c r="B153" s="38"/>
      <c r="C153" s="38"/>
      <c r="D153" s="39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37"/>
      <c r="B154" s="38"/>
      <c r="C154" s="38"/>
      <c r="D154" s="39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37"/>
      <c r="B155" s="38"/>
      <c r="C155" s="38"/>
      <c r="D155" s="39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37"/>
      <c r="B156" s="38"/>
      <c r="C156" s="38"/>
      <c r="D156" s="39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37"/>
      <c r="B157" s="38"/>
      <c r="C157" s="38"/>
      <c r="D157" s="39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37"/>
      <c r="B158" s="38"/>
      <c r="C158" s="38"/>
      <c r="D158" s="39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37"/>
      <c r="B159" s="38"/>
      <c r="C159" s="38"/>
      <c r="D159" s="39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37"/>
      <c r="B160" s="38"/>
      <c r="C160" s="38"/>
      <c r="D160" s="39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37"/>
      <c r="B161" s="38"/>
      <c r="C161" s="38"/>
      <c r="D161" s="39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37"/>
      <c r="B162" s="38"/>
      <c r="C162" s="38"/>
      <c r="D162" s="39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37"/>
      <c r="B163" s="38"/>
      <c r="C163" s="38"/>
      <c r="D163" s="39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37"/>
      <c r="B164" s="38"/>
      <c r="C164" s="38"/>
      <c r="D164" s="39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37"/>
      <c r="B165" s="38"/>
      <c r="C165" s="38"/>
      <c r="D165" s="39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37"/>
      <c r="B166" s="38"/>
      <c r="C166" s="38"/>
      <c r="D166" s="39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37"/>
      <c r="B167" s="38"/>
      <c r="C167" s="38"/>
      <c r="D167" s="39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37"/>
      <c r="B168" s="38"/>
      <c r="C168" s="38"/>
      <c r="D168" s="39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37"/>
      <c r="B169" s="38"/>
      <c r="C169" s="38"/>
      <c r="D169" s="39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37"/>
      <c r="B170" s="38"/>
      <c r="C170" s="38"/>
      <c r="D170" s="39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37"/>
      <c r="B171" s="38"/>
      <c r="C171" s="38"/>
      <c r="D171" s="39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37"/>
      <c r="B172" s="38"/>
      <c r="C172" s="38"/>
      <c r="D172" s="39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37"/>
      <c r="B173" s="38"/>
      <c r="C173" s="38"/>
      <c r="D173" s="39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37"/>
      <c r="B174" s="38"/>
      <c r="C174" s="38"/>
      <c r="D174" s="39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37"/>
      <c r="B175" s="38"/>
      <c r="C175" s="38"/>
      <c r="D175" s="39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37"/>
      <c r="B176" s="38"/>
      <c r="C176" s="38"/>
      <c r="D176" s="39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37"/>
      <c r="B177" s="38"/>
      <c r="C177" s="38"/>
      <c r="D177" s="39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37"/>
      <c r="B178" s="38"/>
      <c r="C178" s="38"/>
      <c r="D178" s="39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37"/>
      <c r="B179" s="38"/>
      <c r="C179" s="38"/>
      <c r="D179" s="39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37"/>
      <c r="B180" s="38"/>
      <c r="C180" s="38"/>
      <c r="D180" s="39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37"/>
      <c r="B181" s="38"/>
      <c r="C181" s="38"/>
      <c r="D181" s="39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37"/>
      <c r="B182" s="38"/>
      <c r="C182" s="38"/>
      <c r="D182" s="39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37"/>
      <c r="B183" s="38"/>
      <c r="C183" s="38"/>
      <c r="D183" s="39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37"/>
      <c r="B184" s="38"/>
      <c r="C184" s="38"/>
      <c r="D184" s="39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37"/>
      <c r="B185" s="38"/>
      <c r="C185" s="38"/>
      <c r="D185" s="39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37"/>
      <c r="B186" s="38"/>
      <c r="C186" s="38"/>
      <c r="D186" s="39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37"/>
      <c r="B187" s="38"/>
      <c r="C187" s="38"/>
      <c r="D187" s="39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37"/>
      <c r="B188" s="38"/>
      <c r="C188" s="38"/>
      <c r="D188" s="3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37"/>
      <c r="B189" s="38"/>
      <c r="C189" s="38"/>
      <c r="D189" s="39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37"/>
      <c r="B190" s="38"/>
      <c r="C190" s="38"/>
      <c r="D190" s="39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37"/>
      <c r="B191" s="38"/>
      <c r="C191" s="38"/>
      <c r="D191" s="39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37"/>
      <c r="B192" s="38"/>
      <c r="C192" s="38"/>
      <c r="D192" s="39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37"/>
      <c r="B193" s="38"/>
      <c r="C193" s="38"/>
      <c r="D193" s="39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37"/>
      <c r="B194" s="38"/>
      <c r="C194" s="38"/>
      <c r="D194" s="39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37"/>
      <c r="B195" s="38"/>
      <c r="C195" s="38"/>
      <c r="D195" s="39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37"/>
      <c r="B196" s="38"/>
      <c r="C196" s="38"/>
      <c r="D196" s="39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37"/>
      <c r="B197" s="38"/>
      <c r="C197" s="38"/>
      <c r="D197" s="39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37"/>
      <c r="B198" s="38"/>
      <c r="C198" s="38"/>
      <c r="D198" s="39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37"/>
      <c r="B199" s="38"/>
      <c r="C199" s="38"/>
      <c r="D199" s="39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37"/>
      <c r="B200" s="38"/>
      <c r="C200" s="38"/>
      <c r="D200" s="39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37"/>
      <c r="B201" s="38"/>
      <c r="C201" s="38"/>
      <c r="D201" s="39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37"/>
      <c r="B202" s="38"/>
      <c r="C202" s="38"/>
      <c r="D202" s="39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37"/>
      <c r="B203" s="38"/>
      <c r="C203" s="38"/>
      <c r="D203" s="39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37"/>
      <c r="B204" s="38"/>
      <c r="C204" s="38"/>
      <c r="D204" s="39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37"/>
      <c r="B205" s="38"/>
      <c r="C205" s="38"/>
      <c r="D205" s="39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37"/>
      <c r="B206" s="38"/>
      <c r="C206" s="38"/>
      <c r="D206" s="39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37"/>
      <c r="B207" s="38"/>
      <c r="C207" s="38"/>
      <c r="D207" s="39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37"/>
      <c r="B208" s="38"/>
      <c r="C208" s="38"/>
      <c r="D208" s="39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37"/>
      <c r="B209" s="38"/>
      <c r="C209" s="38"/>
      <c r="D209" s="39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37"/>
      <c r="B210" s="38"/>
      <c r="C210" s="38"/>
      <c r="D210" s="39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37"/>
      <c r="B211" s="38"/>
      <c r="C211" s="38"/>
      <c r="D211" s="39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37"/>
      <c r="B212" s="38"/>
      <c r="C212" s="38"/>
      <c r="D212" s="39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37"/>
      <c r="B213" s="38"/>
      <c r="C213" s="38"/>
      <c r="D213" s="39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37"/>
      <c r="B214" s="38"/>
      <c r="C214" s="38"/>
      <c r="D214" s="39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37"/>
      <c r="B215" s="38"/>
      <c r="C215" s="38"/>
      <c r="D215" s="39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37"/>
      <c r="B216" s="38"/>
      <c r="C216" s="38"/>
      <c r="D216" s="39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37"/>
      <c r="B217" s="38"/>
      <c r="C217" s="38"/>
      <c r="D217" s="39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37"/>
      <c r="B218" s="38"/>
      <c r="C218" s="38"/>
      <c r="D218" s="39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37"/>
      <c r="B219" s="38"/>
      <c r="C219" s="38"/>
      <c r="D219" s="39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37"/>
      <c r="B220" s="38"/>
      <c r="C220" s="38"/>
      <c r="D220" s="39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37"/>
      <c r="B221" s="38"/>
      <c r="C221" s="38"/>
      <c r="D221" s="39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37"/>
      <c r="B222" s="38"/>
      <c r="C222" s="38"/>
      <c r="D222" s="39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37"/>
      <c r="B223" s="38"/>
      <c r="C223" s="38"/>
      <c r="D223" s="39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37"/>
      <c r="B224" s="38"/>
      <c r="C224" s="38"/>
      <c r="D224" s="39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37"/>
      <c r="B225" s="38"/>
      <c r="C225" s="38"/>
      <c r="D225" s="39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37"/>
      <c r="B226" s="38"/>
      <c r="C226" s="38"/>
      <c r="D226" s="39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37"/>
      <c r="B227" s="38"/>
      <c r="C227" s="38"/>
      <c r="D227" s="39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37"/>
      <c r="B228" s="38"/>
      <c r="C228" s="38"/>
      <c r="D228" s="39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37"/>
      <c r="B229" s="38"/>
      <c r="C229" s="38"/>
      <c r="D229" s="39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37"/>
      <c r="B230" s="38"/>
      <c r="C230" s="38"/>
      <c r="D230" s="39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37"/>
      <c r="B231" s="38"/>
      <c r="C231" s="38"/>
      <c r="D231" s="39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37"/>
      <c r="B232" s="38"/>
      <c r="C232" s="38"/>
      <c r="D232" s="39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37"/>
      <c r="B233" s="38"/>
      <c r="C233" s="38"/>
      <c r="D233" s="39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37"/>
      <c r="B234" s="38"/>
      <c r="C234" s="38"/>
      <c r="D234" s="39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37"/>
      <c r="B235" s="38"/>
      <c r="C235" s="38"/>
      <c r="D235" s="39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37"/>
      <c r="B236" s="38"/>
      <c r="C236" s="38"/>
      <c r="D236" s="39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37"/>
      <c r="B237" s="38"/>
      <c r="C237" s="38"/>
      <c r="D237" s="39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37"/>
      <c r="B238" s="38"/>
      <c r="C238" s="38"/>
      <c r="D238" s="39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37"/>
      <c r="B239" s="38"/>
      <c r="C239" s="38"/>
      <c r="D239" s="39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37"/>
      <c r="B240" s="38"/>
      <c r="C240" s="38"/>
      <c r="D240" s="39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37"/>
      <c r="B241" s="38"/>
      <c r="C241" s="38"/>
      <c r="D241" s="39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37"/>
      <c r="B242" s="38"/>
      <c r="C242" s="38"/>
      <c r="D242" s="39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37"/>
      <c r="B243" s="38"/>
      <c r="C243" s="38"/>
      <c r="D243" s="39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37"/>
      <c r="B244" s="38"/>
      <c r="C244" s="38"/>
      <c r="D244" s="39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37"/>
      <c r="B245" s="38"/>
      <c r="C245" s="38"/>
      <c r="D245" s="39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37"/>
      <c r="B246" s="38"/>
      <c r="C246" s="38"/>
      <c r="D246" s="39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37"/>
      <c r="B247" s="38"/>
      <c r="C247" s="38"/>
      <c r="D247" s="39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37"/>
      <c r="B248" s="38"/>
      <c r="C248" s="38"/>
      <c r="D248" s="39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37"/>
      <c r="B249" s="38"/>
      <c r="C249" s="38"/>
      <c r="D249" s="39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37"/>
      <c r="B250" s="38"/>
      <c r="C250" s="38"/>
      <c r="D250" s="39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37"/>
      <c r="B251" s="38"/>
      <c r="C251" s="38"/>
      <c r="D251" s="39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37"/>
      <c r="B252" s="38"/>
      <c r="C252" s="38"/>
      <c r="D252" s="39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37"/>
      <c r="B253" s="38"/>
      <c r="C253" s="38"/>
      <c r="D253" s="39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37"/>
      <c r="B254" s="38"/>
      <c r="C254" s="38"/>
      <c r="D254" s="39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37"/>
      <c r="B255" s="38"/>
      <c r="C255" s="38"/>
      <c r="D255" s="39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37"/>
      <c r="B256" s="38"/>
      <c r="C256" s="38"/>
      <c r="D256" s="39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37"/>
      <c r="B257" s="38"/>
      <c r="C257" s="38"/>
      <c r="D257" s="39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37"/>
      <c r="B258" s="38"/>
      <c r="C258" s="38"/>
      <c r="D258" s="39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37"/>
      <c r="B259" s="38"/>
      <c r="C259" s="38"/>
      <c r="D259" s="39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37"/>
      <c r="B260" s="38"/>
      <c r="C260" s="38"/>
      <c r="D260" s="39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37"/>
      <c r="B261" s="38"/>
      <c r="C261" s="38"/>
      <c r="D261" s="39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37"/>
      <c r="B262" s="38"/>
      <c r="C262" s="38"/>
      <c r="D262" s="39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37"/>
      <c r="B263" s="38"/>
      <c r="C263" s="38"/>
      <c r="D263" s="39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37"/>
      <c r="B264" s="38"/>
      <c r="C264" s="38"/>
      <c r="D264" s="39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37"/>
      <c r="B265" s="38"/>
      <c r="C265" s="38"/>
      <c r="D265" s="39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37"/>
      <c r="B266" s="38"/>
      <c r="C266" s="38"/>
      <c r="D266" s="39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37"/>
      <c r="B267" s="38"/>
      <c r="C267" s="38"/>
      <c r="D267" s="39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37"/>
      <c r="B268" s="38"/>
      <c r="C268" s="38"/>
      <c r="D268" s="39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37"/>
      <c r="B269" s="38"/>
      <c r="C269" s="38"/>
      <c r="D269" s="39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37"/>
      <c r="B270" s="38"/>
      <c r="C270" s="38"/>
      <c r="D270" s="39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37"/>
      <c r="B271" s="38"/>
      <c r="C271" s="38"/>
      <c r="D271" s="39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37"/>
      <c r="B272" s="38"/>
      <c r="C272" s="38"/>
      <c r="D272" s="39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37"/>
      <c r="B273" s="38"/>
      <c r="C273" s="38"/>
      <c r="D273" s="39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37"/>
      <c r="B274" s="38"/>
      <c r="C274" s="38"/>
      <c r="D274" s="39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37"/>
      <c r="B275" s="38"/>
      <c r="C275" s="38"/>
      <c r="D275" s="39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37"/>
      <c r="B276" s="38"/>
      <c r="C276" s="38"/>
      <c r="D276" s="39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37"/>
      <c r="B277" s="38"/>
      <c r="C277" s="38"/>
      <c r="D277" s="39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37"/>
      <c r="B278" s="38"/>
      <c r="C278" s="38"/>
      <c r="D278" s="39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37"/>
      <c r="B279" s="38"/>
      <c r="C279" s="38"/>
      <c r="D279" s="39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37"/>
      <c r="B280" s="38"/>
      <c r="C280" s="38"/>
      <c r="D280" s="39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37"/>
      <c r="B281" s="38"/>
      <c r="C281" s="38"/>
      <c r="D281" s="39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37"/>
      <c r="B282" s="38"/>
      <c r="C282" s="38"/>
      <c r="D282" s="39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37"/>
      <c r="B283" s="38"/>
      <c r="C283" s="38"/>
      <c r="D283" s="39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37"/>
      <c r="B284" s="38"/>
      <c r="C284" s="38"/>
      <c r="D284" s="39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37"/>
      <c r="B285" s="38"/>
      <c r="C285" s="38"/>
      <c r="D285" s="39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37"/>
      <c r="B286" s="38"/>
      <c r="C286" s="38"/>
      <c r="D286" s="39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37"/>
      <c r="B287" s="38"/>
      <c r="C287" s="38"/>
      <c r="D287" s="39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37"/>
      <c r="B288" s="38"/>
      <c r="C288" s="38"/>
      <c r="D288" s="39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37"/>
      <c r="B289" s="38"/>
      <c r="C289" s="38"/>
      <c r="D289" s="39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37"/>
      <c r="B290" s="38"/>
      <c r="C290" s="38"/>
      <c r="D290" s="39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37"/>
      <c r="B291" s="38"/>
      <c r="C291" s="38"/>
      <c r="D291" s="39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37"/>
      <c r="B292" s="38"/>
      <c r="C292" s="38"/>
      <c r="D292" s="39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37"/>
      <c r="B293" s="38"/>
      <c r="C293" s="38"/>
      <c r="D293" s="39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37"/>
      <c r="B294" s="38"/>
      <c r="C294" s="38"/>
      <c r="D294" s="39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37"/>
      <c r="B295" s="38"/>
      <c r="C295" s="38"/>
      <c r="D295" s="39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37"/>
      <c r="B296" s="38"/>
      <c r="C296" s="38"/>
      <c r="D296" s="39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37"/>
      <c r="B297" s="38"/>
      <c r="C297" s="38"/>
      <c r="D297" s="39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37"/>
      <c r="B298" s="38"/>
      <c r="C298" s="38"/>
      <c r="D298" s="39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37"/>
      <c r="B299" s="38"/>
      <c r="C299" s="38"/>
      <c r="D299" s="39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37"/>
      <c r="B300" s="38"/>
      <c r="C300" s="38"/>
      <c r="D300" s="39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37"/>
      <c r="B301" s="38"/>
      <c r="C301" s="38"/>
      <c r="D301" s="39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37"/>
      <c r="B302" s="38"/>
      <c r="C302" s="38"/>
      <c r="D302" s="39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37"/>
      <c r="B303" s="38"/>
      <c r="C303" s="38"/>
      <c r="D303" s="39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37"/>
      <c r="B304" s="38"/>
      <c r="C304" s="38"/>
      <c r="D304" s="39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37"/>
      <c r="B305" s="38"/>
      <c r="C305" s="38"/>
      <c r="D305" s="39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37"/>
      <c r="B306" s="38"/>
      <c r="C306" s="38"/>
      <c r="D306" s="39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37"/>
      <c r="B307" s="38"/>
      <c r="C307" s="38"/>
      <c r="D307" s="39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37"/>
      <c r="B308" s="38"/>
      <c r="C308" s="38"/>
      <c r="D308" s="39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37"/>
      <c r="B309" s="38"/>
      <c r="C309" s="38"/>
      <c r="D309" s="39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37"/>
      <c r="B310" s="38"/>
      <c r="C310" s="38"/>
      <c r="D310" s="39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37"/>
      <c r="B311" s="38"/>
      <c r="C311" s="38"/>
      <c r="D311" s="39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37"/>
      <c r="B312" s="38"/>
      <c r="C312" s="38"/>
      <c r="D312" s="39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37"/>
      <c r="B313" s="38"/>
      <c r="C313" s="38"/>
      <c r="D313" s="39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37"/>
      <c r="B314" s="38"/>
      <c r="C314" s="38"/>
      <c r="D314" s="39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37"/>
      <c r="B315" s="38"/>
      <c r="C315" s="38"/>
      <c r="D315" s="39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37"/>
      <c r="B316" s="38"/>
      <c r="C316" s="38"/>
      <c r="D316" s="39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37"/>
      <c r="B317" s="38"/>
      <c r="C317" s="38"/>
      <c r="D317" s="39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37"/>
      <c r="B318" s="38"/>
      <c r="C318" s="38"/>
      <c r="D318" s="39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37"/>
      <c r="B319" s="38"/>
      <c r="C319" s="38"/>
      <c r="D319" s="39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37"/>
      <c r="B320" s="38"/>
      <c r="C320" s="38"/>
      <c r="D320" s="39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37"/>
      <c r="B321" s="38"/>
      <c r="C321" s="38"/>
      <c r="D321" s="39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37"/>
      <c r="B322" s="38"/>
      <c r="C322" s="38"/>
      <c r="D322" s="39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37"/>
      <c r="B323" s="38"/>
      <c r="C323" s="38"/>
      <c r="D323" s="39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37"/>
      <c r="B324" s="38"/>
      <c r="C324" s="38"/>
      <c r="D324" s="39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37"/>
      <c r="B325" s="38"/>
      <c r="C325" s="38"/>
      <c r="D325" s="39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37"/>
      <c r="B326" s="38"/>
      <c r="C326" s="38"/>
      <c r="D326" s="39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37"/>
      <c r="B327" s="38"/>
      <c r="C327" s="38"/>
      <c r="D327" s="39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37"/>
      <c r="B328" s="38"/>
      <c r="C328" s="38"/>
      <c r="D328" s="39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37"/>
      <c r="B329" s="38"/>
      <c r="C329" s="38"/>
      <c r="D329" s="39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37"/>
      <c r="B330" s="38"/>
      <c r="C330" s="38"/>
      <c r="D330" s="39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37"/>
      <c r="B331" s="38"/>
      <c r="C331" s="38"/>
      <c r="D331" s="39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37"/>
      <c r="B332" s="38"/>
      <c r="C332" s="38"/>
      <c r="D332" s="39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37"/>
      <c r="B333" s="38"/>
      <c r="C333" s="38"/>
      <c r="D333" s="39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37"/>
      <c r="B334" s="38"/>
      <c r="C334" s="38"/>
      <c r="D334" s="39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37"/>
      <c r="B335" s="38"/>
      <c r="C335" s="38"/>
      <c r="D335" s="39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37"/>
      <c r="B336" s="38"/>
      <c r="C336" s="38"/>
      <c r="D336" s="39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37"/>
      <c r="B337" s="38"/>
      <c r="C337" s="38"/>
      <c r="D337" s="39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37"/>
      <c r="B338" s="38"/>
      <c r="C338" s="38"/>
      <c r="D338" s="39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37"/>
      <c r="B339" s="38"/>
      <c r="C339" s="38"/>
      <c r="D339" s="39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37"/>
      <c r="B340" s="38"/>
      <c r="C340" s="38"/>
      <c r="D340" s="39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37"/>
      <c r="B341" s="38"/>
      <c r="C341" s="38"/>
      <c r="D341" s="39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37"/>
      <c r="B342" s="38"/>
      <c r="C342" s="38"/>
      <c r="D342" s="39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37"/>
      <c r="B343" s="38"/>
      <c r="C343" s="38"/>
      <c r="D343" s="39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37"/>
      <c r="B344" s="38"/>
      <c r="C344" s="38"/>
      <c r="D344" s="39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37"/>
      <c r="B345" s="38"/>
      <c r="C345" s="38"/>
      <c r="D345" s="39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37"/>
      <c r="B346" s="38"/>
      <c r="C346" s="38"/>
      <c r="D346" s="39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37"/>
      <c r="B347" s="38"/>
      <c r="C347" s="38"/>
      <c r="D347" s="39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37"/>
      <c r="B348" s="38"/>
      <c r="C348" s="38"/>
      <c r="D348" s="39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37"/>
      <c r="B349" s="38"/>
      <c r="C349" s="38"/>
      <c r="D349" s="39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37"/>
      <c r="B350" s="38"/>
      <c r="C350" s="38"/>
      <c r="D350" s="39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37"/>
      <c r="B351" s="38"/>
      <c r="C351" s="38"/>
      <c r="D351" s="39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37"/>
      <c r="B352" s="38"/>
      <c r="C352" s="38"/>
      <c r="D352" s="39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37"/>
      <c r="B353" s="38"/>
      <c r="C353" s="38"/>
      <c r="D353" s="39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37"/>
      <c r="B354" s="38"/>
      <c r="C354" s="38"/>
      <c r="D354" s="39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37"/>
      <c r="B355" s="38"/>
      <c r="C355" s="38"/>
      <c r="D355" s="39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37"/>
      <c r="B356" s="38"/>
      <c r="C356" s="38"/>
      <c r="D356" s="39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37"/>
      <c r="B357" s="38"/>
      <c r="C357" s="38"/>
      <c r="D357" s="39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37"/>
      <c r="B358" s="38"/>
      <c r="C358" s="38"/>
      <c r="D358" s="39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37"/>
      <c r="B359" s="38"/>
      <c r="C359" s="38"/>
      <c r="D359" s="39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37"/>
      <c r="B360" s="38"/>
      <c r="C360" s="38"/>
      <c r="D360" s="39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37"/>
      <c r="B361" s="38"/>
      <c r="C361" s="38"/>
      <c r="D361" s="39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37"/>
      <c r="B362" s="38"/>
      <c r="C362" s="38"/>
      <c r="D362" s="39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37"/>
      <c r="B363" s="38"/>
      <c r="C363" s="38"/>
      <c r="D363" s="39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37"/>
      <c r="B364" s="38"/>
      <c r="C364" s="38"/>
      <c r="D364" s="39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37"/>
      <c r="B365" s="38"/>
      <c r="C365" s="38"/>
      <c r="D365" s="39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37"/>
      <c r="B366" s="38"/>
      <c r="C366" s="38"/>
      <c r="D366" s="39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37"/>
      <c r="B367" s="38"/>
      <c r="C367" s="38"/>
      <c r="D367" s="39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37"/>
      <c r="B368" s="38"/>
      <c r="C368" s="38"/>
      <c r="D368" s="39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37"/>
      <c r="B369" s="38"/>
      <c r="C369" s="38"/>
      <c r="D369" s="39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37"/>
      <c r="B370" s="38"/>
      <c r="C370" s="38"/>
      <c r="D370" s="39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37"/>
      <c r="B371" s="38"/>
      <c r="C371" s="38"/>
      <c r="D371" s="39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37"/>
      <c r="B372" s="38"/>
      <c r="C372" s="38"/>
      <c r="D372" s="39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37"/>
      <c r="B373" s="38"/>
      <c r="C373" s="38"/>
      <c r="D373" s="39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37"/>
      <c r="B374" s="38"/>
      <c r="C374" s="38"/>
      <c r="D374" s="39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37"/>
      <c r="B375" s="38"/>
      <c r="C375" s="38"/>
      <c r="D375" s="39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37"/>
      <c r="B376" s="38"/>
      <c r="C376" s="38"/>
      <c r="D376" s="39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37"/>
      <c r="B377" s="38"/>
      <c r="C377" s="38"/>
      <c r="D377" s="39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37"/>
      <c r="B378" s="38"/>
      <c r="C378" s="38"/>
      <c r="D378" s="39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37"/>
      <c r="B379" s="38"/>
      <c r="C379" s="38"/>
      <c r="D379" s="39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37"/>
      <c r="B380" s="38"/>
      <c r="C380" s="38"/>
      <c r="D380" s="39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37"/>
      <c r="B381" s="38"/>
      <c r="C381" s="38"/>
      <c r="D381" s="39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37"/>
      <c r="B382" s="38"/>
      <c r="C382" s="38"/>
      <c r="D382" s="39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37"/>
      <c r="B383" s="38"/>
      <c r="C383" s="38"/>
      <c r="D383" s="39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37"/>
      <c r="B384" s="38"/>
      <c r="C384" s="38"/>
      <c r="D384" s="39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37"/>
      <c r="B385" s="38"/>
      <c r="C385" s="38"/>
      <c r="D385" s="39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37"/>
      <c r="B386" s="38"/>
      <c r="C386" s="38"/>
      <c r="D386" s="39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37"/>
      <c r="B387" s="38"/>
      <c r="C387" s="38"/>
      <c r="D387" s="39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37"/>
      <c r="B388" s="38"/>
      <c r="C388" s="38"/>
      <c r="D388" s="39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37"/>
      <c r="B389" s="38"/>
      <c r="C389" s="38"/>
      <c r="D389" s="39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37"/>
      <c r="B390" s="38"/>
      <c r="C390" s="38"/>
      <c r="D390" s="39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37"/>
      <c r="B391" s="38"/>
      <c r="C391" s="38"/>
      <c r="D391" s="39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37"/>
      <c r="B392" s="38"/>
      <c r="C392" s="38"/>
      <c r="D392" s="39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37"/>
      <c r="B393" s="38"/>
      <c r="C393" s="38"/>
      <c r="D393" s="39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37"/>
      <c r="B394" s="38"/>
      <c r="C394" s="38"/>
      <c r="D394" s="39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37"/>
      <c r="B395" s="38"/>
      <c r="C395" s="38"/>
      <c r="D395" s="39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37"/>
      <c r="B396" s="38"/>
      <c r="C396" s="38"/>
      <c r="D396" s="39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37"/>
      <c r="B397" s="38"/>
      <c r="C397" s="38"/>
      <c r="D397" s="39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37"/>
      <c r="B398" s="38"/>
      <c r="C398" s="38"/>
      <c r="D398" s="39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37"/>
      <c r="B399" s="38"/>
      <c r="C399" s="38"/>
      <c r="D399" s="39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37"/>
      <c r="B400" s="38"/>
      <c r="C400" s="38"/>
      <c r="D400" s="39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37"/>
      <c r="B401" s="38"/>
      <c r="C401" s="38"/>
      <c r="D401" s="39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37"/>
      <c r="B402" s="38"/>
      <c r="C402" s="38"/>
      <c r="D402" s="39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37"/>
      <c r="B403" s="38"/>
      <c r="C403" s="38"/>
      <c r="D403" s="39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37"/>
      <c r="B404" s="38"/>
      <c r="C404" s="38"/>
      <c r="D404" s="39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37"/>
      <c r="B405" s="38"/>
      <c r="C405" s="38"/>
      <c r="D405" s="39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37"/>
      <c r="B406" s="38"/>
      <c r="C406" s="38"/>
      <c r="D406" s="39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37"/>
      <c r="B407" s="38"/>
      <c r="C407" s="38"/>
      <c r="D407" s="39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37"/>
      <c r="B408" s="38"/>
      <c r="C408" s="38"/>
      <c r="D408" s="39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37"/>
      <c r="B409" s="38"/>
      <c r="C409" s="38"/>
      <c r="D409" s="39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37"/>
      <c r="B410" s="38"/>
      <c r="C410" s="38"/>
      <c r="D410" s="39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37"/>
      <c r="B411" s="38"/>
      <c r="C411" s="38"/>
      <c r="D411" s="39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37"/>
      <c r="B412" s="38"/>
      <c r="C412" s="38"/>
      <c r="D412" s="39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37"/>
      <c r="B413" s="38"/>
      <c r="C413" s="38"/>
      <c r="D413" s="39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37"/>
      <c r="B414" s="38"/>
      <c r="C414" s="38"/>
      <c r="D414" s="39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37"/>
      <c r="B415" s="38"/>
      <c r="C415" s="38"/>
      <c r="D415" s="39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37"/>
      <c r="B416" s="38"/>
      <c r="C416" s="38"/>
      <c r="D416" s="39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37"/>
      <c r="B417" s="38"/>
      <c r="C417" s="38"/>
      <c r="D417" s="39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37"/>
      <c r="B418" s="38"/>
      <c r="C418" s="38"/>
      <c r="D418" s="39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37"/>
      <c r="B419" s="38"/>
      <c r="C419" s="38"/>
      <c r="D419" s="39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37"/>
      <c r="B420" s="38"/>
      <c r="C420" s="38"/>
      <c r="D420" s="39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37"/>
      <c r="B421" s="38"/>
      <c r="C421" s="38"/>
      <c r="D421" s="39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37"/>
      <c r="B422" s="38"/>
      <c r="C422" s="38"/>
      <c r="D422" s="39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37"/>
      <c r="B423" s="38"/>
      <c r="C423" s="38"/>
      <c r="D423" s="39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37"/>
      <c r="B424" s="38"/>
      <c r="C424" s="38"/>
      <c r="D424" s="39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37"/>
      <c r="B425" s="38"/>
      <c r="C425" s="38"/>
      <c r="D425" s="39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37"/>
      <c r="B426" s="38"/>
      <c r="C426" s="38"/>
      <c r="D426" s="39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37"/>
      <c r="B427" s="38"/>
      <c r="C427" s="38"/>
      <c r="D427" s="39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37"/>
      <c r="B428" s="38"/>
      <c r="C428" s="38"/>
      <c r="D428" s="39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37"/>
      <c r="B429" s="38"/>
      <c r="C429" s="38"/>
      <c r="D429" s="39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37"/>
      <c r="B430" s="38"/>
      <c r="C430" s="38"/>
      <c r="D430" s="39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37"/>
      <c r="B431" s="38"/>
      <c r="C431" s="38"/>
      <c r="D431" s="39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37"/>
      <c r="B432" s="38"/>
      <c r="C432" s="38"/>
      <c r="D432" s="39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37"/>
      <c r="B433" s="38"/>
      <c r="C433" s="38"/>
      <c r="D433" s="39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37"/>
      <c r="B434" s="38"/>
      <c r="C434" s="38"/>
      <c r="D434" s="39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37"/>
      <c r="B435" s="38"/>
      <c r="C435" s="38"/>
      <c r="D435" s="39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37"/>
      <c r="B436" s="38"/>
      <c r="C436" s="38"/>
      <c r="D436" s="39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37"/>
      <c r="B437" s="38"/>
      <c r="C437" s="38"/>
      <c r="D437" s="39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37"/>
      <c r="B438" s="38"/>
      <c r="C438" s="38"/>
      <c r="D438" s="39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37"/>
      <c r="B439" s="38"/>
      <c r="C439" s="38"/>
      <c r="D439" s="39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37"/>
      <c r="B440" s="38"/>
      <c r="C440" s="38"/>
      <c r="D440" s="39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37"/>
      <c r="B441" s="38"/>
      <c r="C441" s="38"/>
      <c r="D441" s="39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37"/>
      <c r="B442" s="38"/>
      <c r="C442" s="38"/>
      <c r="D442" s="39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37"/>
      <c r="B443" s="38"/>
      <c r="C443" s="38"/>
      <c r="D443" s="39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37"/>
      <c r="B444" s="38"/>
      <c r="C444" s="38"/>
      <c r="D444" s="39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37"/>
      <c r="B445" s="38"/>
      <c r="C445" s="38"/>
      <c r="D445" s="39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37"/>
      <c r="B446" s="38"/>
      <c r="C446" s="38"/>
      <c r="D446" s="39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37"/>
      <c r="B447" s="38"/>
      <c r="C447" s="38"/>
      <c r="D447" s="39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37"/>
      <c r="B448" s="38"/>
      <c r="C448" s="38"/>
      <c r="D448" s="39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37"/>
      <c r="B449" s="38"/>
      <c r="C449" s="38"/>
      <c r="D449" s="39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37"/>
      <c r="B450" s="38"/>
      <c r="C450" s="38"/>
      <c r="D450" s="39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37"/>
      <c r="B451" s="38"/>
      <c r="C451" s="38"/>
      <c r="D451" s="39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37"/>
      <c r="B452" s="38"/>
      <c r="C452" s="38"/>
      <c r="D452" s="39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37"/>
      <c r="B453" s="38"/>
      <c r="C453" s="38"/>
      <c r="D453" s="39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37"/>
      <c r="B454" s="38"/>
      <c r="C454" s="38"/>
      <c r="D454" s="39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37"/>
      <c r="B455" s="38"/>
      <c r="C455" s="38"/>
      <c r="D455" s="39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37"/>
      <c r="B456" s="38"/>
      <c r="C456" s="38"/>
      <c r="D456" s="39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37"/>
      <c r="B457" s="38"/>
      <c r="C457" s="38"/>
      <c r="D457" s="39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37"/>
      <c r="B458" s="38"/>
      <c r="C458" s="38"/>
      <c r="D458" s="39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37"/>
      <c r="B459" s="38"/>
      <c r="C459" s="38"/>
      <c r="D459" s="39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37"/>
      <c r="B460" s="38"/>
      <c r="C460" s="38"/>
      <c r="D460" s="39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37"/>
      <c r="B461" s="38"/>
      <c r="C461" s="38"/>
      <c r="D461" s="39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37"/>
      <c r="B462" s="38"/>
      <c r="C462" s="38"/>
      <c r="D462" s="39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37"/>
      <c r="B463" s="38"/>
      <c r="C463" s="38"/>
      <c r="D463" s="39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37"/>
      <c r="B464" s="38"/>
      <c r="C464" s="38"/>
      <c r="D464" s="39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37"/>
      <c r="B465" s="38"/>
      <c r="C465" s="38"/>
      <c r="D465" s="39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37"/>
      <c r="B466" s="38"/>
      <c r="C466" s="38"/>
      <c r="D466" s="39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37"/>
      <c r="B467" s="38"/>
      <c r="C467" s="38"/>
      <c r="D467" s="39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37"/>
      <c r="B468" s="38"/>
      <c r="C468" s="38"/>
      <c r="D468" s="39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37"/>
      <c r="B469" s="38"/>
      <c r="C469" s="38"/>
      <c r="D469" s="39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37"/>
      <c r="B470" s="38"/>
      <c r="C470" s="38"/>
      <c r="D470" s="39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37"/>
      <c r="B471" s="38"/>
      <c r="C471" s="38"/>
      <c r="D471" s="39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37"/>
      <c r="B472" s="38"/>
      <c r="C472" s="38"/>
      <c r="D472" s="39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37"/>
      <c r="B473" s="38"/>
      <c r="C473" s="38"/>
      <c r="D473" s="39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37"/>
      <c r="B474" s="38"/>
      <c r="C474" s="38"/>
      <c r="D474" s="39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37"/>
      <c r="B475" s="38"/>
      <c r="C475" s="38"/>
      <c r="D475" s="39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37"/>
      <c r="B476" s="38"/>
      <c r="C476" s="38"/>
      <c r="D476" s="39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37"/>
      <c r="B477" s="38"/>
      <c r="C477" s="38"/>
      <c r="D477" s="39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37"/>
      <c r="B478" s="38"/>
      <c r="C478" s="38"/>
      <c r="D478" s="39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37"/>
      <c r="B479" s="38"/>
      <c r="C479" s="38"/>
      <c r="D479" s="39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37"/>
      <c r="B480" s="38"/>
      <c r="C480" s="38"/>
      <c r="D480" s="39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37"/>
      <c r="B481" s="38"/>
      <c r="C481" s="38"/>
      <c r="D481" s="39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37"/>
      <c r="B482" s="38"/>
      <c r="C482" s="38"/>
      <c r="D482" s="39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37"/>
      <c r="B483" s="38"/>
      <c r="C483" s="38"/>
      <c r="D483" s="39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37"/>
      <c r="B484" s="38"/>
      <c r="C484" s="38"/>
      <c r="D484" s="39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37"/>
      <c r="B485" s="38"/>
      <c r="C485" s="38"/>
      <c r="D485" s="39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37"/>
      <c r="B486" s="38"/>
      <c r="C486" s="38"/>
      <c r="D486" s="39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37"/>
      <c r="B487" s="38"/>
      <c r="C487" s="38"/>
      <c r="D487" s="39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37"/>
      <c r="B488" s="38"/>
      <c r="C488" s="38"/>
      <c r="D488" s="39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37"/>
      <c r="B489" s="38"/>
      <c r="C489" s="38"/>
      <c r="D489" s="39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37"/>
      <c r="B490" s="38"/>
      <c r="C490" s="38"/>
      <c r="D490" s="39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37"/>
      <c r="B491" s="38"/>
      <c r="C491" s="38"/>
      <c r="D491" s="39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37"/>
      <c r="B492" s="38"/>
      <c r="C492" s="38"/>
      <c r="D492" s="39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37"/>
      <c r="B493" s="38"/>
      <c r="C493" s="38"/>
      <c r="D493" s="39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37"/>
      <c r="B494" s="38"/>
      <c r="C494" s="38"/>
      <c r="D494" s="39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37"/>
      <c r="B495" s="38"/>
      <c r="C495" s="38"/>
      <c r="D495" s="39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37"/>
      <c r="B496" s="38"/>
      <c r="C496" s="38"/>
      <c r="D496" s="39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37"/>
      <c r="B497" s="38"/>
      <c r="C497" s="38"/>
      <c r="D497" s="39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37"/>
      <c r="B498" s="38"/>
      <c r="C498" s="38"/>
      <c r="D498" s="39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37"/>
      <c r="B499" s="38"/>
      <c r="C499" s="38"/>
      <c r="D499" s="39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37"/>
      <c r="B500" s="38"/>
      <c r="C500" s="38"/>
      <c r="D500" s="39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37"/>
      <c r="B501" s="38"/>
      <c r="C501" s="38"/>
      <c r="D501" s="39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37"/>
      <c r="B502" s="38"/>
      <c r="C502" s="38"/>
      <c r="D502" s="39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37"/>
      <c r="B503" s="38"/>
      <c r="C503" s="38"/>
      <c r="D503" s="39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37"/>
      <c r="B504" s="38"/>
      <c r="C504" s="38"/>
      <c r="D504" s="39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37"/>
      <c r="B505" s="38"/>
      <c r="C505" s="38"/>
      <c r="D505" s="39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37"/>
      <c r="B506" s="38"/>
      <c r="C506" s="38"/>
      <c r="D506" s="39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37"/>
      <c r="B507" s="38"/>
      <c r="C507" s="38"/>
      <c r="D507" s="39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37"/>
      <c r="B508" s="38"/>
      <c r="C508" s="38"/>
      <c r="D508" s="39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37"/>
      <c r="B509" s="38"/>
      <c r="C509" s="38"/>
      <c r="D509" s="39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37"/>
      <c r="B510" s="38"/>
      <c r="C510" s="38"/>
      <c r="D510" s="39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37"/>
      <c r="B511" s="38"/>
      <c r="C511" s="38"/>
      <c r="D511" s="39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37"/>
      <c r="B512" s="38"/>
      <c r="C512" s="38"/>
      <c r="D512" s="39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37"/>
      <c r="B513" s="38"/>
      <c r="C513" s="38"/>
      <c r="D513" s="39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37"/>
      <c r="B514" s="38"/>
      <c r="C514" s="38"/>
      <c r="D514" s="39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37"/>
      <c r="B515" s="38"/>
      <c r="C515" s="38"/>
      <c r="D515" s="39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37"/>
      <c r="B516" s="38"/>
      <c r="C516" s="38"/>
      <c r="D516" s="39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37"/>
      <c r="B517" s="38"/>
      <c r="C517" s="38"/>
      <c r="D517" s="39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37"/>
      <c r="B518" s="38"/>
      <c r="C518" s="38"/>
      <c r="D518" s="39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37"/>
      <c r="B519" s="38"/>
      <c r="C519" s="38"/>
      <c r="D519" s="39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37"/>
      <c r="B520" s="38"/>
      <c r="C520" s="38"/>
      <c r="D520" s="39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37"/>
      <c r="B521" s="38"/>
      <c r="C521" s="38"/>
      <c r="D521" s="39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37"/>
      <c r="B522" s="38"/>
      <c r="C522" s="38"/>
      <c r="D522" s="39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37"/>
      <c r="B523" s="38"/>
      <c r="C523" s="38"/>
      <c r="D523" s="39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37"/>
      <c r="B524" s="38"/>
      <c r="C524" s="38"/>
      <c r="D524" s="39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37"/>
      <c r="B525" s="38"/>
      <c r="C525" s="38"/>
      <c r="D525" s="39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37"/>
      <c r="B526" s="38"/>
      <c r="C526" s="38"/>
      <c r="D526" s="39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37"/>
      <c r="B527" s="38"/>
      <c r="C527" s="38"/>
      <c r="D527" s="39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37"/>
      <c r="B528" s="38"/>
      <c r="C528" s="38"/>
      <c r="D528" s="39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37"/>
      <c r="B529" s="38"/>
      <c r="C529" s="38"/>
      <c r="D529" s="39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37"/>
      <c r="B530" s="38"/>
      <c r="C530" s="38"/>
      <c r="D530" s="39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37"/>
      <c r="B531" s="38"/>
      <c r="C531" s="38"/>
      <c r="D531" s="39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37"/>
      <c r="B532" s="38"/>
      <c r="C532" s="38"/>
      <c r="D532" s="39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37"/>
      <c r="B533" s="38"/>
      <c r="C533" s="38"/>
      <c r="D533" s="39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37"/>
      <c r="B534" s="38"/>
      <c r="C534" s="38"/>
      <c r="D534" s="39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37"/>
      <c r="B535" s="38"/>
      <c r="C535" s="38"/>
      <c r="D535" s="39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37"/>
      <c r="B536" s="38"/>
      <c r="C536" s="38"/>
      <c r="D536" s="39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37"/>
      <c r="B537" s="38"/>
      <c r="C537" s="38"/>
      <c r="D537" s="39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37"/>
      <c r="B538" s="38"/>
      <c r="C538" s="38"/>
      <c r="D538" s="39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37"/>
      <c r="B539" s="38"/>
      <c r="C539" s="38"/>
      <c r="D539" s="39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37"/>
      <c r="B540" s="38"/>
      <c r="C540" s="38"/>
      <c r="D540" s="39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37"/>
      <c r="B541" s="38"/>
      <c r="C541" s="38"/>
      <c r="D541" s="39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37"/>
      <c r="B542" s="38"/>
      <c r="C542" s="38"/>
      <c r="D542" s="39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37"/>
      <c r="B543" s="38"/>
      <c r="C543" s="38"/>
      <c r="D543" s="39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37"/>
      <c r="B544" s="38"/>
      <c r="C544" s="38"/>
      <c r="D544" s="39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37"/>
      <c r="B545" s="38"/>
      <c r="C545" s="38"/>
      <c r="D545" s="39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37"/>
      <c r="B546" s="38"/>
      <c r="C546" s="38"/>
      <c r="D546" s="39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37"/>
      <c r="B547" s="38"/>
      <c r="C547" s="38"/>
      <c r="D547" s="39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37"/>
      <c r="B548" s="38"/>
      <c r="C548" s="38"/>
      <c r="D548" s="39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37"/>
      <c r="B549" s="38"/>
      <c r="C549" s="38"/>
      <c r="D549" s="39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37"/>
      <c r="B550" s="38"/>
      <c r="C550" s="38"/>
      <c r="D550" s="39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37"/>
      <c r="B551" s="38"/>
      <c r="C551" s="38"/>
      <c r="D551" s="39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37"/>
      <c r="B552" s="38"/>
      <c r="C552" s="38"/>
      <c r="D552" s="39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37"/>
      <c r="B553" s="38"/>
      <c r="C553" s="38"/>
      <c r="D553" s="39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37"/>
      <c r="B554" s="38"/>
      <c r="C554" s="38"/>
      <c r="D554" s="39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37"/>
      <c r="B555" s="38"/>
      <c r="C555" s="38"/>
      <c r="D555" s="39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37"/>
      <c r="B556" s="38"/>
      <c r="C556" s="38"/>
      <c r="D556" s="39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37"/>
      <c r="B557" s="38"/>
      <c r="C557" s="38"/>
      <c r="D557" s="39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37"/>
      <c r="B558" s="38"/>
      <c r="C558" s="38"/>
      <c r="D558" s="39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37"/>
      <c r="B559" s="38"/>
      <c r="C559" s="38"/>
      <c r="D559" s="39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37"/>
      <c r="B560" s="38"/>
      <c r="C560" s="38"/>
      <c r="D560" s="39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37"/>
      <c r="B561" s="38"/>
      <c r="C561" s="38"/>
      <c r="D561" s="39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37"/>
      <c r="B562" s="38"/>
      <c r="C562" s="38"/>
      <c r="D562" s="39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37"/>
      <c r="B563" s="38"/>
      <c r="C563" s="38"/>
      <c r="D563" s="39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37"/>
      <c r="B564" s="38"/>
      <c r="C564" s="38"/>
      <c r="D564" s="39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37"/>
      <c r="B565" s="38"/>
      <c r="C565" s="38"/>
      <c r="D565" s="39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37"/>
      <c r="B566" s="38"/>
      <c r="C566" s="38"/>
      <c r="D566" s="39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37"/>
      <c r="B567" s="38"/>
      <c r="C567" s="38"/>
      <c r="D567" s="39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37"/>
      <c r="B568" s="38"/>
      <c r="C568" s="38"/>
      <c r="D568" s="39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37"/>
      <c r="B569" s="38"/>
      <c r="C569" s="38"/>
      <c r="D569" s="39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37"/>
      <c r="B570" s="38"/>
      <c r="C570" s="38"/>
      <c r="D570" s="39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37"/>
      <c r="B571" s="38"/>
      <c r="C571" s="38"/>
      <c r="D571" s="39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37"/>
      <c r="B572" s="38"/>
      <c r="C572" s="38"/>
      <c r="D572" s="39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37"/>
      <c r="B573" s="38"/>
      <c r="C573" s="38"/>
      <c r="D573" s="39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37"/>
      <c r="B574" s="38"/>
      <c r="C574" s="38"/>
      <c r="D574" s="39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37"/>
      <c r="B575" s="38"/>
      <c r="C575" s="38"/>
      <c r="D575" s="39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37"/>
      <c r="B576" s="38"/>
      <c r="C576" s="38"/>
      <c r="D576" s="39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37"/>
      <c r="B577" s="38"/>
      <c r="C577" s="38"/>
      <c r="D577" s="39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37"/>
      <c r="B578" s="38"/>
      <c r="C578" s="38"/>
      <c r="D578" s="39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37"/>
      <c r="B579" s="38"/>
      <c r="C579" s="38"/>
      <c r="D579" s="39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37"/>
      <c r="B580" s="38"/>
      <c r="C580" s="38"/>
      <c r="D580" s="39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37"/>
      <c r="B581" s="38"/>
      <c r="C581" s="38"/>
      <c r="D581" s="39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37"/>
      <c r="B582" s="38"/>
      <c r="C582" s="38"/>
      <c r="D582" s="39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37"/>
      <c r="B583" s="38"/>
      <c r="C583" s="38"/>
      <c r="D583" s="39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37"/>
      <c r="B584" s="38"/>
      <c r="C584" s="38"/>
      <c r="D584" s="39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37"/>
      <c r="B585" s="38"/>
      <c r="C585" s="38"/>
      <c r="D585" s="39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37"/>
      <c r="B586" s="38"/>
      <c r="C586" s="38"/>
      <c r="D586" s="39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37"/>
      <c r="B587" s="38"/>
      <c r="C587" s="38"/>
      <c r="D587" s="39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37"/>
      <c r="B588" s="38"/>
      <c r="C588" s="38"/>
      <c r="D588" s="39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37"/>
      <c r="B589" s="38"/>
      <c r="C589" s="38"/>
      <c r="D589" s="39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37"/>
      <c r="B590" s="38"/>
      <c r="C590" s="38"/>
      <c r="D590" s="39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37"/>
      <c r="B591" s="38"/>
      <c r="C591" s="38"/>
      <c r="D591" s="39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37"/>
      <c r="B592" s="38"/>
      <c r="C592" s="38"/>
      <c r="D592" s="39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37"/>
      <c r="B593" s="38"/>
      <c r="C593" s="38"/>
      <c r="D593" s="39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37"/>
      <c r="B594" s="38"/>
      <c r="C594" s="38"/>
      <c r="D594" s="39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37"/>
      <c r="B595" s="38"/>
      <c r="C595" s="38"/>
      <c r="D595" s="39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37"/>
      <c r="B596" s="38"/>
      <c r="C596" s="38"/>
      <c r="D596" s="39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37"/>
      <c r="B597" s="38"/>
      <c r="C597" s="38"/>
      <c r="D597" s="39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37"/>
      <c r="B598" s="38"/>
      <c r="C598" s="38"/>
      <c r="D598" s="39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37"/>
      <c r="B599" s="38"/>
      <c r="C599" s="38"/>
      <c r="D599" s="39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37"/>
      <c r="B600" s="38"/>
      <c r="C600" s="38"/>
      <c r="D600" s="39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37"/>
      <c r="B601" s="38"/>
      <c r="C601" s="38"/>
      <c r="D601" s="39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37"/>
      <c r="B602" s="38"/>
      <c r="C602" s="38"/>
      <c r="D602" s="39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37"/>
      <c r="B603" s="38"/>
      <c r="C603" s="38"/>
      <c r="D603" s="39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37"/>
      <c r="B604" s="38"/>
      <c r="C604" s="38"/>
      <c r="D604" s="39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37"/>
      <c r="B605" s="38"/>
      <c r="C605" s="38"/>
      <c r="D605" s="39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37"/>
      <c r="B606" s="38"/>
      <c r="C606" s="38"/>
      <c r="D606" s="39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37"/>
      <c r="B607" s="38"/>
      <c r="C607" s="38"/>
      <c r="D607" s="39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37"/>
      <c r="B608" s="38"/>
      <c r="C608" s="38"/>
      <c r="D608" s="39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37"/>
      <c r="B609" s="38"/>
      <c r="C609" s="38"/>
      <c r="D609" s="39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37"/>
      <c r="B610" s="38"/>
      <c r="C610" s="38"/>
      <c r="D610" s="39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37"/>
      <c r="B611" s="38"/>
      <c r="C611" s="38"/>
      <c r="D611" s="39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37"/>
      <c r="B612" s="38"/>
      <c r="C612" s="38"/>
      <c r="D612" s="39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37"/>
      <c r="B613" s="38"/>
      <c r="C613" s="38"/>
      <c r="D613" s="39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37"/>
      <c r="B614" s="38"/>
      <c r="C614" s="38"/>
      <c r="D614" s="39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37"/>
      <c r="B615" s="38"/>
      <c r="C615" s="38"/>
      <c r="D615" s="39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37"/>
      <c r="B616" s="38"/>
      <c r="C616" s="38"/>
      <c r="D616" s="39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37"/>
      <c r="B617" s="38"/>
      <c r="C617" s="38"/>
      <c r="D617" s="39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37"/>
      <c r="B618" s="38"/>
      <c r="C618" s="38"/>
      <c r="D618" s="39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37"/>
      <c r="B619" s="38"/>
      <c r="C619" s="38"/>
      <c r="D619" s="39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37"/>
      <c r="B620" s="38"/>
      <c r="C620" s="38"/>
      <c r="D620" s="39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37"/>
      <c r="B621" s="38"/>
      <c r="C621" s="38"/>
      <c r="D621" s="39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37"/>
      <c r="B622" s="38"/>
      <c r="C622" s="38"/>
      <c r="D622" s="39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37"/>
      <c r="B623" s="38"/>
      <c r="C623" s="38"/>
      <c r="D623" s="39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37"/>
      <c r="B624" s="38"/>
      <c r="C624" s="38"/>
      <c r="D624" s="39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37"/>
      <c r="B625" s="38"/>
      <c r="C625" s="38"/>
      <c r="D625" s="39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37"/>
      <c r="B626" s="38"/>
      <c r="C626" s="38"/>
      <c r="D626" s="39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37"/>
      <c r="B627" s="38"/>
      <c r="C627" s="38"/>
      <c r="D627" s="39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37"/>
      <c r="B628" s="38"/>
      <c r="C628" s="38"/>
      <c r="D628" s="39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37"/>
      <c r="B629" s="38"/>
      <c r="C629" s="38"/>
      <c r="D629" s="39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37"/>
      <c r="B630" s="38"/>
      <c r="C630" s="38"/>
      <c r="D630" s="39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37"/>
      <c r="B631" s="38"/>
      <c r="C631" s="38"/>
      <c r="D631" s="39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37"/>
      <c r="B632" s="38"/>
      <c r="C632" s="38"/>
      <c r="D632" s="39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37"/>
      <c r="B633" s="38"/>
      <c r="C633" s="38"/>
      <c r="D633" s="39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37"/>
      <c r="B634" s="38"/>
      <c r="C634" s="38"/>
      <c r="D634" s="39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37"/>
      <c r="B635" s="38"/>
      <c r="C635" s="38"/>
      <c r="D635" s="39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37"/>
      <c r="B636" s="38"/>
      <c r="C636" s="38"/>
      <c r="D636" s="39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37"/>
      <c r="B637" s="38"/>
      <c r="C637" s="38"/>
      <c r="D637" s="39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37"/>
      <c r="B638" s="38"/>
      <c r="C638" s="38"/>
      <c r="D638" s="39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37"/>
      <c r="B639" s="38"/>
      <c r="C639" s="38"/>
      <c r="D639" s="39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37"/>
      <c r="B640" s="38"/>
      <c r="C640" s="38"/>
      <c r="D640" s="39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37"/>
      <c r="B641" s="38"/>
      <c r="C641" s="38"/>
      <c r="D641" s="39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37"/>
      <c r="B642" s="38"/>
      <c r="C642" s="38"/>
      <c r="D642" s="39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37"/>
      <c r="B643" s="38"/>
      <c r="C643" s="38"/>
      <c r="D643" s="39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37"/>
      <c r="B644" s="38"/>
      <c r="C644" s="38"/>
      <c r="D644" s="39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37"/>
      <c r="B645" s="38"/>
      <c r="C645" s="38"/>
      <c r="D645" s="39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37"/>
      <c r="B646" s="38"/>
      <c r="C646" s="38"/>
      <c r="D646" s="39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37"/>
      <c r="B647" s="38"/>
      <c r="C647" s="38"/>
      <c r="D647" s="39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37"/>
      <c r="B648" s="38"/>
      <c r="C648" s="38"/>
      <c r="D648" s="39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37"/>
      <c r="B649" s="38"/>
      <c r="C649" s="38"/>
      <c r="D649" s="39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37"/>
      <c r="B650" s="38"/>
      <c r="C650" s="38"/>
      <c r="D650" s="39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37"/>
      <c r="B651" s="38"/>
      <c r="C651" s="38"/>
      <c r="D651" s="39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37"/>
      <c r="B652" s="38"/>
      <c r="C652" s="38"/>
      <c r="D652" s="39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37"/>
      <c r="B653" s="38"/>
      <c r="C653" s="38"/>
      <c r="D653" s="39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37"/>
      <c r="B654" s="38"/>
      <c r="C654" s="38"/>
      <c r="D654" s="39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37"/>
      <c r="B655" s="38"/>
      <c r="C655" s="38"/>
      <c r="D655" s="39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37"/>
      <c r="B656" s="38"/>
      <c r="C656" s="38"/>
      <c r="D656" s="39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37"/>
      <c r="B657" s="38"/>
      <c r="C657" s="38"/>
      <c r="D657" s="39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37"/>
      <c r="B658" s="38"/>
      <c r="C658" s="38"/>
      <c r="D658" s="39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37"/>
      <c r="B659" s="38"/>
      <c r="C659" s="38"/>
      <c r="D659" s="39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37"/>
      <c r="B660" s="38"/>
      <c r="C660" s="38"/>
      <c r="D660" s="39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37"/>
      <c r="B661" s="38"/>
      <c r="C661" s="38"/>
      <c r="D661" s="39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37"/>
      <c r="B662" s="38"/>
      <c r="C662" s="38"/>
      <c r="D662" s="39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37"/>
      <c r="B663" s="38"/>
      <c r="C663" s="38"/>
      <c r="D663" s="39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37"/>
      <c r="B664" s="38"/>
      <c r="C664" s="38"/>
      <c r="D664" s="39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37"/>
      <c r="B665" s="38"/>
      <c r="C665" s="38"/>
      <c r="D665" s="39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37"/>
      <c r="B666" s="38"/>
      <c r="C666" s="38"/>
      <c r="D666" s="39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37"/>
      <c r="B667" s="38"/>
      <c r="C667" s="38"/>
      <c r="D667" s="39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37"/>
      <c r="B668" s="38"/>
      <c r="C668" s="38"/>
      <c r="D668" s="39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37"/>
      <c r="B669" s="38"/>
      <c r="C669" s="38"/>
      <c r="D669" s="39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37"/>
      <c r="B670" s="38"/>
      <c r="C670" s="38"/>
      <c r="D670" s="39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37"/>
      <c r="B671" s="38"/>
      <c r="C671" s="38"/>
      <c r="D671" s="39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37"/>
      <c r="B672" s="38"/>
      <c r="C672" s="38"/>
      <c r="D672" s="39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37"/>
      <c r="B673" s="38"/>
      <c r="C673" s="38"/>
      <c r="D673" s="39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37"/>
      <c r="B674" s="38"/>
      <c r="C674" s="38"/>
      <c r="D674" s="39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37"/>
      <c r="B675" s="38"/>
      <c r="C675" s="38"/>
      <c r="D675" s="39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37"/>
      <c r="B676" s="38"/>
      <c r="C676" s="38"/>
      <c r="D676" s="39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37"/>
      <c r="B677" s="38"/>
      <c r="C677" s="38"/>
      <c r="D677" s="39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37"/>
      <c r="B678" s="38"/>
      <c r="C678" s="38"/>
      <c r="D678" s="39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37"/>
      <c r="B679" s="38"/>
      <c r="C679" s="38"/>
      <c r="D679" s="39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37"/>
      <c r="B680" s="38"/>
      <c r="C680" s="38"/>
      <c r="D680" s="39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37"/>
      <c r="B681" s="38"/>
      <c r="C681" s="38"/>
      <c r="D681" s="39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37"/>
      <c r="B682" s="38"/>
      <c r="C682" s="38"/>
      <c r="D682" s="39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37"/>
      <c r="B683" s="38"/>
      <c r="C683" s="38"/>
      <c r="D683" s="39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37"/>
      <c r="B684" s="38"/>
      <c r="C684" s="38"/>
      <c r="D684" s="39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37"/>
      <c r="B685" s="38"/>
      <c r="C685" s="38"/>
      <c r="D685" s="39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37"/>
      <c r="B686" s="38"/>
      <c r="C686" s="38"/>
      <c r="D686" s="39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37"/>
      <c r="B687" s="38"/>
      <c r="C687" s="38"/>
      <c r="D687" s="39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37"/>
      <c r="B688" s="38"/>
      <c r="C688" s="38"/>
      <c r="D688" s="39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37"/>
      <c r="B689" s="38"/>
      <c r="C689" s="38"/>
      <c r="D689" s="39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37"/>
      <c r="B690" s="38"/>
      <c r="C690" s="38"/>
      <c r="D690" s="39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37"/>
      <c r="B691" s="38"/>
      <c r="C691" s="38"/>
      <c r="D691" s="39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37"/>
      <c r="B692" s="38"/>
      <c r="C692" s="38"/>
      <c r="D692" s="39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37"/>
      <c r="B693" s="38"/>
      <c r="C693" s="38"/>
      <c r="D693" s="39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37"/>
      <c r="B694" s="38"/>
      <c r="C694" s="38"/>
      <c r="D694" s="39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37"/>
      <c r="B695" s="38"/>
      <c r="C695" s="38"/>
      <c r="D695" s="39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37"/>
      <c r="B696" s="38"/>
      <c r="C696" s="38"/>
      <c r="D696" s="39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37"/>
      <c r="B697" s="38"/>
      <c r="C697" s="38"/>
      <c r="D697" s="39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37"/>
      <c r="B698" s="38"/>
      <c r="C698" s="38"/>
      <c r="D698" s="39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37"/>
      <c r="B699" s="38"/>
      <c r="C699" s="38"/>
      <c r="D699" s="39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37"/>
      <c r="B700" s="38"/>
      <c r="C700" s="38"/>
      <c r="D700" s="39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37"/>
      <c r="B701" s="38"/>
      <c r="C701" s="38"/>
      <c r="D701" s="39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37"/>
      <c r="B702" s="38"/>
      <c r="C702" s="38"/>
      <c r="D702" s="39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37"/>
      <c r="B703" s="38"/>
      <c r="C703" s="38"/>
      <c r="D703" s="39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37"/>
      <c r="B704" s="38"/>
      <c r="C704" s="38"/>
      <c r="D704" s="39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37"/>
      <c r="B705" s="38"/>
      <c r="C705" s="38"/>
      <c r="D705" s="39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37"/>
      <c r="B706" s="38"/>
      <c r="C706" s="38"/>
      <c r="D706" s="39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37"/>
      <c r="B707" s="38"/>
      <c r="C707" s="38"/>
      <c r="D707" s="39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37"/>
      <c r="B708" s="38"/>
      <c r="C708" s="38"/>
      <c r="D708" s="39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37"/>
      <c r="B709" s="38"/>
      <c r="C709" s="38"/>
      <c r="D709" s="39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37"/>
      <c r="B710" s="38"/>
      <c r="C710" s="38"/>
      <c r="D710" s="39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37"/>
      <c r="B711" s="38"/>
      <c r="C711" s="38"/>
      <c r="D711" s="39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37"/>
      <c r="B712" s="38"/>
      <c r="C712" s="38"/>
      <c r="D712" s="39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37"/>
      <c r="B713" s="38"/>
      <c r="C713" s="38"/>
      <c r="D713" s="39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37"/>
      <c r="B714" s="38"/>
      <c r="C714" s="38"/>
      <c r="D714" s="39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37"/>
      <c r="B715" s="38"/>
      <c r="C715" s="38"/>
      <c r="D715" s="39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37"/>
      <c r="B716" s="38"/>
      <c r="C716" s="38"/>
      <c r="D716" s="39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37"/>
      <c r="B717" s="38"/>
      <c r="C717" s="38"/>
      <c r="D717" s="39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37"/>
      <c r="B718" s="38"/>
      <c r="C718" s="38"/>
      <c r="D718" s="39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37"/>
      <c r="B719" s="38"/>
      <c r="C719" s="38"/>
      <c r="D719" s="39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37"/>
      <c r="B720" s="38"/>
      <c r="C720" s="38"/>
      <c r="D720" s="39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37"/>
      <c r="B721" s="38"/>
      <c r="C721" s="38"/>
      <c r="D721" s="39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37"/>
      <c r="B722" s="38"/>
      <c r="C722" s="38"/>
      <c r="D722" s="39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37"/>
      <c r="B723" s="38"/>
      <c r="C723" s="38"/>
      <c r="D723" s="39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37"/>
      <c r="B724" s="38"/>
      <c r="C724" s="38"/>
      <c r="D724" s="39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37"/>
      <c r="B725" s="38"/>
      <c r="C725" s="38"/>
      <c r="D725" s="39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37"/>
      <c r="B726" s="38"/>
      <c r="C726" s="38"/>
      <c r="D726" s="39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37"/>
      <c r="B727" s="38"/>
      <c r="C727" s="38"/>
      <c r="D727" s="39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37"/>
      <c r="B728" s="38"/>
      <c r="C728" s="38"/>
      <c r="D728" s="39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37"/>
      <c r="B729" s="38"/>
      <c r="C729" s="38"/>
      <c r="D729" s="39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37"/>
      <c r="B730" s="38"/>
      <c r="C730" s="38"/>
      <c r="D730" s="39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37"/>
      <c r="B731" s="38"/>
      <c r="C731" s="38"/>
      <c r="D731" s="39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37"/>
      <c r="B732" s="38"/>
      <c r="C732" s="38"/>
      <c r="D732" s="39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37"/>
      <c r="B733" s="38"/>
      <c r="C733" s="38"/>
      <c r="D733" s="39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37"/>
      <c r="B734" s="38"/>
      <c r="C734" s="38"/>
      <c r="D734" s="39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37"/>
      <c r="B735" s="38"/>
      <c r="C735" s="38"/>
      <c r="D735" s="39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37"/>
      <c r="B736" s="38"/>
      <c r="C736" s="38"/>
      <c r="D736" s="39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37"/>
      <c r="B737" s="38"/>
      <c r="C737" s="38"/>
      <c r="D737" s="39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37"/>
      <c r="B738" s="38"/>
      <c r="C738" s="38"/>
      <c r="D738" s="39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37"/>
      <c r="B739" s="38"/>
      <c r="C739" s="38"/>
      <c r="D739" s="39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37"/>
      <c r="B740" s="38"/>
      <c r="C740" s="38"/>
      <c r="D740" s="39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37"/>
      <c r="B741" s="38"/>
      <c r="C741" s="38"/>
      <c r="D741" s="39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37"/>
      <c r="B742" s="38"/>
      <c r="C742" s="38"/>
      <c r="D742" s="39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37"/>
      <c r="B743" s="38"/>
      <c r="C743" s="38"/>
      <c r="D743" s="39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37"/>
      <c r="B744" s="38"/>
      <c r="C744" s="38"/>
      <c r="D744" s="39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37"/>
      <c r="B745" s="38"/>
      <c r="C745" s="38"/>
      <c r="D745" s="39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37"/>
      <c r="B746" s="38"/>
      <c r="C746" s="38"/>
      <c r="D746" s="39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37"/>
      <c r="B747" s="38"/>
      <c r="C747" s="38"/>
      <c r="D747" s="39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37"/>
      <c r="B748" s="38"/>
      <c r="C748" s="38"/>
      <c r="D748" s="39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37"/>
      <c r="B749" s="38"/>
      <c r="C749" s="38"/>
      <c r="D749" s="39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37"/>
      <c r="B750" s="38"/>
      <c r="C750" s="38"/>
      <c r="D750" s="39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37"/>
      <c r="B751" s="38"/>
      <c r="C751" s="38"/>
      <c r="D751" s="39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37"/>
      <c r="B752" s="38"/>
      <c r="C752" s="38"/>
      <c r="D752" s="39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37"/>
      <c r="B753" s="38"/>
      <c r="C753" s="38"/>
      <c r="D753" s="39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37"/>
      <c r="B754" s="38"/>
      <c r="C754" s="38"/>
      <c r="D754" s="39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37"/>
      <c r="B755" s="38"/>
      <c r="C755" s="38"/>
      <c r="D755" s="39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37"/>
      <c r="B756" s="38"/>
      <c r="C756" s="38"/>
      <c r="D756" s="39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37"/>
      <c r="B757" s="38"/>
      <c r="C757" s="38"/>
      <c r="D757" s="39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37"/>
      <c r="B758" s="38"/>
      <c r="C758" s="38"/>
      <c r="D758" s="39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37"/>
      <c r="B759" s="38"/>
      <c r="C759" s="38"/>
      <c r="D759" s="39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37"/>
      <c r="B760" s="38"/>
      <c r="C760" s="38"/>
      <c r="D760" s="39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37"/>
      <c r="B761" s="38"/>
      <c r="C761" s="38"/>
      <c r="D761" s="39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37"/>
      <c r="B762" s="38"/>
      <c r="C762" s="38"/>
      <c r="D762" s="39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37"/>
      <c r="B763" s="38"/>
      <c r="C763" s="38"/>
      <c r="D763" s="39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37"/>
      <c r="B764" s="38"/>
      <c r="C764" s="38"/>
      <c r="D764" s="39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37"/>
      <c r="B765" s="38"/>
      <c r="C765" s="38"/>
      <c r="D765" s="39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37"/>
      <c r="B766" s="38"/>
      <c r="C766" s="38"/>
      <c r="D766" s="39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37"/>
      <c r="B767" s="38"/>
      <c r="C767" s="38"/>
      <c r="D767" s="39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37"/>
      <c r="B768" s="38"/>
      <c r="C768" s="38"/>
      <c r="D768" s="39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37"/>
      <c r="B769" s="38"/>
      <c r="C769" s="38"/>
      <c r="D769" s="39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37"/>
      <c r="B770" s="38"/>
      <c r="C770" s="38"/>
      <c r="D770" s="39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37"/>
      <c r="B771" s="38"/>
      <c r="C771" s="38"/>
      <c r="D771" s="39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37"/>
      <c r="B772" s="38"/>
      <c r="C772" s="38"/>
      <c r="D772" s="39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37"/>
      <c r="B773" s="38"/>
      <c r="C773" s="38"/>
      <c r="D773" s="39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37"/>
      <c r="B774" s="38"/>
      <c r="C774" s="38"/>
      <c r="D774" s="39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37"/>
      <c r="B775" s="38"/>
      <c r="C775" s="38"/>
      <c r="D775" s="39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37"/>
      <c r="B776" s="38"/>
      <c r="C776" s="38"/>
      <c r="D776" s="39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37"/>
      <c r="B777" s="38"/>
      <c r="C777" s="38"/>
      <c r="D777" s="39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37"/>
      <c r="B778" s="38"/>
      <c r="C778" s="38"/>
      <c r="D778" s="39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37"/>
      <c r="B779" s="38"/>
      <c r="C779" s="38"/>
      <c r="D779" s="39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37"/>
      <c r="B780" s="38"/>
      <c r="C780" s="38"/>
      <c r="D780" s="39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37"/>
      <c r="B781" s="38"/>
      <c r="C781" s="38"/>
      <c r="D781" s="39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37"/>
      <c r="B782" s="38"/>
      <c r="C782" s="38"/>
      <c r="D782" s="39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37"/>
      <c r="B783" s="38"/>
      <c r="C783" s="38"/>
      <c r="D783" s="39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37"/>
      <c r="B784" s="38"/>
      <c r="C784" s="38"/>
      <c r="D784" s="39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37"/>
      <c r="B785" s="38"/>
      <c r="C785" s="38"/>
      <c r="D785" s="39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37"/>
      <c r="B786" s="38"/>
      <c r="C786" s="38"/>
      <c r="D786" s="39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37"/>
      <c r="B787" s="38"/>
      <c r="C787" s="38"/>
      <c r="D787" s="39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37"/>
      <c r="B788" s="38"/>
      <c r="C788" s="38"/>
      <c r="D788" s="39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37"/>
      <c r="B789" s="38"/>
      <c r="C789" s="38"/>
      <c r="D789" s="39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37"/>
      <c r="B790" s="38"/>
      <c r="C790" s="38"/>
      <c r="D790" s="39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37"/>
      <c r="B791" s="38"/>
      <c r="C791" s="38"/>
      <c r="D791" s="39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37"/>
      <c r="B792" s="38"/>
      <c r="C792" s="38"/>
      <c r="D792" s="39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37"/>
      <c r="B793" s="38"/>
      <c r="C793" s="38"/>
      <c r="D793" s="39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37"/>
      <c r="B794" s="38"/>
      <c r="C794" s="38"/>
      <c r="D794" s="39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37"/>
      <c r="B795" s="38"/>
      <c r="C795" s="38"/>
      <c r="D795" s="39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37"/>
      <c r="B796" s="38"/>
      <c r="C796" s="38"/>
      <c r="D796" s="39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37"/>
      <c r="B797" s="38"/>
      <c r="C797" s="38"/>
      <c r="D797" s="39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37"/>
      <c r="B798" s="38"/>
      <c r="C798" s="38"/>
      <c r="D798" s="39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37"/>
      <c r="B799" s="38"/>
      <c r="C799" s="38"/>
      <c r="D799" s="39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37"/>
      <c r="B800" s="38"/>
      <c r="C800" s="38"/>
      <c r="D800" s="39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37"/>
      <c r="B801" s="38"/>
      <c r="C801" s="38"/>
      <c r="D801" s="39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37"/>
      <c r="B802" s="38"/>
      <c r="C802" s="38"/>
      <c r="D802" s="39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37"/>
      <c r="B803" s="38"/>
      <c r="C803" s="38"/>
      <c r="D803" s="39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37"/>
      <c r="B804" s="38"/>
      <c r="C804" s="38"/>
      <c r="D804" s="39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37"/>
      <c r="B805" s="38"/>
      <c r="C805" s="38"/>
      <c r="D805" s="39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37"/>
      <c r="B806" s="38"/>
      <c r="C806" s="38"/>
      <c r="D806" s="39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37"/>
      <c r="B807" s="38"/>
      <c r="C807" s="38"/>
      <c r="D807" s="39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37"/>
      <c r="B808" s="38"/>
      <c r="C808" s="38"/>
      <c r="D808" s="39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37"/>
      <c r="B809" s="38"/>
      <c r="C809" s="38"/>
      <c r="D809" s="39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37"/>
      <c r="B810" s="38"/>
      <c r="C810" s="38"/>
      <c r="D810" s="39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37"/>
      <c r="B811" s="38"/>
      <c r="C811" s="38"/>
      <c r="D811" s="39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37"/>
      <c r="B812" s="38"/>
      <c r="C812" s="38"/>
      <c r="D812" s="39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37"/>
      <c r="B813" s="38"/>
      <c r="C813" s="38"/>
      <c r="D813" s="39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37"/>
      <c r="B814" s="38"/>
      <c r="C814" s="38"/>
      <c r="D814" s="39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37"/>
      <c r="B815" s="38"/>
      <c r="C815" s="38"/>
      <c r="D815" s="39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37"/>
      <c r="B816" s="38"/>
      <c r="C816" s="38"/>
      <c r="D816" s="39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37"/>
      <c r="B817" s="38"/>
      <c r="C817" s="38"/>
      <c r="D817" s="39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37"/>
      <c r="B818" s="38"/>
      <c r="C818" s="38"/>
      <c r="D818" s="39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37"/>
      <c r="B819" s="38"/>
      <c r="C819" s="38"/>
      <c r="D819" s="39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37"/>
      <c r="B820" s="38"/>
      <c r="C820" s="38"/>
      <c r="D820" s="39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37"/>
      <c r="B821" s="38"/>
      <c r="C821" s="38"/>
      <c r="D821" s="39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37"/>
      <c r="B822" s="38"/>
      <c r="C822" s="38"/>
      <c r="D822" s="39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37"/>
      <c r="B823" s="38"/>
      <c r="C823" s="38"/>
      <c r="D823" s="39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37"/>
      <c r="B824" s="38"/>
      <c r="C824" s="38"/>
      <c r="D824" s="39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37"/>
      <c r="B825" s="38"/>
      <c r="C825" s="38"/>
      <c r="D825" s="39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37"/>
      <c r="B826" s="38"/>
      <c r="C826" s="38"/>
      <c r="D826" s="39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37"/>
      <c r="B827" s="38"/>
      <c r="C827" s="38"/>
      <c r="D827" s="39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37"/>
      <c r="B828" s="38"/>
      <c r="C828" s="38"/>
      <c r="D828" s="39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37"/>
      <c r="B829" s="38"/>
      <c r="C829" s="38"/>
      <c r="D829" s="39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37"/>
      <c r="B830" s="38"/>
      <c r="C830" s="38"/>
      <c r="D830" s="39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37"/>
      <c r="B831" s="38"/>
      <c r="C831" s="38"/>
      <c r="D831" s="39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37"/>
      <c r="B832" s="38"/>
      <c r="C832" s="38"/>
      <c r="D832" s="39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37"/>
      <c r="B833" s="38"/>
      <c r="C833" s="38"/>
      <c r="D833" s="39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37"/>
      <c r="B834" s="38"/>
      <c r="C834" s="38"/>
      <c r="D834" s="39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37"/>
      <c r="B835" s="38"/>
      <c r="C835" s="38"/>
      <c r="D835" s="39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37"/>
      <c r="B836" s="38"/>
      <c r="C836" s="38"/>
      <c r="D836" s="39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37"/>
      <c r="B837" s="38"/>
      <c r="C837" s="38"/>
      <c r="D837" s="39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37"/>
      <c r="B838" s="38"/>
      <c r="C838" s="38"/>
      <c r="D838" s="39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37"/>
      <c r="B839" s="38"/>
      <c r="C839" s="38"/>
      <c r="D839" s="39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37"/>
      <c r="B840" s="38"/>
      <c r="C840" s="38"/>
      <c r="D840" s="39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37"/>
      <c r="B841" s="38"/>
      <c r="C841" s="38"/>
      <c r="D841" s="39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37"/>
      <c r="B842" s="38"/>
      <c r="C842" s="38"/>
      <c r="D842" s="39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37"/>
      <c r="B843" s="38"/>
      <c r="C843" s="38"/>
      <c r="D843" s="39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37"/>
      <c r="B844" s="38"/>
      <c r="C844" s="38"/>
      <c r="D844" s="39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37"/>
      <c r="B845" s="38"/>
      <c r="C845" s="38"/>
      <c r="D845" s="39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37"/>
      <c r="B846" s="38"/>
      <c r="C846" s="38"/>
      <c r="D846" s="39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37"/>
      <c r="B847" s="38"/>
      <c r="C847" s="38"/>
      <c r="D847" s="39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37"/>
      <c r="B848" s="38"/>
      <c r="C848" s="38"/>
      <c r="D848" s="39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37"/>
      <c r="B849" s="38"/>
      <c r="C849" s="38"/>
      <c r="D849" s="39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37"/>
      <c r="B850" s="38"/>
      <c r="C850" s="38"/>
      <c r="D850" s="39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37"/>
      <c r="B851" s="38"/>
      <c r="C851" s="38"/>
      <c r="D851" s="39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37"/>
      <c r="B852" s="38"/>
      <c r="C852" s="38"/>
      <c r="D852" s="39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37"/>
      <c r="B853" s="38"/>
      <c r="C853" s="38"/>
      <c r="D853" s="39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37"/>
      <c r="B854" s="38"/>
      <c r="C854" s="38"/>
      <c r="D854" s="39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37"/>
      <c r="B855" s="38"/>
      <c r="C855" s="38"/>
      <c r="D855" s="39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37"/>
      <c r="B856" s="38"/>
      <c r="C856" s="38"/>
      <c r="D856" s="39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37"/>
      <c r="B857" s="38"/>
      <c r="C857" s="38"/>
      <c r="D857" s="39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37"/>
      <c r="B858" s="38"/>
      <c r="C858" s="38"/>
      <c r="D858" s="39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37"/>
      <c r="B859" s="38"/>
      <c r="C859" s="38"/>
      <c r="D859" s="39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37"/>
      <c r="B860" s="38"/>
      <c r="C860" s="38"/>
      <c r="D860" s="39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37"/>
      <c r="B861" s="38"/>
      <c r="C861" s="38"/>
      <c r="D861" s="39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37"/>
      <c r="B862" s="38"/>
      <c r="C862" s="38"/>
      <c r="D862" s="39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37"/>
      <c r="B863" s="38"/>
      <c r="C863" s="38"/>
      <c r="D863" s="39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37"/>
      <c r="B864" s="38"/>
      <c r="C864" s="38"/>
      <c r="D864" s="39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37"/>
      <c r="B865" s="38"/>
      <c r="C865" s="38"/>
      <c r="D865" s="39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37"/>
      <c r="B866" s="38"/>
      <c r="C866" s="38"/>
      <c r="D866" s="39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37"/>
      <c r="B867" s="38"/>
      <c r="C867" s="38"/>
      <c r="D867" s="39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37"/>
      <c r="B868" s="38"/>
      <c r="C868" s="38"/>
      <c r="D868" s="39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37"/>
      <c r="B869" s="38"/>
      <c r="C869" s="38"/>
      <c r="D869" s="39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37"/>
      <c r="B870" s="38"/>
      <c r="C870" s="38"/>
      <c r="D870" s="39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37"/>
      <c r="B871" s="38"/>
      <c r="C871" s="38"/>
      <c r="D871" s="39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37"/>
      <c r="B872" s="38"/>
      <c r="C872" s="38"/>
      <c r="D872" s="39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37"/>
      <c r="B873" s="38"/>
      <c r="C873" s="38"/>
      <c r="D873" s="39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37"/>
      <c r="B874" s="38"/>
      <c r="C874" s="38"/>
      <c r="D874" s="39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37"/>
      <c r="B875" s="38"/>
      <c r="C875" s="38"/>
      <c r="D875" s="39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37"/>
      <c r="B876" s="38"/>
      <c r="C876" s="38"/>
      <c r="D876" s="39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37"/>
      <c r="B877" s="38"/>
      <c r="C877" s="38"/>
      <c r="D877" s="39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37"/>
      <c r="B878" s="38"/>
      <c r="C878" s="38"/>
      <c r="D878" s="39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37"/>
      <c r="B879" s="38"/>
      <c r="C879" s="38"/>
      <c r="D879" s="39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37"/>
      <c r="B880" s="38"/>
      <c r="C880" s="38"/>
      <c r="D880" s="39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37"/>
      <c r="B881" s="38"/>
      <c r="C881" s="38"/>
      <c r="D881" s="39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37"/>
      <c r="B882" s="38"/>
      <c r="C882" s="38"/>
      <c r="D882" s="39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37"/>
      <c r="B883" s="38"/>
      <c r="C883" s="38"/>
      <c r="D883" s="39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37"/>
      <c r="B884" s="38"/>
      <c r="C884" s="38"/>
      <c r="D884" s="39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37"/>
      <c r="B885" s="38"/>
      <c r="C885" s="38"/>
      <c r="D885" s="39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37"/>
      <c r="B886" s="38"/>
      <c r="C886" s="38"/>
      <c r="D886" s="39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37"/>
      <c r="B887" s="38"/>
      <c r="C887" s="38"/>
      <c r="D887" s="39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37"/>
      <c r="B888" s="38"/>
      <c r="C888" s="38"/>
      <c r="D888" s="39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37"/>
      <c r="B889" s="38"/>
      <c r="C889" s="38"/>
      <c r="D889" s="39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37"/>
      <c r="B890" s="38"/>
      <c r="C890" s="38"/>
      <c r="D890" s="39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37"/>
      <c r="B891" s="38"/>
      <c r="C891" s="38"/>
      <c r="D891" s="39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37"/>
      <c r="B892" s="38"/>
      <c r="C892" s="38"/>
      <c r="D892" s="39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37"/>
      <c r="B893" s="38"/>
      <c r="C893" s="38"/>
      <c r="D893" s="39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37"/>
      <c r="B894" s="38"/>
      <c r="C894" s="38"/>
      <c r="D894" s="39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37"/>
      <c r="B895" s="38"/>
      <c r="C895" s="38"/>
      <c r="D895" s="39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37"/>
      <c r="B896" s="38"/>
      <c r="C896" s="38"/>
      <c r="D896" s="39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37"/>
      <c r="B897" s="38"/>
      <c r="C897" s="38"/>
      <c r="D897" s="39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37"/>
      <c r="B898" s="38"/>
      <c r="C898" s="38"/>
      <c r="D898" s="39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37"/>
      <c r="B899" s="38"/>
      <c r="C899" s="38"/>
      <c r="D899" s="39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37"/>
      <c r="B900" s="38"/>
      <c r="C900" s="38"/>
      <c r="D900" s="39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37"/>
      <c r="B901" s="38"/>
      <c r="C901" s="38"/>
      <c r="D901" s="39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37"/>
      <c r="B902" s="38"/>
      <c r="C902" s="38"/>
      <c r="D902" s="39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37"/>
      <c r="B903" s="38"/>
      <c r="C903" s="38"/>
      <c r="D903" s="39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37"/>
      <c r="B904" s="38"/>
      <c r="C904" s="38"/>
      <c r="D904" s="39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37"/>
      <c r="B905" s="38"/>
      <c r="C905" s="38"/>
      <c r="D905" s="39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37"/>
      <c r="B906" s="38"/>
      <c r="C906" s="38"/>
      <c r="D906" s="39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37"/>
      <c r="B907" s="38"/>
      <c r="C907" s="38"/>
      <c r="D907" s="39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37"/>
      <c r="B908" s="38"/>
      <c r="C908" s="38"/>
      <c r="D908" s="39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37"/>
      <c r="B909" s="38"/>
      <c r="C909" s="38"/>
      <c r="D909" s="39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37"/>
      <c r="B910" s="38"/>
      <c r="C910" s="38"/>
      <c r="D910" s="39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37"/>
      <c r="B911" s="38"/>
      <c r="C911" s="38"/>
      <c r="D911" s="39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37"/>
      <c r="B912" s="38"/>
      <c r="C912" s="38"/>
      <c r="D912" s="39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37"/>
      <c r="B913" s="38"/>
      <c r="C913" s="38"/>
      <c r="D913" s="39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37"/>
      <c r="B914" s="38"/>
      <c r="C914" s="38"/>
      <c r="D914" s="39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37"/>
      <c r="B915" s="38"/>
      <c r="C915" s="38"/>
      <c r="D915" s="39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37"/>
      <c r="B916" s="38"/>
      <c r="C916" s="38"/>
      <c r="D916" s="39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37"/>
      <c r="B917" s="38"/>
      <c r="C917" s="38"/>
      <c r="D917" s="39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37"/>
      <c r="B918" s="38"/>
      <c r="C918" s="38"/>
      <c r="D918" s="39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37"/>
      <c r="B919" s="38"/>
      <c r="C919" s="38"/>
      <c r="D919" s="39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37"/>
      <c r="B920" s="38"/>
      <c r="C920" s="38"/>
      <c r="D920" s="39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37"/>
      <c r="B921" s="38"/>
      <c r="C921" s="38"/>
      <c r="D921" s="39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37"/>
      <c r="B922" s="38"/>
      <c r="C922" s="38"/>
      <c r="D922" s="39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37"/>
      <c r="B923" s="38"/>
      <c r="C923" s="38"/>
      <c r="D923" s="39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37"/>
      <c r="B924" s="38"/>
      <c r="C924" s="38"/>
      <c r="D924" s="39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37"/>
      <c r="B925" s="38"/>
      <c r="C925" s="38"/>
      <c r="D925" s="39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37"/>
      <c r="B926" s="38"/>
      <c r="C926" s="38"/>
      <c r="D926" s="39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37"/>
      <c r="B927" s="38"/>
      <c r="C927" s="38"/>
      <c r="D927" s="39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37"/>
      <c r="B928" s="38"/>
      <c r="C928" s="38"/>
      <c r="D928" s="39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37"/>
      <c r="B929" s="38"/>
      <c r="C929" s="38"/>
      <c r="D929" s="39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37"/>
      <c r="B930" s="38"/>
      <c r="C930" s="38"/>
      <c r="D930" s="39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37"/>
      <c r="B931" s="38"/>
      <c r="C931" s="38"/>
      <c r="D931" s="39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37"/>
      <c r="B932" s="38"/>
      <c r="C932" s="38"/>
      <c r="D932" s="39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37"/>
      <c r="B933" s="38"/>
      <c r="C933" s="38"/>
      <c r="D933" s="39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37"/>
      <c r="B934" s="38"/>
      <c r="C934" s="38"/>
      <c r="D934" s="39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37"/>
      <c r="B935" s="38"/>
      <c r="C935" s="38"/>
      <c r="D935" s="39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37"/>
      <c r="B936" s="38"/>
      <c r="C936" s="38"/>
      <c r="D936" s="39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37"/>
      <c r="B937" s="38"/>
      <c r="C937" s="38"/>
      <c r="D937" s="39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37"/>
      <c r="B938" s="38"/>
      <c r="C938" s="38"/>
      <c r="D938" s="39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37"/>
      <c r="B939" s="38"/>
      <c r="C939" s="38"/>
      <c r="D939" s="39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37"/>
      <c r="B940" s="38"/>
      <c r="C940" s="38"/>
      <c r="D940" s="39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37"/>
      <c r="B941" s="38"/>
      <c r="C941" s="38"/>
      <c r="D941" s="39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37"/>
      <c r="B942" s="38"/>
      <c r="C942" s="38"/>
      <c r="D942" s="39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37"/>
      <c r="B943" s="38"/>
      <c r="C943" s="38"/>
      <c r="D943" s="39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37"/>
      <c r="B944" s="38"/>
      <c r="C944" s="38"/>
      <c r="D944" s="39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37"/>
      <c r="B945" s="38"/>
      <c r="C945" s="38"/>
      <c r="D945" s="39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37"/>
      <c r="B946" s="38"/>
      <c r="C946" s="38"/>
      <c r="D946" s="39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37"/>
      <c r="B947" s="38"/>
      <c r="C947" s="38"/>
      <c r="D947" s="39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37"/>
      <c r="B948" s="38"/>
      <c r="C948" s="38"/>
      <c r="D948" s="39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37"/>
      <c r="B949" s="38"/>
      <c r="C949" s="38"/>
      <c r="D949" s="39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37"/>
      <c r="B950" s="38"/>
      <c r="C950" s="38"/>
      <c r="D950" s="39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37"/>
      <c r="B951" s="38"/>
      <c r="C951" s="38"/>
      <c r="D951" s="39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37"/>
      <c r="B952" s="38"/>
      <c r="C952" s="38"/>
      <c r="D952" s="39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37"/>
      <c r="B953" s="38"/>
      <c r="C953" s="38"/>
      <c r="D953" s="39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37"/>
      <c r="B954" s="38"/>
      <c r="C954" s="38"/>
      <c r="D954" s="39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37"/>
      <c r="B955" s="38"/>
      <c r="C955" s="38"/>
      <c r="D955" s="39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37"/>
      <c r="B956" s="38"/>
      <c r="C956" s="38"/>
      <c r="D956" s="39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37"/>
      <c r="B957" s="38"/>
      <c r="C957" s="38"/>
      <c r="D957" s="39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37"/>
      <c r="B958" s="38"/>
      <c r="C958" s="38"/>
      <c r="D958" s="39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37"/>
      <c r="B959" s="38"/>
      <c r="C959" s="38"/>
      <c r="D959" s="39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37"/>
      <c r="B960" s="38"/>
      <c r="C960" s="38"/>
      <c r="D960" s="39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37"/>
      <c r="B961" s="38"/>
      <c r="C961" s="38"/>
      <c r="D961" s="39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37"/>
      <c r="B962" s="38"/>
      <c r="C962" s="38"/>
      <c r="D962" s="39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37"/>
      <c r="B963" s="38"/>
      <c r="C963" s="38"/>
      <c r="D963" s="39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37"/>
      <c r="B964" s="38"/>
      <c r="C964" s="38"/>
      <c r="D964" s="39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37"/>
      <c r="B965" s="38"/>
      <c r="C965" s="38"/>
      <c r="D965" s="39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37"/>
      <c r="B966" s="38"/>
      <c r="C966" s="38"/>
      <c r="D966" s="39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37"/>
      <c r="B967" s="38"/>
      <c r="C967" s="38"/>
      <c r="D967" s="39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37"/>
      <c r="B968" s="38"/>
      <c r="C968" s="38"/>
      <c r="D968" s="39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37"/>
      <c r="B969" s="38"/>
      <c r="C969" s="38"/>
      <c r="D969" s="39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37"/>
      <c r="B970" s="38"/>
      <c r="C970" s="38"/>
      <c r="D970" s="39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37"/>
      <c r="B971" s="38"/>
      <c r="C971" s="38"/>
      <c r="D971" s="39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37"/>
      <c r="B972" s="38"/>
      <c r="C972" s="38"/>
      <c r="D972" s="39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37"/>
      <c r="B973" s="38"/>
      <c r="C973" s="38"/>
      <c r="D973" s="39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37"/>
      <c r="B974" s="38"/>
      <c r="C974" s="38"/>
      <c r="D974" s="39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37"/>
      <c r="B975" s="38"/>
      <c r="C975" s="38"/>
      <c r="D975" s="39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37"/>
      <c r="B976" s="38"/>
      <c r="C976" s="38"/>
      <c r="D976" s="39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37"/>
      <c r="B977" s="38"/>
      <c r="C977" s="38"/>
      <c r="D977" s="39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37"/>
      <c r="B978" s="38"/>
      <c r="C978" s="38"/>
      <c r="D978" s="39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37"/>
      <c r="B979" s="38"/>
      <c r="C979" s="38"/>
      <c r="D979" s="39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37"/>
      <c r="B980" s="38"/>
      <c r="C980" s="38"/>
      <c r="D980" s="39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37"/>
      <c r="B981" s="38"/>
      <c r="C981" s="38"/>
      <c r="D981" s="39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37"/>
      <c r="B982" s="38"/>
      <c r="C982" s="38"/>
      <c r="D982" s="39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37"/>
      <c r="B983" s="38"/>
      <c r="C983" s="38"/>
      <c r="D983" s="39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37"/>
      <c r="B984" s="38"/>
      <c r="C984" s="38"/>
      <c r="D984" s="39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37"/>
      <c r="B985" s="38"/>
      <c r="C985" s="38"/>
      <c r="D985" s="39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37"/>
      <c r="B986" s="38"/>
      <c r="C986" s="38"/>
      <c r="D986" s="39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37"/>
      <c r="B987" s="38"/>
      <c r="C987" s="38"/>
      <c r="D987" s="39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37"/>
      <c r="B988" s="38"/>
      <c r="C988" s="38"/>
      <c r="D988" s="39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37"/>
      <c r="B989" s="38"/>
      <c r="C989" s="38"/>
      <c r="D989" s="39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37"/>
      <c r="B990" s="38"/>
      <c r="C990" s="38"/>
      <c r="D990" s="39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37"/>
      <c r="B991" s="38"/>
      <c r="C991" s="38"/>
      <c r="D991" s="39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37"/>
      <c r="B992" s="38"/>
      <c r="C992" s="38"/>
      <c r="D992" s="39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37"/>
      <c r="B993" s="38"/>
      <c r="C993" s="38"/>
      <c r="D993" s="39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37"/>
      <c r="B994" s="38"/>
      <c r="C994" s="38"/>
      <c r="D994" s="39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118"/>
      <c r="B995" s="119"/>
      <c r="C995" s="120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118"/>
      <c r="B996" s="120"/>
      <c r="C996" s="120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118"/>
      <c r="B997" s="121"/>
      <c r="C997" s="120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118"/>
      <c r="B998" s="121"/>
      <c r="C998" s="120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118"/>
      <c r="B999" s="119"/>
      <c r="C999" s="120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122"/>
      <c r="B1000" s="123"/>
      <c r="C1000" s="120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  <row r="1001">
      <c r="A1001" s="122"/>
      <c r="B1001" s="121"/>
      <c r="C1001" s="120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</row>
    <row r="1002">
      <c r="A1002" s="122"/>
      <c r="B1002" s="121"/>
      <c r="C1002" s="120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</row>
    <row r="1003">
      <c r="A1003" s="122"/>
      <c r="B1003" s="120"/>
      <c r="C1003" s="120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</row>
    <row r="1004">
      <c r="A1004" s="122"/>
      <c r="B1004" s="121"/>
      <c r="C1004" s="120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</row>
    <row r="1005">
      <c r="A1005" s="122"/>
      <c r="B1005" s="121"/>
      <c r="C1005" s="120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</row>
    <row r="1006">
      <c r="A1006" s="122"/>
      <c r="B1006" s="119"/>
      <c r="C1006" s="120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</row>
    <row r="1007">
      <c r="A1007" s="122"/>
      <c r="B1007" s="121"/>
      <c r="C1007" s="120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</row>
    <row r="1008">
      <c r="A1008" s="122"/>
      <c r="B1008" s="121"/>
      <c r="C1008" s="120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</row>
    <row r="1009">
      <c r="A1009" s="122"/>
      <c r="B1009" s="121"/>
      <c r="C1009" s="120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</row>
    <row r="1010">
      <c r="A1010" s="122"/>
      <c r="B1010" s="121"/>
      <c r="C1010" s="120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</row>
    <row r="1011">
      <c r="A1011" s="122"/>
      <c r="B1011" s="121"/>
      <c r="C1011" s="120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</row>
    <row r="1012">
      <c r="A1012" s="122"/>
      <c r="B1012" s="121"/>
      <c r="C1012" s="120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</row>
    <row r="1013">
      <c r="A1013" s="122"/>
      <c r="B1013" s="121"/>
      <c r="C1013" s="120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</row>
    <row r="1014">
      <c r="A1014" s="122"/>
      <c r="B1014" s="121"/>
      <c r="C1014" s="120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</row>
    <row r="1015">
      <c r="A1015" s="122"/>
      <c r="B1015" s="121"/>
      <c r="C1015" s="120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</row>
    <row r="1016">
      <c r="A1016" s="122"/>
      <c r="B1016" s="121"/>
      <c r="C1016" s="120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</row>
    <row r="1017">
      <c r="A1017" s="122"/>
      <c r="B1017" s="119"/>
      <c r="C1017" s="120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</row>
    <row r="1018">
      <c r="A1018" s="122"/>
      <c r="B1018" s="121"/>
      <c r="C1018" s="120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</row>
    <row r="1019">
      <c r="A1019" s="122"/>
      <c r="B1019" s="119"/>
      <c r="C1019" s="120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</row>
    <row r="1020">
      <c r="A1020" s="122"/>
      <c r="B1020" s="121"/>
      <c r="C1020" s="120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</row>
    <row r="1021">
      <c r="A1021" s="122"/>
      <c r="B1021" s="121"/>
      <c r="C1021" s="120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</row>
    <row r="1022">
      <c r="A1022" s="122"/>
      <c r="B1022" s="121"/>
      <c r="C1022" s="120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</row>
    <row r="1023">
      <c r="A1023" s="122"/>
      <c r="B1023" s="121"/>
      <c r="C1023" s="120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</row>
    <row r="1024">
      <c r="A1024" s="122"/>
      <c r="B1024" s="121"/>
      <c r="C1024" s="120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</row>
    <row r="1025">
      <c r="A1025" s="122"/>
      <c r="B1025" s="121"/>
      <c r="C1025" s="120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</row>
    <row r="1026">
      <c r="A1026" s="122"/>
      <c r="B1026" s="120"/>
      <c r="C1026" s="120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</row>
    <row r="1027">
      <c r="A1027" s="122"/>
      <c r="B1027" s="120"/>
      <c r="C1027" s="120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</row>
    <row r="1028">
      <c r="A1028" s="122"/>
      <c r="B1028" s="120"/>
      <c r="C1028" s="120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</row>
    <row r="1029">
      <c r="A1029" s="122"/>
      <c r="B1029" s="120"/>
      <c r="C1029" s="120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</row>
    <row r="1030">
      <c r="A1030" s="122"/>
      <c r="B1030" s="123"/>
      <c r="C1030" s="120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</row>
    <row r="1031">
      <c r="A1031" s="122"/>
      <c r="B1031" s="120"/>
      <c r="C1031" s="120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</row>
    <row r="1032">
      <c r="A1032" s="122"/>
      <c r="B1032" s="120"/>
      <c r="C1032" s="120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</row>
    <row r="1033">
      <c r="A1033" s="122"/>
      <c r="B1033" s="120"/>
      <c r="C1033" s="120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</row>
    <row r="1034">
      <c r="A1034" s="122"/>
      <c r="B1034" s="120"/>
      <c r="C1034" s="120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</row>
    <row r="1035">
      <c r="A1035" s="122"/>
      <c r="B1035" s="121"/>
      <c r="C1035" s="120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</row>
    <row r="1036">
      <c r="A1036" s="122"/>
      <c r="B1036" s="121"/>
      <c r="C1036" s="120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</row>
    <row r="1037">
      <c r="A1037" s="122"/>
      <c r="B1037" s="121"/>
      <c r="C1037" s="120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</row>
    <row r="1038">
      <c r="A1038" s="122"/>
      <c r="B1038" s="119"/>
      <c r="C1038" s="120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</row>
    <row r="1039">
      <c r="A1039" s="122"/>
      <c r="B1039" s="121"/>
      <c r="C1039" s="120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</row>
    <row r="1040">
      <c r="A1040" s="122"/>
      <c r="B1040" s="119"/>
      <c r="C1040" s="120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</row>
    <row r="1041">
      <c r="A1041" s="122"/>
      <c r="B1041" s="119"/>
      <c r="C1041" s="120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</row>
    <row r="1042">
      <c r="A1042" s="122"/>
      <c r="B1042" s="121"/>
      <c r="C1042" s="120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</row>
    <row r="1043">
      <c r="A1043" s="122"/>
      <c r="B1043" s="119"/>
      <c r="C1043" s="120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</row>
    <row r="1044">
      <c r="A1044" s="122"/>
      <c r="B1044" s="121"/>
      <c r="C1044" s="120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</row>
    <row r="1045">
      <c r="A1045" s="122"/>
      <c r="B1045" s="120"/>
      <c r="C1045" s="120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</row>
    <row r="1046">
      <c r="A1046" s="122"/>
      <c r="B1046" s="120"/>
      <c r="C1046" s="120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</row>
    <row r="1047">
      <c r="A1047" s="122"/>
      <c r="B1047" s="120"/>
      <c r="C1047" s="120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</row>
    <row r="1048">
      <c r="A1048" s="122"/>
      <c r="B1048" s="121"/>
      <c r="C1048" s="120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</row>
    <row r="1049">
      <c r="A1049" s="122"/>
      <c r="B1049" s="121"/>
      <c r="C1049" s="120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</row>
    <row r="1050">
      <c r="A1050" s="122"/>
      <c r="B1050" s="121"/>
      <c r="C1050" s="120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</row>
    <row r="1051">
      <c r="A1051" s="122"/>
      <c r="B1051" s="121"/>
      <c r="C1051" s="120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</row>
    <row r="1052">
      <c r="A1052" s="122"/>
      <c r="B1052" s="121"/>
      <c r="C1052" s="120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</row>
    <row r="1053">
      <c r="A1053" s="122"/>
      <c r="B1053" s="121"/>
      <c r="C1053" s="120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</row>
    <row r="1054">
      <c r="A1054" s="122"/>
      <c r="B1054" s="121"/>
      <c r="C1054" s="120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</row>
    <row r="1055">
      <c r="A1055" s="122"/>
      <c r="B1055" s="121"/>
      <c r="C1055" s="120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</row>
    <row r="1056">
      <c r="A1056" s="122"/>
      <c r="B1056" s="121"/>
      <c r="C1056" s="120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</row>
    <row r="1057">
      <c r="A1057" s="122"/>
      <c r="B1057" s="121"/>
      <c r="C1057" s="120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</row>
    <row r="1058">
      <c r="A1058" s="122"/>
      <c r="B1058" s="121"/>
      <c r="C1058" s="120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</row>
    <row r="1059">
      <c r="A1059" s="122"/>
      <c r="B1059" s="121"/>
      <c r="C1059" s="120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</row>
    <row r="1060">
      <c r="A1060" s="122"/>
      <c r="B1060" s="121"/>
      <c r="C1060" s="120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</row>
    <row r="1061">
      <c r="A1061" s="122"/>
      <c r="B1061" s="119"/>
      <c r="C1061" s="120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</row>
    <row r="1062">
      <c r="A1062" s="122"/>
      <c r="B1062" s="119"/>
      <c r="C1062" s="120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</row>
    <row r="1063">
      <c r="A1063" s="122"/>
      <c r="B1063" s="121"/>
      <c r="C1063" s="120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</row>
    <row r="1064">
      <c r="A1064" s="122"/>
      <c r="B1064" s="121"/>
      <c r="C1064" s="120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</row>
    <row r="1065">
      <c r="A1065" s="122"/>
      <c r="B1065" s="119"/>
      <c r="C1065" s="120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</row>
    <row r="1066">
      <c r="A1066" s="122"/>
      <c r="B1066" s="120"/>
      <c r="C1066" s="120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</row>
    <row r="1067">
      <c r="A1067" s="122"/>
      <c r="B1067" s="120"/>
      <c r="C1067" s="120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</row>
    <row r="1068">
      <c r="A1068" s="122"/>
      <c r="B1068" s="120"/>
      <c r="C1068" s="120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</row>
    <row r="1069">
      <c r="A1069" s="122"/>
      <c r="B1069" s="120"/>
      <c r="C1069" s="120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</row>
    <row r="1070">
      <c r="A1070" s="122"/>
      <c r="B1070" s="120"/>
      <c r="C1070" s="120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</row>
    <row r="1071">
      <c r="A1071" s="122"/>
      <c r="B1071" s="120"/>
      <c r="C1071" s="120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</row>
    <row r="1072">
      <c r="A1072" s="122"/>
      <c r="B1072" s="120"/>
      <c r="C1072" s="120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</row>
    <row r="1073">
      <c r="A1073" s="122"/>
      <c r="B1073" s="120"/>
      <c r="C1073" s="120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</row>
    <row r="1074">
      <c r="A1074" s="122"/>
      <c r="B1074" s="119"/>
      <c r="C1074" s="120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</row>
    <row r="1075">
      <c r="A1075" s="122"/>
      <c r="B1075" s="121"/>
      <c r="C1075" s="120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</row>
    <row r="1076">
      <c r="A1076" s="122"/>
      <c r="B1076" s="119"/>
      <c r="C1076" s="120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</row>
    <row r="1077">
      <c r="A1077" s="122"/>
      <c r="B1077" s="119"/>
      <c r="C1077" s="120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</row>
    <row r="1078">
      <c r="A1078" s="122"/>
      <c r="B1078" s="121"/>
      <c r="C1078" s="120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</row>
    <row r="1079">
      <c r="A1079" s="122"/>
      <c r="B1079" s="119"/>
      <c r="C1079" s="120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</row>
    <row r="1080">
      <c r="A1080" s="122"/>
      <c r="B1080" s="119"/>
      <c r="C1080" s="120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</row>
    <row r="1081">
      <c r="A1081" s="122"/>
      <c r="B1081" s="121"/>
      <c r="C1081" s="120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</row>
    <row r="1082">
      <c r="A1082" s="122"/>
      <c r="B1082" s="121"/>
      <c r="C1082" s="120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</row>
    <row r="1083">
      <c r="A1083" s="122"/>
      <c r="B1083" s="121"/>
      <c r="C1083" s="120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</row>
    <row r="1084">
      <c r="A1084" s="122"/>
      <c r="B1084" s="121"/>
      <c r="C1084" s="120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</row>
    <row r="1085">
      <c r="A1085" s="122"/>
      <c r="B1085" s="119"/>
      <c r="C1085" s="120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</row>
    <row r="1086">
      <c r="A1086" s="122"/>
      <c r="B1086" s="121"/>
      <c r="C1086" s="120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</row>
    <row r="1087">
      <c r="A1087" s="122"/>
      <c r="B1087" s="121"/>
      <c r="C1087" s="120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</row>
    <row r="1088">
      <c r="A1088" s="122"/>
      <c r="B1088" s="121"/>
      <c r="C1088" s="120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</row>
    <row r="1089">
      <c r="A1089" s="122"/>
      <c r="B1089" s="121"/>
      <c r="C1089" s="120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</row>
    <row r="1090">
      <c r="A1090" s="122"/>
      <c r="B1090" s="119"/>
      <c r="C1090" s="120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</row>
    <row r="1091">
      <c r="A1091" s="122"/>
      <c r="B1091" s="121"/>
      <c r="C1091" s="120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</row>
    <row r="1092">
      <c r="A1092" s="122"/>
      <c r="B1092" s="119"/>
      <c r="C1092" s="120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</row>
    <row r="1093">
      <c r="A1093" s="122"/>
      <c r="B1093" s="121"/>
      <c r="C1093" s="120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</row>
    <row r="1094">
      <c r="A1094" s="122"/>
      <c r="B1094" s="121"/>
      <c r="C1094" s="120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</row>
    <row r="1095">
      <c r="A1095" s="122"/>
      <c r="B1095" s="121"/>
      <c r="C1095" s="120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</row>
    <row r="1096">
      <c r="A1096" s="122"/>
      <c r="B1096" s="119"/>
      <c r="C1096" s="120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</row>
    <row r="1097">
      <c r="A1097" s="122"/>
      <c r="B1097" s="121"/>
      <c r="C1097" s="120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</row>
    <row r="1098">
      <c r="A1098" s="122"/>
      <c r="B1098" s="121"/>
      <c r="C1098" s="120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</row>
    <row r="1099">
      <c r="A1099" s="122"/>
      <c r="B1099" s="121"/>
      <c r="C1099" s="120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</row>
    <row r="1100">
      <c r="A1100" s="122"/>
      <c r="B1100" s="121"/>
      <c r="C1100" s="120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</row>
    <row r="1101">
      <c r="A1101" s="122"/>
      <c r="B1101" s="121"/>
      <c r="C1101" s="120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</row>
    <row r="1102">
      <c r="A1102" s="122"/>
      <c r="B1102" s="121"/>
      <c r="C1102" s="120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</row>
    <row r="1103">
      <c r="A1103" s="122"/>
      <c r="B1103" s="120"/>
      <c r="C1103" s="120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</row>
    <row r="1104">
      <c r="A1104" s="122"/>
      <c r="B1104" s="120"/>
      <c r="C1104" s="120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</row>
    <row r="1105">
      <c r="A1105" s="122"/>
      <c r="B1105" s="119"/>
      <c r="C1105" s="120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</row>
    <row r="1106">
      <c r="A1106" s="122"/>
      <c r="B1106" s="119"/>
      <c r="C1106" s="120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</row>
    <row r="1107">
      <c r="A1107" s="122"/>
      <c r="B1107" s="121"/>
      <c r="C1107" s="120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</row>
    <row r="1108">
      <c r="A1108" s="122"/>
      <c r="B1108" s="121"/>
      <c r="C1108" s="120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</row>
    <row r="1109">
      <c r="A1109" s="122"/>
      <c r="B1109" s="121"/>
      <c r="C1109" s="120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</row>
    <row r="1110">
      <c r="A1110" s="122"/>
      <c r="B1110" s="119"/>
      <c r="C1110" s="120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</row>
    <row r="1111">
      <c r="A1111" s="122"/>
      <c r="B1111" s="121"/>
      <c r="C1111" s="120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</row>
    <row r="1112">
      <c r="A1112" s="122"/>
      <c r="B1112" s="121"/>
      <c r="C1112" s="120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</row>
    <row r="1113">
      <c r="A1113" s="122"/>
      <c r="B1113" s="121"/>
      <c r="C1113" s="120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</row>
    <row r="1114">
      <c r="A1114" s="122"/>
      <c r="B1114" s="121"/>
      <c r="C1114" s="120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</row>
    <row r="1115">
      <c r="A1115" s="122"/>
      <c r="B1115" s="120"/>
      <c r="C1115" s="120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</row>
    <row r="1116">
      <c r="A1116" s="122"/>
      <c r="B1116" s="120"/>
      <c r="C1116" s="120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</row>
    <row r="1117">
      <c r="A1117" s="122"/>
      <c r="B1117" s="120"/>
      <c r="C1117" s="120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</row>
    <row r="1118">
      <c r="A1118" s="122"/>
      <c r="B1118" s="119"/>
      <c r="C1118" s="120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</row>
    <row r="1119">
      <c r="A1119" s="122"/>
      <c r="B1119" s="119"/>
      <c r="C1119" s="120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</row>
    <row r="1120">
      <c r="A1120" s="122"/>
      <c r="B1120" s="119"/>
      <c r="C1120" s="120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</row>
    <row r="1121">
      <c r="A1121" s="122"/>
      <c r="B1121" s="121"/>
      <c r="C1121" s="120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</row>
    <row r="1122">
      <c r="A1122" s="122"/>
      <c r="B1122" s="121"/>
      <c r="C1122" s="120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</row>
    <row r="1123">
      <c r="A1123" s="122"/>
      <c r="B1123" s="119"/>
      <c r="C1123" s="120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</row>
    <row r="1124">
      <c r="A1124" s="122"/>
      <c r="B1124" s="121"/>
      <c r="C1124" s="120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</row>
    <row r="1125">
      <c r="A1125" s="122"/>
      <c r="B1125" s="121"/>
      <c r="C1125" s="120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</row>
    <row r="1126">
      <c r="A1126" s="122"/>
      <c r="B1126" s="120"/>
      <c r="C1126" s="120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</row>
    <row r="1127">
      <c r="A1127" s="122"/>
      <c r="B1127" s="119"/>
      <c r="C1127" s="120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</row>
    <row r="1128">
      <c r="A1128" s="122"/>
      <c r="B1128" s="119"/>
      <c r="C1128" s="120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</row>
    <row r="1129">
      <c r="A1129" s="122"/>
      <c r="B1129" s="121"/>
      <c r="C1129" s="120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</row>
    <row r="1130">
      <c r="A1130" s="122"/>
      <c r="B1130" s="121"/>
      <c r="C1130" s="120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</row>
    <row r="1131">
      <c r="A1131" s="122"/>
      <c r="B1131" s="120"/>
      <c r="C1131" s="120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</row>
    <row r="1132">
      <c r="A1132" s="122"/>
      <c r="B1132" s="120"/>
      <c r="C1132" s="120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</row>
    <row r="1133">
      <c r="A1133" s="122"/>
      <c r="B1133" s="119"/>
      <c r="C1133" s="120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</row>
    <row r="1134">
      <c r="A1134" s="122"/>
      <c r="B1134" s="121"/>
      <c r="C1134" s="120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</row>
    <row r="1135">
      <c r="A1135" s="122"/>
      <c r="B1135" s="121"/>
      <c r="C1135" s="120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</row>
    <row r="1136">
      <c r="A1136" s="122"/>
      <c r="B1136" s="121"/>
      <c r="C1136" s="120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</row>
    <row r="1137">
      <c r="A1137" s="122"/>
      <c r="B1137" s="120"/>
      <c r="C1137" s="120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</row>
    <row r="1138">
      <c r="A1138" s="122"/>
      <c r="B1138" s="120"/>
      <c r="C1138" s="120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</row>
    <row r="1139">
      <c r="A1139" s="122"/>
      <c r="B1139" s="120"/>
      <c r="C1139" s="120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</row>
    <row r="1140">
      <c r="A1140" s="122"/>
      <c r="B1140" s="120"/>
      <c r="C1140" s="120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</row>
    <row r="1141">
      <c r="A1141" s="122"/>
      <c r="B1141" s="119"/>
      <c r="C1141" s="120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</row>
    <row r="1142">
      <c r="A1142" s="122"/>
      <c r="B1142" s="121"/>
      <c r="C1142" s="120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</row>
    <row r="1143">
      <c r="A1143" s="122"/>
      <c r="B1143" s="119"/>
      <c r="C1143" s="120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</row>
    <row r="1144">
      <c r="A1144" s="122"/>
      <c r="B1144" s="119"/>
      <c r="C1144" s="120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</row>
    <row r="1145">
      <c r="A1145" s="122"/>
      <c r="B1145" s="121"/>
      <c r="C1145" s="120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</row>
    <row r="1146">
      <c r="A1146" s="122"/>
      <c r="B1146" s="119"/>
      <c r="C1146" s="120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</row>
    <row r="1147">
      <c r="A1147" s="122"/>
      <c r="B1147" s="119"/>
      <c r="C1147" s="120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</row>
    <row r="1148">
      <c r="A1148" s="122"/>
      <c r="B1148" s="120"/>
      <c r="C1148" s="120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</row>
    <row r="1149">
      <c r="A1149" s="122"/>
      <c r="B1149" s="121"/>
      <c r="C1149" s="120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</row>
    <row r="1150">
      <c r="A1150" s="122"/>
      <c r="B1150" s="119"/>
      <c r="C1150" s="120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</row>
    <row r="1151">
      <c r="A1151" s="122"/>
      <c r="B1151" s="121"/>
      <c r="C1151" s="120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</row>
    <row r="1152">
      <c r="A1152" s="122"/>
      <c r="B1152" s="119"/>
      <c r="C1152" s="120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</row>
    <row r="1153">
      <c r="A1153" s="122"/>
      <c r="B1153" s="119"/>
      <c r="C1153" s="120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</row>
    <row r="1154">
      <c r="A1154" s="122"/>
      <c r="B1154" s="119"/>
      <c r="C1154" s="120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</row>
    <row r="1155">
      <c r="A1155" s="122"/>
      <c r="B1155" s="119"/>
      <c r="C1155" s="120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</row>
    <row r="1156">
      <c r="A1156" s="122"/>
      <c r="B1156" s="119"/>
      <c r="C1156" s="120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</row>
    <row r="1157">
      <c r="A1157" s="122"/>
      <c r="B1157" s="119"/>
      <c r="C1157" s="120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</row>
    <row r="1158">
      <c r="A1158" s="122"/>
      <c r="B1158" s="119"/>
      <c r="C1158" s="120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</row>
    <row r="1159">
      <c r="A1159" s="122"/>
      <c r="B1159" s="121"/>
      <c r="C1159" s="120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</row>
    <row r="1160">
      <c r="A1160" s="122"/>
      <c r="B1160" s="121"/>
      <c r="C1160" s="120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</row>
    <row r="1161">
      <c r="A1161" s="122"/>
      <c r="B1161" s="121"/>
      <c r="C1161" s="120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</row>
    <row r="1162">
      <c r="A1162" s="122"/>
      <c r="B1162" s="121"/>
      <c r="C1162" s="120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</row>
    <row r="1163">
      <c r="A1163" s="122"/>
      <c r="B1163" s="120"/>
      <c r="C1163" s="120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</row>
    <row r="1164">
      <c r="A1164" s="122"/>
      <c r="B1164" s="120"/>
      <c r="C1164" s="120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</row>
    <row r="1165">
      <c r="A1165" s="122"/>
      <c r="B1165" s="119"/>
      <c r="C1165" s="120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</row>
    <row r="1166">
      <c r="A1166" s="122"/>
      <c r="B1166" s="119"/>
      <c r="C1166" s="120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</row>
    <row r="1167">
      <c r="A1167" s="122"/>
      <c r="B1167" s="119"/>
      <c r="C1167" s="120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</row>
    <row r="1168">
      <c r="A1168" s="122"/>
      <c r="B1168" s="121"/>
      <c r="C1168" s="120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</row>
    <row r="1169">
      <c r="A1169" s="122"/>
      <c r="B1169" s="120"/>
      <c r="C1169" s="120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</row>
    <row r="1170">
      <c r="A1170" s="122"/>
      <c r="B1170" s="120"/>
      <c r="C1170" s="120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</row>
    <row r="1171">
      <c r="A1171" s="122"/>
      <c r="B1171" s="121"/>
      <c r="C1171" s="120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</row>
    <row r="1172">
      <c r="A1172" s="122"/>
      <c r="B1172" s="121"/>
      <c r="C1172" s="120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</row>
    <row r="1173">
      <c r="A1173" s="122"/>
      <c r="B1173" s="121"/>
      <c r="C1173" s="120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</row>
    <row r="1174">
      <c r="A1174" s="122"/>
      <c r="B1174" s="120"/>
      <c r="C1174" s="120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</row>
    <row r="1175">
      <c r="A1175" s="122"/>
      <c r="B1175" s="119"/>
      <c r="C1175" s="120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</row>
    <row r="1176">
      <c r="A1176" s="122"/>
      <c r="B1176" s="119"/>
      <c r="C1176" s="120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</row>
    <row r="1177">
      <c r="A1177" s="122"/>
      <c r="B1177" s="121"/>
      <c r="C1177" s="120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</row>
    <row r="1178">
      <c r="A1178" s="122"/>
      <c r="B1178" s="121"/>
      <c r="C1178" s="120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</row>
    <row r="1179">
      <c r="A1179" s="122"/>
      <c r="B1179" s="121"/>
      <c r="C1179" s="120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</row>
    <row r="1180">
      <c r="A1180" s="122"/>
      <c r="B1180" s="121"/>
      <c r="C1180" s="120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</row>
    <row r="1181">
      <c r="A1181" s="122"/>
      <c r="B1181" s="121"/>
      <c r="C1181" s="120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</row>
    <row r="1182">
      <c r="A1182" s="122"/>
      <c r="B1182" s="119"/>
      <c r="C1182" s="120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</row>
    <row r="1183">
      <c r="A1183" s="122"/>
      <c r="B1183" s="120"/>
      <c r="C1183" s="120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</row>
    <row r="1184">
      <c r="A1184" s="122"/>
      <c r="B1184" s="121"/>
      <c r="C1184" s="120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</row>
    <row r="1185">
      <c r="A1185" s="122"/>
      <c r="B1185" s="121"/>
      <c r="C1185" s="120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</row>
    <row r="1186">
      <c r="A1186" s="122"/>
      <c r="B1186" s="120"/>
      <c r="C1186" s="120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</row>
    <row r="1187">
      <c r="A1187" s="122"/>
      <c r="B1187" s="119"/>
      <c r="C1187" s="120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</row>
    <row r="1188">
      <c r="A1188" s="122"/>
      <c r="B1188" s="120"/>
      <c r="C1188" s="120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</row>
    <row r="1189">
      <c r="A1189" s="122"/>
      <c r="B1189" s="120"/>
      <c r="C1189" s="120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</row>
    <row r="1190">
      <c r="A1190" s="122"/>
      <c r="B1190" s="119"/>
      <c r="C1190" s="120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</row>
    <row r="1191">
      <c r="A1191" s="122"/>
      <c r="B1191" s="121"/>
      <c r="C1191" s="120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</row>
    <row r="1192">
      <c r="A1192" s="122"/>
      <c r="B1192" s="119"/>
      <c r="C1192" s="120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</row>
    <row r="1193">
      <c r="A1193" s="122"/>
      <c r="B1193" s="120"/>
      <c r="C1193" s="120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</row>
    <row r="1194">
      <c r="A1194" s="122"/>
      <c r="B1194" s="120"/>
      <c r="C1194" s="120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</row>
    <row r="1195">
      <c r="A1195" s="122"/>
      <c r="B1195" s="120"/>
      <c r="C1195" s="120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</row>
    <row r="1196">
      <c r="A1196" s="122"/>
      <c r="B1196" s="119"/>
      <c r="C1196" s="120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</row>
    <row r="1197">
      <c r="A1197" s="122"/>
      <c r="B1197" s="121"/>
      <c r="C1197" s="120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</row>
    <row r="1198">
      <c r="A1198" s="122"/>
      <c r="B1198" s="121"/>
      <c r="C1198" s="120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</row>
    <row r="1199">
      <c r="A1199" s="122"/>
      <c r="B1199" s="121"/>
      <c r="C1199" s="120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</row>
    <row r="1200">
      <c r="A1200" s="122"/>
      <c r="B1200" s="121"/>
      <c r="C1200" s="120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</row>
    <row r="1201">
      <c r="A1201" s="122"/>
      <c r="B1201" s="121"/>
      <c r="C1201" s="120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</row>
    <row r="1202">
      <c r="A1202" s="122"/>
      <c r="B1202" s="121"/>
      <c r="C1202" s="120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</row>
    <row r="1203">
      <c r="A1203" s="122"/>
      <c r="B1203" s="121"/>
      <c r="C1203" s="120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</row>
    <row r="1204">
      <c r="A1204" s="122"/>
      <c r="B1204" s="121"/>
      <c r="C1204" s="120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</row>
    <row r="1205">
      <c r="A1205" s="122"/>
      <c r="B1205" s="121"/>
      <c r="C1205" s="120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</row>
    <row r="1206">
      <c r="A1206" s="122"/>
      <c r="B1206" s="120"/>
      <c r="C1206" s="120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</row>
    <row r="1207">
      <c r="A1207" s="122"/>
      <c r="B1207" s="120"/>
      <c r="C1207" s="120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</row>
    <row r="1208">
      <c r="A1208" s="122"/>
      <c r="B1208" s="120"/>
      <c r="C1208" s="120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</row>
    <row r="1209">
      <c r="A1209" s="122"/>
      <c r="B1209" s="120"/>
      <c r="C1209" s="120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</row>
    <row r="1210">
      <c r="A1210" s="122"/>
      <c r="B1210" s="119"/>
      <c r="C1210" s="120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</row>
    <row r="1211">
      <c r="A1211" s="122"/>
      <c r="B1211" s="121"/>
      <c r="C1211" s="120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</row>
    <row r="1212">
      <c r="A1212" s="122"/>
      <c r="B1212" s="121"/>
      <c r="C1212" s="120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</row>
    <row r="1213">
      <c r="A1213" s="122"/>
      <c r="B1213" s="120"/>
      <c r="C1213" s="120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</row>
    <row r="1214">
      <c r="A1214" s="122"/>
      <c r="B1214" s="120"/>
      <c r="C1214" s="120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</row>
    <row r="1215">
      <c r="A1215" s="122"/>
      <c r="B1215" s="119"/>
      <c r="C1215" s="120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</row>
    <row r="1216">
      <c r="A1216" s="122"/>
      <c r="B1216" s="119"/>
      <c r="C1216" s="120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</row>
    <row r="1217">
      <c r="A1217" s="122"/>
      <c r="B1217" s="121"/>
      <c r="C1217" s="120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</row>
    <row r="1218">
      <c r="A1218" s="122"/>
      <c r="B1218" s="121"/>
      <c r="C1218" s="120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</row>
    <row r="1219">
      <c r="A1219" s="122"/>
      <c r="B1219" s="121"/>
      <c r="C1219" s="120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</row>
    <row r="1220">
      <c r="A1220" s="122"/>
      <c r="B1220" s="120"/>
      <c r="C1220" s="120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</row>
    <row r="1221">
      <c r="A1221" s="122"/>
      <c r="B1221" s="119"/>
      <c r="C1221" s="120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</row>
    <row r="1222">
      <c r="A1222" s="122"/>
      <c r="B1222" s="119"/>
      <c r="C1222" s="120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</row>
    <row r="1223">
      <c r="A1223" s="122"/>
      <c r="B1223" s="121"/>
      <c r="C1223" s="120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</row>
    <row r="1224">
      <c r="A1224" s="122"/>
      <c r="B1224" s="121"/>
      <c r="C1224" s="120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</row>
    <row r="1225">
      <c r="A1225" s="122"/>
      <c r="B1225" s="121"/>
      <c r="C1225" s="120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</row>
    <row r="1226">
      <c r="A1226" s="122"/>
      <c r="B1226" s="120"/>
      <c r="C1226" s="120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</row>
    <row r="1227">
      <c r="A1227" s="122"/>
      <c r="B1227" s="121"/>
      <c r="C1227" s="120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</row>
    <row r="1228">
      <c r="A1228" s="122"/>
      <c r="B1228" s="121"/>
      <c r="C1228" s="120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</row>
    <row r="1229">
      <c r="A1229" s="122"/>
      <c r="B1229" s="121"/>
      <c r="C1229" s="120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</row>
    <row r="1230">
      <c r="A1230" s="122"/>
      <c r="B1230" s="121"/>
      <c r="C1230" s="120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</row>
    <row r="1231">
      <c r="A1231" s="122"/>
      <c r="B1231" s="121"/>
      <c r="C1231" s="120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</row>
    <row r="1232">
      <c r="A1232" s="122"/>
      <c r="B1232" s="120"/>
      <c r="C1232" s="120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</row>
    <row r="1233">
      <c r="A1233" s="122"/>
      <c r="B1233" s="120"/>
      <c r="C1233" s="120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</row>
    <row r="1234">
      <c r="A1234" s="122"/>
      <c r="B1234" s="120"/>
      <c r="C1234" s="120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</row>
    <row r="1235">
      <c r="A1235" s="122"/>
      <c r="B1235" s="119"/>
      <c r="C1235" s="120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</row>
    <row r="1236">
      <c r="A1236" s="122"/>
      <c r="B1236" s="119"/>
      <c r="C1236" s="120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</row>
    <row r="1237">
      <c r="A1237" s="122"/>
      <c r="B1237" s="119"/>
      <c r="C1237" s="120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</row>
    <row r="1238">
      <c r="A1238" s="122"/>
      <c r="B1238" s="119"/>
      <c r="C1238" s="120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</row>
    <row r="1239">
      <c r="A1239" s="122"/>
      <c r="B1239" s="120"/>
      <c r="C1239" s="120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</row>
    <row r="1240">
      <c r="A1240" s="122"/>
      <c r="B1240" s="120"/>
      <c r="C1240" s="120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</row>
    <row r="1241">
      <c r="A1241" s="122"/>
      <c r="B1241" s="119"/>
      <c r="C1241" s="120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</row>
    <row r="1242">
      <c r="A1242" s="122"/>
      <c r="B1242" s="121"/>
      <c r="C1242" s="120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</row>
    <row r="1243">
      <c r="A1243" s="122"/>
      <c r="B1243" s="119"/>
      <c r="C1243" s="120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</row>
    <row r="1244">
      <c r="A1244" s="122"/>
      <c r="B1244" s="119"/>
      <c r="C1244" s="120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</row>
    <row r="1245">
      <c r="A1245" s="122"/>
      <c r="B1245" s="119"/>
      <c r="C1245" s="120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</row>
    <row r="1246">
      <c r="A1246" s="122"/>
      <c r="B1246" s="119"/>
      <c r="C1246" s="120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</row>
    <row r="1247">
      <c r="A1247" s="122"/>
      <c r="B1247" s="120"/>
      <c r="C1247" s="120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</row>
    <row r="1248">
      <c r="A1248" s="122"/>
      <c r="B1248" s="120"/>
      <c r="C1248" s="120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</row>
    <row r="1249">
      <c r="A1249" s="122"/>
      <c r="B1249" s="120"/>
      <c r="C1249" s="120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</row>
    <row r="1250">
      <c r="A1250" s="122"/>
      <c r="B1250" s="119"/>
      <c r="C1250" s="120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</row>
    <row r="1251">
      <c r="A1251" s="122"/>
      <c r="B1251" s="119"/>
      <c r="C1251" s="120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</row>
    <row r="1252">
      <c r="A1252" s="122"/>
      <c r="B1252" s="121"/>
      <c r="C1252" s="120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</row>
    <row r="1253">
      <c r="A1253" s="122"/>
      <c r="B1253" s="121"/>
      <c r="C1253" s="120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</row>
    <row r="1254">
      <c r="A1254" s="122"/>
      <c r="B1254" s="119"/>
      <c r="C1254" s="120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</row>
    <row r="1255">
      <c r="A1255" s="122"/>
      <c r="B1255" s="120"/>
      <c r="C1255" s="120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</row>
    <row r="1256">
      <c r="A1256" s="122"/>
      <c r="B1256" s="121"/>
      <c r="C1256" s="120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</row>
    <row r="1257">
      <c r="A1257" s="122"/>
      <c r="B1257" s="121"/>
      <c r="C1257" s="120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</row>
    <row r="1258">
      <c r="A1258" s="122"/>
      <c r="B1258" s="121"/>
      <c r="C1258" s="120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</row>
    <row r="1259">
      <c r="A1259" s="122"/>
      <c r="B1259" s="120"/>
      <c r="C1259" s="120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</row>
    <row r="1260">
      <c r="A1260" s="122"/>
      <c r="B1260" s="120"/>
      <c r="C1260" s="120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</row>
    <row r="1261">
      <c r="A1261" s="122"/>
      <c r="B1261" s="120"/>
      <c r="C1261" s="120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</row>
    <row r="1262">
      <c r="A1262" s="122"/>
      <c r="B1262" s="120"/>
      <c r="C1262" s="120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</row>
    <row r="1263">
      <c r="A1263" s="122"/>
      <c r="B1263" s="119"/>
      <c r="C1263" s="120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</row>
    <row r="1264">
      <c r="A1264" s="122"/>
      <c r="B1264" s="121"/>
      <c r="C1264" s="120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</row>
    <row r="1265">
      <c r="A1265" s="122"/>
      <c r="B1265" s="121"/>
      <c r="C1265" s="120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</row>
    <row r="1266">
      <c r="A1266" s="122"/>
      <c r="B1266" s="119"/>
      <c r="C1266" s="120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</row>
    <row r="1267">
      <c r="A1267" s="122"/>
      <c r="B1267" s="121"/>
      <c r="C1267" s="120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</row>
    <row r="1268">
      <c r="A1268" s="122"/>
      <c r="B1268" s="120"/>
      <c r="C1268" s="120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</row>
    <row r="1269">
      <c r="A1269" s="122"/>
      <c r="B1269" s="120"/>
      <c r="C1269" s="120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</row>
    <row r="1270">
      <c r="A1270" s="122"/>
      <c r="B1270" s="120"/>
      <c r="C1270" s="120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</row>
    <row r="1271">
      <c r="A1271" s="122"/>
      <c r="B1271" s="119"/>
      <c r="C1271" s="120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</row>
    <row r="1272">
      <c r="A1272" s="122"/>
      <c r="B1272" s="121"/>
      <c r="C1272" s="120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</row>
    <row r="1273">
      <c r="A1273" s="122"/>
      <c r="B1273" s="121"/>
      <c r="C1273" s="120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</row>
    <row r="1274">
      <c r="A1274" s="122"/>
      <c r="B1274" s="120"/>
      <c r="C1274" s="120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</row>
    <row r="1275">
      <c r="A1275" s="122"/>
      <c r="B1275" s="120"/>
      <c r="C1275" s="120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</row>
    <row r="1276">
      <c r="A1276" s="122"/>
      <c r="B1276" s="120"/>
      <c r="C1276" s="120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</row>
    <row r="1277">
      <c r="A1277" s="122"/>
      <c r="B1277" s="121"/>
      <c r="C1277" s="120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</row>
    <row r="1278">
      <c r="A1278" s="122"/>
      <c r="B1278" s="121"/>
      <c r="C1278" s="120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</row>
    <row r="1279">
      <c r="A1279" s="122"/>
      <c r="B1279" s="121"/>
      <c r="C1279" s="120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</row>
    <row r="1280">
      <c r="A1280" s="122"/>
      <c r="B1280" s="121"/>
      <c r="C1280" s="120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</row>
    <row r="1281">
      <c r="A1281" s="122"/>
      <c r="B1281" s="120"/>
      <c r="C1281" s="120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</row>
    <row r="1282">
      <c r="A1282" s="122"/>
      <c r="B1282" s="120"/>
      <c r="C1282" s="120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</row>
    <row r="1283">
      <c r="A1283" s="122"/>
      <c r="B1283" s="120"/>
      <c r="C1283" s="120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</row>
    <row r="1284">
      <c r="A1284" s="122"/>
      <c r="B1284" s="121"/>
      <c r="C1284" s="120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</row>
    <row r="1285">
      <c r="A1285" s="122"/>
      <c r="B1285" s="121"/>
      <c r="C1285" s="120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</row>
    <row r="1286">
      <c r="A1286" s="122"/>
      <c r="B1286" s="121"/>
      <c r="C1286" s="120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</row>
    <row r="1287">
      <c r="A1287" s="122"/>
      <c r="B1287" s="121"/>
      <c r="C1287" s="120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</row>
    <row r="1288">
      <c r="A1288" s="122"/>
      <c r="B1288" s="119"/>
      <c r="C1288" s="120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</row>
    <row r="1289">
      <c r="A1289" s="122"/>
      <c r="B1289" s="119"/>
      <c r="C1289" s="120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</row>
    <row r="1290">
      <c r="A1290" s="122"/>
      <c r="B1290" s="119"/>
      <c r="C1290" s="120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</row>
    <row r="1291">
      <c r="A1291" s="122"/>
      <c r="B1291" s="120"/>
      <c r="C1291" s="120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</row>
    <row r="1292">
      <c r="A1292" s="122"/>
      <c r="B1292" s="120"/>
      <c r="C1292" s="120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</row>
    <row r="1293">
      <c r="A1293" s="122"/>
      <c r="B1293" s="121"/>
      <c r="C1293" s="120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</row>
    <row r="1294">
      <c r="A1294" s="122"/>
      <c r="B1294" s="121"/>
      <c r="C1294" s="120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</row>
    <row r="1295">
      <c r="A1295" s="122"/>
      <c r="B1295" s="121"/>
      <c r="C1295" s="120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</row>
    <row r="1296">
      <c r="A1296" s="122"/>
      <c r="B1296" s="121"/>
      <c r="C1296" s="120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</row>
    <row r="1297">
      <c r="A1297" s="122"/>
      <c r="B1297" s="121"/>
      <c r="C1297" s="120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</row>
    <row r="1298">
      <c r="A1298" s="122"/>
      <c r="B1298" s="120"/>
      <c r="C1298" s="120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</row>
    <row r="1299">
      <c r="A1299" s="122"/>
      <c r="B1299" s="120"/>
      <c r="C1299" s="120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</row>
    <row r="1300">
      <c r="A1300" s="122"/>
      <c r="B1300" s="121"/>
      <c r="C1300" s="120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</row>
    <row r="1301">
      <c r="A1301" s="122"/>
      <c r="B1301" s="119"/>
      <c r="C1301" s="120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</row>
    <row r="1302">
      <c r="A1302" s="122"/>
      <c r="B1302" s="121"/>
      <c r="C1302" s="120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</row>
    <row r="1303">
      <c r="A1303" s="122"/>
      <c r="B1303" s="123"/>
      <c r="C1303" s="120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</row>
    <row r="1304">
      <c r="A1304" s="122"/>
      <c r="B1304" s="120"/>
      <c r="C1304" s="120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</row>
    <row r="1305">
      <c r="A1305" s="122"/>
      <c r="B1305" s="120"/>
      <c r="C1305" s="120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</row>
    <row r="1306">
      <c r="A1306" s="122"/>
      <c r="B1306" s="120"/>
      <c r="C1306" s="120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</row>
    <row r="1307">
      <c r="A1307" s="122"/>
      <c r="B1307" s="119"/>
      <c r="C1307" s="120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</row>
    <row r="1308">
      <c r="A1308" s="122"/>
      <c r="B1308" s="121"/>
      <c r="C1308" s="120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</row>
    <row r="1309">
      <c r="A1309" s="122"/>
      <c r="B1309" s="121"/>
      <c r="C1309" s="120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</row>
    <row r="1310">
      <c r="A1310" s="122"/>
      <c r="B1310" s="120"/>
      <c r="C1310" s="120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</row>
    <row r="1311">
      <c r="A1311" s="122"/>
      <c r="B1311" s="119"/>
      <c r="C1311" s="120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</row>
    <row r="1312">
      <c r="A1312" s="122"/>
      <c r="B1312" s="121"/>
      <c r="C1312" s="120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</row>
    <row r="1313">
      <c r="A1313" s="122"/>
      <c r="B1313" s="121"/>
      <c r="C1313" s="120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</row>
    <row r="1314">
      <c r="A1314" s="122"/>
      <c r="B1314" s="121"/>
      <c r="C1314" s="120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</row>
    <row r="1315">
      <c r="A1315" s="122"/>
      <c r="B1315" s="120"/>
      <c r="C1315" s="120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</row>
    <row r="1316">
      <c r="A1316" s="122"/>
      <c r="B1316" s="120"/>
      <c r="C1316" s="120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</row>
    <row r="1317">
      <c r="A1317" s="122"/>
      <c r="B1317" s="121"/>
      <c r="C1317" s="120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</row>
    <row r="1318">
      <c r="A1318" s="122"/>
      <c r="B1318" s="119"/>
      <c r="C1318" s="120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</row>
    <row r="1319">
      <c r="A1319" s="122"/>
      <c r="B1319" s="119"/>
      <c r="C1319" s="120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</row>
    <row r="1320">
      <c r="A1320" s="122"/>
      <c r="B1320" s="121"/>
      <c r="C1320" s="120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</row>
    <row r="1321">
      <c r="A1321" s="122"/>
      <c r="B1321" s="121"/>
      <c r="C1321" s="120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</row>
    <row r="1322">
      <c r="A1322" s="122"/>
      <c r="B1322" s="121"/>
      <c r="C1322" s="120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</row>
    <row r="1323">
      <c r="A1323" s="122"/>
      <c r="B1323" s="121"/>
      <c r="C1323" s="120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</row>
    <row r="1324">
      <c r="A1324" s="122"/>
      <c r="B1324" s="120"/>
      <c r="C1324" s="120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</row>
    <row r="1325">
      <c r="A1325" s="122"/>
      <c r="B1325" s="120"/>
      <c r="C1325" s="120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</row>
    <row r="1326">
      <c r="A1326" s="122"/>
      <c r="B1326" s="120"/>
      <c r="C1326" s="120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</row>
    <row r="1327">
      <c r="A1327" s="122"/>
      <c r="B1327" s="120"/>
      <c r="C1327" s="120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</row>
    <row r="1328">
      <c r="A1328" s="122"/>
      <c r="B1328" s="120"/>
      <c r="C1328" s="120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</row>
    <row r="1329">
      <c r="A1329" s="122"/>
      <c r="B1329" s="120"/>
      <c r="C1329" s="120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</row>
    <row r="1330">
      <c r="A1330" s="122"/>
      <c r="B1330" s="120"/>
      <c r="C1330" s="120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</row>
    <row r="1331">
      <c r="A1331" s="122"/>
      <c r="B1331" s="119"/>
      <c r="C1331" s="120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</row>
    <row r="1332">
      <c r="A1332" s="122"/>
      <c r="B1332" s="121"/>
      <c r="C1332" s="120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</row>
    <row r="1333">
      <c r="A1333" s="122"/>
      <c r="B1333" s="121"/>
      <c r="C1333" s="120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</row>
    <row r="1334">
      <c r="A1334" s="122"/>
      <c r="B1334" s="121"/>
      <c r="C1334" s="120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</row>
    <row r="1335">
      <c r="A1335" s="122"/>
      <c r="B1335" s="121"/>
      <c r="C1335" s="120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</row>
    <row r="1336">
      <c r="A1336" s="122"/>
      <c r="B1336" s="121"/>
      <c r="C1336" s="120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</row>
    <row r="1337">
      <c r="A1337" s="122"/>
      <c r="B1337" s="119"/>
      <c r="C1337" s="120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</row>
    <row r="1338">
      <c r="A1338" s="122"/>
      <c r="B1338" s="119"/>
      <c r="C1338" s="120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</row>
    <row r="1339">
      <c r="A1339" s="122"/>
      <c r="B1339" s="120"/>
      <c r="C1339" s="120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</row>
    <row r="1340">
      <c r="A1340" s="122"/>
      <c r="B1340" s="120"/>
      <c r="C1340" s="120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</row>
    <row r="1341">
      <c r="A1341" s="122"/>
      <c r="B1341" s="120"/>
      <c r="C1341" s="120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</row>
    <row r="1342">
      <c r="A1342" s="122"/>
      <c r="B1342" s="120"/>
      <c r="C1342" s="120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</row>
    <row r="1343">
      <c r="A1343" s="122"/>
      <c r="B1343" s="120"/>
      <c r="C1343" s="120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</row>
    <row r="1344">
      <c r="A1344" s="122"/>
      <c r="B1344" s="119"/>
      <c r="C1344" s="120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</row>
    <row r="1345">
      <c r="A1345" s="122"/>
      <c r="B1345" s="121"/>
      <c r="C1345" s="120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</row>
    <row r="1346">
      <c r="A1346" s="122"/>
      <c r="B1346" s="120"/>
      <c r="C1346" s="120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</row>
    <row r="1347">
      <c r="A1347" s="122"/>
      <c r="B1347" s="121"/>
      <c r="C1347" s="120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</row>
    <row r="1348">
      <c r="A1348" s="122"/>
      <c r="B1348" s="121"/>
      <c r="C1348" s="120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</row>
    <row r="1349">
      <c r="A1349" s="122"/>
      <c r="B1349" s="120"/>
      <c r="C1349" s="120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</row>
    <row r="1350">
      <c r="A1350" s="122"/>
      <c r="B1350" s="120"/>
      <c r="C1350" s="120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</row>
    <row r="1351">
      <c r="A1351" s="122"/>
      <c r="B1351" s="120"/>
      <c r="C1351" s="120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</row>
    <row r="1352">
      <c r="A1352" s="122"/>
      <c r="B1352" s="120"/>
      <c r="C1352" s="120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</row>
    <row r="1353">
      <c r="A1353" s="122"/>
      <c r="B1353" s="119"/>
      <c r="C1353" s="120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</row>
    <row r="1354">
      <c r="A1354" s="122"/>
      <c r="B1354" s="120"/>
      <c r="C1354" s="120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</row>
    <row r="1355">
      <c r="A1355" s="122"/>
      <c r="B1355" s="120"/>
      <c r="C1355" s="120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</row>
    <row r="1356">
      <c r="A1356" s="122"/>
      <c r="B1356" s="120"/>
      <c r="C1356" s="120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</row>
    <row r="1357">
      <c r="A1357" s="122"/>
      <c r="B1357" s="120"/>
      <c r="C1357" s="120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</row>
    <row r="1358">
      <c r="A1358" s="122"/>
      <c r="B1358" s="120"/>
      <c r="C1358" s="120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</row>
    <row r="1359">
      <c r="A1359" s="122"/>
      <c r="B1359" s="119"/>
      <c r="C1359" s="120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</row>
    <row r="1360">
      <c r="A1360" s="122"/>
      <c r="B1360" s="121"/>
      <c r="C1360" s="120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</row>
    <row r="1361">
      <c r="A1361" s="122"/>
      <c r="B1361" s="121"/>
      <c r="C1361" s="120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</row>
    <row r="1362">
      <c r="A1362" s="122"/>
      <c r="B1362" s="120"/>
      <c r="C1362" s="120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</row>
    <row r="1363">
      <c r="A1363" s="122"/>
      <c r="B1363" s="120"/>
      <c r="C1363" s="120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</row>
    <row r="1364">
      <c r="A1364" s="122"/>
      <c r="B1364" s="120"/>
      <c r="C1364" s="120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</row>
    <row r="1365">
      <c r="A1365" s="122"/>
      <c r="B1365" s="120"/>
      <c r="C1365" s="120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</row>
    <row r="1366">
      <c r="A1366" s="122"/>
      <c r="B1366" s="121"/>
      <c r="C1366" s="120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</row>
    <row r="1367">
      <c r="A1367" s="122"/>
      <c r="B1367" s="120"/>
      <c r="C1367" s="120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</row>
    <row r="1368">
      <c r="A1368" s="122"/>
      <c r="B1368" s="121"/>
      <c r="C1368" s="120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</row>
    <row r="1369">
      <c r="A1369" s="122"/>
      <c r="B1369" s="121"/>
      <c r="C1369" s="120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</row>
    <row r="1370">
      <c r="A1370" s="122"/>
      <c r="B1370" s="121"/>
      <c r="C1370" s="120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</row>
    <row r="1371">
      <c r="A1371" s="122"/>
      <c r="B1371" s="121"/>
      <c r="C1371" s="120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</row>
    <row r="1372">
      <c r="A1372" s="122"/>
      <c r="B1372" s="121"/>
      <c r="C1372" s="120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</row>
    <row r="1373">
      <c r="A1373" s="122"/>
      <c r="B1373" s="121"/>
      <c r="C1373" s="120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</row>
    <row r="1374">
      <c r="A1374" s="122"/>
      <c r="B1374" s="121"/>
      <c r="C1374" s="120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</row>
    <row r="1375">
      <c r="A1375" s="122"/>
      <c r="B1375" s="121"/>
      <c r="C1375" s="120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</row>
    <row r="1376">
      <c r="A1376" s="122"/>
      <c r="B1376" s="121"/>
      <c r="C1376" s="120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</row>
    <row r="1377">
      <c r="A1377" s="122"/>
      <c r="B1377" s="120"/>
      <c r="C1377" s="120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</row>
    <row r="1378">
      <c r="A1378" s="122"/>
      <c r="B1378" s="120"/>
      <c r="C1378" s="120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</row>
    <row r="1379">
      <c r="A1379" s="122"/>
      <c r="B1379" s="120"/>
      <c r="C1379" s="120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</row>
    <row r="1380">
      <c r="A1380" s="122"/>
      <c r="B1380" s="120"/>
      <c r="C1380" s="120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</row>
    <row r="1381">
      <c r="A1381" s="122"/>
      <c r="B1381" s="120"/>
      <c r="C1381" s="120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</row>
    <row r="1382">
      <c r="A1382" s="122"/>
      <c r="B1382" s="119"/>
      <c r="C1382" s="120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</row>
    <row r="1383">
      <c r="A1383" s="122"/>
      <c r="B1383" s="119"/>
      <c r="C1383" s="120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</row>
    <row r="1384">
      <c r="A1384" s="122"/>
      <c r="B1384" s="120"/>
      <c r="C1384" s="120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</row>
    <row r="1385">
      <c r="A1385" s="122"/>
      <c r="B1385" s="120"/>
      <c r="C1385" s="120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</row>
    <row r="1386">
      <c r="A1386" s="122"/>
      <c r="B1386" s="120"/>
      <c r="C1386" s="120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</row>
    <row r="1387">
      <c r="A1387" s="122"/>
      <c r="B1387" s="120"/>
      <c r="C1387" s="120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</row>
    <row r="1388">
      <c r="A1388" s="122"/>
      <c r="B1388" s="120"/>
      <c r="C1388" s="120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</row>
    <row r="1389">
      <c r="A1389" s="122"/>
      <c r="B1389" s="120"/>
      <c r="C1389" s="120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</row>
    <row r="1390">
      <c r="A1390" s="122"/>
      <c r="B1390" s="120"/>
      <c r="C1390" s="120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</row>
    <row r="1391">
      <c r="A1391" s="122"/>
      <c r="B1391" s="119"/>
      <c r="C1391" s="120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</row>
    <row r="1392">
      <c r="A1392" s="122"/>
      <c r="B1392" s="121"/>
      <c r="C1392" s="120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</row>
    <row r="1393">
      <c r="A1393" s="122"/>
      <c r="B1393" s="121"/>
      <c r="C1393" s="120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</row>
    <row r="1394">
      <c r="A1394" s="122"/>
      <c r="B1394" s="119"/>
      <c r="C1394" s="120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</row>
    <row r="1395">
      <c r="A1395" s="122"/>
      <c r="B1395" s="120"/>
      <c r="C1395" s="120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</row>
    <row r="1396">
      <c r="A1396" s="122"/>
      <c r="B1396" s="120"/>
      <c r="C1396" s="120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</row>
    <row r="1397">
      <c r="A1397" s="122"/>
      <c r="B1397" s="119"/>
      <c r="C1397" s="120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</row>
    <row r="1398">
      <c r="A1398" s="122"/>
      <c r="B1398" s="119"/>
      <c r="C1398" s="120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</row>
    <row r="1399">
      <c r="A1399" s="122"/>
      <c r="B1399" s="119"/>
      <c r="C1399" s="120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</row>
    <row r="1400">
      <c r="A1400" s="122"/>
      <c r="B1400" s="119"/>
      <c r="C1400" s="120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</row>
    <row r="1401">
      <c r="A1401" s="122"/>
      <c r="B1401" s="120"/>
      <c r="C1401" s="120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</row>
    <row r="1402">
      <c r="A1402" s="122"/>
      <c r="B1402" s="119"/>
      <c r="C1402" s="120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</row>
    <row r="1403">
      <c r="A1403" s="122"/>
      <c r="B1403" s="121"/>
      <c r="C1403" s="120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</row>
    <row r="1404">
      <c r="A1404" s="122"/>
      <c r="B1404" s="119"/>
      <c r="C1404" s="120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</row>
    <row r="1405">
      <c r="A1405" s="122"/>
      <c r="B1405" s="121"/>
      <c r="C1405" s="120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</row>
    <row r="1406">
      <c r="A1406" s="122"/>
      <c r="B1406" s="121"/>
      <c r="C1406" s="120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</row>
    <row r="1407">
      <c r="A1407" s="122"/>
      <c r="B1407" s="121"/>
      <c r="C1407" s="120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</row>
    <row r="1408">
      <c r="A1408" s="122"/>
      <c r="B1408" s="120"/>
      <c r="C1408" s="120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</row>
    <row r="1409">
      <c r="A1409" s="122"/>
      <c r="B1409" s="120"/>
      <c r="C1409" s="120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</row>
    <row r="1410">
      <c r="A1410" s="122"/>
      <c r="B1410" s="120"/>
      <c r="C1410" s="120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</row>
    <row r="1411">
      <c r="A1411" s="122"/>
      <c r="B1411" s="120"/>
      <c r="C1411" s="120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</row>
    <row r="1412">
      <c r="A1412" s="122"/>
      <c r="B1412" s="120"/>
      <c r="C1412" s="120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</row>
    <row r="1413">
      <c r="A1413" s="122"/>
      <c r="B1413" s="120"/>
      <c r="C1413" s="120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</row>
    <row r="1414">
      <c r="A1414" s="122"/>
      <c r="B1414" s="119"/>
      <c r="C1414" s="120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</row>
    <row r="1415">
      <c r="A1415" s="122"/>
      <c r="B1415" s="119"/>
      <c r="C1415" s="120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</row>
    <row r="1416">
      <c r="A1416" s="122"/>
      <c r="B1416" s="121"/>
      <c r="C1416" s="120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</row>
    <row r="1417">
      <c r="A1417" s="122"/>
      <c r="B1417" s="119"/>
      <c r="C1417" s="120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</row>
    <row r="1418">
      <c r="A1418" s="122"/>
      <c r="B1418" s="119"/>
      <c r="C1418" s="120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</row>
    <row r="1419">
      <c r="A1419" s="122"/>
      <c r="B1419" s="119"/>
      <c r="C1419" s="120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</row>
    <row r="1420">
      <c r="A1420" s="122"/>
      <c r="B1420" s="121"/>
      <c r="C1420" s="120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</row>
    <row r="1421">
      <c r="A1421" s="122"/>
      <c r="B1421" s="121"/>
      <c r="C1421" s="120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</row>
    <row r="1422">
      <c r="A1422" s="122"/>
      <c r="B1422" s="121"/>
      <c r="C1422" s="120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</row>
    <row r="1423">
      <c r="A1423" s="122"/>
      <c r="B1423" s="121"/>
      <c r="C1423" s="120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</row>
    <row r="1424">
      <c r="A1424" s="122"/>
      <c r="B1424" s="120"/>
      <c r="C1424" s="120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</row>
    <row r="1425">
      <c r="A1425" s="122"/>
      <c r="B1425" s="120"/>
      <c r="C1425" s="120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</row>
    <row r="1426">
      <c r="A1426" s="122"/>
      <c r="B1426" s="120"/>
      <c r="C1426" s="120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</row>
    <row r="1427">
      <c r="A1427" s="122"/>
      <c r="B1427" s="120"/>
      <c r="C1427" s="120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</row>
    <row r="1428">
      <c r="A1428" s="122"/>
      <c r="B1428" s="120"/>
      <c r="C1428" s="120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</row>
    <row r="1429">
      <c r="A1429" s="122"/>
      <c r="B1429" s="121"/>
      <c r="C1429" s="120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</row>
    <row r="1430">
      <c r="A1430" s="122"/>
      <c r="B1430" s="121"/>
      <c r="C1430" s="120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</row>
    <row r="1431">
      <c r="A1431" s="122"/>
      <c r="B1431" s="119"/>
      <c r="C1431" s="120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</row>
    <row r="1432">
      <c r="A1432" s="122"/>
      <c r="B1432" s="119"/>
      <c r="C1432" s="120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</row>
    <row r="1433">
      <c r="A1433" s="122"/>
      <c r="B1433" s="120"/>
      <c r="C1433" s="120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</row>
    <row r="1434">
      <c r="A1434" s="122"/>
      <c r="B1434" s="120"/>
      <c r="C1434" s="120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</row>
    <row r="1435">
      <c r="A1435" s="122"/>
      <c r="B1435" s="119"/>
      <c r="C1435" s="120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</row>
    <row r="1436">
      <c r="A1436" s="122"/>
      <c r="B1436" s="121"/>
      <c r="C1436" s="120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</row>
    <row r="1437">
      <c r="A1437" s="122"/>
      <c r="B1437" s="119"/>
      <c r="C1437" s="120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</row>
    <row r="1438">
      <c r="A1438" s="122"/>
      <c r="B1438" s="120"/>
      <c r="C1438" s="120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</row>
    <row r="1439">
      <c r="A1439" s="122"/>
      <c r="B1439" s="120"/>
      <c r="C1439" s="120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</row>
    <row r="1440">
      <c r="A1440" s="122"/>
      <c r="B1440" s="121"/>
      <c r="C1440" s="120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</row>
    <row r="1441">
      <c r="A1441" s="122"/>
      <c r="B1441" s="119"/>
      <c r="C1441" s="120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</row>
    <row r="1442">
      <c r="A1442" s="122"/>
      <c r="B1442" s="121"/>
      <c r="C1442" s="120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</row>
    <row r="1443">
      <c r="A1443" s="122"/>
      <c r="B1443" s="120"/>
      <c r="C1443" s="120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</row>
    <row r="1444">
      <c r="A1444" s="122"/>
      <c r="B1444" s="120"/>
      <c r="C1444" s="120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</row>
    <row r="1445">
      <c r="A1445" s="122"/>
      <c r="B1445" s="121"/>
      <c r="C1445" s="120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</row>
    <row r="1446">
      <c r="A1446" s="122"/>
      <c r="B1446" s="121"/>
      <c r="C1446" s="120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</row>
    <row r="1447">
      <c r="A1447" s="122"/>
      <c r="B1447" s="119"/>
      <c r="C1447" s="120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</row>
    <row r="1448">
      <c r="A1448" s="122"/>
      <c r="B1448" s="119"/>
      <c r="C1448" s="120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</row>
    <row r="1449">
      <c r="A1449" s="122"/>
      <c r="B1449" s="121"/>
      <c r="C1449" s="120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</row>
    <row r="1450">
      <c r="A1450" s="122"/>
      <c r="B1450" s="120"/>
      <c r="C1450" s="120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</row>
    <row r="1451">
      <c r="A1451" s="122"/>
      <c r="B1451" s="120"/>
      <c r="C1451" s="120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</row>
    <row r="1452">
      <c r="A1452" s="122"/>
      <c r="B1452" s="120"/>
      <c r="C1452" s="120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</row>
    <row r="1453">
      <c r="A1453" s="122"/>
      <c r="B1453" s="120"/>
      <c r="C1453" s="120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</row>
    <row r="1454">
      <c r="A1454" s="122"/>
      <c r="B1454" s="121"/>
      <c r="C1454" s="120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</row>
    <row r="1455">
      <c r="A1455" s="122"/>
      <c r="B1455" s="119"/>
      <c r="C1455" s="120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</row>
    <row r="1456">
      <c r="A1456" s="122"/>
      <c r="B1456" s="121"/>
      <c r="C1456" s="120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</row>
    <row r="1457">
      <c r="A1457" s="122"/>
      <c r="B1457" s="120"/>
      <c r="C1457" s="120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</row>
    <row r="1458">
      <c r="A1458" s="122"/>
      <c r="B1458" s="120"/>
      <c r="C1458" s="120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</row>
    <row r="1459">
      <c r="A1459" s="122"/>
      <c r="B1459" s="119"/>
      <c r="C1459" s="120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</row>
    <row r="1460">
      <c r="A1460" s="122"/>
      <c r="B1460" s="119"/>
      <c r="C1460" s="120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</row>
    <row r="1461">
      <c r="A1461" s="122"/>
      <c r="B1461" s="119"/>
      <c r="C1461" s="120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</row>
    <row r="1462">
      <c r="A1462" s="122"/>
      <c r="B1462" s="120"/>
      <c r="C1462" s="120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</row>
    <row r="1463">
      <c r="A1463" s="122"/>
      <c r="B1463" s="120"/>
      <c r="C1463" s="120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</row>
    <row r="1464">
      <c r="A1464" s="122"/>
      <c r="B1464" s="120"/>
      <c r="C1464" s="120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</row>
    <row r="1465">
      <c r="A1465" s="122"/>
      <c r="B1465" s="121"/>
      <c r="C1465" s="120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</row>
    <row r="1466">
      <c r="A1466" s="122"/>
      <c r="B1466" s="119"/>
      <c r="C1466" s="120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</row>
    <row r="1467">
      <c r="A1467" s="122"/>
      <c r="B1467" s="121"/>
      <c r="C1467" s="120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</row>
    <row r="1468">
      <c r="A1468" s="122"/>
      <c r="B1468" s="121"/>
      <c r="C1468" s="120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</row>
    <row r="1469">
      <c r="A1469" s="122"/>
      <c r="B1469" s="120"/>
      <c r="C1469" s="120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</row>
    <row r="1470">
      <c r="A1470" s="122"/>
      <c r="B1470" s="120"/>
      <c r="C1470" s="120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</row>
    <row r="1471">
      <c r="A1471" s="122"/>
      <c r="B1471" s="120"/>
      <c r="C1471" s="120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</row>
    <row r="1472">
      <c r="A1472" s="122"/>
      <c r="B1472" s="120"/>
      <c r="C1472" s="120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</row>
    <row r="1473">
      <c r="A1473" s="122"/>
      <c r="B1473" s="120"/>
      <c r="C1473" s="120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</row>
    <row r="1474">
      <c r="A1474" s="122"/>
      <c r="B1474" s="121"/>
      <c r="C1474" s="120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</row>
    <row r="1475">
      <c r="A1475" s="122"/>
      <c r="B1475" s="119"/>
      <c r="C1475" s="120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</row>
    <row r="1476">
      <c r="A1476" s="122"/>
      <c r="B1476" s="121"/>
      <c r="C1476" s="120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</row>
    <row r="1477">
      <c r="A1477" s="122"/>
      <c r="B1477" s="121"/>
      <c r="C1477" s="120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</row>
    <row r="1478">
      <c r="A1478" s="122"/>
      <c r="B1478" s="121"/>
      <c r="C1478" s="120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</row>
    <row r="1479">
      <c r="A1479" s="122"/>
      <c r="B1479" s="121"/>
      <c r="C1479" s="120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</row>
    <row r="1480">
      <c r="A1480" s="122"/>
      <c r="B1480" s="121"/>
      <c r="C1480" s="120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</row>
    <row r="1481">
      <c r="A1481" s="122"/>
      <c r="B1481" s="120"/>
      <c r="C1481" s="120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</row>
    <row r="1482">
      <c r="A1482" s="122"/>
      <c r="B1482" s="120"/>
      <c r="C1482" s="120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</row>
    <row r="1483">
      <c r="A1483" s="122"/>
      <c r="B1483" s="120"/>
      <c r="C1483" s="120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</row>
    <row r="1484">
      <c r="A1484" s="122"/>
      <c r="B1484" s="120"/>
      <c r="C1484" s="120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</row>
    <row r="1485">
      <c r="A1485" s="122"/>
      <c r="B1485" s="120"/>
      <c r="C1485" s="120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</row>
    <row r="1486">
      <c r="A1486" s="122"/>
      <c r="B1486" s="120"/>
      <c r="C1486" s="120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</row>
    <row r="1487">
      <c r="A1487" s="122"/>
      <c r="B1487" s="119"/>
      <c r="C1487" s="120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</row>
    <row r="1488">
      <c r="A1488" s="122"/>
      <c r="B1488" s="204"/>
      <c r="C1488" s="120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</row>
    <row r="1489">
      <c r="A1489" s="122"/>
      <c r="B1489" s="121"/>
      <c r="C1489" s="120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</row>
    <row r="1490">
      <c r="A1490" s="122"/>
      <c r="B1490" s="120"/>
      <c r="C1490" s="120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</row>
    <row r="1491">
      <c r="A1491" s="122"/>
      <c r="B1491" s="120"/>
      <c r="C1491" s="120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</row>
    <row r="1492">
      <c r="A1492" s="122"/>
      <c r="B1492" s="120"/>
      <c r="C1492" s="120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</row>
    <row r="1493">
      <c r="A1493" s="122"/>
      <c r="B1493" s="120"/>
      <c r="C1493" s="120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</row>
    <row r="1494">
      <c r="A1494" s="122"/>
      <c r="B1494" s="119"/>
      <c r="C1494" s="120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</row>
    <row r="1495">
      <c r="A1495" s="122"/>
      <c r="B1495" s="123"/>
      <c r="C1495" s="120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</row>
    <row r="1496">
      <c r="A1496" s="122"/>
      <c r="B1496" s="123"/>
      <c r="C1496" s="120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</row>
    <row r="1497">
      <c r="A1497" s="122"/>
      <c r="B1497" s="123"/>
      <c r="C1497" s="120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</row>
    <row r="1498">
      <c r="A1498" s="122"/>
      <c r="B1498" s="123"/>
      <c r="C1498" s="120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</row>
    <row r="1499">
      <c r="A1499" s="122"/>
      <c r="B1499" s="120"/>
      <c r="C1499" s="120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</row>
    <row r="1500">
      <c r="A1500" s="122"/>
      <c r="B1500" s="120"/>
      <c r="C1500" s="120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</row>
    <row r="1501">
      <c r="A1501" s="122"/>
      <c r="B1501" s="120"/>
      <c r="C1501" s="120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</row>
    <row r="1502">
      <c r="A1502" s="122"/>
      <c r="B1502" s="120"/>
      <c r="C1502" s="120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</row>
    <row r="1503">
      <c r="A1503" s="122"/>
      <c r="B1503" s="120"/>
      <c r="C1503" s="120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</row>
    <row r="1504">
      <c r="A1504" s="122"/>
      <c r="B1504" s="120"/>
      <c r="C1504" s="120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</row>
    <row r="1505">
      <c r="A1505" s="122"/>
      <c r="B1505" s="120"/>
      <c r="C1505" s="120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</row>
    <row r="1506">
      <c r="A1506" s="122"/>
      <c r="B1506" s="120"/>
      <c r="C1506" s="120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</row>
    <row r="1507">
      <c r="A1507" s="122"/>
      <c r="B1507" s="120"/>
      <c r="C1507" s="120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</row>
    <row r="1508">
      <c r="A1508" s="122"/>
      <c r="B1508" s="121"/>
      <c r="C1508" s="120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</row>
    <row r="1509">
      <c r="A1509" s="122"/>
      <c r="B1509" s="120"/>
      <c r="C1509" s="120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</row>
    <row r="1510">
      <c r="A1510" s="122"/>
      <c r="B1510" s="121"/>
      <c r="C1510" s="120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</row>
    <row r="1511">
      <c r="A1511" s="122"/>
      <c r="B1511" s="121"/>
      <c r="C1511" s="120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</row>
    <row r="1512">
      <c r="A1512" s="122"/>
      <c r="B1512" s="120"/>
      <c r="C1512" s="120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</row>
    <row r="1513">
      <c r="A1513" s="122"/>
      <c r="B1513" s="120"/>
      <c r="C1513" s="120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</row>
    <row r="1514">
      <c r="A1514" s="122"/>
      <c r="B1514" s="120"/>
      <c r="C1514" s="120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</row>
    <row r="1515">
      <c r="A1515" s="122"/>
      <c r="B1515" s="119"/>
      <c r="C1515" s="120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</row>
    <row r="1516">
      <c r="A1516" s="122"/>
      <c r="B1516" s="120"/>
      <c r="C1516" s="120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</row>
    <row r="1517">
      <c r="A1517" s="122"/>
      <c r="B1517" s="120"/>
      <c r="C1517" s="120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</row>
    <row r="1518">
      <c r="A1518" s="122"/>
      <c r="B1518" s="120"/>
      <c r="C1518" s="120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</row>
    <row r="1519">
      <c r="A1519" s="122"/>
      <c r="B1519" s="120"/>
      <c r="C1519" s="120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</row>
    <row r="1520">
      <c r="A1520" s="122"/>
      <c r="B1520" s="120"/>
      <c r="C1520" s="120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</row>
    <row r="1521">
      <c r="A1521" s="122"/>
      <c r="B1521" s="120"/>
      <c r="C1521" s="120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</row>
    <row r="1522">
      <c r="A1522" s="122"/>
      <c r="B1522" s="120"/>
      <c r="C1522" s="120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</row>
    <row r="1523">
      <c r="A1523" s="122"/>
      <c r="B1523" s="121"/>
      <c r="C1523" s="120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</row>
    <row r="1524">
      <c r="A1524" s="122"/>
      <c r="B1524" s="121"/>
      <c r="C1524" s="120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</row>
    <row r="1525">
      <c r="A1525" s="122"/>
      <c r="B1525" s="121"/>
      <c r="C1525" s="120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</row>
    <row r="1526">
      <c r="A1526" s="122"/>
      <c r="B1526" s="120"/>
      <c r="C1526" s="120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</row>
    <row r="1527">
      <c r="A1527" s="122"/>
      <c r="B1527" s="120"/>
      <c r="C1527" s="120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</row>
    <row r="1528">
      <c r="A1528" s="122"/>
      <c r="B1528" s="119"/>
      <c r="C1528" s="120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</row>
    <row r="1529">
      <c r="A1529" s="122"/>
      <c r="B1529" s="121"/>
      <c r="C1529" s="120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</row>
    <row r="1530">
      <c r="A1530" s="122"/>
      <c r="B1530" s="121"/>
      <c r="C1530" s="120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</row>
    <row r="1531">
      <c r="A1531" s="122"/>
      <c r="B1531" s="119"/>
      <c r="C1531" s="120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</row>
    <row r="1532">
      <c r="A1532" s="122"/>
      <c r="B1532" s="119"/>
      <c r="C1532" s="120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</row>
    <row r="1533">
      <c r="A1533" s="122"/>
      <c r="B1533" s="121"/>
      <c r="C1533" s="120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</row>
    <row r="1534">
      <c r="A1534" s="122"/>
      <c r="B1534" s="120"/>
      <c r="C1534" s="120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</row>
    <row r="1535">
      <c r="A1535" s="122"/>
      <c r="B1535" s="121"/>
      <c r="C1535" s="120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</row>
    <row r="1536">
      <c r="A1536" s="122"/>
      <c r="B1536" s="121"/>
      <c r="C1536" s="120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</row>
    <row r="1537">
      <c r="A1537" s="122"/>
      <c r="B1537" s="121"/>
      <c r="C1537" s="120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</row>
    <row r="1538">
      <c r="A1538" s="122"/>
      <c r="B1538" s="121"/>
      <c r="C1538" s="120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</row>
    <row r="1539">
      <c r="A1539" s="122"/>
      <c r="B1539" s="121"/>
      <c r="C1539" s="120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</row>
    <row r="1540">
      <c r="A1540" s="122"/>
      <c r="B1540" s="119"/>
      <c r="C1540" s="120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</row>
    <row r="1541">
      <c r="A1541" s="122"/>
      <c r="B1541" s="120"/>
      <c r="C1541" s="120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</row>
    <row r="1542">
      <c r="A1542" s="122"/>
      <c r="B1542" s="121"/>
      <c r="C1542" s="120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</row>
    <row r="1543">
      <c r="A1543" s="122"/>
      <c r="B1543" s="120"/>
      <c r="C1543" s="120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</row>
    <row r="1544">
      <c r="A1544" s="122"/>
      <c r="B1544" s="120"/>
      <c r="C1544" s="120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</row>
    <row r="1545">
      <c r="A1545" s="122"/>
      <c r="B1545" s="120"/>
      <c r="C1545" s="120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</row>
    <row r="1546">
      <c r="A1546" s="122"/>
      <c r="B1546" s="119"/>
      <c r="C1546" s="120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</row>
    <row r="1547">
      <c r="A1547" s="122"/>
      <c r="B1547" s="119"/>
      <c r="C1547" s="120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</row>
    <row r="1548">
      <c r="A1548" s="122"/>
      <c r="B1548" s="121"/>
      <c r="C1548" s="120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</row>
    <row r="1549">
      <c r="A1549" s="122"/>
      <c r="B1549" s="121"/>
      <c r="C1549" s="120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</row>
    <row r="1550">
      <c r="A1550" s="122"/>
      <c r="B1550" s="121"/>
      <c r="C1550" s="120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</row>
    <row r="1551">
      <c r="A1551" s="122"/>
      <c r="B1551" s="121"/>
      <c r="C1551" s="120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</row>
    <row r="1552">
      <c r="A1552" s="122"/>
      <c r="B1552" s="120"/>
      <c r="C1552" s="120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</row>
    <row r="1553">
      <c r="A1553" s="122"/>
      <c r="B1553" s="120"/>
      <c r="C1553" s="120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</row>
    <row r="1554">
      <c r="A1554" s="122"/>
      <c r="B1554" s="120"/>
      <c r="C1554" s="120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</row>
    <row r="1555">
      <c r="A1555" s="122"/>
      <c r="B1555" s="120"/>
      <c r="C1555" s="120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</row>
    <row r="1556">
      <c r="A1556" s="122"/>
      <c r="B1556" s="120"/>
      <c r="C1556" s="120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</row>
    <row r="1557">
      <c r="A1557" s="122"/>
      <c r="B1557" s="120"/>
      <c r="C1557" s="120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</row>
    <row r="1558">
      <c r="A1558" s="122"/>
      <c r="B1558" s="120"/>
      <c r="C1558" s="120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</row>
    <row r="1559">
      <c r="A1559" s="122"/>
      <c r="B1559" s="120"/>
      <c r="C1559" s="120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</row>
    <row r="1560">
      <c r="A1560" s="122"/>
      <c r="B1560" s="121"/>
      <c r="C1560" s="120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</row>
    <row r="1561">
      <c r="A1561" s="122"/>
      <c r="B1561" s="121"/>
      <c r="C1561" s="120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</row>
    <row r="1562">
      <c r="A1562" s="122"/>
      <c r="B1562" s="121"/>
      <c r="C1562" s="120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</row>
    <row r="1563">
      <c r="A1563" s="122"/>
      <c r="B1563" s="121"/>
      <c r="C1563" s="120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</row>
    <row r="1564">
      <c r="A1564" s="122"/>
      <c r="B1564" s="120"/>
      <c r="C1564" s="120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</row>
    <row r="1565">
      <c r="A1565" s="122"/>
      <c r="B1565" s="120"/>
      <c r="C1565" s="120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</row>
    <row r="1566">
      <c r="A1566" s="122"/>
      <c r="B1566" s="120"/>
      <c r="C1566" s="120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</row>
    <row r="1567">
      <c r="A1567" s="122"/>
      <c r="B1567" s="120"/>
      <c r="C1567" s="120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</row>
    <row r="1568">
      <c r="A1568" s="122"/>
      <c r="B1568" s="119"/>
      <c r="C1568" s="120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</row>
    <row r="1569">
      <c r="A1569" s="122"/>
      <c r="B1569" s="119"/>
      <c r="C1569" s="120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</row>
    <row r="1570">
      <c r="A1570" s="122"/>
      <c r="B1570" s="121"/>
      <c r="C1570" s="120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</row>
    <row r="1571">
      <c r="A1571" s="122"/>
      <c r="B1571" s="119"/>
      <c r="C1571" s="120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</row>
    <row r="1572">
      <c r="A1572" s="122"/>
      <c r="B1572" s="119"/>
      <c r="C1572" s="120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</row>
    <row r="1573">
      <c r="A1573" s="122"/>
      <c r="B1573" s="123"/>
      <c r="C1573" s="120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</row>
    <row r="1574">
      <c r="A1574" s="122"/>
      <c r="B1574" s="120"/>
      <c r="C1574" s="120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</row>
    <row r="1575">
      <c r="A1575" s="122"/>
      <c r="B1575" s="120"/>
      <c r="C1575" s="120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</row>
    <row r="1576">
      <c r="A1576" s="122"/>
      <c r="B1576" s="120"/>
      <c r="C1576" s="120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</row>
    <row r="1577">
      <c r="A1577" s="122"/>
      <c r="B1577" s="121"/>
      <c r="C1577" s="120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</row>
    <row r="1578">
      <c r="A1578" s="122"/>
      <c r="B1578" s="121"/>
      <c r="C1578" s="120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</row>
    <row r="1579">
      <c r="A1579" s="122"/>
      <c r="B1579" s="121"/>
      <c r="C1579" s="120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</row>
    <row r="1580">
      <c r="A1580" s="122"/>
      <c r="B1580" s="121"/>
      <c r="C1580" s="120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</row>
    <row r="1581">
      <c r="A1581" s="122"/>
      <c r="B1581" s="120"/>
      <c r="C1581" s="120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</row>
    <row r="1582">
      <c r="A1582" s="122"/>
      <c r="B1582" s="120"/>
      <c r="C1582" s="120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</row>
    <row r="1583">
      <c r="A1583" s="122"/>
      <c r="B1583" s="120"/>
      <c r="C1583" s="120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</row>
    <row r="1584">
      <c r="A1584" s="122"/>
      <c r="B1584" s="120"/>
      <c r="C1584" s="120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</row>
    <row r="1585">
      <c r="A1585" s="122"/>
      <c r="B1585" s="120"/>
      <c r="C1585" s="120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</row>
    <row r="1586">
      <c r="A1586" s="122"/>
      <c r="B1586" s="121"/>
      <c r="C1586" s="120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</row>
    <row r="1587">
      <c r="A1587" s="122"/>
      <c r="B1587" s="120"/>
      <c r="C1587" s="120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</row>
    <row r="1588">
      <c r="A1588" s="122"/>
      <c r="B1588" s="120"/>
      <c r="C1588" s="120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</row>
    <row r="1589">
      <c r="A1589" s="122"/>
      <c r="B1589" s="120"/>
      <c r="C1589" s="120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</row>
    <row r="1590">
      <c r="A1590" s="122"/>
      <c r="B1590" s="120"/>
      <c r="C1590" s="120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</row>
    <row r="1591">
      <c r="A1591" s="122"/>
      <c r="B1591" s="120"/>
      <c r="C1591" s="120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</row>
    <row r="1592">
      <c r="A1592" s="122"/>
      <c r="B1592" s="120"/>
      <c r="C1592" s="120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</row>
    <row r="1593">
      <c r="A1593" s="122"/>
      <c r="B1593" s="120"/>
      <c r="C1593" s="120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</row>
    <row r="1594">
      <c r="A1594" s="122"/>
      <c r="B1594" s="120"/>
      <c r="C1594" s="120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</row>
    <row r="1595">
      <c r="A1595" s="122"/>
      <c r="B1595" s="119"/>
      <c r="C1595" s="120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</row>
    <row r="1596">
      <c r="A1596" s="122"/>
      <c r="B1596" s="120"/>
      <c r="C1596" s="120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</row>
    <row r="1597">
      <c r="A1597" s="122"/>
      <c r="B1597" s="119"/>
      <c r="C1597" s="120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</row>
    <row r="1598">
      <c r="A1598" s="122"/>
      <c r="B1598" s="119"/>
      <c r="C1598" s="120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</row>
    <row r="1599">
      <c r="A1599" s="122"/>
      <c r="B1599" s="120"/>
      <c r="C1599" s="120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</row>
    <row r="1600">
      <c r="A1600" s="122"/>
      <c r="B1600" s="120"/>
      <c r="C1600" s="120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</row>
    <row r="1601">
      <c r="A1601" s="122"/>
      <c r="B1601" s="120"/>
      <c r="C1601" s="120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</row>
    <row r="1602">
      <c r="A1602" s="122"/>
      <c r="B1602" s="121"/>
      <c r="C1602" s="120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</row>
    <row r="1603">
      <c r="A1603" s="122"/>
      <c r="B1603" s="119"/>
      <c r="C1603" s="120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</row>
    <row r="1604">
      <c r="A1604" s="122"/>
      <c r="B1604" s="121"/>
      <c r="C1604" s="120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</row>
    <row r="1605">
      <c r="A1605" s="122"/>
      <c r="B1605" s="121"/>
      <c r="C1605" s="120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</row>
    <row r="1606">
      <c r="A1606" s="122"/>
      <c r="B1606" s="121"/>
      <c r="C1606" s="120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</row>
    <row r="1607">
      <c r="A1607" s="122"/>
      <c r="B1607" s="121"/>
      <c r="C1607" s="120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</row>
    <row r="1608">
      <c r="A1608" s="122"/>
      <c r="B1608" s="121"/>
      <c r="C1608" s="120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</row>
    <row r="1609">
      <c r="A1609" s="122"/>
      <c r="B1609" s="121"/>
      <c r="C1609" s="120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</row>
    <row r="1610">
      <c r="A1610" s="122"/>
      <c r="B1610" s="121"/>
      <c r="C1610" s="120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</row>
    <row r="1611">
      <c r="A1611" s="122"/>
      <c r="B1611" s="121"/>
      <c r="C1611" s="120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</row>
    <row r="1612">
      <c r="A1612" s="122"/>
      <c r="B1612" s="121"/>
      <c r="C1612" s="120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</row>
    <row r="1613">
      <c r="A1613" s="122"/>
      <c r="B1613" s="123"/>
      <c r="C1613" s="120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</row>
    <row r="1614">
      <c r="A1614" s="122"/>
      <c r="B1614" s="123"/>
      <c r="C1614" s="120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</row>
    <row r="1615">
      <c r="A1615" s="122"/>
      <c r="B1615" s="120"/>
      <c r="C1615" s="120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</row>
    <row r="1616">
      <c r="A1616" s="122"/>
      <c r="B1616" s="121"/>
      <c r="C1616" s="120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</row>
    <row r="1617">
      <c r="A1617" s="122"/>
      <c r="B1617" s="121"/>
      <c r="C1617" s="120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</row>
    <row r="1618">
      <c r="A1618" s="122"/>
      <c r="B1618" s="121"/>
      <c r="C1618" s="120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</row>
    <row r="1619">
      <c r="A1619" s="122"/>
      <c r="B1619" s="119"/>
      <c r="C1619" s="120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</row>
    <row r="1620">
      <c r="A1620" s="122"/>
      <c r="B1620" s="120"/>
      <c r="C1620" s="120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</row>
    <row r="1621">
      <c r="A1621" s="122"/>
      <c r="B1621" s="120"/>
      <c r="C1621" s="120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</row>
    <row r="1622">
      <c r="A1622" s="122"/>
      <c r="B1622" s="120"/>
      <c r="C1622" s="120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</row>
    <row r="1623">
      <c r="A1623" s="122"/>
      <c r="B1623" s="120"/>
      <c r="C1623" s="120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</row>
    <row r="1624">
      <c r="A1624" s="122"/>
      <c r="B1624" s="120"/>
      <c r="C1624" s="120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</row>
    <row r="1625">
      <c r="A1625" s="122"/>
      <c r="B1625" s="120"/>
      <c r="C1625" s="120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</row>
    <row r="1626">
      <c r="A1626" s="122"/>
      <c r="B1626" s="121"/>
      <c r="C1626" s="120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</row>
    <row r="1627">
      <c r="A1627" s="122"/>
      <c r="B1627" s="120"/>
      <c r="C1627" s="120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</row>
    <row r="1628">
      <c r="A1628" s="122"/>
      <c r="B1628" s="120"/>
      <c r="C1628" s="120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</row>
    <row r="1629">
      <c r="A1629" s="122"/>
      <c r="B1629" s="120"/>
      <c r="C1629" s="120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</row>
    <row r="1630">
      <c r="A1630" s="122"/>
      <c r="B1630" s="120"/>
      <c r="C1630" s="120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</row>
    <row r="1631">
      <c r="A1631" s="122"/>
      <c r="B1631" s="120"/>
      <c r="C1631" s="120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</row>
    <row r="1632">
      <c r="A1632" s="122"/>
      <c r="B1632" s="121"/>
      <c r="C1632" s="120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</row>
    <row r="1633">
      <c r="A1633" s="122"/>
      <c r="B1633" s="121"/>
      <c r="C1633" s="120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</row>
    <row r="1634">
      <c r="A1634" s="122"/>
      <c r="B1634" s="121"/>
      <c r="C1634" s="120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</row>
    <row r="1635">
      <c r="A1635" s="122"/>
      <c r="B1635" s="121"/>
      <c r="C1635" s="120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</row>
    <row r="1636">
      <c r="A1636" s="122"/>
      <c r="B1636" s="119"/>
      <c r="C1636" s="120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</row>
    <row r="1637">
      <c r="A1637" s="122"/>
      <c r="B1637" s="123"/>
      <c r="C1637" s="120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</row>
    <row r="1638">
      <c r="A1638" s="122"/>
      <c r="B1638" s="120"/>
      <c r="C1638" s="120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</row>
    <row r="1639">
      <c r="A1639" s="122"/>
      <c r="B1639" s="121"/>
      <c r="C1639" s="120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</row>
    <row r="1640">
      <c r="A1640" s="122"/>
      <c r="B1640" s="120"/>
      <c r="C1640" s="120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</row>
    <row r="1641">
      <c r="A1641" s="122"/>
      <c r="B1641" s="121"/>
      <c r="C1641" s="120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</row>
    <row r="1642">
      <c r="A1642" s="122"/>
      <c r="B1642" s="119"/>
      <c r="C1642" s="120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</row>
    <row r="1643">
      <c r="A1643" s="122"/>
      <c r="B1643" s="120"/>
      <c r="C1643" s="120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</row>
    <row r="1644">
      <c r="A1644" s="122"/>
      <c r="B1644" s="120"/>
      <c r="C1644" s="120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</row>
    <row r="1645">
      <c r="A1645" s="122"/>
      <c r="B1645" s="120"/>
      <c r="C1645" s="120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</row>
    <row r="1646">
      <c r="A1646" s="122"/>
      <c r="B1646" s="120"/>
      <c r="C1646" s="120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</row>
    <row r="1647">
      <c r="A1647" s="122"/>
      <c r="B1647" s="120"/>
      <c r="C1647" s="120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</row>
    <row r="1648">
      <c r="A1648" s="122"/>
      <c r="B1648" s="121"/>
      <c r="C1648" s="120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</row>
    <row r="1649">
      <c r="A1649" s="122"/>
      <c r="B1649" s="119"/>
      <c r="C1649" s="120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</row>
    <row r="1650">
      <c r="A1650" s="122"/>
      <c r="B1650" s="119"/>
      <c r="C1650" s="120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</row>
    <row r="1651">
      <c r="A1651" s="122"/>
      <c r="B1651" s="121"/>
      <c r="C1651" s="120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</row>
    <row r="1652">
      <c r="A1652" s="122"/>
      <c r="B1652" s="121"/>
      <c r="C1652" s="120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</row>
    <row r="1653">
      <c r="A1653" s="122"/>
      <c r="B1653" s="121"/>
      <c r="C1653" s="120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</row>
    <row r="1654">
      <c r="A1654" s="122"/>
      <c r="B1654" s="120"/>
      <c r="C1654" s="120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</row>
    <row r="1655">
      <c r="A1655" s="122"/>
      <c r="B1655" s="119"/>
      <c r="C1655" s="120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</row>
    <row r="1656">
      <c r="A1656" s="122"/>
      <c r="B1656" s="121"/>
      <c r="C1656" s="120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</row>
    <row r="1657">
      <c r="A1657" s="122"/>
      <c r="B1657" s="121"/>
      <c r="C1657" s="120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</row>
    <row r="1658">
      <c r="A1658" s="122"/>
      <c r="B1658" s="121"/>
      <c r="C1658" s="120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</row>
    <row r="1659">
      <c r="A1659" s="122"/>
      <c r="B1659" s="121"/>
      <c r="C1659" s="120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</row>
    <row r="1660">
      <c r="A1660" s="122"/>
      <c r="B1660" s="121"/>
      <c r="C1660" s="120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</row>
    <row r="1661">
      <c r="A1661" s="122"/>
      <c r="B1661" s="123"/>
      <c r="C1661" s="120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</row>
    <row r="1662">
      <c r="A1662" s="122"/>
      <c r="B1662" s="120"/>
      <c r="C1662" s="120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</row>
    <row r="1663">
      <c r="A1663" s="122"/>
      <c r="B1663" s="120"/>
      <c r="C1663" s="120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</row>
    <row r="1664">
      <c r="A1664" s="122"/>
      <c r="B1664" s="120"/>
      <c r="C1664" s="120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</row>
    <row r="1665">
      <c r="A1665" s="122"/>
      <c r="B1665" s="120"/>
      <c r="C1665" s="120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</row>
    <row r="1666">
      <c r="A1666" s="122"/>
      <c r="B1666" s="120"/>
      <c r="C1666" s="120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</row>
    <row r="1667">
      <c r="A1667" s="122"/>
      <c r="B1667" s="120"/>
      <c r="C1667" s="120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</row>
    <row r="1668">
      <c r="A1668" s="122"/>
      <c r="B1668" s="120"/>
      <c r="C1668" s="120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</row>
    <row r="1669">
      <c r="A1669" s="122"/>
      <c r="B1669" s="120"/>
      <c r="C1669" s="120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</row>
    <row r="1670">
      <c r="A1670" s="122"/>
      <c r="B1670" s="120"/>
      <c r="C1670" s="120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</row>
    <row r="1671">
      <c r="A1671" s="122"/>
      <c r="B1671" s="121"/>
      <c r="C1671" s="120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</row>
    <row r="1672">
      <c r="A1672" s="122"/>
      <c r="B1672" s="121"/>
      <c r="C1672" s="120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</row>
    <row r="1673">
      <c r="A1673" s="122"/>
      <c r="B1673" s="121"/>
      <c r="C1673" s="120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</row>
    <row r="1674">
      <c r="A1674" s="122"/>
      <c r="B1674" s="120"/>
      <c r="C1674" s="120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</row>
    <row r="1675">
      <c r="A1675" s="122"/>
      <c r="B1675" s="120"/>
      <c r="C1675" s="120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</row>
    <row r="1676">
      <c r="A1676" s="122"/>
      <c r="B1676" s="120"/>
      <c r="C1676" s="120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</row>
    <row r="1677">
      <c r="A1677" s="122"/>
      <c r="B1677" s="121"/>
      <c r="C1677" s="120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</row>
    <row r="1678">
      <c r="A1678" s="122"/>
      <c r="B1678" s="119"/>
      <c r="C1678" s="120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</row>
    <row r="1679">
      <c r="A1679" s="122"/>
      <c r="B1679" s="123"/>
      <c r="C1679" s="120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</row>
    <row r="1680">
      <c r="A1680" s="122"/>
      <c r="B1680" s="123"/>
      <c r="C1680" s="120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</row>
    <row r="1681">
      <c r="A1681" s="122"/>
      <c r="B1681" s="123"/>
      <c r="C1681" s="120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</row>
    <row r="1682">
      <c r="A1682" s="122"/>
      <c r="B1682" s="123"/>
      <c r="C1682" s="120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</row>
    <row r="1683">
      <c r="A1683" s="122"/>
      <c r="B1683" s="123"/>
      <c r="C1683" s="120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</row>
    <row r="1684">
      <c r="A1684" s="122"/>
      <c r="B1684" s="120"/>
      <c r="C1684" s="120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</row>
    <row r="1685">
      <c r="A1685" s="122"/>
      <c r="B1685" s="120"/>
      <c r="C1685" s="120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</row>
    <row r="1686">
      <c r="A1686" s="122"/>
      <c r="B1686" s="120"/>
      <c r="C1686" s="120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</row>
    <row r="1687">
      <c r="A1687" s="122"/>
      <c r="B1687" s="120"/>
      <c r="C1687" s="120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</row>
    <row r="1688">
      <c r="A1688" s="122"/>
      <c r="B1688" s="120"/>
      <c r="C1688" s="120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</row>
    <row r="1689">
      <c r="A1689" s="122"/>
      <c r="B1689" s="119"/>
      <c r="C1689" s="120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</row>
    <row r="1690">
      <c r="A1690" s="122"/>
      <c r="B1690" s="121"/>
      <c r="C1690" s="120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</row>
    <row r="1691">
      <c r="A1691" s="122"/>
      <c r="B1691" s="121"/>
      <c r="C1691" s="120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</row>
    <row r="1692">
      <c r="A1692" s="122"/>
      <c r="B1692" s="120"/>
      <c r="C1692" s="120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</row>
    <row r="1693">
      <c r="A1693" s="122"/>
      <c r="B1693" s="121"/>
      <c r="C1693" s="120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</row>
    <row r="1694">
      <c r="A1694" s="122"/>
      <c r="B1694" s="121"/>
      <c r="C1694" s="120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</row>
    <row r="1695">
      <c r="A1695" s="122"/>
      <c r="B1695" s="121"/>
      <c r="C1695" s="120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</row>
    <row r="1696">
      <c r="A1696" s="122"/>
      <c r="B1696" s="120"/>
      <c r="C1696" s="120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</row>
    <row r="1697">
      <c r="A1697" s="122"/>
      <c r="B1697" s="120"/>
      <c r="C1697" s="120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</row>
    <row r="1698">
      <c r="A1698" s="122"/>
      <c r="B1698" s="120"/>
      <c r="C1698" s="120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</row>
    <row r="1699">
      <c r="A1699" s="122"/>
      <c r="B1699" s="119"/>
      <c r="C1699" s="120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</row>
    <row r="1700">
      <c r="A1700" s="122"/>
      <c r="B1700" s="119"/>
      <c r="C1700" s="120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</row>
    <row r="1701">
      <c r="A1701" s="122"/>
      <c r="B1701" s="119"/>
      <c r="C1701" s="120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</row>
    <row r="1702">
      <c r="A1702" s="122"/>
      <c r="B1702" s="119"/>
      <c r="C1702" s="120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</row>
    <row r="1703">
      <c r="A1703" s="122"/>
      <c r="B1703" s="121"/>
      <c r="C1703" s="120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</row>
    <row r="1704">
      <c r="A1704" s="122"/>
      <c r="B1704" s="121"/>
      <c r="C1704" s="120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</row>
    <row r="1705">
      <c r="A1705" s="122"/>
      <c r="B1705" s="120"/>
      <c r="C1705" s="120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</row>
    <row r="1706">
      <c r="A1706" s="122"/>
      <c r="B1706" s="120"/>
      <c r="C1706" s="120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</row>
    <row r="1707">
      <c r="A1707" s="122"/>
      <c r="B1707" s="121"/>
      <c r="C1707" s="120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</row>
    <row r="1708">
      <c r="A1708" s="122"/>
      <c r="B1708" s="121"/>
      <c r="C1708" s="120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</row>
    <row r="1709">
      <c r="A1709" s="122"/>
      <c r="B1709" s="121"/>
      <c r="C1709" s="120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</row>
    <row r="1710">
      <c r="A1710" s="122"/>
      <c r="B1710" s="121"/>
      <c r="C1710" s="120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</row>
    <row r="1711">
      <c r="A1711" s="122"/>
      <c r="B1711" s="121"/>
      <c r="C1711" s="120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</row>
    <row r="1712">
      <c r="A1712" s="122"/>
      <c r="B1712" s="121"/>
      <c r="C1712" s="120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</row>
    <row r="1713">
      <c r="A1713" s="122"/>
      <c r="B1713" s="121"/>
      <c r="C1713" s="120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</row>
    <row r="1714">
      <c r="A1714" s="122"/>
      <c r="B1714" s="120"/>
      <c r="C1714" s="120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</row>
    <row r="1715">
      <c r="A1715" s="122"/>
      <c r="B1715" s="121"/>
      <c r="C1715" s="120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</row>
    <row r="1716">
      <c r="A1716" s="122"/>
      <c r="B1716" s="119"/>
      <c r="C1716" s="120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</row>
    <row r="1717">
      <c r="A1717" s="122"/>
      <c r="B1717" s="121"/>
      <c r="C1717" s="120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</row>
    <row r="1718">
      <c r="A1718" s="122"/>
      <c r="B1718" s="121"/>
      <c r="C1718" s="120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</row>
    <row r="1719">
      <c r="A1719" s="122"/>
      <c r="B1719" s="119"/>
      <c r="C1719" s="120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</row>
    <row r="1720">
      <c r="A1720" s="122"/>
      <c r="B1720" s="121"/>
      <c r="C1720" s="120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</row>
    <row r="1721">
      <c r="A1721" s="122"/>
      <c r="B1721" s="121"/>
      <c r="C1721" s="120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</row>
    <row r="1722">
      <c r="A1722" s="122"/>
      <c r="B1722" s="120"/>
      <c r="C1722" s="120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</row>
    <row r="1723">
      <c r="A1723" s="122"/>
      <c r="B1723" s="120"/>
      <c r="C1723" s="120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</row>
    <row r="1724">
      <c r="A1724" s="122"/>
      <c r="B1724" s="120"/>
      <c r="C1724" s="120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</row>
    <row r="1725">
      <c r="A1725" s="122"/>
      <c r="B1725" s="120"/>
      <c r="C1725" s="120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</row>
    <row r="1726">
      <c r="A1726" s="122"/>
      <c r="B1726" s="120"/>
      <c r="C1726" s="120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</row>
    <row r="1727">
      <c r="A1727" s="122"/>
      <c r="B1727" s="120"/>
      <c r="C1727" s="120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</row>
    <row r="1728">
      <c r="A1728" s="122"/>
      <c r="B1728" s="120"/>
      <c r="C1728" s="120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</row>
    <row r="1729">
      <c r="A1729" s="122"/>
      <c r="B1729" s="120"/>
      <c r="C1729" s="120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</row>
    <row r="1730">
      <c r="A1730" s="122"/>
      <c r="B1730" s="121"/>
      <c r="C1730" s="120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</row>
    <row r="1731">
      <c r="A1731" s="122"/>
      <c r="B1731" s="121"/>
      <c r="C1731" s="120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</row>
    <row r="1732">
      <c r="A1732" s="122"/>
      <c r="B1732" s="120"/>
      <c r="C1732" s="120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</row>
    <row r="1733">
      <c r="A1733" s="122"/>
      <c r="B1733" s="121"/>
      <c r="C1733" s="120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</row>
    <row r="1734">
      <c r="A1734" s="122"/>
      <c r="B1734" s="119"/>
      <c r="C1734" s="120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</row>
    <row r="1735">
      <c r="A1735" s="122"/>
      <c r="B1735" s="121"/>
      <c r="C1735" s="120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</row>
    <row r="1736">
      <c r="A1736" s="122"/>
      <c r="B1736" s="121"/>
      <c r="C1736" s="120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</row>
    <row r="1737">
      <c r="A1737" s="122"/>
      <c r="B1737" s="121"/>
      <c r="C1737" s="120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</row>
    <row r="1738">
      <c r="A1738" s="122"/>
      <c r="B1738" s="121"/>
      <c r="C1738" s="120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</row>
    <row r="1739">
      <c r="A1739" s="122"/>
      <c r="B1739" s="119"/>
      <c r="C1739" s="120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</row>
    <row r="1740">
      <c r="A1740" s="122"/>
      <c r="B1740" s="119"/>
      <c r="C1740" s="120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</row>
    <row r="1741">
      <c r="A1741" s="122"/>
      <c r="B1741" s="121"/>
      <c r="C1741" s="120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</row>
    <row r="1742">
      <c r="A1742" s="122"/>
      <c r="B1742" s="121"/>
      <c r="C1742" s="120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</row>
    <row r="1743">
      <c r="A1743" s="122"/>
      <c r="B1743" s="119"/>
      <c r="C1743" s="120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</row>
    <row r="1744">
      <c r="A1744" s="122"/>
      <c r="B1744" s="121"/>
      <c r="C1744" s="120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</row>
    <row r="1745">
      <c r="A1745" s="122"/>
      <c r="B1745" s="120"/>
      <c r="C1745" s="120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</row>
    <row r="1746">
      <c r="A1746" s="122"/>
      <c r="B1746" s="120"/>
      <c r="C1746" s="120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</row>
    <row r="1747">
      <c r="A1747" s="122"/>
      <c r="B1747" s="120"/>
      <c r="C1747" s="120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</row>
    <row r="1748">
      <c r="A1748" s="122"/>
      <c r="B1748" s="120"/>
      <c r="C1748" s="120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</row>
    <row r="1749">
      <c r="A1749" s="122"/>
      <c r="B1749" s="120"/>
      <c r="C1749" s="120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</row>
    <row r="1750">
      <c r="A1750" s="122"/>
      <c r="B1750" s="120"/>
      <c r="C1750" s="120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</row>
    <row r="1751">
      <c r="A1751" s="122"/>
      <c r="B1751" s="119"/>
      <c r="C1751" s="120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</row>
    <row r="1752">
      <c r="A1752" s="122"/>
      <c r="B1752" s="121"/>
      <c r="C1752" s="120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</row>
    <row r="1753">
      <c r="A1753" s="122"/>
      <c r="B1753" s="120"/>
      <c r="C1753" s="120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</row>
    <row r="1754">
      <c r="A1754" s="122"/>
      <c r="B1754" s="121"/>
      <c r="C1754" s="120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</row>
    <row r="1755">
      <c r="A1755" s="122"/>
      <c r="B1755" s="121"/>
      <c r="C1755" s="120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</row>
    <row r="1756">
      <c r="A1756" s="122"/>
      <c r="B1756" s="119"/>
      <c r="C1756" s="120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</row>
    <row r="1757">
      <c r="A1757" s="122"/>
      <c r="B1757" s="121"/>
      <c r="C1757" s="120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</row>
    <row r="1758">
      <c r="A1758" s="122"/>
      <c r="B1758" s="120"/>
      <c r="C1758" s="120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</row>
    <row r="1759">
      <c r="A1759" s="122"/>
      <c r="B1759" s="120"/>
      <c r="C1759" s="120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</row>
    <row r="1760">
      <c r="A1760" s="122"/>
      <c r="B1760" s="119"/>
      <c r="C1760" s="120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</row>
    <row r="1761">
      <c r="A1761" s="122"/>
      <c r="B1761" s="120"/>
      <c r="C1761" s="120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</row>
    <row r="1762">
      <c r="A1762" s="122"/>
      <c r="B1762" s="120"/>
      <c r="C1762" s="120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</row>
    <row r="1763">
      <c r="A1763" s="122"/>
      <c r="B1763" s="120"/>
      <c r="C1763" s="120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</row>
    <row r="1764">
      <c r="A1764" s="122"/>
      <c r="B1764" s="120"/>
      <c r="C1764" s="120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</row>
    <row r="1765">
      <c r="A1765" s="122"/>
      <c r="B1765" s="121"/>
      <c r="C1765" s="120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</row>
    <row r="1766">
      <c r="A1766" s="122"/>
      <c r="B1766" s="121"/>
      <c r="C1766" s="120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</row>
    <row r="1767">
      <c r="A1767" s="122"/>
      <c r="B1767" s="121"/>
      <c r="C1767" s="120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</row>
    <row r="1768">
      <c r="A1768" s="122"/>
      <c r="B1768" s="121"/>
      <c r="C1768" s="120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</row>
    <row r="1769">
      <c r="A1769" s="122"/>
      <c r="B1769" s="121"/>
      <c r="C1769" s="120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</row>
    <row r="1770">
      <c r="A1770" s="122"/>
      <c r="B1770" s="121"/>
      <c r="C1770" s="120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</row>
    <row r="1771">
      <c r="A1771" s="122"/>
      <c r="B1771" s="119"/>
      <c r="C1771" s="120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</row>
    <row r="1772">
      <c r="A1772" s="122"/>
      <c r="B1772" s="120"/>
      <c r="C1772" s="120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</row>
    <row r="1773">
      <c r="A1773" s="122"/>
      <c r="B1773" s="120"/>
      <c r="C1773" s="120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</row>
    <row r="1774">
      <c r="A1774" s="122"/>
      <c r="B1774" s="120"/>
      <c r="C1774" s="120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</row>
    <row r="1775">
      <c r="A1775" s="122"/>
      <c r="B1775" s="120"/>
      <c r="C1775" s="120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</row>
    <row r="1776">
      <c r="A1776" s="122"/>
      <c r="B1776" s="120"/>
      <c r="C1776" s="120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</row>
    <row r="1777">
      <c r="A1777" s="122"/>
      <c r="B1777" s="120"/>
      <c r="C1777" s="120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</row>
    <row r="1778">
      <c r="A1778" s="122"/>
      <c r="B1778" s="120"/>
      <c r="C1778" s="120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</row>
    <row r="1779">
      <c r="A1779" s="122"/>
      <c r="B1779" s="120"/>
      <c r="C1779" s="120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</row>
    <row r="1780">
      <c r="A1780" s="122"/>
      <c r="B1780" s="121"/>
      <c r="C1780" s="120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</row>
    <row r="1781">
      <c r="A1781" s="122"/>
      <c r="B1781" s="121"/>
      <c r="C1781" s="120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</row>
    <row r="1782">
      <c r="A1782" s="122"/>
      <c r="B1782" s="120"/>
      <c r="C1782" s="120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</row>
    <row r="1783">
      <c r="A1783" s="122"/>
      <c r="B1783" s="120"/>
      <c r="C1783" s="120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</row>
    <row r="1784">
      <c r="A1784" s="122"/>
      <c r="B1784" s="120"/>
      <c r="C1784" s="120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</row>
    <row r="1785">
      <c r="A1785" s="122"/>
      <c r="B1785" s="120"/>
      <c r="C1785" s="120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</row>
    <row r="1786">
      <c r="A1786" s="122"/>
      <c r="B1786" s="120"/>
      <c r="C1786" s="120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</row>
    <row r="1787">
      <c r="A1787" s="122"/>
      <c r="B1787" s="121"/>
      <c r="C1787" s="120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</row>
    <row r="1788">
      <c r="A1788" s="122"/>
      <c r="B1788" s="121"/>
      <c r="C1788" s="120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</row>
    <row r="1789">
      <c r="A1789" s="122"/>
      <c r="B1789" s="121"/>
      <c r="C1789" s="120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</row>
    <row r="1790">
      <c r="A1790" s="122"/>
      <c r="B1790" s="121"/>
      <c r="C1790" s="120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</row>
    <row r="1791">
      <c r="A1791" s="122"/>
      <c r="B1791" s="119"/>
      <c r="C1791" s="120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</row>
    <row r="1792">
      <c r="A1792" s="122"/>
      <c r="B1792" s="119"/>
      <c r="C1792" s="120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</row>
    <row r="1793">
      <c r="A1793" s="122"/>
      <c r="B1793" s="119"/>
      <c r="C1793" s="120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</row>
    <row r="1794">
      <c r="A1794" s="122"/>
      <c r="B1794" s="120"/>
      <c r="C1794" s="120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</row>
    <row r="1795">
      <c r="A1795" s="122"/>
      <c r="B1795" s="121"/>
      <c r="C1795" s="120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</row>
    <row r="1796">
      <c r="A1796" s="122"/>
      <c r="B1796" s="121"/>
      <c r="C1796" s="120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</row>
    <row r="1797">
      <c r="A1797" s="122"/>
      <c r="B1797" s="121"/>
      <c r="C1797" s="120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</row>
    <row r="1798">
      <c r="A1798" s="122"/>
      <c r="B1798" s="121"/>
      <c r="C1798" s="120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</row>
    <row r="1799">
      <c r="A1799" s="122"/>
      <c r="B1799" s="121"/>
      <c r="C1799" s="120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</row>
    <row r="1800">
      <c r="A1800" s="122"/>
      <c r="B1800" s="121"/>
      <c r="C1800" s="120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</row>
    <row r="1801">
      <c r="A1801" s="122"/>
      <c r="B1801" s="120"/>
      <c r="C1801" s="120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</row>
    <row r="1802">
      <c r="A1802" s="122"/>
      <c r="B1802" s="120"/>
      <c r="C1802" s="120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</row>
    <row r="1803">
      <c r="A1803" s="122"/>
      <c r="B1803" s="120"/>
      <c r="C1803" s="120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</row>
    <row r="1804">
      <c r="A1804" s="122"/>
      <c r="B1804" s="120"/>
      <c r="C1804" s="120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</row>
    <row r="1805">
      <c r="A1805" s="122"/>
      <c r="B1805" s="120"/>
      <c r="C1805" s="120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</row>
    <row r="1806">
      <c r="A1806" s="122"/>
      <c r="B1806" s="120"/>
      <c r="C1806" s="120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</row>
    <row r="1807">
      <c r="A1807" s="122"/>
      <c r="B1807" s="120"/>
      <c r="C1807" s="120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</row>
    <row r="1808">
      <c r="A1808" s="122"/>
      <c r="B1808" s="120"/>
      <c r="C1808" s="120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</row>
    <row r="1809">
      <c r="A1809" s="122"/>
      <c r="B1809" s="120"/>
      <c r="C1809" s="120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</row>
    <row r="1810">
      <c r="A1810" s="122"/>
      <c r="B1810" s="120"/>
      <c r="C1810" s="120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</row>
    <row r="1811">
      <c r="A1811" s="122"/>
      <c r="B1811" s="121"/>
      <c r="C1811" s="120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</row>
    <row r="1812">
      <c r="A1812" s="122"/>
      <c r="B1812" s="120"/>
      <c r="C1812" s="120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</row>
    <row r="1813">
      <c r="A1813" s="122"/>
      <c r="B1813" s="120"/>
      <c r="C1813" s="120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</row>
    <row r="1814">
      <c r="A1814" s="122"/>
      <c r="B1814" s="121"/>
      <c r="C1814" s="120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</row>
    <row r="1815">
      <c r="A1815" s="122"/>
      <c r="B1815" s="121"/>
      <c r="C1815" s="120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</row>
    <row r="1816">
      <c r="A1816" s="122"/>
      <c r="B1816" s="121"/>
      <c r="C1816" s="120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</row>
    <row r="1817">
      <c r="A1817" s="122"/>
      <c r="B1817" s="121"/>
      <c r="C1817" s="120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</row>
    <row r="1818">
      <c r="A1818" s="122"/>
      <c r="B1818" s="120"/>
      <c r="C1818" s="120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</row>
    <row r="1819">
      <c r="A1819" s="122"/>
      <c r="B1819" s="120"/>
      <c r="C1819" s="120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</row>
    <row r="1820">
      <c r="A1820" s="122"/>
      <c r="B1820" s="121"/>
      <c r="C1820" s="120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</row>
    <row r="1821">
      <c r="A1821" s="122"/>
      <c r="B1821" s="121"/>
      <c r="C1821" s="120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</row>
    <row r="1822">
      <c r="A1822" s="122"/>
      <c r="B1822" s="121"/>
      <c r="C1822" s="120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</row>
    <row r="1823">
      <c r="A1823" s="122"/>
      <c r="B1823" s="121"/>
      <c r="C1823" s="120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</row>
    <row r="1824">
      <c r="A1824" s="122"/>
      <c r="B1824" s="120"/>
      <c r="C1824" s="120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</row>
    <row r="1825">
      <c r="A1825" s="122"/>
      <c r="B1825" s="120"/>
      <c r="C1825" s="120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</row>
    <row r="1826">
      <c r="A1826" s="122"/>
      <c r="B1826" s="120"/>
      <c r="C1826" s="120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</row>
    <row r="1827">
      <c r="A1827" s="122"/>
      <c r="B1827" s="119"/>
      <c r="C1827" s="120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</row>
    <row r="1828">
      <c r="A1828" s="122"/>
      <c r="B1828" s="119"/>
      <c r="C1828" s="120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</row>
    <row r="1829">
      <c r="A1829" s="122"/>
      <c r="B1829" s="119"/>
      <c r="C1829" s="120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</row>
    <row r="1830">
      <c r="A1830" s="122"/>
      <c r="B1830" s="123"/>
      <c r="C1830" s="120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</row>
    <row r="1831">
      <c r="A1831" s="122"/>
      <c r="B1831" s="123"/>
      <c r="C1831" s="120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</row>
    <row r="1832">
      <c r="A1832" s="122"/>
      <c r="B1832" s="123"/>
      <c r="C1832" s="120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</row>
    <row r="1833">
      <c r="A1833" s="122"/>
      <c r="B1833" s="123"/>
      <c r="C1833" s="120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</row>
    <row r="1834">
      <c r="A1834" s="122"/>
      <c r="B1834" s="120"/>
      <c r="C1834" s="120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</row>
    <row r="1835">
      <c r="A1835" s="122"/>
      <c r="B1835" s="121"/>
      <c r="C1835" s="120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</row>
    <row r="1836">
      <c r="A1836" s="122"/>
      <c r="B1836" s="121"/>
      <c r="C1836" s="120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</row>
    <row r="1837">
      <c r="A1837" s="122"/>
      <c r="B1837" s="120"/>
      <c r="C1837" s="120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</row>
    <row r="1838">
      <c r="A1838" s="122"/>
      <c r="B1838" s="121"/>
      <c r="C1838" s="120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</row>
    <row r="1839">
      <c r="A1839" s="122"/>
      <c r="B1839" s="120"/>
      <c r="C1839" s="120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</row>
    <row r="1840">
      <c r="A1840" s="122"/>
      <c r="B1840" s="120"/>
      <c r="C1840" s="120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</row>
    <row r="1841">
      <c r="A1841" s="122"/>
      <c r="B1841" s="120"/>
      <c r="C1841" s="120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</row>
    <row r="1842">
      <c r="A1842" s="122"/>
      <c r="B1842" s="120"/>
      <c r="C1842" s="120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</row>
    <row r="1843">
      <c r="A1843" s="122"/>
      <c r="B1843" s="120"/>
      <c r="C1843" s="120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</row>
    <row r="1844">
      <c r="A1844" s="122"/>
      <c r="B1844" s="121"/>
      <c r="C1844" s="120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</row>
    <row r="1845">
      <c r="A1845" s="122"/>
      <c r="B1845" s="121"/>
      <c r="C1845" s="120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</row>
    <row r="1846">
      <c r="A1846" s="122"/>
      <c r="B1846" s="121"/>
      <c r="C1846" s="120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</row>
    <row r="1847">
      <c r="A1847" s="122"/>
      <c r="B1847" s="119"/>
      <c r="C1847" s="120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</row>
    <row r="1848">
      <c r="A1848" s="122"/>
      <c r="B1848" s="120"/>
      <c r="C1848" s="120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</row>
    <row r="1849">
      <c r="A1849" s="122"/>
      <c r="B1849" s="120"/>
      <c r="C1849" s="120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</row>
    <row r="1850">
      <c r="A1850" s="122"/>
      <c r="B1850" s="120"/>
      <c r="C1850" s="120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</row>
    <row r="1851">
      <c r="A1851" s="122"/>
      <c r="B1851" s="120"/>
      <c r="C1851" s="120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</row>
    <row r="1852">
      <c r="A1852" s="122"/>
      <c r="B1852" s="121"/>
      <c r="C1852" s="120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</row>
    <row r="1853">
      <c r="A1853" s="122"/>
      <c r="B1853" s="121"/>
      <c r="C1853" s="120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</row>
    <row r="1854">
      <c r="A1854" s="122"/>
      <c r="B1854" s="119"/>
      <c r="C1854" s="120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</row>
    <row r="1855">
      <c r="A1855" s="122"/>
      <c r="B1855" s="119"/>
      <c r="C1855" s="120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</row>
    <row r="1856">
      <c r="A1856" s="122"/>
      <c r="B1856" s="119"/>
      <c r="C1856" s="120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</row>
    <row r="1857">
      <c r="A1857" s="122"/>
      <c r="B1857" s="120"/>
      <c r="C1857" s="120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</row>
    <row r="1858">
      <c r="A1858" s="122"/>
      <c r="B1858" s="120"/>
      <c r="C1858" s="120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</row>
    <row r="1859">
      <c r="A1859" s="122"/>
      <c r="B1859" s="120"/>
      <c r="C1859" s="120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</row>
    <row r="1860">
      <c r="A1860" s="122"/>
      <c r="B1860" s="120"/>
      <c r="C1860" s="120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</row>
    <row r="1861">
      <c r="A1861" s="122"/>
      <c r="B1861" s="120"/>
      <c r="C1861" s="120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</row>
    <row r="1862">
      <c r="A1862" s="122"/>
      <c r="B1862" s="120"/>
      <c r="C1862" s="120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</row>
    <row r="1863">
      <c r="A1863" s="122"/>
      <c r="B1863" s="120"/>
      <c r="C1863" s="120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</row>
    <row r="1864">
      <c r="A1864" s="122"/>
      <c r="B1864" s="120"/>
      <c r="C1864" s="120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</row>
    <row r="1865">
      <c r="A1865" s="122"/>
      <c r="B1865" s="121"/>
      <c r="C1865" s="120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</row>
    <row r="1866">
      <c r="A1866" s="122"/>
      <c r="B1866" s="120"/>
      <c r="C1866" s="120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</row>
    <row r="1867">
      <c r="A1867" s="122"/>
      <c r="B1867" s="120"/>
      <c r="C1867" s="120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</row>
    <row r="1868">
      <c r="A1868" s="122"/>
      <c r="B1868" s="120"/>
      <c r="C1868" s="120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</row>
    <row r="1869">
      <c r="A1869" s="122"/>
      <c r="B1869" s="121"/>
      <c r="C1869" s="120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</row>
    <row r="1870">
      <c r="A1870" s="122"/>
      <c r="B1870" s="120"/>
      <c r="C1870" s="120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</row>
    <row r="1871">
      <c r="A1871" s="122"/>
      <c r="B1871" s="120"/>
      <c r="C1871" s="120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</row>
    <row r="1872">
      <c r="A1872" s="122"/>
      <c r="B1872" s="120"/>
      <c r="C1872" s="120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</row>
    <row r="1873">
      <c r="A1873" s="122"/>
      <c r="B1873" s="120"/>
      <c r="C1873" s="120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</row>
    <row r="1874">
      <c r="A1874" s="122"/>
      <c r="B1874" s="121"/>
      <c r="C1874" s="120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</row>
    <row r="1875">
      <c r="A1875" s="122"/>
      <c r="B1875" s="121"/>
      <c r="C1875" s="120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</row>
    <row r="1876">
      <c r="A1876" s="122"/>
      <c r="B1876" s="121"/>
      <c r="C1876" s="120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</row>
    <row r="1877">
      <c r="A1877" s="122"/>
      <c r="B1877" s="121"/>
      <c r="C1877" s="120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</row>
    <row r="1878">
      <c r="A1878" s="122"/>
      <c r="B1878" s="119"/>
      <c r="C1878" s="120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</row>
    <row r="1879">
      <c r="A1879" s="122"/>
      <c r="B1879" s="121"/>
      <c r="C1879" s="120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</row>
    <row r="1880">
      <c r="A1880" s="122"/>
      <c r="B1880" s="121"/>
      <c r="C1880" s="120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</row>
    <row r="1881">
      <c r="A1881" s="122"/>
      <c r="B1881" s="120"/>
      <c r="C1881" s="120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</row>
    <row r="1882">
      <c r="A1882" s="122"/>
      <c r="B1882" s="120"/>
      <c r="C1882" s="120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</row>
    <row r="1883">
      <c r="A1883" s="122"/>
      <c r="B1883" s="121"/>
      <c r="C1883" s="120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</row>
    <row r="1884">
      <c r="A1884" s="122"/>
      <c r="B1884" s="121"/>
      <c r="C1884" s="120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</row>
    <row r="1885">
      <c r="A1885" s="122"/>
      <c r="B1885" s="119"/>
      <c r="C1885" s="120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</row>
    <row r="1886">
      <c r="A1886" s="122"/>
      <c r="B1886" s="120"/>
      <c r="C1886" s="120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</row>
    <row r="1887">
      <c r="A1887" s="122"/>
      <c r="B1887" s="120"/>
      <c r="C1887" s="120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</row>
    <row r="1888">
      <c r="A1888" s="122"/>
      <c r="B1888" s="120"/>
      <c r="C1888" s="120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</row>
    <row r="1889">
      <c r="A1889" s="122"/>
      <c r="B1889" s="120"/>
      <c r="C1889" s="120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</row>
    <row r="1890">
      <c r="A1890" s="122"/>
      <c r="B1890" s="120"/>
      <c r="C1890" s="120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</row>
    <row r="1891">
      <c r="A1891" s="122"/>
      <c r="B1891" s="120"/>
      <c r="C1891" s="120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</row>
    <row r="1892">
      <c r="A1892" s="122"/>
      <c r="B1892" s="120"/>
      <c r="C1892" s="120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</row>
    <row r="1893">
      <c r="A1893" s="122"/>
      <c r="B1893" s="121"/>
      <c r="C1893" s="120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</row>
    <row r="1894">
      <c r="A1894" s="122"/>
      <c r="B1894" s="121"/>
      <c r="C1894" s="120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</row>
    <row r="1895">
      <c r="A1895" s="122"/>
      <c r="B1895" s="120"/>
      <c r="C1895" s="120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</row>
    <row r="1896">
      <c r="A1896" s="122"/>
      <c r="B1896" s="120"/>
      <c r="C1896" s="120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</row>
    <row r="1897">
      <c r="A1897" s="122"/>
      <c r="B1897" s="120"/>
      <c r="C1897" s="120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</row>
    <row r="1898">
      <c r="A1898" s="122"/>
      <c r="B1898" s="120"/>
      <c r="C1898" s="120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</row>
    <row r="1899">
      <c r="A1899" s="122"/>
      <c r="B1899" s="121"/>
      <c r="C1899" s="120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</row>
    <row r="1900">
      <c r="A1900" s="122"/>
      <c r="B1900" s="121"/>
      <c r="C1900" s="120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</row>
    <row r="1901">
      <c r="A1901" s="122"/>
      <c r="B1901" s="121"/>
      <c r="C1901" s="120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</row>
    <row r="1902">
      <c r="A1902" s="122"/>
      <c r="B1902" s="123"/>
      <c r="C1902" s="120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</row>
    <row r="1903">
      <c r="A1903" s="122"/>
      <c r="B1903" s="123"/>
      <c r="C1903" s="120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</row>
    <row r="1904">
      <c r="A1904" s="122"/>
      <c r="B1904" s="123"/>
      <c r="C1904" s="120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</row>
    <row r="1905">
      <c r="A1905" s="122"/>
      <c r="B1905" s="123"/>
      <c r="C1905" s="120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</row>
    <row r="1906">
      <c r="A1906" s="122"/>
      <c r="B1906" s="120"/>
      <c r="C1906" s="120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</row>
    <row r="1907">
      <c r="A1907" s="122"/>
      <c r="B1907" s="120"/>
      <c r="C1907" s="120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</row>
    <row r="1908">
      <c r="A1908" s="122"/>
      <c r="B1908" s="120"/>
      <c r="C1908" s="120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</row>
    <row r="1909">
      <c r="A1909" s="122"/>
      <c r="B1909" s="120"/>
      <c r="C1909" s="120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</row>
    <row r="1910">
      <c r="A1910" s="122"/>
      <c r="B1910" s="121"/>
      <c r="C1910" s="120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</row>
    <row r="1911">
      <c r="A1911" s="122"/>
      <c r="B1911" s="121"/>
      <c r="C1911" s="120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</row>
    <row r="1912">
      <c r="A1912" s="122"/>
      <c r="B1912" s="120"/>
      <c r="C1912" s="120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</row>
    <row r="1913">
      <c r="A1913" s="122"/>
      <c r="B1913" s="120"/>
      <c r="C1913" s="120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</row>
    <row r="1914">
      <c r="A1914" s="122"/>
      <c r="B1914" s="120"/>
      <c r="C1914" s="120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</row>
    <row r="1915">
      <c r="A1915" s="122"/>
      <c r="B1915" s="120"/>
      <c r="C1915" s="120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</row>
    <row r="1916">
      <c r="A1916" s="122"/>
      <c r="B1916" s="120"/>
      <c r="C1916" s="120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</row>
    <row r="1917">
      <c r="A1917" s="122"/>
      <c r="B1917" s="121"/>
      <c r="C1917" s="120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</row>
    <row r="1918">
      <c r="A1918" s="122"/>
      <c r="B1918" s="119"/>
      <c r="C1918" s="120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</row>
    <row r="1919">
      <c r="A1919" s="122"/>
      <c r="B1919" s="121"/>
      <c r="C1919" s="120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</row>
    <row r="1920">
      <c r="A1920" s="122"/>
      <c r="B1920" s="120"/>
      <c r="C1920" s="120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</row>
    <row r="1921">
      <c r="A1921" s="122"/>
      <c r="B1921" s="120"/>
      <c r="C1921" s="120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</row>
    <row r="1922">
      <c r="A1922" s="122"/>
      <c r="B1922" s="120"/>
      <c r="C1922" s="120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</row>
    <row r="1923">
      <c r="A1923" s="122"/>
      <c r="B1923" s="119"/>
      <c r="C1923" s="120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</row>
    <row r="1924">
      <c r="A1924" s="122"/>
      <c r="B1924" s="120"/>
      <c r="C1924" s="120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</row>
    <row r="1925">
      <c r="A1925" s="122"/>
      <c r="B1925" s="120"/>
      <c r="C1925" s="120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</row>
    <row r="1926">
      <c r="A1926" s="122"/>
      <c r="B1926" s="120"/>
      <c r="C1926" s="120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</row>
    <row r="1927">
      <c r="A1927" s="122"/>
      <c r="B1927" s="120"/>
      <c r="C1927" s="120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</row>
    <row r="1928">
      <c r="A1928" s="122"/>
      <c r="B1928" s="120"/>
      <c r="C1928" s="120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</row>
    <row r="1929">
      <c r="A1929" s="122"/>
      <c r="B1929" s="120"/>
      <c r="C1929" s="120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</row>
    <row r="1930">
      <c r="A1930" s="122"/>
      <c r="B1930" s="120"/>
      <c r="C1930" s="120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</row>
    <row r="1931">
      <c r="A1931" s="122"/>
      <c r="B1931" s="121"/>
      <c r="C1931" s="120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</row>
    <row r="1932">
      <c r="A1932" s="122"/>
      <c r="B1932" s="121"/>
      <c r="C1932" s="120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</row>
    <row r="1933">
      <c r="A1933" s="122"/>
      <c r="B1933" s="120"/>
      <c r="C1933" s="120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</row>
    <row r="1934">
      <c r="A1934" s="122"/>
      <c r="B1934" s="121"/>
      <c r="C1934" s="120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</row>
    <row r="1935">
      <c r="A1935" s="122"/>
      <c r="B1935" s="121"/>
      <c r="C1935" s="120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</row>
    <row r="1936">
      <c r="A1936" s="122"/>
      <c r="B1936" s="119"/>
      <c r="C1936" s="120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</row>
    <row r="1937">
      <c r="A1937" s="122"/>
      <c r="B1937" s="119"/>
      <c r="C1937" s="120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</row>
    <row r="1938">
      <c r="A1938" s="122"/>
      <c r="B1938" s="120"/>
      <c r="C1938" s="120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</row>
    <row r="1939">
      <c r="A1939" s="122"/>
      <c r="B1939" s="120"/>
      <c r="C1939" s="120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</row>
    <row r="1940">
      <c r="A1940" s="122"/>
      <c r="B1940" s="120"/>
      <c r="C1940" s="120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</row>
    <row r="1941">
      <c r="A1941" s="122"/>
      <c r="B1941" s="120"/>
      <c r="C1941" s="120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</row>
    <row r="1942">
      <c r="A1942" s="122"/>
      <c r="B1942" s="120"/>
      <c r="C1942" s="120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</row>
    <row r="1943">
      <c r="A1943" s="122"/>
      <c r="B1943" s="120"/>
      <c r="C1943" s="120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</row>
    <row r="1944">
      <c r="A1944" s="122"/>
      <c r="B1944" s="119"/>
      <c r="C1944" s="120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</row>
    <row r="1945">
      <c r="A1945" s="122"/>
      <c r="B1945" s="121"/>
      <c r="C1945" s="120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</row>
    <row r="1946">
      <c r="A1946" s="122"/>
      <c r="B1946" s="120"/>
      <c r="C1946" s="120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</row>
    <row r="1947">
      <c r="A1947" s="122"/>
      <c r="B1947" s="120"/>
      <c r="C1947" s="120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</row>
    <row r="1948">
      <c r="A1948" s="122"/>
      <c r="B1948" s="120"/>
      <c r="C1948" s="120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</row>
    <row r="1949">
      <c r="A1949" s="122"/>
      <c r="B1949" s="120"/>
      <c r="C1949" s="120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</row>
    <row r="1950">
      <c r="A1950" s="122"/>
      <c r="B1950" s="120"/>
      <c r="C1950" s="120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</row>
    <row r="1951">
      <c r="A1951" s="122"/>
      <c r="B1951" s="120"/>
      <c r="C1951" s="120"/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</row>
    <row r="1952">
      <c r="A1952" s="122"/>
      <c r="B1952" s="120"/>
      <c r="C1952" s="120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</row>
    <row r="1953">
      <c r="A1953" s="122"/>
      <c r="B1953" s="120"/>
      <c r="C1953" s="120"/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</row>
    <row r="1954">
      <c r="A1954" s="122"/>
      <c r="B1954" s="120"/>
      <c r="C1954" s="120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</row>
    <row r="1955">
      <c r="A1955" s="122"/>
      <c r="B1955" s="120"/>
      <c r="C1955" s="120"/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</row>
    <row r="1956">
      <c r="A1956" s="122"/>
      <c r="B1956" s="120"/>
      <c r="C1956" s="120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</row>
    <row r="1957">
      <c r="A1957" s="122"/>
      <c r="B1957" s="121"/>
      <c r="C1957" s="120"/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</row>
    <row r="1958">
      <c r="A1958" s="122"/>
      <c r="B1958" s="121"/>
      <c r="C1958" s="120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</row>
    <row r="1959">
      <c r="A1959" s="122"/>
      <c r="B1959" s="119"/>
      <c r="C1959" s="120"/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</row>
    <row r="1960">
      <c r="A1960" s="122"/>
      <c r="B1960" s="121"/>
      <c r="C1960" s="120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</row>
    <row r="1961">
      <c r="A1961" s="122"/>
      <c r="B1961" s="121"/>
      <c r="C1961" s="120"/>
      <c r="D1961" s="21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</row>
    <row r="1962">
      <c r="A1962" s="122"/>
      <c r="B1962" s="121"/>
      <c r="C1962" s="120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</row>
    <row r="1963">
      <c r="A1963" s="122"/>
      <c r="B1963" s="119"/>
      <c r="C1963" s="120"/>
      <c r="D1963" s="21"/>
      <c r="E1963" s="2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</row>
    <row r="1964">
      <c r="A1964" s="122"/>
      <c r="B1964" s="121"/>
      <c r="C1964" s="120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</row>
    <row r="1965">
      <c r="A1965" s="122"/>
      <c r="B1965" s="121"/>
      <c r="C1965" s="120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</row>
    <row r="1966">
      <c r="A1966" s="122"/>
      <c r="B1966" s="120"/>
      <c r="C1966" s="120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</row>
    <row r="1967">
      <c r="A1967" s="122"/>
      <c r="B1967" s="120"/>
      <c r="C1967" s="120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</row>
    <row r="1968">
      <c r="A1968" s="122"/>
      <c r="B1968" s="120"/>
      <c r="C1968" s="120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</row>
    <row r="1969">
      <c r="A1969" s="122"/>
      <c r="B1969" s="120"/>
      <c r="C1969" s="120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</row>
    <row r="1970">
      <c r="A1970" s="122"/>
      <c r="B1970" s="120"/>
      <c r="C1970" s="120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</row>
    <row r="1971">
      <c r="A1971" s="122"/>
      <c r="B1971" s="120"/>
      <c r="C1971" s="120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</row>
    <row r="1972">
      <c r="A1972" s="122"/>
      <c r="B1972" s="120"/>
      <c r="C1972" s="120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</row>
    <row r="1973">
      <c r="A1973" s="122"/>
      <c r="B1973" s="121"/>
      <c r="C1973" s="120"/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</row>
    <row r="1974">
      <c r="A1974" s="122"/>
      <c r="B1974" s="121"/>
      <c r="C1974" s="120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</row>
    <row r="1975">
      <c r="A1975" s="122"/>
      <c r="B1975" s="121"/>
      <c r="C1975" s="120"/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</row>
    <row r="1976">
      <c r="A1976" s="122"/>
      <c r="B1976" s="121"/>
      <c r="C1976" s="120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</row>
    <row r="1977">
      <c r="A1977" s="122"/>
      <c r="B1977" s="121"/>
      <c r="C1977" s="120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</row>
    <row r="1978">
      <c r="A1978" s="122"/>
      <c r="B1978" s="120"/>
      <c r="C1978" s="120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</row>
    <row r="1979">
      <c r="A1979" s="122"/>
      <c r="B1979" s="120"/>
      <c r="C1979" s="120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</row>
    <row r="1980">
      <c r="A1980" s="122"/>
      <c r="B1980" s="119"/>
      <c r="C1980" s="120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</row>
    <row r="1981">
      <c r="A1981" s="122"/>
      <c r="B1981" s="121"/>
      <c r="C1981" s="120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</row>
    <row r="1982">
      <c r="A1982" s="122"/>
      <c r="B1982" s="120"/>
      <c r="C1982" s="120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</row>
    <row r="1983">
      <c r="A1983" s="122"/>
      <c r="B1983" s="119"/>
      <c r="C1983" s="120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</row>
    <row r="1984">
      <c r="A1984" s="122"/>
      <c r="B1984" s="120"/>
      <c r="C1984" s="120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</row>
    <row r="1985">
      <c r="A1985" s="122"/>
      <c r="B1985" s="120"/>
      <c r="C1985" s="120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</row>
    <row r="1986">
      <c r="A1986" s="122"/>
      <c r="B1986" s="120"/>
      <c r="C1986" s="120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</row>
    <row r="1987">
      <c r="A1987" s="122"/>
      <c r="B1987" s="120"/>
      <c r="C1987" s="120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</row>
    <row r="1988">
      <c r="A1988" s="122"/>
      <c r="B1988" s="120"/>
      <c r="C1988" s="120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</row>
    <row r="1989">
      <c r="A1989" s="122"/>
      <c r="B1989" s="120"/>
      <c r="C1989" s="120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</row>
    <row r="1990">
      <c r="A1990" s="122"/>
      <c r="B1990" s="120"/>
      <c r="C1990" s="120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</row>
    <row r="1991">
      <c r="A1991" s="122"/>
      <c r="B1991" s="120"/>
      <c r="C1991" s="120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</row>
    <row r="1992">
      <c r="A1992" s="122"/>
      <c r="B1992" s="120"/>
      <c r="C1992" s="120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</row>
    <row r="1993">
      <c r="A1993" s="122"/>
      <c r="B1993" s="120"/>
      <c r="C1993" s="120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</row>
    <row r="1994">
      <c r="A1994" s="122"/>
      <c r="B1994" s="121"/>
      <c r="C1994" s="120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</row>
    <row r="1995">
      <c r="A1995" s="122"/>
      <c r="B1995" s="121"/>
      <c r="C1995" s="120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</row>
    <row r="1996">
      <c r="A1996" s="122"/>
      <c r="B1996" s="120"/>
      <c r="C1996" s="120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</row>
    <row r="1997">
      <c r="A1997" s="122"/>
      <c r="B1997" s="120"/>
      <c r="C1997" s="120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</row>
    <row r="1998">
      <c r="A1998" s="122"/>
      <c r="B1998" s="121"/>
      <c r="C1998" s="120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</row>
    <row r="1999">
      <c r="A1999" s="122"/>
      <c r="B1999" s="119"/>
      <c r="C1999" s="120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</row>
    <row r="2000">
      <c r="A2000" s="122"/>
      <c r="B2000" s="120"/>
      <c r="C2000" s="120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</row>
    <row r="2001">
      <c r="A2001" s="122"/>
      <c r="B2001" s="120"/>
      <c r="C2001" s="120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</row>
    <row r="2002">
      <c r="A2002" s="122"/>
      <c r="B2002" s="120"/>
      <c r="C2002" s="120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</row>
    <row r="2003">
      <c r="A2003" s="122"/>
      <c r="B2003" s="120"/>
      <c r="C2003" s="120"/>
      <c r="D2003" s="21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</row>
    <row r="2004">
      <c r="A2004" s="122"/>
      <c r="B2004" s="120"/>
      <c r="C2004" s="120"/>
      <c r="D2004" s="21"/>
      <c r="E2004" s="2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</row>
    <row r="2005">
      <c r="A2005" s="122"/>
      <c r="B2005" s="120"/>
      <c r="C2005" s="120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</row>
    <row r="2006">
      <c r="A2006" s="122"/>
      <c r="B2006" s="121"/>
      <c r="C2006" s="120"/>
      <c r="D2006" s="21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</row>
    <row r="2007">
      <c r="A2007" s="122"/>
      <c r="B2007" s="121"/>
      <c r="C2007" s="120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</row>
    <row r="2008">
      <c r="A2008" s="122"/>
      <c r="B2008" s="120"/>
      <c r="C2008" s="120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</row>
    <row r="2009">
      <c r="A2009" s="122"/>
      <c r="B2009" s="120"/>
      <c r="C2009" s="120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</row>
    <row r="2010">
      <c r="A2010" s="122"/>
      <c r="B2010" s="120"/>
      <c r="C2010" s="120"/>
      <c r="D2010" s="21"/>
      <c r="E2010" s="2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</row>
    <row r="2011">
      <c r="A2011" s="122"/>
      <c r="B2011" s="120"/>
      <c r="C2011" s="120"/>
      <c r="D2011" s="21"/>
      <c r="E2011" s="2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</row>
    <row r="2012">
      <c r="A2012" s="122"/>
      <c r="B2012" s="120"/>
      <c r="C2012" s="120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</row>
    <row r="2013">
      <c r="A2013" s="122"/>
      <c r="B2013" s="120"/>
      <c r="C2013" s="120"/>
      <c r="D2013" s="21"/>
      <c r="E2013" s="2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</row>
    <row r="2014">
      <c r="A2014" s="122"/>
      <c r="B2014" s="120"/>
      <c r="C2014" s="120"/>
      <c r="D2014" s="21"/>
      <c r="E2014" s="2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</row>
    <row r="2015">
      <c r="A2015" s="122"/>
      <c r="B2015" s="120"/>
      <c r="C2015" s="120"/>
      <c r="D2015" s="21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</row>
    <row r="2016">
      <c r="A2016" s="122"/>
      <c r="B2016" s="121"/>
      <c r="C2016" s="120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</row>
    <row r="2017">
      <c r="A2017" s="122"/>
      <c r="B2017" s="121"/>
      <c r="C2017" s="120"/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</row>
    <row r="2018">
      <c r="A2018" s="122"/>
      <c r="B2018" s="120"/>
      <c r="C2018" s="120"/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</row>
    <row r="2019">
      <c r="A2019" s="122"/>
      <c r="B2019" s="120"/>
      <c r="C2019" s="120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</row>
    <row r="2020">
      <c r="A2020" s="122"/>
      <c r="B2020" s="120"/>
      <c r="C2020" s="120"/>
      <c r="D2020" s="21"/>
      <c r="E2020" s="2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</row>
    <row r="2021">
      <c r="A2021" s="122"/>
      <c r="B2021" s="120"/>
      <c r="C2021" s="120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</row>
    <row r="2022">
      <c r="A2022" s="122"/>
      <c r="B2022" s="120"/>
      <c r="C2022" s="120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</row>
    <row r="2023">
      <c r="A2023" s="122"/>
      <c r="B2023" s="120"/>
      <c r="C2023" s="120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</row>
    <row r="2024">
      <c r="A2024" s="122"/>
      <c r="B2024" s="120"/>
      <c r="C2024" s="120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</row>
    <row r="2025">
      <c r="A2025" s="122"/>
      <c r="B2025" s="120"/>
      <c r="C2025" s="120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</row>
    <row r="2026">
      <c r="A2026" s="122"/>
      <c r="B2026" s="120"/>
      <c r="C2026" s="120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</row>
    <row r="2027">
      <c r="A2027" s="122"/>
      <c r="B2027" s="120"/>
      <c r="C2027" s="120"/>
      <c r="D2027" s="21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</row>
    <row r="2028">
      <c r="A2028" s="122"/>
      <c r="B2028" s="120"/>
      <c r="C2028" s="120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</row>
    <row r="2029">
      <c r="A2029" s="122"/>
      <c r="B2029" s="121"/>
      <c r="C2029" s="120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</row>
    <row r="2030">
      <c r="A2030" s="122"/>
      <c r="B2030" s="123"/>
      <c r="C2030" s="120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</row>
    <row r="2031">
      <c r="A2031" s="122"/>
      <c r="B2031" s="123"/>
      <c r="C2031" s="120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</row>
    <row r="2032">
      <c r="A2032" s="122"/>
      <c r="B2032" s="123"/>
      <c r="C2032" s="120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</row>
    <row r="2033">
      <c r="A2033" s="122"/>
      <c r="B2033" s="120"/>
      <c r="C2033" s="120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</row>
    <row r="2034">
      <c r="A2034" s="122"/>
      <c r="B2034" s="120"/>
      <c r="C2034" s="120"/>
      <c r="D2034" s="21"/>
      <c r="E2034" s="2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</row>
    <row r="2035">
      <c r="A2035" s="122"/>
      <c r="B2035" s="120"/>
      <c r="C2035" s="120"/>
      <c r="D2035" s="21"/>
      <c r="E2035" s="2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</row>
    <row r="2036">
      <c r="A2036" s="122"/>
      <c r="B2036" s="120"/>
      <c r="C2036" s="120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</row>
    <row r="2037">
      <c r="A2037" s="122"/>
      <c r="B2037" s="120"/>
      <c r="C2037" s="120"/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</row>
    <row r="2038">
      <c r="A2038" s="122"/>
      <c r="B2038" s="120"/>
      <c r="C2038" s="120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</row>
    <row r="2039">
      <c r="A2039" s="122"/>
      <c r="B2039" s="120"/>
      <c r="C2039" s="120"/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</row>
    <row r="2040">
      <c r="A2040" s="122"/>
      <c r="B2040" s="120"/>
      <c r="C2040" s="120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</row>
    <row r="2041">
      <c r="A2041" s="122"/>
      <c r="B2041" s="120"/>
      <c r="C2041" s="120"/>
      <c r="D2041" s="21"/>
      <c r="E2041" s="2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</row>
    <row r="2042">
      <c r="A2042" s="122"/>
      <c r="B2042" s="120"/>
      <c r="C2042" s="120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</row>
    <row r="2043">
      <c r="A2043" s="122"/>
      <c r="B2043" s="120"/>
      <c r="C2043" s="120"/>
      <c r="D2043" s="21"/>
      <c r="E2043" s="21"/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</row>
    <row r="2044">
      <c r="A2044" s="122"/>
      <c r="B2044" s="120"/>
      <c r="C2044" s="120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</row>
    <row r="2045">
      <c r="A2045" s="122"/>
      <c r="B2045" s="119"/>
      <c r="C2045" s="120"/>
      <c r="D2045" s="21"/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</row>
    <row r="2046">
      <c r="A2046" s="122"/>
      <c r="B2046" s="119"/>
      <c r="C2046" s="120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</row>
    <row r="2047">
      <c r="A2047" s="122"/>
      <c r="B2047" s="121"/>
      <c r="C2047" s="120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</row>
    <row r="2048">
      <c r="A2048" s="122"/>
      <c r="B2048" s="120"/>
      <c r="C2048" s="120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</row>
    <row r="2049">
      <c r="A2049" s="122"/>
      <c r="B2049" s="120"/>
      <c r="C2049" s="120"/>
      <c r="D2049" s="21"/>
      <c r="E2049" s="2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</row>
    <row r="2050">
      <c r="A2050" s="122"/>
      <c r="B2050" s="120"/>
      <c r="C2050" s="120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</row>
    <row r="2051">
      <c r="A2051" s="122"/>
      <c r="B2051" s="120"/>
      <c r="C2051" s="120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</row>
    <row r="2052">
      <c r="A2052" s="122"/>
      <c r="B2052" s="120"/>
      <c r="C2052" s="120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</row>
    <row r="2053">
      <c r="A2053" s="122"/>
      <c r="B2053" s="120"/>
      <c r="C2053" s="120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</row>
    <row r="2054">
      <c r="A2054" s="122"/>
      <c r="B2054" s="120"/>
      <c r="C2054" s="120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</row>
    <row r="2055">
      <c r="A2055" s="122"/>
      <c r="B2055" s="120"/>
      <c r="C2055" s="120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</row>
    <row r="2056">
      <c r="A2056" s="122"/>
      <c r="B2056" s="120"/>
      <c r="C2056" s="120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</row>
    <row r="2057">
      <c r="A2057" s="122"/>
      <c r="B2057" s="120"/>
      <c r="C2057" s="120"/>
      <c r="D2057" s="21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</row>
    <row r="2058">
      <c r="A2058" s="122"/>
      <c r="B2058" s="120"/>
      <c r="C2058" s="120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</row>
    <row r="2059">
      <c r="A2059" s="122"/>
      <c r="B2059" s="120"/>
      <c r="C2059" s="120"/>
      <c r="D2059" s="21"/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</row>
    <row r="2060">
      <c r="A2060" s="122"/>
      <c r="B2060" s="120"/>
      <c r="C2060" s="120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</row>
    <row r="2061">
      <c r="A2061" s="122"/>
      <c r="B2061" s="120"/>
      <c r="C2061" s="120"/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</row>
    <row r="2062">
      <c r="A2062" s="122"/>
      <c r="B2062" s="121"/>
      <c r="C2062" s="120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</row>
    <row r="2063">
      <c r="A2063" s="122"/>
      <c r="B2063" s="120"/>
      <c r="C2063" s="120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</row>
    <row r="2064">
      <c r="A2064" s="122"/>
      <c r="B2064" s="120"/>
      <c r="C2064" s="120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</row>
    <row r="2065">
      <c r="A2065" s="122"/>
      <c r="B2065" s="120"/>
      <c r="C2065" s="120"/>
      <c r="D2065" s="21"/>
      <c r="E2065" s="2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</row>
    <row r="2066">
      <c r="A2066" s="122"/>
      <c r="B2066" s="120"/>
      <c r="C2066" s="120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</row>
    <row r="2067">
      <c r="A2067" s="122"/>
      <c r="B2067" s="120"/>
      <c r="C2067" s="120"/>
      <c r="D2067" s="21"/>
      <c r="E2067" s="2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</row>
    <row r="2068">
      <c r="A2068" s="122"/>
      <c r="B2068" s="120"/>
      <c r="C2068" s="120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</row>
    <row r="2069">
      <c r="A2069" s="122"/>
      <c r="B2069" s="120"/>
      <c r="C2069" s="120"/>
      <c r="D2069" s="21"/>
      <c r="E2069" s="21"/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</row>
    <row r="2070">
      <c r="A2070" s="122"/>
      <c r="B2070" s="120"/>
      <c r="C2070" s="120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</row>
    <row r="2071">
      <c r="A2071" s="122"/>
      <c r="B2071" s="120"/>
      <c r="C2071" s="120"/>
      <c r="D2071" s="21"/>
      <c r="E2071" s="2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</row>
    <row r="2072">
      <c r="A2072" s="122"/>
      <c r="B2072" s="121"/>
      <c r="C2072" s="120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</row>
    <row r="2073">
      <c r="A2073" s="122"/>
      <c r="B2073" s="120"/>
      <c r="C2073" s="120"/>
      <c r="D2073" s="21"/>
      <c r="E2073" s="21"/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</row>
    <row r="2074">
      <c r="A2074" s="122"/>
      <c r="B2074" s="120"/>
      <c r="C2074" s="120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</row>
    <row r="2075">
      <c r="A2075" s="122"/>
      <c r="B2075" s="120"/>
      <c r="C2075" s="120"/>
      <c r="D2075" s="21"/>
      <c r="E2075" s="21"/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</row>
    <row r="2076">
      <c r="A2076" s="122"/>
      <c r="B2076" s="120"/>
      <c r="C2076" s="120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</row>
    <row r="2077">
      <c r="A2077" s="122"/>
      <c r="B2077" s="120"/>
      <c r="C2077" s="120"/>
      <c r="D2077" s="21"/>
      <c r="E2077" s="2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</row>
    <row r="2078">
      <c r="A2078" s="122"/>
      <c r="B2078" s="120"/>
      <c r="C2078" s="120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</row>
    <row r="2079">
      <c r="A2079" s="122"/>
      <c r="B2079" s="120"/>
      <c r="C2079" s="120"/>
      <c r="D2079" s="21"/>
      <c r="E2079" s="2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</row>
    <row r="2080">
      <c r="A2080" s="122"/>
      <c r="B2080" s="121"/>
      <c r="C2080" s="120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</row>
    <row r="2081">
      <c r="A2081" s="122"/>
      <c r="B2081" s="121"/>
      <c r="C2081" s="120"/>
      <c r="D2081" s="21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</row>
    <row r="2082">
      <c r="A2082" s="122"/>
      <c r="B2082" s="121"/>
      <c r="C2082" s="120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</row>
    <row r="2083">
      <c r="A2083" s="122"/>
      <c r="B2083" s="120"/>
      <c r="C2083" s="120"/>
      <c r="D2083" s="21"/>
      <c r="E2083" s="2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</row>
    <row r="2084">
      <c r="A2084" s="122"/>
      <c r="B2084" s="120"/>
      <c r="C2084" s="120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</row>
    <row r="2085">
      <c r="A2085" s="122"/>
      <c r="B2085" s="120"/>
      <c r="C2085" s="120"/>
      <c r="D2085" s="21"/>
      <c r="E2085" s="2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</row>
    <row r="2086">
      <c r="A2086" s="122"/>
      <c r="B2086" s="120"/>
      <c r="C2086" s="120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</row>
    <row r="2087">
      <c r="A2087" s="122"/>
      <c r="B2087" s="120"/>
      <c r="C2087" s="120"/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</row>
    <row r="2088">
      <c r="A2088" s="122"/>
      <c r="B2088" s="120"/>
      <c r="C2088" s="120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</row>
    <row r="2089">
      <c r="A2089" s="122"/>
      <c r="B2089" s="120"/>
      <c r="C2089" s="120"/>
      <c r="D2089" s="21"/>
      <c r="E2089" s="2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</row>
    <row r="2090">
      <c r="A2090" s="122"/>
      <c r="B2090" s="120"/>
      <c r="C2090" s="120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</row>
    <row r="2091">
      <c r="A2091" s="122"/>
      <c r="B2091" s="120"/>
      <c r="C2091" s="120"/>
      <c r="D2091" s="21"/>
      <c r="E2091" s="21"/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</row>
    <row r="2092">
      <c r="A2092" s="122"/>
      <c r="B2092" s="120"/>
      <c r="C2092" s="120"/>
      <c r="D2092" s="21"/>
      <c r="E2092" s="21"/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</row>
    <row r="2093">
      <c r="A2093" s="122"/>
      <c r="B2093" s="120"/>
      <c r="C2093" s="120"/>
      <c r="D2093" s="21"/>
      <c r="E2093" s="21"/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</row>
    <row r="2094">
      <c r="A2094" s="122"/>
      <c r="B2094" s="120"/>
      <c r="C2094" s="120"/>
      <c r="D2094" s="21"/>
      <c r="E2094" s="21"/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</row>
    <row r="2095">
      <c r="A2095" s="122"/>
      <c r="B2095" s="120"/>
      <c r="C2095" s="120"/>
      <c r="D2095" s="21"/>
      <c r="E2095" s="21"/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</row>
    <row r="2096">
      <c r="A2096" s="122"/>
      <c r="B2096" s="120"/>
      <c r="C2096" s="120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</row>
    <row r="2097">
      <c r="A2097" s="122"/>
      <c r="B2097" s="120"/>
      <c r="C2097" s="120"/>
      <c r="D2097" s="21"/>
      <c r="E2097" s="2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</row>
    <row r="2098">
      <c r="A2098" s="122"/>
      <c r="B2098" s="120"/>
      <c r="C2098" s="120"/>
      <c r="D2098" s="21"/>
      <c r="E2098" s="2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</row>
    <row r="2099">
      <c r="A2099" s="122"/>
      <c r="B2099" s="120"/>
      <c r="C2099" s="120"/>
      <c r="D2099" s="21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</row>
    <row r="2100">
      <c r="A2100" s="122"/>
      <c r="B2100" s="120"/>
      <c r="C2100" s="120"/>
      <c r="D2100" s="21"/>
      <c r="E2100" s="2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</row>
    <row r="2101">
      <c r="A2101" s="122"/>
      <c r="B2101" s="120"/>
      <c r="C2101" s="120"/>
      <c r="D2101" s="21"/>
      <c r="E2101" s="2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</row>
    <row r="2102">
      <c r="A2102" s="122"/>
      <c r="B2102" s="120"/>
      <c r="C2102" s="120"/>
      <c r="D2102" s="21"/>
      <c r="E2102" s="21"/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</row>
    <row r="2103">
      <c r="A2103" s="122"/>
      <c r="B2103" s="120"/>
      <c r="C2103" s="120"/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</row>
    <row r="2104">
      <c r="A2104" s="122"/>
      <c r="B2104" s="120"/>
      <c r="C2104" s="120"/>
      <c r="D2104" s="21"/>
      <c r="E2104" s="2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</row>
    <row r="2105">
      <c r="A2105" s="122"/>
      <c r="B2105" s="120"/>
      <c r="C2105" s="120"/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</row>
    <row r="2106">
      <c r="A2106" s="122"/>
      <c r="B2106" s="120"/>
      <c r="C2106" s="120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</row>
    <row r="2107">
      <c r="A2107" s="122"/>
      <c r="B2107" s="120"/>
      <c r="C2107" s="120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</row>
    <row r="2108">
      <c r="A2108" s="122"/>
      <c r="B2108" s="120"/>
      <c r="C2108" s="120"/>
      <c r="D2108" s="21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</row>
    <row r="2109">
      <c r="A2109" s="122"/>
      <c r="B2109" s="120"/>
      <c r="C2109" s="120"/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</row>
    <row r="2110">
      <c r="A2110" s="122"/>
      <c r="B2110" s="120"/>
      <c r="C2110" s="120"/>
      <c r="D2110" s="21"/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</row>
    <row r="2111">
      <c r="A2111" s="122"/>
      <c r="B2111" s="120"/>
      <c r="C2111" s="120"/>
      <c r="D2111" s="21"/>
      <c r="E2111" s="21"/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</row>
    <row r="2112">
      <c r="A2112" s="122"/>
      <c r="B2112" s="120"/>
      <c r="C2112" s="120"/>
      <c r="D2112" s="21"/>
      <c r="E2112" s="21"/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</row>
    <row r="2113">
      <c r="A2113" s="122"/>
      <c r="B2113" s="120"/>
      <c r="C2113" s="120"/>
      <c r="D2113" s="21"/>
      <c r="E2113" s="21"/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</row>
    <row r="2114">
      <c r="A2114" s="122"/>
      <c r="B2114" s="120"/>
      <c r="C2114" s="120"/>
      <c r="D2114" s="21"/>
      <c r="E2114" s="21"/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</row>
    <row r="2115">
      <c r="A2115" s="122"/>
      <c r="B2115" s="120"/>
      <c r="C2115" s="120"/>
      <c r="D2115" s="21"/>
      <c r="E2115" s="2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</row>
    <row r="2116">
      <c r="A2116" s="122"/>
      <c r="B2116" s="120"/>
      <c r="C2116" s="120"/>
      <c r="D2116" s="21"/>
      <c r="E2116" s="21"/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</row>
    <row r="2117">
      <c r="A2117" s="122"/>
      <c r="B2117" s="120"/>
      <c r="C2117" s="120"/>
      <c r="D2117" s="21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</row>
    <row r="2118">
      <c r="A2118" s="122"/>
      <c r="B2118" s="120"/>
      <c r="C2118" s="120"/>
      <c r="D2118" s="21"/>
      <c r="E2118" s="21"/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</row>
    <row r="2119">
      <c r="A2119" s="122"/>
      <c r="B2119" s="120"/>
      <c r="C2119" s="120"/>
      <c r="D2119" s="21"/>
      <c r="E2119" s="2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</row>
    <row r="2120">
      <c r="A2120" s="122"/>
      <c r="B2120" s="120"/>
      <c r="C2120" s="120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</row>
    <row r="2121">
      <c r="A2121" s="122"/>
      <c r="B2121" s="120"/>
      <c r="C2121" s="120"/>
      <c r="D2121" s="21"/>
      <c r="E2121" s="21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</row>
    <row r="2122">
      <c r="A2122" s="122"/>
      <c r="B2122" s="120"/>
      <c r="C2122" s="120"/>
      <c r="D2122" s="21"/>
      <c r="E2122" s="21"/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</row>
    <row r="2123">
      <c r="A2123" s="122"/>
      <c r="B2123" s="120"/>
      <c r="C2123" s="120"/>
      <c r="D2123" s="21"/>
      <c r="E2123" s="2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</row>
    <row r="2124">
      <c r="A2124" s="122"/>
      <c r="B2124" s="120"/>
      <c r="C2124" s="120"/>
      <c r="D2124" s="21"/>
      <c r="E2124" s="2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</row>
    <row r="2125">
      <c r="A2125" s="122"/>
      <c r="B2125" s="120"/>
      <c r="C2125" s="120"/>
      <c r="D2125" s="21"/>
      <c r="E2125" s="2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</row>
    <row r="2126">
      <c r="A2126" s="122"/>
      <c r="B2126" s="120"/>
      <c r="C2126" s="120"/>
      <c r="D2126" s="21"/>
      <c r="E2126" s="2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</row>
    <row r="2127">
      <c r="A2127" s="122"/>
      <c r="B2127" s="120"/>
      <c r="C2127" s="120"/>
      <c r="D2127" s="21"/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</row>
    <row r="2128">
      <c r="A2128" s="122"/>
      <c r="B2128" s="120"/>
      <c r="C2128" s="120"/>
      <c r="D2128" s="21"/>
      <c r="E2128" s="21"/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</row>
    <row r="2129">
      <c r="A2129" s="122"/>
      <c r="B2129" s="119"/>
      <c r="C2129" s="120"/>
      <c r="D2129" s="21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</row>
    <row r="2130">
      <c r="A2130" s="122"/>
      <c r="B2130" s="120"/>
      <c r="C2130" s="120"/>
      <c r="D2130" s="21"/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</row>
    <row r="2131">
      <c r="A2131" s="122"/>
      <c r="B2131" s="120"/>
      <c r="C2131" s="120"/>
      <c r="D2131" s="21"/>
      <c r="E2131" s="2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</row>
    <row r="2132">
      <c r="A2132" s="122"/>
      <c r="B2132" s="121"/>
      <c r="C2132" s="120"/>
      <c r="D2132" s="21"/>
      <c r="E2132" s="2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</row>
    <row r="2133">
      <c r="A2133" s="122"/>
      <c r="B2133" s="121"/>
      <c r="C2133" s="120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</row>
    <row r="2134">
      <c r="A2134" s="122"/>
      <c r="B2134" s="121"/>
      <c r="C2134" s="120"/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</row>
    <row r="2135">
      <c r="A2135" s="122"/>
      <c r="B2135" s="120"/>
      <c r="C2135" s="120"/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</row>
    <row r="2136">
      <c r="A2136" s="122"/>
      <c r="B2136" s="120"/>
      <c r="C2136" s="120"/>
      <c r="D2136" s="21"/>
      <c r="E2136" s="2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</row>
    <row r="2137">
      <c r="A2137" s="122"/>
      <c r="B2137" s="120"/>
      <c r="C2137" s="120"/>
      <c r="D2137" s="21"/>
      <c r="E2137" s="2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</row>
    <row r="2138">
      <c r="A2138" s="122"/>
      <c r="B2138" s="120"/>
      <c r="C2138" s="120"/>
      <c r="D2138" s="21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</row>
    <row r="2139">
      <c r="A2139" s="122"/>
      <c r="B2139" s="120"/>
      <c r="C2139" s="120"/>
      <c r="D2139" s="21"/>
      <c r="E2139" s="2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</row>
    <row r="2140">
      <c r="A2140" s="122"/>
      <c r="B2140" s="120"/>
      <c r="C2140" s="120"/>
      <c r="D2140" s="21"/>
      <c r="E2140" s="2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</row>
    <row r="2141">
      <c r="A2141" s="122"/>
      <c r="B2141" s="120"/>
      <c r="C2141" s="120"/>
      <c r="D2141" s="21"/>
      <c r="E2141" s="2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</row>
    <row r="2142">
      <c r="A2142" s="122"/>
      <c r="B2142" s="120"/>
      <c r="C2142" s="120"/>
      <c r="D2142" s="21"/>
      <c r="E2142" s="2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</row>
    <row r="2143">
      <c r="A2143" s="122"/>
      <c r="B2143" s="120"/>
      <c r="C2143" s="120"/>
      <c r="D2143" s="21"/>
      <c r="E2143" s="21"/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</row>
    <row r="2144">
      <c r="A2144" s="122"/>
      <c r="B2144" s="120"/>
      <c r="C2144" s="120"/>
      <c r="D2144" s="21"/>
      <c r="E2144" s="2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</row>
    <row r="2145">
      <c r="A2145" s="122"/>
      <c r="B2145" s="120"/>
      <c r="C2145" s="120"/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</row>
    <row r="2146">
      <c r="A2146" s="122"/>
      <c r="B2146" s="120"/>
      <c r="C2146" s="120"/>
      <c r="D2146" s="21"/>
      <c r="E2146" s="21"/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</row>
    <row r="2147">
      <c r="A2147" s="122"/>
      <c r="B2147" s="119"/>
      <c r="C2147" s="120"/>
      <c r="D2147" s="21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</row>
    <row r="2148">
      <c r="A2148" s="122"/>
      <c r="B2148" s="120"/>
      <c r="C2148" s="120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</row>
    <row r="2149">
      <c r="A2149" s="122"/>
      <c r="B2149" s="120"/>
      <c r="C2149" s="120"/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</row>
    <row r="2150">
      <c r="A2150" s="122"/>
      <c r="B2150" s="120"/>
      <c r="C2150" s="120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</row>
    <row r="2151">
      <c r="A2151" s="122"/>
      <c r="B2151" s="120"/>
      <c r="C2151" s="120"/>
      <c r="D2151" s="21"/>
      <c r="E2151" s="2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</row>
    <row r="2152">
      <c r="A2152" s="122"/>
      <c r="B2152" s="120"/>
      <c r="C2152" s="120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</row>
    <row r="2153">
      <c r="A2153" s="122"/>
      <c r="B2153" s="120"/>
      <c r="C2153" s="120"/>
      <c r="D2153" s="21"/>
      <c r="E2153" s="21"/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</row>
    <row r="2154">
      <c r="A2154" s="122"/>
      <c r="B2154" s="120"/>
      <c r="C2154" s="120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</row>
    <row r="2155">
      <c r="A2155" s="122"/>
      <c r="B2155" s="120"/>
      <c r="C2155" s="120"/>
      <c r="D2155" s="21"/>
      <c r="E2155" s="2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</row>
    <row r="2156">
      <c r="A2156" s="122"/>
      <c r="B2156" s="120"/>
      <c r="C2156" s="120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</row>
    <row r="2157">
      <c r="A2157" s="122"/>
      <c r="B2157" s="120"/>
      <c r="C2157" s="120"/>
      <c r="D2157" s="21"/>
      <c r="E2157" s="2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</row>
    <row r="2158">
      <c r="A2158" s="122"/>
      <c r="B2158" s="120"/>
      <c r="C2158" s="120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</row>
    <row r="2159">
      <c r="A2159" s="122"/>
      <c r="B2159" s="120"/>
      <c r="C2159" s="120"/>
      <c r="D2159" s="21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</row>
    <row r="2160">
      <c r="A2160" s="122"/>
      <c r="B2160" s="121"/>
      <c r="C2160" s="120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</row>
    <row r="2161">
      <c r="A2161" s="122"/>
      <c r="B2161" s="121"/>
      <c r="C2161" s="120"/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</row>
    <row r="2162">
      <c r="A2162" s="122"/>
      <c r="B2162" s="121"/>
      <c r="C2162" s="120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</row>
    <row r="2163">
      <c r="A2163" s="122"/>
      <c r="B2163" s="120"/>
      <c r="C2163" s="120"/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</row>
    <row r="2164">
      <c r="A2164" s="122"/>
      <c r="B2164" s="120"/>
      <c r="C2164" s="120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</row>
    <row r="2165">
      <c r="A2165" s="122"/>
      <c r="B2165" s="120"/>
      <c r="C2165" s="120"/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</row>
    <row r="2166">
      <c r="A2166" s="122"/>
      <c r="B2166" s="120"/>
      <c r="C2166" s="120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</row>
    <row r="2167">
      <c r="A2167" s="122"/>
      <c r="B2167" s="120"/>
      <c r="C2167" s="120"/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</row>
    <row r="2168">
      <c r="A2168" s="122"/>
      <c r="B2168" s="120"/>
      <c r="C2168" s="120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</row>
    <row r="2169">
      <c r="A2169" s="122"/>
      <c r="B2169" s="120"/>
      <c r="C2169" s="120"/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</row>
    <row r="2170">
      <c r="A2170" s="122"/>
      <c r="B2170" s="120"/>
      <c r="C2170" s="120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</row>
    <row r="2171">
      <c r="A2171" s="122"/>
      <c r="B2171" s="120"/>
      <c r="C2171" s="120"/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</row>
    <row r="2172">
      <c r="A2172" s="122"/>
      <c r="B2172" s="120"/>
      <c r="C2172" s="120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</row>
    <row r="2173">
      <c r="A2173" s="122"/>
      <c r="B2173" s="120"/>
      <c r="C2173" s="120"/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</row>
    <row r="2174">
      <c r="A2174" s="122"/>
      <c r="B2174" s="120"/>
      <c r="C2174" s="120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</row>
    <row r="2175">
      <c r="A2175" s="122"/>
      <c r="B2175" s="120"/>
      <c r="C2175" s="120"/>
      <c r="D2175" s="21"/>
      <c r="E2175" s="2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</row>
    <row r="2176">
      <c r="A2176" s="122"/>
      <c r="B2176" s="120"/>
      <c r="C2176" s="120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</row>
    <row r="2177">
      <c r="A2177" s="122"/>
      <c r="B2177" s="120"/>
      <c r="C2177" s="120"/>
      <c r="D2177" s="21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</row>
    <row r="2178">
      <c r="A2178" s="122"/>
      <c r="B2178" s="121"/>
      <c r="C2178" s="120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</row>
    <row r="2179">
      <c r="A2179" s="122"/>
      <c r="B2179" s="121"/>
      <c r="C2179" s="120"/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</row>
    <row r="2180">
      <c r="A2180" s="122"/>
      <c r="B2180" s="120"/>
      <c r="C2180" s="120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</row>
    <row r="2181">
      <c r="A2181" s="122"/>
      <c r="B2181" s="120"/>
      <c r="C2181" s="120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</row>
    <row r="2182">
      <c r="A2182" s="122"/>
      <c r="B2182" s="120"/>
      <c r="C2182" s="120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</row>
    <row r="2183">
      <c r="A2183" s="122"/>
      <c r="B2183" s="120"/>
      <c r="C2183" s="120"/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</row>
    <row r="2184">
      <c r="A2184" s="122"/>
      <c r="B2184" s="120"/>
      <c r="C2184" s="120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</row>
    <row r="2185">
      <c r="A2185" s="122"/>
      <c r="B2185" s="121"/>
      <c r="C2185" s="120"/>
      <c r="D2185" s="21"/>
      <c r="E2185" s="2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</row>
    <row r="2186">
      <c r="A2186" s="122"/>
      <c r="B2186" s="121"/>
      <c r="C2186" s="120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</row>
    <row r="2187">
      <c r="A2187" s="122"/>
      <c r="B2187" s="121"/>
      <c r="C2187" s="120"/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</row>
    <row r="2188">
      <c r="A2188" s="122"/>
      <c r="B2188" s="119"/>
      <c r="C2188" s="120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</row>
    <row r="2189">
      <c r="A2189" s="122"/>
      <c r="B2189" s="120"/>
      <c r="C2189" s="120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</row>
    <row r="2190">
      <c r="A2190" s="122"/>
      <c r="B2190" s="120"/>
      <c r="C2190" s="120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</row>
    <row r="2191">
      <c r="A2191" s="122"/>
      <c r="B2191" s="120"/>
      <c r="C2191" s="120"/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</row>
    <row r="2192">
      <c r="A2192" s="122"/>
      <c r="B2192" s="120"/>
      <c r="C2192" s="120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</row>
    <row r="2193">
      <c r="A2193" s="122"/>
      <c r="B2193" s="121"/>
      <c r="C2193" s="120"/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</row>
    <row r="2194">
      <c r="A2194" s="122"/>
      <c r="B2194" s="120"/>
      <c r="C2194" s="120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</row>
    <row r="2195">
      <c r="A2195" s="122"/>
      <c r="B2195" s="120"/>
      <c r="C2195" s="120"/>
      <c r="D2195" s="21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</row>
    <row r="2196">
      <c r="A2196" s="122"/>
      <c r="B2196" s="120"/>
      <c r="C2196" s="120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</row>
    <row r="2197">
      <c r="A2197" s="122"/>
      <c r="B2197" s="119"/>
      <c r="C2197" s="120"/>
      <c r="D2197" s="21"/>
      <c r="E2197" s="2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</row>
    <row r="2198">
      <c r="A2198" s="122"/>
      <c r="B2198" s="120"/>
      <c r="C2198" s="120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</row>
    <row r="2199">
      <c r="A2199" s="122"/>
      <c r="B2199" s="120"/>
      <c r="C2199" s="120"/>
      <c r="D2199" s="21"/>
      <c r="E2199" s="2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</row>
    <row r="2200">
      <c r="A2200" s="122"/>
      <c r="B2200" s="120"/>
      <c r="C2200" s="120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</row>
    <row r="2201">
      <c r="A2201" s="122"/>
      <c r="B2201" s="120"/>
      <c r="C2201" s="120"/>
      <c r="D2201" s="21"/>
      <c r="E2201" s="21"/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</row>
    <row r="2202">
      <c r="A2202" s="122"/>
      <c r="B2202" s="120"/>
      <c r="C2202" s="120"/>
      <c r="D2202" s="21"/>
      <c r="E2202" s="21"/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</row>
    <row r="2203">
      <c r="A2203" s="122"/>
      <c r="B2203" s="120"/>
      <c r="C2203" s="120"/>
      <c r="D2203" s="21"/>
      <c r="E2203" s="21"/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</row>
    <row r="2204">
      <c r="A2204" s="122"/>
      <c r="B2204" s="120"/>
      <c r="C2204" s="120"/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</row>
    <row r="2205">
      <c r="A2205" s="122"/>
      <c r="B2205" s="120"/>
      <c r="C2205" s="120"/>
      <c r="D2205" s="21"/>
      <c r="E2205" s="21"/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</row>
    <row r="2206">
      <c r="A2206" s="122"/>
      <c r="B2206" s="120"/>
      <c r="C2206" s="120"/>
      <c r="D2206" s="21"/>
      <c r="E2206" s="21"/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</row>
    <row r="2207">
      <c r="A2207" s="122"/>
      <c r="B2207" s="121"/>
      <c r="C2207" s="120"/>
      <c r="D2207" s="21"/>
      <c r="E2207" s="21"/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</row>
    <row r="2208">
      <c r="A2208" s="122"/>
      <c r="B2208" s="121"/>
      <c r="C2208" s="120"/>
      <c r="D2208" s="21"/>
      <c r="E2208" s="21"/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</row>
    <row r="2209">
      <c r="A2209" s="122"/>
      <c r="B2209" s="121"/>
      <c r="C2209" s="120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</row>
    <row r="2210">
      <c r="A2210" s="122"/>
      <c r="B2210" s="121"/>
      <c r="C2210" s="120"/>
      <c r="D2210" s="21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</row>
    <row r="2211">
      <c r="A2211" s="122"/>
      <c r="B2211" s="121"/>
      <c r="C2211" s="120"/>
      <c r="D2211" s="21"/>
      <c r="E2211" s="2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</row>
    <row r="2212">
      <c r="A2212" s="122"/>
      <c r="B2212" s="121"/>
      <c r="C2212" s="120"/>
      <c r="D2212" s="21"/>
      <c r="E2212" s="21"/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</row>
    <row r="2213">
      <c r="A2213" s="122"/>
      <c r="B2213" s="121"/>
      <c r="C2213" s="120"/>
      <c r="D2213" s="21"/>
      <c r="E2213" s="21"/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</row>
    <row r="2214">
      <c r="A2214" s="122"/>
      <c r="B2214" s="121"/>
      <c r="C2214" s="120"/>
      <c r="D2214" s="21"/>
      <c r="E2214" s="21"/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</row>
    <row r="2215">
      <c r="A2215" s="122"/>
      <c r="B2215" s="121"/>
      <c r="C2215" s="120"/>
      <c r="D2215" s="21"/>
      <c r="E2215" s="2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</row>
    <row r="2216">
      <c r="A2216" s="122"/>
      <c r="B2216" s="121"/>
      <c r="C2216" s="120"/>
      <c r="D2216" s="21"/>
      <c r="E2216" s="21"/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</row>
    <row r="2217">
      <c r="A2217" s="122"/>
      <c r="B2217" s="121"/>
      <c r="C2217" s="120"/>
      <c r="D2217" s="21"/>
      <c r="E2217" s="2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</row>
    <row r="2218">
      <c r="A2218" s="122"/>
      <c r="B2218" s="121"/>
      <c r="C2218" s="120"/>
      <c r="D2218" s="21"/>
      <c r="E2218" s="2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</row>
    <row r="2219">
      <c r="A2219" s="122"/>
      <c r="B2219" s="120"/>
      <c r="C2219" s="120"/>
      <c r="D2219" s="21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</row>
    <row r="2220">
      <c r="A2220" s="122"/>
      <c r="B2220" s="120"/>
      <c r="C2220" s="120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</row>
    <row r="2221">
      <c r="A2221" s="122"/>
      <c r="B2221" s="119"/>
      <c r="C2221" s="120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</row>
    <row r="2222">
      <c r="A2222" s="122"/>
      <c r="B2222" s="121"/>
      <c r="C2222" s="120"/>
      <c r="D2222" s="21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</row>
    <row r="2223">
      <c r="A2223" s="122"/>
      <c r="B2223" s="120"/>
      <c r="C2223" s="120"/>
      <c r="D2223" s="21"/>
      <c r="E2223" s="21"/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</row>
    <row r="2224">
      <c r="A2224" s="122"/>
      <c r="B2224" s="120"/>
      <c r="C2224" s="120"/>
      <c r="D2224" s="21"/>
      <c r="E2224" s="21"/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</row>
    <row r="2225">
      <c r="A2225" s="122"/>
      <c r="B2225" s="120"/>
      <c r="C2225" s="120"/>
      <c r="D2225" s="21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</row>
    <row r="2226">
      <c r="A2226" s="122"/>
      <c r="B2226" s="120"/>
      <c r="C2226" s="120"/>
      <c r="D2226" s="21"/>
      <c r="E2226" s="2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</row>
    <row r="2227">
      <c r="A2227" s="122"/>
      <c r="B2227" s="120"/>
      <c r="C2227" s="120"/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</row>
    <row r="2228">
      <c r="A2228" s="122"/>
      <c r="B2228" s="120"/>
      <c r="C2228" s="120"/>
      <c r="D2228" s="21"/>
      <c r="E2228" s="21"/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</row>
    <row r="2229">
      <c r="A2229" s="122"/>
      <c r="B2229" s="121"/>
      <c r="C2229" s="120"/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</row>
    <row r="2230">
      <c r="A2230" s="122"/>
      <c r="B2230" s="121"/>
      <c r="C2230" s="120"/>
      <c r="D2230" s="21"/>
      <c r="E2230" s="21"/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</row>
    <row r="2231">
      <c r="A2231" s="122"/>
      <c r="B2231" s="121"/>
      <c r="C2231" s="120"/>
      <c r="D2231" s="21"/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</row>
    <row r="2232">
      <c r="A2232" s="122"/>
      <c r="B2232" s="121"/>
      <c r="C2232" s="120"/>
      <c r="D2232" s="21"/>
      <c r="E2232" s="21"/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</row>
    <row r="2233">
      <c r="A2233" s="122"/>
      <c r="B2233" s="119"/>
      <c r="C2233" s="120"/>
      <c r="D2233" s="21"/>
      <c r="E2233" s="21"/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</row>
    <row r="2234">
      <c r="A2234" s="122"/>
      <c r="B2234" s="119"/>
      <c r="C2234" s="120"/>
      <c r="D2234" s="21"/>
      <c r="E2234" s="21"/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</row>
    <row r="2235">
      <c r="A2235" s="122"/>
      <c r="B2235" s="121"/>
      <c r="C2235" s="120"/>
      <c r="D2235" s="21"/>
      <c r="E2235" s="2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</row>
    <row r="2236">
      <c r="A2236" s="122"/>
      <c r="B2236" s="121"/>
      <c r="C2236" s="120"/>
      <c r="D2236" s="21"/>
      <c r="E2236" s="21"/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</row>
    <row r="2237">
      <c r="A2237" s="122"/>
      <c r="B2237" s="120"/>
      <c r="C2237" s="120"/>
      <c r="D2237" s="21"/>
      <c r="E2237" s="21"/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</row>
    <row r="2238">
      <c r="A2238" s="122"/>
      <c r="B2238" s="120"/>
      <c r="C2238" s="120"/>
      <c r="D2238" s="21"/>
      <c r="E2238" s="21"/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</row>
    <row r="2239">
      <c r="A2239" s="122"/>
      <c r="B2239" s="120"/>
      <c r="C2239" s="120"/>
      <c r="D2239" s="21"/>
      <c r="E2239" s="21"/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</row>
    <row r="2240">
      <c r="A2240" s="122"/>
      <c r="B2240" s="120"/>
      <c r="C2240" s="120"/>
      <c r="D2240" s="21"/>
      <c r="E2240" s="21"/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</row>
    <row r="2241">
      <c r="A2241" s="122"/>
      <c r="B2241" s="120"/>
      <c r="C2241" s="120"/>
      <c r="D2241" s="21"/>
      <c r="E2241" s="2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</row>
    <row r="2242">
      <c r="A2242" s="122"/>
      <c r="B2242" s="120"/>
      <c r="C2242" s="120"/>
      <c r="D2242" s="21"/>
      <c r="E2242" s="21"/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</row>
    <row r="2243">
      <c r="A2243" s="122"/>
      <c r="B2243" s="120"/>
      <c r="C2243" s="120"/>
      <c r="D2243" s="21"/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</row>
    <row r="2244">
      <c r="A2244" s="122"/>
      <c r="B2244" s="120"/>
      <c r="C2244" s="120"/>
      <c r="D2244" s="21"/>
      <c r="E2244" s="21"/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</row>
    <row r="2245">
      <c r="A2245" s="122"/>
      <c r="B2245" s="120"/>
      <c r="C2245" s="120"/>
      <c r="D2245" s="21"/>
      <c r="E2245" s="2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</row>
    <row r="2246">
      <c r="A2246" s="122"/>
      <c r="B2246" s="120"/>
      <c r="C2246" s="120"/>
      <c r="D2246" s="21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</row>
    <row r="2247">
      <c r="A2247" s="122"/>
      <c r="B2247" s="120"/>
      <c r="C2247" s="120"/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</row>
    <row r="2248">
      <c r="A2248" s="122"/>
      <c r="B2248" s="120"/>
      <c r="C2248" s="120"/>
      <c r="D2248" s="21"/>
      <c r="E2248" s="2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</row>
    <row r="2249">
      <c r="A2249" s="122"/>
      <c r="B2249" s="120"/>
      <c r="C2249" s="120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</row>
    <row r="2250">
      <c r="A2250" s="122"/>
      <c r="B2250" s="120"/>
      <c r="C2250" s="120"/>
      <c r="D2250" s="21"/>
      <c r="E2250" s="2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</row>
    <row r="2251">
      <c r="A2251" s="122"/>
      <c r="B2251" s="120"/>
      <c r="C2251" s="120"/>
      <c r="D2251" s="21"/>
      <c r="E2251" s="2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</row>
    <row r="2252">
      <c r="A2252" s="122"/>
      <c r="B2252" s="120"/>
      <c r="C2252" s="120"/>
      <c r="D2252" s="21"/>
      <c r="E2252" s="21"/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</row>
    <row r="2253">
      <c r="A2253" s="122"/>
      <c r="B2253" s="121"/>
      <c r="C2253" s="120"/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</row>
    <row r="2254">
      <c r="A2254" s="122"/>
      <c r="B2254" s="121"/>
      <c r="C2254" s="120"/>
      <c r="D2254" s="21"/>
      <c r="E2254" s="21"/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</row>
    <row r="2255">
      <c r="A2255" s="122"/>
      <c r="B2255" s="119"/>
      <c r="C2255" s="120"/>
      <c r="D2255" s="21"/>
      <c r="E2255" s="21"/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</row>
    <row r="2256">
      <c r="A2256" s="122"/>
      <c r="B2256" s="121"/>
      <c r="C2256" s="120"/>
      <c r="D2256" s="21"/>
      <c r="E2256" s="21"/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</row>
    <row r="2257">
      <c r="A2257" s="122"/>
      <c r="B2257" s="121"/>
      <c r="C2257" s="120"/>
      <c r="D2257" s="21"/>
      <c r="E2257" s="21"/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</row>
    <row r="2258">
      <c r="A2258" s="122"/>
      <c r="B2258" s="121"/>
      <c r="C2258" s="120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</row>
    <row r="2259">
      <c r="A2259" s="122"/>
      <c r="B2259" s="121"/>
      <c r="C2259" s="120"/>
      <c r="D2259" s="21"/>
      <c r="E2259" s="2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</row>
    <row r="2260">
      <c r="A2260" s="122"/>
      <c r="B2260" s="120"/>
      <c r="C2260" s="120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</row>
    <row r="2261">
      <c r="A2261" s="122"/>
      <c r="B2261" s="120"/>
      <c r="C2261" s="120"/>
      <c r="D2261" s="21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</row>
    <row r="2262">
      <c r="A2262" s="122"/>
      <c r="B2262" s="121"/>
      <c r="C2262" s="120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</row>
    <row r="2263">
      <c r="A2263" s="122"/>
      <c r="B2263" s="120"/>
      <c r="C2263" s="120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</row>
    <row r="2264">
      <c r="A2264" s="122"/>
      <c r="B2264" s="120"/>
      <c r="C2264" s="120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</row>
    <row r="2265">
      <c r="A2265" s="122"/>
      <c r="B2265" s="120"/>
      <c r="C2265" s="120"/>
      <c r="D2265" s="21"/>
      <c r="E2265" s="21"/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</row>
    <row r="2266">
      <c r="A2266" s="122"/>
      <c r="B2266" s="120"/>
      <c r="C2266" s="120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</row>
    <row r="2267">
      <c r="A2267" s="122"/>
      <c r="B2267" s="120"/>
      <c r="C2267" s="120"/>
      <c r="D2267" s="21"/>
      <c r="E2267" s="21"/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</row>
    <row r="2268">
      <c r="A2268" s="122"/>
      <c r="B2268" s="120"/>
      <c r="C2268" s="120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</row>
    <row r="2269">
      <c r="A2269" s="122"/>
      <c r="B2269" s="121"/>
      <c r="C2269" s="120"/>
      <c r="D2269" s="21"/>
      <c r="E2269" s="2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</row>
    <row r="2270">
      <c r="A2270" s="122"/>
      <c r="B2270" s="121"/>
      <c r="C2270" s="120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</row>
    <row r="2271">
      <c r="A2271" s="122"/>
      <c r="B2271" s="120"/>
      <c r="C2271" s="120"/>
      <c r="D2271" s="21"/>
      <c r="E2271" s="21"/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</row>
    <row r="2272">
      <c r="A2272" s="122"/>
      <c r="B2272" s="120"/>
      <c r="C2272" s="120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</row>
    <row r="2273">
      <c r="A2273" s="122"/>
      <c r="B2273" s="120"/>
      <c r="C2273" s="120"/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</row>
    <row r="2274">
      <c r="A2274" s="122"/>
      <c r="B2274" s="120"/>
      <c r="C2274" s="120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</row>
    <row r="2275">
      <c r="A2275" s="122"/>
      <c r="B2275" s="120"/>
      <c r="C2275" s="120"/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</row>
    <row r="2276">
      <c r="A2276" s="122"/>
      <c r="B2276" s="119"/>
      <c r="C2276" s="120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</row>
    <row r="2277">
      <c r="A2277" s="122"/>
      <c r="B2277" s="120"/>
      <c r="C2277" s="120"/>
      <c r="D2277" s="21"/>
      <c r="E2277" s="2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</row>
    <row r="2278">
      <c r="A2278" s="122"/>
      <c r="B2278" s="120"/>
      <c r="C2278" s="120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</row>
    <row r="2279">
      <c r="A2279" s="122"/>
      <c r="B2279" s="121"/>
      <c r="C2279" s="120"/>
      <c r="D2279" s="21"/>
      <c r="E2279" s="21"/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</row>
    <row r="2280">
      <c r="A2280" s="122"/>
      <c r="B2280" s="120"/>
      <c r="C2280" s="120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</row>
    <row r="2281">
      <c r="A2281" s="122"/>
      <c r="B2281" s="120"/>
      <c r="C2281" s="120"/>
      <c r="D2281" s="21"/>
      <c r="E2281" s="21"/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</row>
    <row r="2282">
      <c r="A2282" s="122"/>
      <c r="B2282" s="120"/>
      <c r="C2282" s="120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</row>
    <row r="2283">
      <c r="A2283" s="122"/>
      <c r="B2283" s="120"/>
      <c r="C2283" s="120"/>
      <c r="D2283" s="21"/>
      <c r="E2283" s="2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</row>
    <row r="2284">
      <c r="A2284" s="122"/>
      <c r="B2284" s="120"/>
      <c r="C2284" s="120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</row>
    <row r="2285">
      <c r="A2285" s="122"/>
      <c r="B2285" s="120"/>
      <c r="C2285" s="120"/>
      <c r="D2285" s="21"/>
      <c r="E2285" s="21"/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</row>
    <row r="2286">
      <c r="A2286" s="122"/>
      <c r="B2286" s="120"/>
      <c r="C2286" s="120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</row>
    <row r="2287">
      <c r="A2287" s="122"/>
      <c r="B2287" s="120"/>
      <c r="C2287" s="120"/>
      <c r="D2287" s="21"/>
      <c r="E2287" s="21"/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</row>
    <row r="2288">
      <c r="A2288" s="122"/>
      <c r="B2288" s="120"/>
      <c r="C2288" s="120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</row>
    <row r="2289">
      <c r="A2289" s="122"/>
      <c r="B2289" s="120"/>
      <c r="C2289" s="120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</row>
    <row r="2290">
      <c r="A2290" s="122"/>
      <c r="B2290" s="120"/>
      <c r="C2290" s="120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</row>
    <row r="2291">
      <c r="A2291" s="122"/>
      <c r="B2291" s="119"/>
      <c r="C2291" s="120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</row>
    <row r="2292">
      <c r="A2292" s="122"/>
      <c r="B2292" s="121"/>
      <c r="C2292" s="120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</row>
    <row r="2293">
      <c r="A2293" s="122"/>
      <c r="B2293" s="120"/>
      <c r="C2293" s="120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</row>
    <row r="2294">
      <c r="A2294" s="122"/>
      <c r="B2294" s="120"/>
      <c r="C2294" s="120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</row>
    <row r="2295">
      <c r="A2295" s="122"/>
      <c r="B2295" s="119"/>
      <c r="C2295" s="120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</row>
    <row r="2296">
      <c r="A2296" s="122"/>
      <c r="B2296" s="119"/>
      <c r="C2296" s="120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</row>
    <row r="2297">
      <c r="A2297" s="122"/>
      <c r="B2297" s="119"/>
      <c r="C2297" s="120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</row>
    <row r="2298">
      <c r="A2298" s="122"/>
      <c r="B2298" s="119"/>
      <c r="C2298" s="120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</row>
    <row r="2299">
      <c r="A2299" s="122"/>
      <c r="B2299" s="120"/>
      <c r="C2299" s="120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</row>
    <row r="2300">
      <c r="A2300" s="122"/>
      <c r="B2300" s="119"/>
      <c r="C2300" s="120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</row>
    <row r="2301">
      <c r="A2301" s="122"/>
      <c r="B2301" s="119"/>
      <c r="C2301" s="120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</row>
    <row r="2302">
      <c r="A2302" s="122"/>
      <c r="B2302" s="119"/>
      <c r="C2302" s="120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</row>
    <row r="2303">
      <c r="A2303" s="122"/>
      <c r="B2303" s="120"/>
      <c r="C2303" s="120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</row>
    <row r="2304">
      <c r="A2304" s="122"/>
      <c r="B2304" s="120"/>
      <c r="C2304" s="120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</row>
    <row r="2305">
      <c r="A2305" s="122"/>
      <c r="B2305" s="120"/>
      <c r="C2305" s="120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</row>
    <row r="2306">
      <c r="A2306" s="122"/>
      <c r="B2306" s="120"/>
      <c r="C2306" s="120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</row>
    <row r="2307">
      <c r="A2307" s="122"/>
      <c r="B2307" s="120"/>
      <c r="C2307" s="120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</row>
    <row r="2308">
      <c r="A2308" s="122"/>
      <c r="B2308" s="120"/>
      <c r="C2308" s="120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</row>
    <row r="2309">
      <c r="A2309" s="122"/>
      <c r="B2309" s="120"/>
      <c r="C2309" s="120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</row>
    <row r="2310">
      <c r="A2310" s="122"/>
      <c r="B2310" s="120"/>
      <c r="C2310" s="120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</row>
    <row r="2311">
      <c r="A2311" s="122"/>
      <c r="B2311" s="120"/>
      <c r="C2311" s="120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</row>
    <row r="2312">
      <c r="A2312" s="122"/>
      <c r="B2312" s="120"/>
      <c r="C2312" s="120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</row>
    <row r="2313">
      <c r="A2313" s="122"/>
      <c r="B2313" s="120"/>
      <c r="C2313" s="120"/>
      <c r="D2313" s="21"/>
      <c r="E2313" s="2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</row>
    <row r="2314">
      <c r="A2314" s="122"/>
      <c r="B2314" s="119"/>
      <c r="C2314" s="120"/>
      <c r="D2314" s="21"/>
      <c r="E2314" s="21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</row>
    <row r="2315">
      <c r="A2315" s="122"/>
      <c r="B2315" s="120"/>
      <c r="C2315" s="120"/>
      <c r="D2315" s="21"/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</row>
    <row r="2316">
      <c r="A2316" s="122"/>
      <c r="B2316" s="120"/>
      <c r="C2316" s="120"/>
      <c r="D2316" s="21"/>
      <c r="E2316" s="2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</row>
    <row r="2317">
      <c r="A2317" s="122"/>
      <c r="B2317" s="120"/>
      <c r="C2317" s="120"/>
      <c r="D2317" s="21"/>
      <c r="E2317" s="21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</row>
    <row r="2318">
      <c r="A2318" s="122"/>
      <c r="B2318" s="120"/>
      <c r="C2318" s="120"/>
      <c r="D2318" s="21"/>
      <c r="E2318" s="2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</row>
    <row r="2319">
      <c r="A2319" s="122"/>
      <c r="B2319" s="120"/>
      <c r="C2319" s="120"/>
      <c r="D2319" s="21"/>
      <c r="E2319" s="2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</row>
    <row r="2320">
      <c r="A2320" s="122"/>
      <c r="B2320" s="120"/>
      <c r="C2320" s="120"/>
      <c r="D2320" s="21"/>
      <c r="E2320" s="21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</row>
    <row r="2321">
      <c r="A2321" s="122"/>
      <c r="B2321" s="120"/>
      <c r="C2321" s="120"/>
      <c r="D2321" s="21"/>
      <c r="E2321" s="2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</row>
    <row r="2322">
      <c r="A2322" s="122"/>
      <c r="B2322" s="120"/>
      <c r="C2322" s="120"/>
      <c r="D2322" s="21"/>
      <c r="E2322" s="2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</row>
    <row r="2323">
      <c r="A2323" s="122"/>
      <c r="B2323" s="120"/>
      <c r="C2323" s="120"/>
      <c r="D2323" s="21"/>
      <c r="E2323" s="21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</row>
    <row r="2324">
      <c r="A2324" s="122"/>
      <c r="B2324" s="120"/>
      <c r="C2324" s="120"/>
      <c r="D2324" s="21"/>
      <c r="E2324" s="2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</row>
    <row r="2325">
      <c r="A2325" s="122"/>
      <c r="B2325" s="120"/>
      <c r="C2325" s="120"/>
      <c r="D2325" s="21"/>
      <c r="E2325" s="2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</row>
    <row r="2326">
      <c r="A2326" s="122"/>
      <c r="B2326" s="120"/>
      <c r="C2326" s="120"/>
      <c r="D2326" s="21"/>
      <c r="E2326" s="21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</row>
    <row r="2327">
      <c r="A2327" s="122"/>
      <c r="B2327" s="120"/>
      <c r="C2327" s="120"/>
      <c r="D2327" s="21"/>
      <c r="E2327" s="2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</row>
    <row r="2328">
      <c r="A2328" s="122"/>
      <c r="B2328" s="120"/>
      <c r="C2328" s="120"/>
      <c r="D2328" s="21"/>
      <c r="E2328" s="2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</row>
    <row r="2329">
      <c r="A2329" s="122"/>
      <c r="B2329" s="120"/>
      <c r="C2329" s="120"/>
      <c r="D2329" s="21"/>
      <c r="E2329" s="2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</row>
    <row r="2330">
      <c r="A2330" s="122"/>
      <c r="B2330" s="120"/>
      <c r="C2330" s="120"/>
      <c r="D2330" s="21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</row>
    <row r="2331">
      <c r="A2331" s="122"/>
      <c r="B2331" s="120"/>
      <c r="C2331" s="120"/>
      <c r="D2331" s="21"/>
      <c r="E2331" s="2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</row>
    <row r="2332">
      <c r="A2332" s="122"/>
      <c r="B2332" s="120"/>
      <c r="C2332" s="120"/>
      <c r="D2332" s="21"/>
      <c r="E2332" s="2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</row>
    <row r="2333">
      <c r="A2333" s="122"/>
      <c r="B2333" s="121"/>
      <c r="C2333" s="120"/>
      <c r="D2333" s="21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</row>
    <row r="2334">
      <c r="A2334" s="122"/>
      <c r="B2334" s="120"/>
      <c r="C2334" s="120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</row>
    <row r="2335">
      <c r="A2335" s="122"/>
      <c r="B2335" s="120"/>
      <c r="C2335" s="120"/>
      <c r="D2335" s="21"/>
      <c r="E2335" s="21"/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</row>
    <row r="2336">
      <c r="A2336" s="122"/>
      <c r="B2336" s="120"/>
      <c r="C2336" s="120"/>
      <c r="D2336" s="21"/>
      <c r="E2336" s="21"/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</row>
    <row r="2337">
      <c r="A2337" s="122"/>
      <c r="B2337" s="120"/>
      <c r="C2337" s="120"/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</row>
    <row r="2338">
      <c r="A2338" s="122"/>
      <c r="B2338" s="119"/>
      <c r="C2338" s="120"/>
      <c r="D2338" s="21"/>
      <c r="E2338" s="21"/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</row>
    <row r="2339">
      <c r="A2339" s="122"/>
      <c r="B2339" s="120"/>
      <c r="C2339" s="120"/>
      <c r="D2339" s="21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</row>
    <row r="2340">
      <c r="A2340" s="122"/>
      <c r="B2340" s="120"/>
      <c r="C2340" s="120"/>
      <c r="D2340" s="21"/>
      <c r="E2340" s="21"/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</row>
    <row r="2341">
      <c r="A2341" s="122"/>
      <c r="B2341" s="119"/>
      <c r="C2341" s="120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</row>
    <row r="2342">
      <c r="A2342" s="122"/>
      <c r="B2342" s="120"/>
      <c r="C2342" s="120"/>
      <c r="D2342" s="21"/>
      <c r="E2342" s="21"/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</row>
    <row r="2343">
      <c r="A2343" s="122"/>
      <c r="B2343" s="120"/>
      <c r="C2343" s="120"/>
      <c r="D2343" s="21"/>
      <c r="E2343" s="21"/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</row>
    <row r="2344">
      <c r="A2344" s="122"/>
      <c r="B2344" s="119"/>
      <c r="C2344" s="120"/>
      <c r="D2344" s="21"/>
      <c r="E2344" s="2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</row>
    <row r="2345">
      <c r="A2345" s="122"/>
      <c r="B2345" s="119"/>
      <c r="C2345" s="120"/>
      <c r="D2345" s="21"/>
      <c r="E2345" s="21"/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</row>
    <row r="2346">
      <c r="A2346" s="122"/>
      <c r="B2346" s="119"/>
      <c r="C2346" s="120"/>
      <c r="D2346" s="21"/>
      <c r="E2346" s="21"/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</row>
    <row r="2347">
      <c r="A2347" s="122"/>
      <c r="B2347" s="120"/>
      <c r="C2347" s="120"/>
      <c r="D2347" s="21"/>
      <c r="E2347" s="2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</row>
    <row r="2348">
      <c r="A2348" s="122"/>
      <c r="B2348" s="120"/>
      <c r="C2348" s="120"/>
      <c r="D2348" s="21"/>
      <c r="E2348" s="21"/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</row>
    <row r="2349">
      <c r="A2349" s="122"/>
      <c r="B2349" s="120"/>
      <c r="C2349" s="120"/>
      <c r="D2349" s="21"/>
      <c r="E2349" s="2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</row>
    <row r="2350">
      <c r="A2350" s="122"/>
      <c r="B2350" s="120"/>
      <c r="C2350" s="120"/>
      <c r="D2350" s="21"/>
      <c r="E2350" s="21"/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</row>
    <row r="2351">
      <c r="A2351" s="122"/>
      <c r="B2351" s="119"/>
      <c r="C2351" s="120"/>
      <c r="D2351" s="21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</row>
    <row r="2352">
      <c r="A2352" s="122"/>
      <c r="B2352" s="120"/>
      <c r="C2352" s="120"/>
      <c r="D2352" s="21"/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</row>
    <row r="2353">
      <c r="A2353" s="122"/>
      <c r="B2353" s="119"/>
      <c r="C2353" s="120"/>
      <c r="D2353" s="21"/>
      <c r="E2353" s="2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</row>
    <row r="2354">
      <c r="A2354" s="122"/>
      <c r="B2354" s="120"/>
      <c r="C2354" s="120"/>
      <c r="D2354" s="21"/>
      <c r="E2354" s="21"/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</row>
    <row r="2355">
      <c r="A2355" s="122"/>
      <c r="B2355" s="120"/>
      <c r="C2355" s="120"/>
      <c r="D2355" s="21"/>
      <c r="E2355" s="21"/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</row>
    <row r="2356">
      <c r="A2356" s="122"/>
      <c r="B2356" s="120"/>
      <c r="C2356" s="120"/>
      <c r="D2356" s="21"/>
      <c r="E2356" s="2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</row>
    <row r="2357">
      <c r="A2357" s="122"/>
      <c r="B2357" s="120"/>
      <c r="C2357" s="120"/>
      <c r="D2357" s="21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</row>
    <row r="2358">
      <c r="A2358" s="122"/>
      <c r="B2358" s="120"/>
      <c r="C2358" s="120"/>
      <c r="D2358" s="21"/>
      <c r="E2358" s="2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</row>
    <row r="2359">
      <c r="A2359" s="122"/>
      <c r="B2359" s="120"/>
      <c r="C2359" s="120"/>
      <c r="D2359" s="21"/>
      <c r="E2359" s="2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</row>
    <row r="2360">
      <c r="A2360" s="122"/>
      <c r="B2360" s="120"/>
      <c r="C2360" s="120"/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</row>
    <row r="2361">
      <c r="A2361" s="122"/>
      <c r="B2361" s="120"/>
      <c r="C2361" s="120"/>
      <c r="D2361" s="21"/>
      <c r="E2361" s="2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</row>
    <row r="2362">
      <c r="A2362" s="122"/>
      <c r="B2362" s="120"/>
      <c r="C2362" s="120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</row>
    <row r="2363">
      <c r="A2363" s="122"/>
      <c r="B2363" s="120"/>
      <c r="C2363" s="120"/>
      <c r="D2363" s="21"/>
      <c r="E2363" s="21"/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</row>
    <row r="2364">
      <c r="A2364" s="122"/>
      <c r="B2364" s="119"/>
      <c r="C2364" s="120"/>
      <c r="D2364" s="21"/>
      <c r="E2364" s="21"/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</row>
    <row r="2365">
      <c r="A2365" s="122"/>
      <c r="B2365" s="119"/>
      <c r="C2365" s="120"/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</row>
    <row r="2366">
      <c r="A2366" s="122"/>
      <c r="B2366" s="120"/>
      <c r="C2366" s="120"/>
      <c r="D2366" s="21"/>
      <c r="E2366" s="21"/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</row>
    <row r="2367">
      <c r="A2367" s="122"/>
      <c r="B2367" s="119"/>
      <c r="C2367" s="120"/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</row>
    <row r="2368">
      <c r="A2368" s="122"/>
      <c r="B2368" s="120"/>
      <c r="C2368" s="120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</row>
    <row r="2369">
      <c r="A2369" s="122"/>
      <c r="B2369" s="120"/>
      <c r="C2369" s="120"/>
      <c r="D2369" s="21"/>
      <c r="E2369" s="21"/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</row>
    <row r="2370">
      <c r="A2370" s="122"/>
      <c r="B2370" s="120"/>
      <c r="C2370" s="120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</row>
    <row r="2371">
      <c r="A2371" s="122"/>
      <c r="B2371" s="119"/>
      <c r="C2371" s="120"/>
      <c r="D2371" s="21"/>
      <c r="E2371" s="2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</row>
    <row r="2372">
      <c r="A2372" s="122"/>
      <c r="B2372" s="119"/>
      <c r="C2372" s="120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</row>
    <row r="2373">
      <c r="A2373" s="122"/>
      <c r="B2373" s="119"/>
      <c r="C2373" s="120"/>
      <c r="D2373" s="21"/>
      <c r="E2373" s="21"/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</row>
    <row r="2374">
      <c r="A2374" s="122"/>
      <c r="B2374" s="119"/>
      <c r="C2374" s="120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</row>
    <row r="2375">
      <c r="A2375" s="122"/>
      <c r="B2375" s="119"/>
      <c r="C2375" s="120"/>
      <c r="D2375" s="21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</row>
    <row r="2376">
      <c r="A2376" s="122"/>
      <c r="B2376" s="119"/>
      <c r="C2376" s="120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</row>
    <row r="2377">
      <c r="A2377" s="122"/>
      <c r="B2377" s="119"/>
      <c r="C2377" s="120"/>
      <c r="D2377" s="21"/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</row>
    <row r="2378">
      <c r="A2378" s="122"/>
      <c r="B2378" s="120"/>
      <c r="C2378" s="120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</row>
    <row r="2379">
      <c r="A2379" s="122"/>
      <c r="B2379" s="120"/>
      <c r="C2379" s="120"/>
      <c r="D2379" s="21"/>
      <c r="E2379" s="2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</row>
    <row r="2380">
      <c r="A2380" s="122"/>
      <c r="B2380" s="120"/>
      <c r="C2380" s="120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</row>
    <row r="2381">
      <c r="A2381" s="122"/>
      <c r="B2381" s="120"/>
      <c r="C2381" s="120"/>
      <c r="D2381" s="21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</row>
    <row r="2382">
      <c r="A2382" s="122"/>
      <c r="B2382" s="120"/>
      <c r="C2382" s="120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</row>
    <row r="2383">
      <c r="A2383" s="122"/>
      <c r="B2383" s="120"/>
      <c r="C2383" s="120"/>
      <c r="D2383" s="21"/>
      <c r="E2383" s="2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</row>
    <row r="2384">
      <c r="A2384" s="122"/>
      <c r="B2384" s="119"/>
      <c r="C2384" s="120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</row>
    <row r="2385">
      <c r="A2385" s="122"/>
      <c r="B2385" s="120"/>
      <c r="C2385" s="120"/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</row>
    <row r="2386">
      <c r="A2386" s="122"/>
      <c r="B2386" s="120"/>
      <c r="C2386" s="120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</row>
    <row r="2387">
      <c r="A2387" s="122"/>
      <c r="B2387" s="120"/>
      <c r="C2387" s="120"/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</row>
    <row r="2388">
      <c r="A2388" s="122"/>
      <c r="B2388" s="120"/>
      <c r="C2388" s="120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</row>
    <row r="2389">
      <c r="A2389" s="122"/>
      <c r="B2389" s="119"/>
      <c r="C2389" s="120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</row>
    <row r="2390">
      <c r="A2390" s="122"/>
      <c r="B2390" s="119"/>
      <c r="C2390" s="120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</row>
    <row r="2391">
      <c r="A2391" s="122"/>
      <c r="B2391" s="119"/>
      <c r="C2391" s="120"/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</row>
    <row r="2392">
      <c r="A2392" s="122"/>
      <c r="B2392" s="119"/>
      <c r="C2392" s="120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</row>
    <row r="2393">
      <c r="A2393" s="122"/>
      <c r="B2393" s="119"/>
      <c r="C2393" s="120"/>
      <c r="D2393" s="21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</row>
    <row r="2394">
      <c r="A2394" s="122"/>
      <c r="B2394" s="120"/>
      <c r="C2394" s="120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</row>
    <row r="2395">
      <c r="A2395" s="122"/>
      <c r="B2395" s="120"/>
      <c r="C2395" s="120"/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</row>
    <row r="2396">
      <c r="A2396" s="122"/>
      <c r="B2396" s="120"/>
      <c r="C2396" s="120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</row>
    <row r="2397">
      <c r="A2397" s="122"/>
      <c r="B2397" s="121"/>
      <c r="C2397" s="120"/>
      <c r="D2397" s="21"/>
      <c r="E2397" s="2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</row>
    <row r="2398">
      <c r="A2398" s="122"/>
      <c r="B2398" s="121"/>
      <c r="C2398" s="120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</row>
    <row r="2399">
      <c r="A2399" s="122"/>
      <c r="B2399" s="119"/>
      <c r="C2399" s="120"/>
      <c r="D2399" s="21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</row>
    <row r="2400">
      <c r="A2400" s="122"/>
      <c r="B2400" s="121"/>
      <c r="C2400" s="120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</row>
    <row r="2401">
      <c r="A2401" s="122"/>
      <c r="B2401" s="120"/>
      <c r="C2401" s="120"/>
      <c r="D2401" s="21"/>
      <c r="E2401" s="2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</row>
    <row r="2402">
      <c r="A2402" s="122"/>
      <c r="B2402" s="120"/>
      <c r="C2402" s="120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</row>
    <row r="2403">
      <c r="A2403" s="122"/>
      <c r="B2403" s="120"/>
      <c r="C2403" s="120"/>
      <c r="D2403" s="21"/>
      <c r="E2403" s="2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</row>
    <row r="2404">
      <c r="A2404" s="122"/>
      <c r="B2404" s="120"/>
      <c r="C2404" s="120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</row>
    <row r="2405">
      <c r="A2405" s="122"/>
      <c r="B2405" s="119"/>
      <c r="C2405" s="120"/>
      <c r="D2405" s="21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</row>
    <row r="2406">
      <c r="A2406" s="122"/>
      <c r="B2406" s="120"/>
      <c r="C2406" s="120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</row>
    <row r="2407">
      <c r="A2407" s="122"/>
      <c r="B2407" s="120"/>
      <c r="C2407" s="120"/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</row>
    <row r="2408">
      <c r="A2408" s="122"/>
      <c r="B2408" s="120"/>
      <c r="C2408" s="120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</row>
    <row r="2409">
      <c r="A2409" s="122"/>
      <c r="B2409" s="120"/>
      <c r="C2409" s="120"/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</row>
    <row r="2410">
      <c r="A2410" s="122"/>
      <c r="B2410" s="119"/>
      <c r="C2410" s="120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</row>
    <row r="2411">
      <c r="A2411" s="122"/>
      <c r="B2411" s="120"/>
      <c r="C2411" s="120"/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</row>
    <row r="2412">
      <c r="A2412" s="122"/>
      <c r="B2412" s="120"/>
      <c r="C2412" s="120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</row>
    <row r="2413">
      <c r="A2413" s="122"/>
      <c r="B2413" s="120"/>
      <c r="C2413" s="120"/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</row>
    <row r="2414">
      <c r="A2414" s="122"/>
      <c r="B2414" s="119"/>
      <c r="C2414" s="120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</row>
    <row r="2415">
      <c r="A2415" s="122"/>
      <c r="B2415" s="120"/>
      <c r="C2415" s="120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</row>
    <row r="2416">
      <c r="A2416" s="122"/>
      <c r="B2416" s="119"/>
      <c r="C2416" s="120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</row>
    <row r="2417">
      <c r="A2417" s="122"/>
      <c r="B2417" s="120"/>
      <c r="C2417" s="120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</row>
    <row r="2418">
      <c r="A2418" s="122"/>
      <c r="B2418" s="120"/>
      <c r="C2418" s="120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</row>
    <row r="2419">
      <c r="A2419" s="122"/>
      <c r="B2419" s="120"/>
      <c r="C2419" s="120"/>
      <c r="D2419" s="21"/>
      <c r="E2419" s="2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</row>
    <row r="2420">
      <c r="A2420" s="122"/>
      <c r="B2420" s="120"/>
      <c r="C2420" s="120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</row>
    <row r="2421">
      <c r="A2421" s="122"/>
      <c r="B2421" s="120"/>
      <c r="C2421" s="120"/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</row>
    <row r="2422">
      <c r="A2422" s="122"/>
      <c r="B2422" s="120"/>
      <c r="C2422" s="120"/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</row>
    <row r="2423">
      <c r="A2423" s="122"/>
      <c r="B2423" s="120"/>
      <c r="C2423" s="120"/>
      <c r="D2423" s="21"/>
      <c r="E2423" s="21"/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</row>
    <row r="2424">
      <c r="A2424" s="122"/>
      <c r="B2424" s="120"/>
      <c r="C2424" s="120"/>
      <c r="D2424" s="21"/>
      <c r="E2424" s="2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</row>
    <row r="2425">
      <c r="A2425" s="122"/>
      <c r="B2425" s="120"/>
      <c r="C2425" s="120"/>
      <c r="D2425" s="21"/>
      <c r="E2425" s="21"/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</row>
    <row r="2426">
      <c r="A2426" s="122"/>
      <c r="B2426" s="120"/>
      <c r="C2426" s="120"/>
      <c r="D2426" s="21"/>
      <c r="E2426" s="21"/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</row>
    <row r="2427">
      <c r="A2427" s="122"/>
      <c r="B2427" s="120"/>
      <c r="C2427" s="120"/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</row>
    <row r="2428">
      <c r="A2428" s="122"/>
      <c r="B2428" s="120"/>
      <c r="C2428" s="120"/>
      <c r="D2428" s="21"/>
      <c r="E2428" s="2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</row>
    <row r="2429">
      <c r="A2429" s="122"/>
      <c r="B2429" s="120"/>
      <c r="C2429" s="120"/>
      <c r="D2429" s="21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</row>
    <row r="2430">
      <c r="A2430" s="122"/>
      <c r="B2430" s="120"/>
      <c r="C2430" s="120"/>
      <c r="D2430" s="21"/>
      <c r="E2430" s="21"/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</row>
    <row r="2431">
      <c r="A2431" s="122"/>
      <c r="B2431" s="120"/>
      <c r="C2431" s="120"/>
      <c r="D2431" s="21"/>
      <c r="E2431" s="2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</row>
    <row r="2432">
      <c r="A2432" s="122"/>
      <c r="B2432" s="120"/>
      <c r="C2432" s="120"/>
      <c r="D2432" s="21"/>
      <c r="E2432" s="21"/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</row>
    <row r="2433">
      <c r="A2433" s="122"/>
      <c r="B2433" s="120"/>
      <c r="C2433" s="120"/>
      <c r="D2433" s="21"/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</row>
    <row r="2434">
      <c r="A2434" s="122"/>
      <c r="B2434" s="120"/>
      <c r="C2434" s="120"/>
      <c r="D2434" s="21"/>
      <c r="E2434" s="21"/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</row>
    <row r="2435">
      <c r="A2435" s="122"/>
      <c r="B2435" s="120"/>
      <c r="C2435" s="120"/>
      <c r="D2435" s="21"/>
      <c r="E2435" s="21"/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</row>
    <row r="2436">
      <c r="A2436" s="122"/>
      <c r="B2436" s="119"/>
      <c r="C2436" s="120"/>
      <c r="D2436" s="21"/>
      <c r="E2436" s="21"/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</row>
    <row r="2437">
      <c r="A2437" s="122"/>
      <c r="B2437" s="120"/>
      <c r="C2437" s="120"/>
      <c r="D2437" s="21"/>
      <c r="E2437" s="21"/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</row>
    <row r="2438">
      <c r="A2438" s="122"/>
      <c r="B2438" s="120"/>
      <c r="C2438" s="120"/>
      <c r="D2438" s="21"/>
      <c r="E2438" s="21"/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</row>
    <row r="2439">
      <c r="A2439" s="122"/>
      <c r="B2439" s="120"/>
      <c r="C2439" s="120"/>
      <c r="D2439" s="21"/>
      <c r="E2439" s="2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</row>
    <row r="2440">
      <c r="A2440" s="122"/>
      <c r="B2440" s="120"/>
      <c r="C2440" s="120"/>
      <c r="D2440" s="21"/>
      <c r="E2440" s="21"/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</row>
    <row r="2441">
      <c r="A2441" s="122"/>
      <c r="B2441" s="119"/>
      <c r="C2441" s="120"/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</row>
    <row r="2442">
      <c r="A2442" s="122"/>
      <c r="B2442" s="120"/>
      <c r="C2442" s="120"/>
      <c r="D2442" s="21"/>
      <c r="E2442" s="2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</row>
    <row r="2443">
      <c r="A2443" s="122"/>
      <c r="B2443" s="120"/>
      <c r="C2443" s="120"/>
      <c r="D2443" s="21"/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</row>
    <row r="2444">
      <c r="A2444" s="122"/>
      <c r="B2444" s="120"/>
      <c r="C2444" s="120"/>
      <c r="D2444" s="21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</row>
    <row r="2445">
      <c r="A2445" s="122"/>
      <c r="B2445" s="120"/>
      <c r="C2445" s="120"/>
      <c r="D2445" s="21"/>
      <c r="E2445" s="2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</row>
    <row r="2446">
      <c r="A2446" s="122"/>
      <c r="B2446" s="120"/>
      <c r="C2446" s="120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</row>
    <row r="2447">
      <c r="A2447" s="122"/>
      <c r="B2447" s="119"/>
      <c r="C2447" s="120"/>
      <c r="D2447" s="21"/>
      <c r="E2447" s="21"/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</row>
    <row r="2448">
      <c r="A2448" s="122"/>
      <c r="B2448" s="120"/>
      <c r="C2448" s="120"/>
      <c r="D2448" s="21"/>
      <c r="E2448" s="21"/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</row>
    <row r="2449">
      <c r="A2449" s="122"/>
      <c r="B2449" s="120"/>
      <c r="C2449" s="120"/>
      <c r="D2449" s="21"/>
      <c r="E2449" s="21"/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</row>
    <row r="2450">
      <c r="A2450" s="122"/>
      <c r="B2450" s="120"/>
      <c r="C2450" s="120"/>
      <c r="D2450" s="21"/>
      <c r="E2450" s="21"/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</row>
    <row r="2451">
      <c r="A2451" s="122"/>
      <c r="B2451" s="120"/>
      <c r="C2451" s="120"/>
      <c r="D2451" s="21"/>
      <c r="E2451" s="2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</row>
    <row r="2452">
      <c r="A2452" s="122"/>
      <c r="B2452" s="120"/>
      <c r="C2452" s="120"/>
      <c r="D2452" s="21"/>
      <c r="E2452" s="2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</row>
    <row r="2453">
      <c r="A2453" s="122"/>
      <c r="B2453" s="120"/>
      <c r="C2453" s="120"/>
      <c r="D2453" s="21"/>
      <c r="E2453" s="21"/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</row>
    <row r="2454">
      <c r="A2454" s="122"/>
      <c r="B2454" s="120"/>
      <c r="C2454" s="120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</row>
    <row r="2455">
      <c r="A2455" s="122"/>
      <c r="B2455" s="120"/>
      <c r="C2455" s="120"/>
      <c r="D2455" s="21"/>
      <c r="E2455" s="2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</row>
    <row r="2456">
      <c r="A2456" s="122"/>
      <c r="B2456" s="120"/>
      <c r="C2456" s="120"/>
      <c r="D2456" s="21"/>
      <c r="E2456" s="21"/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</row>
    <row r="2457">
      <c r="A2457" s="122"/>
      <c r="B2457" s="120"/>
      <c r="C2457" s="120"/>
      <c r="D2457" s="21"/>
      <c r="E2457" s="2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</row>
    <row r="2458">
      <c r="A2458" s="122"/>
      <c r="B2458" s="120"/>
      <c r="C2458" s="120"/>
      <c r="D2458" s="21"/>
      <c r="E2458" s="2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</row>
    <row r="2459">
      <c r="A2459" s="122"/>
      <c r="B2459" s="120"/>
      <c r="C2459" s="120"/>
      <c r="D2459" s="21"/>
      <c r="E2459" s="21"/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</row>
    <row r="2460">
      <c r="A2460" s="122"/>
      <c r="B2460" s="120"/>
      <c r="C2460" s="120"/>
      <c r="D2460" s="21"/>
      <c r="E2460" s="21"/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</row>
    <row r="2461">
      <c r="A2461" s="122"/>
      <c r="B2461" s="120"/>
      <c r="C2461" s="120"/>
      <c r="D2461" s="21"/>
      <c r="E2461" s="2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</row>
    <row r="2462">
      <c r="A2462" s="122"/>
      <c r="B2462" s="120"/>
      <c r="C2462" s="120"/>
      <c r="D2462" s="21"/>
      <c r="E2462" s="21"/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</row>
    <row r="2463">
      <c r="A2463" s="122"/>
      <c r="B2463" s="120"/>
      <c r="C2463" s="120"/>
      <c r="D2463" s="21"/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</row>
    <row r="2464">
      <c r="A2464" s="122"/>
      <c r="B2464" s="121"/>
      <c r="C2464" s="120"/>
      <c r="D2464" s="21"/>
      <c r="E2464" s="21"/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</row>
    <row r="2465">
      <c r="A2465" s="122"/>
      <c r="B2465" s="121"/>
      <c r="C2465" s="120"/>
      <c r="D2465" s="21"/>
      <c r="E2465" s="21"/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</row>
    <row r="2466">
      <c r="A2466" s="122"/>
      <c r="B2466" s="120"/>
      <c r="C2466" s="120"/>
      <c r="D2466" s="21"/>
      <c r="E2466" s="21"/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</row>
    <row r="2467">
      <c r="A2467" s="122"/>
      <c r="B2467" s="120"/>
      <c r="C2467" s="120"/>
      <c r="D2467" s="21"/>
      <c r="E2467" s="21"/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</row>
    <row r="2468">
      <c r="A2468" s="122"/>
      <c r="B2468" s="120"/>
      <c r="C2468" s="120"/>
      <c r="D2468" s="21"/>
      <c r="E2468" s="21"/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</row>
    <row r="2469">
      <c r="A2469" s="122"/>
      <c r="B2469" s="120"/>
      <c r="C2469" s="120"/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</row>
    <row r="2470">
      <c r="A2470" s="122"/>
      <c r="B2470" s="120"/>
      <c r="C2470" s="120"/>
      <c r="D2470" s="21"/>
      <c r="E2470" s="2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</row>
    <row r="2471">
      <c r="A2471" s="122"/>
      <c r="B2471" s="120"/>
      <c r="C2471" s="120"/>
      <c r="D2471" s="21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</row>
    <row r="2472">
      <c r="A2472" s="122"/>
      <c r="B2472" s="120"/>
      <c r="C2472" s="120"/>
      <c r="D2472" s="21"/>
      <c r="E2472" s="2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</row>
    <row r="2473">
      <c r="A2473" s="122"/>
      <c r="B2473" s="120"/>
      <c r="C2473" s="120"/>
      <c r="D2473" s="21"/>
      <c r="E2473" s="2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</row>
    <row r="2474">
      <c r="A2474" s="122"/>
      <c r="B2474" s="120"/>
      <c r="C2474" s="120"/>
      <c r="D2474" s="21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</row>
    <row r="2475">
      <c r="A2475" s="122"/>
      <c r="B2475" s="120"/>
      <c r="C2475" s="120"/>
      <c r="D2475" s="21"/>
      <c r="E2475" s="21"/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</row>
    <row r="2476">
      <c r="A2476" s="122"/>
      <c r="B2476" s="119"/>
      <c r="C2476" s="120"/>
      <c r="D2476" s="21"/>
      <c r="E2476" s="21"/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</row>
    <row r="2477">
      <c r="A2477" s="122"/>
      <c r="B2477" s="120"/>
      <c r="C2477" s="120"/>
      <c r="D2477" s="21"/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</row>
    <row r="2478">
      <c r="A2478" s="122"/>
      <c r="B2478" s="120"/>
      <c r="C2478" s="120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</row>
    <row r="2479">
      <c r="A2479" s="122"/>
      <c r="B2479" s="120"/>
      <c r="C2479" s="120"/>
      <c r="D2479" s="21"/>
      <c r="E2479" s="2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</row>
    <row r="2480">
      <c r="A2480" s="122"/>
      <c r="B2480" s="120"/>
      <c r="C2480" s="120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</row>
    <row r="2481">
      <c r="A2481" s="122"/>
      <c r="B2481" s="120"/>
      <c r="C2481" s="120"/>
      <c r="D2481" s="21"/>
      <c r="E2481" s="21"/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</row>
    <row r="2482">
      <c r="A2482" s="122"/>
      <c r="B2482" s="120"/>
      <c r="C2482" s="120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</row>
    <row r="2483">
      <c r="A2483" s="122"/>
      <c r="B2483" s="120"/>
      <c r="C2483" s="120"/>
      <c r="D2483" s="21"/>
      <c r="E2483" s="21"/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</row>
    <row r="2484">
      <c r="A2484" s="122"/>
      <c r="B2484" s="120"/>
      <c r="C2484" s="120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</row>
    <row r="2485">
      <c r="A2485" s="122"/>
      <c r="B2485" s="120"/>
      <c r="C2485" s="120"/>
      <c r="D2485" s="21"/>
      <c r="E2485" s="21"/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</row>
    <row r="2486">
      <c r="A2486" s="122"/>
      <c r="B2486" s="120"/>
      <c r="C2486" s="120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</row>
    <row r="2487">
      <c r="A2487" s="122"/>
      <c r="B2487" s="120"/>
      <c r="C2487" s="120"/>
      <c r="D2487" s="21"/>
      <c r="E2487" s="21"/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</row>
    <row r="2488">
      <c r="A2488" s="122"/>
      <c r="B2488" s="120"/>
      <c r="C2488" s="120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</row>
    <row r="2489">
      <c r="A2489" s="122"/>
      <c r="B2489" s="120"/>
      <c r="C2489" s="120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</row>
    <row r="2490">
      <c r="A2490" s="122"/>
      <c r="B2490" s="120"/>
      <c r="C2490" s="120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</row>
    <row r="2491">
      <c r="A2491" s="122"/>
      <c r="B2491" s="121"/>
      <c r="C2491" s="120"/>
      <c r="D2491" s="21"/>
      <c r="E2491" s="2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</row>
    <row r="2492">
      <c r="A2492" s="122"/>
      <c r="B2492" s="121"/>
      <c r="C2492" s="120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</row>
    <row r="2493">
      <c r="A2493" s="122"/>
      <c r="B2493" s="119"/>
      <c r="C2493" s="120"/>
      <c r="D2493" s="21"/>
      <c r="E2493" s="2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</row>
    <row r="2494">
      <c r="A2494" s="122"/>
      <c r="B2494" s="119"/>
      <c r="C2494" s="120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</row>
    <row r="2495">
      <c r="A2495" s="122"/>
      <c r="B2495" s="120"/>
      <c r="C2495" s="120"/>
      <c r="D2495" s="21"/>
      <c r="E2495" s="21"/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</row>
    <row r="2496">
      <c r="A2496" s="122"/>
      <c r="B2496" s="120"/>
      <c r="C2496" s="120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</row>
    <row r="2497">
      <c r="A2497" s="122"/>
      <c r="B2497" s="120"/>
      <c r="C2497" s="120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</row>
    <row r="2498">
      <c r="A2498" s="122"/>
      <c r="B2498" s="119"/>
      <c r="C2498" s="120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</row>
    <row r="2499">
      <c r="A2499" s="122"/>
      <c r="B2499" s="120"/>
      <c r="C2499" s="120"/>
      <c r="D2499" s="21"/>
      <c r="E2499" s="2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</row>
    <row r="2500">
      <c r="A2500" s="122"/>
      <c r="B2500" s="120"/>
      <c r="C2500" s="120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</row>
    <row r="2501">
      <c r="A2501" s="122"/>
      <c r="B2501" s="120"/>
      <c r="C2501" s="120"/>
      <c r="D2501" s="21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</row>
    <row r="2502">
      <c r="A2502" s="122"/>
      <c r="B2502" s="120"/>
      <c r="C2502" s="120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</row>
    <row r="2503">
      <c r="A2503" s="122"/>
      <c r="B2503" s="120"/>
      <c r="C2503" s="120"/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</row>
    <row r="2504">
      <c r="A2504" s="122"/>
      <c r="B2504" s="120"/>
      <c r="C2504" s="120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</row>
    <row r="2505">
      <c r="A2505" s="122"/>
      <c r="B2505" s="120"/>
      <c r="C2505" s="120"/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</row>
    <row r="2506">
      <c r="A2506" s="122"/>
      <c r="B2506" s="120"/>
      <c r="C2506" s="120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</row>
    <row r="2507">
      <c r="A2507" s="122"/>
      <c r="B2507" s="120"/>
      <c r="C2507" s="120"/>
      <c r="D2507" s="21"/>
      <c r="E2507" s="21"/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</row>
    <row r="2508">
      <c r="A2508" s="122"/>
      <c r="B2508" s="120"/>
      <c r="C2508" s="120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</row>
    <row r="2509">
      <c r="A2509" s="122"/>
      <c r="B2509" s="120"/>
      <c r="C2509" s="120"/>
      <c r="D2509" s="21"/>
      <c r="E2509" s="2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</row>
    <row r="2510">
      <c r="A2510" s="122"/>
      <c r="B2510" s="120"/>
      <c r="C2510" s="120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</row>
    <row r="2511">
      <c r="A2511" s="122"/>
      <c r="B2511" s="120"/>
      <c r="C2511" s="120"/>
      <c r="D2511" s="21"/>
      <c r="E2511" s="21"/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</row>
    <row r="2512">
      <c r="A2512" s="122"/>
      <c r="B2512" s="120"/>
      <c r="C2512" s="120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</row>
    <row r="2513">
      <c r="A2513" s="122"/>
      <c r="B2513" s="120"/>
      <c r="C2513" s="120"/>
      <c r="D2513" s="21"/>
      <c r="E2513" s="21"/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</row>
    <row r="2514">
      <c r="A2514" s="122"/>
      <c r="B2514" s="120"/>
      <c r="C2514" s="120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</row>
    <row r="2515">
      <c r="A2515" s="122"/>
      <c r="B2515" s="120"/>
      <c r="C2515" s="120"/>
      <c r="D2515" s="21"/>
      <c r="E2515" s="2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</row>
    <row r="2516">
      <c r="A2516" s="122"/>
      <c r="B2516" s="120"/>
      <c r="C2516" s="120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</row>
    <row r="2517">
      <c r="A2517" s="122"/>
      <c r="B2517" s="120"/>
      <c r="C2517" s="120"/>
      <c r="D2517" s="21"/>
      <c r="E2517" s="2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</row>
    <row r="2518">
      <c r="A2518" s="122"/>
      <c r="B2518" s="120"/>
      <c r="C2518" s="120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</row>
    <row r="2519">
      <c r="A2519" s="122"/>
      <c r="B2519" s="119"/>
      <c r="C2519" s="120"/>
      <c r="D2519" s="21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</row>
    <row r="2520">
      <c r="A2520" s="122"/>
      <c r="B2520" s="120"/>
      <c r="C2520" s="120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</row>
    <row r="2521">
      <c r="A2521" s="122"/>
      <c r="B2521" s="120"/>
      <c r="C2521" s="120"/>
      <c r="D2521" s="21"/>
      <c r="E2521" s="2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</row>
    <row r="2522">
      <c r="A2522" s="122"/>
      <c r="B2522" s="120"/>
      <c r="C2522" s="120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</row>
    <row r="2523">
      <c r="A2523" s="122"/>
      <c r="B2523" s="120"/>
      <c r="C2523" s="120"/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</row>
    <row r="2524">
      <c r="A2524" s="122"/>
      <c r="B2524" s="120"/>
      <c r="C2524" s="120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</row>
    <row r="2525">
      <c r="A2525" s="122"/>
      <c r="B2525" s="119"/>
      <c r="C2525" s="120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</row>
    <row r="2526">
      <c r="A2526" s="122"/>
      <c r="B2526" s="119"/>
      <c r="C2526" s="120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</row>
    <row r="2527">
      <c r="A2527" s="122"/>
      <c r="B2527" s="119"/>
      <c r="C2527" s="120"/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</row>
    <row r="2528">
      <c r="A2528" s="122"/>
      <c r="B2528" s="119"/>
      <c r="C2528" s="120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</row>
    <row r="2529">
      <c r="A2529" s="122"/>
      <c r="B2529" s="120"/>
      <c r="C2529" s="120"/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</row>
    <row r="2530">
      <c r="A2530" s="122"/>
      <c r="B2530" s="120"/>
      <c r="C2530" s="120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</row>
    <row r="2531">
      <c r="A2531" s="122"/>
      <c r="B2531" s="120"/>
      <c r="C2531" s="120"/>
      <c r="D2531" s="21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</row>
    <row r="2532">
      <c r="A2532" s="122"/>
      <c r="B2532" s="120"/>
      <c r="C2532" s="120"/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</row>
    <row r="2533">
      <c r="A2533" s="122"/>
      <c r="B2533" s="120"/>
      <c r="C2533" s="120"/>
      <c r="D2533" s="21"/>
      <c r="E2533" s="2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</row>
    <row r="2534">
      <c r="A2534" s="122"/>
      <c r="B2534" s="120"/>
      <c r="C2534" s="120"/>
      <c r="D2534" s="21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</row>
    <row r="2535">
      <c r="A2535" s="122"/>
      <c r="B2535" s="120"/>
      <c r="C2535" s="120"/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</row>
    <row r="2536">
      <c r="A2536" s="122"/>
      <c r="B2536" s="120"/>
      <c r="C2536" s="120"/>
      <c r="D2536" s="21"/>
      <c r="E2536" s="2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</row>
    <row r="2537">
      <c r="A2537" s="122"/>
      <c r="B2537" s="119"/>
      <c r="C2537" s="120"/>
      <c r="D2537" s="21"/>
      <c r="E2537" s="21"/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</row>
    <row r="2538">
      <c r="A2538" s="122"/>
      <c r="B2538" s="119"/>
      <c r="C2538" s="120"/>
      <c r="D2538" s="21"/>
      <c r="E2538" s="21"/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</row>
    <row r="2539">
      <c r="A2539" s="122"/>
      <c r="B2539" s="120"/>
      <c r="C2539" s="120"/>
      <c r="D2539" s="21"/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</row>
    <row r="2540">
      <c r="A2540" s="122"/>
      <c r="B2540" s="120"/>
      <c r="C2540" s="120"/>
      <c r="D2540" s="21"/>
      <c r="E2540" s="21"/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</row>
    <row r="2541">
      <c r="A2541" s="122"/>
      <c r="B2541" s="120"/>
      <c r="C2541" s="120"/>
      <c r="D2541" s="21"/>
      <c r="E2541" s="2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</row>
    <row r="2542">
      <c r="A2542" s="122"/>
      <c r="B2542" s="120"/>
      <c r="C2542" s="120"/>
      <c r="D2542" s="21"/>
      <c r="E2542" s="2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</row>
    <row r="2543">
      <c r="A2543" s="122"/>
      <c r="B2543" s="120"/>
      <c r="C2543" s="120"/>
      <c r="D2543" s="21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</row>
    <row r="2544">
      <c r="A2544" s="122"/>
      <c r="B2544" s="120"/>
      <c r="C2544" s="120"/>
      <c r="D2544" s="21"/>
      <c r="E2544" s="21"/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</row>
    <row r="2545">
      <c r="A2545" s="122"/>
      <c r="B2545" s="120"/>
      <c r="C2545" s="120"/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</row>
    <row r="2546">
      <c r="A2546" s="122"/>
      <c r="B2546" s="120"/>
      <c r="C2546" s="120"/>
      <c r="D2546" s="21"/>
      <c r="E2546" s="21"/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</row>
    <row r="2547">
      <c r="A2547" s="122"/>
      <c r="B2547" s="120"/>
      <c r="C2547" s="120"/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</row>
    <row r="2548">
      <c r="A2548" s="122"/>
      <c r="B2548" s="120"/>
      <c r="C2548" s="120"/>
      <c r="D2548" s="21"/>
      <c r="E2548" s="21"/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</row>
    <row r="2549">
      <c r="A2549" s="122"/>
      <c r="B2549" s="120"/>
      <c r="C2549" s="120"/>
      <c r="D2549" s="21"/>
      <c r="E2549" s="21"/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</row>
    <row r="2550">
      <c r="A2550" s="122"/>
      <c r="B2550" s="120"/>
      <c r="C2550" s="120"/>
      <c r="D2550" s="21"/>
      <c r="E2550" s="21"/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</row>
    <row r="2551">
      <c r="A2551" s="122"/>
      <c r="B2551" s="119"/>
      <c r="C2551" s="120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</row>
    <row r="2552">
      <c r="A2552" s="122"/>
      <c r="B2552" s="120"/>
      <c r="C2552" s="120"/>
      <c r="D2552" s="21"/>
      <c r="E2552" s="21"/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</row>
    <row r="2553">
      <c r="A2553" s="122"/>
      <c r="B2553" s="120"/>
      <c r="C2553" s="120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</row>
    <row r="2554">
      <c r="A2554" s="122"/>
      <c r="B2554" s="120"/>
      <c r="C2554" s="120"/>
      <c r="D2554" s="21"/>
      <c r="E2554" s="2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</row>
    <row r="2555">
      <c r="A2555" s="122"/>
      <c r="B2555" s="120"/>
      <c r="C2555" s="120"/>
      <c r="D2555" s="21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</row>
    <row r="2556">
      <c r="A2556" s="122"/>
      <c r="B2556" s="120"/>
      <c r="C2556" s="120"/>
      <c r="D2556" s="21"/>
      <c r="E2556" s="2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</row>
    <row r="2557">
      <c r="A2557" s="122"/>
      <c r="B2557" s="120"/>
      <c r="C2557" s="120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</row>
    <row r="2558">
      <c r="A2558" s="122"/>
      <c r="B2558" s="120"/>
      <c r="C2558" s="120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</row>
    <row r="2559">
      <c r="A2559" s="122"/>
      <c r="B2559" s="120"/>
      <c r="C2559" s="120"/>
      <c r="D2559" s="21"/>
      <c r="E2559" s="21"/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</row>
    <row r="2560">
      <c r="A2560" s="122"/>
      <c r="B2560" s="120"/>
      <c r="C2560" s="120"/>
      <c r="D2560" s="21"/>
      <c r="E2560" s="21"/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</row>
    <row r="2561">
      <c r="A2561" s="122"/>
      <c r="B2561" s="119"/>
      <c r="C2561" s="120"/>
      <c r="D2561" s="21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</row>
    <row r="2562">
      <c r="A2562" s="122"/>
      <c r="B2562" s="120"/>
      <c r="C2562" s="120"/>
      <c r="D2562" s="21"/>
      <c r="E2562" s="21"/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</row>
    <row r="2563">
      <c r="A2563" s="122"/>
      <c r="B2563" s="120"/>
      <c r="C2563" s="120"/>
      <c r="D2563" s="21"/>
      <c r="E2563" s="21"/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</row>
    <row r="2564">
      <c r="A2564" s="122"/>
      <c r="B2564" s="120"/>
      <c r="C2564" s="120"/>
      <c r="D2564" s="21"/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</row>
    <row r="2565">
      <c r="A2565" s="122"/>
      <c r="B2565" s="120"/>
      <c r="C2565" s="120"/>
      <c r="D2565" s="21"/>
      <c r="E2565" s="21"/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</row>
    <row r="2566">
      <c r="A2566" s="122"/>
      <c r="B2566" s="120"/>
      <c r="C2566" s="120"/>
      <c r="D2566" s="21"/>
      <c r="E2566" s="21"/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</row>
    <row r="2567">
      <c r="A2567" s="122"/>
      <c r="B2567" s="120"/>
      <c r="C2567" s="120"/>
      <c r="D2567" s="21"/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</row>
    <row r="2568">
      <c r="A2568" s="122"/>
      <c r="B2568" s="120"/>
      <c r="C2568" s="120"/>
      <c r="D2568" s="21"/>
      <c r="E2568" s="21"/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</row>
    <row r="2569">
      <c r="A2569" s="122"/>
      <c r="B2569" s="120"/>
      <c r="C2569" s="120"/>
      <c r="D2569" s="21"/>
      <c r="E2569" s="21"/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</row>
    <row r="2570">
      <c r="A2570" s="122"/>
      <c r="B2570" s="120"/>
      <c r="C2570" s="120"/>
      <c r="D2570" s="21"/>
      <c r="E2570" s="21"/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</row>
    <row r="2571">
      <c r="A2571" s="122"/>
      <c r="B2571" s="120"/>
      <c r="C2571" s="120"/>
      <c r="D2571" s="21"/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</row>
    <row r="2572">
      <c r="A2572" s="122"/>
      <c r="B2572" s="120"/>
      <c r="C2572" s="120"/>
      <c r="D2572" s="21"/>
      <c r="E2572" s="21"/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</row>
    <row r="2573">
      <c r="A2573" s="122"/>
      <c r="B2573" s="120"/>
      <c r="C2573" s="120"/>
      <c r="D2573" s="21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</row>
    <row r="2574">
      <c r="A2574" s="122"/>
      <c r="B2574" s="120"/>
      <c r="C2574" s="120"/>
      <c r="D2574" s="21"/>
      <c r="E2574" s="21"/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</row>
    <row r="2575">
      <c r="A2575" s="122"/>
      <c r="B2575" s="120"/>
      <c r="C2575" s="120"/>
      <c r="D2575" s="21"/>
      <c r="E2575" s="21"/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</row>
    <row r="2576">
      <c r="A2576" s="122"/>
      <c r="B2576" s="119"/>
      <c r="C2576" s="120"/>
      <c r="D2576" s="21"/>
      <c r="E2576" s="21"/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</row>
    <row r="2577">
      <c r="A2577" s="122"/>
      <c r="B2577" s="120"/>
      <c r="C2577" s="120"/>
      <c r="D2577" s="21"/>
      <c r="E2577" s="21"/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</row>
    <row r="2578">
      <c r="A2578" s="122"/>
      <c r="B2578" s="120"/>
      <c r="C2578" s="120"/>
      <c r="D2578" s="21"/>
      <c r="E2578" s="21"/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</row>
    <row r="2579">
      <c r="A2579" s="122"/>
      <c r="B2579" s="120"/>
      <c r="C2579" s="120"/>
      <c r="D2579" s="21"/>
      <c r="E2579" s="21"/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</row>
    <row r="2580">
      <c r="A2580" s="122"/>
      <c r="B2580" s="119"/>
      <c r="C2580" s="120"/>
      <c r="D2580" s="21"/>
      <c r="E2580" s="2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</row>
    <row r="2581">
      <c r="A2581" s="122"/>
      <c r="B2581" s="119"/>
      <c r="C2581" s="120"/>
      <c r="D2581" s="21"/>
      <c r="E2581" s="2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</row>
    <row r="2582">
      <c r="A2582" s="122"/>
      <c r="B2582" s="120"/>
      <c r="C2582" s="120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</row>
    <row r="2583">
      <c r="A2583" s="122"/>
      <c r="B2583" s="120"/>
      <c r="C2583" s="120"/>
      <c r="D2583" s="21"/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</row>
    <row r="2584">
      <c r="A2584" s="122"/>
      <c r="B2584" s="120"/>
      <c r="C2584" s="120"/>
      <c r="D2584" s="21"/>
      <c r="E2584" s="2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</row>
    <row r="2585">
      <c r="A2585" s="122"/>
      <c r="B2585" s="120"/>
      <c r="C2585" s="120"/>
      <c r="D2585" s="21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</row>
    <row r="2586">
      <c r="A2586" s="122"/>
      <c r="B2586" s="121"/>
      <c r="C2586" s="120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</row>
    <row r="2587">
      <c r="A2587" s="122"/>
      <c r="B2587" s="120"/>
      <c r="C2587" s="120"/>
      <c r="D2587" s="21"/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</row>
    <row r="2588">
      <c r="A2588" s="122"/>
      <c r="B2588" s="120"/>
      <c r="C2588" s="120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</row>
    <row r="2589">
      <c r="A2589" s="122"/>
      <c r="B2589" s="121"/>
      <c r="C2589" s="120"/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</row>
    <row r="2590">
      <c r="A2590" s="122"/>
      <c r="B2590" s="121"/>
      <c r="C2590" s="120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</row>
    <row r="2591">
      <c r="A2591" s="122"/>
      <c r="B2591" s="120"/>
      <c r="C2591" s="120"/>
      <c r="D2591" s="21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</row>
    <row r="2592">
      <c r="A2592" s="122"/>
      <c r="B2592" s="120"/>
      <c r="C2592" s="120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</row>
    <row r="2593">
      <c r="A2593" s="122"/>
      <c r="B2593" s="120"/>
      <c r="C2593" s="120"/>
      <c r="D2593" s="21"/>
      <c r="E2593" s="2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</row>
    <row r="2594">
      <c r="A2594" s="122"/>
      <c r="B2594" s="120"/>
      <c r="C2594" s="120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</row>
    <row r="2595">
      <c r="A2595" s="122"/>
      <c r="B2595" s="120"/>
      <c r="C2595" s="120"/>
      <c r="D2595" s="21"/>
      <c r="E2595" s="21"/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</row>
    <row r="2596">
      <c r="A2596" s="122"/>
      <c r="B2596" s="119"/>
      <c r="C2596" s="120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</row>
    <row r="2597">
      <c r="A2597" s="122"/>
      <c r="B2597" s="120"/>
      <c r="C2597" s="120"/>
      <c r="D2597" s="21"/>
      <c r="E2597" s="21"/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</row>
    <row r="2598">
      <c r="A2598" s="122"/>
      <c r="B2598" s="120"/>
      <c r="C2598" s="120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</row>
    <row r="2599">
      <c r="A2599" s="122"/>
      <c r="B2599" s="120"/>
      <c r="C2599" s="120"/>
      <c r="D2599" s="21"/>
      <c r="E2599" s="21"/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</row>
    <row r="2600">
      <c r="A2600" s="122"/>
      <c r="B2600" s="120"/>
      <c r="C2600" s="120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</row>
    <row r="2601">
      <c r="A2601" s="122"/>
      <c r="B2601" s="120"/>
      <c r="C2601" s="120"/>
      <c r="D2601" s="21"/>
      <c r="E2601" s="21"/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</row>
    <row r="2602">
      <c r="A2602" s="122"/>
      <c r="B2602" s="120"/>
      <c r="C2602" s="120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</row>
    <row r="2603">
      <c r="A2603" s="122"/>
      <c r="B2603" s="120"/>
      <c r="C2603" s="120"/>
      <c r="D2603" s="21"/>
      <c r="E2603" s="21"/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</row>
    <row r="2604">
      <c r="A2604" s="122"/>
      <c r="B2604" s="120"/>
      <c r="C2604" s="120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</row>
    <row r="2605">
      <c r="A2605" s="122"/>
      <c r="B2605" s="120"/>
      <c r="C2605" s="120"/>
      <c r="D2605" s="21"/>
      <c r="E2605" s="2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</row>
    <row r="2606">
      <c r="A2606" s="122"/>
      <c r="B2606" s="120"/>
      <c r="C2606" s="120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</row>
    <row r="2607">
      <c r="A2607" s="122"/>
      <c r="B2607" s="120"/>
      <c r="C2607" s="120"/>
      <c r="D2607" s="21"/>
      <c r="E2607" s="2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</row>
    <row r="2608">
      <c r="A2608" s="122"/>
      <c r="B2608" s="120"/>
      <c r="C2608" s="120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</row>
    <row r="2609">
      <c r="A2609" s="122"/>
      <c r="B2609" s="120"/>
      <c r="C2609" s="120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</row>
    <row r="2610">
      <c r="A2610" s="122"/>
      <c r="B2610" s="120"/>
      <c r="C2610" s="120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</row>
    <row r="2611">
      <c r="A2611" s="122"/>
      <c r="B2611" s="120"/>
      <c r="C2611" s="120"/>
      <c r="D2611" s="21"/>
      <c r="E2611" s="2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</row>
    <row r="2612">
      <c r="A2612" s="122"/>
      <c r="B2612" s="120"/>
      <c r="C2612" s="120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</row>
    <row r="2613">
      <c r="A2613" s="122"/>
      <c r="B2613" s="120"/>
      <c r="C2613" s="120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</row>
    <row r="2614">
      <c r="A2614" s="122"/>
      <c r="B2614" s="120"/>
      <c r="C2614" s="120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</row>
    <row r="2615">
      <c r="A2615" s="122"/>
      <c r="B2615" s="120"/>
      <c r="C2615" s="120"/>
      <c r="D2615" s="21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</row>
    <row r="2616">
      <c r="A2616" s="122"/>
      <c r="B2616" s="120"/>
      <c r="C2616" s="120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</row>
    <row r="2617">
      <c r="A2617" s="122"/>
      <c r="B2617" s="120"/>
      <c r="C2617" s="120"/>
      <c r="D2617" s="21"/>
      <c r="E2617" s="2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</row>
    <row r="2618">
      <c r="A2618" s="122"/>
      <c r="B2618" s="120"/>
      <c r="C2618" s="120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</row>
    <row r="2619">
      <c r="A2619" s="122"/>
      <c r="B2619" s="120"/>
      <c r="C2619" s="120"/>
      <c r="D2619" s="21"/>
      <c r="E2619" s="21"/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</row>
    <row r="2620">
      <c r="A2620" s="122"/>
      <c r="B2620" s="120"/>
      <c r="C2620" s="120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</row>
    <row r="2621">
      <c r="A2621" s="122"/>
      <c r="B2621" s="120"/>
      <c r="C2621" s="120"/>
      <c r="D2621" s="21"/>
      <c r="E2621" s="21"/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</row>
    <row r="2622">
      <c r="A2622" s="122"/>
      <c r="B2622" s="120"/>
      <c r="C2622" s="120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</row>
    <row r="2623">
      <c r="A2623" s="122"/>
      <c r="B2623" s="120"/>
      <c r="C2623" s="120"/>
      <c r="D2623" s="21"/>
      <c r="E2623" s="2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</row>
    <row r="2624">
      <c r="A2624" s="122"/>
      <c r="B2624" s="120"/>
      <c r="C2624" s="120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</row>
    <row r="2625">
      <c r="A2625" s="122"/>
      <c r="B2625" s="120"/>
      <c r="C2625" s="120"/>
      <c r="D2625" s="21"/>
      <c r="E2625" s="2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</row>
    <row r="2626">
      <c r="A2626" s="122"/>
      <c r="B2626" s="120"/>
      <c r="C2626" s="120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</row>
    <row r="2627">
      <c r="A2627" s="122"/>
      <c r="B2627" s="120"/>
      <c r="C2627" s="120"/>
      <c r="D2627" s="21"/>
      <c r="E2627" s="21"/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</row>
    <row r="2628">
      <c r="A2628" s="122"/>
      <c r="B2628" s="120"/>
      <c r="C2628" s="120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</row>
    <row r="2629">
      <c r="A2629" s="122"/>
      <c r="B2629" s="120"/>
      <c r="C2629" s="120"/>
      <c r="D2629" s="21"/>
      <c r="E2629" s="21"/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</row>
    <row r="2630">
      <c r="A2630" s="122"/>
      <c r="B2630" s="120"/>
      <c r="C2630" s="120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</row>
    <row r="2631">
      <c r="A2631" s="122"/>
      <c r="B2631" s="120"/>
      <c r="C2631" s="120"/>
      <c r="D2631" s="21"/>
      <c r="E2631" s="2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</row>
    <row r="2632">
      <c r="A2632" s="122"/>
      <c r="B2632" s="120"/>
      <c r="C2632" s="120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</row>
    <row r="2633">
      <c r="A2633" s="122"/>
      <c r="B2633" s="120"/>
      <c r="C2633" s="120"/>
      <c r="D2633" s="21"/>
      <c r="E2633" s="21"/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</row>
    <row r="2634">
      <c r="A2634" s="122"/>
      <c r="B2634" s="120"/>
      <c r="C2634" s="120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</row>
    <row r="2635">
      <c r="A2635" s="122"/>
      <c r="B2635" s="120"/>
      <c r="C2635" s="120"/>
      <c r="D2635" s="21"/>
      <c r="E2635" s="2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</row>
    <row r="2636">
      <c r="A2636" s="122"/>
      <c r="B2636" s="120"/>
      <c r="C2636" s="120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</row>
    <row r="2637">
      <c r="A2637" s="122"/>
      <c r="B2637" s="120"/>
      <c r="C2637" s="120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</row>
    <row r="2638">
      <c r="A2638" s="122"/>
      <c r="B2638" s="120"/>
      <c r="C2638" s="120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</row>
    <row r="2639">
      <c r="A2639" s="122"/>
      <c r="B2639" s="120"/>
      <c r="C2639" s="120"/>
      <c r="D2639" s="21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</row>
    <row r="2640">
      <c r="A2640" s="122"/>
      <c r="B2640" s="120"/>
      <c r="C2640" s="120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</row>
    <row r="2641">
      <c r="A2641" s="122"/>
      <c r="B2641" s="120"/>
      <c r="C2641" s="120"/>
      <c r="D2641" s="21"/>
      <c r="E2641" s="2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</row>
    <row r="2642">
      <c r="A2642" s="122"/>
      <c r="B2642" s="120"/>
      <c r="C2642" s="120"/>
      <c r="D2642" s="21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</row>
    <row r="2643">
      <c r="A2643" s="122"/>
      <c r="B2643" s="120"/>
      <c r="C2643" s="120"/>
      <c r="D2643" s="21"/>
      <c r="E2643" s="21"/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</row>
    <row r="2644">
      <c r="A2644" s="122"/>
      <c r="B2644" s="119"/>
      <c r="C2644" s="120"/>
      <c r="D2644" s="21"/>
      <c r="E2644" s="2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</row>
    <row r="2645">
      <c r="A2645" s="122"/>
      <c r="B2645" s="120"/>
      <c r="C2645" s="120"/>
      <c r="D2645" s="21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</row>
    <row r="2646">
      <c r="A2646" s="122"/>
      <c r="B2646" s="119"/>
      <c r="C2646" s="120"/>
      <c r="D2646" s="21"/>
      <c r="E2646" s="21"/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</row>
    <row r="2647">
      <c r="A2647" s="122"/>
      <c r="B2647" s="120"/>
      <c r="C2647" s="120"/>
      <c r="D2647" s="21"/>
      <c r="E2647" s="21"/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</row>
    <row r="2648">
      <c r="A2648" s="122"/>
      <c r="B2648" s="120"/>
      <c r="C2648" s="120"/>
      <c r="D2648" s="21"/>
      <c r="E2648" s="21"/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</row>
    <row r="2649">
      <c r="A2649" s="122"/>
      <c r="B2649" s="120"/>
      <c r="C2649" s="120"/>
      <c r="D2649" s="21"/>
      <c r="E2649" s="2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</row>
    <row r="2650">
      <c r="A2650" s="122"/>
      <c r="B2650" s="121"/>
      <c r="C2650" s="120"/>
      <c r="D2650" s="21"/>
      <c r="E2650" s="2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</row>
    <row r="2651">
      <c r="A2651" s="122"/>
      <c r="B2651" s="120"/>
      <c r="C2651" s="120"/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</row>
    <row r="2652">
      <c r="A2652" s="122"/>
      <c r="B2652" s="120"/>
      <c r="C2652" s="120"/>
      <c r="D2652" s="21"/>
      <c r="E2652" s="21"/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</row>
    <row r="2653">
      <c r="A2653" s="122"/>
      <c r="B2653" s="120"/>
      <c r="C2653" s="120"/>
      <c r="D2653" s="21"/>
      <c r="E2653" s="2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</row>
    <row r="2654">
      <c r="A2654" s="122"/>
      <c r="B2654" s="120"/>
      <c r="C2654" s="120"/>
      <c r="D2654" s="21"/>
      <c r="E2654" s="21"/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</row>
    <row r="2655">
      <c r="A2655" s="122"/>
      <c r="B2655" s="120"/>
      <c r="C2655" s="120"/>
      <c r="D2655" s="21"/>
      <c r="E2655" s="21"/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</row>
    <row r="2656">
      <c r="A2656" s="122"/>
      <c r="B2656" s="120"/>
      <c r="C2656" s="120"/>
      <c r="D2656" s="21"/>
      <c r="E2656" s="21"/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</row>
    <row r="2657">
      <c r="A2657" s="122"/>
      <c r="B2657" s="120"/>
      <c r="C2657" s="120"/>
      <c r="D2657" s="21"/>
      <c r="E2657" s="21"/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</row>
    <row r="2658">
      <c r="A2658" s="122"/>
      <c r="B2658" s="120"/>
      <c r="C2658" s="120"/>
      <c r="D2658" s="21"/>
      <c r="E2658" s="2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</row>
    <row r="2659">
      <c r="A2659" s="122"/>
      <c r="B2659" s="120"/>
      <c r="C2659" s="120"/>
      <c r="D2659" s="21"/>
      <c r="E2659" s="21"/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</row>
    <row r="2660">
      <c r="A2660" s="122"/>
      <c r="B2660" s="120"/>
      <c r="C2660" s="120"/>
      <c r="D2660" s="21"/>
      <c r="E2660" s="21"/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</row>
    <row r="2661">
      <c r="A2661" s="122"/>
      <c r="B2661" s="120"/>
      <c r="C2661" s="120"/>
      <c r="D2661" s="21"/>
      <c r="E2661" s="21"/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</row>
    <row r="2662">
      <c r="A2662" s="122"/>
      <c r="B2662" s="120"/>
      <c r="C2662" s="120"/>
      <c r="D2662" s="21"/>
      <c r="E2662" s="21"/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</row>
    <row r="2663">
      <c r="A2663" s="122"/>
      <c r="B2663" s="120"/>
      <c r="C2663" s="120"/>
      <c r="D2663" s="21"/>
      <c r="E2663" s="21"/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</row>
    <row r="2664">
      <c r="A2664" s="122"/>
      <c r="B2664" s="120"/>
      <c r="C2664" s="120"/>
      <c r="D2664" s="21"/>
      <c r="E2664" s="21"/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</row>
    <row r="2665">
      <c r="A2665" s="122"/>
      <c r="B2665" s="120"/>
      <c r="C2665" s="120"/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</row>
    <row r="2666">
      <c r="A2666" s="122"/>
      <c r="B2666" s="120"/>
      <c r="C2666" s="120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</row>
    <row r="2667">
      <c r="A2667" s="122"/>
      <c r="B2667" s="120"/>
      <c r="C2667" s="120"/>
      <c r="D2667" s="21"/>
      <c r="E2667" s="2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</row>
    <row r="2668">
      <c r="A2668" s="122"/>
      <c r="B2668" s="120"/>
      <c r="C2668" s="120"/>
      <c r="D2668" s="21"/>
      <c r="E2668" s="2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</row>
    <row r="2669">
      <c r="A2669" s="122"/>
      <c r="B2669" s="121"/>
      <c r="C2669" s="120"/>
      <c r="D2669" s="21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</row>
    <row r="2670">
      <c r="A2670" s="122"/>
      <c r="B2670" s="119"/>
      <c r="C2670" s="120"/>
      <c r="D2670" s="21"/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</row>
    <row r="2671">
      <c r="A2671" s="122"/>
      <c r="B2671" s="120"/>
      <c r="C2671" s="120"/>
      <c r="D2671" s="21"/>
      <c r="E2671" s="21"/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</row>
    <row r="2672">
      <c r="A2672" s="122"/>
      <c r="B2672" s="120"/>
      <c r="C2672" s="120"/>
      <c r="D2672" s="21"/>
      <c r="E2672" s="21"/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</row>
    <row r="2673">
      <c r="A2673" s="122"/>
      <c r="B2673" s="120"/>
      <c r="C2673" s="120"/>
      <c r="D2673" s="21"/>
      <c r="E2673" s="21"/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</row>
    <row r="2674">
      <c r="A2674" s="122"/>
      <c r="B2674" s="120"/>
      <c r="C2674" s="120"/>
      <c r="D2674" s="21"/>
      <c r="E2674" s="21"/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</row>
    <row r="2675">
      <c r="A2675" s="122"/>
      <c r="B2675" s="120"/>
      <c r="C2675" s="120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</row>
    <row r="2676">
      <c r="A2676" s="122"/>
      <c r="B2676" s="120"/>
      <c r="C2676" s="120"/>
      <c r="D2676" s="21"/>
      <c r="E2676" s="21"/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</row>
    <row r="2677">
      <c r="A2677" s="122"/>
      <c r="B2677" s="120"/>
      <c r="C2677" s="120"/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</row>
    <row r="2678">
      <c r="A2678" s="122"/>
      <c r="B2678" s="120"/>
      <c r="C2678" s="120"/>
      <c r="D2678" s="21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</row>
    <row r="2679">
      <c r="A2679" s="122"/>
      <c r="B2679" s="120"/>
      <c r="C2679" s="120"/>
      <c r="D2679" s="21"/>
      <c r="E2679" s="2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</row>
    <row r="2680">
      <c r="A2680" s="122"/>
      <c r="B2680" s="120"/>
      <c r="C2680" s="120"/>
      <c r="D2680" s="21"/>
      <c r="E2680" s="21"/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</row>
    <row r="2681">
      <c r="A2681" s="122"/>
      <c r="B2681" s="120"/>
      <c r="C2681" s="120"/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</row>
    <row r="2682">
      <c r="A2682" s="122"/>
      <c r="B2682" s="120"/>
      <c r="C2682" s="120"/>
      <c r="D2682" s="21"/>
      <c r="E2682" s="2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</row>
    <row r="2683">
      <c r="A2683" s="122"/>
      <c r="B2683" s="120"/>
      <c r="C2683" s="120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</row>
    <row r="2684">
      <c r="A2684" s="122"/>
      <c r="B2684" s="120"/>
      <c r="C2684" s="120"/>
      <c r="D2684" s="21"/>
      <c r="E2684" s="21"/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</row>
    <row r="2685">
      <c r="A2685" s="122"/>
      <c r="B2685" s="120"/>
      <c r="C2685" s="120"/>
      <c r="D2685" s="21"/>
      <c r="E2685" s="2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</row>
    <row r="2686">
      <c r="A2686" s="122"/>
      <c r="B2686" s="120"/>
      <c r="C2686" s="120"/>
      <c r="D2686" s="21"/>
      <c r="E2686" s="21"/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</row>
    <row r="2687">
      <c r="A2687" s="122"/>
      <c r="B2687" s="120"/>
      <c r="C2687" s="120"/>
      <c r="D2687" s="21"/>
      <c r="E2687" s="21"/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</row>
    <row r="2688">
      <c r="A2688" s="122"/>
      <c r="B2688" s="120"/>
      <c r="C2688" s="120"/>
      <c r="D2688" s="21"/>
      <c r="E2688" s="21"/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</row>
    <row r="2689">
      <c r="A2689" s="122"/>
      <c r="B2689" s="120"/>
      <c r="C2689" s="120"/>
      <c r="D2689" s="21"/>
      <c r="E2689" s="2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</row>
    <row r="2690">
      <c r="A2690" s="122"/>
      <c r="B2690" s="120"/>
      <c r="C2690" s="120"/>
      <c r="D2690" s="21"/>
      <c r="E2690" s="21"/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</row>
    <row r="2691">
      <c r="A2691" s="122"/>
      <c r="B2691" s="120"/>
      <c r="C2691" s="120"/>
      <c r="D2691" s="21"/>
      <c r="E2691" s="21"/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</row>
    <row r="2692">
      <c r="A2692" s="122"/>
      <c r="B2692" s="120"/>
      <c r="C2692" s="120"/>
      <c r="D2692" s="21"/>
      <c r="E2692" s="21"/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</row>
    <row r="2693">
      <c r="A2693" s="122"/>
      <c r="B2693" s="120"/>
      <c r="C2693" s="120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</row>
    <row r="2694">
      <c r="A2694" s="122"/>
      <c r="B2694" s="120"/>
      <c r="C2694" s="120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</row>
    <row r="2695">
      <c r="A2695" s="122"/>
      <c r="B2695" s="120"/>
      <c r="C2695" s="120"/>
      <c r="D2695" s="21"/>
      <c r="E2695" s="2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</row>
    <row r="2696">
      <c r="A2696" s="122"/>
      <c r="B2696" s="120"/>
      <c r="C2696" s="120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</row>
    <row r="2697">
      <c r="A2697" s="122"/>
      <c r="B2697" s="120"/>
      <c r="C2697" s="120"/>
      <c r="D2697" s="21"/>
      <c r="E2697" s="2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</row>
    <row r="2698">
      <c r="A2698" s="122"/>
      <c r="B2698" s="119"/>
      <c r="C2698" s="120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</row>
    <row r="2699">
      <c r="A2699" s="122"/>
      <c r="B2699" s="120"/>
      <c r="C2699" s="120"/>
      <c r="D2699" s="21"/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</row>
    <row r="2700">
      <c r="A2700" s="122"/>
      <c r="B2700" s="120"/>
      <c r="C2700" s="120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</row>
    <row r="2701">
      <c r="A2701" s="122"/>
      <c r="B2701" s="120"/>
      <c r="C2701" s="120"/>
      <c r="D2701" s="21"/>
      <c r="E2701" s="2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</row>
    <row r="2702">
      <c r="A2702" s="122"/>
      <c r="B2702" s="120"/>
      <c r="C2702" s="120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</row>
    <row r="2703">
      <c r="A2703" s="122"/>
      <c r="B2703" s="120"/>
      <c r="C2703" s="120"/>
      <c r="D2703" s="21"/>
      <c r="E2703" s="2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</row>
    <row r="2704">
      <c r="A2704" s="122"/>
      <c r="B2704" s="120"/>
      <c r="C2704" s="120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</row>
    <row r="2705">
      <c r="A2705" s="122"/>
      <c r="B2705" s="121"/>
      <c r="C2705" s="120"/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</row>
    <row r="2706">
      <c r="A2706" s="122"/>
      <c r="B2706" s="119"/>
      <c r="C2706" s="120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</row>
    <row r="2707">
      <c r="A2707" s="122"/>
      <c r="B2707" s="120"/>
      <c r="C2707" s="120"/>
      <c r="D2707" s="21"/>
      <c r="E2707" s="21"/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</row>
    <row r="2708">
      <c r="A2708" s="122"/>
      <c r="B2708" s="120"/>
      <c r="C2708" s="120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</row>
    <row r="2709">
      <c r="A2709" s="122"/>
      <c r="B2709" s="120"/>
      <c r="C2709" s="120"/>
      <c r="D2709" s="21"/>
      <c r="E2709" s="2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</row>
    <row r="2710">
      <c r="A2710" s="122"/>
      <c r="B2710" s="120"/>
      <c r="C2710" s="120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</row>
    <row r="2711">
      <c r="A2711" s="122"/>
      <c r="B2711" s="120"/>
      <c r="C2711" s="120"/>
      <c r="D2711" s="21"/>
      <c r="E2711" s="21"/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</row>
    <row r="2712">
      <c r="A2712" s="122"/>
      <c r="B2712" s="120"/>
      <c r="C2712" s="120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</row>
    <row r="2713">
      <c r="A2713" s="122"/>
      <c r="B2713" s="120"/>
      <c r="C2713" s="120"/>
      <c r="D2713" s="21"/>
      <c r="E2713" s="21"/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</row>
    <row r="2714">
      <c r="A2714" s="122"/>
      <c r="B2714" s="120"/>
      <c r="C2714" s="120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</row>
    <row r="2715">
      <c r="A2715" s="122"/>
      <c r="B2715" s="120"/>
      <c r="C2715" s="120"/>
      <c r="D2715" s="21"/>
      <c r="E2715" s="21"/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</row>
    <row r="2716">
      <c r="A2716" s="122"/>
      <c r="B2716" s="120"/>
      <c r="C2716" s="120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</row>
    <row r="2717">
      <c r="A2717" s="122"/>
      <c r="B2717" s="119"/>
      <c r="C2717" s="120"/>
      <c r="D2717" s="21"/>
      <c r="E2717" s="21"/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</row>
    <row r="2718">
      <c r="A2718" s="122"/>
      <c r="B2718" s="120"/>
      <c r="C2718" s="120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</row>
    <row r="2719">
      <c r="A2719" s="122"/>
      <c r="B2719" s="120"/>
      <c r="C2719" s="120"/>
      <c r="D2719" s="21"/>
      <c r="E2719" s="2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</row>
    <row r="2720">
      <c r="A2720" s="122"/>
      <c r="B2720" s="120"/>
      <c r="C2720" s="120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</row>
    <row r="2721">
      <c r="A2721" s="122"/>
      <c r="B2721" s="120"/>
      <c r="C2721" s="120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</row>
    <row r="2722">
      <c r="A2722" s="122"/>
      <c r="B2722" s="119"/>
      <c r="C2722" s="120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</row>
    <row r="2723">
      <c r="A2723" s="122"/>
      <c r="B2723" s="120"/>
      <c r="C2723" s="120"/>
      <c r="D2723" s="21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</row>
    <row r="2724">
      <c r="A2724" s="122"/>
      <c r="B2724" s="120"/>
      <c r="C2724" s="120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</row>
    <row r="2725">
      <c r="A2725" s="122"/>
      <c r="B2725" s="120"/>
      <c r="C2725" s="120"/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</row>
    <row r="2726">
      <c r="A2726" s="122"/>
      <c r="B2726" s="119"/>
      <c r="C2726" s="120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</row>
    <row r="2727">
      <c r="A2727" s="122"/>
      <c r="B2727" s="119"/>
      <c r="C2727" s="120"/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</row>
    <row r="2728">
      <c r="A2728" s="122"/>
      <c r="B2728" s="120"/>
      <c r="C2728" s="120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</row>
    <row r="2729">
      <c r="A2729" s="122"/>
      <c r="B2729" s="120"/>
      <c r="C2729" s="120"/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</row>
    <row r="2730">
      <c r="A2730" s="122"/>
      <c r="B2730" s="120"/>
      <c r="C2730" s="120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</row>
    <row r="2731">
      <c r="A2731" s="122"/>
      <c r="B2731" s="120"/>
      <c r="C2731" s="120"/>
      <c r="D2731" s="21"/>
      <c r="E2731" s="2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</row>
    <row r="2732">
      <c r="A2732" s="122"/>
      <c r="B2732" s="120"/>
      <c r="C2732" s="120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</row>
    <row r="2733">
      <c r="A2733" s="122"/>
      <c r="B2733" s="120"/>
      <c r="C2733" s="120"/>
      <c r="D2733" s="21"/>
      <c r="E2733" s="21"/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</row>
    <row r="2734">
      <c r="A2734" s="122"/>
      <c r="B2734" s="120"/>
      <c r="C2734" s="120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</row>
    <row r="2735">
      <c r="A2735" s="122"/>
      <c r="B2735" s="120"/>
      <c r="C2735" s="120"/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</row>
    <row r="2736">
      <c r="A2736" s="122"/>
      <c r="B2736" s="120"/>
      <c r="C2736" s="120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</row>
    <row r="2737">
      <c r="A2737" s="122"/>
      <c r="B2737" s="120"/>
      <c r="C2737" s="120"/>
      <c r="D2737" s="21"/>
      <c r="E2737" s="2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</row>
    <row r="2738">
      <c r="A2738" s="122"/>
      <c r="B2738" s="120"/>
      <c r="C2738" s="120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</row>
    <row r="2739">
      <c r="A2739" s="122"/>
      <c r="B2739" s="120"/>
      <c r="C2739" s="120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</row>
    <row r="2740">
      <c r="A2740" s="122"/>
      <c r="B2740" s="119"/>
      <c r="C2740" s="120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</row>
    <row r="2741">
      <c r="A2741" s="122"/>
      <c r="B2741" s="120"/>
      <c r="C2741" s="120"/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</row>
    <row r="2742">
      <c r="A2742" s="122"/>
      <c r="B2742" s="121"/>
      <c r="C2742" s="120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</row>
    <row r="2743">
      <c r="A2743" s="122"/>
      <c r="B2743" s="120"/>
      <c r="C2743" s="120"/>
      <c r="D2743" s="21"/>
      <c r="E2743" s="21"/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</row>
    <row r="2744">
      <c r="A2744" s="122"/>
      <c r="B2744" s="120"/>
      <c r="C2744" s="120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</row>
    <row r="2745">
      <c r="A2745" s="122"/>
      <c r="B2745" s="120"/>
      <c r="C2745" s="120"/>
      <c r="D2745" s="21"/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</row>
    <row r="2746">
      <c r="A2746" s="122"/>
      <c r="B2746" s="120"/>
      <c r="C2746" s="120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</row>
    <row r="2747">
      <c r="A2747" s="122"/>
      <c r="B2747" s="120"/>
      <c r="C2747" s="120"/>
      <c r="D2747" s="21"/>
      <c r="E2747" s="21"/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</row>
    <row r="2748">
      <c r="A2748" s="122"/>
      <c r="B2748" s="120"/>
      <c r="C2748" s="120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</row>
    <row r="2749">
      <c r="A2749" s="122"/>
      <c r="B2749" s="120"/>
      <c r="C2749" s="120"/>
      <c r="D2749" s="21"/>
      <c r="E2749" s="2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</row>
    <row r="2750">
      <c r="A2750" s="122"/>
      <c r="B2750" s="120"/>
      <c r="C2750" s="120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</row>
    <row r="2751">
      <c r="A2751" s="122"/>
      <c r="B2751" s="119"/>
      <c r="C2751" s="120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</row>
    <row r="2752">
      <c r="A2752" s="122"/>
      <c r="B2752" s="120"/>
      <c r="C2752" s="120"/>
      <c r="D2752" s="21"/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</row>
    <row r="2753">
      <c r="A2753" s="122"/>
      <c r="B2753" s="120"/>
      <c r="C2753" s="120"/>
      <c r="D2753" s="21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</row>
    <row r="2754">
      <c r="A2754" s="122"/>
      <c r="B2754" s="120"/>
      <c r="C2754" s="120"/>
      <c r="D2754" s="21"/>
      <c r="E2754" s="2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</row>
    <row r="2755">
      <c r="A2755" s="122"/>
      <c r="B2755" s="121"/>
      <c r="C2755" s="120"/>
      <c r="D2755" s="21"/>
      <c r="E2755" s="2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</row>
    <row r="2756">
      <c r="A2756" s="122"/>
      <c r="B2756" s="120"/>
      <c r="C2756" s="120"/>
      <c r="D2756" s="21"/>
      <c r="E2756" s="21"/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</row>
    <row r="2757">
      <c r="A2757" s="122"/>
      <c r="B2757" s="120"/>
      <c r="C2757" s="120"/>
      <c r="D2757" s="21"/>
      <c r="E2757" s="21"/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</row>
    <row r="2758">
      <c r="A2758" s="122"/>
      <c r="B2758" s="120"/>
      <c r="C2758" s="120"/>
      <c r="D2758" s="21"/>
      <c r="E2758" s="21"/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</row>
    <row r="2759">
      <c r="A2759" s="122"/>
      <c r="B2759" s="120"/>
      <c r="C2759" s="120"/>
      <c r="D2759" s="21"/>
      <c r="E2759" s="21"/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</row>
    <row r="2760">
      <c r="A2760" s="122"/>
      <c r="B2760" s="120"/>
      <c r="C2760" s="120"/>
      <c r="D2760" s="21"/>
      <c r="E2760" s="21"/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</row>
    <row r="2761">
      <c r="A2761" s="122"/>
      <c r="B2761" s="120"/>
      <c r="C2761" s="120"/>
      <c r="D2761" s="21"/>
      <c r="E2761" s="2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</row>
    <row r="2762">
      <c r="A2762" s="122"/>
      <c r="B2762" s="120"/>
      <c r="C2762" s="120"/>
      <c r="D2762" s="21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</row>
    <row r="2763">
      <c r="A2763" s="122"/>
      <c r="B2763" s="120"/>
      <c r="C2763" s="120"/>
      <c r="D2763" s="21"/>
      <c r="E2763" s="21"/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</row>
    <row r="2764">
      <c r="A2764" s="122"/>
      <c r="B2764" s="119"/>
      <c r="C2764" s="120"/>
      <c r="D2764" s="21"/>
      <c r="E2764" s="21"/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</row>
    <row r="2765">
      <c r="A2765" s="122"/>
      <c r="B2765" s="120"/>
      <c r="C2765" s="120"/>
      <c r="D2765" s="21"/>
      <c r="E2765" s="21"/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</row>
    <row r="2766">
      <c r="A2766" s="122"/>
      <c r="B2766" s="120"/>
      <c r="C2766" s="120"/>
      <c r="D2766" s="21"/>
      <c r="E2766" s="21"/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</row>
    <row r="2767">
      <c r="A2767" s="122"/>
      <c r="B2767" s="120"/>
      <c r="C2767" s="120"/>
      <c r="D2767" s="21"/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</row>
    <row r="2768">
      <c r="A2768" s="122"/>
      <c r="B2768" s="120"/>
      <c r="C2768" s="120"/>
      <c r="D2768" s="21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</row>
    <row r="2769">
      <c r="A2769" s="122"/>
      <c r="B2769" s="120"/>
      <c r="C2769" s="120"/>
      <c r="D2769" s="21"/>
      <c r="E2769" s="2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</row>
    <row r="2770">
      <c r="A2770" s="122"/>
      <c r="B2770" s="120"/>
      <c r="C2770" s="120"/>
      <c r="D2770" s="21"/>
      <c r="E2770" s="21"/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</row>
    <row r="2771">
      <c r="A2771" s="122"/>
      <c r="B2771" s="120"/>
      <c r="C2771" s="120"/>
      <c r="D2771" s="21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</row>
    <row r="2772">
      <c r="A2772" s="122"/>
      <c r="B2772" s="120"/>
      <c r="C2772" s="120"/>
      <c r="D2772" s="21"/>
      <c r="E2772" s="21"/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</row>
    <row r="2773">
      <c r="A2773" s="122"/>
      <c r="B2773" s="120"/>
      <c r="C2773" s="120"/>
      <c r="D2773" s="21"/>
      <c r="E2773" s="2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</row>
    <row r="2774">
      <c r="A2774" s="122"/>
      <c r="B2774" s="120"/>
      <c r="C2774" s="120"/>
      <c r="D2774" s="21"/>
      <c r="E2774" s="21"/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</row>
    <row r="2775">
      <c r="A2775" s="122"/>
      <c r="B2775" s="120"/>
      <c r="C2775" s="120"/>
      <c r="D2775" s="21"/>
      <c r="E2775" s="21"/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</row>
    <row r="2776">
      <c r="A2776" s="122"/>
      <c r="B2776" s="119"/>
      <c r="C2776" s="120"/>
      <c r="D2776" s="21"/>
      <c r="E2776" s="21"/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</row>
    <row r="2777">
      <c r="A2777" s="122"/>
      <c r="B2777" s="120"/>
      <c r="C2777" s="120"/>
      <c r="D2777" s="21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</row>
    <row r="2778">
      <c r="A2778" s="122"/>
      <c r="B2778" s="120"/>
      <c r="C2778" s="120"/>
      <c r="D2778" s="21"/>
      <c r="E2778" s="2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</row>
    <row r="2779">
      <c r="A2779" s="122"/>
      <c r="B2779" s="120"/>
      <c r="C2779" s="120"/>
      <c r="D2779" s="21"/>
      <c r="E2779" s="2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</row>
    <row r="2780">
      <c r="A2780" s="122"/>
      <c r="B2780" s="120"/>
      <c r="C2780" s="120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</row>
    <row r="2781">
      <c r="A2781" s="122"/>
      <c r="B2781" s="120"/>
      <c r="C2781" s="120"/>
      <c r="D2781" s="21"/>
      <c r="E2781" s="2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</row>
    <row r="2782">
      <c r="A2782" s="122"/>
      <c r="B2782" s="120"/>
      <c r="C2782" s="120"/>
      <c r="D2782" s="21"/>
      <c r="E2782" s="2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</row>
    <row r="2783">
      <c r="A2783" s="122"/>
      <c r="B2783" s="120"/>
      <c r="C2783" s="120"/>
      <c r="D2783" s="21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</row>
    <row r="2784">
      <c r="A2784" s="122"/>
      <c r="B2784" s="120"/>
      <c r="C2784" s="120"/>
      <c r="D2784" s="21"/>
      <c r="E2784" s="21"/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</row>
    <row r="2785">
      <c r="A2785" s="122"/>
      <c r="B2785" s="119"/>
      <c r="C2785" s="120"/>
      <c r="D2785" s="21"/>
      <c r="E2785" s="2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</row>
    <row r="2786">
      <c r="A2786" s="122"/>
      <c r="B2786" s="120"/>
      <c r="C2786" s="120"/>
      <c r="D2786" s="21"/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</row>
    <row r="2787">
      <c r="A2787" s="122"/>
      <c r="B2787" s="120"/>
      <c r="C2787" s="120"/>
      <c r="D2787" s="21"/>
      <c r="E2787" s="21"/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</row>
    <row r="2788">
      <c r="A2788" s="122"/>
      <c r="B2788" s="119"/>
      <c r="C2788" s="120"/>
      <c r="D2788" s="21"/>
      <c r="E2788" s="21"/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</row>
    <row r="2789">
      <c r="A2789" s="122"/>
      <c r="B2789" s="119"/>
      <c r="C2789" s="120"/>
      <c r="D2789" s="21"/>
      <c r="E2789" s="21"/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</row>
    <row r="2790">
      <c r="A2790" s="122"/>
      <c r="B2790" s="120"/>
      <c r="C2790" s="120"/>
      <c r="D2790" s="21"/>
      <c r="E2790" s="2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</row>
    <row r="2791">
      <c r="A2791" s="122"/>
      <c r="B2791" s="120"/>
      <c r="C2791" s="120"/>
      <c r="D2791" s="21"/>
      <c r="E2791" s="21"/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</row>
    <row r="2792">
      <c r="A2792" s="122"/>
      <c r="B2792" s="119"/>
      <c r="C2792" s="120"/>
      <c r="D2792" s="21"/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</row>
    <row r="2793">
      <c r="A2793" s="122"/>
      <c r="B2793" s="120"/>
      <c r="C2793" s="120"/>
      <c r="D2793" s="21"/>
      <c r="E2793" s="21"/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</row>
    <row r="2794">
      <c r="A2794" s="122"/>
      <c r="B2794" s="120"/>
      <c r="C2794" s="120"/>
      <c r="D2794" s="21"/>
      <c r="E2794" s="21"/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</row>
    <row r="2795">
      <c r="A2795" s="122"/>
      <c r="B2795" s="119"/>
      <c r="C2795" s="120"/>
      <c r="D2795" s="21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</row>
    <row r="2796">
      <c r="A2796" s="122"/>
      <c r="B2796" s="120"/>
      <c r="C2796" s="120"/>
      <c r="D2796" s="21"/>
      <c r="E2796" s="2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</row>
    <row r="2797">
      <c r="A2797" s="122"/>
      <c r="B2797" s="120"/>
      <c r="C2797" s="120"/>
      <c r="D2797" s="21"/>
      <c r="E2797" s="2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</row>
    <row r="2798">
      <c r="A2798" s="122"/>
      <c r="B2798" s="120"/>
      <c r="C2798" s="120"/>
      <c r="D2798" s="21"/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</row>
    <row r="2799">
      <c r="A2799" s="122"/>
      <c r="B2799" s="120"/>
      <c r="C2799" s="120"/>
      <c r="D2799" s="21"/>
      <c r="E2799" s="2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</row>
    <row r="2800">
      <c r="A2800" s="122"/>
      <c r="B2800" s="119"/>
      <c r="C2800" s="120"/>
      <c r="D2800" s="21"/>
      <c r="E2800" s="21"/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</row>
    <row r="2801">
      <c r="A2801" s="122"/>
      <c r="B2801" s="121"/>
      <c r="C2801" s="120"/>
      <c r="D2801" s="21"/>
      <c r="E2801" s="21"/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</row>
    <row r="2802">
      <c r="A2802" s="122"/>
      <c r="B2802" s="119"/>
      <c r="C2802" s="120"/>
      <c r="D2802" s="21"/>
      <c r="E2802" s="21"/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</row>
    <row r="2803">
      <c r="A2803" s="122"/>
      <c r="B2803" s="120"/>
      <c r="C2803" s="120"/>
      <c r="D2803" s="21"/>
      <c r="E2803" s="21"/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</row>
    <row r="2804">
      <c r="A2804" s="122"/>
      <c r="B2804" s="120"/>
      <c r="C2804" s="120"/>
      <c r="D2804" s="21"/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</row>
    <row r="2805">
      <c r="A2805" s="122"/>
      <c r="B2805" s="120"/>
      <c r="C2805" s="120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</row>
    <row r="2806">
      <c r="A2806" s="122"/>
      <c r="B2806" s="120"/>
      <c r="C2806" s="120"/>
      <c r="D2806" s="21"/>
      <c r="E2806" s="2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</row>
    <row r="2807">
      <c r="A2807" s="122"/>
      <c r="B2807" s="120"/>
      <c r="C2807" s="120"/>
      <c r="D2807" s="21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</row>
    <row r="2808">
      <c r="A2808" s="122"/>
      <c r="B2808" s="120"/>
      <c r="C2808" s="120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</row>
    <row r="2809">
      <c r="A2809" s="122"/>
      <c r="B2809" s="120"/>
      <c r="C2809" s="120"/>
      <c r="D2809" s="21"/>
      <c r="E2809" s="2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</row>
    <row r="2810">
      <c r="A2810" s="122"/>
      <c r="B2810" s="120"/>
      <c r="C2810" s="120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</row>
    <row r="2811">
      <c r="A2811" s="122"/>
      <c r="B2811" s="120"/>
      <c r="C2811" s="120"/>
      <c r="D2811" s="21"/>
      <c r="E2811" s="2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</row>
    <row r="2812">
      <c r="A2812" s="122"/>
      <c r="B2812" s="120"/>
      <c r="C2812" s="120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</row>
    <row r="2813">
      <c r="A2813" s="122"/>
      <c r="B2813" s="120"/>
      <c r="C2813" s="120"/>
      <c r="D2813" s="21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</row>
    <row r="2814">
      <c r="A2814" s="122"/>
      <c r="B2814" s="120"/>
      <c r="C2814" s="120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</row>
    <row r="2815">
      <c r="A2815" s="122"/>
      <c r="B2815" s="120"/>
      <c r="C2815" s="120"/>
      <c r="D2815" s="21"/>
      <c r="E2815" s="21"/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</row>
    <row r="2816">
      <c r="A2816" s="122"/>
      <c r="B2816" s="120"/>
      <c r="C2816" s="120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</row>
    <row r="2817">
      <c r="A2817" s="122"/>
      <c r="B2817" s="120"/>
      <c r="C2817" s="120"/>
      <c r="D2817" s="21"/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</row>
    <row r="2818">
      <c r="A2818" s="122"/>
      <c r="B2818" s="120"/>
      <c r="C2818" s="120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</row>
    <row r="2819">
      <c r="A2819" s="122"/>
      <c r="B2819" s="120"/>
      <c r="C2819" s="120"/>
      <c r="D2819" s="21"/>
      <c r="E2819" s="21"/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</row>
    <row r="2820">
      <c r="A2820" s="122"/>
      <c r="B2820" s="120"/>
      <c r="C2820" s="120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</row>
    <row r="2821">
      <c r="A2821" s="122"/>
      <c r="B2821" s="120"/>
      <c r="C2821" s="120"/>
      <c r="D2821" s="21"/>
      <c r="E2821" s="21"/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</row>
    <row r="2822">
      <c r="A2822" s="122"/>
      <c r="B2822" s="120"/>
      <c r="C2822" s="120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</row>
    <row r="2823">
      <c r="A2823" s="122"/>
      <c r="B2823" s="119"/>
      <c r="C2823" s="120"/>
      <c r="D2823" s="21"/>
      <c r="E2823" s="2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</row>
    <row r="2824">
      <c r="A2824" s="122"/>
      <c r="B2824" s="120"/>
      <c r="C2824" s="120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</row>
    <row r="2825">
      <c r="A2825" s="122"/>
      <c r="B2825" s="120"/>
      <c r="C2825" s="120"/>
      <c r="D2825" s="21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</row>
    <row r="2826">
      <c r="A2826" s="122"/>
      <c r="B2826" s="120"/>
      <c r="C2826" s="120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</row>
    <row r="2827">
      <c r="A2827" s="122"/>
      <c r="B2827" s="120"/>
      <c r="C2827" s="120"/>
      <c r="D2827" s="21"/>
      <c r="E2827" s="2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</row>
    <row r="2828">
      <c r="A2828" s="122"/>
      <c r="B2828" s="119"/>
      <c r="C2828" s="120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</row>
    <row r="2829">
      <c r="A2829" s="122"/>
      <c r="B2829" s="120"/>
      <c r="C2829" s="120"/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</row>
    <row r="2830">
      <c r="A2830" s="122"/>
      <c r="B2830" s="121"/>
      <c r="C2830" s="120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</row>
    <row r="2831">
      <c r="A2831" s="122"/>
      <c r="B2831" s="120"/>
      <c r="C2831" s="120"/>
      <c r="D2831" s="21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</row>
    <row r="2832">
      <c r="A2832" s="122"/>
      <c r="B2832" s="120"/>
      <c r="C2832" s="120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</row>
    <row r="2833">
      <c r="A2833" s="122"/>
      <c r="B2833" s="120"/>
      <c r="C2833" s="120"/>
      <c r="D2833" s="21"/>
      <c r="E2833" s="2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</row>
    <row r="2834">
      <c r="A2834" s="122"/>
      <c r="B2834" s="120"/>
      <c r="C2834" s="120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</row>
    <row r="2835">
      <c r="A2835" s="122"/>
      <c r="B2835" s="120"/>
      <c r="C2835" s="120"/>
      <c r="D2835" s="21"/>
      <c r="E2835" s="2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</row>
    <row r="2836">
      <c r="A2836" s="122"/>
      <c r="B2836" s="120"/>
      <c r="C2836" s="120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</row>
    <row r="2837">
      <c r="A2837" s="122"/>
      <c r="B2837" s="120"/>
      <c r="C2837" s="120"/>
      <c r="D2837" s="21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</row>
    <row r="2838">
      <c r="A2838" s="122"/>
      <c r="B2838" s="120"/>
      <c r="C2838" s="120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</row>
    <row r="2839">
      <c r="A2839" s="122"/>
      <c r="B2839" s="120"/>
      <c r="C2839" s="120"/>
      <c r="D2839" s="21"/>
      <c r="E2839" s="21"/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</row>
    <row r="2840">
      <c r="A2840" s="122"/>
      <c r="B2840" s="120"/>
      <c r="C2840" s="120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</row>
    <row r="2841">
      <c r="A2841" s="122"/>
      <c r="B2841" s="120"/>
      <c r="C2841" s="120"/>
      <c r="D2841" s="21"/>
      <c r="E2841" s="2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</row>
    <row r="2842">
      <c r="A2842" s="122"/>
      <c r="B2842" s="120"/>
      <c r="C2842" s="120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</row>
    <row r="2843">
      <c r="A2843" s="122"/>
      <c r="B2843" s="120"/>
      <c r="C2843" s="120"/>
      <c r="D2843" s="21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</row>
    <row r="2844">
      <c r="A2844" s="122"/>
      <c r="B2844" s="120"/>
      <c r="C2844" s="120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</row>
    <row r="2845">
      <c r="A2845" s="122"/>
      <c r="B2845" s="120"/>
      <c r="C2845" s="120"/>
      <c r="D2845" s="21"/>
      <c r="E2845" s="21"/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</row>
    <row r="2846">
      <c r="A2846" s="122"/>
      <c r="B2846" s="120"/>
      <c r="C2846" s="120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</row>
    <row r="2847">
      <c r="A2847" s="122"/>
      <c r="B2847" s="120"/>
      <c r="C2847" s="120"/>
      <c r="D2847" s="21"/>
      <c r="E2847" s="21"/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</row>
    <row r="2848">
      <c r="A2848" s="122"/>
      <c r="B2848" s="119"/>
      <c r="C2848" s="120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</row>
    <row r="2849">
      <c r="A2849" s="122"/>
      <c r="B2849" s="119"/>
      <c r="C2849" s="233"/>
      <c r="D2849" s="21"/>
      <c r="E2849" s="21"/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</row>
    <row r="2850">
      <c r="A2850" s="122"/>
      <c r="B2850" s="119"/>
      <c r="C2850" s="233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</row>
    <row r="2851">
      <c r="A2851" s="122"/>
      <c r="B2851" s="119"/>
      <c r="C2851" s="233"/>
      <c r="D2851" s="21"/>
      <c r="E2851" s="2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</row>
    <row r="2852">
      <c r="A2852" s="122"/>
      <c r="B2852" s="119"/>
      <c r="C2852" s="233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</row>
    <row r="2853">
      <c r="A2853" s="122"/>
      <c r="B2853" s="119"/>
      <c r="C2853" s="233"/>
      <c r="D2853" s="21"/>
      <c r="E2853" s="21"/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</row>
    <row r="2854">
      <c r="A2854" s="122"/>
      <c r="B2854" s="119"/>
      <c r="C2854" s="233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</row>
    <row r="2855">
      <c r="A2855" s="122"/>
      <c r="B2855" s="119"/>
      <c r="C2855" s="233"/>
      <c r="D2855" s="21"/>
      <c r="E2855" s="21"/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</row>
    <row r="2856">
      <c r="A2856" s="122"/>
      <c r="B2856" s="119"/>
      <c r="C2856" s="233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</row>
    <row r="2857">
      <c r="A2857" s="122"/>
      <c r="B2857" s="119"/>
      <c r="C2857" s="233"/>
      <c r="D2857" s="21"/>
      <c r="E2857" s="2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</row>
    <row r="2858">
      <c r="A2858" s="122"/>
      <c r="B2858" s="119"/>
      <c r="C2858" s="233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</row>
    <row r="2859">
      <c r="A2859" s="122"/>
      <c r="B2859" s="119"/>
      <c r="C2859" s="233"/>
      <c r="D2859" s="21"/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</row>
    <row r="2860">
      <c r="A2860" s="122"/>
      <c r="B2860" s="119"/>
      <c r="C2860" s="233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</row>
    <row r="2861">
      <c r="A2861" s="122"/>
      <c r="B2861" s="119"/>
      <c r="C2861" s="233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</row>
    <row r="2862">
      <c r="A2862" s="122"/>
      <c r="B2862" s="119"/>
      <c r="C2862" s="233"/>
      <c r="D2862" s="21"/>
      <c r="E2862" s="2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</row>
    <row r="2863">
      <c r="A2863" s="122"/>
      <c r="B2863" s="119"/>
      <c r="C2863" s="233"/>
      <c r="D2863" s="21"/>
      <c r="E2863" s="2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</row>
    <row r="2864">
      <c r="A2864" s="122"/>
      <c r="B2864" s="119"/>
      <c r="C2864" s="233"/>
      <c r="D2864" s="21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</row>
    <row r="2865">
      <c r="A2865" s="122"/>
      <c r="B2865" s="119"/>
      <c r="C2865" s="233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</row>
    <row r="2866">
      <c r="A2866" s="122"/>
      <c r="B2866" s="119"/>
      <c r="C2866" s="233"/>
      <c r="D2866" s="21"/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</row>
    <row r="2867">
      <c r="A2867" s="122"/>
      <c r="B2867" s="119"/>
      <c r="C2867" s="233"/>
      <c r="D2867" s="21"/>
      <c r="E2867" s="21"/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</row>
    <row r="2868">
      <c r="A2868" s="122"/>
      <c r="B2868" s="119"/>
      <c r="C2868" s="233"/>
      <c r="D2868" s="21"/>
      <c r="E2868" s="21"/>
      <c r="F2868" s="21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</row>
    <row r="2869">
      <c r="A2869" s="122"/>
      <c r="B2869" s="119"/>
      <c r="C2869" s="233"/>
      <c r="D2869" s="21"/>
      <c r="E2869" s="21"/>
      <c r="F2869" s="21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</row>
    <row r="2870">
      <c r="A2870" s="122"/>
      <c r="B2870" s="119"/>
      <c r="C2870" s="233"/>
      <c r="D2870" s="21"/>
      <c r="E2870" s="21"/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</row>
    <row r="2871">
      <c r="A2871" s="122"/>
      <c r="B2871" s="119"/>
      <c r="C2871" s="233"/>
      <c r="D2871" s="21"/>
      <c r="E2871" s="21"/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</row>
    <row r="2872">
      <c r="A2872" s="122"/>
      <c r="B2872" s="119"/>
      <c r="C2872" s="233"/>
      <c r="D2872" s="21"/>
      <c r="E2872" s="21"/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</row>
    <row r="2873">
      <c r="A2873" s="122"/>
      <c r="B2873" s="119"/>
      <c r="C2873" s="233"/>
      <c r="D2873" s="21"/>
      <c r="E2873" s="21"/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</row>
    <row r="2874">
      <c r="A2874" s="122"/>
      <c r="B2874" s="119"/>
      <c r="C2874" s="233"/>
      <c r="D2874" s="21"/>
      <c r="E2874" s="21"/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</row>
    <row r="2875">
      <c r="A2875" s="122"/>
      <c r="B2875" s="119"/>
      <c r="C2875" s="233"/>
      <c r="D2875" s="21"/>
      <c r="E2875" s="21"/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</row>
    <row r="2876">
      <c r="A2876" s="122"/>
      <c r="B2876" s="119"/>
      <c r="C2876" s="233"/>
      <c r="D2876" s="21"/>
      <c r="E2876" s="21"/>
      <c r="F2876" s="21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</row>
    <row r="2877">
      <c r="A2877" s="122"/>
      <c r="B2877" s="119"/>
      <c r="C2877" s="233"/>
      <c r="D2877" s="21"/>
      <c r="E2877" s="21"/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</row>
    <row r="2878">
      <c r="A2878" s="122"/>
      <c r="B2878" s="119"/>
      <c r="C2878" s="233"/>
      <c r="D2878" s="21"/>
      <c r="E2878" s="21"/>
      <c r="F2878" s="21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</row>
    <row r="2879">
      <c r="A2879" s="122"/>
      <c r="B2879" s="119"/>
      <c r="C2879" s="233"/>
      <c r="D2879" s="21"/>
      <c r="E2879" s="21"/>
      <c r="F2879" s="21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</row>
    <row r="2880">
      <c r="A2880" s="122"/>
      <c r="B2880" s="119"/>
      <c r="C2880" s="233"/>
      <c r="D2880" s="21"/>
      <c r="E2880" s="21"/>
      <c r="F2880" s="21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</row>
    <row r="2881">
      <c r="A2881" s="122"/>
      <c r="B2881" s="119"/>
      <c r="C2881" s="233"/>
      <c r="D2881" s="21"/>
      <c r="E2881" s="21"/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</row>
    <row r="2882">
      <c r="A2882" s="122"/>
      <c r="B2882" s="119"/>
      <c r="C2882" s="233"/>
      <c r="D2882" s="21"/>
      <c r="E2882" s="21"/>
      <c r="F2882" s="21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</row>
    <row r="2883">
      <c r="A2883" s="122"/>
      <c r="B2883" s="119"/>
      <c r="C2883" s="233"/>
      <c r="D2883" s="21"/>
      <c r="E2883" s="21"/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</row>
    <row r="2884">
      <c r="A2884" s="122"/>
      <c r="B2884" s="119"/>
      <c r="C2884" s="233"/>
      <c r="D2884" s="21"/>
      <c r="E2884" s="21"/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</row>
    <row r="2885">
      <c r="A2885" s="122"/>
      <c r="B2885" s="119"/>
      <c r="C2885" s="233"/>
      <c r="D2885" s="21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</row>
    <row r="2886">
      <c r="A2886" s="122"/>
      <c r="B2886" s="119"/>
      <c r="C2886" s="233"/>
      <c r="D2886" s="21"/>
      <c r="E2886" s="21"/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</row>
    <row r="2887">
      <c r="A2887" s="122"/>
      <c r="B2887" s="119"/>
      <c r="C2887" s="233"/>
      <c r="D2887" s="21"/>
      <c r="E2887" s="2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</row>
    <row r="2888">
      <c r="A2888" s="122"/>
      <c r="B2888" s="119"/>
      <c r="C2888" s="233"/>
      <c r="D2888" s="21"/>
      <c r="E2888" s="21"/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</row>
    <row r="2889">
      <c r="A2889" s="122"/>
      <c r="B2889" s="119"/>
      <c r="C2889" s="233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</row>
    <row r="2890">
      <c r="A2890" s="122"/>
      <c r="B2890" s="119"/>
      <c r="C2890" s="233"/>
      <c r="D2890" s="21"/>
      <c r="E2890" s="2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</row>
    <row r="2891">
      <c r="A2891" s="122"/>
      <c r="B2891" s="119"/>
      <c r="C2891" s="233"/>
      <c r="D2891" s="21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</row>
    <row r="2892">
      <c r="A2892" s="122"/>
      <c r="B2892" s="119"/>
      <c r="C2892" s="233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</row>
    <row r="2893">
      <c r="A2893" s="122"/>
      <c r="B2893" s="119"/>
      <c r="C2893" s="233"/>
      <c r="D2893" s="21"/>
      <c r="E2893" s="2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</row>
    <row r="2894">
      <c r="A2894" s="122"/>
      <c r="B2894" s="119"/>
      <c r="C2894" s="233"/>
      <c r="D2894" s="21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</row>
    <row r="2895">
      <c r="A2895" s="122"/>
      <c r="B2895" s="119"/>
      <c r="C2895" s="233"/>
      <c r="D2895" s="21"/>
      <c r="E2895" s="2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</row>
    <row r="2896">
      <c r="A2896" s="122"/>
      <c r="B2896" s="119"/>
      <c r="C2896" s="233"/>
      <c r="D2896" s="21"/>
      <c r="E2896" s="21"/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</row>
    <row r="2897">
      <c r="A2897" s="122"/>
      <c r="B2897" s="119"/>
      <c r="C2897" s="233"/>
      <c r="D2897" s="21"/>
      <c r="E2897" s="21"/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</row>
    <row r="2898">
      <c r="A2898" s="122"/>
      <c r="B2898" s="119"/>
      <c r="C2898" s="233"/>
      <c r="D2898" s="21"/>
      <c r="E2898" s="21"/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</row>
    <row r="2899">
      <c r="A2899" s="122"/>
      <c r="B2899" s="119"/>
      <c r="C2899" s="233"/>
      <c r="D2899" s="21"/>
      <c r="E2899" s="21"/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</row>
    <row r="2900">
      <c r="A2900" s="122"/>
      <c r="B2900" s="119"/>
      <c r="C2900" s="233"/>
      <c r="D2900" s="21"/>
      <c r="E2900" s="21"/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</row>
    <row r="2901">
      <c r="A2901" s="122"/>
      <c r="B2901" s="119"/>
      <c r="C2901" s="233"/>
      <c r="D2901" s="21"/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</row>
    <row r="2902">
      <c r="A2902" s="122"/>
      <c r="B2902" s="119"/>
      <c r="C2902" s="233"/>
      <c r="D2902" s="21"/>
      <c r="E2902" s="21"/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</row>
    <row r="2903">
      <c r="A2903" s="122"/>
      <c r="B2903" s="119"/>
      <c r="C2903" s="233"/>
      <c r="D2903" s="21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</row>
    <row r="2904">
      <c r="A2904" s="122"/>
      <c r="B2904" s="119"/>
      <c r="C2904" s="233"/>
      <c r="D2904" s="21"/>
      <c r="E2904" s="21"/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</row>
    <row r="2905">
      <c r="A2905" s="122"/>
      <c r="B2905" s="119"/>
      <c r="C2905" s="233"/>
      <c r="D2905" s="21"/>
      <c r="E2905" s="21"/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</row>
    <row r="2906">
      <c r="A2906" s="122"/>
      <c r="B2906" s="119"/>
      <c r="C2906" s="233"/>
      <c r="D2906" s="21"/>
      <c r="E2906" s="21"/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</row>
    <row r="2907">
      <c r="A2907" s="122"/>
      <c r="B2907" s="119"/>
      <c r="C2907" s="233"/>
      <c r="D2907" s="21"/>
      <c r="E2907" s="21"/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</row>
    <row r="2908">
      <c r="A2908" s="122"/>
      <c r="B2908" s="119"/>
      <c r="C2908" s="233"/>
      <c r="D2908" s="21"/>
      <c r="E2908" s="2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</row>
    <row r="2909">
      <c r="A2909" s="122"/>
      <c r="B2909" s="119"/>
      <c r="C2909" s="233"/>
      <c r="D2909" s="21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</row>
    <row r="2910">
      <c r="A2910" s="122"/>
      <c r="B2910" s="119"/>
      <c r="C2910" s="233"/>
      <c r="D2910" s="21"/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</row>
    <row r="2911">
      <c r="A2911" s="122"/>
      <c r="B2911" s="119"/>
      <c r="C2911" s="233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</row>
    <row r="2912">
      <c r="A2912" s="122"/>
      <c r="B2912" s="119"/>
      <c r="C2912" s="233"/>
      <c r="D2912" s="21"/>
      <c r="E2912" s="21"/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</row>
    <row r="2913">
      <c r="A2913" s="122"/>
      <c r="B2913" s="119"/>
      <c r="C2913" s="233"/>
      <c r="D2913" s="21"/>
      <c r="E2913" s="21"/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</row>
    <row r="2914">
      <c r="A2914" s="122"/>
      <c r="B2914" s="119"/>
      <c r="C2914" s="233"/>
      <c r="D2914" s="21"/>
      <c r="E2914" s="21"/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</row>
    <row r="2915">
      <c r="A2915" s="122"/>
      <c r="B2915" s="119"/>
      <c r="C2915" s="233"/>
      <c r="D2915" s="21"/>
      <c r="E2915" s="21"/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</row>
    <row r="2916">
      <c r="A2916" s="122"/>
      <c r="B2916" s="119"/>
      <c r="C2916" s="233"/>
      <c r="D2916" s="21"/>
      <c r="E2916" s="2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</row>
    <row r="2917">
      <c r="A2917" s="122"/>
      <c r="B2917" s="119"/>
      <c r="C2917" s="233"/>
      <c r="D2917" s="21"/>
      <c r="E2917" s="2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</row>
    <row r="2918">
      <c r="A2918" s="122"/>
      <c r="B2918" s="119"/>
      <c r="C2918" s="233"/>
      <c r="D2918" s="21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</row>
    <row r="2919">
      <c r="A2919" s="122"/>
      <c r="B2919" s="119"/>
      <c r="C2919" s="233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</row>
    <row r="2920">
      <c r="A2920" s="122"/>
      <c r="B2920" s="119"/>
      <c r="C2920" s="233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</row>
    <row r="2921">
      <c r="A2921" s="122"/>
      <c r="B2921" s="119"/>
      <c r="C2921" s="233"/>
      <c r="D2921" s="21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</row>
    <row r="2922">
      <c r="A2922" s="122"/>
      <c r="B2922" s="119"/>
      <c r="C2922" s="233"/>
      <c r="D2922" s="21"/>
      <c r="E2922" s="2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</row>
    <row r="2923">
      <c r="A2923" s="122"/>
      <c r="B2923" s="119"/>
      <c r="C2923" s="233"/>
      <c r="D2923" s="21"/>
      <c r="E2923" s="2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</row>
    <row r="2924">
      <c r="A2924" s="122"/>
      <c r="B2924" s="119"/>
      <c r="C2924" s="233"/>
      <c r="D2924" s="21"/>
      <c r="E2924" s="21"/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</row>
    <row r="2925">
      <c r="A2925" s="122"/>
      <c r="B2925" s="119"/>
      <c r="C2925" s="233"/>
      <c r="D2925" s="21"/>
      <c r="E2925" s="2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</row>
    <row r="2926">
      <c r="A2926" s="122"/>
      <c r="B2926" s="119"/>
      <c r="C2926" s="233"/>
      <c r="D2926" s="21"/>
      <c r="E2926" s="21"/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</row>
    <row r="2927">
      <c r="A2927" s="122"/>
      <c r="B2927" s="119"/>
      <c r="C2927" s="233"/>
      <c r="D2927" s="21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</row>
    <row r="2928">
      <c r="A2928" s="122"/>
      <c r="B2928" s="119"/>
      <c r="C2928" s="233"/>
      <c r="D2928" s="21"/>
      <c r="E2928" s="21"/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</row>
    <row r="2929">
      <c r="A2929" s="122"/>
      <c r="B2929" s="119"/>
      <c r="C2929" s="233"/>
      <c r="D2929" s="21"/>
      <c r="E2929" s="2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</row>
    <row r="2930">
      <c r="A2930" s="122"/>
      <c r="B2930" s="119"/>
      <c r="C2930" s="233"/>
      <c r="D2930" s="21"/>
      <c r="E2930" s="21"/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</row>
    <row r="2931">
      <c r="A2931" s="122"/>
      <c r="B2931" s="119"/>
      <c r="C2931" s="233"/>
      <c r="D2931" s="21"/>
      <c r="E2931" s="21"/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</row>
    <row r="2932">
      <c r="A2932" s="122"/>
      <c r="B2932" s="119"/>
      <c r="C2932" s="233"/>
      <c r="D2932" s="21"/>
      <c r="E2932" s="21"/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</row>
    <row r="2933">
      <c r="A2933" s="122"/>
      <c r="B2933" s="119"/>
      <c r="C2933" s="233"/>
      <c r="D2933" s="21"/>
      <c r="E2933" s="21"/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</row>
    <row r="2934">
      <c r="A2934" s="122"/>
      <c r="B2934" s="119"/>
      <c r="C2934" s="233"/>
      <c r="D2934" s="21"/>
      <c r="E2934" s="2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</row>
    <row r="2935">
      <c r="A2935" s="122"/>
      <c r="B2935" s="119"/>
      <c r="C2935" s="233"/>
      <c r="D2935" s="21"/>
      <c r="E2935" s="21"/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</row>
    <row r="2936">
      <c r="A2936" s="122"/>
      <c r="B2936" s="119"/>
      <c r="C2936" s="233"/>
      <c r="D2936" s="21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</row>
    <row r="2937">
      <c r="A2937" s="122"/>
      <c r="B2937" s="119"/>
      <c r="C2937" s="233"/>
      <c r="D2937" s="21"/>
      <c r="E2937" s="21"/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</row>
    <row r="2938">
      <c r="A2938" s="122"/>
      <c r="B2938" s="119"/>
      <c r="C2938" s="233"/>
      <c r="D2938" s="21"/>
      <c r="E2938" s="21"/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</row>
    <row r="2939">
      <c r="A2939" s="122"/>
      <c r="B2939" s="119"/>
      <c r="C2939" s="233"/>
      <c r="D2939" s="21"/>
      <c r="E2939" s="21"/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</row>
    <row r="2940">
      <c r="A2940" s="122"/>
      <c r="B2940" s="119"/>
      <c r="C2940" s="233"/>
      <c r="D2940" s="21"/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</row>
    <row r="2941">
      <c r="A2941" s="122"/>
      <c r="B2941" s="119"/>
      <c r="C2941" s="233"/>
      <c r="D2941" s="21"/>
      <c r="E2941" s="21"/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</row>
    <row r="2942">
      <c r="A2942" s="122"/>
      <c r="B2942" s="119"/>
      <c r="C2942" s="233"/>
      <c r="D2942" s="21"/>
      <c r="E2942" s="21"/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</row>
    <row r="2943">
      <c r="A2943" s="122"/>
      <c r="B2943" s="119"/>
      <c r="C2943" s="233"/>
      <c r="D2943" s="21"/>
      <c r="E2943" s="21"/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</row>
    <row r="2944">
      <c r="A2944" s="122"/>
      <c r="B2944" s="119"/>
      <c r="C2944" s="233"/>
      <c r="D2944" s="21"/>
      <c r="E2944" s="21"/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</row>
    <row r="2945">
      <c r="A2945" s="122"/>
      <c r="B2945" s="119"/>
      <c r="C2945" s="233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</row>
    <row r="2946">
      <c r="A2946" s="122"/>
      <c r="B2946" s="119"/>
      <c r="C2946" s="233"/>
      <c r="D2946" s="21"/>
      <c r="E2946" s="2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</row>
    <row r="2947">
      <c r="A2947" s="122"/>
      <c r="B2947" s="119"/>
      <c r="C2947" s="233"/>
      <c r="D2947" s="21"/>
      <c r="E2947" s="2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</row>
    <row r="2948">
      <c r="A2948" s="122"/>
      <c r="B2948" s="119"/>
      <c r="C2948" s="233"/>
      <c r="D2948" s="21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</row>
    <row r="2949">
      <c r="A2949" s="122"/>
      <c r="B2949" s="119"/>
      <c r="C2949" s="233"/>
      <c r="D2949" s="21"/>
      <c r="E2949" s="2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</row>
    <row r="2950">
      <c r="A2950" s="122"/>
      <c r="B2950" s="119"/>
      <c r="C2950" s="233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</row>
    <row r="2951">
      <c r="A2951" s="122"/>
      <c r="B2951" s="119"/>
      <c r="C2951" s="233"/>
      <c r="D2951" s="21"/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</row>
    <row r="2952">
      <c r="A2952" s="122"/>
      <c r="B2952" s="119"/>
      <c r="C2952" s="233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</row>
    <row r="2953">
      <c r="A2953" s="122"/>
      <c r="B2953" s="119"/>
      <c r="C2953" s="233"/>
      <c r="D2953" s="21"/>
      <c r="E2953" s="21"/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</row>
    <row r="2954">
      <c r="A2954" s="122"/>
      <c r="B2954" s="119"/>
      <c r="C2954" s="233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</row>
    <row r="2955">
      <c r="A2955" s="122"/>
      <c r="B2955" s="119"/>
      <c r="C2955" s="233"/>
      <c r="D2955" s="21"/>
      <c r="E2955" s="2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</row>
    <row r="2956">
      <c r="A2956" s="122"/>
      <c r="B2956" s="119"/>
      <c r="C2956" s="233"/>
      <c r="D2956" s="21"/>
      <c r="E2956" s="21"/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</row>
    <row r="2957">
      <c r="A2957" s="122"/>
      <c r="B2957" s="119"/>
      <c r="C2957" s="233"/>
      <c r="D2957" s="21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</row>
    <row r="2958">
      <c r="A2958" s="122"/>
      <c r="B2958" s="119"/>
      <c r="C2958" s="233"/>
      <c r="D2958" s="21"/>
      <c r="E2958" s="21"/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</row>
    <row r="2959">
      <c r="A2959" s="122"/>
      <c r="B2959" s="119"/>
      <c r="C2959" s="233"/>
      <c r="D2959" s="21"/>
      <c r="E2959" s="21"/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</row>
    <row r="2960">
      <c r="A2960" s="122"/>
      <c r="B2960" s="119"/>
      <c r="C2960" s="233"/>
      <c r="D2960" s="21"/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</row>
    <row r="2961">
      <c r="A2961" s="122"/>
      <c r="B2961" s="119"/>
      <c r="C2961" s="233"/>
      <c r="D2961" s="21"/>
      <c r="E2961" s="21"/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</row>
    <row r="2962">
      <c r="A2962" s="122"/>
      <c r="B2962" s="119"/>
      <c r="C2962" s="233"/>
      <c r="D2962" s="21"/>
      <c r="E2962" s="21"/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</row>
    <row r="2963">
      <c r="A2963" s="122"/>
      <c r="B2963" s="119"/>
      <c r="C2963" s="233"/>
      <c r="D2963" s="21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</row>
    <row r="2964">
      <c r="A2964" s="122"/>
      <c r="B2964" s="119"/>
      <c r="C2964" s="233"/>
      <c r="D2964" s="21"/>
      <c r="E2964" s="21"/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</row>
    <row r="2965">
      <c r="A2965" s="122"/>
      <c r="B2965" s="119"/>
      <c r="C2965" s="233"/>
      <c r="D2965" s="21"/>
      <c r="E2965" s="21"/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</row>
    <row r="2966">
      <c r="A2966" s="122"/>
      <c r="B2966" s="119"/>
      <c r="C2966" s="233"/>
      <c r="D2966" s="21"/>
      <c r="E2966" s="21"/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</row>
    <row r="2967">
      <c r="A2967" s="122"/>
      <c r="B2967" s="119"/>
      <c r="C2967" s="233"/>
      <c r="D2967" s="21"/>
      <c r="E2967" s="21"/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</row>
    <row r="2968">
      <c r="A2968" s="122"/>
      <c r="B2968" s="119"/>
      <c r="C2968" s="233"/>
      <c r="D2968" s="21"/>
      <c r="E2968" s="2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</row>
    <row r="2969">
      <c r="A2969" s="122"/>
      <c r="B2969" s="119"/>
      <c r="C2969" s="233"/>
      <c r="D2969" s="21"/>
      <c r="E2969" s="21"/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</row>
    <row r="2970">
      <c r="A2970" s="122"/>
      <c r="B2970" s="119"/>
      <c r="C2970" s="233"/>
      <c r="D2970" s="21"/>
      <c r="E2970" s="21"/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</row>
    <row r="2971">
      <c r="A2971" s="122"/>
      <c r="B2971" s="119"/>
      <c r="C2971" s="233"/>
      <c r="D2971" s="21"/>
      <c r="E2971" s="2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</row>
    <row r="2972">
      <c r="A2972" s="122"/>
      <c r="B2972" s="119"/>
      <c r="C2972" s="233"/>
      <c r="D2972" s="21"/>
      <c r="E2972" s="21"/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</row>
    <row r="2973">
      <c r="A2973" s="122"/>
      <c r="B2973" s="119"/>
      <c r="C2973" s="233"/>
      <c r="D2973" s="21"/>
      <c r="E2973" s="2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</row>
    <row r="2974">
      <c r="A2974" s="122"/>
      <c r="B2974" s="119"/>
      <c r="C2974" s="233"/>
      <c r="D2974" s="21"/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</row>
    <row r="2975">
      <c r="A2975" s="122"/>
      <c r="B2975" s="119"/>
      <c r="C2975" s="233"/>
      <c r="D2975" s="21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</row>
    <row r="2976">
      <c r="A2976" s="122"/>
      <c r="B2976" s="119"/>
      <c r="C2976" s="233"/>
      <c r="D2976" s="21"/>
      <c r="E2976" s="2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</row>
    <row r="2977">
      <c r="A2977" s="122"/>
      <c r="B2977" s="119"/>
      <c r="C2977" s="233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</row>
    <row r="2978">
      <c r="A2978" s="122"/>
      <c r="B2978" s="119"/>
      <c r="C2978" s="233"/>
      <c r="D2978" s="21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</row>
    <row r="2979">
      <c r="A2979" s="122"/>
      <c r="B2979" s="119"/>
      <c r="C2979" s="233"/>
      <c r="D2979" s="21"/>
      <c r="E2979" s="21"/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</row>
    <row r="2980">
      <c r="A2980" s="122"/>
      <c r="B2980" s="119"/>
      <c r="C2980" s="233"/>
      <c r="D2980" s="21"/>
      <c r="E2980" s="21"/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</row>
    <row r="2981">
      <c r="A2981" s="122"/>
      <c r="B2981" s="119"/>
      <c r="C2981" s="233"/>
      <c r="D2981" s="21"/>
      <c r="E2981" s="21"/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</row>
    <row r="2982">
      <c r="A2982" s="122"/>
      <c r="B2982" s="119"/>
      <c r="C2982" s="233"/>
      <c r="D2982" s="21"/>
      <c r="E2982" s="21"/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</row>
    <row r="2983">
      <c r="A2983" s="122"/>
      <c r="B2983" s="119"/>
      <c r="C2983" s="233"/>
      <c r="D2983" s="21"/>
      <c r="E2983" s="21"/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</row>
    <row r="2984">
      <c r="A2984" s="122"/>
      <c r="B2984" s="119"/>
      <c r="C2984" s="233"/>
      <c r="D2984" s="21"/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</row>
    <row r="2985">
      <c r="A2985" s="122"/>
      <c r="B2985" s="119"/>
      <c r="C2985" s="233"/>
      <c r="D2985" s="21"/>
      <c r="E2985" s="2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</row>
    <row r="2986">
      <c r="A2986" s="122"/>
      <c r="B2986" s="119"/>
      <c r="C2986" s="233"/>
      <c r="D2986" s="21"/>
      <c r="E2986" s="2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</row>
    <row r="2987">
      <c r="A2987" s="122"/>
      <c r="B2987" s="119"/>
      <c r="C2987" s="233"/>
      <c r="D2987" s="21"/>
      <c r="E2987" s="21"/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</row>
    <row r="2988">
      <c r="A2988" s="122"/>
      <c r="B2988" s="119"/>
      <c r="C2988" s="233"/>
      <c r="D2988" s="21"/>
      <c r="E2988" s="21"/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</row>
    <row r="2989">
      <c r="A2989" s="122"/>
      <c r="B2989" s="119"/>
      <c r="C2989" s="233"/>
      <c r="D2989" s="21"/>
      <c r="E2989" s="21"/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</row>
    <row r="2990">
      <c r="A2990" s="122"/>
      <c r="B2990" s="119"/>
      <c r="C2990" s="233"/>
      <c r="D2990" s="21"/>
      <c r="E2990" s="21"/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</row>
    <row r="2991">
      <c r="A2991" s="122"/>
      <c r="B2991" s="119"/>
      <c r="C2991" s="233"/>
      <c r="D2991" s="21"/>
      <c r="E2991" s="2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</row>
    <row r="2992">
      <c r="A2992" s="122"/>
      <c r="B2992" s="119"/>
      <c r="C2992" s="233"/>
      <c r="D2992" s="21"/>
      <c r="E2992" s="2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</row>
    <row r="2993">
      <c r="A2993" s="122"/>
      <c r="B2993" s="119"/>
      <c r="C2993" s="233"/>
      <c r="D2993" s="21"/>
      <c r="E2993" s="21"/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</row>
    <row r="2994">
      <c r="A2994" s="122"/>
      <c r="B2994" s="119"/>
      <c r="C2994" s="233"/>
      <c r="D2994" s="21"/>
      <c r="E2994" s="2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</row>
    <row r="2995">
      <c r="A2995" s="122"/>
      <c r="B2995" s="119"/>
      <c r="C2995" s="233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</row>
    <row r="2996">
      <c r="A2996" s="122"/>
      <c r="B2996" s="119"/>
      <c r="C2996" s="233"/>
      <c r="D2996" s="21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</row>
    <row r="2997">
      <c r="A2997" s="122"/>
      <c r="B2997" s="119"/>
      <c r="C2997" s="233"/>
      <c r="D2997" s="21"/>
      <c r="E2997" s="21"/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</row>
    <row r="2998">
      <c r="A2998" s="122"/>
      <c r="B2998" s="119"/>
      <c r="C2998" s="233"/>
      <c r="D2998" s="21"/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</row>
    <row r="2999">
      <c r="A2999" s="122"/>
      <c r="B2999" s="119"/>
      <c r="C2999" s="233"/>
      <c r="D2999" s="21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</row>
    <row r="3000">
      <c r="A3000" s="122"/>
      <c r="B3000" s="119"/>
      <c r="C3000" s="233"/>
      <c r="D3000" s="21"/>
      <c r="E3000" s="21"/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</row>
    <row r="3001">
      <c r="A3001" s="122"/>
      <c r="B3001" s="119"/>
      <c r="C3001" s="233"/>
      <c r="D3001" s="21"/>
      <c r="E3001" s="2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</row>
    <row r="3002">
      <c r="A3002" s="122"/>
      <c r="B3002" s="119"/>
      <c r="C3002" s="233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</row>
    <row r="3003">
      <c r="A3003" s="122"/>
      <c r="B3003" s="119"/>
      <c r="C3003" s="233"/>
      <c r="D3003" s="21"/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</row>
    <row r="3004">
      <c r="A3004" s="122"/>
      <c r="B3004" s="119"/>
      <c r="C3004" s="233"/>
      <c r="D3004" s="21"/>
      <c r="E3004" s="2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</row>
    <row r="3005">
      <c r="A3005" s="122"/>
      <c r="B3005" s="119"/>
      <c r="C3005" s="233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</row>
    <row r="3006">
      <c r="A3006" s="122"/>
      <c r="B3006" s="119"/>
      <c r="C3006" s="233"/>
      <c r="D3006" s="21"/>
      <c r="E3006" s="2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</row>
    <row r="3007">
      <c r="A3007" s="122"/>
      <c r="B3007" s="119"/>
      <c r="C3007" s="233"/>
      <c r="D3007" s="21"/>
      <c r="E3007" s="21"/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</row>
    <row r="3008">
      <c r="A3008" s="122"/>
      <c r="B3008" s="119"/>
      <c r="C3008" s="233"/>
      <c r="D3008" s="21"/>
      <c r="E3008" s="21"/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</row>
    <row r="3009">
      <c r="A3009" s="122"/>
      <c r="B3009" s="119"/>
      <c r="C3009" s="233"/>
      <c r="D3009" s="21"/>
      <c r="E3009" s="21"/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</row>
    <row r="3010">
      <c r="A3010" s="122"/>
      <c r="B3010" s="119"/>
      <c r="C3010" s="233"/>
      <c r="D3010" s="21"/>
      <c r="E3010" s="2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</row>
    <row r="3011">
      <c r="A3011" s="122"/>
      <c r="B3011" s="119"/>
      <c r="C3011" s="233"/>
      <c r="D3011" s="21"/>
      <c r="E3011" s="21"/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</row>
    <row r="3012">
      <c r="A3012" s="122"/>
      <c r="B3012" s="119"/>
      <c r="C3012" s="233"/>
      <c r="D3012" s="21"/>
      <c r="E3012" s="21"/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</row>
    <row r="3013">
      <c r="A3013" s="122"/>
      <c r="B3013" s="119"/>
      <c r="C3013" s="233"/>
      <c r="D3013" s="21"/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</row>
    <row r="3014">
      <c r="A3014" s="122"/>
      <c r="B3014" s="119"/>
      <c r="C3014" s="233"/>
      <c r="D3014" s="21"/>
      <c r="E3014" s="21"/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</row>
    <row r="3015">
      <c r="A3015" s="122"/>
      <c r="B3015" s="119"/>
      <c r="C3015" s="233"/>
      <c r="D3015" s="21"/>
      <c r="E3015" s="21"/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</row>
    <row r="3016">
      <c r="A3016" s="122"/>
      <c r="B3016" s="119"/>
      <c r="C3016" s="233"/>
      <c r="D3016" s="21"/>
      <c r="E3016" s="2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</row>
    <row r="3017">
      <c r="A3017" s="122"/>
      <c r="B3017" s="119"/>
      <c r="C3017" s="233"/>
      <c r="D3017" s="21"/>
      <c r="E3017" s="21"/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</row>
    <row r="3018">
      <c r="A3018" s="122"/>
      <c r="B3018" s="119"/>
      <c r="C3018" s="233"/>
      <c r="D3018" s="21"/>
      <c r="E3018" s="21"/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</row>
    <row r="3019">
      <c r="A3019" s="122"/>
      <c r="B3019" s="119"/>
      <c r="C3019" s="233"/>
      <c r="D3019" s="21"/>
      <c r="E3019" s="21"/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</row>
    <row r="3020">
      <c r="A3020" s="122"/>
      <c r="B3020" s="119"/>
      <c r="C3020" s="233"/>
      <c r="D3020" s="21"/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</row>
    <row r="3021">
      <c r="A3021" s="122"/>
      <c r="B3021" s="119"/>
      <c r="C3021" s="233"/>
      <c r="D3021" s="21"/>
      <c r="E3021" s="21"/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</row>
    <row r="3022">
      <c r="A3022" s="122"/>
      <c r="B3022" s="119"/>
      <c r="C3022" s="233"/>
      <c r="D3022" s="21"/>
      <c r="E3022" s="21"/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</row>
    <row r="3023">
      <c r="A3023" s="122"/>
      <c r="B3023" s="119"/>
      <c r="C3023" s="233"/>
      <c r="D3023" s="21"/>
      <c r="E3023" s="21"/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</row>
    <row r="3024">
      <c r="A3024" s="122"/>
      <c r="B3024" s="119"/>
      <c r="C3024" s="233"/>
      <c r="D3024" s="21"/>
      <c r="E3024" s="2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</row>
    <row r="3025">
      <c r="A3025" s="122"/>
      <c r="B3025" s="119"/>
      <c r="C3025" s="233"/>
      <c r="D3025" s="21"/>
      <c r="E3025" s="21"/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</row>
    <row r="3026">
      <c r="A3026" s="122"/>
      <c r="B3026" s="119"/>
      <c r="C3026" s="233"/>
      <c r="D3026" s="21"/>
      <c r="E3026" s="21"/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</row>
    <row r="3027">
      <c r="A3027" s="122"/>
      <c r="B3027" s="119"/>
      <c r="C3027" s="233"/>
      <c r="D3027" s="21"/>
      <c r="E3027" s="21"/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</row>
    <row r="3028">
      <c r="A3028" s="122"/>
      <c r="B3028" s="119"/>
      <c r="C3028" s="233"/>
      <c r="D3028" s="21"/>
      <c r="E3028" s="2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</row>
    <row r="3029">
      <c r="A3029" s="122"/>
      <c r="B3029" s="119"/>
      <c r="C3029" s="233"/>
      <c r="D3029" s="21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</row>
    <row r="3030">
      <c r="A3030" s="122"/>
      <c r="B3030" s="119"/>
      <c r="C3030" s="233"/>
      <c r="D3030" s="21"/>
      <c r="E3030" s="2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</row>
    <row r="3031">
      <c r="A3031" s="122"/>
      <c r="B3031" s="119"/>
      <c r="C3031" s="233"/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</row>
    <row r="3032">
      <c r="A3032" s="122"/>
      <c r="B3032" s="119"/>
      <c r="C3032" s="233"/>
      <c r="D3032" s="21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</row>
    <row r="3033">
      <c r="A3033" s="122"/>
      <c r="B3033" s="119"/>
      <c r="C3033" s="233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</row>
    <row r="3034">
      <c r="A3034" s="122"/>
      <c r="B3034" s="119"/>
      <c r="C3034" s="233"/>
      <c r="D3034" s="21"/>
      <c r="E3034" s="2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</row>
    <row r="3035">
      <c r="A3035" s="122"/>
      <c r="B3035" s="119"/>
      <c r="C3035" s="233"/>
      <c r="D3035" s="21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</row>
    <row r="3036">
      <c r="A3036" s="122"/>
      <c r="B3036" s="119"/>
      <c r="C3036" s="233"/>
      <c r="D3036" s="21"/>
      <c r="E3036" s="21"/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</row>
    <row r="3037">
      <c r="A3037" s="122"/>
      <c r="B3037" s="119"/>
      <c r="C3037" s="233"/>
      <c r="D3037" s="21"/>
      <c r="E3037" s="21"/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</row>
    <row r="3038">
      <c r="A3038" s="122"/>
      <c r="B3038" s="119"/>
      <c r="C3038" s="233"/>
      <c r="D3038" s="21"/>
      <c r="E3038" s="21"/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</row>
    <row r="3039">
      <c r="A3039" s="122"/>
      <c r="B3039" s="119"/>
      <c r="C3039" s="233"/>
      <c r="D3039" s="21"/>
      <c r="E3039" s="2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</row>
    <row r="3040">
      <c r="A3040" s="122"/>
      <c r="B3040" s="119"/>
      <c r="C3040" s="233"/>
      <c r="D3040" s="21"/>
      <c r="E3040" s="21"/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</row>
    <row r="3041">
      <c r="A3041" s="122"/>
      <c r="B3041" s="119"/>
      <c r="C3041" s="233"/>
      <c r="D3041" s="21"/>
      <c r="E3041" s="21"/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</row>
    <row r="3042">
      <c r="A3042" s="122"/>
      <c r="B3042" s="119"/>
      <c r="C3042" s="233"/>
      <c r="D3042" s="21"/>
      <c r="E3042" s="21"/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</row>
    <row r="3043">
      <c r="A3043" s="122"/>
      <c r="B3043" s="119"/>
      <c r="C3043" s="233"/>
      <c r="D3043" s="21"/>
      <c r="E3043" s="21"/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</row>
    <row r="3044">
      <c r="A3044" s="122"/>
      <c r="B3044" s="119"/>
      <c r="C3044" s="233"/>
      <c r="D3044" s="21"/>
      <c r="E3044" s="21"/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</row>
    <row r="3045">
      <c r="A3045" s="122"/>
      <c r="B3045" s="119"/>
      <c r="C3045" s="233"/>
      <c r="D3045" s="21"/>
      <c r="E3045" s="21"/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</row>
    <row r="3046">
      <c r="A3046" s="122"/>
      <c r="B3046" s="119"/>
      <c r="C3046" s="233"/>
      <c r="D3046" s="21"/>
      <c r="E3046" s="2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</row>
    <row r="3047">
      <c r="A3047" s="122"/>
      <c r="B3047" s="119"/>
      <c r="C3047" s="233"/>
      <c r="D3047" s="21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</row>
    <row r="3048">
      <c r="A3048" s="122"/>
      <c r="B3048" s="119"/>
      <c r="C3048" s="233"/>
      <c r="D3048" s="21"/>
      <c r="E3048" s="2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</row>
    <row r="3049">
      <c r="A3049" s="122"/>
      <c r="B3049" s="119"/>
      <c r="C3049" s="233"/>
      <c r="D3049" s="21"/>
      <c r="E3049" s="2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</row>
    <row r="3050">
      <c r="A3050" s="122"/>
      <c r="B3050" s="119"/>
      <c r="C3050" s="233"/>
      <c r="D3050" s="21"/>
      <c r="E3050" s="21"/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</row>
    <row r="3051">
      <c r="A3051" s="122"/>
      <c r="B3051" s="119"/>
      <c r="C3051" s="233"/>
      <c r="D3051" s="21"/>
      <c r="E3051" s="21"/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</row>
    <row r="3052">
      <c r="A3052" s="122"/>
      <c r="B3052" s="119"/>
      <c r="C3052" s="233"/>
      <c r="D3052" s="21"/>
      <c r="E3052" s="21"/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</row>
    <row r="3053">
      <c r="A3053" s="122"/>
      <c r="B3053" s="119"/>
      <c r="C3053" s="233"/>
      <c r="D3053" s="21"/>
      <c r="E3053" s="21"/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</row>
    <row r="3054">
      <c r="A3054" s="122"/>
      <c r="B3054" s="119"/>
      <c r="C3054" s="233"/>
      <c r="D3054" s="21"/>
      <c r="E3054" s="21"/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</row>
    <row r="3055">
      <c r="A3055" s="122"/>
      <c r="B3055" s="119"/>
      <c r="C3055" s="233"/>
      <c r="D3055" s="21"/>
      <c r="E3055" s="21"/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</row>
    <row r="3056">
      <c r="A3056" s="122"/>
      <c r="B3056" s="119"/>
      <c r="C3056" s="233"/>
      <c r="D3056" s="21"/>
      <c r="E3056" s="21"/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</row>
    <row r="3057">
      <c r="A3057" s="122"/>
      <c r="B3057" s="119"/>
      <c r="C3057" s="233"/>
      <c r="D3057" s="21"/>
      <c r="E3057" s="2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</row>
    <row r="3058">
      <c r="A3058" s="122"/>
      <c r="B3058" s="119"/>
      <c r="C3058" s="233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</row>
    <row r="3059">
      <c r="A3059" s="122"/>
      <c r="B3059" s="119"/>
      <c r="C3059" s="233"/>
      <c r="D3059" s="21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</row>
    <row r="3060">
      <c r="A3060" s="122"/>
      <c r="B3060" s="119"/>
      <c r="C3060" s="233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</row>
    <row r="3061">
      <c r="A3061" s="122"/>
      <c r="B3061" s="119"/>
      <c r="C3061" s="233"/>
      <c r="D3061" s="21"/>
      <c r="E3061" s="2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</row>
    <row r="3062">
      <c r="A3062" s="122"/>
      <c r="B3062" s="119"/>
      <c r="C3062" s="233"/>
      <c r="D3062" s="21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</row>
    <row r="3063">
      <c r="A3063" s="122"/>
      <c r="B3063" s="119"/>
      <c r="C3063" s="233"/>
      <c r="D3063" s="21"/>
      <c r="E3063" s="21"/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</row>
    <row r="3064">
      <c r="A3064" s="122"/>
      <c r="B3064" s="119"/>
      <c r="C3064" s="233"/>
      <c r="D3064" s="21"/>
      <c r="E3064" s="21"/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</row>
    <row r="3065">
      <c r="A3065" s="122"/>
      <c r="B3065" s="119"/>
      <c r="C3065" s="233"/>
      <c r="D3065" s="21"/>
      <c r="E3065" s="21"/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</row>
    <row r="3066">
      <c r="A3066" s="122"/>
      <c r="B3066" s="119"/>
      <c r="C3066" s="233"/>
      <c r="D3066" s="21"/>
      <c r="E3066" s="21"/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</row>
    <row r="3067">
      <c r="A3067" s="122"/>
      <c r="B3067" s="119"/>
      <c r="C3067" s="233"/>
      <c r="D3067" s="21"/>
      <c r="E3067" s="2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</row>
    <row r="3068">
      <c r="A3068" s="122"/>
      <c r="B3068" s="119"/>
      <c r="C3068" s="233"/>
      <c r="D3068" s="21"/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</row>
    <row r="3069">
      <c r="A3069" s="122"/>
      <c r="B3069" s="119"/>
      <c r="C3069" s="233"/>
      <c r="D3069" s="21"/>
      <c r="E3069" s="21"/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</row>
    <row r="3070">
      <c r="A3070" s="122"/>
      <c r="B3070" s="119"/>
      <c r="C3070" s="233"/>
      <c r="D3070" s="21"/>
      <c r="E3070" s="21"/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</row>
    <row r="3071">
      <c r="A3071" s="122"/>
      <c r="B3071" s="119"/>
      <c r="C3071" s="233"/>
      <c r="D3071" s="21"/>
      <c r="E3071" s="21"/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</row>
    <row r="3072">
      <c r="A3072" s="122"/>
      <c r="B3072" s="119"/>
      <c r="C3072" s="233"/>
      <c r="D3072" s="21"/>
      <c r="E3072" s="2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</row>
    <row r="3073">
      <c r="A3073" s="122"/>
      <c r="B3073" s="119"/>
      <c r="C3073" s="233"/>
      <c r="D3073" s="21"/>
      <c r="E3073" s="21"/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</row>
    <row r="3074">
      <c r="A3074" s="122"/>
      <c r="B3074" s="119"/>
      <c r="C3074" s="233"/>
      <c r="D3074" s="21"/>
      <c r="E3074" s="21"/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</row>
    <row r="3075">
      <c r="A3075" s="122"/>
      <c r="B3075" s="119"/>
      <c r="C3075" s="233"/>
      <c r="D3075" s="21"/>
      <c r="E3075" s="2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</row>
    <row r="3076">
      <c r="A3076" s="122"/>
      <c r="B3076" s="119"/>
      <c r="C3076" s="233"/>
      <c r="D3076" s="21"/>
      <c r="E3076" s="2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</row>
    <row r="3077">
      <c r="A3077" s="122"/>
      <c r="B3077" s="119"/>
      <c r="C3077" s="233"/>
      <c r="D3077" s="21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</row>
    <row r="3078">
      <c r="A3078" s="122"/>
      <c r="B3078" s="119"/>
      <c r="C3078" s="233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</row>
    <row r="3079">
      <c r="A3079" s="122"/>
      <c r="B3079" s="119"/>
      <c r="C3079" s="233"/>
      <c r="D3079" s="21"/>
      <c r="E3079" s="2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</row>
    <row r="3080">
      <c r="A3080" s="122"/>
      <c r="B3080" s="119"/>
      <c r="C3080" s="233"/>
      <c r="D3080" s="21"/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</row>
    <row r="3081">
      <c r="A3081" s="122"/>
      <c r="B3081" s="119"/>
      <c r="C3081" s="233"/>
      <c r="D3081" s="21"/>
      <c r="E3081" s="21"/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</row>
    <row r="3082">
      <c r="A3082" s="122"/>
      <c r="B3082" s="119"/>
      <c r="C3082" s="233"/>
      <c r="D3082" s="21"/>
      <c r="E3082" s="21"/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</row>
    <row r="3083">
      <c r="A3083" s="122"/>
      <c r="B3083" s="119"/>
      <c r="C3083" s="233"/>
      <c r="D3083" s="21"/>
      <c r="E3083" s="21"/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</row>
    <row r="3084">
      <c r="A3084" s="122"/>
      <c r="B3084" s="119"/>
      <c r="C3084" s="233"/>
      <c r="D3084" s="21"/>
      <c r="E3084" s="21"/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</row>
    <row r="3085">
      <c r="A3085" s="122"/>
      <c r="B3085" s="119"/>
      <c r="C3085" s="233"/>
      <c r="D3085" s="21"/>
      <c r="E3085" s="2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</row>
    <row r="3086">
      <c r="A3086" s="122"/>
      <c r="B3086" s="119"/>
      <c r="C3086" s="233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</row>
    <row r="3087">
      <c r="A3087" s="122"/>
      <c r="B3087" s="119"/>
      <c r="C3087" s="233"/>
      <c r="D3087" s="21"/>
      <c r="E3087" s="2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</row>
    <row r="3088">
      <c r="A3088" s="122"/>
      <c r="B3088" s="119"/>
      <c r="C3088" s="233"/>
      <c r="D3088" s="21"/>
      <c r="E3088" s="2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</row>
    <row r="3089">
      <c r="A3089" s="122"/>
      <c r="B3089" s="119"/>
      <c r="C3089" s="233"/>
      <c r="D3089" s="21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</row>
    <row r="3090">
      <c r="A3090" s="122"/>
      <c r="B3090" s="204"/>
      <c r="C3090" s="233"/>
      <c r="D3090" s="21"/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</row>
    <row r="3091">
      <c r="A3091" s="122"/>
      <c r="B3091" s="204"/>
      <c r="C3091" s="233"/>
      <c r="D3091" s="21"/>
      <c r="E3091" s="21"/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</row>
    <row r="3092">
      <c r="A3092" s="122"/>
      <c r="B3092" s="119"/>
      <c r="C3092" s="233"/>
      <c r="D3092" s="21"/>
      <c r="E3092" s="21"/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</row>
    <row r="3093">
      <c r="A3093" s="122"/>
      <c r="B3093" s="119"/>
      <c r="C3093" s="233"/>
      <c r="D3093" s="21"/>
      <c r="E3093" s="21"/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</row>
    <row r="3094">
      <c r="A3094" s="122"/>
      <c r="B3094" s="119"/>
      <c r="C3094" s="233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</row>
    <row r="3095">
      <c r="A3095" s="122"/>
      <c r="B3095" s="119"/>
      <c r="C3095" s="233"/>
      <c r="D3095" s="21"/>
      <c r="E3095" s="21"/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</row>
    <row r="3096">
      <c r="A3096" s="122"/>
      <c r="B3096" s="119"/>
      <c r="C3096" s="233"/>
      <c r="D3096" s="21"/>
      <c r="E3096" s="2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</row>
    <row r="3097">
      <c r="A3097" s="122"/>
      <c r="B3097" s="119"/>
      <c r="C3097" s="233"/>
      <c r="D3097" s="21"/>
      <c r="E3097" s="21"/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</row>
    <row r="3098">
      <c r="A3098" s="122"/>
      <c r="B3098" s="119"/>
      <c r="C3098" s="233"/>
      <c r="D3098" s="21"/>
      <c r="E3098" s="21"/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</row>
    <row r="3099">
      <c r="A3099" s="122"/>
      <c r="B3099" s="119"/>
      <c r="C3099" s="233"/>
      <c r="D3099" s="21"/>
      <c r="E3099" s="2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</row>
    <row r="3100">
      <c r="A3100" s="122"/>
      <c r="B3100" s="119"/>
      <c r="C3100" s="233"/>
      <c r="D3100" s="21"/>
      <c r="E3100" s="2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</row>
    <row r="3101">
      <c r="A3101" s="122"/>
      <c r="B3101" s="119"/>
      <c r="C3101" s="233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</row>
    <row r="3102">
      <c r="A3102" s="122"/>
      <c r="B3102" s="119"/>
      <c r="C3102" s="233"/>
      <c r="D3102" s="21"/>
      <c r="E3102" s="2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</row>
    <row r="3103">
      <c r="A3103" s="122"/>
      <c r="B3103" s="119"/>
      <c r="C3103" s="233"/>
      <c r="D3103" s="21"/>
      <c r="E3103" s="2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</row>
    <row r="3104">
      <c r="A3104" s="122"/>
      <c r="B3104" s="119"/>
      <c r="C3104" s="233"/>
      <c r="D3104" s="21"/>
      <c r="E3104" s="21"/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</row>
    <row r="3105">
      <c r="A3105" s="122"/>
      <c r="B3105" s="119"/>
      <c r="C3105" s="233"/>
      <c r="D3105" s="21"/>
      <c r="E3105" s="21"/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</row>
    <row r="3106">
      <c r="A3106" s="122"/>
      <c r="B3106" s="119"/>
      <c r="C3106" s="233"/>
      <c r="D3106" s="21"/>
      <c r="E3106" s="21"/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</row>
    <row r="3107">
      <c r="A3107" s="122"/>
      <c r="B3107" s="119"/>
      <c r="C3107" s="233"/>
      <c r="D3107" s="21"/>
      <c r="E3107" s="21"/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</row>
    <row r="3108">
      <c r="A3108" s="122"/>
      <c r="B3108" s="119"/>
      <c r="C3108" s="233"/>
      <c r="D3108" s="21"/>
      <c r="E3108" s="21"/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</row>
    <row r="3109">
      <c r="A3109" s="122"/>
      <c r="B3109" s="119"/>
      <c r="C3109" s="233"/>
      <c r="D3109" s="21"/>
      <c r="E3109" s="2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</row>
    <row r="3110">
      <c r="A3110" s="122"/>
      <c r="B3110" s="119"/>
      <c r="C3110" s="233"/>
      <c r="D3110" s="21"/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</row>
    <row r="3111">
      <c r="A3111" s="122"/>
      <c r="B3111" s="119"/>
      <c r="C3111" s="233"/>
      <c r="D3111" s="21"/>
      <c r="E3111" s="21"/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</row>
    <row r="3112">
      <c r="A3112" s="122"/>
      <c r="B3112" s="119"/>
      <c r="C3112" s="233"/>
      <c r="D3112" s="21"/>
      <c r="E3112" s="21"/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</row>
    <row r="3113">
      <c r="A3113" s="122"/>
      <c r="B3113" s="119"/>
      <c r="C3113" s="233"/>
      <c r="D3113" s="21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</row>
    <row r="3114">
      <c r="A3114" s="122"/>
      <c r="B3114" s="119"/>
      <c r="C3114" s="233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</row>
    <row r="3115">
      <c r="A3115" s="122"/>
      <c r="B3115" s="119"/>
      <c r="C3115" s="233"/>
      <c r="D3115" s="21"/>
      <c r="E3115" s="2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</row>
    <row r="3116">
      <c r="A3116" s="122"/>
      <c r="B3116" s="119"/>
      <c r="C3116" s="233"/>
      <c r="D3116" s="21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</row>
    <row r="3117">
      <c r="A3117" s="122"/>
      <c r="B3117" s="119"/>
      <c r="C3117" s="233"/>
      <c r="D3117" s="21"/>
      <c r="E3117" s="2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</row>
    <row r="3118">
      <c r="A3118" s="122"/>
      <c r="B3118" s="119"/>
      <c r="C3118" s="233"/>
      <c r="D3118" s="21"/>
      <c r="E3118" s="2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</row>
    <row r="3119">
      <c r="A3119" s="122"/>
      <c r="B3119" s="119"/>
      <c r="C3119" s="233"/>
      <c r="D3119" s="21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</row>
    <row r="3120">
      <c r="A3120" s="122"/>
      <c r="B3120" s="119"/>
      <c r="C3120" s="233"/>
      <c r="D3120" s="21"/>
      <c r="E3120" s="21"/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</row>
    <row r="3121">
      <c r="A3121" s="122"/>
      <c r="B3121" s="119"/>
      <c r="C3121" s="233"/>
      <c r="D3121" s="21"/>
      <c r="E3121" s="2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</row>
    <row r="3122">
      <c r="A3122" s="122"/>
      <c r="B3122" s="119"/>
      <c r="C3122" s="233"/>
      <c r="D3122" s="21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</row>
    <row r="3123">
      <c r="A3123" s="122"/>
      <c r="B3123" s="119"/>
      <c r="C3123" s="233"/>
      <c r="D3123" s="21"/>
      <c r="E3123" s="2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</row>
    <row r="3124">
      <c r="A3124" s="122"/>
      <c r="B3124" s="119"/>
      <c r="C3124" s="233"/>
      <c r="D3124" s="21"/>
      <c r="E3124" s="2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</row>
    <row r="3125">
      <c r="A3125" s="122"/>
      <c r="B3125" s="119"/>
      <c r="C3125" s="233"/>
      <c r="D3125" s="21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</row>
    <row r="3126">
      <c r="A3126" s="122"/>
      <c r="B3126" s="119"/>
      <c r="C3126" s="233"/>
      <c r="D3126" s="21"/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</row>
    <row r="3127">
      <c r="A3127" s="122"/>
      <c r="B3127" s="119"/>
      <c r="C3127" s="233"/>
      <c r="D3127" s="21"/>
      <c r="E3127" s="2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</row>
    <row r="3128">
      <c r="A3128" s="122"/>
      <c r="B3128" s="119"/>
      <c r="C3128" s="233"/>
      <c r="D3128" s="21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</row>
    <row r="3129">
      <c r="A3129" s="122"/>
      <c r="B3129" s="119"/>
      <c r="C3129" s="233"/>
      <c r="D3129" s="21"/>
      <c r="E3129" s="2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</row>
    <row r="3130">
      <c r="A3130" s="122"/>
      <c r="B3130" s="119"/>
      <c r="C3130" s="233"/>
      <c r="D3130" s="21"/>
      <c r="E3130" s="2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</row>
    <row r="3131">
      <c r="A3131" s="122"/>
      <c r="B3131" s="119"/>
      <c r="C3131" s="233"/>
      <c r="D3131" s="21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</row>
    <row r="3132">
      <c r="A3132" s="122"/>
      <c r="B3132" s="119"/>
      <c r="C3132" s="233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</row>
    <row r="3133">
      <c r="A3133" s="122"/>
      <c r="B3133" s="119"/>
      <c r="C3133" s="233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</row>
    <row r="3134">
      <c r="A3134" s="122"/>
      <c r="B3134" s="119"/>
      <c r="C3134" s="233"/>
      <c r="D3134" s="21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</row>
    <row r="3135">
      <c r="A3135" s="122"/>
      <c r="B3135" s="119"/>
      <c r="C3135" s="233"/>
      <c r="D3135" s="21"/>
      <c r="E3135" s="2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</row>
    <row r="3136">
      <c r="A3136" s="122"/>
      <c r="B3136" s="119"/>
      <c r="C3136" s="233"/>
      <c r="D3136" s="21"/>
      <c r="E3136" s="2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</row>
    <row r="3137">
      <c r="A3137" s="122"/>
      <c r="B3137" s="119"/>
      <c r="C3137" s="233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</row>
    <row r="3138">
      <c r="A3138" s="122"/>
      <c r="B3138" s="119"/>
      <c r="C3138" s="233"/>
      <c r="D3138" s="21"/>
      <c r="E3138" s="2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</row>
    <row r="3139">
      <c r="A3139" s="122"/>
      <c r="B3139" s="119"/>
      <c r="C3139" s="233"/>
      <c r="D3139" s="21"/>
      <c r="E3139" s="2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</row>
    <row r="3140">
      <c r="A3140" s="122"/>
      <c r="B3140" s="119"/>
      <c r="C3140" s="233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</row>
    <row r="3141">
      <c r="A3141" s="122"/>
      <c r="B3141" s="119"/>
      <c r="C3141" s="233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</row>
    <row r="3142">
      <c r="A3142" s="122"/>
      <c r="B3142" s="119"/>
      <c r="C3142" s="233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</row>
    <row r="3143">
      <c r="A3143" s="122"/>
      <c r="B3143" s="119"/>
      <c r="C3143" s="233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</row>
    <row r="3144">
      <c r="A3144" s="122"/>
      <c r="B3144" s="119"/>
      <c r="C3144" s="233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</row>
    <row r="3145">
      <c r="A3145" s="122"/>
      <c r="B3145" s="119"/>
      <c r="C3145" s="233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</row>
    <row r="3146">
      <c r="A3146" s="122"/>
      <c r="B3146" s="119"/>
      <c r="C3146" s="233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</row>
    <row r="3147">
      <c r="A3147" s="122"/>
      <c r="B3147" s="119"/>
      <c r="C3147" s="233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</row>
    <row r="3148">
      <c r="A3148" s="122"/>
      <c r="B3148" s="119"/>
      <c r="C3148" s="233"/>
      <c r="D3148" s="21"/>
      <c r="E3148" s="2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</row>
    <row r="3149">
      <c r="A3149" s="122"/>
      <c r="B3149" s="119"/>
      <c r="C3149" s="233"/>
      <c r="D3149" s="21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</row>
    <row r="3150">
      <c r="A3150" s="122"/>
      <c r="B3150" s="119"/>
      <c r="C3150" s="233"/>
      <c r="D3150" s="21"/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</row>
    <row r="3151">
      <c r="A3151" s="122"/>
      <c r="B3151" s="119"/>
      <c r="C3151" s="233"/>
      <c r="D3151" s="21"/>
      <c r="E3151" s="2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</row>
    <row r="3152">
      <c r="A3152" s="122"/>
      <c r="B3152" s="119"/>
      <c r="C3152" s="233"/>
      <c r="D3152" s="21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</row>
    <row r="3153">
      <c r="A3153" s="122"/>
      <c r="B3153" s="119"/>
      <c r="C3153" s="233"/>
      <c r="D3153" s="21"/>
      <c r="E3153" s="2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</row>
    <row r="3154">
      <c r="A3154" s="122"/>
      <c r="B3154" s="119"/>
      <c r="C3154" s="233"/>
      <c r="D3154" s="21"/>
      <c r="E3154" s="2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</row>
    <row r="3155">
      <c r="A3155" s="122"/>
      <c r="B3155" s="119"/>
      <c r="C3155" s="233"/>
      <c r="D3155" s="21"/>
      <c r="E3155" s="21"/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</row>
    <row r="3156">
      <c r="A3156" s="122"/>
      <c r="B3156" s="119"/>
      <c r="C3156" s="233"/>
      <c r="D3156" s="21"/>
      <c r="E3156" s="21"/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</row>
    <row r="3157">
      <c r="A3157" s="122"/>
      <c r="B3157" s="119"/>
      <c r="C3157" s="233"/>
      <c r="D3157" s="21"/>
      <c r="E3157" s="2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</row>
    <row r="3158">
      <c r="A3158" s="122"/>
      <c r="B3158" s="119"/>
      <c r="C3158" s="233"/>
      <c r="D3158" s="21"/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</row>
    <row r="3159">
      <c r="A3159" s="122"/>
      <c r="B3159" s="119"/>
      <c r="C3159" s="233"/>
      <c r="D3159" s="21"/>
      <c r="E3159" s="21"/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</row>
    <row r="3160">
      <c r="A3160" s="122"/>
      <c r="B3160" s="119"/>
      <c r="C3160" s="233"/>
      <c r="D3160" s="21"/>
      <c r="E3160" s="21"/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</row>
    <row r="3161">
      <c r="A3161" s="122"/>
      <c r="B3161" s="119"/>
      <c r="C3161" s="233"/>
      <c r="D3161" s="21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</row>
    <row r="3162">
      <c r="A3162" s="122"/>
      <c r="B3162" s="119"/>
      <c r="C3162" s="233"/>
      <c r="D3162" s="21"/>
      <c r="E3162" s="21"/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</row>
    <row r="3163">
      <c r="A3163" s="122"/>
      <c r="B3163" s="119"/>
      <c r="C3163" s="233"/>
      <c r="D3163" s="21"/>
      <c r="E3163" s="2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</row>
    <row r="3164">
      <c r="A3164" s="122"/>
      <c r="B3164" s="119"/>
      <c r="C3164" s="233"/>
      <c r="D3164" s="21"/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</row>
    <row r="3165">
      <c r="A3165" s="122"/>
      <c r="B3165" s="119"/>
      <c r="C3165" s="233"/>
      <c r="D3165" s="21"/>
      <c r="E3165" s="21"/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</row>
    <row r="3166">
      <c r="A3166" s="122"/>
      <c r="B3166" s="119"/>
      <c r="C3166" s="233"/>
      <c r="D3166" s="21"/>
      <c r="E3166" s="21"/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</row>
    <row r="3167">
      <c r="A3167" s="122"/>
      <c r="B3167" s="119"/>
      <c r="C3167" s="233"/>
      <c r="D3167" s="21"/>
      <c r="E3167" s="21"/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</row>
    <row r="3168">
      <c r="A3168" s="122"/>
      <c r="B3168" s="119"/>
      <c r="C3168" s="233"/>
      <c r="D3168" s="21"/>
      <c r="E3168" s="21"/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</row>
    <row r="3169">
      <c r="A3169" s="122"/>
      <c r="B3169" s="119"/>
      <c r="C3169" s="233"/>
      <c r="D3169" s="21"/>
      <c r="E3169" s="2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</row>
    <row r="3170">
      <c r="A3170" s="122"/>
      <c r="B3170" s="119"/>
      <c r="C3170" s="233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</row>
    <row r="3171">
      <c r="A3171" s="122"/>
      <c r="B3171" s="119"/>
      <c r="C3171" s="233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</row>
    <row r="3172">
      <c r="A3172" s="122"/>
      <c r="B3172" s="119"/>
      <c r="C3172" s="233"/>
      <c r="D3172" s="21"/>
      <c r="E3172" s="2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</row>
    <row r="3173">
      <c r="A3173" s="122"/>
      <c r="B3173" s="119"/>
      <c r="C3173" s="233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</row>
    <row r="3174">
      <c r="A3174" s="122"/>
      <c r="B3174" s="119"/>
      <c r="C3174" s="233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</row>
    <row r="3175">
      <c r="A3175" s="122"/>
      <c r="B3175" s="119"/>
      <c r="C3175" s="233"/>
      <c r="D3175" s="21"/>
      <c r="E3175" s="2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</row>
    <row r="3176">
      <c r="A3176" s="122"/>
      <c r="B3176" s="119"/>
      <c r="C3176" s="233"/>
      <c r="D3176" s="21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</row>
    <row r="3177">
      <c r="A3177" s="122"/>
      <c r="B3177" s="119"/>
      <c r="C3177" s="233"/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</row>
    <row r="3178">
      <c r="A3178" s="122"/>
      <c r="B3178" s="119"/>
      <c r="C3178" s="233"/>
      <c r="D3178" s="21"/>
      <c r="E3178" s="2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</row>
    <row r="3179">
      <c r="A3179" s="122"/>
      <c r="B3179" s="119"/>
      <c r="C3179" s="233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</row>
    <row r="3180">
      <c r="A3180" s="122"/>
      <c r="B3180" s="119"/>
      <c r="C3180" s="233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</row>
    <row r="3181">
      <c r="A3181" s="122"/>
      <c r="B3181" s="119"/>
      <c r="C3181" s="233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</row>
    <row r="3182">
      <c r="A3182" s="122"/>
      <c r="B3182" s="119"/>
      <c r="C3182" s="233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</row>
    <row r="3183">
      <c r="A3183" s="122"/>
      <c r="B3183" s="119"/>
      <c r="C3183" s="233"/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</row>
    <row r="3184">
      <c r="A3184" s="122"/>
      <c r="B3184" s="119"/>
      <c r="C3184" s="233"/>
      <c r="D3184" s="21"/>
      <c r="E3184" s="2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</row>
    <row r="3185">
      <c r="A3185" s="122"/>
      <c r="B3185" s="119"/>
      <c r="C3185" s="233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</row>
    <row r="3186">
      <c r="A3186" s="122"/>
      <c r="B3186" s="119"/>
      <c r="C3186" s="233"/>
      <c r="D3186" s="21"/>
      <c r="E3186" s="2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</row>
    <row r="3187">
      <c r="A3187" s="122"/>
      <c r="B3187" s="119"/>
      <c r="C3187" s="233"/>
      <c r="D3187" s="21"/>
      <c r="E3187" s="2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</row>
    <row r="3188">
      <c r="A3188" s="122"/>
      <c r="B3188" s="119"/>
      <c r="C3188" s="233"/>
      <c r="D3188" s="21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</row>
    <row r="3189">
      <c r="A3189" s="122"/>
      <c r="B3189" s="119"/>
      <c r="C3189" s="233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</row>
    <row r="3190">
      <c r="A3190" s="122"/>
      <c r="B3190" s="119"/>
      <c r="C3190" s="233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</row>
    <row r="3191">
      <c r="A3191" s="122"/>
      <c r="B3191" s="119"/>
      <c r="C3191" s="233"/>
      <c r="D3191" s="21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</row>
    <row r="3192">
      <c r="A3192" s="122"/>
      <c r="B3192" s="119"/>
      <c r="C3192" s="233"/>
      <c r="D3192" s="21"/>
      <c r="E3192" s="2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</row>
    <row r="3193">
      <c r="A3193" s="122"/>
      <c r="B3193" s="119"/>
      <c r="C3193" s="233"/>
      <c r="D3193" s="21"/>
      <c r="E3193" s="2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</row>
    <row r="3194">
      <c r="A3194" s="122"/>
      <c r="B3194" s="119"/>
      <c r="C3194" s="233"/>
      <c r="D3194" s="21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</row>
    <row r="3195">
      <c r="A3195" s="122"/>
      <c r="B3195" s="119"/>
      <c r="C3195" s="233"/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</row>
    <row r="3196">
      <c r="A3196" s="122"/>
      <c r="B3196" s="119"/>
      <c r="C3196" s="233"/>
      <c r="D3196" s="21"/>
      <c r="E3196" s="2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</row>
    <row r="3197">
      <c r="A3197" s="122"/>
      <c r="B3197" s="119"/>
      <c r="C3197" s="233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</row>
    <row r="3198">
      <c r="A3198" s="122"/>
      <c r="B3198" s="119"/>
      <c r="C3198" s="233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</row>
    <row r="3199">
      <c r="A3199" s="122"/>
      <c r="B3199" s="119"/>
      <c r="C3199" s="233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</row>
    <row r="3200">
      <c r="A3200" s="122"/>
      <c r="B3200" s="119"/>
      <c r="C3200" s="233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</row>
    <row r="3201">
      <c r="A3201" s="122"/>
      <c r="B3201" s="119"/>
      <c r="C3201" s="233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</row>
    <row r="3202">
      <c r="A3202" s="122"/>
      <c r="B3202" s="119"/>
      <c r="C3202" s="233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</row>
    <row r="3203">
      <c r="A3203" s="122"/>
      <c r="B3203" s="119"/>
      <c r="C3203" s="233"/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</row>
    <row r="3204">
      <c r="A3204" s="122"/>
      <c r="B3204" s="119"/>
      <c r="C3204" s="233"/>
      <c r="D3204" s="21"/>
      <c r="E3204" s="2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</row>
    <row r="3205">
      <c r="A3205" s="122"/>
      <c r="B3205" s="119"/>
      <c r="C3205" s="233"/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</row>
    <row r="3206">
      <c r="A3206" s="122"/>
      <c r="B3206" s="119"/>
      <c r="C3206" s="233"/>
      <c r="D3206" s="21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</row>
    <row r="3207">
      <c r="A3207" s="122"/>
      <c r="B3207" s="119"/>
      <c r="C3207" s="233"/>
      <c r="D3207" s="21"/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</row>
    <row r="3208">
      <c r="A3208" s="122"/>
      <c r="B3208" s="119"/>
      <c r="C3208" s="233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</row>
    <row r="3209">
      <c r="A3209" s="122"/>
      <c r="B3209" s="119"/>
      <c r="C3209" s="233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</row>
    <row r="3210">
      <c r="A3210" s="122"/>
      <c r="B3210" s="119"/>
      <c r="C3210" s="233"/>
      <c r="D3210" s="21"/>
      <c r="E3210" s="2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</row>
    <row r="3211">
      <c r="A3211" s="122"/>
      <c r="B3211" s="119"/>
      <c r="C3211" s="233"/>
      <c r="D3211" s="21"/>
      <c r="E3211" s="2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</row>
    <row r="3212">
      <c r="A3212" s="122"/>
      <c r="B3212" s="119"/>
      <c r="C3212" s="233"/>
      <c r="D3212" s="21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</row>
    <row r="3213">
      <c r="A3213" s="122"/>
      <c r="B3213" s="119"/>
      <c r="C3213" s="233"/>
      <c r="D3213" s="21"/>
      <c r="E3213" s="2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</row>
    <row r="3214">
      <c r="A3214" s="122"/>
      <c r="B3214" s="119"/>
      <c r="C3214" s="233"/>
      <c r="D3214" s="21"/>
      <c r="E3214" s="2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</row>
    <row r="3215">
      <c r="A3215" s="122"/>
      <c r="B3215" s="119"/>
      <c r="C3215" s="233"/>
      <c r="D3215" s="21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</row>
    <row r="3216">
      <c r="A3216" s="122"/>
      <c r="B3216" s="119"/>
      <c r="C3216" s="233"/>
      <c r="D3216" s="21"/>
      <c r="E3216" s="2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</row>
    <row r="3217">
      <c r="A3217" s="122"/>
      <c r="B3217" s="119"/>
      <c r="C3217" s="233"/>
      <c r="D3217" s="21"/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</row>
    <row r="3218">
      <c r="A3218" s="122"/>
      <c r="B3218" s="119"/>
      <c r="C3218" s="233"/>
      <c r="D3218" s="21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</row>
    <row r="3219">
      <c r="A3219" s="122"/>
      <c r="B3219" s="119"/>
      <c r="C3219" s="233"/>
      <c r="D3219" s="21"/>
      <c r="E3219" s="2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</row>
    <row r="3220">
      <c r="A3220" s="122"/>
      <c r="B3220" s="119"/>
      <c r="C3220" s="233"/>
      <c r="D3220" s="21"/>
      <c r="E3220" s="2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</row>
    <row r="3221">
      <c r="A3221" s="122"/>
      <c r="B3221" s="119"/>
      <c r="C3221" s="233"/>
      <c r="D3221" s="21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</row>
    <row r="3222">
      <c r="A3222" s="122"/>
      <c r="B3222" s="119"/>
      <c r="C3222" s="233"/>
      <c r="D3222" s="21"/>
      <c r="E3222" s="2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</row>
    <row r="3223">
      <c r="A3223" s="122"/>
      <c r="B3223" s="119"/>
      <c r="C3223" s="233"/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</row>
    <row r="3224">
      <c r="A3224" s="122"/>
      <c r="B3224" s="119"/>
      <c r="C3224" s="233"/>
      <c r="D3224" s="21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</row>
    <row r="3225">
      <c r="A3225" s="122"/>
      <c r="B3225" s="119"/>
      <c r="C3225" s="233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</row>
    <row r="3226">
      <c r="A3226" s="122"/>
      <c r="B3226" s="119"/>
      <c r="C3226" s="233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</row>
    <row r="3227">
      <c r="A3227" s="122"/>
      <c r="B3227" s="119"/>
      <c r="C3227" s="233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</row>
    <row r="3228">
      <c r="A3228" s="122"/>
      <c r="B3228" s="119"/>
      <c r="C3228" s="233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</row>
    <row r="3229">
      <c r="A3229" s="122"/>
      <c r="B3229" s="119"/>
      <c r="C3229" s="233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</row>
    <row r="3230">
      <c r="A3230" s="122"/>
      <c r="B3230" s="119"/>
      <c r="C3230" s="233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</row>
    <row r="3231">
      <c r="A3231" s="122"/>
      <c r="B3231" s="119"/>
      <c r="C3231" s="233"/>
      <c r="D3231" s="21"/>
      <c r="E3231" s="2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</row>
    <row r="3232">
      <c r="A3232" s="122"/>
      <c r="B3232" s="119"/>
      <c r="C3232" s="233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</row>
    <row r="3233">
      <c r="A3233" s="122"/>
      <c r="B3233" s="119"/>
      <c r="C3233" s="233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</row>
    <row r="3234">
      <c r="A3234" s="122"/>
      <c r="B3234" s="119"/>
      <c r="C3234" s="233"/>
      <c r="D3234" s="21"/>
      <c r="E3234" s="2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</row>
    <row r="3235">
      <c r="A3235" s="122"/>
      <c r="B3235" s="119"/>
      <c r="C3235" s="233"/>
      <c r="D3235" s="21"/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</row>
    <row r="3236">
      <c r="A3236" s="122"/>
      <c r="B3236" s="119"/>
      <c r="C3236" s="233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</row>
    <row r="3237">
      <c r="A3237" s="122"/>
      <c r="B3237" s="119"/>
      <c r="C3237" s="233"/>
      <c r="D3237" s="21"/>
      <c r="E3237" s="2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</row>
    <row r="3238">
      <c r="A3238" s="122"/>
      <c r="B3238" s="119"/>
      <c r="C3238" s="233"/>
      <c r="D3238" s="21"/>
      <c r="E3238" s="2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</row>
    <row r="3239">
      <c r="A3239" s="122"/>
      <c r="B3239" s="119"/>
      <c r="C3239" s="233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</row>
    <row r="3240">
      <c r="A3240" s="122"/>
      <c r="B3240" s="119"/>
      <c r="C3240" s="233"/>
      <c r="D3240" s="21"/>
      <c r="E3240" s="2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</row>
    <row r="3241">
      <c r="A3241" s="122"/>
      <c r="B3241" s="119"/>
      <c r="C3241" s="233"/>
      <c r="D3241" s="21"/>
      <c r="E3241" s="2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</row>
    <row r="3242">
      <c r="A3242" s="122"/>
      <c r="B3242" s="119"/>
      <c r="C3242" s="233"/>
      <c r="D3242" s="21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</row>
    <row r="3243">
      <c r="A3243" s="122"/>
      <c r="B3243" s="119"/>
      <c r="C3243" s="233"/>
      <c r="D3243" s="21"/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</row>
    <row r="3244">
      <c r="A3244" s="122"/>
      <c r="B3244" s="119"/>
      <c r="C3244" s="233"/>
      <c r="D3244" s="21"/>
      <c r="E3244" s="2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</row>
    <row r="3245">
      <c r="A3245" s="122"/>
      <c r="B3245" s="119"/>
      <c r="C3245" s="233"/>
      <c r="D3245" s="21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</row>
    <row r="3246">
      <c r="A3246" s="122"/>
      <c r="B3246" s="119"/>
      <c r="C3246" s="233"/>
      <c r="D3246" s="21"/>
      <c r="E3246" s="2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</row>
    <row r="3247">
      <c r="A3247" s="122"/>
      <c r="B3247" s="119"/>
      <c r="C3247" s="233"/>
      <c r="D3247" s="21"/>
      <c r="E3247" s="2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</row>
    <row r="3248">
      <c r="A3248" s="122"/>
      <c r="B3248" s="119"/>
      <c r="C3248" s="233"/>
      <c r="D3248" s="21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</row>
    <row r="3249">
      <c r="A3249" s="122"/>
      <c r="B3249" s="119"/>
      <c r="C3249" s="233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</row>
    <row r="3250">
      <c r="A3250" s="122"/>
      <c r="B3250" s="119"/>
      <c r="C3250" s="233"/>
      <c r="D3250" s="21"/>
      <c r="E3250" s="2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</row>
    <row r="3251">
      <c r="A3251" s="122"/>
      <c r="B3251" s="119"/>
      <c r="C3251" s="233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</row>
    <row r="3252">
      <c r="A3252" s="122"/>
      <c r="B3252" s="119"/>
      <c r="C3252" s="233"/>
      <c r="D3252" s="21"/>
      <c r="E3252" s="2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</row>
    <row r="3253">
      <c r="A3253" s="122"/>
      <c r="B3253" s="119"/>
      <c r="C3253" s="233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</row>
    <row r="3254">
      <c r="A3254" s="122"/>
      <c r="B3254" s="119"/>
      <c r="C3254" s="233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</row>
    <row r="3255">
      <c r="A3255" s="122"/>
      <c r="B3255" s="119"/>
      <c r="C3255" s="233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</row>
    <row r="3256">
      <c r="A3256" s="122"/>
      <c r="B3256" s="119"/>
      <c r="C3256" s="233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</row>
    <row r="3257">
      <c r="A3257" s="122"/>
      <c r="B3257" s="119"/>
      <c r="C3257" s="233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</row>
    <row r="3258">
      <c r="A3258" s="122"/>
      <c r="B3258" s="119"/>
      <c r="C3258" s="233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</row>
    <row r="3259">
      <c r="A3259" s="122"/>
      <c r="B3259" s="119"/>
      <c r="C3259" s="233"/>
      <c r="D3259" s="21"/>
      <c r="E3259" s="2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</row>
    <row r="3260">
      <c r="A3260" s="122"/>
      <c r="B3260" s="119"/>
      <c r="C3260" s="233"/>
      <c r="D3260" s="21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</row>
    <row r="3261">
      <c r="A3261" s="122"/>
      <c r="B3261" s="119"/>
      <c r="C3261" s="233"/>
      <c r="D3261" s="21"/>
      <c r="E3261" s="2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</row>
    <row r="3262">
      <c r="A3262" s="122"/>
      <c r="B3262" s="119"/>
      <c r="C3262" s="233"/>
      <c r="D3262" s="21"/>
      <c r="E3262" s="2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</row>
    <row r="3263">
      <c r="A3263" s="122"/>
      <c r="B3263" s="119"/>
      <c r="C3263" s="233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</row>
    <row r="3264">
      <c r="A3264" s="122"/>
      <c r="B3264" s="119"/>
      <c r="C3264" s="233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</row>
    <row r="3265">
      <c r="A3265" s="122"/>
      <c r="B3265" s="119"/>
      <c r="C3265" s="233"/>
      <c r="D3265" s="21"/>
      <c r="E3265" s="2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</row>
    <row r="3266">
      <c r="A3266" s="122"/>
      <c r="B3266" s="119"/>
      <c r="C3266" s="233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</row>
    <row r="3267">
      <c r="A3267" s="122"/>
      <c r="B3267" s="119"/>
      <c r="C3267" s="233"/>
      <c r="D3267" s="21"/>
      <c r="E3267" s="2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</row>
    <row r="3268">
      <c r="A3268" s="122"/>
      <c r="B3268" s="119"/>
      <c r="C3268" s="233"/>
      <c r="D3268" s="21"/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</row>
    <row r="3269">
      <c r="A3269" s="122"/>
      <c r="B3269" s="119"/>
      <c r="C3269" s="233"/>
      <c r="D3269" s="21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</row>
    <row r="3270">
      <c r="A3270" s="122"/>
      <c r="B3270" s="119"/>
      <c r="C3270" s="233"/>
      <c r="D3270" s="21"/>
      <c r="E3270" s="2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</row>
    <row r="3271">
      <c r="A3271" s="122"/>
      <c r="B3271" s="119"/>
      <c r="C3271" s="233"/>
      <c r="D3271" s="21"/>
      <c r="E3271" s="2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</row>
    <row r="3272">
      <c r="A3272" s="122"/>
      <c r="B3272" s="119"/>
      <c r="C3272" s="233"/>
      <c r="D3272" s="21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</row>
    <row r="3273">
      <c r="A3273" s="122"/>
      <c r="B3273" s="119"/>
      <c r="C3273" s="233"/>
      <c r="D3273" s="21"/>
      <c r="E3273" s="2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</row>
    <row r="3274">
      <c r="A3274" s="122"/>
      <c r="B3274" s="119"/>
      <c r="C3274" s="233"/>
      <c r="D3274" s="21"/>
      <c r="E3274" s="2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</row>
    <row r="3275">
      <c r="A3275" s="122"/>
      <c r="B3275" s="119"/>
      <c r="C3275" s="233"/>
      <c r="D3275" s="21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</row>
    <row r="3276">
      <c r="A3276" s="122"/>
      <c r="B3276" s="119"/>
      <c r="C3276" s="233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</row>
    <row r="3277">
      <c r="A3277" s="122"/>
      <c r="B3277" s="119"/>
      <c r="C3277" s="233"/>
      <c r="D3277" s="21"/>
      <c r="E3277" s="2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</row>
    <row r="3278">
      <c r="A3278" s="122"/>
      <c r="B3278" s="119"/>
      <c r="C3278" s="233"/>
      <c r="D3278" s="21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</row>
    <row r="3279">
      <c r="A3279" s="122"/>
      <c r="B3279" s="119"/>
      <c r="C3279" s="233"/>
      <c r="D3279" s="21"/>
      <c r="E3279" s="2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</row>
    <row r="3280">
      <c r="A3280" s="122"/>
      <c r="B3280" s="119"/>
      <c r="C3280" s="233"/>
      <c r="D3280" s="21"/>
      <c r="E3280" s="2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</row>
    <row r="3281">
      <c r="A3281" s="122"/>
      <c r="B3281" s="119"/>
      <c r="C3281" s="233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</row>
    <row r="3282">
      <c r="A3282" s="122"/>
      <c r="B3282" s="119"/>
      <c r="C3282" s="233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</row>
    <row r="3283">
      <c r="A3283" s="122"/>
      <c r="B3283" s="119"/>
      <c r="C3283" s="233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</row>
    <row r="3284">
      <c r="A3284" s="122"/>
      <c r="B3284" s="119"/>
      <c r="C3284" s="233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</row>
    <row r="3285">
      <c r="A3285" s="122"/>
      <c r="B3285" s="119"/>
      <c r="C3285" s="233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</row>
    <row r="3286">
      <c r="A3286" s="122"/>
      <c r="B3286" s="119"/>
      <c r="C3286" s="233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</row>
    <row r="3287">
      <c r="A3287" s="122"/>
      <c r="B3287" s="119"/>
      <c r="C3287" s="233"/>
      <c r="D3287" s="21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</row>
    <row r="3288">
      <c r="A3288" s="122"/>
      <c r="B3288" s="119"/>
      <c r="C3288" s="233"/>
      <c r="D3288" s="21"/>
      <c r="E3288" s="2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</row>
    <row r="3289">
      <c r="A3289" s="122"/>
      <c r="B3289" s="119"/>
      <c r="C3289" s="233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</row>
    <row r="3290">
      <c r="A3290" s="122"/>
      <c r="B3290" s="119"/>
      <c r="C3290" s="233"/>
      <c r="D3290" s="21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</row>
    <row r="3291">
      <c r="A3291" s="122"/>
      <c r="B3291" s="119"/>
      <c r="C3291" s="233"/>
      <c r="D3291" s="21"/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</row>
    <row r="3292">
      <c r="A3292" s="122"/>
      <c r="B3292" s="119"/>
      <c r="C3292" s="233"/>
      <c r="D3292" s="21"/>
      <c r="E3292" s="2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</row>
    <row r="3293">
      <c r="A3293" s="122"/>
      <c r="B3293" s="119"/>
      <c r="C3293" s="233"/>
      <c r="D3293" s="21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</row>
    <row r="3294">
      <c r="A3294" s="122"/>
      <c r="B3294" s="119"/>
      <c r="C3294" s="233"/>
      <c r="D3294" s="21"/>
      <c r="E3294" s="2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</row>
    <row r="3295">
      <c r="A3295" s="122"/>
      <c r="B3295" s="119"/>
      <c r="C3295" s="233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</row>
    <row r="3296">
      <c r="A3296" s="122"/>
      <c r="B3296" s="119"/>
      <c r="C3296" s="233"/>
      <c r="D3296" s="21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</row>
    <row r="3297">
      <c r="A3297" s="122"/>
      <c r="B3297" s="119"/>
      <c r="C3297" s="233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</row>
    <row r="3298">
      <c r="A3298" s="122"/>
      <c r="B3298" s="119"/>
      <c r="C3298" s="233"/>
      <c r="D3298" s="21"/>
      <c r="E3298" s="2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</row>
    <row r="3299">
      <c r="A3299" s="122"/>
      <c r="B3299" s="119"/>
      <c r="C3299" s="233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</row>
    <row r="3300">
      <c r="A3300" s="122"/>
      <c r="B3300" s="119"/>
      <c r="C3300" s="233"/>
      <c r="D3300" s="21"/>
      <c r="E3300" s="2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</row>
    <row r="3301">
      <c r="A3301" s="122"/>
      <c r="B3301" s="119"/>
      <c r="C3301" s="233"/>
      <c r="D3301" s="21"/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</row>
    <row r="3302">
      <c r="A3302" s="122"/>
      <c r="B3302" s="119"/>
      <c r="C3302" s="233"/>
      <c r="D3302" s="21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</row>
    <row r="3303">
      <c r="A3303" s="122"/>
      <c r="B3303" s="119"/>
      <c r="C3303" s="233"/>
      <c r="D3303" s="21"/>
      <c r="E3303" s="2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</row>
    <row r="3304">
      <c r="A3304" s="122"/>
      <c r="B3304" s="119"/>
      <c r="C3304" s="233"/>
      <c r="D3304" s="21"/>
      <c r="E3304" s="2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</row>
    <row r="3305">
      <c r="A3305" s="122"/>
      <c r="B3305" s="119"/>
      <c r="C3305" s="233"/>
      <c r="D3305" s="21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</row>
    <row r="3306">
      <c r="A3306" s="122"/>
      <c r="B3306" s="119"/>
      <c r="C3306" s="233"/>
      <c r="D3306" s="21"/>
      <c r="E3306" s="2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</row>
    <row r="3307">
      <c r="A3307" s="122"/>
      <c r="B3307" s="119"/>
      <c r="C3307" s="233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</row>
    <row r="3308">
      <c r="A3308" s="122"/>
      <c r="B3308" s="119"/>
      <c r="C3308" s="233"/>
      <c r="D3308" s="21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</row>
    <row r="3309">
      <c r="A3309" s="122"/>
      <c r="B3309" s="119"/>
      <c r="C3309" s="233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</row>
    <row r="3310">
      <c r="A3310" s="122"/>
      <c r="B3310" s="119"/>
      <c r="C3310" s="233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</row>
    <row r="3311">
      <c r="A3311" s="122"/>
      <c r="B3311" s="119"/>
      <c r="C3311" s="233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</row>
    <row r="3312">
      <c r="A3312" s="122"/>
      <c r="B3312" s="119"/>
      <c r="C3312" s="233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</row>
    <row r="3313">
      <c r="A3313" s="122"/>
      <c r="B3313" s="119"/>
      <c r="C3313" s="233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</row>
    <row r="3314">
      <c r="A3314" s="122"/>
      <c r="B3314" s="119"/>
      <c r="C3314" s="233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</row>
    <row r="3315">
      <c r="A3315" s="122"/>
      <c r="B3315" s="119"/>
      <c r="C3315" s="233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</row>
    <row r="3316">
      <c r="A3316" s="122"/>
      <c r="B3316" s="119"/>
      <c r="C3316" s="233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</row>
    <row r="3317">
      <c r="A3317" s="122"/>
      <c r="B3317" s="119"/>
      <c r="C3317" s="233"/>
      <c r="D3317" s="21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</row>
    <row r="3318">
      <c r="A3318" s="122"/>
      <c r="B3318" s="119"/>
      <c r="C3318" s="233"/>
      <c r="D3318" s="21"/>
      <c r="E3318" s="2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</row>
    <row r="3319">
      <c r="A3319" s="122"/>
      <c r="B3319" s="119"/>
      <c r="C3319" s="233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</row>
    <row r="3320">
      <c r="A3320" s="122"/>
      <c r="B3320" s="119"/>
      <c r="C3320" s="233"/>
      <c r="D3320" s="21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</row>
    <row r="3321">
      <c r="A3321" s="122"/>
      <c r="B3321" s="119"/>
      <c r="C3321" s="233"/>
      <c r="D3321" s="21"/>
      <c r="E3321" s="2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</row>
    <row r="3322">
      <c r="A3322" s="122"/>
      <c r="B3322" s="119"/>
      <c r="C3322" s="233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</row>
    <row r="3323">
      <c r="A3323" s="122"/>
      <c r="B3323" s="119"/>
      <c r="C3323" s="233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</row>
    <row r="3324">
      <c r="A3324" s="122"/>
      <c r="B3324" s="119"/>
      <c r="C3324" s="233"/>
      <c r="D3324" s="21"/>
      <c r="E3324" s="2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</row>
    <row r="3325">
      <c r="A3325" s="122"/>
      <c r="B3325" s="119"/>
      <c r="C3325" s="233"/>
      <c r="D3325" s="21"/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</row>
    <row r="3326">
      <c r="A3326" s="122"/>
      <c r="B3326" s="119"/>
      <c r="C3326" s="233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</row>
    <row r="3327">
      <c r="A3327" s="122"/>
      <c r="B3327" s="119"/>
      <c r="C3327" s="233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</row>
    <row r="3328">
      <c r="A3328" s="122"/>
      <c r="B3328" s="119"/>
      <c r="C3328" s="233"/>
      <c r="D3328" s="21"/>
      <c r="E3328" s="2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</row>
    <row r="3329">
      <c r="A3329" s="122"/>
      <c r="B3329" s="119"/>
      <c r="C3329" s="233"/>
      <c r="D3329" s="21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</row>
    <row r="3330">
      <c r="A3330" s="122"/>
      <c r="B3330" s="119"/>
      <c r="C3330" s="233"/>
      <c r="D3330" s="21"/>
      <c r="E3330" s="2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</row>
    <row r="3331">
      <c r="A3331" s="122"/>
      <c r="B3331" s="119"/>
      <c r="C3331" s="233"/>
      <c r="D3331" s="21"/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</row>
    <row r="3332">
      <c r="A3332" s="122"/>
      <c r="B3332" s="119"/>
      <c r="C3332" s="233"/>
      <c r="D3332" s="21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</row>
    <row r="3333">
      <c r="A3333" s="122"/>
      <c r="B3333" s="119"/>
      <c r="C3333" s="233"/>
      <c r="D3333" s="21"/>
      <c r="E3333" s="2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</row>
    <row r="3334">
      <c r="A3334" s="122"/>
      <c r="B3334" s="119"/>
      <c r="C3334" s="233"/>
      <c r="D3334" s="21"/>
      <c r="E3334" s="2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</row>
    <row r="3335">
      <c r="A3335" s="122"/>
      <c r="B3335" s="119"/>
      <c r="C3335" s="233"/>
      <c r="D3335" s="21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</row>
    <row r="3336">
      <c r="A3336" s="122"/>
      <c r="B3336" s="119"/>
      <c r="C3336" s="233"/>
      <c r="D3336" s="21"/>
      <c r="E3336" s="2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</row>
    <row r="3337">
      <c r="A3337" s="122"/>
      <c r="B3337" s="119"/>
      <c r="C3337" s="233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</row>
    <row r="3338">
      <c r="A3338" s="122"/>
      <c r="B3338" s="119"/>
      <c r="C3338" s="233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</row>
    <row r="3339">
      <c r="A3339" s="122"/>
      <c r="B3339" s="119"/>
      <c r="C3339" s="233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</row>
    <row r="3340">
      <c r="A3340" s="122"/>
      <c r="B3340" s="119"/>
      <c r="C3340" s="233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</row>
    <row r="3341">
      <c r="A3341" s="122"/>
      <c r="B3341" s="119"/>
      <c r="C3341" s="233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</row>
    <row r="3342">
      <c r="A3342" s="122"/>
      <c r="B3342" s="119"/>
      <c r="C3342" s="233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</row>
    <row r="3343">
      <c r="A3343" s="122"/>
      <c r="B3343" s="119"/>
      <c r="C3343" s="233"/>
      <c r="D3343" s="21"/>
      <c r="E3343" s="2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</row>
    <row r="3344">
      <c r="A3344" s="122"/>
      <c r="B3344" s="119"/>
      <c r="C3344" s="233"/>
      <c r="D3344" s="21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</row>
    <row r="3345">
      <c r="A3345" s="122"/>
      <c r="B3345" s="119"/>
      <c r="C3345" s="233"/>
      <c r="D3345" s="21"/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</row>
    <row r="3346">
      <c r="A3346" s="122"/>
      <c r="B3346" s="119"/>
      <c r="C3346" s="233"/>
      <c r="D3346" s="21"/>
      <c r="E3346" s="2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</row>
    <row r="3347">
      <c r="A3347" s="122"/>
      <c r="B3347" s="119"/>
      <c r="C3347" s="233"/>
      <c r="D3347" s="21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</row>
    <row r="3348">
      <c r="A3348" s="122"/>
      <c r="B3348" s="119"/>
      <c r="C3348" s="233"/>
      <c r="D3348" s="21"/>
      <c r="E3348" s="2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</row>
    <row r="3349">
      <c r="A3349" s="122"/>
      <c r="B3349" s="119"/>
      <c r="C3349" s="233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</row>
    <row r="3350">
      <c r="A3350" s="122"/>
      <c r="B3350" s="119"/>
      <c r="C3350" s="233"/>
      <c r="D3350" s="21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</row>
    <row r="3351">
      <c r="A3351" s="122"/>
      <c r="B3351" s="119"/>
      <c r="C3351" s="233"/>
      <c r="D3351" s="21"/>
      <c r="E3351" s="2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</row>
    <row r="3352">
      <c r="A3352" s="122"/>
      <c r="B3352" s="119"/>
      <c r="C3352" s="233"/>
      <c r="D3352" s="21"/>
      <c r="E3352" s="2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</row>
    <row r="3353">
      <c r="A3353" s="122"/>
      <c r="B3353" s="119"/>
      <c r="C3353" s="233"/>
      <c r="D3353" s="21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</row>
    <row r="3354">
      <c r="A3354" s="122"/>
      <c r="B3354" s="119"/>
      <c r="C3354" s="233"/>
      <c r="D3354" s="21"/>
      <c r="E3354" s="2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</row>
    <row r="3355">
      <c r="A3355" s="122"/>
      <c r="B3355" s="119"/>
      <c r="C3355" s="233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</row>
    <row r="3356">
      <c r="A3356" s="122"/>
      <c r="B3356" s="119"/>
      <c r="C3356" s="233"/>
      <c r="D3356" s="21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</row>
    <row r="3357">
      <c r="A3357" s="122"/>
      <c r="B3357" s="119"/>
      <c r="C3357" s="233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</row>
    <row r="3358">
      <c r="A3358" s="122"/>
      <c r="B3358" s="119"/>
      <c r="C3358" s="233"/>
      <c r="D3358" s="21"/>
      <c r="E3358" s="2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</row>
    <row r="3359">
      <c r="A3359" s="122"/>
      <c r="B3359" s="119"/>
      <c r="C3359" s="233"/>
      <c r="D3359" s="21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</row>
    <row r="3360">
      <c r="A3360" s="122"/>
      <c r="B3360" s="119"/>
      <c r="C3360" s="233"/>
      <c r="D3360" s="21"/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</row>
    <row r="3361">
      <c r="A3361" s="122"/>
      <c r="B3361" s="119"/>
      <c r="C3361" s="233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</row>
    <row r="3362">
      <c r="A3362" s="122"/>
      <c r="B3362" s="119"/>
      <c r="C3362" s="233"/>
      <c r="D3362" s="21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</row>
    <row r="3363">
      <c r="A3363" s="122"/>
      <c r="B3363" s="119"/>
      <c r="C3363" s="233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</row>
    <row r="3364">
      <c r="A3364" s="122"/>
      <c r="B3364" s="119"/>
      <c r="C3364" s="233"/>
      <c r="D3364" s="21"/>
      <c r="E3364" s="2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</row>
    <row r="3365">
      <c r="A3365" s="122"/>
      <c r="B3365" s="119"/>
      <c r="C3365" s="233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</row>
    <row r="3366">
      <c r="A3366" s="122"/>
      <c r="B3366" s="119"/>
      <c r="C3366" s="233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</row>
    <row r="3367">
      <c r="A3367" s="122"/>
      <c r="B3367" s="119"/>
      <c r="C3367" s="233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</row>
    <row r="3368">
      <c r="A3368" s="122"/>
      <c r="B3368" s="119"/>
      <c r="C3368" s="233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</row>
    <row r="3369">
      <c r="A3369" s="122"/>
      <c r="B3369" s="119"/>
      <c r="C3369" s="233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</row>
    <row r="3370">
      <c r="A3370" s="122"/>
      <c r="B3370" s="119"/>
      <c r="C3370" s="233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</row>
    <row r="3371">
      <c r="A3371" s="122"/>
      <c r="B3371" s="119"/>
      <c r="C3371" s="233"/>
      <c r="D3371" s="21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</row>
    <row r="3372">
      <c r="A3372" s="122"/>
      <c r="B3372" s="119"/>
      <c r="C3372" s="233"/>
      <c r="D3372" s="21"/>
      <c r="E3372" s="2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</row>
    <row r="3373">
      <c r="A3373" s="122"/>
      <c r="B3373" s="119"/>
      <c r="C3373" s="233"/>
      <c r="D3373" s="21"/>
      <c r="E3373" s="2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</row>
    <row r="3374">
      <c r="A3374" s="122"/>
      <c r="B3374" s="119"/>
      <c r="C3374" s="233"/>
      <c r="D3374" s="21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</row>
    <row r="3375">
      <c r="A3375" s="122"/>
      <c r="B3375" s="119"/>
      <c r="C3375" s="233"/>
      <c r="D3375" s="21"/>
      <c r="E3375" s="2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</row>
    <row r="3376">
      <c r="A3376" s="122"/>
      <c r="B3376" s="119"/>
      <c r="C3376" s="233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</row>
    <row r="3377">
      <c r="A3377" s="122"/>
      <c r="B3377" s="119"/>
      <c r="C3377" s="233"/>
      <c r="D3377" s="21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</row>
    <row r="3378">
      <c r="A3378" s="122"/>
      <c r="B3378" s="119"/>
      <c r="C3378" s="233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</row>
    <row r="3379">
      <c r="A3379" s="122"/>
      <c r="B3379" s="119"/>
      <c r="C3379" s="233"/>
      <c r="D3379" s="21"/>
      <c r="E3379" s="2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</row>
    <row r="3380">
      <c r="A3380" s="122"/>
      <c r="B3380" s="119"/>
      <c r="C3380" s="233"/>
      <c r="D3380" s="21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</row>
    <row r="3381">
      <c r="A3381" s="122"/>
      <c r="B3381" s="119"/>
      <c r="C3381" s="233"/>
      <c r="D3381" s="21"/>
      <c r="E3381" s="2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</row>
    <row r="3382">
      <c r="A3382" s="122"/>
      <c r="B3382" s="119"/>
      <c r="C3382" s="233"/>
      <c r="D3382" s="21"/>
      <c r="E3382" s="2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</row>
    <row r="3383">
      <c r="A3383" s="122"/>
      <c r="B3383" s="119"/>
      <c r="C3383" s="233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</row>
    <row r="3384">
      <c r="A3384" s="122"/>
      <c r="B3384" s="119"/>
      <c r="C3384" s="233"/>
      <c r="D3384" s="21"/>
      <c r="E3384" s="2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</row>
    <row r="3385">
      <c r="A3385" s="122"/>
      <c r="B3385" s="119"/>
      <c r="C3385" s="233"/>
      <c r="D3385" s="21"/>
      <c r="E3385" s="2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</row>
    <row r="3386">
      <c r="A3386" s="122"/>
      <c r="B3386" s="119"/>
      <c r="C3386" s="233"/>
      <c r="D3386" s="21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</row>
    <row r="3387">
      <c r="A3387" s="122"/>
      <c r="B3387" s="119"/>
      <c r="C3387" s="233"/>
      <c r="D3387" s="21"/>
      <c r="E3387" s="2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</row>
    <row r="3388">
      <c r="A3388" s="122"/>
      <c r="B3388" s="119"/>
      <c r="C3388" s="233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</row>
    <row r="3389">
      <c r="A3389" s="122"/>
      <c r="B3389" s="119"/>
      <c r="C3389" s="233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</row>
    <row r="3390">
      <c r="A3390" s="122"/>
      <c r="B3390" s="119"/>
      <c r="C3390" s="233"/>
      <c r="D3390" s="21"/>
      <c r="E3390" s="2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</row>
    <row r="3391">
      <c r="A3391" s="122"/>
      <c r="B3391" s="119"/>
      <c r="C3391" s="233"/>
      <c r="D3391" s="21"/>
      <c r="E3391" s="2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</row>
    <row r="3392">
      <c r="A3392" s="122"/>
      <c r="B3392" s="119"/>
      <c r="C3392" s="233"/>
      <c r="D3392" s="21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</row>
    <row r="3393">
      <c r="A3393" s="122"/>
      <c r="B3393" s="119"/>
      <c r="C3393" s="233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</row>
    <row r="3394">
      <c r="A3394" s="122"/>
      <c r="B3394" s="119"/>
      <c r="C3394" s="233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</row>
    <row r="3395">
      <c r="A3395" s="122"/>
      <c r="B3395" s="119"/>
      <c r="C3395" s="233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</row>
    <row r="3396">
      <c r="A3396" s="122"/>
      <c r="B3396" s="119"/>
      <c r="C3396" s="233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</row>
    <row r="3397">
      <c r="A3397" s="122"/>
      <c r="B3397" s="119"/>
      <c r="C3397" s="233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</row>
    <row r="3398">
      <c r="A3398" s="122"/>
      <c r="B3398" s="119"/>
      <c r="C3398" s="233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</row>
    <row r="3399">
      <c r="A3399" s="122"/>
      <c r="B3399" s="119"/>
      <c r="C3399" s="233"/>
      <c r="D3399" s="21"/>
      <c r="E3399" s="2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</row>
    <row r="3400">
      <c r="A3400" s="122"/>
      <c r="B3400" s="119"/>
      <c r="C3400" s="233"/>
      <c r="D3400" s="21"/>
      <c r="E3400" s="2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</row>
    <row r="3401">
      <c r="A3401" s="122"/>
      <c r="B3401" s="119"/>
      <c r="C3401" s="233"/>
      <c r="D3401" s="21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</row>
    <row r="3402">
      <c r="A3402" s="122"/>
      <c r="B3402" s="119"/>
      <c r="C3402" s="233"/>
      <c r="D3402" s="21"/>
      <c r="E3402" s="2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</row>
    <row r="3403">
      <c r="A3403" s="122"/>
      <c r="B3403" s="119"/>
      <c r="C3403" s="233"/>
      <c r="D3403" s="21"/>
      <c r="E3403" s="2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</row>
    <row r="3404">
      <c r="A3404" s="122"/>
      <c r="B3404" s="119"/>
      <c r="C3404" s="233"/>
      <c r="D3404" s="21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</row>
    <row r="3405">
      <c r="A3405" s="122"/>
      <c r="B3405" s="119"/>
      <c r="C3405" s="233"/>
      <c r="D3405" s="21"/>
      <c r="E3405" s="2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</row>
    <row r="3406">
      <c r="A3406" s="122"/>
      <c r="B3406" s="119"/>
      <c r="C3406" s="233"/>
      <c r="D3406" s="21"/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</row>
    <row r="3407">
      <c r="A3407" s="122"/>
      <c r="B3407" s="119"/>
      <c r="C3407" s="233"/>
      <c r="D3407" s="21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</row>
    <row r="3408">
      <c r="A3408" s="122"/>
      <c r="B3408" s="119"/>
      <c r="C3408" s="233"/>
      <c r="D3408" s="21"/>
      <c r="E3408" s="2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</row>
    <row r="3409">
      <c r="A3409" s="122"/>
      <c r="B3409" s="119"/>
      <c r="C3409" s="233"/>
      <c r="D3409" s="21"/>
      <c r="E3409" s="2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</row>
    <row r="3410">
      <c r="A3410" s="122"/>
      <c r="B3410" s="119"/>
      <c r="C3410" s="233"/>
      <c r="D3410" s="21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</row>
    <row r="3411">
      <c r="A3411" s="122"/>
      <c r="B3411" s="119"/>
      <c r="C3411" s="233"/>
      <c r="D3411" s="21"/>
      <c r="E3411" s="2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</row>
    <row r="3412">
      <c r="A3412" s="122"/>
      <c r="B3412" s="119"/>
      <c r="C3412" s="233"/>
      <c r="D3412" s="21"/>
      <c r="E3412" s="2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</row>
    <row r="3413">
      <c r="A3413" s="122"/>
      <c r="B3413" s="119"/>
      <c r="C3413" s="233"/>
      <c r="D3413" s="21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</row>
    <row r="3414">
      <c r="A3414" s="122"/>
      <c r="B3414" s="119"/>
      <c r="C3414" s="233"/>
      <c r="D3414" s="21"/>
      <c r="E3414" s="2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</row>
    <row r="3415">
      <c r="A3415" s="122"/>
      <c r="B3415" s="119"/>
      <c r="C3415" s="233"/>
      <c r="D3415" s="21"/>
      <c r="E3415" s="2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</row>
    <row r="3416">
      <c r="A3416" s="122"/>
      <c r="B3416" s="119"/>
      <c r="C3416" s="233"/>
      <c r="D3416" s="21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</row>
    <row r="3417">
      <c r="A3417" s="122"/>
      <c r="B3417" s="119"/>
      <c r="C3417" s="233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</row>
    <row r="3418">
      <c r="A3418" s="122"/>
      <c r="B3418" s="119"/>
      <c r="C3418" s="233"/>
      <c r="D3418" s="21"/>
      <c r="E3418" s="2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</row>
    <row r="3419">
      <c r="A3419" s="122"/>
      <c r="B3419" s="119"/>
      <c r="C3419" s="233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</row>
    <row r="3420">
      <c r="A3420" s="122"/>
      <c r="B3420" s="119"/>
      <c r="C3420" s="233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</row>
    <row r="3421">
      <c r="A3421" s="122"/>
      <c r="B3421" s="119"/>
      <c r="C3421" s="233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</row>
    <row r="3422">
      <c r="A3422" s="122"/>
      <c r="B3422" s="119"/>
      <c r="C3422" s="233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</row>
    <row r="3423">
      <c r="A3423" s="122"/>
      <c r="B3423" s="119"/>
      <c r="C3423" s="233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</row>
    <row r="3424">
      <c r="A3424" s="122"/>
      <c r="B3424" s="119"/>
      <c r="C3424" s="233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</row>
    <row r="3425">
      <c r="A3425" s="122"/>
      <c r="B3425" s="119"/>
      <c r="C3425" s="233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</row>
    <row r="3426">
      <c r="A3426" s="122"/>
      <c r="B3426" s="119"/>
      <c r="C3426" s="233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</row>
    <row r="3427">
      <c r="A3427" s="122"/>
      <c r="B3427" s="119"/>
      <c r="C3427" s="233"/>
      <c r="D3427" s="21"/>
      <c r="E3427" s="2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</row>
    <row r="3428">
      <c r="A3428" s="122"/>
      <c r="B3428" s="119"/>
      <c r="C3428" s="233"/>
      <c r="D3428" s="21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</row>
    <row r="3429">
      <c r="A3429" s="122"/>
      <c r="B3429" s="119"/>
      <c r="C3429" s="233"/>
      <c r="D3429" s="21"/>
      <c r="E3429" s="2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</row>
    <row r="3430">
      <c r="A3430" s="122"/>
      <c r="B3430" s="119"/>
      <c r="C3430" s="233"/>
      <c r="D3430" s="21"/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</row>
    <row r="3431">
      <c r="A3431" s="122"/>
      <c r="B3431" s="119"/>
      <c r="C3431" s="233"/>
      <c r="D3431" s="21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</row>
    <row r="3432">
      <c r="A3432" s="122"/>
      <c r="B3432" s="119"/>
      <c r="C3432" s="233"/>
      <c r="D3432" s="21"/>
      <c r="E3432" s="2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</row>
    <row r="3433">
      <c r="A3433" s="122"/>
      <c r="B3433" s="119"/>
      <c r="C3433" s="233"/>
      <c r="D3433" s="21"/>
      <c r="E3433" s="2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</row>
    <row r="3434">
      <c r="A3434" s="122"/>
      <c r="B3434" s="119"/>
      <c r="C3434" s="233"/>
      <c r="D3434" s="21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</row>
    <row r="3435">
      <c r="A3435" s="122"/>
      <c r="B3435" s="119"/>
      <c r="C3435" s="233"/>
      <c r="D3435" s="21"/>
      <c r="E3435" s="2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</row>
    <row r="3436">
      <c r="A3436" s="122"/>
      <c r="B3436" s="119"/>
      <c r="C3436" s="233"/>
      <c r="D3436" s="21"/>
      <c r="E3436" s="2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</row>
    <row r="3437">
      <c r="A3437" s="122"/>
      <c r="B3437" s="119"/>
      <c r="C3437" s="233"/>
      <c r="D3437" s="21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</row>
    <row r="3438">
      <c r="A3438" s="122"/>
      <c r="B3438" s="119"/>
      <c r="C3438" s="233"/>
      <c r="D3438" s="21"/>
      <c r="E3438" s="2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</row>
    <row r="3439">
      <c r="A3439" s="122"/>
      <c r="B3439" s="119"/>
      <c r="C3439" s="233"/>
      <c r="D3439" s="21"/>
      <c r="E3439" s="2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</row>
    <row r="3440">
      <c r="A3440" s="122"/>
      <c r="B3440" s="119"/>
      <c r="C3440" s="233"/>
      <c r="D3440" s="21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</row>
    <row r="3441">
      <c r="A3441" s="122"/>
      <c r="B3441" s="119"/>
      <c r="C3441" s="233"/>
      <c r="D3441" s="21"/>
      <c r="E3441" s="2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</row>
    <row r="3442">
      <c r="A3442" s="122"/>
      <c r="B3442" s="119"/>
      <c r="C3442" s="233"/>
      <c r="D3442" s="21"/>
      <c r="E3442" s="2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</row>
    <row r="3443">
      <c r="A3443" s="122"/>
      <c r="B3443" s="119"/>
      <c r="C3443" s="233"/>
      <c r="D3443" s="21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</row>
    <row r="3444">
      <c r="A3444" s="122"/>
      <c r="B3444" s="119"/>
      <c r="C3444" s="233"/>
      <c r="D3444" s="21"/>
      <c r="E3444" s="2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</row>
    <row r="3445">
      <c r="A3445" s="122"/>
      <c r="B3445" s="119"/>
      <c r="C3445" s="233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</row>
    <row r="3446">
      <c r="A3446" s="122"/>
      <c r="B3446" s="119"/>
      <c r="C3446" s="233"/>
      <c r="D3446" s="21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</row>
    <row r="3447">
      <c r="A3447" s="122"/>
      <c r="B3447" s="119"/>
      <c r="C3447" s="233"/>
      <c r="D3447" s="21"/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</row>
    <row r="3448">
      <c r="A3448" s="122"/>
      <c r="B3448" s="119"/>
      <c r="C3448" s="233"/>
      <c r="D3448" s="21"/>
      <c r="E3448" s="2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</row>
    <row r="3449">
      <c r="A3449" s="122"/>
      <c r="B3449" s="119"/>
      <c r="C3449" s="233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</row>
    <row r="3450">
      <c r="A3450" s="122"/>
      <c r="B3450" s="119"/>
      <c r="C3450" s="233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</row>
    <row r="3451">
      <c r="A3451" s="122"/>
      <c r="B3451" s="119"/>
      <c r="C3451" s="233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</row>
    <row r="3452">
      <c r="A3452" s="122"/>
      <c r="B3452" s="119"/>
      <c r="C3452" s="233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</row>
    <row r="3453">
      <c r="A3453" s="122"/>
      <c r="B3453" s="119"/>
      <c r="C3453" s="233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</row>
    <row r="3454">
      <c r="A3454" s="122"/>
      <c r="B3454" s="119"/>
      <c r="C3454" s="233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</row>
    <row r="3455">
      <c r="A3455" s="122"/>
      <c r="B3455" s="119"/>
      <c r="C3455" s="233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</row>
    <row r="3456">
      <c r="A3456" s="122"/>
      <c r="B3456" s="119"/>
      <c r="C3456" s="233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</row>
    <row r="3457">
      <c r="A3457" s="122"/>
      <c r="B3457" s="119"/>
      <c r="C3457" s="233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</row>
    <row r="3458">
      <c r="A3458" s="122"/>
      <c r="B3458" s="119"/>
      <c r="C3458" s="233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</row>
    <row r="3459">
      <c r="A3459" s="122"/>
      <c r="B3459" s="119"/>
      <c r="C3459" s="233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</row>
    <row r="3460">
      <c r="A3460" s="122"/>
      <c r="B3460" s="119"/>
      <c r="C3460" s="233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</row>
    <row r="3461">
      <c r="A3461" s="122"/>
      <c r="B3461" s="119"/>
      <c r="C3461" s="233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</row>
    <row r="3462">
      <c r="A3462" s="122"/>
      <c r="B3462" s="119"/>
      <c r="C3462" s="233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</row>
    <row r="3463">
      <c r="A3463" s="122"/>
      <c r="B3463" s="119"/>
      <c r="C3463" s="233"/>
      <c r="D3463" s="21"/>
      <c r="E3463" s="2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</row>
    <row r="3464">
      <c r="A3464" s="122"/>
      <c r="B3464" s="119"/>
      <c r="C3464" s="233"/>
      <c r="D3464" s="21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</row>
    <row r="3465">
      <c r="A3465" s="122"/>
      <c r="B3465" s="119"/>
      <c r="C3465" s="233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</row>
    <row r="3466">
      <c r="A3466" s="122"/>
      <c r="B3466" s="119"/>
      <c r="C3466" s="233"/>
      <c r="D3466" s="21"/>
      <c r="E3466" s="2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</row>
    <row r="3467">
      <c r="A3467" s="122"/>
      <c r="B3467" s="119"/>
      <c r="C3467" s="233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</row>
    <row r="3468">
      <c r="A3468" s="122"/>
      <c r="B3468" s="119"/>
      <c r="C3468" s="233"/>
      <c r="D3468" s="21"/>
      <c r="E3468" s="2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</row>
    <row r="3469">
      <c r="A3469" s="122"/>
      <c r="B3469" s="119"/>
      <c r="C3469" s="233"/>
      <c r="D3469" s="21"/>
      <c r="E3469" s="2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</row>
    <row r="3470">
      <c r="A3470" s="122"/>
      <c r="B3470" s="119"/>
      <c r="C3470" s="233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</row>
    <row r="3471">
      <c r="A3471" s="122"/>
      <c r="B3471" s="119"/>
      <c r="C3471" s="233"/>
      <c r="D3471" s="21"/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</row>
    <row r="3472">
      <c r="A3472" s="122"/>
      <c r="B3472" s="119"/>
      <c r="C3472" s="233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</row>
    <row r="3473">
      <c r="A3473" s="122"/>
      <c r="B3473" s="119"/>
      <c r="C3473" s="233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</row>
    <row r="3474">
      <c r="A3474" s="122"/>
      <c r="B3474" s="119"/>
      <c r="C3474" s="233"/>
      <c r="D3474" s="21"/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</row>
    <row r="3475">
      <c r="A3475" s="122"/>
      <c r="B3475" s="119"/>
      <c r="C3475" s="233"/>
      <c r="D3475" s="21"/>
      <c r="E3475" s="2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</row>
    <row r="3476">
      <c r="A3476" s="122"/>
      <c r="B3476" s="119"/>
      <c r="C3476" s="233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</row>
    <row r="3477">
      <c r="A3477" s="122"/>
      <c r="B3477" s="119"/>
      <c r="C3477" s="233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</row>
    <row r="3478">
      <c r="A3478" s="122"/>
      <c r="B3478" s="119"/>
      <c r="C3478" s="233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</row>
    <row r="3479">
      <c r="A3479" s="122"/>
      <c r="B3479" s="119"/>
      <c r="C3479" s="233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</row>
    <row r="3480">
      <c r="A3480" s="122"/>
      <c r="B3480" s="119"/>
      <c r="C3480" s="233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</row>
    <row r="3481">
      <c r="A3481" s="122"/>
      <c r="B3481" s="119"/>
      <c r="C3481" s="233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</row>
    <row r="3482">
      <c r="A3482" s="122"/>
      <c r="B3482" s="119"/>
      <c r="C3482" s="233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</row>
    <row r="3483">
      <c r="A3483" s="122"/>
      <c r="B3483" s="119"/>
      <c r="C3483" s="233"/>
      <c r="D3483" s="21"/>
      <c r="E3483" s="2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</row>
    <row r="3484">
      <c r="A3484" s="122"/>
      <c r="B3484" s="119"/>
      <c r="C3484" s="233"/>
      <c r="D3484" s="21"/>
      <c r="E3484" s="2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</row>
    <row r="3485">
      <c r="A3485" s="122"/>
      <c r="B3485" s="119"/>
      <c r="C3485" s="233"/>
      <c r="D3485" s="21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</row>
    <row r="3486">
      <c r="A3486" s="122"/>
      <c r="B3486" s="119"/>
      <c r="C3486" s="233"/>
      <c r="D3486" s="21"/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</row>
    <row r="3487">
      <c r="A3487" s="122"/>
      <c r="B3487" s="119"/>
      <c r="C3487" s="233"/>
      <c r="D3487" s="21"/>
      <c r="E3487" s="2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</row>
    <row r="3488">
      <c r="A3488" s="122"/>
      <c r="B3488" s="119"/>
      <c r="C3488" s="233"/>
      <c r="D3488" s="21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</row>
    <row r="3489">
      <c r="A3489" s="122"/>
      <c r="B3489" s="119"/>
      <c r="C3489" s="233"/>
      <c r="D3489" s="21"/>
      <c r="E3489" s="2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</row>
    <row r="3490">
      <c r="A3490" s="122"/>
      <c r="B3490" s="119"/>
      <c r="C3490" s="233"/>
      <c r="D3490" s="21"/>
      <c r="E3490" s="2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</row>
    <row r="3491">
      <c r="A3491" s="122"/>
      <c r="B3491" s="119"/>
      <c r="C3491" s="233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</row>
    <row r="3492">
      <c r="A3492" s="122"/>
      <c r="B3492" s="119"/>
      <c r="C3492" s="233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</row>
    <row r="3493">
      <c r="A3493" s="122"/>
      <c r="B3493" s="119"/>
      <c r="C3493" s="233"/>
      <c r="D3493" s="21"/>
      <c r="E3493" s="2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</row>
    <row r="3494">
      <c r="A3494" s="122"/>
      <c r="B3494" s="119"/>
      <c r="C3494" s="233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</row>
    <row r="3495">
      <c r="A3495" s="122"/>
      <c r="B3495" s="119"/>
      <c r="C3495" s="233"/>
      <c r="D3495" s="21"/>
      <c r="E3495" s="2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</row>
    <row r="3496">
      <c r="A3496" s="122"/>
      <c r="B3496" s="119"/>
      <c r="C3496" s="233"/>
      <c r="D3496" s="21"/>
      <c r="E3496" s="2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</row>
    <row r="3497">
      <c r="A3497" s="122"/>
      <c r="B3497" s="119"/>
      <c r="C3497" s="233"/>
      <c r="D3497" s="21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</row>
    <row r="3498">
      <c r="A3498" s="122"/>
      <c r="B3498" s="119"/>
      <c r="C3498" s="233"/>
      <c r="D3498" s="21"/>
      <c r="E3498" s="2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</row>
    <row r="3499">
      <c r="A3499" s="122"/>
      <c r="B3499" s="119"/>
      <c r="C3499" s="233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</row>
    <row r="3500">
      <c r="A3500" s="122"/>
      <c r="B3500" s="119"/>
      <c r="C3500" s="233"/>
      <c r="D3500" s="21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</row>
    <row r="3501">
      <c r="A3501" s="122"/>
      <c r="B3501" s="119"/>
      <c r="C3501" s="233"/>
      <c r="D3501" s="21"/>
      <c r="E3501" s="2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</row>
    <row r="3502">
      <c r="A3502" s="122"/>
      <c r="B3502" s="119"/>
      <c r="C3502" s="233"/>
      <c r="D3502" s="21"/>
      <c r="E3502" s="2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</row>
    <row r="3503">
      <c r="A3503" s="122"/>
      <c r="B3503" s="119"/>
      <c r="C3503" s="233"/>
      <c r="D3503" s="21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</row>
    <row r="3504">
      <c r="A3504" s="122"/>
      <c r="B3504" s="119"/>
      <c r="C3504" s="233"/>
      <c r="D3504" s="21"/>
      <c r="E3504" s="2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</row>
    <row r="3505">
      <c r="A3505" s="122"/>
      <c r="B3505" s="119"/>
      <c r="C3505" s="233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</row>
    <row r="3506">
      <c r="A3506" s="122"/>
      <c r="B3506" s="119"/>
      <c r="C3506" s="233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</row>
    <row r="3507">
      <c r="A3507" s="122"/>
      <c r="B3507" s="119"/>
      <c r="C3507" s="233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</row>
    <row r="3508">
      <c r="A3508" s="122"/>
      <c r="B3508" s="119"/>
      <c r="C3508" s="233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</row>
    <row r="3509">
      <c r="A3509" s="122"/>
      <c r="B3509" s="119"/>
      <c r="C3509" s="233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</row>
    <row r="3510">
      <c r="A3510" s="122"/>
      <c r="B3510" s="119"/>
      <c r="C3510" s="233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</row>
    <row r="3511">
      <c r="A3511" s="122"/>
      <c r="B3511" s="119"/>
      <c r="C3511" s="233"/>
      <c r="D3511" s="21"/>
      <c r="E3511" s="2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</row>
    <row r="3512">
      <c r="A3512" s="122"/>
      <c r="B3512" s="119"/>
      <c r="C3512" s="233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</row>
    <row r="3513">
      <c r="A3513" s="122"/>
      <c r="B3513" s="119"/>
      <c r="C3513" s="233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</row>
    <row r="3514">
      <c r="A3514" s="122"/>
      <c r="B3514" s="119"/>
      <c r="C3514" s="233"/>
      <c r="D3514" s="21"/>
      <c r="E3514" s="2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</row>
    <row r="3515">
      <c r="A3515" s="122"/>
      <c r="B3515" s="119"/>
      <c r="C3515" s="233"/>
      <c r="D3515" s="21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</row>
    <row r="3516">
      <c r="A3516" s="122"/>
      <c r="B3516" s="119"/>
      <c r="C3516" s="233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</row>
    <row r="3517">
      <c r="A3517" s="122"/>
      <c r="B3517" s="119"/>
      <c r="C3517" s="233"/>
      <c r="D3517" s="21"/>
      <c r="E3517" s="2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</row>
    <row r="3518">
      <c r="A3518" s="122"/>
      <c r="B3518" s="119"/>
      <c r="C3518" s="233"/>
      <c r="D3518" s="21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</row>
    <row r="3519">
      <c r="A3519" s="122"/>
      <c r="B3519" s="119"/>
      <c r="C3519" s="233"/>
      <c r="D3519" s="21"/>
      <c r="E3519" s="2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</row>
    <row r="3520">
      <c r="A3520" s="122"/>
      <c r="B3520" s="119"/>
      <c r="C3520" s="233"/>
      <c r="D3520" s="21"/>
      <c r="E3520" s="2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</row>
    <row r="3521">
      <c r="A3521" s="122"/>
      <c r="B3521" s="119"/>
      <c r="C3521" s="233"/>
      <c r="D3521" s="21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</row>
    <row r="3522">
      <c r="A3522" s="122"/>
      <c r="B3522" s="119"/>
      <c r="C3522" s="233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</row>
    <row r="3523">
      <c r="A3523" s="122"/>
      <c r="B3523" s="119"/>
      <c r="C3523" s="233"/>
      <c r="D3523" s="21"/>
      <c r="E3523" s="2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</row>
    <row r="3524">
      <c r="A3524" s="122"/>
      <c r="B3524" s="119"/>
      <c r="C3524" s="233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</row>
    <row r="3525">
      <c r="A3525" s="122"/>
      <c r="B3525" s="119"/>
      <c r="C3525" s="233"/>
      <c r="D3525" s="21"/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</row>
    <row r="3526">
      <c r="A3526" s="122"/>
      <c r="B3526" s="119"/>
      <c r="C3526" s="233"/>
      <c r="D3526" s="21"/>
      <c r="E3526" s="2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</row>
    <row r="3527">
      <c r="A3527" s="122"/>
      <c r="B3527" s="119"/>
      <c r="C3527" s="233"/>
      <c r="D3527" s="21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</row>
    <row r="3528">
      <c r="A3528" s="122"/>
      <c r="B3528" s="119"/>
      <c r="C3528" s="233"/>
      <c r="D3528" s="21"/>
      <c r="E3528" s="2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</row>
    <row r="3529">
      <c r="A3529" s="122"/>
      <c r="B3529" s="119"/>
      <c r="C3529" s="233"/>
      <c r="D3529" s="21"/>
      <c r="E3529" s="2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</row>
    <row r="3530">
      <c r="A3530" s="122"/>
      <c r="B3530" s="119"/>
      <c r="C3530" s="233"/>
      <c r="D3530" s="21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</row>
    <row r="3531">
      <c r="A3531" s="122"/>
      <c r="B3531" s="119"/>
      <c r="C3531" s="233"/>
      <c r="D3531" s="21"/>
      <c r="E3531" s="2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</row>
    <row r="3532">
      <c r="A3532" s="122"/>
      <c r="B3532" s="119"/>
      <c r="C3532" s="233"/>
      <c r="D3532" s="21"/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</row>
    <row r="3533">
      <c r="A3533" s="122"/>
      <c r="B3533" s="119"/>
      <c r="C3533" s="233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</row>
    <row r="3534">
      <c r="A3534" s="122"/>
      <c r="B3534" s="119"/>
      <c r="C3534" s="233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</row>
    <row r="3535">
      <c r="A3535" s="122"/>
      <c r="B3535" s="119"/>
      <c r="C3535" s="233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</row>
    <row r="3536">
      <c r="A3536" s="122"/>
      <c r="B3536" s="119"/>
      <c r="C3536" s="233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</row>
    <row r="3537">
      <c r="A3537" s="122"/>
      <c r="B3537" s="119"/>
      <c r="C3537" s="233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</row>
    <row r="3538">
      <c r="A3538" s="122"/>
      <c r="B3538" s="119"/>
      <c r="C3538" s="233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</row>
    <row r="3539">
      <c r="A3539" s="122"/>
      <c r="B3539" s="119"/>
      <c r="C3539" s="233"/>
      <c r="D3539" s="21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</row>
    <row r="3540">
      <c r="A3540" s="122"/>
      <c r="B3540" s="119"/>
      <c r="C3540" s="233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</row>
    <row r="3541">
      <c r="A3541" s="122"/>
      <c r="B3541" s="119"/>
      <c r="C3541" s="233"/>
      <c r="D3541" s="21"/>
      <c r="E3541" s="2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</row>
    <row r="3542">
      <c r="A3542" s="122"/>
      <c r="B3542" s="119"/>
      <c r="C3542" s="233"/>
      <c r="D3542" s="21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</row>
    <row r="3543">
      <c r="A3543" s="122"/>
      <c r="B3543" s="119"/>
      <c r="C3543" s="233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</row>
    <row r="3544">
      <c r="A3544" s="122"/>
      <c r="B3544" s="119"/>
      <c r="C3544" s="233"/>
      <c r="D3544" s="21"/>
      <c r="E3544" s="2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</row>
    <row r="3545">
      <c r="A3545" s="122"/>
      <c r="B3545" s="119"/>
      <c r="C3545" s="233"/>
      <c r="D3545" s="21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</row>
    <row r="3546">
      <c r="A3546" s="122"/>
      <c r="B3546" s="119"/>
      <c r="C3546" s="233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</row>
    <row r="3547">
      <c r="A3547" s="122"/>
      <c r="B3547" s="119"/>
      <c r="C3547" s="233"/>
      <c r="D3547" s="21"/>
      <c r="E3547" s="2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</row>
    <row r="3548">
      <c r="A3548" s="122"/>
      <c r="B3548" s="119"/>
      <c r="C3548" s="233"/>
      <c r="D3548" s="21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</row>
    <row r="3549">
      <c r="A3549" s="122"/>
      <c r="B3549" s="119"/>
      <c r="C3549" s="233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</row>
    <row r="3550">
      <c r="A3550" s="122"/>
      <c r="B3550" s="119"/>
      <c r="C3550" s="233"/>
      <c r="D3550" s="21"/>
      <c r="E3550" s="2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</row>
    <row r="3551">
      <c r="A3551" s="122"/>
      <c r="B3551" s="119"/>
      <c r="C3551" s="233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</row>
    <row r="3552">
      <c r="A3552" s="122"/>
      <c r="B3552" s="119"/>
      <c r="C3552" s="233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</row>
    <row r="3553">
      <c r="A3553" s="122"/>
      <c r="B3553" s="119"/>
      <c r="C3553" s="233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</row>
    <row r="3554">
      <c r="A3554" s="122"/>
      <c r="B3554" s="119"/>
      <c r="C3554" s="233"/>
      <c r="D3554" s="21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</row>
    <row r="3555">
      <c r="A3555" s="122"/>
      <c r="B3555" s="119"/>
      <c r="C3555" s="233"/>
      <c r="D3555" s="21"/>
      <c r="E3555" s="2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</row>
    <row r="3556">
      <c r="A3556" s="122"/>
      <c r="B3556" s="119"/>
      <c r="C3556" s="233"/>
      <c r="D3556" s="21"/>
      <c r="E3556" s="2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</row>
    <row r="3557">
      <c r="A3557" s="122"/>
      <c r="B3557" s="119"/>
      <c r="C3557" s="233"/>
      <c r="D3557" s="21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</row>
    <row r="3558">
      <c r="A3558" s="122"/>
      <c r="B3558" s="119"/>
      <c r="C3558" s="233"/>
      <c r="D3558" s="21"/>
      <c r="E3558" s="2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</row>
    <row r="3559">
      <c r="A3559" s="122"/>
      <c r="B3559" s="119"/>
      <c r="C3559" s="233"/>
      <c r="D3559" s="21"/>
      <c r="E3559" s="2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</row>
    <row r="3560">
      <c r="A3560" s="122"/>
      <c r="B3560" s="119"/>
      <c r="C3560" s="233"/>
      <c r="D3560" s="21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</row>
    <row r="3561">
      <c r="A3561" s="122"/>
      <c r="B3561" s="119"/>
      <c r="C3561" s="233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</row>
    <row r="3562">
      <c r="A3562" s="122"/>
      <c r="B3562" s="119"/>
      <c r="C3562" s="233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</row>
    <row r="3563">
      <c r="A3563" s="122"/>
      <c r="B3563" s="119"/>
      <c r="C3563" s="233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</row>
    <row r="3564">
      <c r="A3564" s="122"/>
      <c r="B3564" s="119"/>
      <c r="C3564" s="233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</row>
    <row r="3565">
      <c r="A3565" s="122"/>
      <c r="B3565" s="119"/>
      <c r="C3565" s="233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</row>
    <row r="3566">
      <c r="A3566" s="122"/>
      <c r="B3566" s="119"/>
      <c r="C3566" s="233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</row>
    <row r="3567">
      <c r="A3567" s="122"/>
      <c r="B3567" s="119"/>
      <c r="C3567" s="233"/>
      <c r="D3567" s="21"/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</row>
    <row r="3568">
      <c r="A3568" s="122"/>
      <c r="B3568" s="119"/>
      <c r="C3568" s="233"/>
      <c r="D3568" s="21"/>
      <c r="E3568" s="2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</row>
    <row r="3569">
      <c r="A3569" s="122"/>
      <c r="B3569" s="119"/>
      <c r="C3569" s="233"/>
      <c r="D3569" s="21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</row>
    <row r="3570">
      <c r="A3570" s="122"/>
      <c r="B3570" s="119"/>
      <c r="C3570" s="233"/>
      <c r="D3570" s="21"/>
      <c r="E3570" s="2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</row>
    <row r="3571">
      <c r="A3571" s="122"/>
      <c r="B3571" s="119"/>
      <c r="C3571" s="233"/>
      <c r="D3571" s="21"/>
      <c r="E3571" s="2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</row>
    <row r="3572">
      <c r="A3572" s="122"/>
      <c r="B3572" s="119"/>
      <c r="C3572" s="233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</row>
    <row r="3573">
      <c r="A3573" s="122"/>
      <c r="B3573" s="119"/>
      <c r="C3573" s="233"/>
      <c r="D3573" s="21"/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</row>
    <row r="3574">
      <c r="A3574" s="122"/>
      <c r="B3574" s="119"/>
      <c r="C3574" s="233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</row>
    <row r="3575">
      <c r="A3575" s="122"/>
      <c r="B3575" s="119"/>
      <c r="C3575" s="233"/>
      <c r="D3575" s="21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</row>
    <row r="3576">
      <c r="A3576" s="122"/>
      <c r="B3576" s="119"/>
      <c r="C3576" s="233"/>
      <c r="D3576" s="21"/>
      <c r="E3576" s="2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</row>
    <row r="3577">
      <c r="A3577" s="122"/>
      <c r="B3577" s="119"/>
      <c r="C3577" s="233"/>
      <c r="D3577" s="21"/>
      <c r="E3577" s="2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</row>
    <row r="3578">
      <c r="A3578" s="122"/>
      <c r="B3578" s="119"/>
      <c r="C3578" s="233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</row>
    <row r="3579">
      <c r="A3579" s="122"/>
      <c r="B3579" s="119"/>
      <c r="C3579" s="233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</row>
    <row r="3580">
      <c r="A3580" s="122"/>
      <c r="B3580" s="119"/>
      <c r="C3580" s="233"/>
      <c r="D3580" s="21"/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</row>
    <row r="3581">
      <c r="A3581" s="122"/>
      <c r="B3581" s="119"/>
      <c r="C3581" s="233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</row>
    <row r="3582">
      <c r="A3582" s="122"/>
      <c r="B3582" s="119"/>
      <c r="C3582" s="233"/>
      <c r="D3582" s="21"/>
      <c r="E3582" s="2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</row>
    <row r="3583">
      <c r="A3583" s="122"/>
      <c r="B3583" s="119"/>
      <c r="C3583" s="233"/>
      <c r="D3583" s="21"/>
      <c r="E3583" s="2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</row>
    <row r="3584">
      <c r="A3584" s="122"/>
      <c r="B3584" s="119"/>
      <c r="C3584" s="233"/>
      <c r="D3584" s="21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</row>
    <row r="3585">
      <c r="A3585" s="122"/>
      <c r="B3585" s="119"/>
      <c r="C3585" s="233"/>
      <c r="D3585" s="21"/>
      <c r="E3585" s="2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</row>
    <row r="3586">
      <c r="A3586" s="122"/>
      <c r="B3586" s="119"/>
      <c r="C3586" s="233"/>
      <c r="D3586" s="21"/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</row>
    <row r="3587">
      <c r="A3587" s="122"/>
      <c r="B3587" s="119"/>
      <c r="C3587" s="233"/>
      <c r="D3587" s="21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</row>
    <row r="3588">
      <c r="A3588" s="122"/>
      <c r="B3588" s="119"/>
      <c r="C3588" s="233"/>
      <c r="D3588" s="21"/>
      <c r="E3588" s="2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</row>
    <row r="3589">
      <c r="A3589" s="122"/>
      <c r="B3589" s="119"/>
      <c r="C3589" s="233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</row>
    <row r="3590">
      <c r="A3590" s="122"/>
      <c r="B3590" s="119"/>
      <c r="C3590" s="233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</row>
    <row r="3591">
      <c r="A3591" s="122"/>
      <c r="B3591" s="119"/>
      <c r="C3591" s="233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</row>
    <row r="3592">
      <c r="A3592" s="122"/>
      <c r="B3592" s="119"/>
      <c r="C3592" s="233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</row>
    <row r="3593">
      <c r="A3593" s="122"/>
      <c r="B3593" s="119"/>
      <c r="C3593" s="233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</row>
    <row r="3594">
      <c r="A3594" s="122"/>
      <c r="B3594" s="119"/>
      <c r="C3594" s="233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</row>
    <row r="3595">
      <c r="A3595" s="122"/>
      <c r="B3595" s="119"/>
      <c r="C3595" s="233"/>
      <c r="D3595" s="21"/>
      <c r="E3595" s="2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</row>
    <row r="3596">
      <c r="A3596" s="122"/>
      <c r="B3596" s="119"/>
      <c r="C3596" s="233"/>
      <c r="D3596" s="21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</row>
    <row r="3597">
      <c r="A3597" s="122"/>
      <c r="B3597" s="119"/>
      <c r="C3597" s="233"/>
      <c r="D3597" s="21"/>
      <c r="E3597" s="2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</row>
    <row r="3598">
      <c r="A3598" s="122"/>
      <c r="B3598" s="119"/>
      <c r="C3598" s="233"/>
      <c r="D3598" s="21"/>
      <c r="E3598" s="2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</row>
    <row r="3599">
      <c r="A3599" s="122"/>
      <c r="B3599" s="119"/>
      <c r="C3599" s="233"/>
      <c r="D3599" s="21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</row>
    <row r="3600">
      <c r="A3600" s="122"/>
      <c r="B3600" s="119"/>
      <c r="C3600" s="233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</row>
    <row r="3601">
      <c r="A3601" s="122"/>
      <c r="B3601" s="119"/>
      <c r="C3601" s="233"/>
      <c r="D3601" s="21"/>
      <c r="E3601" s="2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</row>
    <row r="3602">
      <c r="A3602" s="122"/>
      <c r="B3602" s="119"/>
      <c r="C3602" s="233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</row>
    <row r="3603">
      <c r="A3603" s="122"/>
      <c r="B3603" s="119"/>
      <c r="C3603" s="233"/>
      <c r="D3603" s="21"/>
      <c r="E3603" s="2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</row>
    <row r="3604">
      <c r="A3604" s="122"/>
      <c r="B3604" s="119"/>
      <c r="C3604" s="233"/>
      <c r="D3604" s="21"/>
      <c r="E3604" s="2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</row>
    <row r="3605">
      <c r="A3605" s="122"/>
      <c r="B3605" s="119"/>
      <c r="C3605" s="233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</row>
    <row r="3606">
      <c r="A3606" s="122"/>
      <c r="B3606" s="119"/>
      <c r="C3606" s="233"/>
      <c r="D3606" s="21"/>
      <c r="E3606" s="2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</row>
    <row r="3607">
      <c r="A3607" s="122"/>
      <c r="B3607" s="119"/>
      <c r="C3607" s="233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</row>
    <row r="3608">
      <c r="A3608" s="122"/>
      <c r="B3608" s="119"/>
      <c r="C3608" s="233"/>
      <c r="D3608" s="21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</row>
    <row r="3609">
      <c r="A3609" s="122"/>
      <c r="B3609" s="119"/>
      <c r="C3609" s="233"/>
      <c r="D3609" s="21"/>
      <c r="E3609" s="2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</row>
    <row r="3610">
      <c r="A3610" s="122"/>
      <c r="B3610" s="119"/>
      <c r="C3610" s="233"/>
      <c r="D3610" s="21"/>
      <c r="E3610" s="2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</row>
    <row r="3611">
      <c r="A3611" s="122"/>
      <c r="B3611" s="119"/>
      <c r="C3611" s="233"/>
      <c r="D3611" s="21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</row>
    <row r="3612">
      <c r="A3612" s="122"/>
      <c r="B3612" s="119"/>
      <c r="C3612" s="233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</row>
    <row r="3613">
      <c r="A3613" s="122"/>
      <c r="B3613" s="119"/>
      <c r="C3613" s="233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</row>
    <row r="3614">
      <c r="A3614" s="122"/>
      <c r="B3614" s="119"/>
      <c r="C3614" s="233"/>
      <c r="D3614" s="21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</row>
    <row r="3615">
      <c r="A3615" s="122"/>
      <c r="B3615" s="119"/>
      <c r="C3615" s="233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</row>
    <row r="3616">
      <c r="A3616" s="122"/>
      <c r="B3616" s="119"/>
      <c r="C3616" s="233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</row>
    <row r="3617">
      <c r="A3617" s="122"/>
      <c r="B3617" s="119"/>
      <c r="C3617" s="233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</row>
    <row r="3618">
      <c r="A3618" s="122"/>
      <c r="B3618" s="119"/>
      <c r="C3618" s="233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</row>
    <row r="3619">
      <c r="A3619" s="122"/>
      <c r="B3619" s="119"/>
      <c r="C3619" s="233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</row>
    <row r="3620">
      <c r="A3620" s="122"/>
      <c r="B3620" s="119"/>
      <c r="C3620" s="233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</row>
    <row r="3621">
      <c r="A3621" s="122"/>
      <c r="B3621" s="119"/>
      <c r="C3621" s="233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</row>
    <row r="3622">
      <c r="A3622" s="122"/>
      <c r="B3622" s="119"/>
      <c r="C3622" s="233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</row>
    <row r="3623">
      <c r="A3623" s="122"/>
      <c r="B3623" s="119"/>
      <c r="C3623" s="233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</row>
    <row r="3624">
      <c r="A3624" s="122"/>
      <c r="B3624" s="119"/>
      <c r="C3624" s="233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</row>
    <row r="3625">
      <c r="A3625" s="122"/>
      <c r="B3625" s="119"/>
      <c r="C3625" s="233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</row>
    <row r="3626">
      <c r="A3626" s="122"/>
      <c r="B3626" s="119"/>
      <c r="C3626" s="233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</row>
    <row r="3627">
      <c r="A3627" s="122"/>
      <c r="B3627" s="119"/>
      <c r="C3627" s="233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</row>
    <row r="3628">
      <c r="A3628" s="122"/>
      <c r="B3628" s="119"/>
      <c r="C3628" s="233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</row>
    <row r="3629">
      <c r="A3629" s="122"/>
      <c r="B3629" s="119"/>
      <c r="C3629" s="233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</row>
    <row r="3630">
      <c r="A3630" s="122"/>
      <c r="B3630" s="119"/>
      <c r="C3630" s="233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</row>
    <row r="3631">
      <c r="A3631" s="122"/>
      <c r="B3631" s="119"/>
      <c r="C3631" s="233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</row>
    <row r="3632">
      <c r="A3632" s="122"/>
      <c r="B3632" s="119"/>
      <c r="C3632" s="233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</row>
    <row r="3633">
      <c r="A3633" s="122"/>
      <c r="B3633" s="119"/>
      <c r="C3633" s="233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</row>
    <row r="3634">
      <c r="A3634" s="122"/>
      <c r="B3634" s="119"/>
      <c r="C3634" s="233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</row>
    <row r="3635">
      <c r="A3635" s="122"/>
      <c r="B3635" s="119"/>
      <c r="C3635" s="233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</row>
    <row r="3636">
      <c r="A3636" s="122"/>
      <c r="B3636" s="119"/>
      <c r="C3636" s="233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</row>
    <row r="3637">
      <c r="A3637" s="122"/>
      <c r="B3637" s="119"/>
      <c r="C3637" s="233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</row>
    <row r="3638">
      <c r="A3638" s="122"/>
      <c r="B3638" s="119"/>
      <c r="C3638" s="233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</row>
    <row r="3639">
      <c r="A3639" s="122"/>
      <c r="B3639" s="119"/>
      <c r="C3639" s="233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</row>
    <row r="3640">
      <c r="A3640" s="122"/>
      <c r="B3640" s="119"/>
      <c r="C3640" s="233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</row>
    <row r="3641">
      <c r="A3641" s="122"/>
      <c r="B3641" s="119"/>
      <c r="C3641" s="233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</row>
    <row r="3642">
      <c r="A3642" s="122"/>
      <c r="B3642" s="119"/>
      <c r="C3642" s="233"/>
      <c r="D3642" s="21"/>
      <c r="E3642" s="2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</row>
    <row r="3643">
      <c r="A3643" s="122"/>
      <c r="B3643" s="119"/>
      <c r="C3643" s="233"/>
      <c r="D3643" s="21"/>
      <c r="E3643" s="2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</row>
    <row r="3644">
      <c r="A3644" s="122"/>
      <c r="B3644" s="119"/>
      <c r="C3644" s="233"/>
      <c r="D3644" s="21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</row>
    <row r="3645">
      <c r="A3645" s="122"/>
      <c r="B3645" s="119"/>
      <c r="C3645" s="233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</row>
    <row r="3646">
      <c r="A3646" s="122"/>
      <c r="B3646" s="119"/>
      <c r="C3646" s="233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</row>
    <row r="3647">
      <c r="A3647" s="122"/>
      <c r="B3647" s="119"/>
      <c r="C3647" s="233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</row>
    <row r="3648">
      <c r="A3648" s="122"/>
      <c r="B3648" s="119"/>
      <c r="C3648" s="233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</row>
    <row r="3649">
      <c r="A3649" s="122"/>
      <c r="B3649" s="119"/>
      <c r="C3649" s="233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</row>
    <row r="3650">
      <c r="A3650" s="122"/>
      <c r="B3650" s="119"/>
      <c r="C3650" s="233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</row>
    <row r="3651">
      <c r="A3651" s="122"/>
      <c r="B3651" s="119"/>
      <c r="C3651" s="233"/>
      <c r="D3651" s="21"/>
      <c r="E3651" s="2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</row>
    <row r="3652">
      <c r="A3652" s="122"/>
      <c r="B3652" s="119"/>
      <c r="C3652" s="233"/>
      <c r="D3652" s="21"/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</row>
    <row r="3653">
      <c r="A3653" s="122"/>
      <c r="B3653" s="119"/>
      <c r="C3653" s="233"/>
      <c r="D3653" s="21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</row>
    <row r="3654">
      <c r="A3654" s="122"/>
      <c r="B3654" s="119"/>
      <c r="C3654" s="233"/>
      <c r="D3654" s="21"/>
      <c r="E3654" s="2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</row>
    <row r="3655">
      <c r="A3655" s="122"/>
      <c r="B3655" s="119"/>
      <c r="C3655" s="233"/>
      <c r="D3655" s="21"/>
      <c r="E3655" s="2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</row>
    <row r="3656">
      <c r="A3656" s="122"/>
      <c r="B3656" s="119"/>
      <c r="C3656" s="233"/>
      <c r="D3656" s="21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</row>
    <row r="3657">
      <c r="A3657" s="122"/>
      <c r="B3657" s="119"/>
      <c r="C3657" s="233"/>
      <c r="D3657" s="21"/>
      <c r="E3657" s="2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</row>
    <row r="3658">
      <c r="A3658" s="122"/>
      <c r="B3658" s="119"/>
      <c r="C3658" s="233"/>
      <c r="D3658" s="21"/>
      <c r="E3658" s="2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</row>
    <row r="3659">
      <c r="A3659" s="122"/>
      <c r="B3659" s="119"/>
      <c r="C3659" s="233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</row>
    <row r="3660">
      <c r="A3660" s="122"/>
      <c r="B3660" s="119"/>
      <c r="C3660" s="233"/>
      <c r="D3660" s="21"/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</row>
    <row r="3661">
      <c r="A3661" s="122"/>
      <c r="B3661" s="119"/>
      <c r="C3661" s="233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</row>
    <row r="3662">
      <c r="A3662" s="122"/>
      <c r="B3662" s="119"/>
      <c r="C3662" s="233"/>
      <c r="D3662" s="21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</row>
    <row r="3663">
      <c r="A3663" s="122"/>
      <c r="B3663" s="119"/>
      <c r="C3663" s="233"/>
      <c r="D3663" s="21"/>
      <c r="E3663" s="2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</row>
    <row r="3664">
      <c r="A3664" s="122"/>
      <c r="B3664" s="119"/>
      <c r="C3664" s="233"/>
      <c r="D3664" s="21"/>
      <c r="E3664" s="2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</row>
    <row r="3665">
      <c r="A3665" s="122"/>
      <c r="B3665" s="119"/>
      <c r="C3665" s="233"/>
      <c r="D3665" s="21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</row>
    <row r="3666">
      <c r="A3666" s="122"/>
      <c r="B3666" s="119"/>
      <c r="C3666" s="233"/>
      <c r="D3666" s="21"/>
      <c r="E3666" s="2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</row>
    <row r="3667">
      <c r="A3667" s="122"/>
      <c r="B3667" s="119"/>
      <c r="C3667" s="233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</row>
    <row r="3668">
      <c r="A3668" s="122"/>
      <c r="B3668" s="119"/>
      <c r="C3668" s="233"/>
      <c r="D3668" s="21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</row>
    <row r="3669">
      <c r="A3669" s="122"/>
      <c r="B3669" s="119"/>
      <c r="C3669" s="233"/>
      <c r="D3669" s="21"/>
      <c r="E3669" s="2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</row>
    <row r="3670">
      <c r="A3670" s="122"/>
      <c r="B3670" s="119"/>
      <c r="C3670" s="233"/>
      <c r="D3670" s="21"/>
      <c r="E3670" s="2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</row>
    <row r="3671">
      <c r="A3671" s="122"/>
      <c r="B3671" s="119"/>
      <c r="C3671" s="233"/>
      <c r="D3671" s="21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</row>
    <row r="3672">
      <c r="A3672" s="122"/>
      <c r="B3672" s="119"/>
      <c r="C3672" s="233"/>
      <c r="D3672" s="21"/>
      <c r="E3672" s="2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</row>
    <row r="3673">
      <c r="A3673" s="122"/>
      <c r="B3673" s="119"/>
      <c r="C3673" s="233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</row>
    <row r="3674">
      <c r="A3674" s="122"/>
      <c r="B3674" s="119"/>
      <c r="C3674" s="233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</row>
    <row r="3675">
      <c r="A3675" s="122"/>
      <c r="B3675" s="119"/>
      <c r="C3675" s="233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</row>
    <row r="3676">
      <c r="A3676" s="122"/>
      <c r="B3676" s="119"/>
      <c r="C3676" s="233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</row>
    <row r="3677">
      <c r="A3677" s="122"/>
      <c r="B3677" s="119"/>
      <c r="C3677" s="233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</row>
    <row r="3678">
      <c r="A3678" s="122"/>
      <c r="B3678" s="119"/>
      <c r="C3678" s="233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</row>
    <row r="3679">
      <c r="A3679" s="122"/>
      <c r="B3679" s="119"/>
      <c r="C3679" s="233"/>
      <c r="D3679" s="21"/>
      <c r="E3679" s="2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</row>
    <row r="3680">
      <c r="A3680" s="122"/>
      <c r="B3680" s="119"/>
      <c r="C3680" s="233"/>
      <c r="D3680" s="21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</row>
    <row r="3681">
      <c r="A3681" s="122"/>
      <c r="B3681" s="119"/>
      <c r="C3681" s="233"/>
      <c r="D3681" s="21"/>
      <c r="E3681" s="2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</row>
    <row r="3682">
      <c r="A3682" s="122"/>
      <c r="B3682" s="119"/>
      <c r="C3682" s="233"/>
      <c r="D3682" s="21"/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</row>
    <row r="3683">
      <c r="A3683" s="122"/>
      <c r="B3683" s="119"/>
      <c r="C3683" s="233"/>
      <c r="D3683" s="21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</row>
    <row r="3684">
      <c r="A3684" s="122"/>
      <c r="B3684" s="119"/>
      <c r="C3684" s="233"/>
      <c r="D3684" s="21"/>
      <c r="E3684" s="2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</row>
    <row r="3685">
      <c r="A3685" s="122"/>
      <c r="B3685" s="119"/>
      <c r="C3685" s="233"/>
      <c r="D3685" s="21"/>
      <c r="E3685" s="2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</row>
    <row r="3686">
      <c r="A3686" s="122"/>
      <c r="B3686" s="119"/>
      <c r="C3686" s="233"/>
      <c r="D3686" s="21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</row>
    <row r="3687">
      <c r="A3687" s="122"/>
      <c r="B3687" s="119"/>
      <c r="C3687" s="233"/>
      <c r="D3687" s="21"/>
      <c r="E3687" s="2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</row>
    <row r="3688">
      <c r="A3688" s="122"/>
      <c r="B3688" s="119"/>
      <c r="C3688" s="233"/>
      <c r="D3688" s="21"/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</row>
    <row r="3689">
      <c r="A3689" s="122"/>
      <c r="B3689" s="119"/>
      <c r="C3689" s="233"/>
      <c r="D3689" s="21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</row>
    <row r="3690">
      <c r="A3690" s="122"/>
      <c r="B3690" s="119"/>
      <c r="C3690" s="233"/>
      <c r="D3690" s="21"/>
      <c r="E3690" s="2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</row>
    <row r="3691">
      <c r="A3691" s="122"/>
      <c r="B3691" s="119"/>
      <c r="C3691" s="233"/>
      <c r="D3691" s="21"/>
      <c r="E3691" s="2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</row>
    <row r="3692">
      <c r="A3692" s="122"/>
      <c r="B3692" s="119"/>
      <c r="C3692" s="233"/>
      <c r="D3692" s="21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</row>
    <row r="3693">
      <c r="A3693" s="122"/>
      <c r="B3693" s="119"/>
      <c r="C3693" s="233"/>
      <c r="D3693" s="21"/>
      <c r="E3693" s="2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</row>
    <row r="3694">
      <c r="A3694" s="122"/>
      <c r="B3694" s="119"/>
      <c r="C3694" s="233"/>
      <c r="D3694" s="21"/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</row>
    <row r="3695">
      <c r="A3695" s="122"/>
      <c r="B3695" s="119"/>
      <c r="C3695" s="233"/>
      <c r="D3695" s="21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</row>
    <row r="3696">
      <c r="A3696" s="122"/>
      <c r="B3696" s="119"/>
      <c r="C3696" s="233"/>
      <c r="D3696" s="21"/>
      <c r="E3696" s="2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</row>
    <row r="3697">
      <c r="A3697" s="122"/>
      <c r="B3697" s="119"/>
      <c r="C3697" s="233"/>
      <c r="D3697" s="21"/>
      <c r="E3697" s="2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</row>
    <row r="3698">
      <c r="A3698" s="122"/>
      <c r="B3698" s="119"/>
      <c r="C3698" s="233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</row>
    <row r="3699">
      <c r="A3699" s="122"/>
      <c r="B3699" s="119"/>
      <c r="C3699" s="233"/>
      <c r="D3699" s="21"/>
      <c r="E3699" s="2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</row>
    <row r="3700">
      <c r="A3700" s="122"/>
      <c r="B3700" s="119"/>
      <c r="C3700" s="233"/>
      <c r="D3700" s="21"/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</row>
    <row r="3701">
      <c r="A3701" s="122"/>
      <c r="B3701" s="119"/>
      <c r="C3701" s="233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</row>
    <row r="3702">
      <c r="A3702" s="122"/>
      <c r="B3702" s="119"/>
      <c r="C3702" s="233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</row>
    <row r="3703">
      <c r="A3703" s="122"/>
      <c r="B3703" s="119"/>
      <c r="C3703" s="233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</row>
    <row r="3704">
      <c r="A3704" s="122"/>
      <c r="B3704" s="119"/>
      <c r="C3704" s="233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</row>
    <row r="3705">
      <c r="A3705" s="122"/>
      <c r="B3705" s="119"/>
      <c r="C3705" s="233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</row>
    <row r="3706">
      <c r="A3706" s="122"/>
      <c r="B3706" s="119"/>
      <c r="C3706" s="233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</row>
    <row r="3707">
      <c r="A3707" s="122"/>
      <c r="B3707" s="119"/>
      <c r="C3707" s="233"/>
      <c r="D3707" s="21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</row>
    <row r="3708">
      <c r="A3708" s="122"/>
      <c r="B3708" s="119"/>
      <c r="C3708" s="233"/>
      <c r="D3708" s="21"/>
      <c r="E3708" s="2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</row>
    <row r="3709">
      <c r="A3709" s="122"/>
      <c r="B3709" s="119"/>
      <c r="C3709" s="233"/>
      <c r="D3709" s="21"/>
      <c r="E3709" s="2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</row>
    <row r="3710">
      <c r="A3710" s="122"/>
      <c r="B3710" s="119"/>
      <c r="C3710" s="233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</row>
    <row r="3711">
      <c r="A3711" s="122"/>
      <c r="B3711" s="119"/>
      <c r="C3711" s="233"/>
      <c r="D3711" s="21"/>
      <c r="E3711" s="2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</row>
    <row r="3712">
      <c r="A3712" s="122"/>
      <c r="B3712" s="119"/>
      <c r="C3712" s="233"/>
      <c r="D3712" s="21"/>
      <c r="E3712" s="2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</row>
    <row r="3713">
      <c r="A3713" s="122"/>
      <c r="B3713" s="119"/>
      <c r="C3713" s="233"/>
      <c r="D3713" s="21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</row>
    <row r="3714">
      <c r="A3714" s="122"/>
      <c r="B3714" s="119"/>
      <c r="C3714" s="233"/>
      <c r="D3714" s="21"/>
      <c r="E3714" s="2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</row>
    <row r="3715">
      <c r="A3715" s="122"/>
      <c r="B3715" s="119"/>
      <c r="C3715" s="233"/>
      <c r="D3715" s="21"/>
      <c r="E3715" s="2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</row>
    <row r="3716">
      <c r="A3716" s="122"/>
      <c r="B3716" s="119"/>
      <c r="C3716" s="233"/>
      <c r="D3716" s="21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</row>
    <row r="3717">
      <c r="A3717" s="122"/>
      <c r="B3717" s="119"/>
      <c r="C3717" s="233"/>
      <c r="D3717" s="21"/>
      <c r="E3717" s="2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</row>
    <row r="3718">
      <c r="A3718" s="122"/>
      <c r="B3718" s="119"/>
      <c r="C3718" s="233"/>
      <c r="D3718" s="21"/>
      <c r="E3718" s="2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</row>
    <row r="3719">
      <c r="A3719" s="122"/>
      <c r="B3719" s="119"/>
      <c r="C3719" s="233"/>
      <c r="D3719" s="21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</row>
    <row r="3720">
      <c r="A3720" s="122"/>
      <c r="B3720" s="119"/>
      <c r="C3720" s="233"/>
      <c r="D3720" s="21"/>
      <c r="E3720" s="2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</row>
    <row r="3721">
      <c r="A3721" s="122"/>
      <c r="B3721" s="119"/>
      <c r="C3721" s="233"/>
      <c r="D3721" s="21"/>
      <c r="E3721" s="2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</row>
    <row r="3722">
      <c r="A3722" s="122"/>
      <c r="B3722" s="119"/>
      <c r="C3722" s="233"/>
      <c r="D3722" s="21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</row>
    <row r="3723">
      <c r="A3723" s="122"/>
      <c r="B3723" s="119"/>
      <c r="C3723" s="233"/>
      <c r="D3723" s="21"/>
      <c r="E3723" s="2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</row>
    <row r="3724">
      <c r="A3724" s="122"/>
      <c r="B3724" s="119"/>
      <c r="C3724" s="233"/>
      <c r="D3724" s="21"/>
      <c r="E3724" s="2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</row>
    <row r="3725">
      <c r="A3725" s="122"/>
      <c r="B3725" s="119"/>
      <c r="C3725" s="233"/>
      <c r="D3725" s="21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</row>
    <row r="3726">
      <c r="A3726" s="122"/>
      <c r="B3726" s="119"/>
      <c r="C3726" s="233"/>
      <c r="D3726" s="21"/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</row>
    <row r="3727">
      <c r="A3727" s="122"/>
      <c r="B3727" s="119"/>
      <c r="C3727" s="233"/>
      <c r="D3727" s="21"/>
      <c r="E3727" s="2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</row>
    <row r="3728">
      <c r="A3728" s="122"/>
      <c r="B3728" s="119"/>
      <c r="C3728" s="233"/>
      <c r="D3728" s="21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</row>
    <row r="3729">
      <c r="A3729" s="122"/>
      <c r="B3729" s="119"/>
      <c r="C3729" s="233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</row>
    <row r="3730">
      <c r="A3730" s="122"/>
      <c r="B3730" s="119"/>
      <c r="C3730" s="233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</row>
    <row r="3731">
      <c r="A3731" s="122"/>
      <c r="B3731" s="119"/>
      <c r="C3731" s="233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</row>
    <row r="3732">
      <c r="A3732" s="122"/>
      <c r="B3732" s="119"/>
      <c r="C3732" s="233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</row>
    <row r="3733">
      <c r="A3733" s="122"/>
      <c r="B3733" s="119"/>
      <c r="C3733" s="233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</row>
    <row r="3734">
      <c r="A3734" s="122"/>
      <c r="B3734" s="119"/>
      <c r="C3734" s="233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</row>
    <row r="3735">
      <c r="A3735" s="122"/>
      <c r="B3735" s="119"/>
      <c r="C3735" s="233"/>
      <c r="D3735" s="21"/>
      <c r="E3735" s="2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</row>
    <row r="3736">
      <c r="A3736" s="122"/>
      <c r="B3736" s="119"/>
      <c r="C3736" s="233"/>
      <c r="D3736" s="21"/>
      <c r="E3736" s="2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</row>
    <row r="3737">
      <c r="A3737" s="122"/>
      <c r="B3737" s="119"/>
      <c r="C3737" s="233"/>
      <c r="D3737" s="21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</row>
    <row r="3738">
      <c r="A3738" s="122"/>
      <c r="B3738" s="119"/>
      <c r="C3738" s="233"/>
      <c r="D3738" s="21"/>
      <c r="E3738" s="2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</row>
    <row r="3739">
      <c r="A3739" s="122"/>
      <c r="B3739" s="119"/>
      <c r="C3739" s="233"/>
      <c r="D3739" s="21"/>
      <c r="E3739" s="2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</row>
    <row r="3740">
      <c r="A3740" s="122"/>
      <c r="B3740" s="119"/>
      <c r="C3740" s="233"/>
      <c r="D3740" s="21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</row>
    <row r="3741">
      <c r="A3741" s="122"/>
      <c r="B3741" s="119"/>
      <c r="C3741" s="233"/>
      <c r="D3741" s="21"/>
      <c r="E3741" s="2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</row>
    <row r="3742">
      <c r="A3742" s="122"/>
      <c r="B3742" s="119"/>
      <c r="C3742" s="233"/>
      <c r="D3742" s="21"/>
      <c r="E3742" s="2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</row>
    <row r="3743">
      <c r="A3743" s="122"/>
      <c r="B3743" s="119"/>
      <c r="C3743" s="233"/>
      <c r="D3743" s="21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</row>
    <row r="3744">
      <c r="A3744" s="122"/>
      <c r="B3744" s="119"/>
      <c r="C3744" s="233"/>
      <c r="D3744" s="21"/>
      <c r="E3744" s="2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</row>
    <row r="3745">
      <c r="A3745" s="122"/>
      <c r="B3745" s="119"/>
      <c r="C3745" s="233"/>
      <c r="D3745" s="21"/>
      <c r="E3745" s="2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</row>
    <row r="3746">
      <c r="A3746" s="122"/>
      <c r="B3746" s="119"/>
      <c r="C3746" s="233"/>
      <c r="D3746" s="21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</row>
    <row r="3747">
      <c r="A3747" s="122"/>
      <c r="B3747" s="119"/>
      <c r="C3747" s="233"/>
      <c r="D3747" s="21"/>
      <c r="E3747" s="2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</row>
    <row r="3748">
      <c r="A3748" s="122"/>
      <c r="B3748" s="119"/>
      <c r="C3748" s="233"/>
      <c r="D3748" s="21"/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</row>
    <row r="3749">
      <c r="A3749" s="122"/>
      <c r="B3749" s="119"/>
      <c r="C3749" s="233"/>
      <c r="D3749" s="21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</row>
    <row r="3750">
      <c r="A3750" s="122"/>
      <c r="B3750" s="119"/>
      <c r="C3750" s="233"/>
      <c r="D3750" s="21"/>
      <c r="E3750" s="2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</row>
    <row r="3751">
      <c r="A3751" s="122"/>
      <c r="B3751" s="119"/>
      <c r="C3751" s="233"/>
      <c r="D3751" s="21"/>
      <c r="E3751" s="2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</row>
    <row r="3752">
      <c r="A3752" s="122"/>
      <c r="B3752" s="119"/>
      <c r="C3752" s="233"/>
      <c r="D3752" s="21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</row>
    <row r="3753">
      <c r="A3753" s="122"/>
      <c r="B3753" s="119"/>
      <c r="C3753" s="233"/>
      <c r="D3753" s="21"/>
      <c r="E3753" s="2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</row>
    <row r="3754">
      <c r="A3754" s="122"/>
      <c r="B3754" s="119"/>
      <c r="C3754" s="233"/>
      <c r="D3754" s="21"/>
      <c r="E3754" s="2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</row>
    <row r="3755">
      <c r="A3755" s="122"/>
      <c r="B3755" s="119"/>
      <c r="C3755" s="233"/>
      <c r="D3755" s="21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</row>
    <row r="3756">
      <c r="A3756" s="122"/>
      <c r="B3756" s="119"/>
      <c r="C3756" s="233"/>
      <c r="D3756" s="21"/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</row>
    <row r="3757">
      <c r="A3757" s="122"/>
      <c r="B3757" s="119"/>
      <c r="C3757" s="233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</row>
    <row r="3758">
      <c r="A3758" s="122"/>
      <c r="B3758" s="119"/>
      <c r="C3758" s="233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</row>
    <row r="3759">
      <c r="A3759" s="122"/>
      <c r="B3759" s="119"/>
      <c r="C3759" s="233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</row>
    <row r="3760">
      <c r="A3760" s="122"/>
      <c r="B3760" s="119"/>
      <c r="C3760" s="233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</row>
    <row r="3761">
      <c r="A3761" s="122"/>
      <c r="B3761" s="119"/>
      <c r="C3761" s="233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</row>
    <row r="3762">
      <c r="A3762" s="122"/>
      <c r="B3762" s="119"/>
      <c r="C3762" s="233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</row>
    <row r="3763">
      <c r="A3763" s="122"/>
      <c r="B3763" s="119"/>
      <c r="C3763" s="233"/>
      <c r="D3763" s="21"/>
      <c r="E3763" s="2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</row>
    <row r="3764">
      <c r="A3764" s="122"/>
      <c r="B3764" s="119"/>
      <c r="C3764" s="233"/>
      <c r="D3764" s="21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</row>
    <row r="3765">
      <c r="A3765" s="122"/>
      <c r="B3765" s="119"/>
      <c r="C3765" s="233"/>
      <c r="D3765" s="21"/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</row>
    <row r="3766">
      <c r="A3766" s="122"/>
      <c r="B3766" s="119"/>
      <c r="C3766" s="233"/>
      <c r="D3766" s="21"/>
      <c r="E3766" s="2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</row>
    <row r="3767">
      <c r="A3767" s="122"/>
      <c r="B3767" s="119"/>
      <c r="C3767" s="233"/>
      <c r="D3767" s="21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</row>
    <row r="3768">
      <c r="A3768" s="122"/>
      <c r="B3768" s="119"/>
      <c r="C3768" s="233"/>
      <c r="D3768" s="21"/>
      <c r="E3768" s="2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</row>
    <row r="3769">
      <c r="A3769" s="122"/>
      <c r="B3769" s="119"/>
      <c r="C3769" s="233"/>
      <c r="D3769" s="21"/>
      <c r="E3769" s="2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</row>
    <row r="3770">
      <c r="A3770" s="122"/>
      <c r="B3770" s="119"/>
      <c r="C3770" s="233"/>
      <c r="D3770" s="21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</row>
    <row r="3771">
      <c r="A3771" s="122"/>
      <c r="B3771" s="119"/>
      <c r="C3771" s="233"/>
      <c r="D3771" s="21"/>
      <c r="E3771" s="2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</row>
    <row r="3772">
      <c r="A3772" s="122"/>
      <c r="B3772" s="119"/>
      <c r="C3772" s="233"/>
      <c r="D3772" s="21"/>
      <c r="E3772" s="2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</row>
    <row r="3773">
      <c r="A3773" s="122"/>
      <c r="B3773" s="119"/>
      <c r="C3773" s="233"/>
      <c r="D3773" s="21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</row>
    <row r="3774">
      <c r="A3774" s="122"/>
      <c r="B3774" s="119"/>
      <c r="C3774" s="233"/>
      <c r="D3774" s="21"/>
      <c r="E3774" s="2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</row>
    <row r="3775">
      <c r="A3775" s="122"/>
      <c r="B3775" s="119"/>
      <c r="C3775" s="233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</row>
    <row r="3776">
      <c r="A3776" s="122"/>
      <c r="B3776" s="119"/>
      <c r="C3776" s="233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</row>
    <row r="3777">
      <c r="A3777" s="122"/>
      <c r="B3777" s="119"/>
      <c r="C3777" s="233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</row>
    <row r="3778">
      <c r="A3778" s="122"/>
      <c r="B3778" s="119"/>
      <c r="C3778" s="233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</row>
    <row r="3779">
      <c r="A3779" s="122"/>
      <c r="B3779" s="119"/>
      <c r="C3779" s="233"/>
      <c r="D3779" s="21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</row>
    <row r="3780">
      <c r="A3780" s="122"/>
      <c r="B3780" s="119"/>
      <c r="C3780" s="233"/>
      <c r="D3780" s="21"/>
      <c r="E3780" s="2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</row>
    <row r="3781">
      <c r="A3781" s="122"/>
      <c r="B3781" s="119"/>
      <c r="C3781" s="233"/>
      <c r="D3781" s="21"/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</row>
    <row r="3782">
      <c r="A3782" s="122"/>
      <c r="B3782" s="119"/>
      <c r="C3782" s="233"/>
      <c r="D3782" s="21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</row>
    <row r="3783">
      <c r="A3783" s="122"/>
      <c r="B3783" s="119"/>
      <c r="C3783" s="233"/>
      <c r="D3783" s="21"/>
      <c r="E3783" s="2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</row>
    <row r="3784">
      <c r="A3784" s="122"/>
      <c r="B3784" s="119"/>
      <c r="C3784" s="233"/>
      <c r="D3784" s="21"/>
      <c r="E3784" s="2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</row>
    <row r="3785">
      <c r="A3785" s="122"/>
      <c r="B3785" s="119"/>
      <c r="C3785" s="233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</row>
    <row r="3786">
      <c r="A3786" s="122"/>
      <c r="B3786" s="119"/>
      <c r="C3786" s="233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</row>
    <row r="3787">
      <c r="A3787" s="122"/>
      <c r="B3787" s="119"/>
      <c r="C3787" s="233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</row>
    <row r="3788">
      <c r="A3788" s="122"/>
      <c r="B3788" s="119"/>
      <c r="C3788" s="233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</row>
    <row r="3789">
      <c r="A3789" s="122"/>
      <c r="B3789" s="119"/>
      <c r="C3789" s="233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</row>
    <row r="3790">
      <c r="A3790" s="122"/>
      <c r="B3790" s="119"/>
      <c r="C3790" s="233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</row>
    <row r="3791">
      <c r="A3791" s="122"/>
      <c r="B3791" s="119"/>
      <c r="C3791" s="233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</row>
    <row r="3792">
      <c r="A3792" s="122"/>
      <c r="B3792" s="119"/>
      <c r="C3792" s="233"/>
      <c r="D3792" s="21"/>
      <c r="E3792" s="2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</row>
    <row r="3793">
      <c r="A3793" s="122"/>
      <c r="B3793" s="119"/>
      <c r="C3793" s="233"/>
      <c r="D3793" s="21"/>
      <c r="E3793" s="2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</row>
    <row r="3794">
      <c r="A3794" s="122"/>
      <c r="B3794" s="119"/>
      <c r="C3794" s="233"/>
      <c r="D3794" s="21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</row>
    <row r="3795">
      <c r="A3795" s="122"/>
      <c r="B3795" s="119"/>
      <c r="C3795" s="233"/>
      <c r="D3795" s="21"/>
      <c r="E3795" s="2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</row>
    <row r="3796">
      <c r="A3796" s="122"/>
      <c r="B3796" s="119"/>
      <c r="C3796" s="233"/>
      <c r="D3796" s="21"/>
      <c r="E3796" s="2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</row>
    <row r="3797">
      <c r="A3797" s="122"/>
      <c r="B3797" s="119"/>
      <c r="C3797" s="233"/>
      <c r="D3797" s="21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</row>
    <row r="3798">
      <c r="A3798" s="122"/>
      <c r="B3798" s="119"/>
      <c r="C3798" s="233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</row>
    <row r="3799">
      <c r="A3799" s="122"/>
      <c r="B3799" s="119"/>
      <c r="C3799" s="233"/>
      <c r="D3799" s="21"/>
      <c r="E3799" s="2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</row>
    <row r="3800">
      <c r="A3800" s="122"/>
      <c r="B3800" s="119"/>
      <c r="C3800" s="233"/>
      <c r="D3800" s="21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</row>
    <row r="3801">
      <c r="A3801" s="122"/>
      <c r="B3801" s="119"/>
      <c r="C3801" s="233"/>
      <c r="D3801" s="21"/>
      <c r="E3801" s="2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</row>
    <row r="3802">
      <c r="A3802" s="122"/>
      <c r="B3802" s="119"/>
      <c r="C3802" s="233"/>
      <c r="D3802" s="21"/>
      <c r="E3802" s="2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</row>
    <row r="3803">
      <c r="A3803" s="122"/>
      <c r="B3803" s="119"/>
      <c r="C3803" s="233"/>
      <c r="D3803" s="21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</row>
    <row r="3804">
      <c r="A3804" s="122"/>
      <c r="B3804" s="119"/>
      <c r="C3804" s="233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</row>
    <row r="3805">
      <c r="A3805" s="122"/>
      <c r="B3805" s="119"/>
      <c r="C3805" s="233"/>
      <c r="D3805" s="21"/>
      <c r="E3805" s="2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</row>
    <row r="3806">
      <c r="A3806" s="122"/>
      <c r="B3806" s="119"/>
      <c r="C3806" s="233"/>
      <c r="D3806" s="21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</row>
    <row r="3807">
      <c r="A3807" s="122"/>
      <c r="B3807" s="119"/>
      <c r="C3807" s="233"/>
      <c r="D3807" s="21"/>
      <c r="E3807" s="2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</row>
    <row r="3808">
      <c r="A3808" s="122"/>
      <c r="B3808" s="119"/>
      <c r="C3808" s="233"/>
      <c r="D3808" s="21"/>
      <c r="E3808" s="2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</row>
    <row r="3809">
      <c r="A3809" s="122"/>
      <c r="B3809" s="119"/>
      <c r="C3809" s="233"/>
      <c r="D3809" s="21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</row>
    <row r="3810">
      <c r="A3810" s="122"/>
      <c r="B3810" s="119"/>
      <c r="C3810" s="233"/>
      <c r="D3810" s="21"/>
      <c r="E3810" s="2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</row>
    <row r="3811">
      <c r="A3811" s="122"/>
      <c r="B3811" s="119"/>
      <c r="C3811" s="233"/>
      <c r="D3811" s="21"/>
      <c r="E3811" s="2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</row>
    <row r="3812">
      <c r="A3812" s="122"/>
      <c r="B3812" s="119"/>
      <c r="C3812" s="233"/>
      <c r="D3812" s="21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</row>
    <row r="3813">
      <c r="A3813" s="122"/>
      <c r="B3813" s="119"/>
      <c r="C3813" s="233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</row>
    <row r="3814">
      <c r="A3814" s="122"/>
      <c r="B3814" s="119"/>
      <c r="C3814" s="233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</row>
    <row r="3815">
      <c r="A3815" s="122"/>
      <c r="B3815" s="119"/>
      <c r="C3815" s="233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</row>
    <row r="3816">
      <c r="A3816" s="122"/>
      <c r="B3816" s="119"/>
      <c r="C3816" s="233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</row>
    <row r="3817">
      <c r="A3817" s="122"/>
      <c r="B3817" s="119"/>
      <c r="C3817" s="233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</row>
    <row r="3818">
      <c r="A3818" s="122"/>
      <c r="B3818" s="119"/>
      <c r="C3818" s="233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</row>
    <row r="3819">
      <c r="A3819" s="122"/>
      <c r="B3819" s="119"/>
      <c r="C3819" s="233"/>
      <c r="D3819" s="21"/>
      <c r="E3819" s="2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</row>
    <row r="3820">
      <c r="A3820" s="122"/>
      <c r="B3820" s="119"/>
      <c r="C3820" s="233"/>
      <c r="D3820" s="21"/>
      <c r="E3820" s="2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</row>
    <row r="3821">
      <c r="A3821" s="122"/>
      <c r="B3821" s="119"/>
      <c r="C3821" s="233"/>
      <c r="D3821" s="21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</row>
    <row r="3822">
      <c r="A3822" s="122"/>
      <c r="B3822" s="119"/>
      <c r="C3822" s="233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</row>
    <row r="3823">
      <c r="A3823" s="122"/>
      <c r="B3823" s="119"/>
      <c r="C3823" s="233"/>
      <c r="D3823" s="21"/>
      <c r="E3823" s="2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</row>
    <row r="3824">
      <c r="A3824" s="122"/>
      <c r="B3824" s="119"/>
      <c r="C3824" s="233"/>
      <c r="D3824" s="21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</row>
    <row r="3825">
      <c r="A3825" s="122"/>
      <c r="B3825" s="119"/>
      <c r="C3825" s="233"/>
      <c r="D3825" s="21"/>
      <c r="E3825" s="2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</row>
    <row r="3826">
      <c r="A3826" s="122"/>
      <c r="B3826" s="119"/>
      <c r="C3826" s="233"/>
      <c r="D3826" s="21"/>
      <c r="E3826" s="2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</row>
    <row r="3827">
      <c r="A3827" s="122"/>
      <c r="B3827" s="119"/>
      <c r="C3827" s="233"/>
      <c r="D3827" s="21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</row>
    <row r="3828">
      <c r="A3828" s="122"/>
      <c r="B3828" s="119"/>
      <c r="C3828" s="233"/>
      <c r="D3828" s="21"/>
      <c r="E3828" s="2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</row>
    <row r="3829">
      <c r="A3829" s="122"/>
      <c r="B3829" s="119"/>
      <c r="C3829" s="233"/>
      <c r="D3829" s="21"/>
      <c r="E3829" s="2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</row>
    <row r="3830">
      <c r="A3830" s="122"/>
      <c r="B3830" s="119"/>
      <c r="C3830" s="233"/>
      <c r="D3830" s="21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</row>
    <row r="3831">
      <c r="A3831" s="122"/>
      <c r="B3831" s="119"/>
      <c r="C3831" s="233"/>
      <c r="D3831" s="21"/>
      <c r="E3831" s="2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</row>
    <row r="3832">
      <c r="A3832" s="122"/>
      <c r="B3832" s="119"/>
      <c r="C3832" s="233"/>
      <c r="D3832" s="21"/>
      <c r="E3832" s="2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</row>
    <row r="3833">
      <c r="A3833" s="122"/>
      <c r="B3833" s="119"/>
      <c r="C3833" s="233"/>
      <c r="D3833" s="21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</row>
    <row r="3834">
      <c r="A3834" s="122"/>
      <c r="B3834" s="119"/>
      <c r="C3834" s="233"/>
      <c r="D3834" s="21"/>
      <c r="E3834" s="2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</row>
    <row r="3835">
      <c r="A3835" s="122"/>
      <c r="B3835" s="119"/>
      <c r="C3835" s="233"/>
      <c r="D3835" s="21"/>
      <c r="E3835" s="2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</row>
    <row r="3836">
      <c r="A3836" s="122"/>
      <c r="B3836" s="119"/>
      <c r="C3836" s="233"/>
      <c r="D3836" s="21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</row>
    <row r="3837">
      <c r="A3837" s="122"/>
      <c r="B3837" s="119"/>
      <c r="C3837" s="233"/>
      <c r="D3837" s="21"/>
      <c r="E3837" s="2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</row>
    <row r="3838">
      <c r="A3838" s="122"/>
      <c r="B3838" s="119"/>
      <c r="C3838" s="233"/>
      <c r="D3838" s="21"/>
      <c r="E3838" s="2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</row>
    <row r="3839">
      <c r="A3839" s="122"/>
      <c r="B3839" s="119"/>
      <c r="C3839" s="233"/>
      <c r="D3839" s="21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</row>
    <row r="3840">
      <c r="A3840" s="122"/>
      <c r="B3840" s="119"/>
      <c r="C3840" s="233"/>
      <c r="D3840" s="21"/>
      <c r="E3840" s="2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</row>
    <row r="3841">
      <c r="A3841" s="122"/>
      <c r="B3841" s="119"/>
      <c r="C3841" s="233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</row>
    <row r="3842">
      <c r="A3842" s="122"/>
      <c r="B3842" s="119"/>
      <c r="C3842" s="233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</row>
    <row r="3843">
      <c r="A3843" s="122"/>
      <c r="B3843" s="119"/>
      <c r="C3843" s="233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</row>
    <row r="3844">
      <c r="A3844" s="122"/>
      <c r="B3844" s="119"/>
      <c r="C3844" s="233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</row>
    <row r="3845">
      <c r="A3845" s="122"/>
      <c r="B3845" s="119"/>
      <c r="C3845" s="233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</row>
    <row r="3846">
      <c r="A3846" s="122"/>
      <c r="B3846" s="119"/>
      <c r="C3846" s="233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</row>
    <row r="3847">
      <c r="A3847" s="122"/>
      <c r="B3847" s="119"/>
      <c r="C3847" s="233"/>
      <c r="D3847" s="21"/>
      <c r="E3847" s="2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</row>
    <row r="3848">
      <c r="A3848" s="122"/>
      <c r="B3848" s="119"/>
      <c r="C3848" s="233"/>
      <c r="D3848" s="21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</row>
    <row r="3849">
      <c r="A3849" s="122"/>
      <c r="B3849" s="119"/>
      <c r="C3849" s="233"/>
      <c r="D3849" s="21"/>
      <c r="E3849" s="2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</row>
    <row r="3850">
      <c r="A3850" s="122"/>
      <c r="B3850" s="119"/>
      <c r="C3850" s="233"/>
      <c r="D3850" s="21"/>
      <c r="E3850" s="2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</row>
    <row r="3851">
      <c r="A3851" s="122"/>
      <c r="B3851" s="119"/>
      <c r="C3851" s="233"/>
      <c r="D3851" s="21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</row>
    <row r="3852">
      <c r="A3852" s="122"/>
      <c r="B3852" s="119"/>
      <c r="C3852" s="233"/>
      <c r="D3852" s="21"/>
      <c r="E3852" s="2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</row>
    <row r="3853">
      <c r="A3853" s="122"/>
      <c r="B3853" s="119"/>
      <c r="C3853" s="233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</row>
    <row r="3854">
      <c r="A3854" s="122"/>
      <c r="B3854" s="119"/>
      <c r="C3854" s="233"/>
      <c r="D3854" s="21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</row>
    <row r="3855">
      <c r="A3855" s="122"/>
      <c r="B3855" s="119"/>
      <c r="C3855" s="233"/>
      <c r="D3855" s="21"/>
      <c r="E3855" s="2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</row>
    <row r="3856">
      <c r="A3856" s="122"/>
      <c r="B3856" s="119"/>
      <c r="C3856" s="233"/>
      <c r="D3856" s="21"/>
      <c r="E3856" s="2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</row>
    <row r="3857">
      <c r="A3857" s="122"/>
      <c r="B3857" s="119"/>
      <c r="C3857" s="233"/>
      <c r="D3857" s="21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</row>
    <row r="3858">
      <c r="A3858" s="122"/>
      <c r="B3858" s="119"/>
      <c r="C3858" s="233"/>
      <c r="D3858" s="21"/>
      <c r="E3858" s="2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</row>
    <row r="3859">
      <c r="A3859" s="122"/>
      <c r="B3859" s="119"/>
      <c r="C3859" s="233"/>
      <c r="D3859" s="21"/>
      <c r="E3859" s="2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</row>
    <row r="3860">
      <c r="A3860" s="122"/>
      <c r="B3860" s="119"/>
      <c r="C3860" s="233"/>
      <c r="D3860" s="21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</row>
    <row r="3861">
      <c r="A3861" s="122"/>
      <c r="B3861" s="119"/>
      <c r="C3861" s="233"/>
      <c r="D3861" s="21"/>
      <c r="E3861" s="2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</row>
    <row r="3862">
      <c r="A3862" s="122"/>
      <c r="B3862" s="119"/>
      <c r="C3862" s="233"/>
      <c r="D3862" s="21"/>
      <c r="E3862" s="2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</row>
    <row r="3863">
      <c r="A3863" s="122"/>
      <c r="B3863" s="119"/>
      <c r="C3863" s="233"/>
      <c r="D3863" s="21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</row>
    <row r="3864">
      <c r="A3864" s="122"/>
      <c r="B3864" s="119"/>
      <c r="C3864" s="233"/>
      <c r="D3864" s="21"/>
      <c r="E3864" s="2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</row>
    <row r="3865">
      <c r="A3865" s="122"/>
      <c r="B3865" s="119"/>
      <c r="C3865" s="233"/>
      <c r="D3865" s="21"/>
      <c r="E3865" s="2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</row>
    <row r="3866">
      <c r="A3866" s="122"/>
      <c r="B3866" s="119"/>
      <c r="C3866" s="233"/>
      <c r="D3866" s="21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</row>
    <row r="3867">
      <c r="A3867" s="122"/>
      <c r="B3867" s="119"/>
      <c r="C3867" s="233"/>
      <c r="D3867" s="21"/>
      <c r="E3867" s="2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</row>
    <row r="3868">
      <c r="A3868" s="122"/>
      <c r="B3868" s="119"/>
      <c r="C3868" s="233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</row>
    <row r="3869">
      <c r="A3869" s="122"/>
      <c r="B3869" s="119"/>
      <c r="C3869" s="233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</row>
    <row r="3870">
      <c r="A3870" s="122"/>
      <c r="B3870" s="119"/>
      <c r="C3870" s="233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</row>
    <row r="3871">
      <c r="A3871" s="122"/>
      <c r="B3871" s="119"/>
      <c r="C3871" s="233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</row>
    <row r="3872">
      <c r="A3872" s="122"/>
      <c r="B3872" s="119"/>
      <c r="C3872" s="233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</row>
    <row r="3873">
      <c r="A3873" s="122"/>
      <c r="B3873" s="119"/>
      <c r="C3873" s="233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</row>
    <row r="3874">
      <c r="A3874" s="122"/>
      <c r="B3874" s="119"/>
      <c r="C3874" s="233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</row>
    <row r="3875">
      <c r="A3875" s="122"/>
      <c r="B3875" s="119"/>
      <c r="C3875" s="233"/>
      <c r="D3875" s="21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</row>
    <row r="3876">
      <c r="A3876" s="122"/>
      <c r="B3876" s="119"/>
      <c r="C3876" s="233"/>
      <c r="D3876" s="21"/>
      <c r="E3876" s="2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</row>
    <row r="3877">
      <c r="A3877" s="122"/>
      <c r="B3877" s="119"/>
      <c r="C3877" s="233"/>
      <c r="D3877" s="21"/>
      <c r="E3877" s="2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</row>
    <row r="3878">
      <c r="A3878" s="122"/>
      <c r="B3878" s="119"/>
      <c r="C3878" s="233"/>
      <c r="D3878" s="21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</row>
    <row r="3879">
      <c r="A3879" s="122"/>
      <c r="B3879" s="119"/>
      <c r="C3879" s="233"/>
      <c r="D3879" s="21"/>
      <c r="E3879" s="2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</row>
    <row r="3880">
      <c r="A3880" s="122"/>
      <c r="B3880" s="119"/>
      <c r="C3880" s="233"/>
      <c r="D3880" s="21"/>
      <c r="E3880" s="2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</row>
    <row r="3881">
      <c r="A3881" s="122"/>
      <c r="B3881" s="119"/>
      <c r="C3881" s="233"/>
      <c r="D3881" s="21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</row>
    <row r="3882">
      <c r="A3882" s="122"/>
      <c r="B3882" s="119"/>
      <c r="C3882" s="233"/>
      <c r="D3882" s="21"/>
      <c r="E3882" s="2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</row>
    <row r="3883">
      <c r="A3883" s="122"/>
      <c r="B3883" s="119"/>
      <c r="C3883" s="233"/>
      <c r="D3883" s="21"/>
      <c r="E3883" s="2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</row>
    <row r="3884">
      <c r="A3884" s="122"/>
      <c r="B3884" s="119"/>
      <c r="C3884" s="233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</row>
    <row r="3885">
      <c r="A3885" s="122"/>
      <c r="B3885" s="119"/>
      <c r="C3885" s="233"/>
      <c r="D3885" s="21"/>
      <c r="E3885" s="2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</row>
    <row r="3886">
      <c r="A3886" s="122"/>
      <c r="B3886" s="119"/>
      <c r="C3886" s="233"/>
      <c r="D3886" s="21"/>
      <c r="E3886" s="2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</row>
    <row r="3887">
      <c r="A3887" s="122"/>
      <c r="B3887" s="119"/>
      <c r="C3887" s="233"/>
      <c r="D3887" s="21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</row>
    <row r="3888">
      <c r="A3888" s="122"/>
      <c r="B3888" s="119"/>
      <c r="C3888" s="233"/>
      <c r="D3888" s="21"/>
      <c r="E3888" s="2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</row>
    <row r="3889">
      <c r="A3889" s="122"/>
      <c r="B3889" s="119"/>
      <c r="C3889" s="233"/>
      <c r="D3889" s="21"/>
      <c r="E3889" s="2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</row>
    <row r="3890">
      <c r="A3890" s="122"/>
      <c r="B3890" s="119"/>
      <c r="C3890" s="233"/>
      <c r="D3890" s="21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</row>
    <row r="3891">
      <c r="A3891" s="122"/>
      <c r="B3891" s="119"/>
      <c r="C3891" s="233"/>
      <c r="D3891" s="21"/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</row>
    <row r="3892">
      <c r="A3892" s="122"/>
      <c r="B3892" s="119"/>
      <c r="C3892" s="233"/>
      <c r="D3892" s="21"/>
      <c r="E3892" s="2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</row>
    <row r="3893">
      <c r="A3893" s="122"/>
      <c r="B3893" s="119"/>
      <c r="C3893" s="233"/>
      <c r="D3893" s="21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</row>
    <row r="3894">
      <c r="A3894" s="122"/>
      <c r="B3894" s="119"/>
      <c r="C3894" s="233"/>
      <c r="D3894" s="21"/>
      <c r="E3894" s="2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</row>
    <row r="3895">
      <c r="A3895" s="122"/>
      <c r="B3895" s="119"/>
      <c r="C3895" s="233"/>
      <c r="D3895" s="21"/>
      <c r="E3895" s="2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</row>
    <row r="3896">
      <c r="A3896" s="122"/>
      <c r="B3896" s="119"/>
      <c r="C3896" s="233"/>
      <c r="D3896" s="21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</row>
    <row r="3897">
      <c r="A3897" s="122"/>
      <c r="B3897" s="119"/>
      <c r="C3897" s="233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</row>
    <row r="3898">
      <c r="A3898" s="122"/>
      <c r="B3898" s="119"/>
      <c r="C3898" s="233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</row>
    <row r="3899">
      <c r="A3899" s="122"/>
      <c r="B3899" s="119"/>
      <c r="C3899" s="233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</row>
    <row r="3900">
      <c r="A3900" s="122"/>
      <c r="B3900" s="119"/>
      <c r="C3900" s="233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</row>
    <row r="3901">
      <c r="A3901" s="122"/>
      <c r="B3901" s="119"/>
      <c r="C3901" s="233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</row>
    <row r="3902">
      <c r="A3902" s="122"/>
      <c r="B3902" s="119"/>
      <c r="C3902" s="233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</row>
    <row r="3903">
      <c r="A3903" s="122"/>
      <c r="B3903" s="119"/>
      <c r="C3903" s="233"/>
      <c r="D3903" s="21"/>
      <c r="E3903" s="2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</row>
    <row r="3904">
      <c r="A3904" s="122"/>
      <c r="B3904" s="119"/>
      <c r="C3904" s="233"/>
      <c r="D3904" s="21"/>
      <c r="E3904" s="2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</row>
    <row r="3905">
      <c r="A3905" s="122"/>
      <c r="B3905" s="119"/>
      <c r="C3905" s="233"/>
      <c r="D3905" s="21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</row>
    <row r="3906">
      <c r="A3906" s="122"/>
      <c r="B3906" s="119"/>
      <c r="C3906" s="233"/>
      <c r="D3906" s="21"/>
      <c r="E3906" s="2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</row>
    <row r="3907">
      <c r="A3907" s="122"/>
      <c r="B3907" s="119"/>
      <c r="C3907" s="233"/>
      <c r="D3907" s="21"/>
      <c r="E3907" s="2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</row>
    <row r="3908">
      <c r="A3908" s="122"/>
      <c r="B3908" s="119"/>
      <c r="C3908" s="233"/>
      <c r="D3908" s="21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</row>
    <row r="3909">
      <c r="A3909" s="122"/>
      <c r="B3909" s="119"/>
      <c r="C3909" s="233"/>
      <c r="D3909" s="21"/>
      <c r="E3909" s="2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</row>
    <row r="3910">
      <c r="A3910" s="122"/>
      <c r="B3910" s="119"/>
      <c r="C3910" s="233"/>
      <c r="D3910" s="21"/>
      <c r="E3910" s="2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</row>
    <row r="3911">
      <c r="A3911" s="122"/>
      <c r="B3911" s="119"/>
      <c r="C3911" s="233"/>
      <c r="D3911" s="21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</row>
    <row r="3912">
      <c r="A3912" s="122"/>
      <c r="B3912" s="119"/>
      <c r="C3912" s="233"/>
      <c r="D3912" s="21"/>
      <c r="E3912" s="2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</row>
    <row r="3913">
      <c r="A3913" s="122"/>
      <c r="B3913" s="119"/>
      <c r="C3913" s="233"/>
      <c r="D3913" s="21"/>
      <c r="E3913" s="2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</row>
    <row r="3914">
      <c r="A3914" s="122"/>
      <c r="B3914" s="119"/>
      <c r="C3914" s="233"/>
      <c r="D3914" s="21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</row>
    <row r="3915">
      <c r="A3915" s="122"/>
      <c r="B3915" s="119"/>
      <c r="C3915" s="233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</row>
    <row r="3916">
      <c r="A3916" s="122"/>
      <c r="B3916" s="119"/>
      <c r="C3916" s="233"/>
      <c r="D3916" s="21"/>
      <c r="E3916" s="2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</row>
    <row r="3917">
      <c r="A3917" s="122"/>
      <c r="B3917" s="119"/>
      <c r="C3917" s="233"/>
      <c r="D3917" s="21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</row>
    <row r="3918">
      <c r="A3918" s="122"/>
      <c r="B3918" s="119"/>
      <c r="C3918" s="233"/>
      <c r="D3918" s="21"/>
      <c r="E3918" s="2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</row>
    <row r="3919">
      <c r="A3919" s="122"/>
      <c r="B3919" s="119"/>
      <c r="C3919" s="233"/>
      <c r="D3919" s="21"/>
      <c r="E3919" s="2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</row>
    <row r="3920">
      <c r="A3920" s="122"/>
      <c r="B3920" s="119"/>
      <c r="C3920" s="233"/>
      <c r="D3920" s="21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</row>
    <row r="3921">
      <c r="A3921" s="122"/>
      <c r="B3921" s="119"/>
      <c r="C3921" s="233"/>
      <c r="D3921" s="21"/>
      <c r="E3921" s="2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</row>
    <row r="3922">
      <c r="A3922" s="122"/>
      <c r="B3922" s="119"/>
      <c r="C3922" s="233"/>
      <c r="D3922" s="21"/>
      <c r="E3922" s="2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</row>
    <row r="3923">
      <c r="A3923" s="122"/>
      <c r="B3923" s="119"/>
      <c r="C3923" s="233"/>
      <c r="D3923" s="21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</row>
    <row r="3924">
      <c r="A3924" s="122"/>
      <c r="B3924" s="119"/>
      <c r="C3924" s="233"/>
      <c r="D3924" s="21"/>
      <c r="E3924" s="2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</row>
    <row r="3925">
      <c r="A3925" s="122"/>
      <c r="B3925" s="119"/>
      <c r="C3925" s="233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</row>
    <row r="3926">
      <c r="A3926" s="122"/>
      <c r="B3926" s="119"/>
      <c r="C3926" s="233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</row>
    <row r="3927">
      <c r="A3927" s="122"/>
      <c r="B3927" s="119"/>
      <c r="C3927" s="233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</row>
    <row r="3928">
      <c r="A3928" s="122"/>
      <c r="B3928" s="119"/>
      <c r="C3928" s="233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</row>
    <row r="3929">
      <c r="A3929" s="122"/>
      <c r="B3929" s="119"/>
      <c r="C3929" s="233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</row>
    <row r="3930">
      <c r="A3930" s="122"/>
      <c r="B3930" s="119"/>
      <c r="C3930" s="233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</row>
    <row r="3931">
      <c r="A3931" s="122"/>
      <c r="B3931" s="119"/>
      <c r="C3931" s="233"/>
      <c r="D3931" s="21"/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</row>
    <row r="3932">
      <c r="A3932" s="122"/>
      <c r="B3932" s="119"/>
      <c r="C3932" s="233"/>
      <c r="D3932" s="21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</row>
    <row r="3933">
      <c r="A3933" s="122"/>
      <c r="B3933" s="119"/>
      <c r="C3933" s="233"/>
      <c r="D3933" s="21"/>
      <c r="E3933" s="2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</row>
    <row r="3934">
      <c r="A3934" s="122"/>
      <c r="B3934" s="119"/>
      <c r="C3934" s="233"/>
      <c r="D3934" s="21"/>
      <c r="E3934" s="2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</row>
    <row r="3935">
      <c r="A3935" s="122"/>
      <c r="B3935" s="119"/>
      <c r="C3935" s="233"/>
      <c r="D3935" s="21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</row>
    <row r="3936">
      <c r="A3936" s="122"/>
      <c r="B3936" s="119"/>
      <c r="C3936" s="233"/>
      <c r="D3936" s="21"/>
      <c r="E3936" s="2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</row>
    <row r="3937">
      <c r="A3937" s="122"/>
      <c r="B3937" s="119"/>
      <c r="C3937" s="233"/>
      <c r="D3937" s="21"/>
      <c r="E3937" s="2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</row>
    <row r="3938">
      <c r="A3938" s="122"/>
      <c r="B3938" s="119"/>
      <c r="C3938" s="233"/>
      <c r="D3938" s="21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</row>
    <row r="3939">
      <c r="A3939" s="122"/>
      <c r="B3939" s="119"/>
      <c r="C3939" s="233"/>
      <c r="D3939" s="21"/>
      <c r="E3939" s="2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</row>
    <row r="3940">
      <c r="A3940" s="122"/>
      <c r="B3940" s="119"/>
      <c r="C3940" s="233"/>
      <c r="D3940" s="21"/>
      <c r="E3940" s="2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</row>
    <row r="3941">
      <c r="A3941" s="122"/>
      <c r="B3941" s="119"/>
      <c r="C3941" s="233"/>
      <c r="D3941" s="21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</row>
    <row r="3942">
      <c r="A3942" s="122"/>
      <c r="B3942" s="119"/>
      <c r="C3942" s="233"/>
      <c r="D3942" s="21"/>
      <c r="E3942" s="2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</row>
    <row r="3943">
      <c r="A3943" s="122"/>
      <c r="B3943" s="119"/>
      <c r="C3943" s="233"/>
      <c r="D3943" s="21"/>
      <c r="E3943" s="2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</row>
    <row r="3944">
      <c r="A3944" s="122"/>
      <c r="B3944" s="119"/>
      <c r="C3944" s="233"/>
      <c r="D3944" s="21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</row>
    <row r="3945">
      <c r="A3945" s="122"/>
      <c r="B3945" s="119"/>
      <c r="C3945" s="233"/>
      <c r="D3945" s="21"/>
      <c r="E3945" s="2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</row>
    <row r="3946">
      <c r="A3946" s="122"/>
      <c r="B3946" s="119"/>
      <c r="C3946" s="233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</row>
    <row r="3947">
      <c r="A3947" s="122"/>
      <c r="B3947" s="119"/>
      <c r="C3947" s="233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</row>
    <row r="3948">
      <c r="A3948" s="122"/>
      <c r="B3948" s="119"/>
      <c r="C3948" s="233"/>
      <c r="D3948" s="21"/>
      <c r="E3948" s="2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</row>
    <row r="3949">
      <c r="A3949" s="122"/>
      <c r="B3949" s="119"/>
      <c r="C3949" s="233"/>
      <c r="D3949" s="21"/>
      <c r="E3949" s="2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</row>
    <row r="3950">
      <c r="A3950" s="122"/>
      <c r="B3950" s="119"/>
      <c r="C3950" s="233"/>
      <c r="D3950" s="21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</row>
    <row r="3951">
      <c r="A3951" s="122"/>
      <c r="B3951" s="119"/>
      <c r="C3951" s="233"/>
      <c r="D3951" s="21"/>
      <c r="E3951" s="2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</row>
    <row r="3952">
      <c r="A3952" s="122"/>
      <c r="B3952" s="119"/>
      <c r="C3952" s="233"/>
      <c r="D3952" s="21"/>
      <c r="E3952" s="2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</row>
    <row r="3953">
      <c r="A3953" s="122"/>
      <c r="B3953" s="119"/>
      <c r="C3953" s="233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</row>
    <row r="3954">
      <c r="A3954" s="122"/>
      <c r="B3954" s="119"/>
      <c r="C3954" s="233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</row>
    <row r="3955">
      <c r="A3955" s="122"/>
      <c r="B3955" s="119"/>
      <c r="C3955" s="233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</row>
    <row r="3956">
      <c r="A3956" s="122"/>
      <c r="B3956" s="119"/>
      <c r="C3956" s="233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</row>
    <row r="3957">
      <c r="A3957" s="122"/>
      <c r="B3957" s="119"/>
      <c r="C3957" s="233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</row>
    <row r="3958">
      <c r="A3958" s="122"/>
      <c r="B3958" s="119"/>
      <c r="C3958" s="233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</row>
    <row r="3959">
      <c r="A3959" s="122"/>
      <c r="B3959" s="119"/>
      <c r="C3959" s="233"/>
      <c r="D3959" s="21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</row>
    <row r="3960">
      <c r="A3960" s="122"/>
      <c r="B3960" s="119"/>
      <c r="C3960" s="233"/>
      <c r="D3960" s="21"/>
      <c r="E3960" s="2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</row>
    <row r="3961">
      <c r="A3961" s="122"/>
      <c r="B3961" s="119"/>
      <c r="C3961" s="233"/>
      <c r="D3961" s="21"/>
      <c r="E3961" s="2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</row>
    <row r="3962">
      <c r="A3962" s="122"/>
      <c r="B3962" s="119"/>
      <c r="C3962" s="233"/>
      <c r="D3962" s="21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</row>
    <row r="3963">
      <c r="A3963" s="122"/>
      <c r="B3963" s="119"/>
      <c r="C3963" s="233"/>
      <c r="D3963" s="21"/>
      <c r="E3963" s="2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</row>
    <row r="3964">
      <c r="A3964" s="122"/>
      <c r="B3964" s="119"/>
      <c r="C3964" s="233"/>
      <c r="D3964" s="21"/>
      <c r="E3964" s="2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</row>
    <row r="3965">
      <c r="A3965" s="122"/>
      <c r="B3965" s="119"/>
      <c r="C3965" s="233"/>
      <c r="D3965" s="21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</row>
    <row r="3966">
      <c r="A3966" s="122"/>
      <c r="B3966" s="119"/>
      <c r="C3966" s="233"/>
      <c r="D3966" s="21"/>
      <c r="E3966" s="2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</row>
    <row r="3967">
      <c r="A3967" s="122"/>
      <c r="B3967" s="119"/>
      <c r="C3967" s="233"/>
      <c r="D3967" s="21"/>
      <c r="E3967" s="2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</row>
    <row r="3968">
      <c r="A3968" s="122"/>
      <c r="B3968" s="119"/>
      <c r="C3968" s="233"/>
      <c r="D3968" s="21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</row>
    <row r="3969">
      <c r="A3969" s="122"/>
      <c r="B3969" s="119"/>
      <c r="C3969" s="233"/>
      <c r="D3969" s="21"/>
      <c r="E3969" s="2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</row>
    <row r="3970">
      <c r="A3970" s="122"/>
      <c r="B3970" s="119"/>
      <c r="C3970" s="233"/>
      <c r="D3970" s="21"/>
      <c r="E3970" s="2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</row>
    <row r="3971">
      <c r="A3971" s="122"/>
      <c r="B3971" s="119"/>
      <c r="C3971" s="233"/>
      <c r="D3971" s="21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</row>
    <row r="3972">
      <c r="A3972" s="122"/>
      <c r="B3972" s="119"/>
      <c r="C3972" s="233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</row>
    <row r="3973">
      <c r="A3973" s="122"/>
      <c r="B3973" s="119"/>
      <c r="C3973" s="233"/>
      <c r="D3973" s="21"/>
      <c r="E3973" s="2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</row>
    <row r="3974">
      <c r="A3974" s="122"/>
      <c r="B3974" s="119"/>
      <c r="C3974" s="233"/>
      <c r="D3974" s="21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</row>
    <row r="3975">
      <c r="A3975" s="122"/>
      <c r="B3975" s="119"/>
      <c r="C3975" s="233"/>
      <c r="D3975" s="21"/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</row>
    <row r="3976">
      <c r="A3976" s="122"/>
      <c r="B3976" s="119"/>
      <c r="C3976" s="233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</row>
    <row r="3977">
      <c r="A3977" s="122"/>
      <c r="B3977" s="119"/>
      <c r="C3977" s="233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</row>
    <row r="3978">
      <c r="A3978" s="122"/>
      <c r="B3978" s="119"/>
      <c r="C3978" s="233"/>
      <c r="D3978" s="21"/>
      <c r="E3978" s="2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</row>
    <row r="3979">
      <c r="A3979" s="122"/>
      <c r="B3979" s="119"/>
      <c r="C3979" s="233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</row>
    <row r="3980">
      <c r="A3980" s="122"/>
      <c r="B3980" s="119"/>
      <c r="C3980" s="233"/>
      <c r="D3980" s="21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</row>
    <row r="3981">
      <c r="A3981" s="122"/>
      <c r="B3981" s="119"/>
      <c r="C3981" s="233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</row>
    <row r="3982">
      <c r="A3982" s="122"/>
      <c r="B3982" s="119"/>
      <c r="C3982" s="233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</row>
    <row r="3983">
      <c r="A3983" s="122"/>
      <c r="B3983" s="119"/>
      <c r="C3983" s="233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</row>
    <row r="3984">
      <c r="A3984" s="122"/>
      <c r="B3984" s="119"/>
      <c r="C3984" s="233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</row>
    <row r="3985">
      <c r="A3985" s="122"/>
      <c r="B3985" s="119"/>
      <c r="C3985" s="233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</row>
    <row r="3986">
      <c r="A3986" s="122"/>
      <c r="B3986" s="119"/>
      <c r="C3986" s="233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</row>
    <row r="3987">
      <c r="A3987" s="122"/>
      <c r="B3987" s="119"/>
      <c r="C3987" s="233"/>
      <c r="D3987" s="21"/>
      <c r="E3987" s="2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</row>
    <row r="3988">
      <c r="A3988" s="122"/>
      <c r="B3988" s="119"/>
      <c r="C3988" s="233"/>
      <c r="D3988" s="21"/>
      <c r="E3988" s="2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</row>
    <row r="3989">
      <c r="A3989" s="122"/>
      <c r="B3989" s="119"/>
      <c r="C3989" s="233"/>
      <c r="D3989" s="21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</row>
    <row r="3990">
      <c r="A3990" s="122"/>
      <c r="B3990" s="119"/>
      <c r="C3990" s="233"/>
      <c r="D3990" s="21"/>
      <c r="E3990" s="2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</row>
    <row r="3991">
      <c r="A3991" s="122"/>
      <c r="B3991" s="119"/>
      <c r="C3991" s="233"/>
      <c r="D3991" s="21"/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</row>
    <row r="3992">
      <c r="A3992" s="122"/>
      <c r="B3992" s="119"/>
      <c r="C3992" s="233"/>
      <c r="D3992" s="21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</row>
    <row r="3993">
      <c r="A3993" s="122"/>
      <c r="B3993" s="119"/>
      <c r="C3993" s="233"/>
      <c r="D3993" s="21"/>
      <c r="E3993" s="2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</row>
    <row r="3994">
      <c r="A3994" s="122"/>
      <c r="B3994" s="119"/>
      <c r="C3994" s="233"/>
      <c r="D3994" s="21"/>
      <c r="E3994" s="2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</row>
    <row r="3995">
      <c r="A3995" s="122"/>
      <c r="B3995" s="119"/>
      <c r="C3995" s="233"/>
      <c r="D3995" s="21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</row>
    <row r="3996">
      <c r="A3996" s="122"/>
      <c r="B3996" s="119"/>
      <c r="C3996" s="233"/>
      <c r="D3996" s="21"/>
      <c r="E3996" s="2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</row>
    <row r="3997">
      <c r="A3997" s="122"/>
      <c r="B3997" s="119"/>
      <c r="C3997" s="233"/>
      <c r="D3997" s="21"/>
      <c r="E3997" s="2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</row>
    <row r="3998">
      <c r="A3998" s="122"/>
      <c r="B3998" s="119"/>
      <c r="C3998" s="233"/>
      <c r="D3998" s="21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</row>
    <row r="3999">
      <c r="A3999" s="122"/>
      <c r="B3999" s="119"/>
      <c r="C3999" s="233"/>
      <c r="D3999" s="21"/>
      <c r="E3999" s="2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</row>
    <row r="4000">
      <c r="A4000" s="122"/>
      <c r="B4000" s="119"/>
      <c r="C4000" s="233"/>
      <c r="D4000" s="21"/>
      <c r="E4000" s="2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</row>
    <row r="4001">
      <c r="A4001" s="122"/>
      <c r="B4001" s="119"/>
      <c r="C4001" s="233"/>
      <c r="D4001" s="21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</row>
    <row r="4002">
      <c r="A4002" s="122"/>
      <c r="B4002" s="119"/>
      <c r="C4002" s="233"/>
      <c r="D4002" s="21"/>
      <c r="E4002" s="2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</row>
    <row r="4003">
      <c r="A4003" s="122"/>
      <c r="B4003" s="119"/>
      <c r="C4003" s="233"/>
      <c r="D4003" s="21"/>
      <c r="E4003" s="2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</row>
    <row r="4004">
      <c r="A4004" s="122"/>
      <c r="B4004" s="119"/>
      <c r="C4004" s="233"/>
      <c r="D4004" s="21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</row>
    <row r="4005">
      <c r="A4005" s="122"/>
      <c r="B4005" s="119"/>
      <c r="C4005" s="233"/>
      <c r="D4005" s="21"/>
      <c r="E4005" s="2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</row>
    <row r="4006">
      <c r="A4006" s="122"/>
      <c r="B4006" s="119"/>
      <c r="C4006" s="233"/>
      <c r="D4006" s="21"/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</row>
    <row r="4007">
      <c r="A4007" s="122"/>
      <c r="B4007" s="119"/>
      <c r="C4007" s="233"/>
      <c r="D4007" s="21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</row>
    <row r="4008">
      <c r="A4008" s="122"/>
      <c r="B4008" s="119"/>
      <c r="C4008" s="233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</row>
    <row r="4009">
      <c r="A4009" s="122"/>
      <c r="B4009" s="119"/>
      <c r="C4009" s="233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</row>
    <row r="4010">
      <c r="A4010" s="122"/>
      <c r="B4010" s="119"/>
      <c r="C4010" s="233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</row>
    <row r="4011">
      <c r="A4011" s="122"/>
      <c r="B4011" s="119"/>
      <c r="C4011" s="233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</row>
    <row r="4012">
      <c r="A4012" s="122"/>
      <c r="B4012" s="119"/>
      <c r="C4012" s="233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</row>
    <row r="4013">
      <c r="A4013" s="122"/>
      <c r="B4013" s="119"/>
      <c r="C4013" s="233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</row>
    <row r="4014">
      <c r="A4014" s="122"/>
      <c r="B4014" s="119"/>
      <c r="C4014" s="233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</row>
    <row r="4015">
      <c r="A4015" s="122"/>
      <c r="B4015" s="119"/>
      <c r="C4015" s="233"/>
      <c r="D4015" s="21"/>
      <c r="E4015" s="2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</row>
    <row r="4016">
      <c r="A4016" s="122"/>
      <c r="B4016" s="119"/>
      <c r="C4016" s="233"/>
      <c r="D4016" s="21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</row>
    <row r="4017">
      <c r="A4017" s="122"/>
      <c r="B4017" s="119"/>
      <c r="C4017" s="233"/>
      <c r="D4017" s="21"/>
      <c r="E4017" s="2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</row>
    <row r="4018">
      <c r="A4018" s="122"/>
      <c r="B4018" s="119"/>
      <c r="C4018" s="233"/>
      <c r="D4018" s="21"/>
      <c r="E4018" s="2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</row>
    <row r="4019">
      <c r="A4019" s="122"/>
      <c r="B4019" s="119"/>
      <c r="C4019" s="233"/>
      <c r="D4019" s="21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</row>
    <row r="4020">
      <c r="A4020" s="122"/>
      <c r="B4020" s="119"/>
      <c r="C4020" s="233"/>
      <c r="D4020" s="21"/>
      <c r="E4020" s="2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</row>
    <row r="4021">
      <c r="A4021" s="122"/>
      <c r="B4021" s="119"/>
      <c r="C4021" s="233"/>
      <c r="D4021" s="21"/>
      <c r="E4021" s="21"/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</row>
    <row r="4022">
      <c r="A4022" s="122"/>
      <c r="B4022" s="119"/>
      <c r="C4022" s="233"/>
      <c r="D4022" s="21"/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</row>
    <row r="4023">
      <c r="A4023" s="122"/>
      <c r="B4023" s="119"/>
      <c r="C4023" s="233"/>
      <c r="D4023" s="21"/>
      <c r="E4023" s="21"/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</row>
    <row r="4024">
      <c r="A4024" s="122"/>
      <c r="B4024" s="119"/>
      <c r="C4024" s="233"/>
      <c r="D4024" s="21"/>
      <c r="E4024" s="21"/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</row>
    <row r="4025">
      <c r="A4025" s="122"/>
      <c r="B4025" s="119"/>
      <c r="C4025" s="233"/>
      <c r="D4025" s="21"/>
      <c r="E4025" s="21"/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</row>
    <row r="4026">
      <c r="A4026" s="122"/>
      <c r="B4026" s="119"/>
      <c r="C4026" s="233"/>
      <c r="D4026" s="21"/>
      <c r="E4026" s="2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</row>
    <row r="4027">
      <c r="A4027" s="122"/>
      <c r="B4027" s="119"/>
      <c r="C4027" s="233"/>
      <c r="D4027" s="21"/>
      <c r="E4027" s="21"/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</row>
    <row r="4028">
      <c r="A4028" s="122"/>
      <c r="B4028" s="119"/>
      <c r="C4028" s="233"/>
      <c r="D4028" s="21"/>
      <c r="E4028" s="21"/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</row>
    <row r="4029">
      <c r="A4029" s="122"/>
      <c r="B4029" s="119"/>
      <c r="C4029" s="233"/>
      <c r="D4029" s="21"/>
      <c r="E4029" s="21"/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</row>
    <row r="4030">
      <c r="A4030" s="122"/>
      <c r="B4030" s="119"/>
      <c r="C4030" s="233"/>
      <c r="D4030" s="21"/>
      <c r="E4030" s="21"/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</row>
    <row r="4031">
      <c r="A4031" s="122"/>
      <c r="B4031" s="119"/>
      <c r="C4031" s="233"/>
      <c r="D4031" s="21"/>
      <c r="E4031" s="21"/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</row>
    <row r="4032">
      <c r="A4032" s="122"/>
      <c r="B4032" s="119"/>
      <c r="C4032" s="233"/>
      <c r="D4032" s="21"/>
      <c r="E4032" s="21"/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</row>
    <row r="4033">
      <c r="A4033" s="122"/>
      <c r="B4033" s="119"/>
      <c r="C4033" s="233"/>
      <c r="D4033" s="21"/>
      <c r="E4033" s="21"/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</row>
    <row r="4034">
      <c r="A4034" s="122"/>
      <c r="B4034" s="119"/>
      <c r="C4034" s="233"/>
      <c r="D4034" s="21"/>
      <c r="E4034" s="21"/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</row>
    <row r="4035">
      <c r="A4035" s="122"/>
      <c r="B4035" s="119"/>
      <c r="C4035" s="233"/>
      <c r="D4035" s="21"/>
      <c r="E4035" s="21"/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</row>
    <row r="4036">
      <c r="A4036" s="122"/>
      <c r="B4036" s="119"/>
      <c r="C4036" s="233"/>
      <c r="D4036" s="21"/>
      <c r="E4036" s="21"/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</row>
    <row r="4037">
      <c r="A4037" s="122"/>
      <c r="B4037" s="119"/>
      <c r="C4037" s="233"/>
      <c r="D4037" s="21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</row>
    <row r="4038">
      <c r="A4038" s="122"/>
      <c r="B4038" s="119"/>
      <c r="C4038" s="233"/>
      <c r="D4038" s="21"/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</row>
    <row r="4039">
      <c r="A4039" s="122"/>
      <c r="B4039" s="119"/>
      <c r="C4039" s="233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</row>
    <row r="4040">
      <c r="A4040" s="122"/>
      <c r="B4040" s="119"/>
      <c r="C4040" s="233"/>
      <c r="D4040" s="21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</row>
    <row r="4041">
      <c r="A4041" s="122"/>
      <c r="B4041" s="119"/>
      <c r="C4041" s="233"/>
      <c r="D4041" s="21"/>
      <c r="E4041" s="2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</row>
    <row r="4042">
      <c r="A4042" s="122"/>
      <c r="B4042" s="119"/>
      <c r="C4042" s="233"/>
      <c r="D4042" s="21"/>
      <c r="E4042" s="2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</row>
    <row r="4043">
      <c r="A4043" s="122"/>
      <c r="B4043" s="119"/>
      <c r="C4043" s="233"/>
      <c r="D4043" s="21"/>
      <c r="E4043" s="21"/>
      <c r="F4043" s="21"/>
      <c r="G4043" s="21"/>
      <c r="H4043" s="21"/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</row>
    <row r="4044">
      <c r="A4044" s="122"/>
      <c r="B4044" s="119"/>
      <c r="C4044" s="233"/>
      <c r="D4044" s="21"/>
      <c r="E4044" s="21"/>
      <c r="F4044" s="21"/>
      <c r="G4044" s="21"/>
      <c r="H4044" s="21"/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</row>
    <row r="4045">
      <c r="A4045" s="122"/>
      <c r="B4045" s="119"/>
      <c r="C4045" s="233"/>
      <c r="D4045" s="21"/>
      <c r="E4045" s="2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</row>
    <row r="4046">
      <c r="A4046" s="122"/>
      <c r="B4046" s="119"/>
      <c r="C4046" s="233"/>
      <c r="D4046" s="21"/>
      <c r="E4046" s="21"/>
      <c r="F4046" s="21"/>
      <c r="G4046" s="21"/>
      <c r="H4046" s="21"/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</row>
    <row r="4047">
      <c r="A4047" s="122"/>
      <c r="B4047" s="119"/>
      <c r="C4047" s="233"/>
      <c r="D4047" s="21"/>
      <c r="E4047" s="21"/>
      <c r="F4047" s="21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</row>
    <row r="4048">
      <c r="A4048" s="122"/>
      <c r="B4048" s="119"/>
      <c r="C4048" s="233"/>
      <c r="D4048" s="21"/>
      <c r="E4048" s="21"/>
      <c r="F4048" s="21"/>
      <c r="G4048" s="21"/>
      <c r="H4048" s="21"/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</row>
    <row r="4049">
      <c r="A4049" s="122"/>
      <c r="B4049" s="119"/>
      <c r="C4049" s="233"/>
      <c r="D4049" s="21"/>
      <c r="E4049" s="21"/>
      <c r="F4049" s="21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</row>
    <row r="4050">
      <c r="A4050" s="122"/>
      <c r="B4050" s="119"/>
      <c r="C4050" s="233"/>
      <c r="D4050" s="21"/>
      <c r="E4050" s="21"/>
      <c r="F4050" s="21"/>
      <c r="G4050" s="21"/>
      <c r="H4050" s="21"/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</row>
    <row r="4051">
      <c r="A4051" s="122"/>
      <c r="B4051" s="119"/>
      <c r="C4051" s="233"/>
      <c r="D4051" s="21"/>
      <c r="E4051" s="21"/>
      <c r="F4051" s="21"/>
      <c r="G4051" s="21"/>
      <c r="H4051" s="21"/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</row>
    <row r="4052">
      <c r="A4052" s="122"/>
      <c r="B4052" s="119"/>
      <c r="C4052" s="233"/>
      <c r="D4052" s="21"/>
      <c r="E4052" s="21"/>
      <c r="F4052" s="21"/>
      <c r="G4052" s="21"/>
      <c r="H4052" s="21"/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</row>
    <row r="4053">
      <c r="A4053" s="122"/>
      <c r="B4053" s="119"/>
      <c r="C4053" s="233"/>
      <c r="D4053" s="21"/>
      <c r="E4053" s="21"/>
      <c r="F4053" s="21"/>
      <c r="G4053" s="21"/>
      <c r="H4053" s="21"/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</row>
    <row r="4054">
      <c r="A4054" s="122"/>
      <c r="B4054" s="119"/>
      <c r="C4054" s="233"/>
      <c r="D4054" s="21"/>
      <c r="E4054" s="2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</row>
    <row r="4055">
      <c r="A4055" s="122"/>
      <c r="B4055" s="119"/>
      <c r="C4055" s="233"/>
      <c r="D4055" s="21"/>
      <c r="E4055" s="2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</row>
    <row r="4056">
      <c r="A4056" s="122"/>
      <c r="B4056" s="119"/>
      <c r="C4056" s="233"/>
      <c r="D4056" s="21"/>
      <c r="E4056" s="2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</row>
    <row r="4057">
      <c r="A4057" s="122"/>
      <c r="B4057" s="119"/>
      <c r="C4057" s="233"/>
      <c r="D4057" s="21"/>
      <c r="E4057" s="2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</row>
    <row r="4058">
      <c r="A4058" s="122"/>
      <c r="B4058" s="119"/>
      <c r="C4058" s="233"/>
      <c r="D4058" s="21"/>
      <c r="E4058" s="2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</row>
    <row r="4059">
      <c r="A4059" s="122"/>
      <c r="B4059" s="119"/>
      <c r="C4059" s="233"/>
      <c r="D4059" s="21"/>
      <c r="E4059" s="21"/>
      <c r="F4059" s="21"/>
      <c r="G4059" s="21"/>
      <c r="H4059" s="21"/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</row>
    <row r="4060">
      <c r="A4060" s="122"/>
      <c r="B4060" s="119"/>
      <c r="C4060" s="233"/>
      <c r="D4060" s="21"/>
      <c r="E4060" s="21"/>
      <c r="F4060" s="21"/>
      <c r="G4060" s="21"/>
      <c r="H4060" s="21"/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</row>
    <row r="4061">
      <c r="A4061" s="122"/>
      <c r="B4061" s="119"/>
      <c r="C4061" s="233"/>
      <c r="D4061" s="21"/>
      <c r="E4061" s="21"/>
      <c r="F4061" s="21"/>
      <c r="G4061" s="21"/>
      <c r="H4061" s="21"/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</row>
    <row r="4062">
      <c r="A4062" s="122"/>
      <c r="B4062" s="119"/>
      <c r="C4062" s="233"/>
      <c r="D4062" s="21"/>
      <c r="E4062" s="21"/>
      <c r="F4062" s="21"/>
      <c r="G4062" s="21"/>
      <c r="H4062" s="21"/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</row>
    <row r="4063">
      <c r="A4063" s="122"/>
      <c r="B4063" s="119"/>
      <c r="C4063" s="233"/>
      <c r="D4063" s="21"/>
      <c r="E4063" s="21"/>
      <c r="F4063" s="21"/>
      <c r="G4063" s="21"/>
      <c r="H4063" s="21"/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</row>
    <row r="4064">
      <c r="A4064" s="122"/>
      <c r="B4064" s="119"/>
      <c r="C4064" s="233"/>
      <c r="D4064" s="21"/>
      <c r="E4064" s="21"/>
      <c r="F4064" s="21"/>
      <c r="G4064" s="21"/>
      <c r="H4064" s="21"/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</row>
    <row r="4065">
      <c r="A4065" s="122"/>
      <c r="B4065" s="119"/>
      <c r="C4065" s="233"/>
      <c r="D4065" s="21"/>
      <c r="E4065" s="21"/>
      <c r="F4065" s="21"/>
      <c r="G4065" s="21"/>
      <c r="H4065" s="21"/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</row>
    <row r="4066">
      <c r="A4066" s="122"/>
      <c r="B4066" s="119"/>
      <c r="C4066" s="233"/>
      <c r="D4066" s="21"/>
      <c r="E4066" s="21"/>
      <c r="F4066" s="21"/>
      <c r="G4066" s="21"/>
      <c r="H4066" s="21"/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</row>
    <row r="4067">
      <c r="A4067" s="122"/>
      <c r="B4067" s="119"/>
      <c r="C4067" s="233"/>
      <c r="D4067" s="21"/>
      <c r="E4067" s="21"/>
      <c r="F4067" s="21"/>
      <c r="G4067" s="21"/>
      <c r="H4067" s="21"/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</row>
    <row r="4068">
      <c r="A4068" s="122"/>
      <c r="B4068" s="119"/>
      <c r="C4068" s="233"/>
      <c r="D4068" s="21"/>
      <c r="E4068" s="21"/>
      <c r="F4068" s="21"/>
      <c r="G4068" s="21"/>
      <c r="H4068" s="21"/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</row>
    <row r="4069">
      <c r="A4069" s="122"/>
      <c r="B4069" s="119"/>
      <c r="C4069" s="233"/>
      <c r="D4069" s="21"/>
      <c r="E4069" s="21"/>
      <c r="F4069" s="21"/>
      <c r="G4069" s="21"/>
      <c r="H4069" s="21"/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</row>
    <row r="4070">
      <c r="A4070" s="122"/>
      <c r="B4070" s="119"/>
      <c r="C4070" s="233"/>
      <c r="D4070" s="21"/>
      <c r="E4070" s="2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</row>
    <row r="4071">
      <c r="A4071" s="122"/>
      <c r="B4071" s="119"/>
      <c r="C4071" s="233"/>
      <c r="D4071" s="21"/>
      <c r="E4071" s="21"/>
      <c r="F4071" s="21"/>
      <c r="G4071" s="21"/>
      <c r="H4071" s="21"/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</row>
    <row r="4072">
      <c r="A4072" s="122"/>
      <c r="B4072" s="119"/>
      <c r="C4072" s="233"/>
      <c r="D4072" s="21"/>
      <c r="E4072" s="2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</row>
    <row r="4073">
      <c r="A4073" s="122"/>
      <c r="B4073" s="119"/>
      <c r="C4073" s="233"/>
      <c r="D4073" s="21"/>
      <c r="E4073" s="21"/>
      <c r="F4073" s="21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</row>
    <row r="4074">
      <c r="A4074" s="122"/>
      <c r="B4074" s="119"/>
      <c r="C4074" s="233"/>
      <c r="D4074" s="21"/>
      <c r="E4074" s="21"/>
      <c r="F4074" s="21"/>
      <c r="G4074" s="21"/>
      <c r="H4074" s="21"/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</row>
    <row r="4075">
      <c r="A4075" s="122"/>
      <c r="B4075" s="119"/>
      <c r="C4075" s="233"/>
      <c r="D4075" s="21"/>
      <c r="E4075" s="21"/>
      <c r="F4075" s="21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</row>
    <row r="4076">
      <c r="A4076" s="122"/>
      <c r="B4076" s="119"/>
      <c r="C4076" s="233"/>
      <c r="D4076" s="21"/>
      <c r="E4076" s="21"/>
      <c r="F4076" s="21"/>
      <c r="G4076" s="21"/>
      <c r="H4076" s="21"/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</row>
    <row r="4077">
      <c r="A4077" s="122"/>
      <c r="B4077" s="119"/>
      <c r="C4077" s="233"/>
      <c r="D4077" s="21"/>
      <c r="E4077" s="21"/>
      <c r="F4077" s="21"/>
      <c r="G4077" s="21"/>
      <c r="H4077" s="21"/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</row>
    <row r="4078">
      <c r="A4078" s="122"/>
      <c r="B4078" s="119"/>
      <c r="C4078" s="233"/>
      <c r="D4078" s="21"/>
      <c r="E4078" s="21"/>
      <c r="F4078" s="21"/>
      <c r="G4078" s="21"/>
      <c r="H4078" s="21"/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</row>
    <row r="4079">
      <c r="A4079" s="122"/>
      <c r="B4079" s="119"/>
      <c r="C4079" s="233"/>
      <c r="D4079" s="21"/>
      <c r="E4079" s="21"/>
      <c r="F4079" s="21"/>
      <c r="G4079" s="21"/>
      <c r="H4079" s="21"/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</row>
    <row r="4080">
      <c r="A4080" s="122"/>
      <c r="B4080" s="119"/>
      <c r="C4080" s="233"/>
      <c r="D4080" s="21"/>
      <c r="E4080" s="21"/>
      <c r="F4080" s="21"/>
      <c r="G4080" s="21"/>
      <c r="H4080" s="21"/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</row>
    <row r="4081">
      <c r="A4081" s="122"/>
      <c r="B4081" s="119"/>
      <c r="C4081" s="233"/>
      <c r="D4081" s="21"/>
      <c r="E4081" s="2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</row>
    <row r="4082">
      <c r="A4082" s="122"/>
      <c r="B4082" s="119"/>
      <c r="C4082" s="233"/>
      <c r="D4082" s="21"/>
      <c r="E4082" s="21"/>
      <c r="F4082" s="21"/>
      <c r="G4082" s="21"/>
      <c r="H4082" s="21"/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</row>
    <row r="4083">
      <c r="A4083" s="122"/>
      <c r="B4083" s="119"/>
      <c r="C4083" s="233"/>
      <c r="D4083" s="21"/>
      <c r="E4083" s="21"/>
      <c r="F4083" s="21"/>
      <c r="G4083" s="21"/>
      <c r="H4083" s="21"/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</row>
    <row r="4084">
      <c r="A4084" s="122"/>
      <c r="B4084" s="119"/>
      <c r="C4084" s="233"/>
      <c r="D4084" s="21"/>
      <c r="E4084" s="2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</row>
    <row r="4085">
      <c r="A4085" s="122"/>
      <c r="B4085" s="119"/>
      <c r="C4085" s="233"/>
      <c r="D4085" s="21"/>
      <c r="E4085" s="21"/>
      <c r="F4085" s="21"/>
      <c r="G4085" s="21"/>
      <c r="H4085" s="21"/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</row>
    <row r="4086">
      <c r="A4086" s="122"/>
      <c r="B4086" s="119"/>
      <c r="C4086" s="233"/>
      <c r="D4086" s="21"/>
      <c r="E4086" s="21"/>
      <c r="F4086" s="21"/>
      <c r="G4086" s="21"/>
      <c r="H4086" s="21"/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</row>
    <row r="4087">
      <c r="A4087" s="122"/>
      <c r="B4087" s="119"/>
      <c r="C4087" s="233"/>
      <c r="D4087" s="21"/>
      <c r="E4087" s="21"/>
      <c r="F4087" s="21"/>
      <c r="G4087" s="21"/>
      <c r="H4087" s="21"/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</row>
    <row r="4088">
      <c r="A4088" s="122"/>
      <c r="B4088" s="119"/>
      <c r="C4088" s="233"/>
      <c r="D4088" s="21"/>
      <c r="E4088" s="21"/>
      <c r="F4088" s="21"/>
      <c r="G4088" s="21"/>
      <c r="H4088" s="21"/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</row>
    <row r="4089">
      <c r="A4089" s="122"/>
      <c r="B4089" s="119"/>
      <c r="C4089" s="233"/>
      <c r="D4089" s="21"/>
      <c r="E4089" s="2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</row>
    <row r="4090">
      <c r="A4090" s="122"/>
      <c r="B4090" s="119"/>
      <c r="C4090" s="233"/>
      <c r="D4090" s="21"/>
      <c r="E4090" s="21"/>
      <c r="F4090" s="21"/>
      <c r="G4090" s="21"/>
      <c r="H4090" s="21"/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</row>
    <row r="4091">
      <c r="A4091" s="122"/>
      <c r="B4091" s="119"/>
      <c r="C4091" s="233"/>
      <c r="D4091" s="21"/>
      <c r="E4091" s="21"/>
      <c r="F4091" s="21"/>
      <c r="G4091" s="21"/>
      <c r="H4091" s="21"/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</row>
    <row r="4092">
      <c r="A4092" s="122"/>
      <c r="B4092" s="119"/>
      <c r="C4092" s="233"/>
      <c r="D4092" s="21"/>
      <c r="E4092" s="21"/>
      <c r="F4092" s="21"/>
      <c r="G4092" s="21"/>
      <c r="H4092" s="21"/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</row>
    <row r="4093">
      <c r="A4093" s="122"/>
      <c r="B4093" s="119"/>
      <c r="C4093" s="233"/>
      <c r="D4093" s="21"/>
      <c r="E4093" s="21"/>
      <c r="F4093" s="21"/>
      <c r="G4093" s="21"/>
      <c r="H4093" s="21"/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</row>
    <row r="4094">
      <c r="A4094" s="122"/>
      <c r="B4094" s="119"/>
      <c r="C4094" s="233"/>
      <c r="D4094" s="21"/>
      <c r="E4094" s="21"/>
      <c r="F4094" s="21"/>
      <c r="G4094" s="21"/>
      <c r="H4094" s="21"/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</row>
    <row r="4095">
      <c r="A4095" s="122"/>
      <c r="B4095" s="119"/>
      <c r="C4095" s="233"/>
      <c r="D4095" s="21"/>
      <c r="E4095" s="21"/>
      <c r="F4095" s="21"/>
      <c r="G4095" s="21"/>
      <c r="H4095" s="21"/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</row>
    <row r="4096">
      <c r="A4096" s="122"/>
      <c r="B4096" s="119"/>
      <c r="C4096" s="233"/>
      <c r="D4096" s="21"/>
      <c r="E4096" s="21"/>
      <c r="F4096" s="21"/>
      <c r="G4096" s="21"/>
      <c r="H4096" s="21"/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</row>
    <row r="4097">
      <c r="A4097" s="122"/>
      <c r="B4097" s="119"/>
      <c r="C4097" s="233"/>
      <c r="D4097" s="21"/>
      <c r="E4097" s="21"/>
      <c r="F4097" s="21"/>
      <c r="G4097" s="21"/>
      <c r="H4097" s="21"/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</row>
    <row r="4098">
      <c r="A4098" s="122"/>
      <c r="B4098" s="119"/>
      <c r="C4098" s="233"/>
      <c r="D4098" s="21"/>
      <c r="E4098" s="21"/>
      <c r="F4098" s="21"/>
      <c r="G4098" s="21"/>
      <c r="H4098" s="21"/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</row>
    <row r="4099">
      <c r="A4099" s="122"/>
      <c r="B4099" s="119"/>
      <c r="C4099" s="233"/>
      <c r="D4099" s="21"/>
      <c r="E4099" s="21"/>
      <c r="F4099" s="21"/>
      <c r="G4099" s="21"/>
      <c r="H4099" s="21"/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</row>
    <row r="4100">
      <c r="A4100" s="122"/>
      <c r="B4100" s="119"/>
      <c r="C4100" s="233"/>
      <c r="D4100" s="21"/>
      <c r="E4100" s="21"/>
      <c r="F4100" s="21"/>
      <c r="G4100" s="21"/>
      <c r="H4100" s="21"/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</row>
    <row r="4101">
      <c r="A4101" s="122"/>
      <c r="B4101" s="119"/>
      <c r="C4101" s="233"/>
      <c r="D4101" s="21"/>
      <c r="E4101" s="2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</row>
    <row r="4102">
      <c r="A4102" s="122"/>
      <c r="B4102" s="119"/>
      <c r="C4102" s="233"/>
      <c r="D4102" s="21"/>
      <c r="E4102" s="21"/>
      <c r="F4102" s="21"/>
      <c r="G4102" s="21"/>
      <c r="H4102" s="21"/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</row>
    <row r="4103">
      <c r="A4103" s="122"/>
      <c r="B4103" s="119"/>
      <c r="C4103" s="233"/>
      <c r="D4103" s="21"/>
      <c r="E4103" s="21"/>
      <c r="F4103" s="21"/>
      <c r="G4103" s="21"/>
      <c r="H4103" s="21"/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</row>
    <row r="4104">
      <c r="A4104" s="122"/>
      <c r="B4104" s="119"/>
      <c r="C4104" s="233"/>
      <c r="D4104" s="21"/>
      <c r="E4104" s="21"/>
      <c r="F4104" s="21"/>
      <c r="G4104" s="21"/>
      <c r="H4104" s="21"/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</row>
    <row r="4105">
      <c r="A4105" s="122"/>
      <c r="B4105" s="119"/>
      <c r="C4105" s="233"/>
      <c r="D4105" s="21"/>
      <c r="E4105" s="21"/>
      <c r="F4105" s="21"/>
      <c r="G4105" s="21"/>
      <c r="H4105" s="21"/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</row>
    <row r="4106">
      <c r="A4106" s="122"/>
      <c r="B4106" s="119"/>
      <c r="C4106" s="233"/>
      <c r="D4106" s="21"/>
      <c r="E4106" s="21"/>
      <c r="F4106" s="21"/>
      <c r="G4106" s="21"/>
      <c r="H4106" s="21"/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</row>
    <row r="4107">
      <c r="A4107" s="122"/>
      <c r="B4107" s="119"/>
      <c r="C4107" s="233"/>
      <c r="D4107" s="21"/>
      <c r="E4107" s="2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</row>
    <row r="4108">
      <c r="A4108" s="122"/>
      <c r="B4108" s="119"/>
      <c r="C4108" s="233"/>
      <c r="D4108" s="21"/>
      <c r="E4108" s="21"/>
      <c r="F4108" s="21"/>
      <c r="G4108" s="21"/>
      <c r="H4108" s="21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</row>
    <row r="4109">
      <c r="A4109" s="122"/>
      <c r="B4109" s="119"/>
      <c r="C4109" s="233"/>
      <c r="D4109" s="21"/>
      <c r="E4109" s="21"/>
      <c r="F4109" s="21"/>
      <c r="G4109" s="21"/>
      <c r="H4109" s="21"/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</row>
    <row r="4110">
      <c r="A4110" s="122"/>
      <c r="B4110" s="119"/>
      <c r="C4110" s="233"/>
      <c r="D4110" s="21"/>
      <c r="E4110" s="21"/>
      <c r="F4110" s="21"/>
      <c r="G4110" s="21"/>
      <c r="H4110" s="21"/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</row>
    <row r="4111">
      <c r="A4111" s="122"/>
      <c r="B4111" s="119"/>
      <c r="C4111" s="233"/>
      <c r="D4111" s="21"/>
      <c r="E4111" s="21"/>
      <c r="F4111" s="21"/>
      <c r="G4111" s="21"/>
      <c r="H4111" s="21"/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</row>
    <row r="4112">
      <c r="A4112" s="122"/>
      <c r="B4112" s="119"/>
      <c r="C4112" s="233"/>
      <c r="D4112" s="21"/>
      <c r="E4112" s="21"/>
      <c r="F4112" s="21"/>
      <c r="G4112" s="21"/>
      <c r="H4112" s="21"/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</row>
    <row r="4113">
      <c r="A4113" s="122"/>
      <c r="B4113" s="119"/>
      <c r="C4113" s="233"/>
      <c r="D4113" s="21"/>
      <c r="E4113" s="21"/>
      <c r="F4113" s="21"/>
      <c r="G4113" s="21"/>
      <c r="H4113" s="21"/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</row>
    <row r="4114">
      <c r="A4114" s="122"/>
      <c r="B4114" s="119"/>
      <c r="C4114" s="233"/>
      <c r="D4114" s="21"/>
      <c r="E4114" s="2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</row>
    <row r="4115">
      <c r="A4115" s="122"/>
      <c r="B4115" s="119"/>
      <c r="C4115" s="233"/>
      <c r="D4115" s="21"/>
      <c r="E4115" s="21"/>
      <c r="F4115" s="21"/>
      <c r="G4115" s="21"/>
      <c r="H4115" s="21"/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</row>
    <row r="4116">
      <c r="A4116" s="122"/>
      <c r="B4116" s="119"/>
      <c r="C4116" s="233"/>
      <c r="D4116" s="21"/>
      <c r="E4116" s="21"/>
      <c r="F4116" s="21"/>
      <c r="G4116" s="21"/>
      <c r="H4116" s="21"/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</row>
    <row r="4117">
      <c r="A4117" s="122"/>
      <c r="B4117" s="119"/>
      <c r="C4117" s="233"/>
      <c r="D4117" s="21"/>
      <c r="E4117" s="21"/>
      <c r="F4117" s="21"/>
      <c r="G4117" s="21"/>
      <c r="H4117" s="21"/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</row>
    <row r="4118">
      <c r="A4118" s="122"/>
      <c r="B4118" s="119"/>
      <c r="C4118" s="233"/>
      <c r="D4118" s="21"/>
      <c r="E4118" s="21"/>
      <c r="F4118" s="21"/>
      <c r="G4118" s="21"/>
      <c r="H4118" s="21"/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</row>
    <row r="4119">
      <c r="A4119" s="122"/>
      <c r="B4119" s="119"/>
      <c r="C4119" s="233"/>
      <c r="D4119" s="21"/>
      <c r="E4119" s="21"/>
      <c r="F4119" s="21"/>
      <c r="G4119" s="21"/>
      <c r="H4119" s="21"/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</row>
    <row r="4120">
      <c r="A4120" s="122"/>
      <c r="B4120" s="119"/>
      <c r="C4120" s="233"/>
      <c r="D4120" s="21"/>
      <c r="E4120" s="21"/>
      <c r="F4120" s="21"/>
      <c r="G4120" s="21"/>
      <c r="H4120" s="21"/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</row>
    <row r="4121">
      <c r="A4121" s="122"/>
      <c r="B4121" s="119"/>
      <c r="C4121" s="233"/>
      <c r="D4121" s="21"/>
      <c r="E4121" s="21"/>
      <c r="F4121" s="21"/>
      <c r="G4121" s="21"/>
      <c r="H4121" s="21"/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</row>
    <row r="4122">
      <c r="A4122" s="122"/>
      <c r="B4122" s="119"/>
      <c r="C4122" s="233"/>
      <c r="D4122" s="21"/>
      <c r="E4122" s="21"/>
      <c r="F4122" s="21"/>
      <c r="G4122" s="21"/>
      <c r="H4122" s="21"/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</row>
    <row r="4123">
      <c r="A4123" s="122"/>
      <c r="B4123" s="119"/>
      <c r="C4123" s="233"/>
      <c r="D4123" s="21"/>
      <c r="E4123" s="2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</row>
    <row r="4124">
      <c r="A4124" s="122"/>
      <c r="B4124" s="119"/>
      <c r="C4124" s="233"/>
      <c r="D4124" s="21"/>
      <c r="E4124" s="21"/>
      <c r="F4124" s="21"/>
      <c r="G4124" s="21"/>
      <c r="H4124" s="21"/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</row>
    <row r="4125">
      <c r="A4125" s="122"/>
      <c r="B4125" s="119"/>
      <c r="C4125" s="233"/>
      <c r="D4125" s="21"/>
      <c r="E4125" s="21"/>
      <c r="F4125" s="21"/>
      <c r="G4125" s="21"/>
      <c r="H4125" s="21"/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</row>
    <row r="4126">
      <c r="A4126" s="122"/>
      <c r="B4126" s="119"/>
      <c r="C4126" s="233"/>
      <c r="D4126" s="21"/>
      <c r="E4126" s="21"/>
      <c r="F4126" s="21"/>
      <c r="G4126" s="21"/>
      <c r="H4126" s="21"/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</row>
    <row r="4127">
      <c r="A4127" s="122"/>
      <c r="B4127" s="119"/>
      <c r="C4127" s="233"/>
      <c r="D4127" s="21"/>
      <c r="E4127" s="21"/>
      <c r="F4127" s="21"/>
      <c r="G4127" s="21"/>
      <c r="H4127" s="21"/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</row>
    <row r="4128">
      <c r="A4128" s="122"/>
      <c r="B4128" s="119"/>
      <c r="C4128" s="233"/>
      <c r="D4128" s="21"/>
      <c r="E4128" s="21"/>
      <c r="F4128" s="21"/>
      <c r="G4128" s="21"/>
      <c r="H4128" s="21"/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</row>
    <row r="4129">
      <c r="A4129" s="122"/>
      <c r="B4129" s="119"/>
      <c r="C4129" s="233"/>
      <c r="D4129" s="21"/>
      <c r="E4129" s="21"/>
      <c r="F4129" s="21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</row>
    <row r="4130">
      <c r="A4130" s="122"/>
      <c r="B4130" s="119"/>
      <c r="C4130" s="233"/>
      <c r="D4130" s="21"/>
      <c r="E4130" s="21"/>
      <c r="F4130" s="21"/>
      <c r="G4130" s="21"/>
      <c r="H4130" s="21"/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</row>
    <row r="4131">
      <c r="A4131" s="122"/>
      <c r="B4131" s="119"/>
      <c r="C4131" s="233"/>
      <c r="D4131" s="21"/>
      <c r="E4131" s="21"/>
      <c r="F4131" s="21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</row>
    <row r="4132">
      <c r="A4132" s="122"/>
      <c r="B4132" s="119"/>
      <c r="C4132" s="233"/>
      <c r="D4132" s="21"/>
      <c r="E4132" s="2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</row>
    <row r="4133">
      <c r="A4133" s="122"/>
      <c r="B4133" s="119"/>
      <c r="C4133" s="233"/>
      <c r="D4133" s="21"/>
      <c r="E4133" s="21"/>
      <c r="F4133" s="21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</row>
    <row r="4134">
      <c r="A4134" s="122"/>
      <c r="B4134" s="119"/>
      <c r="C4134" s="233"/>
      <c r="D4134" s="21"/>
      <c r="E4134" s="21"/>
      <c r="F4134" s="21"/>
      <c r="G4134" s="21"/>
      <c r="H4134" s="21"/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</row>
    <row r="4135">
      <c r="A4135" s="122"/>
      <c r="B4135" s="119"/>
      <c r="C4135" s="233"/>
      <c r="D4135" s="21"/>
      <c r="E4135" s="21"/>
      <c r="F4135" s="21"/>
      <c r="G4135" s="21"/>
      <c r="H4135" s="21"/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</row>
    <row r="4136">
      <c r="A4136" s="122"/>
      <c r="B4136" s="119"/>
      <c r="C4136" s="233"/>
      <c r="D4136" s="21"/>
      <c r="E4136" s="21"/>
      <c r="F4136" s="21"/>
      <c r="G4136" s="21"/>
      <c r="H4136" s="21"/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</row>
    <row r="4137">
      <c r="A4137" s="122"/>
      <c r="B4137" s="119"/>
      <c r="C4137" s="233"/>
      <c r="D4137" s="21"/>
      <c r="E4137" s="2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</row>
    <row r="4138">
      <c r="A4138" s="122"/>
      <c r="B4138" s="119"/>
      <c r="C4138" s="233"/>
      <c r="D4138" s="21"/>
      <c r="E4138" s="21"/>
      <c r="F4138" s="21"/>
      <c r="G4138" s="21"/>
      <c r="H4138" s="21"/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</row>
    <row r="4139">
      <c r="A4139" s="122"/>
      <c r="B4139" s="119"/>
      <c r="C4139" s="233"/>
      <c r="D4139" s="21"/>
      <c r="E4139" s="21"/>
      <c r="F4139" s="21"/>
      <c r="G4139" s="21"/>
      <c r="H4139" s="21"/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</row>
    <row r="4140">
      <c r="A4140" s="122"/>
      <c r="B4140" s="119"/>
      <c r="C4140" s="233"/>
      <c r="D4140" s="21"/>
      <c r="E4140" s="21"/>
      <c r="F4140" s="21"/>
      <c r="G4140" s="21"/>
      <c r="H4140" s="21"/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</row>
    <row r="4141">
      <c r="A4141" s="122"/>
      <c r="B4141" s="119"/>
      <c r="C4141" s="233"/>
      <c r="D4141" s="21"/>
      <c r="E4141" s="21"/>
      <c r="F4141" s="21"/>
      <c r="G4141" s="21"/>
      <c r="H4141" s="21"/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</row>
    <row r="4142">
      <c r="A4142" s="122"/>
      <c r="B4142" s="119"/>
      <c r="C4142" s="233"/>
      <c r="D4142" s="21"/>
      <c r="E4142" s="21"/>
      <c r="F4142" s="21"/>
      <c r="G4142" s="21"/>
      <c r="H4142" s="21"/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</row>
    <row r="4143">
      <c r="A4143" s="122"/>
      <c r="B4143" s="119"/>
      <c r="C4143" s="233"/>
      <c r="D4143" s="21"/>
      <c r="E4143" s="21"/>
      <c r="F4143" s="21"/>
      <c r="G4143" s="21"/>
      <c r="H4143" s="21"/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</row>
    <row r="4144">
      <c r="A4144" s="122"/>
      <c r="B4144" s="119"/>
      <c r="C4144" s="233"/>
      <c r="D4144" s="21"/>
      <c r="E4144" s="21"/>
      <c r="F4144" s="21"/>
      <c r="G4144" s="21"/>
      <c r="H4144" s="21"/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</row>
    <row r="4145">
      <c r="A4145" s="122"/>
      <c r="B4145" s="119"/>
      <c r="C4145" s="233"/>
      <c r="D4145" s="21"/>
      <c r="E4145" s="21"/>
      <c r="F4145" s="21"/>
      <c r="G4145" s="21"/>
      <c r="H4145" s="21"/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</row>
    <row r="4146">
      <c r="A4146" s="122"/>
      <c r="B4146" s="119"/>
      <c r="C4146" s="233"/>
      <c r="D4146" s="21"/>
      <c r="E4146" s="21"/>
      <c r="F4146" s="21"/>
      <c r="G4146" s="21"/>
      <c r="H4146" s="21"/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</row>
    <row r="4147">
      <c r="A4147" s="122"/>
      <c r="B4147" s="119"/>
      <c r="C4147" s="233"/>
      <c r="D4147" s="21"/>
      <c r="E4147" s="2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</row>
    <row r="4148">
      <c r="A4148" s="122"/>
      <c r="B4148" s="119"/>
      <c r="C4148" s="233"/>
      <c r="D4148" s="21"/>
      <c r="E4148" s="21"/>
      <c r="F4148" s="21"/>
      <c r="G4148" s="21"/>
      <c r="H4148" s="21"/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</row>
    <row r="4149">
      <c r="A4149" s="122"/>
      <c r="B4149" s="119"/>
      <c r="C4149" s="233"/>
      <c r="D4149" s="21"/>
      <c r="E4149" s="21"/>
      <c r="F4149" s="21"/>
      <c r="G4149" s="21"/>
      <c r="H4149" s="21"/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</row>
    <row r="4150">
      <c r="A4150" s="122"/>
      <c r="B4150" s="119"/>
      <c r="C4150" s="233"/>
      <c r="D4150" s="21"/>
      <c r="E4150" s="21"/>
      <c r="F4150" s="21"/>
      <c r="G4150" s="21"/>
      <c r="H4150" s="21"/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</row>
    <row r="4151">
      <c r="A4151" s="122"/>
      <c r="B4151" s="119"/>
      <c r="C4151" s="233"/>
      <c r="D4151" s="21"/>
      <c r="E4151" s="21"/>
      <c r="F4151" s="21"/>
      <c r="G4151" s="21"/>
      <c r="H4151" s="21"/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</row>
    <row r="4152">
      <c r="A4152" s="122"/>
      <c r="B4152" s="119"/>
      <c r="C4152" s="233"/>
      <c r="D4152" s="21"/>
      <c r="E4152" s="21"/>
      <c r="F4152" s="21"/>
      <c r="G4152" s="21"/>
      <c r="H4152" s="21"/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</row>
    <row r="4153">
      <c r="A4153" s="122"/>
      <c r="B4153" s="119"/>
      <c r="C4153" s="233"/>
      <c r="D4153" s="21"/>
      <c r="E4153" s="21"/>
      <c r="F4153" s="21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</row>
    <row r="4154">
      <c r="A4154" s="122"/>
      <c r="B4154" s="119"/>
      <c r="C4154" s="233"/>
      <c r="D4154" s="21"/>
      <c r="E4154" s="2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</row>
    <row r="4155">
      <c r="A4155" s="122"/>
      <c r="B4155" s="119"/>
      <c r="C4155" s="233"/>
      <c r="D4155" s="21"/>
      <c r="E4155" s="21"/>
      <c r="F4155" s="21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</row>
    <row r="4156">
      <c r="A4156" s="122"/>
      <c r="B4156" s="119"/>
      <c r="C4156" s="233"/>
      <c r="D4156" s="21"/>
      <c r="E4156" s="21"/>
      <c r="F4156" s="21"/>
      <c r="G4156" s="21"/>
      <c r="H4156" s="21"/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</row>
    <row r="4157">
      <c r="A4157" s="122"/>
      <c r="B4157" s="119"/>
      <c r="C4157" s="233"/>
      <c r="D4157" s="21"/>
      <c r="E4157" s="21"/>
      <c r="F4157" s="21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</row>
    <row r="4158">
      <c r="A4158" s="122"/>
      <c r="B4158" s="119"/>
      <c r="C4158" s="233"/>
      <c r="D4158" s="21"/>
      <c r="E4158" s="21"/>
      <c r="F4158" s="21"/>
      <c r="G4158" s="21"/>
      <c r="H4158" s="21"/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</row>
    <row r="4159">
      <c r="A4159" s="122"/>
      <c r="B4159" s="119"/>
      <c r="C4159" s="233"/>
      <c r="D4159" s="21"/>
      <c r="E4159" s="21"/>
      <c r="F4159" s="21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</row>
    <row r="4160">
      <c r="A4160" s="122"/>
      <c r="B4160" s="119"/>
      <c r="C4160" s="233"/>
      <c r="D4160" s="21"/>
      <c r="E4160" s="21"/>
      <c r="F4160" s="21"/>
      <c r="G4160" s="21"/>
      <c r="H4160" s="21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</row>
    <row r="4161">
      <c r="A4161" s="122"/>
      <c r="B4161" s="119"/>
      <c r="C4161" s="233"/>
      <c r="D4161" s="21"/>
      <c r="E4161" s="21"/>
      <c r="F4161" s="21"/>
      <c r="G4161" s="21"/>
      <c r="H4161" s="21"/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</row>
    <row r="4162">
      <c r="A4162" s="122"/>
      <c r="B4162" s="119"/>
      <c r="C4162" s="233"/>
      <c r="D4162" s="21"/>
      <c r="E4162" s="21"/>
      <c r="F4162" s="21"/>
      <c r="G4162" s="21"/>
      <c r="H4162" s="21"/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</row>
    <row r="4163">
      <c r="A4163" s="122"/>
      <c r="B4163" s="119"/>
      <c r="C4163" s="233"/>
      <c r="D4163" s="21"/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</row>
    <row r="4164">
      <c r="A4164" s="122"/>
      <c r="B4164" s="119"/>
      <c r="C4164" s="233"/>
      <c r="D4164" s="21"/>
      <c r="E4164" s="21"/>
      <c r="F4164" s="21"/>
      <c r="G4164" s="21"/>
      <c r="H4164" s="21"/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</row>
    <row r="4165">
      <c r="A4165" s="122"/>
      <c r="B4165" s="119"/>
      <c r="C4165" s="233"/>
      <c r="D4165" s="21"/>
      <c r="E4165" s="21"/>
      <c r="F4165" s="21"/>
      <c r="G4165" s="21"/>
      <c r="H4165" s="21"/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</row>
    <row r="4166">
      <c r="A4166" s="122"/>
      <c r="B4166" s="119"/>
      <c r="C4166" s="233"/>
      <c r="D4166" s="21"/>
      <c r="E4166" s="21"/>
      <c r="F4166" s="21"/>
      <c r="G4166" s="21"/>
      <c r="H4166" s="21"/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</row>
    <row r="4167">
      <c r="A4167" s="122"/>
      <c r="B4167" s="119"/>
      <c r="C4167" s="233"/>
      <c r="D4167" s="21"/>
      <c r="E4167" s="21"/>
      <c r="F4167" s="21"/>
      <c r="G4167" s="21"/>
      <c r="H4167" s="21"/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</row>
    <row r="4168">
      <c r="A4168" s="122"/>
      <c r="B4168" s="119"/>
      <c r="C4168" s="233"/>
      <c r="D4168" s="21"/>
      <c r="E4168" s="21"/>
      <c r="F4168" s="21"/>
      <c r="G4168" s="21"/>
      <c r="H4168" s="21"/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</row>
    <row r="4169">
      <c r="A4169" s="122"/>
      <c r="B4169" s="119"/>
      <c r="C4169" s="233"/>
      <c r="D4169" s="21"/>
      <c r="E4169" s="21"/>
      <c r="F4169" s="21"/>
      <c r="G4169" s="21"/>
      <c r="H4169" s="21"/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</row>
    <row r="4170">
      <c r="A4170" s="122"/>
      <c r="B4170" s="119"/>
      <c r="C4170" s="233"/>
      <c r="D4170" s="21"/>
      <c r="E4170" s="2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</row>
    <row r="4171">
      <c r="A4171" s="122"/>
      <c r="B4171" s="119"/>
      <c r="C4171" s="233"/>
      <c r="D4171" s="21"/>
      <c r="E4171" s="21"/>
      <c r="F4171" s="21"/>
      <c r="G4171" s="21"/>
      <c r="H4171" s="21"/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</row>
    <row r="4172">
      <c r="A4172" s="122"/>
      <c r="B4172" s="119"/>
      <c r="C4172" s="233"/>
      <c r="D4172" s="21"/>
      <c r="E4172" s="21"/>
      <c r="F4172" s="21"/>
      <c r="G4172" s="21"/>
      <c r="H4172" s="21"/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</row>
    <row r="4173">
      <c r="A4173" s="122"/>
      <c r="B4173" s="119"/>
      <c r="C4173" s="233"/>
      <c r="D4173" s="21"/>
      <c r="E4173" s="21"/>
      <c r="F4173" s="21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</row>
    <row r="4174">
      <c r="A4174" s="122"/>
      <c r="B4174" s="119"/>
      <c r="C4174" s="233"/>
      <c r="D4174" s="21"/>
      <c r="E4174" s="21"/>
      <c r="F4174" s="21"/>
      <c r="G4174" s="21"/>
      <c r="H4174" s="21"/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</row>
    <row r="4175">
      <c r="A4175" s="122"/>
      <c r="B4175" s="119"/>
      <c r="C4175" s="233"/>
      <c r="D4175" s="21"/>
      <c r="E4175" s="21"/>
      <c r="F4175" s="21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</row>
    <row r="4176">
      <c r="A4176" s="122"/>
      <c r="B4176" s="119"/>
      <c r="C4176" s="233"/>
      <c r="D4176" s="21"/>
      <c r="E4176" s="21"/>
      <c r="F4176" s="21"/>
      <c r="G4176" s="21"/>
      <c r="H4176" s="21"/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</row>
    <row r="4177">
      <c r="A4177" s="122"/>
      <c r="B4177" s="119"/>
      <c r="C4177" s="233"/>
      <c r="D4177" s="21"/>
      <c r="E4177" s="21"/>
      <c r="F4177" s="21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</row>
    <row r="4178">
      <c r="A4178" s="122"/>
      <c r="B4178" s="119"/>
      <c r="C4178" s="233"/>
      <c r="D4178" s="21"/>
      <c r="E4178" s="21"/>
      <c r="F4178" s="21"/>
      <c r="G4178" s="21"/>
      <c r="H4178" s="21"/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</row>
    <row r="4179">
      <c r="A4179" s="122"/>
      <c r="B4179" s="119"/>
      <c r="C4179" s="233"/>
      <c r="D4179" s="21"/>
      <c r="E4179" s="21"/>
      <c r="F4179" s="21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</row>
    <row r="4180">
      <c r="A4180" s="122"/>
      <c r="B4180" s="119"/>
      <c r="C4180" s="233"/>
      <c r="D4180" s="21"/>
      <c r="E4180" s="2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</row>
    <row r="4181">
      <c r="A4181" s="122"/>
      <c r="B4181" s="119"/>
      <c r="C4181" s="233"/>
      <c r="D4181" s="21"/>
      <c r="E4181" s="21"/>
      <c r="F4181" s="21"/>
      <c r="G4181" s="21"/>
      <c r="H4181" s="21"/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</row>
    <row r="4182">
      <c r="A4182" s="122"/>
      <c r="B4182" s="119"/>
      <c r="C4182" s="233"/>
      <c r="D4182" s="21"/>
      <c r="E4182" s="21"/>
      <c r="F4182" s="21"/>
      <c r="G4182" s="21"/>
      <c r="H4182" s="21"/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</row>
    <row r="4183">
      <c r="A4183" s="122"/>
      <c r="B4183" s="119"/>
      <c r="C4183" s="233"/>
      <c r="D4183" s="21"/>
      <c r="E4183" s="21"/>
      <c r="F4183" s="21"/>
      <c r="G4183" s="21"/>
      <c r="H4183" s="21"/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</row>
    <row r="4184">
      <c r="A4184" s="122"/>
      <c r="B4184" s="119"/>
      <c r="C4184" s="233"/>
      <c r="D4184" s="21"/>
      <c r="E4184" s="21"/>
      <c r="F4184" s="21"/>
      <c r="G4184" s="21"/>
      <c r="H4184" s="21"/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</row>
    <row r="4185">
      <c r="A4185" s="122"/>
      <c r="B4185" s="119"/>
      <c r="C4185" s="233"/>
      <c r="D4185" s="21"/>
      <c r="E4185" s="21"/>
      <c r="F4185" s="21"/>
      <c r="G4185" s="21"/>
      <c r="H4185" s="21"/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</row>
    <row r="4186">
      <c r="A4186" s="122"/>
      <c r="B4186" s="119"/>
      <c r="C4186" s="233"/>
      <c r="D4186" s="21"/>
      <c r="E4186" s="2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</row>
    <row r="4187">
      <c r="A4187" s="122"/>
      <c r="B4187" s="119"/>
      <c r="C4187" s="233"/>
      <c r="D4187" s="21"/>
      <c r="E4187" s="21"/>
      <c r="F4187" s="21"/>
      <c r="G4187" s="21"/>
      <c r="H4187" s="21"/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</row>
    <row r="4188">
      <c r="A4188" s="122"/>
      <c r="B4188" s="119"/>
      <c r="C4188" s="233"/>
      <c r="D4188" s="21"/>
      <c r="E4188" s="21"/>
      <c r="F4188" s="21"/>
      <c r="G4188" s="21"/>
      <c r="H4188" s="21"/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</row>
    <row r="4189">
      <c r="A4189" s="122"/>
      <c r="B4189" s="119"/>
      <c r="C4189" s="233"/>
      <c r="D4189" s="21"/>
      <c r="E4189" s="21"/>
      <c r="F4189" s="21"/>
      <c r="G4189" s="21"/>
      <c r="H4189" s="21"/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</row>
    <row r="4190">
      <c r="A4190" s="122"/>
      <c r="B4190" s="119"/>
      <c r="C4190" s="233"/>
      <c r="D4190" s="21"/>
      <c r="E4190" s="21"/>
      <c r="F4190" s="21"/>
      <c r="G4190" s="21"/>
      <c r="H4190" s="21"/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</row>
    <row r="4191">
      <c r="A4191" s="122"/>
      <c r="B4191" s="119"/>
      <c r="C4191" s="233"/>
      <c r="D4191" s="21"/>
      <c r="E4191" s="21"/>
      <c r="F4191" s="21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</row>
    <row r="4192">
      <c r="A4192" s="122"/>
      <c r="B4192" s="119"/>
      <c r="C4192" s="233"/>
      <c r="D4192" s="21"/>
      <c r="E4192" s="21"/>
      <c r="F4192" s="21"/>
      <c r="G4192" s="21"/>
      <c r="H4192" s="21"/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</row>
    <row r="4193">
      <c r="A4193" s="122"/>
      <c r="B4193" s="119"/>
      <c r="C4193" s="233"/>
      <c r="D4193" s="21"/>
      <c r="E4193" s="21"/>
      <c r="F4193" s="21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</row>
    <row r="4194">
      <c r="A4194" s="122"/>
      <c r="B4194" s="119"/>
      <c r="C4194" s="233"/>
      <c r="D4194" s="21"/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</row>
    <row r="4195">
      <c r="A4195" s="122"/>
      <c r="B4195" s="119"/>
      <c r="C4195" s="233"/>
      <c r="D4195" s="21"/>
      <c r="E4195" s="21"/>
      <c r="F4195" s="21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</row>
    <row r="4196">
      <c r="A4196" s="122"/>
      <c r="B4196" s="119"/>
      <c r="C4196" s="233"/>
      <c r="D4196" s="21"/>
      <c r="E4196" s="21"/>
      <c r="F4196" s="21"/>
      <c r="G4196" s="21"/>
      <c r="H4196" s="21"/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</row>
    <row r="4197">
      <c r="A4197" s="122"/>
      <c r="B4197" s="119"/>
      <c r="C4197" s="233"/>
      <c r="D4197" s="21"/>
      <c r="E4197" s="21"/>
      <c r="F4197" s="21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</row>
    <row r="4198">
      <c r="A4198" s="122"/>
      <c r="B4198" s="119"/>
      <c r="C4198" s="233"/>
      <c r="D4198" s="21"/>
      <c r="E4198" s="21"/>
      <c r="F4198" s="21"/>
      <c r="G4198" s="21"/>
      <c r="H4198" s="21"/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</row>
    <row r="4199">
      <c r="A4199" s="122"/>
      <c r="B4199" s="119"/>
      <c r="C4199" s="233"/>
      <c r="D4199" s="21"/>
      <c r="E4199" s="2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</row>
    <row r="4200">
      <c r="A4200" s="122"/>
      <c r="B4200" s="119"/>
      <c r="C4200" s="233"/>
      <c r="D4200" s="21"/>
      <c r="E4200" s="21"/>
      <c r="F4200" s="21"/>
      <c r="G4200" s="21"/>
      <c r="H4200" s="21"/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</row>
    <row r="4201">
      <c r="A4201" s="122"/>
      <c r="B4201" s="119"/>
      <c r="C4201" s="233"/>
      <c r="D4201" s="21"/>
      <c r="E4201" s="21"/>
      <c r="F4201" s="21"/>
      <c r="G4201" s="21"/>
      <c r="H4201" s="21"/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</row>
    <row r="4202">
      <c r="A4202" s="122"/>
      <c r="B4202" s="119"/>
      <c r="C4202" s="233"/>
      <c r="D4202" s="21"/>
      <c r="E4202" s="21"/>
      <c r="F4202" s="21"/>
      <c r="G4202" s="21"/>
      <c r="H4202" s="21"/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</row>
    <row r="4203">
      <c r="A4203" s="122"/>
      <c r="B4203" s="119"/>
      <c r="C4203" s="233"/>
      <c r="D4203" s="21"/>
      <c r="E4203" s="21"/>
      <c r="F4203" s="21"/>
      <c r="G4203" s="21"/>
      <c r="H4203" s="21"/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</row>
    <row r="4204">
      <c r="A4204" s="122"/>
      <c r="B4204" s="119"/>
      <c r="C4204" s="233"/>
      <c r="D4204" s="21"/>
      <c r="E4204" s="21"/>
      <c r="F4204" s="21"/>
      <c r="G4204" s="21"/>
      <c r="H4204" s="21"/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</row>
    <row r="4205">
      <c r="A4205" s="122"/>
      <c r="B4205" s="119"/>
      <c r="C4205" s="233"/>
      <c r="D4205" s="21"/>
      <c r="E4205" s="21"/>
      <c r="F4205" s="21"/>
      <c r="G4205" s="21"/>
      <c r="H4205" s="21"/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</row>
    <row r="4206">
      <c r="A4206" s="122"/>
      <c r="B4206" s="119"/>
      <c r="C4206" s="233"/>
      <c r="D4206" s="21"/>
      <c r="E4206" s="21"/>
      <c r="F4206" s="21"/>
      <c r="G4206" s="21"/>
      <c r="H4206" s="21"/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</row>
    <row r="4207">
      <c r="A4207" s="122"/>
      <c r="B4207" s="119"/>
      <c r="C4207" s="233"/>
      <c r="D4207" s="21"/>
      <c r="E4207" s="2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</row>
    <row r="4208">
      <c r="A4208" s="122"/>
      <c r="B4208" s="119"/>
      <c r="C4208" s="233"/>
      <c r="D4208" s="21"/>
      <c r="E4208" s="21"/>
      <c r="F4208" s="21"/>
      <c r="G4208" s="21"/>
      <c r="H4208" s="21"/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</row>
    <row r="4209">
      <c r="A4209" s="122"/>
      <c r="B4209" s="119"/>
      <c r="C4209" s="233"/>
      <c r="D4209" s="21"/>
      <c r="E4209" s="21"/>
      <c r="F4209" s="21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</row>
    <row r="4210">
      <c r="A4210" s="122"/>
      <c r="B4210" s="119"/>
      <c r="C4210" s="233"/>
      <c r="D4210" s="21"/>
      <c r="E4210" s="21"/>
      <c r="F4210" s="21"/>
      <c r="G4210" s="21"/>
      <c r="H4210" s="21"/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</row>
    <row r="4211">
      <c r="A4211" s="122"/>
      <c r="B4211" s="119"/>
      <c r="C4211" s="233"/>
      <c r="D4211" s="21"/>
      <c r="E4211" s="21"/>
      <c r="F4211" s="21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</row>
    <row r="4212">
      <c r="A4212" s="122"/>
      <c r="B4212" s="119"/>
      <c r="C4212" s="233"/>
      <c r="D4212" s="21"/>
      <c r="E4212" s="21"/>
      <c r="F4212" s="21"/>
      <c r="G4212" s="21"/>
      <c r="H4212" s="21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</row>
    <row r="4213">
      <c r="A4213" s="122"/>
      <c r="B4213" s="119"/>
      <c r="C4213" s="233"/>
      <c r="D4213" s="21"/>
      <c r="E4213" s="21"/>
      <c r="F4213" s="21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</row>
    <row r="4214">
      <c r="A4214" s="122"/>
      <c r="B4214" s="119"/>
      <c r="C4214" s="233"/>
      <c r="D4214" s="21"/>
      <c r="E4214" s="21"/>
      <c r="F4214" s="21"/>
      <c r="G4214" s="21"/>
      <c r="H4214" s="21"/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</row>
    <row r="4215">
      <c r="A4215" s="122"/>
      <c r="B4215" s="119"/>
      <c r="C4215" s="233"/>
      <c r="D4215" s="21"/>
      <c r="E4215" s="21"/>
      <c r="F4215" s="21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</row>
    <row r="4216">
      <c r="A4216" s="122"/>
      <c r="B4216" s="119"/>
      <c r="C4216" s="233"/>
      <c r="D4216" s="21"/>
      <c r="E4216" s="21"/>
      <c r="F4216" s="21"/>
      <c r="G4216" s="21"/>
      <c r="H4216" s="21"/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</row>
    <row r="4217">
      <c r="A4217" s="122"/>
      <c r="B4217" s="119"/>
      <c r="C4217" s="233"/>
      <c r="D4217" s="21"/>
      <c r="E4217" s="21"/>
      <c r="F4217" s="21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</row>
    <row r="4218">
      <c r="A4218" s="122"/>
      <c r="B4218" s="119"/>
      <c r="C4218" s="233"/>
      <c r="D4218" s="21"/>
      <c r="E4218" s="21"/>
      <c r="F4218" s="21"/>
      <c r="G4218" s="21"/>
      <c r="H4218" s="21"/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</row>
    <row r="4219">
      <c r="A4219" s="122"/>
      <c r="B4219" s="119"/>
      <c r="C4219" s="233"/>
      <c r="D4219" s="21"/>
      <c r="E4219" s="2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</row>
    <row r="4220">
      <c r="A4220" s="122"/>
      <c r="B4220" s="119"/>
      <c r="C4220" s="233"/>
      <c r="D4220" s="21"/>
      <c r="E4220" s="21"/>
      <c r="F4220" s="21"/>
      <c r="G4220" s="21"/>
      <c r="H4220" s="21"/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</row>
    <row r="4221">
      <c r="A4221" s="122"/>
      <c r="B4221" s="119"/>
      <c r="C4221" s="233"/>
      <c r="D4221" s="21"/>
      <c r="E4221" s="21"/>
      <c r="F4221" s="21"/>
      <c r="G4221" s="21"/>
      <c r="H4221" s="21"/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</row>
    <row r="4222">
      <c r="A4222" s="122"/>
      <c r="B4222" s="119"/>
      <c r="C4222" s="233"/>
      <c r="D4222" s="21"/>
      <c r="E4222" s="21"/>
      <c r="F4222" s="21"/>
      <c r="G4222" s="21"/>
      <c r="H4222" s="21"/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</row>
    <row r="4223">
      <c r="A4223" s="122"/>
      <c r="B4223" s="119"/>
      <c r="C4223" s="233"/>
      <c r="D4223" s="21"/>
      <c r="E4223" s="21"/>
      <c r="F4223" s="21"/>
      <c r="G4223" s="21"/>
      <c r="H4223" s="21"/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</row>
    <row r="4224">
      <c r="A4224" s="122"/>
      <c r="B4224" s="119"/>
      <c r="C4224" s="233"/>
      <c r="D4224" s="21"/>
      <c r="E4224" s="21"/>
      <c r="F4224" s="21"/>
      <c r="G4224" s="21"/>
      <c r="H4224" s="21"/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</row>
    <row r="4225">
      <c r="A4225" s="122"/>
      <c r="B4225" s="119"/>
      <c r="C4225" s="233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</row>
    <row r="4226">
      <c r="A4226" s="122"/>
      <c r="B4226" s="119"/>
      <c r="C4226" s="233"/>
      <c r="D4226" s="21"/>
      <c r="E4226" s="21"/>
      <c r="F4226" s="21"/>
      <c r="G4226" s="21"/>
      <c r="H4226" s="21"/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</row>
    <row r="4227">
      <c r="A4227" s="122"/>
      <c r="B4227" s="119"/>
      <c r="C4227" s="233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</row>
    <row r="4228">
      <c r="A4228" s="122"/>
      <c r="B4228" s="119"/>
      <c r="C4228" s="233"/>
      <c r="D4228" s="21"/>
      <c r="E4228" s="21"/>
      <c r="F4228" s="21"/>
      <c r="G4228" s="21"/>
      <c r="H4228" s="21"/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</row>
    <row r="4229">
      <c r="A4229" s="122"/>
      <c r="B4229" s="119"/>
      <c r="C4229" s="233"/>
      <c r="D4229" s="21"/>
      <c r="E4229" s="2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</row>
    <row r="4230">
      <c r="A4230" s="122"/>
      <c r="B4230" s="119"/>
      <c r="C4230" s="233"/>
      <c r="D4230" s="21"/>
      <c r="E4230" s="21"/>
      <c r="F4230" s="21"/>
      <c r="G4230" s="21"/>
      <c r="H4230" s="21"/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</row>
    <row r="4231">
      <c r="A4231" s="122"/>
      <c r="B4231" s="119"/>
      <c r="C4231" s="233"/>
      <c r="D4231" s="21"/>
      <c r="E4231" s="21"/>
      <c r="F4231" s="21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</row>
    <row r="4232">
      <c r="A4232" s="122"/>
      <c r="B4232" s="119"/>
      <c r="C4232" s="233"/>
      <c r="D4232" s="21"/>
      <c r="E4232" s="21"/>
      <c r="F4232" s="21"/>
      <c r="G4232" s="21"/>
      <c r="H4232" s="21"/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</row>
    <row r="4233">
      <c r="A4233" s="122"/>
      <c r="B4233" s="119"/>
      <c r="C4233" s="233"/>
      <c r="D4233" s="21"/>
      <c r="E4233" s="21"/>
      <c r="F4233" s="21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</row>
    <row r="4234">
      <c r="A4234" s="122"/>
      <c r="B4234" s="119"/>
      <c r="C4234" s="233"/>
      <c r="D4234" s="21"/>
      <c r="E4234" s="21"/>
      <c r="F4234" s="21"/>
      <c r="G4234" s="21"/>
      <c r="H4234" s="21"/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</row>
    <row r="4235">
      <c r="A4235" s="122"/>
      <c r="B4235" s="119"/>
      <c r="C4235" s="233"/>
      <c r="D4235" s="21"/>
      <c r="E4235" s="21"/>
      <c r="F4235" s="21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</row>
    <row r="4236">
      <c r="A4236" s="122"/>
      <c r="B4236" s="119"/>
      <c r="C4236" s="233"/>
      <c r="D4236" s="21"/>
      <c r="E4236" s="21"/>
      <c r="F4236" s="21"/>
      <c r="G4236" s="21"/>
      <c r="H4236" s="21"/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</row>
    <row r="4237">
      <c r="A4237" s="122"/>
      <c r="B4237" s="119"/>
      <c r="C4237" s="233"/>
      <c r="D4237" s="21"/>
      <c r="E4237" s="21"/>
      <c r="F4237" s="21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</row>
    <row r="4238">
      <c r="A4238" s="122"/>
      <c r="B4238" s="119"/>
      <c r="C4238" s="233"/>
      <c r="D4238" s="21"/>
      <c r="E4238" s="21"/>
      <c r="F4238" s="21"/>
      <c r="G4238" s="21"/>
      <c r="H4238" s="21"/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</row>
    <row r="4239">
      <c r="A4239" s="122"/>
      <c r="B4239" s="119"/>
      <c r="C4239" s="233"/>
      <c r="D4239" s="21"/>
      <c r="E4239" s="21"/>
      <c r="F4239" s="21"/>
      <c r="G4239" s="21"/>
      <c r="H4239" s="21"/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</row>
    <row r="4240">
      <c r="A4240" s="122"/>
      <c r="B4240" s="119"/>
      <c r="C4240" s="233"/>
      <c r="D4240" s="21"/>
      <c r="E4240" s="21"/>
      <c r="F4240" s="21"/>
      <c r="G4240" s="21"/>
      <c r="H4240" s="21"/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</row>
    <row r="4241">
      <c r="A4241" s="122"/>
      <c r="B4241" s="119"/>
      <c r="C4241" s="233"/>
      <c r="D4241" s="21"/>
      <c r="E4241" s="2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</row>
    <row r="4242">
      <c r="A4242" s="122"/>
      <c r="B4242" s="119"/>
      <c r="C4242" s="233"/>
      <c r="D4242" s="21"/>
      <c r="E4242" s="21"/>
      <c r="F4242" s="21"/>
      <c r="G4242" s="21"/>
      <c r="H4242" s="21"/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</row>
    <row r="4243">
      <c r="A4243" s="122"/>
      <c r="B4243" s="119"/>
      <c r="C4243" s="233"/>
      <c r="D4243" s="21"/>
      <c r="E4243" s="21"/>
      <c r="F4243" s="21"/>
      <c r="G4243" s="21"/>
      <c r="H4243" s="21"/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</row>
    <row r="4244">
      <c r="A4244" s="122"/>
      <c r="B4244" s="119"/>
      <c r="C4244" s="233"/>
      <c r="D4244" s="21"/>
      <c r="E4244" s="21"/>
      <c r="F4244" s="21"/>
      <c r="G4244" s="21"/>
      <c r="H4244" s="21"/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</row>
    <row r="4245">
      <c r="A4245" s="122"/>
      <c r="B4245" s="119"/>
      <c r="C4245" s="233"/>
      <c r="D4245" s="21"/>
      <c r="E4245" s="21"/>
      <c r="F4245" s="21"/>
      <c r="G4245" s="21"/>
      <c r="H4245" s="21"/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</row>
    <row r="4246">
      <c r="A4246" s="122"/>
      <c r="B4246" s="119"/>
      <c r="C4246" s="233"/>
      <c r="D4246" s="21"/>
      <c r="E4246" s="21"/>
      <c r="F4246" s="21"/>
      <c r="G4246" s="21"/>
      <c r="H4246" s="21"/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</row>
    <row r="4247">
      <c r="A4247" s="122"/>
      <c r="B4247" s="119"/>
      <c r="C4247" s="233"/>
      <c r="D4247" s="21"/>
      <c r="E4247" s="21"/>
      <c r="F4247" s="21"/>
      <c r="G4247" s="21"/>
      <c r="H4247" s="21"/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</row>
    <row r="4248">
      <c r="A4248" s="122"/>
      <c r="B4248" s="119"/>
      <c r="C4248" s="233"/>
      <c r="D4248" s="21"/>
      <c r="E4248" s="21"/>
      <c r="F4248" s="21"/>
      <c r="G4248" s="21"/>
      <c r="H4248" s="21"/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</row>
    <row r="4249">
      <c r="A4249" s="122"/>
      <c r="B4249" s="119"/>
      <c r="C4249" s="233"/>
      <c r="D4249" s="21"/>
      <c r="E4249" s="21"/>
      <c r="F4249" s="21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</row>
    <row r="4250">
      <c r="A4250" s="122"/>
      <c r="B4250" s="119"/>
      <c r="C4250" s="233"/>
      <c r="D4250" s="21"/>
      <c r="E4250" s="21"/>
      <c r="F4250" s="21"/>
      <c r="G4250" s="21"/>
      <c r="H4250" s="21"/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</row>
    <row r="4251">
      <c r="A4251" s="122"/>
      <c r="B4251" s="119"/>
      <c r="C4251" s="233"/>
      <c r="D4251" s="21"/>
      <c r="E4251" s="21"/>
      <c r="F4251" s="21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</row>
    <row r="4252">
      <c r="A4252" s="122"/>
      <c r="B4252" s="119"/>
      <c r="C4252" s="233"/>
      <c r="D4252" s="21"/>
      <c r="E4252" s="2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</row>
    <row r="4253">
      <c r="A4253" s="122"/>
      <c r="B4253" s="119"/>
      <c r="C4253" s="233"/>
      <c r="D4253" s="21"/>
      <c r="E4253" s="21"/>
      <c r="F4253" s="21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</row>
    <row r="4254">
      <c r="A4254" s="122"/>
      <c r="B4254" s="119"/>
      <c r="C4254" s="233"/>
      <c r="D4254" s="21"/>
      <c r="E4254" s="21"/>
      <c r="F4254" s="21"/>
      <c r="G4254" s="21"/>
      <c r="H4254" s="21"/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</row>
    <row r="4255">
      <c r="A4255" s="122"/>
      <c r="B4255" s="119"/>
      <c r="C4255" s="233"/>
      <c r="D4255" s="21"/>
      <c r="E4255" s="21"/>
      <c r="F4255" s="21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</row>
    <row r="4256">
      <c r="A4256" s="122"/>
      <c r="B4256" s="119"/>
      <c r="C4256" s="233"/>
      <c r="D4256" s="21"/>
      <c r="E4256" s="2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</row>
    <row r="4257">
      <c r="A4257" s="122"/>
      <c r="B4257" s="119"/>
      <c r="C4257" s="233"/>
      <c r="D4257" s="21"/>
      <c r="E4257" s="21"/>
      <c r="F4257" s="21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</row>
    <row r="4258">
      <c r="A4258" s="122"/>
      <c r="B4258" s="119"/>
      <c r="C4258" s="233"/>
      <c r="D4258" s="21"/>
      <c r="E4258" s="21"/>
      <c r="F4258" s="21"/>
      <c r="G4258" s="21"/>
      <c r="H4258" s="21"/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</row>
    <row r="4259">
      <c r="A4259" s="122"/>
      <c r="B4259" s="119"/>
      <c r="C4259" s="233"/>
      <c r="D4259" s="21"/>
      <c r="E4259" s="2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</row>
    <row r="4260">
      <c r="A4260" s="122"/>
      <c r="B4260" s="119"/>
      <c r="C4260" s="233"/>
      <c r="D4260" s="21"/>
      <c r="E4260" s="21"/>
      <c r="F4260" s="21"/>
      <c r="G4260" s="21"/>
      <c r="H4260" s="21"/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</row>
    <row r="4261">
      <c r="A4261" s="122"/>
      <c r="B4261" s="119"/>
      <c r="C4261" s="233"/>
      <c r="D4261" s="21"/>
      <c r="E4261" s="21"/>
      <c r="F4261" s="21"/>
      <c r="G4261" s="21"/>
      <c r="H4261" s="21"/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</row>
    <row r="4262">
      <c r="A4262" s="122"/>
      <c r="B4262" s="119"/>
      <c r="C4262" s="233"/>
      <c r="D4262" s="21"/>
      <c r="E4262" s="2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</row>
    <row r="4263">
      <c r="A4263" s="122"/>
      <c r="B4263" s="119"/>
      <c r="C4263" s="233"/>
      <c r="D4263" s="21"/>
      <c r="E4263" s="21"/>
      <c r="F4263" s="21"/>
      <c r="G4263" s="21"/>
      <c r="H4263" s="21"/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</row>
    <row r="4264">
      <c r="A4264" s="122"/>
      <c r="B4264" s="119"/>
      <c r="C4264" s="233"/>
      <c r="D4264" s="21"/>
      <c r="E4264" s="21"/>
      <c r="F4264" s="21"/>
      <c r="G4264" s="21"/>
      <c r="H4264" s="21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</row>
    <row r="4265">
      <c r="A4265" s="122"/>
      <c r="B4265" s="119"/>
      <c r="C4265" s="233"/>
      <c r="D4265" s="21"/>
      <c r="E4265" s="2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</row>
    <row r="4266">
      <c r="A4266" s="122"/>
      <c r="B4266" s="119"/>
      <c r="C4266" s="233"/>
      <c r="D4266" s="21"/>
      <c r="E4266" s="21"/>
      <c r="F4266" s="21"/>
      <c r="G4266" s="21"/>
      <c r="H4266" s="21"/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</row>
    <row r="4267">
      <c r="A4267" s="122"/>
      <c r="B4267" s="119"/>
      <c r="C4267" s="233"/>
      <c r="D4267" s="21"/>
      <c r="E4267" s="21"/>
      <c r="F4267" s="21"/>
      <c r="G4267" s="21"/>
      <c r="H4267" s="21"/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</row>
    <row r="4268">
      <c r="A4268" s="122"/>
      <c r="B4268" s="119"/>
      <c r="C4268" s="233"/>
      <c r="D4268" s="21"/>
      <c r="E4268" s="21"/>
      <c r="F4268" s="21"/>
      <c r="G4268" s="21"/>
      <c r="H4268" s="21"/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</row>
    <row r="4269">
      <c r="A4269" s="122"/>
      <c r="B4269" s="119"/>
      <c r="C4269" s="233"/>
      <c r="D4269" s="21"/>
      <c r="E4269" s="21"/>
      <c r="F4269" s="21"/>
      <c r="G4269" s="21"/>
      <c r="H4269" s="21"/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</row>
    <row r="4270">
      <c r="A4270" s="122"/>
      <c r="B4270" s="119"/>
      <c r="C4270" s="233"/>
      <c r="D4270" s="21"/>
      <c r="E4270" s="21"/>
      <c r="F4270" s="21"/>
      <c r="G4270" s="21"/>
      <c r="H4270" s="21"/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</row>
    <row r="4271">
      <c r="A4271" s="122"/>
      <c r="B4271" s="119"/>
      <c r="C4271" s="233"/>
      <c r="D4271" s="21"/>
      <c r="E4271" s="21"/>
      <c r="F4271" s="21"/>
      <c r="G4271" s="21"/>
      <c r="H4271" s="21"/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</row>
    <row r="4272">
      <c r="A4272" s="122"/>
      <c r="B4272" s="119"/>
      <c r="C4272" s="233"/>
      <c r="D4272" s="21"/>
      <c r="E4272" s="21"/>
      <c r="F4272" s="21"/>
      <c r="G4272" s="21"/>
      <c r="H4272" s="21"/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</row>
    <row r="4273">
      <c r="A4273" s="122"/>
      <c r="B4273" s="119"/>
      <c r="C4273" s="233"/>
      <c r="D4273" s="21"/>
      <c r="E4273" s="21"/>
      <c r="F4273" s="21"/>
      <c r="G4273" s="21"/>
      <c r="H4273" s="21"/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</row>
    <row r="4274">
      <c r="A4274" s="122"/>
      <c r="B4274" s="119"/>
      <c r="C4274" s="233"/>
      <c r="D4274" s="21"/>
      <c r="E4274" s="2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</row>
    <row r="4275">
      <c r="A4275" s="122"/>
      <c r="B4275" s="119"/>
      <c r="C4275" s="233"/>
      <c r="D4275" s="21"/>
      <c r="E4275" s="21"/>
      <c r="F4275" s="21"/>
      <c r="G4275" s="21"/>
      <c r="H4275" s="21"/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</row>
    <row r="4276">
      <c r="A4276" s="122"/>
      <c r="B4276" s="119"/>
      <c r="C4276" s="233"/>
      <c r="D4276" s="21"/>
      <c r="E4276" s="21"/>
      <c r="F4276" s="21"/>
      <c r="G4276" s="21"/>
      <c r="H4276" s="21"/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</row>
    <row r="4277">
      <c r="A4277" s="122"/>
      <c r="B4277" s="119"/>
      <c r="C4277" s="233"/>
      <c r="D4277" s="21"/>
      <c r="E4277" s="21"/>
      <c r="F4277" s="21"/>
      <c r="G4277" s="21"/>
      <c r="H4277" s="21"/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</row>
    <row r="4278">
      <c r="A4278" s="122"/>
      <c r="B4278" s="119"/>
      <c r="C4278" s="233"/>
      <c r="D4278" s="21"/>
      <c r="E4278" s="2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</row>
    <row r="4279">
      <c r="A4279" s="122"/>
      <c r="B4279" s="119"/>
      <c r="C4279" s="233"/>
      <c r="D4279" s="21"/>
      <c r="E4279" s="21"/>
      <c r="F4279" s="21"/>
      <c r="G4279" s="21"/>
      <c r="H4279" s="21"/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</row>
    <row r="4280">
      <c r="A4280" s="122"/>
      <c r="B4280" s="119"/>
      <c r="C4280" s="233"/>
      <c r="D4280" s="21"/>
      <c r="E4280" s="21"/>
      <c r="F4280" s="21"/>
      <c r="G4280" s="21"/>
      <c r="H4280" s="21"/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</row>
    <row r="4281">
      <c r="A4281" s="122"/>
      <c r="B4281" s="119"/>
      <c r="C4281" s="233"/>
      <c r="D4281" s="21"/>
      <c r="E4281" s="21"/>
      <c r="F4281" s="21"/>
      <c r="G4281" s="21"/>
      <c r="H4281" s="21"/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</row>
    <row r="4282">
      <c r="A4282" s="122"/>
      <c r="B4282" s="119"/>
      <c r="C4282" s="233"/>
      <c r="D4282" s="21"/>
      <c r="E4282" s="21"/>
      <c r="F4282" s="21"/>
      <c r="G4282" s="21"/>
      <c r="H4282" s="21"/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</row>
    <row r="4283">
      <c r="A4283" s="122"/>
      <c r="B4283" s="119"/>
      <c r="C4283" s="233"/>
      <c r="D4283" s="21"/>
      <c r="E4283" s="21"/>
      <c r="F4283" s="21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</row>
    <row r="4284">
      <c r="A4284" s="122"/>
      <c r="B4284" s="119"/>
      <c r="C4284" s="233"/>
      <c r="D4284" s="21"/>
      <c r="E4284" s="21"/>
      <c r="F4284" s="21"/>
      <c r="G4284" s="21"/>
      <c r="H4284" s="21"/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</row>
    <row r="4285">
      <c r="A4285" s="122"/>
      <c r="B4285" s="119"/>
      <c r="C4285" s="233"/>
      <c r="D4285" s="21"/>
      <c r="E4285" s="21"/>
      <c r="F4285" s="21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</row>
    <row r="4286">
      <c r="A4286" s="122"/>
      <c r="B4286" s="119"/>
      <c r="C4286" s="233"/>
      <c r="D4286" s="21"/>
      <c r="E4286" s="21"/>
      <c r="F4286" s="21"/>
      <c r="G4286" s="21"/>
      <c r="H4286" s="21"/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</row>
    <row r="4287">
      <c r="A4287" s="122"/>
      <c r="B4287" s="119"/>
      <c r="C4287" s="233"/>
      <c r="D4287" s="21"/>
      <c r="E4287" s="2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</row>
    <row r="4288">
      <c r="A4288" s="122"/>
      <c r="B4288" s="119"/>
      <c r="C4288" s="233"/>
      <c r="D4288" s="21"/>
      <c r="E4288" s="21"/>
      <c r="F4288" s="21"/>
      <c r="G4288" s="21"/>
      <c r="H4288" s="21"/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</row>
    <row r="4289">
      <c r="A4289" s="122"/>
      <c r="B4289" s="119"/>
      <c r="C4289" s="233"/>
      <c r="D4289" s="21"/>
      <c r="E4289" s="21"/>
      <c r="F4289" s="21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</row>
    <row r="4290">
      <c r="A4290" s="122"/>
      <c r="B4290" s="119"/>
      <c r="C4290" s="233"/>
      <c r="D4290" s="21"/>
      <c r="E4290" s="2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</row>
    <row r="4291">
      <c r="A4291" s="122"/>
      <c r="B4291" s="119"/>
      <c r="C4291" s="233"/>
      <c r="D4291" s="21"/>
      <c r="E4291" s="21"/>
      <c r="F4291" s="21"/>
      <c r="G4291" s="21"/>
      <c r="H4291" s="21"/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</row>
    <row r="4292">
      <c r="A4292" s="122"/>
      <c r="B4292" s="119"/>
      <c r="C4292" s="233"/>
      <c r="D4292" s="21"/>
      <c r="E4292" s="21"/>
      <c r="F4292" s="21"/>
      <c r="G4292" s="21"/>
      <c r="H4292" s="21"/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</row>
    <row r="4293">
      <c r="A4293" s="122"/>
      <c r="B4293" s="119"/>
      <c r="C4293" s="233"/>
      <c r="D4293" s="21"/>
      <c r="E4293" s="21"/>
      <c r="F4293" s="21"/>
      <c r="G4293" s="21"/>
      <c r="H4293" s="21"/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</row>
    <row r="4294">
      <c r="A4294" s="122"/>
      <c r="B4294" s="119"/>
      <c r="C4294" s="233"/>
      <c r="D4294" s="21"/>
      <c r="E4294" s="21"/>
      <c r="F4294" s="21"/>
      <c r="G4294" s="21"/>
      <c r="H4294" s="21"/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</row>
    <row r="4295">
      <c r="A4295" s="122"/>
      <c r="B4295" s="119"/>
      <c r="C4295" s="233"/>
      <c r="D4295" s="21"/>
      <c r="E4295" s="21"/>
      <c r="F4295" s="21"/>
      <c r="G4295" s="21"/>
      <c r="H4295" s="21"/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</row>
    <row r="4296">
      <c r="A4296" s="122"/>
      <c r="B4296" s="119"/>
      <c r="C4296" s="233"/>
      <c r="D4296" s="21"/>
      <c r="E4296" s="21"/>
      <c r="F4296" s="21"/>
      <c r="G4296" s="21"/>
      <c r="H4296" s="21"/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</row>
    <row r="4297">
      <c r="A4297" s="122"/>
      <c r="B4297" s="119"/>
      <c r="C4297" s="233"/>
      <c r="D4297" s="21"/>
      <c r="E4297" s="2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</row>
    <row r="4298">
      <c r="A4298" s="122"/>
      <c r="B4298" s="119"/>
      <c r="C4298" s="233"/>
      <c r="D4298" s="21"/>
      <c r="E4298" s="21"/>
      <c r="F4298" s="21"/>
      <c r="G4298" s="21"/>
      <c r="H4298" s="21"/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</row>
    <row r="4299">
      <c r="A4299" s="122"/>
      <c r="B4299" s="119"/>
      <c r="C4299" s="233"/>
      <c r="D4299" s="21"/>
      <c r="E4299" s="21"/>
      <c r="F4299" s="21"/>
      <c r="G4299" s="21"/>
      <c r="H4299" s="21"/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</row>
    <row r="4300">
      <c r="A4300" s="122"/>
      <c r="B4300" s="119"/>
      <c r="C4300" s="233"/>
      <c r="D4300" s="21"/>
      <c r="E4300" s="21"/>
      <c r="F4300" s="21"/>
      <c r="G4300" s="21"/>
      <c r="H4300" s="21"/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</row>
    <row r="4301">
      <c r="A4301" s="122"/>
      <c r="B4301" s="119"/>
      <c r="C4301" s="233"/>
      <c r="D4301" s="21"/>
      <c r="E4301" s="21"/>
      <c r="F4301" s="21"/>
      <c r="G4301" s="21"/>
      <c r="H4301" s="21"/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</row>
    <row r="4302">
      <c r="A4302" s="122"/>
      <c r="B4302" s="119"/>
      <c r="C4302" s="233"/>
      <c r="D4302" s="21"/>
      <c r="E4302" s="21"/>
      <c r="F4302" s="21"/>
      <c r="G4302" s="21"/>
      <c r="H4302" s="21"/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</row>
    <row r="4303">
      <c r="A4303" s="122"/>
      <c r="B4303" s="119"/>
      <c r="C4303" s="233"/>
      <c r="D4303" s="21"/>
      <c r="E4303" s="21"/>
      <c r="F4303" s="21"/>
      <c r="G4303" s="21"/>
      <c r="H4303" s="21"/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</row>
    <row r="4304">
      <c r="A4304" s="122"/>
      <c r="B4304" s="119"/>
      <c r="C4304" s="233"/>
      <c r="D4304" s="21"/>
      <c r="E4304" s="21"/>
      <c r="F4304" s="21"/>
      <c r="G4304" s="21"/>
      <c r="H4304" s="21"/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</row>
    <row r="4305">
      <c r="A4305" s="122"/>
      <c r="B4305" s="119"/>
      <c r="C4305" s="233"/>
      <c r="D4305" s="21"/>
      <c r="E4305" s="2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</row>
    <row r="4306">
      <c r="A4306" s="122"/>
      <c r="B4306" s="119"/>
      <c r="C4306" s="233"/>
      <c r="D4306" s="21"/>
      <c r="E4306" s="21"/>
      <c r="F4306" s="21"/>
      <c r="G4306" s="21"/>
      <c r="H4306" s="21"/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</row>
    <row r="4307">
      <c r="A4307" s="122"/>
      <c r="B4307" s="119"/>
      <c r="C4307" s="233"/>
      <c r="D4307" s="21"/>
      <c r="E4307" s="21"/>
      <c r="F4307" s="21"/>
      <c r="G4307" s="21"/>
      <c r="H4307" s="21"/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</row>
    <row r="4308">
      <c r="A4308" s="122"/>
      <c r="B4308" s="119"/>
      <c r="C4308" s="233"/>
      <c r="D4308" s="21"/>
      <c r="E4308" s="21"/>
      <c r="F4308" s="21"/>
      <c r="G4308" s="21"/>
      <c r="H4308" s="21"/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</row>
    <row r="4309">
      <c r="A4309" s="122"/>
      <c r="B4309" s="119"/>
      <c r="C4309" s="233"/>
      <c r="D4309" s="21"/>
      <c r="E4309" s="21"/>
      <c r="F4309" s="21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</row>
    <row r="4310">
      <c r="A4310" s="122"/>
      <c r="B4310" s="119"/>
      <c r="C4310" s="233"/>
      <c r="D4310" s="21"/>
      <c r="E4310" s="21"/>
      <c r="F4310" s="21"/>
      <c r="G4310" s="21"/>
      <c r="H4310" s="21"/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</row>
    <row r="4311">
      <c r="A4311" s="122"/>
      <c r="B4311" s="119"/>
      <c r="C4311" s="233"/>
      <c r="D4311" s="21"/>
      <c r="E4311" s="21"/>
      <c r="F4311" s="21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</row>
    <row r="4312">
      <c r="A4312" s="122"/>
      <c r="B4312" s="119"/>
      <c r="C4312" s="233"/>
      <c r="D4312" s="21"/>
      <c r="E4312" s="21"/>
      <c r="F4312" s="21"/>
      <c r="G4312" s="21"/>
      <c r="H4312" s="21"/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</row>
    <row r="4313">
      <c r="A4313" s="122"/>
      <c r="B4313" s="119"/>
      <c r="C4313" s="233"/>
      <c r="D4313" s="21"/>
      <c r="E4313" s="2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</row>
    <row r="4314">
      <c r="A4314" s="122"/>
      <c r="B4314" s="119"/>
      <c r="C4314" s="233"/>
      <c r="D4314" s="21"/>
      <c r="E4314" s="21"/>
      <c r="F4314" s="21"/>
      <c r="G4314" s="21"/>
      <c r="H4314" s="21"/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</row>
    <row r="4315">
      <c r="A4315" s="122"/>
      <c r="B4315" s="119"/>
      <c r="C4315" s="233"/>
      <c r="D4315" s="21"/>
      <c r="E4315" s="21"/>
      <c r="F4315" s="21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</row>
    <row r="4316">
      <c r="A4316" s="122"/>
      <c r="B4316" s="119"/>
      <c r="C4316" s="233"/>
      <c r="D4316" s="21"/>
      <c r="E4316" s="21"/>
      <c r="F4316" s="21"/>
      <c r="G4316" s="21"/>
      <c r="H4316" s="21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</row>
    <row r="4317">
      <c r="A4317" s="122"/>
      <c r="B4317" s="119"/>
      <c r="C4317" s="233"/>
      <c r="D4317" s="21"/>
      <c r="E4317" s="2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</row>
    <row r="4318">
      <c r="A4318" s="122"/>
      <c r="B4318" s="119"/>
      <c r="C4318" s="233"/>
      <c r="D4318" s="21"/>
      <c r="E4318" s="2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</row>
    <row r="4319">
      <c r="A4319" s="122"/>
      <c r="B4319" s="119"/>
      <c r="C4319" s="233"/>
      <c r="D4319" s="21"/>
      <c r="E4319" s="21"/>
      <c r="F4319" s="21"/>
      <c r="G4319" s="21"/>
      <c r="H4319" s="21"/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</row>
    <row r="4320">
      <c r="A4320" s="122"/>
      <c r="B4320" s="119"/>
      <c r="C4320" s="233"/>
      <c r="D4320" s="21"/>
      <c r="E4320" s="21"/>
      <c r="F4320" s="21"/>
      <c r="G4320" s="21"/>
      <c r="H4320" s="21"/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</row>
    <row r="4321">
      <c r="A4321" s="122"/>
      <c r="B4321" s="119"/>
      <c r="C4321" s="233"/>
      <c r="D4321" s="21"/>
      <c r="E4321" s="2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</row>
    <row r="4322">
      <c r="A4322" s="122"/>
      <c r="B4322" s="119"/>
      <c r="C4322" s="233"/>
      <c r="D4322" s="21"/>
      <c r="E4322" s="2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</row>
    <row r="4323">
      <c r="A4323" s="122"/>
      <c r="B4323" s="119"/>
      <c r="C4323" s="233"/>
      <c r="D4323" s="21"/>
      <c r="E4323" s="2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</row>
    <row r="4324">
      <c r="A4324" s="122"/>
      <c r="B4324" s="119"/>
      <c r="C4324" s="233"/>
      <c r="D4324" s="21"/>
      <c r="E4324" s="2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</row>
    <row r="4325">
      <c r="A4325" s="122"/>
      <c r="B4325" s="119"/>
      <c r="C4325" s="233"/>
      <c r="D4325" s="21"/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</row>
    <row r="4326">
      <c r="A4326" s="122"/>
      <c r="B4326" s="119"/>
      <c r="C4326" s="233"/>
      <c r="D4326" s="21"/>
      <c r="E4326" s="21"/>
      <c r="F4326" s="21"/>
      <c r="G4326" s="21"/>
      <c r="H4326" s="21"/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</row>
  </sheetData>
  <hyperlinks>
    <hyperlink r:id="rId1" ref="L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3.88"/>
  </cols>
  <sheetData>
    <row r="1">
      <c r="A1" s="47">
        <f>TODAY()</f>
        <v>46250</v>
      </c>
      <c r="B1" s="48"/>
      <c r="C1" s="49"/>
      <c r="D1" s="50" t="s">
        <v>14</v>
      </c>
      <c r="E1" s="51" t="s">
        <v>15</v>
      </c>
      <c r="F1" s="52" t="s">
        <v>16</v>
      </c>
      <c r="G1" s="52" t="s">
        <v>17</v>
      </c>
      <c r="H1" s="52" t="s">
        <v>8</v>
      </c>
      <c r="I1" s="52" t="s">
        <v>18</v>
      </c>
      <c r="J1" s="53"/>
      <c r="K1" s="54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>
      <c r="A2" s="56">
        <f t="shared" ref="A2:A8" si="1">A1-1</f>
        <v>46249</v>
      </c>
      <c r="B2" s="57"/>
      <c r="C2" s="58" t="s">
        <v>19</v>
      </c>
      <c r="D2" s="59">
        <f t="shared" ref="D2:D8" si="2">G2-H2</f>
        <v>11</v>
      </c>
      <c r="E2" s="60">
        <f>IFERROR(round(AVERAGEIFS(dataMail!$P:$P, dataMail!$A:$A,$A2, dataMail!$C:$C,"&lt;&gt;Annulation"),1),"-")</f>
        <v>144.5</v>
      </c>
      <c r="F2" s="61">
        <f>SUMIFS(dataMail!S:S,dataMail!A:A,A2, dataMail!C:C,"Confirmation")</f>
        <v>72</v>
      </c>
      <c r="G2" s="62">
        <f>SUMIFS(dataMail!$I:$I,dataMail!$A:$A,$A2)</f>
        <v>11</v>
      </c>
      <c r="H2" s="62">
        <f>SUMIFS(dataMail!$I:$I,dataMail!$V:$V,$A2,dataMail!C:C,"Annulation")</f>
        <v>0</v>
      </c>
      <c r="I2" s="63">
        <f t="shared" ref="I2:I8" si="3">IFERROR(round(D2*E2+F2,1),0)</f>
        <v>1661.5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>
      <c r="A3" s="56">
        <f t="shared" si="1"/>
        <v>46248</v>
      </c>
      <c r="B3" s="57"/>
      <c r="C3" s="58" t="s">
        <v>20</v>
      </c>
      <c r="D3" s="59">
        <f t="shared" si="2"/>
        <v>20</v>
      </c>
      <c r="E3" s="60">
        <f>IFERROR(round(AVERAGEIFS(dataMail!$P:$P, dataMail!$A:$A,$A3, dataMail!$C:$C,"&lt;&gt;Annulation"),1),"-")</f>
        <v>117.9</v>
      </c>
      <c r="F3" s="61">
        <f>SUMIFS(dataMail!S:S,dataMail!A:A,A3, dataMail!C:C,"Confirmation")</f>
        <v>252</v>
      </c>
      <c r="G3" s="62">
        <f>SUMIFS(dataMail!$I:$I,dataMail!$A:$A,$A3)</f>
        <v>20</v>
      </c>
      <c r="H3" s="62">
        <f>SUMIFS(dataMail!$I:$I,dataMail!$V:$V,$A3,dataMail!C:C,"Annulation")</f>
        <v>0</v>
      </c>
      <c r="I3" s="63">
        <f t="shared" si="3"/>
        <v>2610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</row>
    <row r="4">
      <c r="A4" s="56">
        <f t="shared" si="1"/>
        <v>46247</v>
      </c>
      <c r="B4" s="57"/>
      <c r="C4" s="58" t="str">
        <f>IFERROR(__xludf.DUMMYFUNCTION("CONCATENATE(""Vente du "",TO_TEXT(A4))"),"Vente du 13/08/2026")</f>
        <v>Vente du 13/08/2026</v>
      </c>
      <c r="D4" s="59">
        <f t="shared" si="2"/>
        <v>7</v>
      </c>
      <c r="E4" s="60">
        <f>IFERROR(round(AVERAGEIFS(dataMail!$P:$P, dataMail!$A:$A,$A4, dataMail!$C:$C,"&lt;&gt;Annulation"),1),"-")</f>
        <v>229.8</v>
      </c>
      <c r="F4" s="61">
        <f>SUMIFS(dataMail!S:S,dataMail!A:A,A4, dataMail!C:C,"Confirmation")</f>
        <v>108</v>
      </c>
      <c r="G4" s="62">
        <f>SUMIFS(dataMail!$I:$I,dataMail!$A:$A,$A4)</f>
        <v>7</v>
      </c>
      <c r="H4" s="62">
        <f>SUMIFS(dataMail!$I:$I,dataMail!$V:$V,$A4,dataMail!C:C,"Annulation")</f>
        <v>0</v>
      </c>
      <c r="I4" s="63">
        <f t="shared" si="3"/>
        <v>1716.6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>
      <c r="A5" s="56">
        <f t="shared" si="1"/>
        <v>46246</v>
      </c>
      <c r="B5" s="57"/>
      <c r="C5" s="58" t="str">
        <f>IFERROR(__xludf.DUMMYFUNCTION("CONCATENATE(""Vente du "",TO_TEXT(A5))"),"Vente du 12/08/2026")</f>
        <v>Vente du 12/08/2026</v>
      </c>
      <c r="D5" s="59">
        <f t="shared" si="2"/>
        <v>1</v>
      </c>
      <c r="E5" s="60">
        <f>IFERROR(round(AVERAGEIFS(dataMail!$P:$P, dataMail!$A:$A,$A5, dataMail!$C:$C,"&lt;&gt;Annulation"),1),"-")</f>
        <v>89.5</v>
      </c>
      <c r="F5" s="61">
        <f>SUMIFS(dataMail!S:S,dataMail!A:A,A5, dataMail!C:C,"Confirmation")</f>
        <v>0</v>
      </c>
      <c r="G5" s="62">
        <f>SUMIFS(dataMail!$I:$I,dataMail!$A:$A,$A5)</f>
        <v>1</v>
      </c>
      <c r="H5" s="62">
        <f>SUMIFS(dataMail!$I:$I,dataMail!$V:$V,$A5,dataMail!C:C,"Annulation")</f>
        <v>0</v>
      </c>
      <c r="I5" s="63">
        <f t="shared" si="3"/>
        <v>89.5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</row>
    <row r="6">
      <c r="A6" s="56">
        <f t="shared" si="1"/>
        <v>46245</v>
      </c>
      <c r="B6" s="57"/>
      <c r="C6" s="58" t="str">
        <f>IFERROR(__xludf.DUMMYFUNCTION("CONCATENATE(""Vente du "",TO_TEXT(A6))"),"Vente du 11/08/2026")</f>
        <v>Vente du 11/08/2026</v>
      </c>
      <c r="D6" s="59">
        <f t="shared" si="2"/>
        <v>12</v>
      </c>
      <c r="E6" s="60">
        <f>IFERROR(round(AVERAGEIFS(dataMail!$P:$P, dataMail!$A:$A,$A6, dataMail!$C:$C,"&lt;&gt;Annulation"),1),"-")</f>
        <v>106.3</v>
      </c>
      <c r="F6" s="61">
        <f>SUMIFS(dataMail!S:S,dataMail!A:A,A6, dataMail!C:C,"Confirmation")</f>
        <v>0</v>
      </c>
      <c r="G6" s="62">
        <f>SUMIFS(dataMail!$I:$I,dataMail!$A:$A,$A6)</f>
        <v>12</v>
      </c>
      <c r="H6" s="62">
        <f>SUMIFS(dataMail!$I:$I,dataMail!$V:$V,$A6,dataMail!C:C,"Annulation")</f>
        <v>0</v>
      </c>
      <c r="I6" s="63">
        <f t="shared" si="3"/>
        <v>1275.6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  <row r="7">
      <c r="A7" s="56">
        <f t="shared" si="1"/>
        <v>46244</v>
      </c>
      <c r="B7" s="57"/>
      <c r="C7" s="58" t="str">
        <f>IFERROR(__xludf.DUMMYFUNCTION("CONCATENATE(""Vente du "",TO_TEXT(A7))"),"Vente du 10/08/2026")</f>
        <v>Vente du 10/08/2026</v>
      </c>
      <c r="D7" s="59">
        <f t="shared" si="2"/>
        <v>0</v>
      </c>
      <c r="E7" s="60">
        <f>IFERROR(round(AVERAGEIFS(dataMail!$P:$P, dataMail!$A:$A,$A7, dataMail!$C:$C,"&lt;&gt;Annulation"),1),"-")</f>
        <v>120</v>
      </c>
      <c r="F7" s="61">
        <f>SUMIFS(dataMail!S:S,dataMail!A:A,A7, dataMail!C:C,"Confirmation")</f>
        <v>0</v>
      </c>
      <c r="G7" s="62">
        <f>SUMIFS(dataMail!$I:$I,dataMail!$A:$A,$A7)</f>
        <v>14</v>
      </c>
      <c r="H7" s="62">
        <f>SUMIFS(dataMail!$I:$I,dataMail!$V:$V,$A7,dataMail!C:C,"Annulation")</f>
        <v>14</v>
      </c>
      <c r="I7" s="63">
        <f t="shared" si="3"/>
        <v>0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>
      <c r="A8" s="56">
        <f t="shared" si="1"/>
        <v>46243</v>
      </c>
      <c r="B8" s="57"/>
      <c r="C8" s="58" t="str">
        <f>IFERROR(__xludf.DUMMYFUNCTION("CONCATENATE(""Vente du "",TO_TEXT(A8))"),"Vente du 09/08/2026")</f>
        <v>Vente du 09/08/2026</v>
      </c>
      <c r="D8" s="59">
        <f t="shared" si="2"/>
        <v>3</v>
      </c>
      <c r="E8" s="60">
        <f>IFERROR(round(AVERAGEIFS(dataMail!$P:$P, dataMail!$A:$A,$A8, dataMail!$C:$C,"&lt;&gt;Annulation"),1),"-")</f>
        <v>211.6</v>
      </c>
      <c r="F8" s="61">
        <f>SUMIFS(dataMail!S:S,dataMail!A:A,A8, dataMail!C:C,"Confirmation")</f>
        <v>0</v>
      </c>
      <c r="G8" s="62">
        <f>SUMIFS(dataMail!$I:$I,dataMail!$A:$A,$A8)</f>
        <v>15</v>
      </c>
      <c r="H8" s="62">
        <f>SUMIFS(dataMail!$I:$I,dataMail!$V:$V,$A8,dataMail!C:C,"Annulation")</f>
        <v>12</v>
      </c>
      <c r="I8" s="63">
        <f t="shared" si="3"/>
        <v>634.8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</row>
    <row r="9">
      <c r="A9" s="70"/>
      <c r="B9" s="57"/>
      <c r="C9" s="58"/>
      <c r="D9" s="71"/>
      <c r="E9" s="72"/>
      <c r="F9" s="61"/>
      <c r="G9" s="73"/>
      <c r="H9" s="74"/>
      <c r="I9" s="7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>
      <c r="A10" s="70"/>
      <c r="B10" s="57"/>
      <c r="C10" s="58" t="s">
        <v>21</v>
      </c>
      <c r="D10" s="75">
        <f>SUM(D2:D8)</f>
        <v>54</v>
      </c>
      <c r="E10" s="76">
        <f>round(AVERAGE(E2:E8),1)</f>
        <v>145.7</v>
      </c>
      <c r="F10" s="61">
        <f t="shared" ref="F10:H10" si="4">SUM(F2:F8)</f>
        <v>432</v>
      </c>
      <c r="G10" s="71">
        <f t="shared" si="4"/>
        <v>80</v>
      </c>
      <c r="H10" s="71">
        <f t="shared" si="4"/>
        <v>26</v>
      </c>
      <c r="I10" s="77">
        <f>round(SUM(I2:I8),1)</f>
        <v>7988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>
      <c r="A11" s="70"/>
      <c r="B11" s="57"/>
      <c r="C11" s="58" t="s">
        <v>22</v>
      </c>
      <c r="D11" s="79">
        <f>SUM(D2:D8)+SUM(D78:D98)</f>
        <v>250</v>
      </c>
      <c r="E11" s="81">
        <f>round((SUM(E2:E8)+SUM(E78:E98))/28,1)</f>
        <v>132.3</v>
      </c>
      <c r="F11" s="61">
        <f t="shared" ref="F11:H11" si="5">SUM(F2:F8)+SUM(F78:F98)</f>
        <v>900</v>
      </c>
      <c r="G11" s="71">
        <f t="shared" si="5"/>
        <v>434</v>
      </c>
      <c r="H11" s="71">
        <f t="shared" si="5"/>
        <v>184</v>
      </c>
      <c r="I11" s="63">
        <f>round(SUM(I2:I8)+SUM(I78:I98),1)</f>
        <v>35492.1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>
      <c r="A12" s="83"/>
      <c r="B12" s="53"/>
      <c r="C12" s="64"/>
      <c r="D12" s="84"/>
      <c r="E12" s="85"/>
      <c r="F12" s="84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>
      <c r="A13" s="83"/>
      <c r="B13" s="86"/>
      <c r="C13" s="87" t="s">
        <v>23</v>
      </c>
      <c r="D13" s="87">
        <v>7.0</v>
      </c>
      <c r="E13" s="87">
        <v>30.0</v>
      </c>
      <c r="F13" s="88">
        <v>90.0</v>
      </c>
      <c r="G13" s="87">
        <v>180.0</v>
      </c>
      <c r="H13" s="1"/>
      <c r="I13" s="1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>
      <c r="A14" s="83">
        <f t="shared" ref="A14:A16" si="7">A1</f>
        <v>46250</v>
      </c>
      <c r="B14" s="86"/>
      <c r="C14" s="87" t="s">
        <v>24</v>
      </c>
      <c r="D14" s="89" t="str">
        <f t="shared" ref="D14:G14" si="6">calculStock($A14,$A$14,$A$14+D$13)</f>
        <v>12 (86%)</v>
      </c>
      <c r="E14" s="89" t="str">
        <f t="shared" si="6"/>
        <v>96 (73%)</v>
      </c>
      <c r="F14" s="89" t="str">
        <f t="shared" si="6"/>
        <v>293 (73%)</v>
      </c>
      <c r="G14" s="89" t="str">
        <f t="shared" si="6"/>
        <v>1062 (51%)</v>
      </c>
      <c r="H14" s="1"/>
      <c r="I14" s="1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>
      <c r="A15" s="83">
        <f t="shared" si="7"/>
        <v>46249</v>
      </c>
      <c r="B15" s="48"/>
      <c r="C15" s="90" t="s">
        <v>25</v>
      </c>
      <c r="D15" s="89" t="str">
        <f t="shared" ref="D15:G15" si="8">calculStock($A15,$A$14,$A$14+D$13)</f>
        <v>13 (85%)</v>
      </c>
      <c r="E15" s="89" t="str">
        <f t="shared" si="8"/>
        <v>97 (73%)</v>
      </c>
      <c r="F15" s="89" t="str">
        <f t="shared" si="8"/>
        <v>296 (73%)</v>
      </c>
      <c r="G15" s="89" t="str">
        <f t="shared" si="8"/>
        <v>1073 (51%)</v>
      </c>
      <c r="H15" s="91"/>
      <c r="I15" s="91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>
      <c r="A16" s="83">
        <f t="shared" si="7"/>
        <v>46248</v>
      </c>
      <c r="B16" s="86"/>
      <c r="C16" s="87" t="s">
        <v>26</v>
      </c>
      <c r="D16" s="89" t="str">
        <f t="shared" ref="D16:G16" si="9">calculStock($A16,$A$14,$A$14+D$13)</f>
        <v>16 (81%)</v>
      </c>
      <c r="E16" s="89" t="str">
        <f t="shared" si="9"/>
        <v>101 (72%)</v>
      </c>
      <c r="F16" s="89" t="str">
        <f t="shared" si="9"/>
        <v>304 (72%)</v>
      </c>
      <c r="G16" s="89" t="str">
        <f t="shared" si="9"/>
        <v>1085 (50%)</v>
      </c>
      <c r="H16" s="1"/>
      <c r="I16" s="1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>
      <c r="A17" s="83">
        <f>A8</f>
        <v>46243</v>
      </c>
      <c r="B17" s="86"/>
      <c r="C17" s="87" t="s">
        <v>27</v>
      </c>
      <c r="D17" s="89" t="str">
        <f t="shared" ref="D17:G17" si="10">calculStock($A17,$A$14,$A$14+D$13)</f>
        <v>16 (81%)</v>
      </c>
      <c r="E17" s="89" t="str">
        <f t="shared" si="10"/>
        <v>109 (70%)</v>
      </c>
      <c r="F17" s="89" t="str">
        <f t="shared" si="10"/>
        <v>322 (71%)</v>
      </c>
      <c r="G17" s="89" t="str">
        <f t="shared" si="10"/>
        <v>1109 (49%)</v>
      </c>
      <c r="H17" s="1"/>
      <c r="I17" s="1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>
      <c r="A18" s="83">
        <f>A14-30</f>
        <v>46220</v>
      </c>
      <c r="B18" s="86"/>
      <c r="C18" s="87" t="s">
        <v>28</v>
      </c>
      <c r="D18" s="89" t="str">
        <f t="shared" ref="D18:G18" si="11">calculStock($A18,$A$14,$A$14+D$13)</f>
        <v>46 (45%)</v>
      </c>
      <c r="E18" s="89" t="str">
        <f t="shared" si="11"/>
        <v>180 (50%)</v>
      </c>
      <c r="F18" s="89" t="str">
        <f t="shared" si="11"/>
        <v>443 (59%)</v>
      </c>
      <c r="G18" s="89" t="str">
        <f t="shared" si="11"/>
        <v>1273 (41%)</v>
      </c>
      <c r="H18" s="1"/>
      <c r="I18" s="1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</row>
    <row r="19">
      <c r="A19" s="83">
        <f>A16-90</f>
        <v>46158</v>
      </c>
      <c r="B19" s="86"/>
      <c r="C19" s="87" t="s">
        <v>29</v>
      </c>
      <c r="D19" s="89" t="str">
        <f t="shared" ref="D19:G19" si="12">calculStock($A19,$A$14,$A$14+D$13)</f>
        <v>68 (19%)</v>
      </c>
      <c r="E19" s="89" t="str">
        <f t="shared" si="12"/>
        <v>271 (25%)</v>
      </c>
      <c r="F19" s="89" t="str">
        <f t="shared" si="12"/>
        <v>632 (42%)</v>
      </c>
      <c r="G19" s="89" t="str">
        <f t="shared" si="12"/>
        <v>1525 (30%)</v>
      </c>
      <c r="H19" s="1"/>
      <c r="I19" s="1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</row>
    <row r="20">
      <c r="A20" s="83"/>
      <c r="B20" s="86"/>
      <c r="C20" s="92"/>
      <c r="D20" s="92"/>
      <c r="E20" s="92"/>
      <c r="F20" s="92"/>
      <c r="G20" s="1"/>
      <c r="H20" s="1"/>
      <c r="I20" s="1"/>
      <c r="J20" s="1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</row>
    <row r="21">
      <c r="A21" s="83"/>
      <c r="B21" s="86"/>
      <c r="C21" s="87" t="s">
        <v>30</v>
      </c>
      <c r="D21" s="87">
        <v>7.0</v>
      </c>
      <c r="E21" s="87">
        <v>30.0</v>
      </c>
      <c r="F21" s="88">
        <v>90.0</v>
      </c>
      <c r="G21" s="87">
        <v>180.0</v>
      </c>
      <c r="H21" s="1"/>
      <c r="I21" s="1"/>
      <c r="J21" s="1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</row>
    <row r="22">
      <c r="A22" s="83">
        <f>A14-365</f>
        <v>45885</v>
      </c>
      <c r="B22" s="86"/>
      <c r="C22" s="87" t="s">
        <v>24</v>
      </c>
      <c r="D22" s="89">
        <v>35.0</v>
      </c>
      <c r="E22" s="89">
        <v>140.0</v>
      </c>
      <c r="F22" s="89">
        <v>462.0</v>
      </c>
      <c r="G22" s="89">
        <v>1225.0</v>
      </c>
      <c r="H22" s="1"/>
      <c r="I22" s="1"/>
      <c r="J22" s="1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</row>
    <row r="23">
      <c r="A23" s="83"/>
      <c r="B23" s="93"/>
      <c r="C23" s="94"/>
      <c r="D23" s="95" t="s">
        <v>31</v>
      </c>
      <c r="E23" s="96"/>
      <c r="F23" s="5"/>
      <c r="G23" s="95" t="s">
        <v>32</v>
      </c>
      <c r="H23" s="96"/>
      <c r="I23" s="5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</row>
    <row r="24">
      <c r="A24" s="70"/>
      <c r="B24" s="97"/>
      <c r="C24" s="94" t="s">
        <v>33</v>
      </c>
      <c r="D24" s="50" t="s">
        <v>4</v>
      </c>
      <c r="E24" s="51" t="s">
        <v>15</v>
      </c>
      <c r="F24" s="98" t="s">
        <v>34</v>
      </c>
      <c r="G24" s="50" t="s">
        <v>4</v>
      </c>
      <c r="H24" s="51" t="s">
        <v>15</v>
      </c>
      <c r="I24" s="98" t="s">
        <v>34</v>
      </c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</row>
    <row r="25">
      <c r="A25" s="56">
        <f t="shared" ref="A25:A26" si="13">A1</f>
        <v>46250</v>
      </c>
      <c r="B25" s="99">
        <f>A25-7</f>
        <v>46243</v>
      </c>
      <c r="C25" s="100" t="s">
        <v>12</v>
      </c>
      <c r="D25" s="102">
        <f>SUMIFS(dataMail!$I:$I,dataMail!$A:$A,"&lt;"&amp;$A$25,dataMail!$A:$A,"&gt;="&amp;$B$25, dataMail!$D:$D,$C25)-SUMIFS(dataMail!$I:$I,dataMail!$C:$C,"Annulation",dataMail!$V:$V,"&lt;"&amp;$A$25,dataMail!$V:$V,"&gt;="&amp;$B$25, dataMail!$D:$D,$C25)</f>
        <v>0</v>
      </c>
      <c r="E25" s="103">
        <f>round(IFERROR(AVERAGEIFS(dataMail!$P:$P,dataMail!$A:$A,"&lt;"&amp;$A$25,dataMail!$A:$A,"&gt;="&amp;$B$25, dataMail!$C:$C,"&lt;&gt;Annulation",dataMail!$D:$D,$C25),"0"),1)</f>
        <v>0</v>
      </c>
      <c r="F25" s="104">
        <f>round(D25*E25,1)</f>
        <v>0</v>
      </c>
      <c r="G25" s="102">
        <f>SUMIFS(dataMail!$I:$I,dataMail!$A:$A,"&lt;"&amp;$A$26,dataMail!$A:$A,"&gt;="&amp;$B$26, dataMail!$D:$D,$C25)-SUMIFS(dataMail!$I:$I,dataMail!$C:$C,"Annulation",dataMail!$V:$V,"&lt;"&amp;$A$26,dataMail!$V:$V,"&gt;="&amp;$B$26,dataMail!$D:$D,$C25)</f>
        <v>2</v>
      </c>
      <c r="H25" s="103">
        <f>round(IFERROR(AVERAGEIFS(dataMail!$P:$P,dataMail!$A:$A,"&lt;"&amp;$A$26,dataMail!$A:$A,"&gt;="&amp;$B$26, dataMail!$C:$C,"&lt;&gt;Annulation",dataMail!$D:$D,$C25),"0"),1)</f>
        <v>143.9</v>
      </c>
      <c r="I25" s="104">
        <f t="shared" ref="I25:I27" si="14">round(G25*H25,1)</f>
        <v>287.8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</row>
    <row r="26">
      <c r="A26" s="56">
        <f t="shared" si="13"/>
        <v>46249</v>
      </c>
      <c r="B26" s="99">
        <f>A26-28</f>
        <v>46221</v>
      </c>
      <c r="C26" s="105" t="s">
        <v>35</v>
      </c>
      <c r="D26" s="102">
        <f>SUMIFS(dataMail!$I:$I,dataMail!$A:$A,"&lt;"&amp;$A$25,dataMail!$A:$A,"&gt;="&amp;$B$25, dataMail!$D:$D,$C26)-SUMIFS(dataMail!$I:$I,dataMail!$C:$C,"Annulation",dataMail!$V:$V,"&lt;"&amp;$A$25,dataMail!$V:$V,"&gt;="&amp;$B$25, dataMail!$D:$D,$C26)</f>
        <v>46</v>
      </c>
      <c r="E26" s="103">
        <f>round(IFERROR(AVERAGEIFS(dataMail!$P:$P,dataMail!$A:$A,"&lt;"&amp;$A$25,dataMail!$A:$A,"&gt;="&amp;$B$25, dataMail!$C:$C,"&lt;&gt;Annulation",dataMail!$D:$D,$C26),"0"),1)</f>
        <v>136.7</v>
      </c>
      <c r="F26" s="104">
        <f t="shared" ref="F26:F27" si="15">ROUND(D26*E26,1)</f>
        <v>6288.2</v>
      </c>
      <c r="G26" s="102">
        <f>SUMIFS(dataMail!$I:$I,dataMail!$A:$A,"&lt;"&amp;$A$26,dataMail!$A:$A,"&gt;="&amp;$B$26, dataMail!$D:$D,$C26)-SUMIFS(dataMail!$I:$I,dataMail!$C:$C,"Annulation",dataMail!$V:$V,"&lt;"&amp;$A$26,dataMail!$V:$V,"&gt;="&amp;$B$26,dataMail!$D:$D,$C26)</f>
        <v>166</v>
      </c>
      <c r="H26" s="103">
        <f>round(IFERROR(AVERAGEIFS(dataMail!$P:$P,dataMail!$A:$A,"&lt;"&amp;$A$26,dataMail!$A:$A,"&gt;="&amp;$B$26, dataMail!$C:$C,"&lt;&gt;Annulation",dataMail!$D:$D,$C26),"0"),1)</f>
        <v>126</v>
      </c>
      <c r="I26" s="104">
        <f t="shared" si="14"/>
        <v>20916</v>
      </c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</row>
    <row r="27">
      <c r="A27" s="56"/>
      <c r="B27" s="106"/>
      <c r="C27" s="105" t="s">
        <v>36</v>
      </c>
      <c r="D27" s="102">
        <f>SUMIFS(dataMail!$I:$I,dataMail!$A:$A,"&lt;"&amp;$A$25,dataMail!$A:$A,"&gt;="&amp;$B$25, dataMail!$D:$D,"="&amp;$C27&amp;"*")-SUMIFS(dataMail!$I:$I,dataMail!$C:$C,"Annulation",dataMail!$V:$V,"&lt;"&amp;$A$25,dataMail!$V:$V,"&gt;="&amp;$B$25, dataMail!$D:$D,$C27)</f>
        <v>4</v>
      </c>
      <c r="E27" s="103">
        <f>round(IFERROR(AVERAGEIFS(dataMail!$P:$P,dataMail!$A:$A,"&lt;"&amp;$A$25,dataMail!$A:$A,"&gt;="&amp;$B$25, dataMail!$C:$C,"&lt;&gt;Annulation",dataMail!$D:$D,$C27),"0"),1)</f>
        <v>201</v>
      </c>
      <c r="F27" s="104">
        <f t="shared" si="15"/>
        <v>804</v>
      </c>
      <c r="G27" s="102">
        <f>SUMIFS(dataMail!$I:$I,dataMail!$A:$A,"&lt;"&amp;$A$26,dataMail!$A:$A,"&gt;="&amp;$B$26, dataMail!$D:$D,"="&amp;$C27&amp;"*")-SUMIFS(dataMail!$I:$I,dataMail!$C:$C,"Annulation",dataMail!$V:$V,"&lt;"&amp;$A$26,dataMail!$V:$V,"&gt;="&amp;$B$26,dataMail!$D:$D,$C27)</f>
        <v>90</v>
      </c>
      <c r="H27" s="103">
        <f>round(IFERROR(AVERAGEIFS(dataMail!$P:$P,dataMail!$A:$A,"&lt;"&amp;$A$26,dataMail!$A:$A,"&gt;="&amp;$B$26, dataMail!$C:$C,"&lt;&gt;Annulation",dataMail!$D:$D,$C27),"0"),1)</f>
        <v>239.4</v>
      </c>
      <c r="I27" s="104">
        <f t="shared" si="14"/>
        <v>21546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</row>
    <row r="28">
      <c r="A28" s="56"/>
      <c r="B28" s="106"/>
      <c r="C28" s="105" t="s">
        <v>37</v>
      </c>
      <c r="D28" s="108">
        <f>D10-D26-D25-D27</f>
        <v>4</v>
      </c>
      <c r="E28" s="102"/>
      <c r="F28" s="104" t="str">
        <f>IF(A28="","",'Détail Extra'!K12)</f>
        <v/>
      </c>
      <c r="G28" s="108">
        <f>D11-G26-G25-G27</f>
        <v>-8</v>
      </c>
      <c r="H28" s="102"/>
      <c r="I28" s="104" t="str">
        <f>IF(E28="","",'Détail Extra'!N12)</f>
        <v/>
      </c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</row>
    <row r="29">
      <c r="A29" s="56"/>
      <c r="C29" s="109" t="s">
        <v>38</v>
      </c>
      <c r="D29" s="110"/>
      <c r="E29" s="110"/>
      <c r="F29" s="111" t="s">
        <v>39</v>
      </c>
      <c r="G29" s="110"/>
      <c r="H29" s="110"/>
      <c r="I29" s="112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</row>
    <row r="30">
      <c r="A30" s="56"/>
      <c r="C30" s="113">
        <f>NOW()</f>
        <v>46250.27601</v>
      </c>
      <c r="D30" s="110">
        <f>SUMIFS(dataMail!$I:$I,dataMail!$A:$A,"&lt;"&amp;$A$25,dataMail!$A:$A,"&gt;="&amp;$B$25,dataMail!$G:$G,"&lt;"&amp;$C31)-SUMIFS(dataMail!$I:$I,dataMail!$V:$V,"&lt;"&amp;$A$25,dataMail!$V:$V,"&gt;="&amp;$B$25, dataMail!$G:$G,"&lt;"&amp;$C31,dataMail!C:C,"Annulation")</f>
        <v>10</v>
      </c>
      <c r="E30" s="60">
        <f>round(IFERROR(AVERAGEIFS(dataMail!$P:$P,dataMail!$A:$A,"&lt;"&amp;$A$25,dataMail!$A:$A,"&gt;="&amp;$B$25, dataMail!$C:$C,"&lt;&gt;Annulation",dataMail!$G:$G,"&lt;"&amp;$C31),"0"),1)</f>
        <v>76.2</v>
      </c>
      <c r="F30" s="114">
        <f>ROUND(HLOOKUP(C30,TdB!$C$1:$X$4,4),4)</f>
        <v>0.7527</v>
      </c>
      <c r="G30" s="110">
        <f>SUMIFS(dataMail!$I:$I,dataMail!$A:$A,"&lt;"&amp;$A$26,dataMail!$A:$A,"&gt;="&amp;$B$26,dataMail!$G:$G,"&lt;"&amp;$C31)-SUMIFS(dataMail!$I:$I,dataMail!$V:$V,"&lt;"&amp;$A$26,dataMail!$V:$V,"&gt;="&amp;$B$26, dataMail!$G:$G,"&lt;"&amp;$C31,dataMail!C:C,"Annulation")</f>
        <v>96</v>
      </c>
      <c r="H30" s="60">
        <f>round(IFERROR(AVERAGEIFS(dataMail!$P:$P,dataMail!$A:$A,"&lt;"&amp;$A$26,dataMail!$A:$A,"&gt;="&amp;$B$26, dataMail!$C:$C,"&lt;&gt;Annulation",dataMail!$G:$G,"&lt;"&amp;$C31),"0"),1)</f>
        <v>95.9</v>
      </c>
      <c r="I30" s="110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</row>
    <row r="31">
      <c r="A31" s="56"/>
      <c r="C31" s="113">
        <f t="shared" ref="C31:C38" si="16">EOMONTH(C30,0)+1</f>
        <v>46266</v>
      </c>
      <c r="D31" s="110">
        <f>SUMIFS(dataMail!$I:$I,dataMail!$A:$A,"&lt;"&amp;$A$25,dataMail!$A:$A,"&gt;="&amp;$B$25, dataMail!$G:$G,"&gt;="&amp;$C31,dataMail!$G:$G,"&lt;"&amp;$C32)-SUMIFS(dataMail!$I:$I,dataMail!$V:$V,"&lt;"&amp;$A$25,dataMail!$V:$V,"&gt;="&amp;$B$25,dataMail!$G:$G,"&gt;="&amp;$C31,dataMail!$G:$G,"&lt;"&amp;$C32,dataMail!C:C,"Annulation")</f>
        <v>12</v>
      </c>
      <c r="E31" s="60">
        <f>round(IFERROR(AVERAGEIFS(dataMail!$P:$P,dataMail!$A:$A,"&lt;"&amp;$A$25,dataMail!$A:$A,"&gt;="&amp;$B$25, dataMail!$C:$C,"&lt;&gt;Annulation",dataMail!$G:$G,"&gt;="&amp;$C31,dataMail!$G:$G,"&lt;"&amp;$C32),"0"),1)</f>
        <v>112.4</v>
      </c>
      <c r="F31" s="114">
        <f>ROUND(HLOOKUP(C31,TdB!$C$1:$X$4,4),4)</f>
        <v>0.6889</v>
      </c>
      <c r="G31" s="110">
        <f>SUMIFS(dataMail!$I:$I,dataMail!$A:$A,"&lt;"&amp;$A$26,dataMail!$A:$A,"&gt;="&amp;$B$26, dataMail!$G:$G,"&gt;="&amp;$C31,dataMail!$G:$G,"&lt;"&amp;$C32)-SUMIFS(dataMail!$I:$I,dataMail!$V:$V,"&lt;"&amp;$A$26,dataMail!$V:$V,"&gt;="&amp;$B$26, dataMail!$G:$G,"&gt;="&amp;$C31,dataMail!$G:$G,"&lt;"&amp;$C32,dataMail!C:C,"Annulation")</f>
        <v>44</v>
      </c>
      <c r="H31" s="60">
        <f>round(IFERROR(AVERAGEIFS(dataMail!$P:$P,dataMail!$A:$A,"&lt;"&amp;$A$26,dataMail!$A:$A,"&gt;="&amp;$B$26, dataMail!$C:$C,"&lt;&gt;Annulation",dataMail!$G:$G,"&gt;="&amp;$C31,dataMail!$G:$G,"&lt;"&amp;$C32),"0"),1)</f>
        <v>128</v>
      </c>
      <c r="I31" s="112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</row>
    <row r="32">
      <c r="A32" s="56"/>
      <c r="C32" s="113">
        <f t="shared" si="16"/>
        <v>46296</v>
      </c>
      <c r="D32" s="110">
        <f>SUMIFS(dataMail!$I:$I,dataMail!$A:$A,"&lt;"&amp;$A$25,dataMail!$A:$A,"&gt;="&amp;$B$25, dataMail!$G:$G,"&gt;="&amp;$C32,dataMail!$G:$G,"&lt;"&amp;$C33)-SUMIFS(dataMail!$I:$I,dataMail!$V:$V,"&lt;"&amp;$A$25,dataMail!$V:$V,"&gt;="&amp;$B$25,dataMail!$G:$G,"&gt;="&amp;$C32,dataMail!$G:$G,"&lt;"&amp;$C33,dataMail!C:C,"Annulation")</f>
        <v>5</v>
      </c>
      <c r="E32" s="60">
        <f>round(IFERROR(AVERAGEIFS(dataMail!$P:$P,dataMail!$A:$A,"&lt;"&amp;$A$25,dataMail!$A:$A,"&gt;="&amp;$B$25, dataMail!$C:$C,"&lt;&gt;Annulation",dataMail!$G:$G,"&gt;="&amp;$C32,dataMail!$G:$G,"&lt;"&amp;$C33),"0"),1)</f>
        <v>245.6</v>
      </c>
      <c r="F32" s="114">
        <f>ROUND(HLOOKUP(C32,TdB!$C$1:$X$4,4),4)</f>
        <v>0.7392</v>
      </c>
      <c r="G32" s="110">
        <f>SUMIFS(dataMail!$I:$I,dataMail!$A:$A,"&lt;"&amp;$A$26,dataMail!$A:$A,"&gt;="&amp;$B$26, dataMail!$G:$G,"&gt;="&amp;$C32,dataMail!$G:$G,"&lt;"&amp;$C33)-SUMIFS(dataMail!$I:$I,dataMail!$V:$V,"&lt;"&amp;$A$26,dataMail!$V:$V,"&gt;="&amp;$B$26, dataMail!$G:$G,"&gt;="&amp;$C32,dataMail!$G:$G,"&lt;"&amp;$C33,dataMail!C:C,"Annulation")</f>
        <v>18</v>
      </c>
      <c r="H32" s="60">
        <f>round(IFERROR(AVERAGEIFS(dataMail!$P:$P,dataMail!$A:$A,"&lt;"&amp;$A$26,dataMail!$A:$A,"&gt;="&amp;$B$26, dataMail!$C:$C,"&lt;&gt;Annulation",dataMail!$G:$G,"&gt;="&amp;$C32,dataMail!$G:$G,"&lt;"&amp;$C33),"0"),1)</f>
        <v>209.5</v>
      </c>
      <c r="I32" s="112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</row>
    <row r="33">
      <c r="A33" s="56"/>
      <c r="C33" s="113">
        <f t="shared" si="16"/>
        <v>46327</v>
      </c>
      <c r="D33" s="110">
        <f>SUMIFS(dataMail!$I:$I,dataMail!$A:$A,"&lt;"&amp;$A$25,dataMail!$A:$A,"&gt;="&amp;$B$25, dataMail!$G:$G,"&gt;="&amp;$C33,dataMail!$G:$G,"&lt;"&amp;$C34)-SUMIFS(dataMail!$I:$I,dataMail!$V:$V,"&lt;"&amp;$A$25,dataMail!$V:$V,"&gt;="&amp;$B$25,dataMail!$G:$G,"&gt;="&amp;$C33,dataMail!$G:$G,"&lt;"&amp;$C34,dataMail!C:C,"Annulation")</f>
        <v>12</v>
      </c>
      <c r="E33" s="60">
        <f>round(IFERROR(AVERAGEIFS(dataMail!$P:$P,dataMail!$A:$A,"&lt;"&amp;$A$25,dataMail!$A:$A,"&gt;="&amp;$B$25, dataMail!$C:$C,"&lt;&gt;Annulation",dataMail!$G:$G,"&gt;="&amp;$C33,dataMail!$G:$G,"&lt;"&amp;$C34),"0"),1)</f>
        <v>140.3</v>
      </c>
      <c r="F33" s="114">
        <f>ROUND(HLOOKUP(C33,TdB!$C$1:$X$4,4),4)</f>
        <v>0.5111</v>
      </c>
      <c r="G33" s="110">
        <f>SUMIFS(dataMail!$I:$I,dataMail!$A:$A,"&lt;"&amp;$A$26,dataMail!$A:$A,"&gt;="&amp;$B$26, dataMail!$G:$G,"&gt;="&amp;$C33,dataMail!$G:$G,"&lt;"&amp;$C34)-SUMIFS(dataMail!$I:$I,dataMail!$V:$V,"&lt;"&amp;$A$26,dataMail!$V:$V,"&gt;="&amp;$B$26, dataMail!$G:$G,"&gt;="&amp;$C33,dataMail!$G:$G,"&lt;"&amp;$C34,dataMail!C:C,"Annulation")</f>
        <v>7</v>
      </c>
      <c r="H33" s="60">
        <f>round(IFERROR(AVERAGEIFS(dataMail!$P:$P,dataMail!$A:$A,"&lt;"&amp;$A$26,dataMail!$A:$A,"&gt;="&amp;$B$26, dataMail!$C:$C,"&lt;&gt;Annulation",dataMail!$G:$G,"&gt;="&amp;$C33,dataMail!$G:$G,"&lt;"&amp;$C34),"0"),1)</f>
        <v>152.7</v>
      </c>
      <c r="I33" s="112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</row>
    <row r="34">
      <c r="A34" s="56"/>
      <c r="C34" s="113">
        <f t="shared" si="16"/>
        <v>46357</v>
      </c>
      <c r="D34" s="110">
        <f>SUMIFS(dataMail!$I:$I,dataMail!$A:$A,"&lt;"&amp;$A$25,dataMail!$A:$A,"&gt;="&amp;$B$25, dataMail!$G:$G,"&gt;="&amp;$C34,dataMail!$G:$G,"&lt;"&amp;$C35)-SUMIFS(dataMail!$I:$I,dataMail!$V:$V,"&lt;"&amp;$A$25,dataMail!$V:$V,"&gt;="&amp;$B$25,dataMail!$G:$G,"&gt;="&amp;$C34,dataMail!$G:$G,"&lt;"&amp;$C35,dataMail!C:C,"Annulation")</f>
        <v>9</v>
      </c>
      <c r="E34" s="60">
        <f>round(IFERROR(AVERAGEIFS(dataMail!$P:$P,dataMail!$A:$A,"&lt;"&amp;$A$25,dataMail!$A:$A,"&gt;="&amp;$B$25, dataMail!$C:$C,"&lt;&gt;Annulation",dataMail!$G:$G,"&gt;="&amp;$C34,dataMail!$G:$G,"&lt;"&amp;$C35),"0"),1)</f>
        <v>227.6</v>
      </c>
      <c r="F34" s="114">
        <f>ROUND(HLOOKUP(C34,TdB!$C$1:$X$4,4),4)</f>
        <v>0.3414</v>
      </c>
      <c r="G34" s="110">
        <f>SUMIFS(dataMail!$I:$I,dataMail!$A:$A,"&lt;"&amp;$A$26,dataMail!$A:$A,"&gt;="&amp;$B$26, dataMail!$G:$G,"&gt;="&amp;$C34,dataMail!$G:$G,"&lt;"&amp;$C35)-SUMIFS(dataMail!$I:$I,dataMail!$V:$V,"&lt;"&amp;$A$26,dataMail!$V:$V,"&gt;="&amp;$B$26, dataMail!$G:$G,"&gt;="&amp;$C34,dataMail!$G:$G,"&lt;"&amp;$C35,dataMail!C:C,"Annulation")</f>
        <v>22</v>
      </c>
      <c r="H34" s="60">
        <f>round(IFERROR(AVERAGEIFS(dataMail!$P:$P,dataMail!$A:$A,"&lt;"&amp;$A$26,dataMail!$A:$A,"&gt;="&amp;$B$26, dataMail!$C:$C,"&lt;&gt;Annulation",dataMail!$G:$G,"&gt;="&amp;$C34,dataMail!$G:$G,"&lt;"&amp;$C35),"0"),1)</f>
        <v>188.2</v>
      </c>
      <c r="I34" s="112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</row>
    <row r="35">
      <c r="A35" s="56"/>
      <c r="C35" s="113">
        <f t="shared" si="16"/>
        <v>46388</v>
      </c>
      <c r="D35" s="110">
        <f>SUMIFS(dataMail!$I:$I,dataMail!$A:$A,"&lt;"&amp;$A$25,dataMail!$A:$A,"&gt;="&amp;$B$25, dataMail!$G:$G,"&gt;="&amp;$C35,dataMail!$G:$G,"&lt;"&amp;$C36)-SUMIFS(dataMail!$I:$I,dataMail!$V:$V,"&lt;"&amp;$A$25,dataMail!$V:$V,"&gt;="&amp;$B$25,dataMail!$G:$G,"&gt;="&amp;$C35,dataMail!$G:$G,"&lt;"&amp;$C36,dataMail!C:C,"Annulation")</f>
        <v>-2</v>
      </c>
      <c r="E35" s="60">
        <f>round(IFERROR(AVERAGEIFS(dataMail!$P:$P,dataMail!$A:$A,"&lt;"&amp;$A$25,dataMail!$A:$A,"&gt;="&amp;$B$25, dataMail!$C:$C,"&lt;&gt;Annulation",dataMail!$G:$G,"&gt;="&amp;$C35,dataMail!$G:$G,"&lt;"&amp;$C36),"0"),1)</f>
        <v>175.3</v>
      </c>
      <c r="F35" s="114">
        <f>ROUND(HLOOKUP(C35,TdB!$C$1:$X$4,4),4)</f>
        <v>0.2016</v>
      </c>
      <c r="G35" s="110">
        <f>SUMIFS(dataMail!$I:$I,dataMail!$A:$A,"&lt;"&amp;$A$26,dataMail!$A:$A,"&gt;="&amp;$B$26, dataMail!$G:$G,"&gt;="&amp;$C35,dataMail!$G:$G,"&lt;"&amp;$C36)-SUMIFS(dataMail!$I:$I,dataMail!$V:$V,"&lt;"&amp;$A$26,dataMail!$V:$V,"&gt;="&amp;$B$26, dataMail!$G:$G,"&gt;="&amp;$C35,dataMail!$G:$G,"&lt;"&amp;$C36,dataMail!C:C,"Annulation")</f>
        <v>2</v>
      </c>
      <c r="H35" s="60">
        <f>round(IFERROR(AVERAGEIFS(dataMail!$P:$P,dataMail!$A:$A,"&lt;"&amp;$A$26,dataMail!$A:$A,"&gt;="&amp;$B$26, dataMail!$C:$C,"&lt;&gt;Annulation",dataMail!$G:$G,"&gt;="&amp;$C35,dataMail!$G:$G,"&lt;"&amp;$C36),"0"),1)</f>
        <v>175.8</v>
      </c>
      <c r="I35" s="112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</row>
    <row r="36">
      <c r="A36" s="56"/>
      <c r="C36" s="113">
        <f t="shared" si="16"/>
        <v>46419</v>
      </c>
      <c r="D36" s="110">
        <f>SUMIFS(dataMail!$I:$I,dataMail!$A:$A,"&lt;"&amp;$A$25,dataMail!$A:$A,"&gt;="&amp;$B$25, dataMail!$G:$G,"&gt;="&amp;$C36,dataMail!$G:$G,"&lt;"&amp;$C37)-SUMIFS(dataMail!$I:$I,dataMail!$V:$V,"&lt;"&amp;$A$25,dataMail!$V:$V,"&gt;="&amp;$B$25,dataMail!$G:$G,"&gt;="&amp;$C36,dataMail!$G:$G,"&lt;"&amp;$C37,dataMail!C:C,"Annulation")</f>
        <v>0</v>
      </c>
      <c r="E36" s="60">
        <f>round(IFERROR(AVERAGEIFS(dataMail!$P:$P,dataMail!$A:$A,"&lt;"&amp;$A$25,dataMail!$A:$A,"&gt;="&amp;$B$25, dataMail!$C:$C,"&lt;&gt;Annulation",dataMail!$G:$G,"&gt;="&amp;$C36,dataMail!$G:$G,"&lt;"&amp;$C37),"0"),1)</f>
        <v>0</v>
      </c>
      <c r="F36" s="114">
        <f>ROUND(HLOOKUP(C36,TdB!$C$1:$X$4,4),4)</f>
        <v>0.1935</v>
      </c>
      <c r="G36" s="110">
        <f>SUMIFS(dataMail!$I:$I,dataMail!$A:$A,"&lt;"&amp;$A$26,dataMail!$A:$A,"&gt;="&amp;$B$26, dataMail!$G:$G,"&gt;="&amp;$C36,dataMail!$G:$G,"&lt;"&amp;$C37)-SUMIFS(dataMail!$I:$I,dataMail!$V:$V,"&lt;"&amp;$A$26,dataMail!$V:$V,"&gt;="&amp;$B$26, dataMail!$G:$G,"&gt;="&amp;$C36,dataMail!$G:$G,"&lt;"&amp;$C37,dataMail!C:C,"Annulation")</f>
        <v>15</v>
      </c>
      <c r="H36" s="60">
        <f>round(IFERROR(AVERAGEIFS(dataMail!$P:$P,dataMail!$A:$A,"&lt;"&amp;$A$26,dataMail!$A:$A,"&gt;="&amp;$B$26, dataMail!$C:$C,"&lt;&gt;Annulation",dataMail!$G:$G,"&gt;="&amp;$C36,dataMail!$G:$G,"&lt;"&amp;$C37),"0"),1)</f>
        <v>185.8</v>
      </c>
      <c r="I36" s="112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</row>
    <row r="37">
      <c r="A37" s="56"/>
      <c r="B37" s="106"/>
      <c r="C37" s="113">
        <f t="shared" si="16"/>
        <v>46447</v>
      </c>
      <c r="D37" s="110">
        <f>SUMIFS(dataMail!$I:$I,dataMail!$A:$A,"&lt;"&amp;$A$25,dataMail!$A:$A,"&gt;="&amp;$B$25, dataMail!$G:$G,"&gt;="&amp;$C37,dataMail!$G:$G,"&lt;"&amp;$C38)-SUMIFS(dataMail!$I:$I,dataMail!$V:$V,"&lt;"&amp;$A$25,dataMail!$V:$V,"&gt;="&amp;$B$25,dataMail!$G:$G,"&gt;="&amp;$C37,dataMail!$G:$G,"&lt;"&amp;$C38,dataMail!C:C,"Annulation")</f>
        <v>0</v>
      </c>
      <c r="E37" s="60">
        <f>round(IFERROR(AVERAGEIFS(dataMail!$P:$P,dataMail!$A:$A,"&lt;"&amp;$A$25,dataMail!$A:$A,"&gt;="&amp;$B$25, dataMail!$C:$C,"&lt;&gt;Annulation",dataMail!$G:$G,"&gt;="&amp;$C37,dataMail!$G:$G,"&lt;"&amp;$C38),"0"),1)</f>
        <v>170.5</v>
      </c>
      <c r="F37" s="114">
        <f>ROUND(HLOOKUP(C37,TdB!$C$1:$X$4,4),4)</f>
        <v>0.0968</v>
      </c>
      <c r="G37" s="110">
        <f>SUMIFS(dataMail!$I:$I,dataMail!$A:$A,"&lt;"&amp;$A$26,dataMail!$A:$A,"&gt;="&amp;$B$26, dataMail!$G:$G,"&gt;="&amp;$C37,dataMail!$G:$G,"&lt;"&amp;$C38)-SUMIFS(dataMail!$I:$I,dataMail!$V:$V,"&lt;"&amp;$A$26,dataMail!$V:$V,"&gt;="&amp;$B$26, dataMail!$G:$G,"&gt;="&amp;$C37,dataMail!$G:$G,"&lt;"&amp;$C38,dataMail!C:C,"Annulation")</f>
        <v>5</v>
      </c>
      <c r="H37" s="60">
        <f>round(IFERROR(AVERAGEIFS(dataMail!$P:$P,dataMail!$A:$A,"&lt;"&amp;$A$26,dataMail!$A:$A,"&gt;="&amp;$B$26, dataMail!$C:$C,"&lt;&gt;Annulation",dataMail!$G:$G,"&gt;="&amp;$C37,dataMail!$G:$G,"&lt;"&amp;$C38),"0"),1)</f>
        <v>85.2</v>
      </c>
      <c r="I37" s="112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</row>
    <row r="38">
      <c r="A38" s="56"/>
      <c r="B38" s="125"/>
      <c r="C38" s="113">
        <f t="shared" si="16"/>
        <v>46478</v>
      </c>
      <c r="D38" s="110">
        <f>SUMIFS(dataMail!$I:$I,dataMail!$A:$A,"&lt;"&amp;$A$25,dataMail!$A:$A,"&gt;="&amp;$B$25, dataMail!$G:$G,"&gt;="&amp;$C38)-2*SUMIFS(dataMail!$I:$I,dataMail!$V:$V,"&lt;"&amp;$A$25,dataMail!$V:$V,"&gt;="&amp;$B$25, dataMail!$G:$G,"&gt;="&amp;$C38,dataMail!C:C,"Annulation")</f>
        <v>3</v>
      </c>
      <c r="E38" s="126"/>
      <c r="F38" s="127" t="str">
        <f>IF(A38="","",'Détail Extra'!K22)</f>
        <v/>
      </c>
      <c r="G38" s="110">
        <f>SUMIFS(dataMail!$I:$I,dataMail!$A:$A,"&lt;"&amp;$A$26,dataMail!$A:$A,"&gt;="&amp;$B$26, dataMail!$G:$G,"&gt;="&amp;$C38)-SUMIFS(dataMail!$I:$I,dataMail!$V:$V,"&lt;"&amp;$A$26,dataMail!$V:$V,"&gt;="&amp;$B$26, dataMail!$G:$G,"&gt;="&amp;$C38,dataMail!C:C,"Annulation")</f>
        <v>43</v>
      </c>
      <c r="H38" s="126"/>
      <c r="I38" s="127" t="str">
        <f>IF(E38="","",'Détail Extra'!N22)</f>
        <v/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</row>
    <row r="39">
      <c r="A39" s="56"/>
      <c r="B39" s="125"/>
      <c r="C39" s="128"/>
      <c r="D39" s="126"/>
      <c r="E39" s="126"/>
      <c r="F39" s="129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</row>
    <row r="40">
      <c r="A40" s="70"/>
      <c r="B40" s="125"/>
      <c r="C40" s="128" t="str">
        <f>IFERROR(__xludf.DUMMYFUNCTION("{QUERY(dataMail!A1:V2660,""select D,F,G,H,R where (C='Confirmation' OR C='Modification') AND A = DATE '""&amp;TEXT(A2,""YYYY-MM-DD"")&amp;""' LABEL D 'Last Booking'"");QUERY(dataMail!B1:V2660,""select D,F,G,H,R where C='Annulation' AND V = DATE '""&amp;TEXT(A2,""YYYY"&amp;"-MM-DD"")&amp;""' LABEL D 'Last Cancel'"")}"),"Last Booking")</f>
        <v>Last Booking</v>
      </c>
      <c r="D40" s="126" t="str">
        <f>IFERROR(__xludf.DUMMYFUNCTION("""COMPUTED_VALUE"""),"Nom")</f>
        <v>Nom</v>
      </c>
      <c r="E40" s="126" t="str">
        <f>IFERROR(__xludf.DUMMYFUNCTION("""COMPUTED_VALUE"""),"Arrivée")</f>
        <v>Arrivée</v>
      </c>
      <c r="F40" s="130" t="str">
        <f>IFERROR(__xludf.DUMMYFUNCTION("""COMPUTED_VALUE"""),"Fin")</f>
        <v>Fin</v>
      </c>
      <c r="G40" s="53" t="str">
        <f>IFERROR(__xludf.DUMMYFUNCTION("""COMPUTED_VALUE"""),"Total N")</f>
        <v>Total N</v>
      </c>
      <c r="H40" s="53"/>
      <c r="I40" s="53"/>
      <c r="J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</row>
    <row r="41">
      <c r="A41" s="70"/>
      <c r="B41" s="125"/>
      <c r="C41" s="128" t="str">
        <f>IFERROR(__xludf.DUMMYFUNCTION("""COMPUTED_VALUE"""),"BookingCom")</f>
        <v>BookingCom</v>
      </c>
      <c r="D41" s="126" t="str">
        <f>IFERROR(__xludf.DUMMYFUNCTION("""COMPUTED_VALUE"""),"Kathalyn von Eyb ")</f>
        <v>Kathalyn von Eyb </v>
      </c>
      <c r="E41" s="131">
        <f>IFERROR(__xludf.DUMMYFUNCTION("""COMPUTED_VALUE"""),46379.0)</f>
        <v>46379</v>
      </c>
      <c r="F41" s="132">
        <f>IFERROR(__xludf.DUMMYFUNCTION("""COMPUTED_VALUE"""),46382.0)</f>
        <v>46382</v>
      </c>
      <c r="G41" s="133">
        <f>IFERROR(__xludf.DUMMYFUNCTION("""COMPUTED_VALUE"""),521.472)</f>
        <v>521.472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</row>
    <row r="42">
      <c r="A42" s="70"/>
      <c r="B42" s="125"/>
      <c r="C42" s="128" t="str">
        <f>IFERROR(__xludf.DUMMYFUNCTION("""COMPUTED_VALUE"""),"BookingCom")</f>
        <v>BookingCom</v>
      </c>
      <c r="D42" s="126" t="str">
        <f>IFERROR(__xludf.DUMMYFUNCTION("""COMPUTED_VALUE"""),"Kathalyn von Eyb ")</f>
        <v>Kathalyn von Eyb </v>
      </c>
      <c r="E42" s="131">
        <f>IFERROR(__xludf.DUMMYFUNCTION("""COMPUTED_VALUE"""),46379.0)</f>
        <v>46379</v>
      </c>
      <c r="F42" s="132">
        <f>IFERROR(__xludf.DUMMYFUNCTION("""COMPUTED_VALUE"""),46382.0)</f>
        <v>46382</v>
      </c>
      <c r="G42" s="133">
        <f>IFERROR(__xludf.DUMMYFUNCTION("""COMPUTED_VALUE"""),628.992)</f>
        <v>628.992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</row>
    <row r="43">
      <c r="A43" s="70"/>
      <c r="B43" s="125"/>
      <c r="C43" s="128" t="str">
        <f>IFERROR(__xludf.DUMMYFUNCTION("""COMPUTED_VALUE"""),"BookingCom")</f>
        <v>BookingCom</v>
      </c>
      <c r="D43" s="126" t="str">
        <f>IFERROR(__xludf.DUMMYFUNCTION("""COMPUTED_VALUE"""),"Delphine Berger ")</f>
        <v>Delphine Berger </v>
      </c>
      <c r="E43" s="131">
        <f>IFERROR(__xludf.DUMMYFUNCTION("""COMPUTED_VALUE"""),46345.0)</f>
        <v>46345</v>
      </c>
      <c r="F43" s="132">
        <f>IFERROR(__xludf.DUMMYFUNCTION("""COMPUTED_VALUE"""),46347.0)</f>
        <v>46347</v>
      </c>
      <c r="G43" s="133">
        <f>IFERROR(__xludf.DUMMYFUNCTION("""COMPUTED_VALUE"""),273.904)</f>
        <v>273.904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</row>
    <row r="44">
      <c r="A44" s="70"/>
      <c r="B44" s="125"/>
      <c r="C44" s="128" t="str">
        <f>IFERROR(__xludf.DUMMYFUNCTION("""COMPUTED_VALUE"""),"BookingCom")</f>
        <v>BookingCom</v>
      </c>
      <c r="D44" s="126" t="str">
        <f>IFERROR(__xludf.DUMMYFUNCTION("""COMPUTED_VALUE"""),"Fauser Johannes ")</f>
        <v>Fauser Johannes </v>
      </c>
      <c r="E44" s="131">
        <f>IFERROR(__xludf.DUMMYFUNCTION("""COMPUTED_VALUE"""),46327.0)</f>
        <v>46327</v>
      </c>
      <c r="F44" s="132">
        <f>IFERROR(__xludf.DUMMYFUNCTION("""COMPUTED_VALUE"""),46329.0)</f>
        <v>46329</v>
      </c>
      <c r="G44" s="133">
        <f>IFERROR(__xludf.DUMMYFUNCTION("""COMPUTED_VALUE"""),262.99199999999996)</f>
        <v>262.992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</row>
    <row r="45">
      <c r="A45" s="70"/>
      <c r="B45" s="125"/>
      <c r="C45" s="135" t="str">
        <f>IFERROR(__xludf.DUMMYFUNCTION("""COMPUTED_VALUE"""),"BookingCom")</f>
        <v>BookingCom</v>
      </c>
      <c r="D45" s="126" t="str">
        <f>IFERROR(__xludf.DUMMYFUNCTION("""COMPUTED_VALUE"""),"Bertille Praudel ")</f>
        <v>Bertille Praudel </v>
      </c>
      <c r="E45" s="131">
        <f>IFERROR(__xludf.DUMMYFUNCTION("""COMPUTED_VALUE"""),46254.0)</f>
        <v>46254</v>
      </c>
      <c r="F45" s="132">
        <f>IFERROR(__xludf.DUMMYFUNCTION("""COMPUTED_VALUE"""),46255.0)</f>
        <v>46255</v>
      </c>
      <c r="G45" s="133">
        <f>IFERROR(__xludf.DUMMYFUNCTION("""COMPUTED_VALUE"""),70.32000000000001)</f>
        <v>70.32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</row>
    <row r="46">
      <c r="A46" s="70"/>
      <c r="B46" s="125"/>
      <c r="C46" s="128" t="str">
        <f>IFERROR(__xludf.DUMMYFUNCTION("""COMPUTED_VALUE"""),"Last Cancel")</f>
        <v>Last Cancel</v>
      </c>
      <c r="D46" s="126" t="str">
        <f>IFERROR(__xludf.DUMMYFUNCTION("""COMPUTED_VALUE"""),"Nom")</f>
        <v>Nom</v>
      </c>
      <c r="E46" s="126" t="str">
        <f>IFERROR(__xludf.DUMMYFUNCTION("""COMPUTED_VALUE"""),"Arrivée")</f>
        <v>Arrivée</v>
      </c>
      <c r="F46" s="130" t="str">
        <f>IFERROR(__xludf.DUMMYFUNCTION("""COMPUTED_VALUE"""),"Fin")</f>
        <v>Fin</v>
      </c>
      <c r="G46" s="53" t="str">
        <f>IFERROR(__xludf.DUMMYFUNCTION("""COMPUTED_VALUE"""),"Total N")</f>
        <v>Total N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r="47">
      <c r="A47" s="70"/>
      <c r="B47" s="125"/>
      <c r="C47" s="128"/>
      <c r="D47" s="126"/>
      <c r="E47" s="126"/>
      <c r="F47" s="13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</row>
    <row r="48">
      <c r="A48" s="70"/>
      <c r="B48" s="125"/>
      <c r="C48" s="128"/>
      <c r="D48" s="126"/>
      <c r="E48" s="126"/>
      <c r="F48" s="130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</row>
    <row r="49">
      <c r="A49" s="70"/>
      <c r="B49" s="125"/>
      <c r="C49" s="128"/>
      <c r="D49" s="126"/>
      <c r="E49" s="126"/>
      <c r="F49" s="130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</row>
    <row r="50">
      <c r="A50" s="70"/>
      <c r="B50" s="125"/>
      <c r="C50" s="128"/>
      <c r="D50" s="126"/>
      <c r="E50" s="126"/>
      <c r="F50" s="130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</row>
    <row r="51">
      <c r="A51" s="70"/>
      <c r="B51" s="125"/>
      <c r="C51" s="128"/>
      <c r="D51" s="126"/>
      <c r="E51" s="126"/>
      <c r="F51" s="13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</row>
    <row r="52">
      <c r="A52" s="70"/>
      <c r="B52" s="125"/>
      <c r="C52" s="128"/>
      <c r="D52" s="126"/>
      <c r="E52" s="126"/>
      <c r="F52" s="13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>
      <c r="A53" s="70"/>
      <c r="B53" s="125"/>
      <c r="C53" s="128"/>
      <c r="D53" s="126"/>
      <c r="E53" s="126"/>
      <c r="F53" s="130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>
      <c r="A54" s="70"/>
      <c r="B54" s="125"/>
      <c r="C54" s="128"/>
      <c r="D54" s="126"/>
      <c r="E54" s="126"/>
      <c r="F54" s="130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>
      <c r="A55" s="70"/>
      <c r="B55" s="125"/>
      <c r="C55" s="128"/>
      <c r="D55" s="126"/>
      <c r="E55" s="126"/>
      <c r="F55" s="130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>
      <c r="A56" s="70"/>
      <c r="B56" s="125"/>
      <c r="C56" s="128"/>
      <c r="D56" s="126"/>
      <c r="E56" s="126"/>
      <c r="F56" s="130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</row>
    <row r="57">
      <c r="A57" s="70"/>
      <c r="B57" s="125"/>
      <c r="C57" s="128"/>
      <c r="D57" s="126"/>
      <c r="E57" s="126"/>
      <c r="F57" s="130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</row>
    <row r="58">
      <c r="A58" s="70"/>
      <c r="B58" s="125"/>
      <c r="C58" s="128"/>
      <c r="D58" s="126"/>
      <c r="E58" s="126"/>
      <c r="F58" s="130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>
      <c r="A59" s="70"/>
      <c r="B59" s="125"/>
      <c r="C59" s="128"/>
      <c r="D59" s="126"/>
      <c r="E59" s="126"/>
      <c r="F59" s="13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>
      <c r="A60" s="70"/>
      <c r="B60" s="125"/>
      <c r="C60" s="128"/>
      <c r="D60" s="126"/>
      <c r="E60" s="126"/>
      <c r="F60" s="13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>
      <c r="A61" s="70"/>
      <c r="B61" s="125"/>
      <c r="C61" s="128"/>
      <c r="D61" s="126"/>
      <c r="E61" s="126"/>
      <c r="F61" s="13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>
      <c r="A62" s="70"/>
      <c r="B62" s="125"/>
      <c r="C62" s="128"/>
      <c r="D62" s="126"/>
      <c r="E62" s="126"/>
      <c r="F62" s="130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>
      <c r="A63" s="70"/>
      <c r="B63" s="125"/>
      <c r="C63" s="128"/>
      <c r="D63" s="126"/>
      <c r="E63" s="126"/>
      <c r="F63" s="130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>
      <c r="A64" s="70"/>
      <c r="B64" s="125"/>
      <c r="C64" s="128"/>
      <c r="D64" s="126"/>
      <c r="E64" s="126"/>
      <c r="F64" s="130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>
      <c r="A65" s="70"/>
      <c r="B65" s="125"/>
      <c r="C65" s="128"/>
      <c r="D65" s="126"/>
      <c r="E65" s="126"/>
      <c r="F65" s="130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>
      <c r="A66" s="83"/>
      <c r="B66" s="125"/>
      <c r="C66" s="128"/>
      <c r="D66" s="126"/>
      <c r="E66" s="131"/>
      <c r="F66" s="132"/>
      <c r="G66" s="13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>
      <c r="A67" s="136"/>
      <c r="B67" s="125"/>
      <c r="C67" s="128"/>
      <c r="D67" s="126"/>
      <c r="E67" s="131"/>
      <c r="F67" s="132"/>
      <c r="G67" s="133"/>
      <c r="H67" s="137"/>
      <c r="I67" s="138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>
      <c r="A68" s="136"/>
      <c r="B68" s="53"/>
      <c r="C68" s="53"/>
      <c r="D68" s="139"/>
      <c r="E68" s="140"/>
      <c r="F68" s="141"/>
      <c r="G68" s="137"/>
      <c r="H68" s="137"/>
      <c r="I68" s="138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>
      <c r="A69" s="136"/>
      <c r="B69" s="53"/>
      <c r="C69" s="53"/>
      <c r="D69" s="139"/>
      <c r="E69" s="140"/>
      <c r="F69" s="141"/>
      <c r="G69" s="137"/>
      <c r="H69" s="137"/>
      <c r="I69" s="138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>
      <c r="A70" s="136"/>
      <c r="B70" s="53"/>
      <c r="C70" s="53"/>
      <c r="D70" s="139"/>
      <c r="E70" s="140"/>
      <c r="F70" s="141"/>
      <c r="G70" s="137"/>
      <c r="H70" s="137"/>
      <c r="I70" s="138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>
      <c r="A71" s="136"/>
      <c r="B71" s="53"/>
      <c r="C71" s="53"/>
      <c r="D71" s="139"/>
      <c r="E71" s="140"/>
      <c r="F71" s="141"/>
      <c r="G71" s="137"/>
      <c r="H71" s="137"/>
      <c r="I71" s="138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>
      <c r="A72" s="136"/>
      <c r="B72" s="53"/>
      <c r="C72" s="53"/>
      <c r="D72" s="139"/>
      <c r="E72" s="140"/>
      <c r="F72" s="141"/>
      <c r="G72" s="137"/>
      <c r="H72" s="137"/>
      <c r="I72" s="138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>
      <c r="A73" s="136"/>
      <c r="B73" s="53"/>
      <c r="C73" s="53"/>
      <c r="D73" s="139"/>
      <c r="E73" s="140"/>
      <c r="F73" s="141"/>
      <c r="G73" s="137"/>
      <c r="H73" s="137"/>
      <c r="I73" s="138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>
      <c r="A74" s="136"/>
      <c r="B74" s="53"/>
      <c r="C74" s="53"/>
      <c r="D74" s="139"/>
      <c r="E74" s="140"/>
      <c r="F74" s="141"/>
      <c r="G74" s="137"/>
      <c r="H74" s="137"/>
      <c r="I74" s="138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>
      <c r="A75" s="136"/>
      <c r="B75" s="53"/>
      <c r="C75" s="53"/>
      <c r="D75" s="139"/>
      <c r="E75" s="140"/>
      <c r="F75" s="141"/>
      <c r="G75" s="137"/>
      <c r="H75" s="137"/>
      <c r="I75" s="138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>
      <c r="A76" s="136"/>
      <c r="B76" s="53"/>
      <c r="C76" s="53"/>
      <c r="D76" s="139"/>
      <c r="E76" s="140"/>
      <c r="F76" s="141"/>
      <c r="G76" s="137"/>
      <c r="H76" s="137"/>
      <c r="I76" s="138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>
      <c r="A77" s="136"/>
      <c r="B77" s="53"/>
      <c r="C77" s="53"/>
      <c r="D77" s="139"/>
      <c r="E77" s="140"/>
      <c r="F77" s="141"/>
      <c r="G77" s="137"/>
      <c r="H77" s="137"/>
      <c r="I77" s="138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>
      <c r="A78" s="136">
        <f>A8-1</f>
        <v>46242</v>
      </c>
      <c r="B78" s="53"/>
      <c r="C78" s="53" t="s">
        <v>40</v>
      </c>
      <c r="D78" s="59">
        <f t="shared" ref="D78:D217" si="17">G78-H78</f>
        <v>20</v>
      </c>
      <c r="E78" s="60">
        <f>IFERROR(round(AVERAGEIFS(dataMail!$P:$P, dataMail!$A:$A,$A78, dataMail!$C:$C,"&lt;&gt;Annulation"),1),"-")</f>
        <v>190.3</v>
      </c>
      <c r="F78" s="71">
        <f>SUMIFS(dataMail!S:S,dataMail!A:A,A78, dataMail!C:C,"Confirmation")</f>
        <v>0</v>
      </c>
      <c r="G78" s="62">
        <f>SUMIFS(dataMail!$I:$I,dataMail!$A:$A,$A78)</f>
        <v>38</v>
      </c>
      <c r="H78" s="62">
        <f>SUMIFS(dataMail!$I:$I,dataMail!$V:$V,$A78,dataMail!C:C,"Annulation")</f>
        <v>18</v>
      </c>
      <c r="I78" s="63">
        <f t="shared" ref="I78:I217" si="18">D78*E78+F78</f>
        <v>3806</v>
      </c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>
      <c r="A79" s="136">
        <f t="shared" ref="A79:A217" si="19">A78-1</f>
        <v>46241</v>
      </c>
      <c r="B79" s="53"/>
      <c r="C79" s="53" t="s">
        <v>41</v>
      </c>
      <c r="D79" s="59">
        <f t="shared" si="17"/>
        <v>7</v>
      </c>
      <c r="E79" s="60">
        <f>IFERROR(round(AVERAGEIFS(dataMail!$P:$P, dataMail!$A:$A,$A79, dataMail!$C:$C,"&lt;&gt;Annulation"),1),"-")</f>
        <v>98.3</v>
      </c>
      <c r="F79" s="71">
        <f>SUMIFS(dataMail!S:S,dataMail!A:A,A79, dataMail!C:C,"Confirmation")</f>
        <v>0</v>
      </c>
      <c r="G79" s="62">
        <f>SUMIFS(dataMail!$I:$I,dataMail!$A:$A,$A79)</f>
        <v>7</v>
      </c>
      <c r="H79" s="62">
        <f>SUMIFS(dataMail!$I:$I,dataMail!$V:$V,$A79,dataMail!C:C,"Annulation")</f>
        <v>0</v>
      </c>
      <c r="I79" s="63">
        <f t="shared" si="18"/>
        <v>688.1</v>
      </c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>
      <c r="A80" s="136">
        <f t="shared" si="19"/>
        <v>46240</v>
      </c>
      <c r="B80" s="53"/>
      <c r="C80" s="53" t="s">
        <v>42</v>
      </c>
      <c r="D80" s="59">
        <f t="shared" si="17"/>
        <v>6</v>
      </c>
      <c r="E80" s="60">
        <f>IFERROR(round(AVERAGEIFS(dataMail!$P:$P, dataMail!$A:$A,$A80, dataMail!$C:$C,"&lt;&gt;Annulation"),1),"-")</f>
        <v>120.3</v>
      </c>
      <c r="F80" s="71">
        <f>SUMIFS(dataMail!S:S,dataMail!A:A,A80, dataMail!C:C,"Confirmation")</f>
        <v>0</v>
      </c>
      <c r="G80" s="62">
        <f>SUMIFS(dataMail!$I:$I,dataMail!$A:$A,$A80)</f>
        <v>13</v>
      </c>
      <c r="H80" s="62">
        <f>SUMIFS(dataMail!$I:$I,dataMail!$V:$V,$A80,dataMail!C:C,"Annulation")</f>
        <v>7</v>
      </c>
      <c r="I80" s="63">
        <f t="shared" si="18"/>
        <v>721.8</v>
      </c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>
      <c r="A81" s="136">
        <f t="shared" si="19"/>
        <v>46239</v>
      </c>
      <c r="B81" s="53"/>
      <c r="C81" s="53" t="s">
        <v>43</v>
      </c>
      <c r="D81" s="59">
        <f t="shared" si="17"/>
        <v>5</v>
      </c>
      <c r="E81" s="60">
        <f>IFERROR(round(AVERAGEIFS(dataMail!$P:$P, dataMail!$A:$A,$A81, dataMail!$C:$C,"&lt;&gt;Annulation"),1),"-")</f>
        <v>120.8</v>
      </c>
      <c r="F81" s="71">
        <f>SUMIFS(dataMail!S:S,dataMail!A:A,A81, dataMail!C:C,"Confirmation")</f>
        <v>0</v>
      </c>
      <c r="G81" s="62">
        <f>SUMIFS(dataMail!$I:$I,dataMail!$A:$A,$A81)</f>
        <v>9</v>
      </c>
      <c r="H81" s="62">
        <f>SUMIFS(dataMail!$I:$I,dataMail!$V:$V,$A81,dataMail!C:C,"Annulation")</f>
        <v>4</v>
      </c>
      <c r="I81" s="63">
        <f t="shared" si="18"/>
        <v>604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>
      <c r="A82" s="136">
        <f t="shared" si="19"/>
        <v>46238</v>
      </c>
      <c r="B82" s="53"/>
      <c r="C82" s="53" t="s">
        <v>44</v>
      </c>
      <c r="D82" s="59">
        <f t="shared" si="17"/>
        <v>2</v>
      </c>
      <c r="E82" s="60">
        <f>IFERROR(round(AVERAGEIFS(dataMail!$P:$P, dataMail!$A:$A,$A82, dataMail!$C:$C,"&lt;&gt;Annulation"),1),"-")</f>
        <v>177</v>
      </c>
      <c r="F82" s="71">
        <f>SUMIFS(dataMail!S:S,dataMail!A:A,A82, dataMail!C:C,"Confirmation")</f>
        <v>72</v>
      </c>
      <c r="G82" s="62">
        <f>SUMIFS(dataMail!$I:$I,dataMail!$A:$A,$A82)</f>
        <v>8</v>
      </c>
      <c r="H82" s="62">
        <f>SUMIFS(dataMail!$I:$I,dataMail!$V:$V,$A82,dataMail!C:C,"Annulation")</f>
        <v>6</v>
      </c>
      <c r="I82" s="63">
        <f t="shared" si="18"/>
        <v>426</v>
      </c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>
      <c r="A83" s="136">
        <f t="shared" si="19"/>
        <v>46237</v>
      </c>
      <c r="B83" s="53"/>
      <c r="C83" s="53" t="s">
        <v>45</v>
      </c>
      <c r="D83" s="59">
        <f t="shared" si="17"/>
        <v>4</v>
      </c>
      <c r="E83" s="60">
        <f>IFERROR(round(AVERAGEIFS(dataMail!$P:$P, dataMail!$A:$A,$A83, dataMail!$C:$C,"&lt;&gt;Annulation"),1),"-")</f>
        <v>141</v>
      </c>
      <c r="F83" s="71">
        <f>SUMIFS(dataMail!S:S,dataMail!A:A,A83, dataMail!C:C,"Confirmation")</f>
        <v>72</v>
      </c>
      <c r="G83" s="62">
        <f>SUMIFS(dataMail!$I:$I,dataMail!$A:$A,$A83)</f>
        <v>12</v>
      </c>
      <c r="H83" s="62">
        <f>SUMIFS(dataMail!$I:$I,dataMail!$V:$V,$A83,dataMail!C:C,"Annulation")</f>
        <v>8</v>
      </c>
      <c r="I83" s="63">
        <f t="shared" si="18"/>
        <v>636</v>
      </c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>
      <c r="A84" s="136">
        <f t="shared" si="19"/>
        <v>46236</v>
      </c>
      <c r="B84" s="53"/>
      <c r="C84" s="53" t="s">
        <v>46</v>
      </c>
      <c r="D84" s="59">
        <f t="shared" si="17"/>
        <v>9</v>
      </c>
      <c r="E84" s="60">
        <f>IFERROR(round(AVERAGEIFS(dataMail!$P:$P, dataMail!$A:$A,$A84, dataMail!$C:$C,"&lt;&gt;Annulation"),1),"-")</f>
        <v>119.8</v>
      </c>
      <c r="F84" s="71">
        <f>SUMIFS(dataMail!S:S,dataMail!A:A,A84, dataMail!C:C,"Confirmation")</f>
        <v>0</v>
      </c>
      <c r="G84" s="62">
        <f>SUMIFS(dataMail!$I:$I,dataMail!$A:$A,$A84)</f>
        <v>16</v>
      </c>
      <c r="H84" s="62">
        <f>SUMIFS(dataMail!$I:$I,dataMail!$V:$V,$A84,dataMail!C:C,"Annulation")</f>
        <v>7</v>
      </c>
      <c r="I84" s="63">
        <f t="shared" si="18"/>
        <v>1078.2</v>
      </c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>
      <c r="A85" s="136">
        <f t="shared" si="19"/>
        <v>46235</v>
      </c>
      <c r="B85" s="53"/>
      <c r="C85" s="53" t="s">
        <v>47</v>
      </c>
      <c r="D85" s="59">
        <f t="shared" si="17"/>
        <v>2</v>
      </c>
      <c r="E85" s="60">
        <f>IFERROR(round(AVERAGEIFS(dataMail!$P:$P, dataMail!$A:$A,$A85, dataMail!$C:$C,"&lt;&gt;Annulation"),1),"-")</f>
        <v>92.6</v>
      </c>
      <c r="F85" s="71">
        <f>SUMIFS(dataMail!S:S,dataMail!A:A,A85, dataMail!C:C,"Confirmation")</f>
        <v>0</v>
      </c>
      <c r="G85" s="62">
        <f>SUMIFS(dataMail!$I:$I,dataMail!$A:$A,$A85)</f>
        <v>2</v>
      </c>
      <c r="H85" s="62">
        <f>SUMIFS(dataMail!$I:$I,dataMail!$V:$V,$A85,dataMail!C:C,"Annulation")</f>
        <v>0</v>
      </c>
      <c r="I85" s="63">
        <f t="shared" si="18"/>
        <v>185.2</v>
      </c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>
      <c r="A86" s="136">
        <f t="shared" si="19"/>
        <v>46234</v>
      </c>
      <c r="B86" s="53"/>
      <c r="C86" s="53" t="s">
        <v>48</v>
      </c>
      <c r="D86" s="59">
        <f t="shared" si="17"/>
        <v>11</v>
      </c>
      <c r="E86" s="60">
        <f>IFERROR(round(AVERAGEIFS(dataMail!$P:$P, dataMail!$A:$A,$A86, dataMail!$C:$C,"&lt;&gt;Annulation"),1),"-")</f>
        <v>111.7</v>
      </c>
      <c r="F86" s="71">
        <f>SUMIFS(dataMail!S:S,dataMail!A:A,A86, dataMail!C:C,"Confirmation")</f>
        <v>0</v>
      </c>
      <c r="G86" s="62">
        <f>SUMIFS(dataMail!$I:$I,dataMail!$A:$A,$A86)</f>
        <v>11</v>
      </c>
      <c r="H86" s="62">
        <f>SUMIFS(dataMail!$I:$I,dataMail!$V:$V,$A86,dataMail!C:C,"Annulation")</f>
        <v>0</v>
      </c>
      <c r="I86" s="63">
        <f t="shared" si="18"/>
        <v>1228.7</v>
      </c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>
      <c r="A87" s="136">
        <f t="shared" si="19"/>
        <v>46233</v>
      </c>
      <c r="B87" s="53"/>
      <c r="C87" s="53" t="s">
        <v>49</v>
      </c>
      <c r="D87" s="59">
        <f t="shared" si="17"/>
        <v>1</v>
      </c>
      <c r="E87" s="60">
        <f>IFERROR(round(AVERAGEIFS(dataMail!$P:$P, dataMail!$A:$A,$A87, dataMail!$C:$C,"&lt;&gt;Annulation"),1),"-")</f>
        <v>105.4</v>
      </c>
      <c r="F87" s="71">
        <f>SUMIFS(dataMail!S:S,dataMail!A:A,A87, dataMail!C:C,"Confirmation")</f>
        <v>0</v>
      </c>
      <c r="G87" s="62">
        <f>SUMIFS(dataMail!$I:$I,dataMail!$A:$A,$A87)</f>
        <v>7</v>
      </c>
      <c r="H87" s="62">
        <f>SUMIFS(dataMail!$I:$I,dataMail!$V:$V,$A87,dataMail!C:C,"Annulation")</f>
        <v>6</v>
      </c>
      <c r="I87" s="63">
        <f t="shared" si="18"/>
        <v>105.4</v>
      </c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>
      <c r="A88" s="136">
        <f t="shared" si="19"/>
        <v>46232</v>
      </c>
      <c r="B88" s="53"/>
      <c r="C88" s="53" t="s">
        <v>50</v>
      </c>
      <c r="D88" s="59">
        <f t="shared" si="17"/>
        <v>26</v>
      </c>
      <c r="E88" s="60">
        <f>IFERROR(round(AVERAGEIFS(dataMail!$P:$P, dataMail!$A:$A,$A88, dataMail!$C:$C,"&lt;&gt;Annulation"),1),"-")</f>
        <v>190.7</v>
      </c>
      <c r="F88" s="71">
        <f>SUMIFS(dataMail!S:S,dataMail!A:A,A88, dataMail!C:C,"Confirmation")</f>
        <v>144</v>
      </c>
      <c r="G88" s="62">
        <f>SUMIFS(dataMail!$I:$I,dataMail!$A:$A,$A88)</f>
        <v>45</v>
      </c>
      <c r="H88" s="62">
        <f>SUMIFS(dataMail!$I:$I,dataMail!$V:$V,$A88,dataMail!C:C,"Annulation")</f>
        <v>19</v>
      </c>
      <c r="I88" s="63">
        <f t="shared" si="18"/>
        <v>5102.2</v>
      </c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>
      <c r="A89" s="136">
        <f t="shared" si="19"/>
        <v>46231</v>
      </c>
      <c r="B89" s="53"/>
      <c r="C89" s="53" t="s">
        <v>51</v>
      </c>
      <c r="D89" s="59">
        <f t="shared" si="17"/>
        <v>31</v>
      </c>
      <c r="E89" s="60">
        <f>IFERROR(round(AVERAGEIFS(dataMail!$P:$P, dataMail!$A:$A,$A89, dataMail!$C:$C,"&lt;&gt;Annulation"),1),"-")</f>
        <v>102.4</v>
      </c>
      <c r="F89" s="71">
        <f>SUMIFS(dataMail!S:S,dataMail!A:A,A89, dataMail!C:C,"Confirmation")</f>
        <v>0</v>
      </c>
      <c r="G89" s="62">
        <f>SUMIFS(dataMail!$I:$I,dataMail!$A:$A,$A89)</f>
        <v>67</v>
      </c>
      <c r="H89" s="62">
        <f>SUMIFS(dataMail!$I:$I,dataMail!$V:$V,$A89,dataMail!C:C,"Annulation")</f>
        <v>36</v>
      </c>
      <c r="I89" s="63">
        <f t="shared" si="18"/>
        <v>3174.4</v>
      </c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>
      <c r="A90" s="136">
        <f t="shared" si="19"/>
        <v>46230</v>
      </c>
      <c r="B90" s="53"/>
      <c r="C90" s="53" t="s">
        <v>52</v>
      </c>
      <c r="D90" s="59">
        <f t="shared" si="17"/>
        <v>5</v>
      </c>
      <c r="E90" s="60">
        <f>IFERROR(round(AVERAGEIFS(dataMail!$P:$P, dataMail!$A:$A,$A90, dataMail!$C:$C,"&lt;&gt;Annulation"),1),"-")</f>
        <v>119.1</v>
      </c>
      <c r="F90" s="71">
        <f>SUMIFS(dataMail!S:S,dataMail!A:A,A90, dataMail!C:C,"Confirmation")</f>
        <v>0</v>
      </c>
      <c r="G90" s="62">
        <f>SUMIFS(dataMail!$I:$I,dataMail!$A:$A,$A90)</f>
        <v>8</v>
      </c>
      <c r="H90" s="62">
        <f>SUMIFS(dataMail!$I:$I,dataMail!$V:$V,$A90,dataMail!C:C,"Annulation")</f>
        <v>3</v>
      </c>
      <c r="I90" s="63">
        <f t="shared" si="18"/>
        <v>595.5</v>
      </c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>
      <c r="A91" s="136">
        <f t="shared" si="19"/>
        <v>46229</v>
      </c>
      <c r="B91" s="53"/>
      <c r="C91" s="53" t="s">
        <v>53</v>
      </c>
      <c r="D91" s="59">
        <f t="shared" si="17"/>
        <v>20</v>
      </c>
      <c r="E91" s="60">
        <f>IFERROR(round(AVERAGEIFS(dataMail!$P:$P, dataMail!$A:$A,$A91, dataMail!$C:$C,"&lt;&gt;Annulation"),1),"-")</f>
        <v>111.1</v>
      </c>
      <c r="F91" s="71">
        <f>SUMIFS(dataMail!S:S,dataMail!A:A,A91, dataMail!C:C,"Confirmation")</f>
        <v>36</v>
      </c>
      <c r="G91" s="62">
        <f>SUMIFS(dataMail!$I:$I,dataMail!$A:$A,$A91)</f>
        <v>20</v>
      </c>
      <c r="H91" s="62">
        <f>SUMIFS(dataMail!$I:$I,dataMail!$V:$V,$A91,dataMail!C:C,"Annulation")</f>
        <v>0</v>
      </c>
      <c r="I91" s="63">
        <f t="shared" si="18"/>
        <v>2258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>
      <c r="A92" s="136">
        <f t="shared" si="19"/>
        <v>46228</v>
      </c>
      <c r="B92" s="53"/>
      <c r="C92" s="53" t="s">
        <v>60</v>
      </c>
      <c r="D92" s="59">
        <f t="shared" si="17"/>
        <v>13</v>
      </c>
      <c r="E92" s="60">
        <f>IFERROR(round(AVERAGEIFS(dataMail!$P:$P, dataMail!$A:$A,$A92, dataMail!$C:$C,"&lt;&gt;Annulation"),1),"-")</f>
        <v>151.6</v>
      </c>
      <c r="F92" s="71">
        <f>SUMIFS(dataMail!S:S,dataMail!A:A,A92, dataMail!C:C,"Confirmation")</f>
        <v>0</v>
      </c>
      <c r="G92" s="62">
        <f>SUMIFS(dataMail!$I:$I,dataMail!$A:$A,$A92)</f>
        <v>21</v>
      </c>
      <c r="H92" s="62">
        <f>SUMIFS(dataMail!$I:$I,dataMail!$V:$V,$A92,dataMail!C:C,"Annulation")</f>
        <v>8</v>
      </c>
      <c r="I92" s="63">
        <f t="shared" si="18"/>
        <v>1970.8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>
      <c r="A93" s="136">
        <f t="shared" si="19"/>
        <v>46227</v>
      </c>
      <c r="B93" s="53"/>
      <c r="C93" s="53" t="s">
        <v>76</v>
      </c>
      <c r="D93" s="59">
        <f t="shared" si="17"/>
        <v>14</v>
      </c>
      <c r="E93" s="60">
        <f>IFERROR(round(AVERAGEIFS(dataMail!$P:$P, dataMail!$A:$A,$A93, dataMail!$C:$C,"&lt;&gt;Annulation"),1),"-")</f>
        <v>158.4</v>
      </c>
      <c r="F93" s="71">
        <f>SUMIFS(dataMail!S:S,dataMail!A:A,A93, dataMail!C:C,"Confirmation")</f>
        <v>0</v>
      </c>
      <c r="G93" s="62">
        <f>SUMIFS(dataMail!$I:$I,dataMail!$A:$A,$A93)</f>
        <v>14</v>
      </c>
      <c r="H93" s="62">
        <f>SUMIFS(dataMail!$I:$I,dataMail!$V:$V,$A93,dataMail!C:C,"Annulation")</f>
        <v>0</v>
      </c>
      <c r="I93" s="63">
        <f t="shared" si="18"/>
        <v>2217.6</v>
      </c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>
      <c r="A94" s="136">
        <f t="shared" si="19"/>
        <v>46226</v>
      </c>
      <c r="B94" s="53"/>
      <c r="C94" s="53" t="s">
        <v>84</v>
      </c>
      <c r="D94" s="59">
        <f t="shared" si="17"/>
        <v>14</v>
      </c>
      <c r="E94" s="60">
        <f>IFERROR(round(AVERAGEIFS(dataMail!$P:$P, dataMail!$A:$A,$A94, dataMail!$C:$C,"&lt;&gt;Annulation"),1),"-")</f>
        <v>152</v>
      </c>
      <c r="F94" s="71">
        <f>SUMIFS(dataMail!S:S,dataMail!A:A,A94, dataMail!C:C,"Confirmation")</f>
        <v>144</v>
      </c>
      <c r="G94" s="62">
        <f>SUMIFS(dataMail!$I:$I,dataMail!$A:$A,$A94)</f>
        <v>14</v>
      </c>
      <c r="H94" s="62">
        <f>SUMIFS(dataMail!$I:$I,dataMail!$V:$V,$A94,dataMail!C:C,"Annulation")</f>
        <v>0</v>
      </c>
      <c r="I94" s="63">
        <f t="shared" si="18"/>
        <v>2272</v>
      </c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>
      <c r="A95" s="136">
        <f t="shared" si="19"/>
        <v>46225</v>
      </c>
      <c r="B95" s="53"/>
      <c r="C95" s="53" t="s">
        <v>92</v>
      </c>
      <c r="D95" s="59">
        <f t="shared" si="17"/>
        <v>5</v>
      </c>
      <c r="E95" s="60">
        <f>IFERROR(round(AVERAGEIFS(dataMail!$P:$P, dataMail!$A:$A,$A95, dataMail!$C:$C,"&lt;&gt;Annulation"),1),"-")</f>
        <v>92.7</v>
      </c>
      <c r="F95" s="71">
        <f>SUMIFS(dataMail!S:S,dataMail!A:A,A95, dataMail!C:C,"Confirmation")</f>
        <v>0</v>
      </c>
      <c r="G95" s="62">
        <f>SUMIFS(dataMail!$I:$I,dataMail!$A:$A,$A95)</f>
        <v>5</v>
      </c>
      <c r="H95" s="62">
        <f>SUMIFS(dataMail!$I:$I,dataMail!$V:$V,$A95,dataMail!C:C,"Annulation")</f>
        <v>0</v>
      </c>
      <c r="I95" s="63">
        <f t="shared" si="18"/>
        <v>463.5</v>
      </c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>
      <c r="A96" s="136">
        <f t="shared" si="19"/>
        <v>46224</v>
      </c>
      <c r="B96" s="53"/>
      <c r="C96" s="53" t="s">
        <v>95</v>
      </c>
      <c r="D96" s="59">
        <f t="shared" si="17"/>
        <v>-1</v>
      </c>
      <c r="E96" s="60">
        <f>IFERROR(round(AVERAGEIFS(dataMail!$P:$P, dataMail!$A:$A,$A96, dataMail!$C:$C,"&lt;&gt;Annulation"),1),"-")</f>
        <v>102.9</v>
      </c>
      <c r="F96" s="71">
        <f>SUMIFS(dataMail!S:S,dataMail!A:A,A96, dataMail!C:C,"Confirmation")</f>
        <v>0</v>
      </c>
      <c r="G96" s="62">
        <f>SUMIFS(dataMail!$I:$I,dataMail!$A:$A,$A96)</f>
        <v>11</v>
      </c>
      <c r="H96" s="62">
        <f>SUMIFS(dataMail!$I:$I,dataMail!$V:$V,$A96,dataMail!C:C,"Annulation")</f>
        <v>12</v>
      </c>
      <c r="I96" s="63">
        <f t="shared" si="18"/>
        <v>-102.9</v>
      </c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>
      <c r="A97" s="136">
        <f t="shared" si="19"/>
        <v>46223</v>
      </c>
      <c r="B97" s="53"/>
      <c r="C97" s="53" t="s">
        <v>105</v>
      </c>
      <c r="D97" s="59">
        <f t="shared" si="17"/>
        <v>-8</v>
      </c>
      <c r="E97" s="60">
        <f>IFERROR(round(AVERAGEIFS(dataMail!$P:$P, dataMail!$A:$A,$A97, dataMail!$C:$C,"&lt;&gt;Annulation"),1),"-")</f>
        <v>121.8</v>
      </c>
      <c r="F97" s="71">
        <f>SUMIFS(dataMail!S:S,dataMail!A:A,A97, dataMail!C:C,"Confirmation")</f>
        <v>0</v>
      </c>
      <c r="G97" s="62">
        <f>SUMIFS(dataMail!$I:$I,dataMail!$A:$A,$A97)</f>
        <v>16</v>
      </c>
      <c r="H97" s="62">
        <f>SUMIFS(dataMail!$I:$I,dataMail!$V:$V,$A97,dataMail!C:C,"Annulation")</f>
        <v>24</v>
      </c>
      <c r="I97" s="63">
        <f t="shared" si="18"/>
        <v>-974.4</v>
      </c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>
      <c r="A98" s="136">
        <f t="shared" si="19"/>
        <v>46222</v>
      </c>
      <c r="B98" s="53"/>
      <c r="C98" s="53" t="s">
        <v>115</v>
      </c>
      <c r="D98" s="59">
        <f t="shared" si="17"/>
        <v>10</v>
      </c>
      <c r="E98" s="60">
        <f>IFERROR(round(AVERAGEIFS(dataMail!$P:$P, dataMail!$A:$A,$A98, dataMail!$C:$C,"&lt;&gt;Annulation"),1),"-")</f>
        <v>104.8</v>
      </c>
      <c r="F98" s="71">
        <f>SUMIFS(dataMail!S:S,dataMail!A:A,A98, dataMail!C:C,"Confirmation")</f>
        <v>0</v>
      </c>
      <c r="G98" s="62">
        <f>SUMIFS(dataMail!$I:$I,dataMail!$A:$A,$A98)</f>
        <v>10</v>
      </c>
      <c r="H98" s="62">
        <f>SUMIFS(dataMail!$I:$I,dataMail!$V:$V,$A98,dataMail!C:C,"Annulation")</f>
        <v>0</v>
      </c>
      <c r="I98" s="63">
        <f t="shared" si="18"/>
        <v>1048</v>
      </c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>
      <c r="A99" s="136">
        <f t="shared" si="19"/>
        <v>46221</v>
      </c>
      <c r="B99" s="53"/>
      <c r="C99" s="53" t="s">
        <v>122</v>
      </c>
      <c r="D99" s="59">
        <f t="shared" si="17"/>
        <v>13</v>
      </c>
      <c r="E99" s="60">
        <f>IFERROR(round(AVERAGEIFS(dataMail!$P:$P, dataMail!$A:$A,$A99, dataMail!$C:$C,"&lt;&gt;Annulation"),1),"-")</f>
        <v>153.5</v>
      </c>
      <c r="F99" s="71">
        <f>SUMIFS(dataMail!S:S,dataMail!A:A,A99, dataMail!C:C,"Confirmation")</f>
        <v>0</v>
      </c>
      <c r="G99" s="62">
        <f>SUMIFS(dataMail!$I:$I,dataMail!$A:$A,$A99)</f>
        <v>16</v>
      </c>
      <c r="H99" s="62">
        <f>SUMIFS(dataMail!$I:$I,dataMail!$V:$V,$A99,dataMail!C:C,"Annulation")</f>
        <v>3</v>
      </c>
      <c r="I99" s="63">
        <f t="shared" si="18"/>
        <v>1995.5</v>
      </c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>
      <c r="A100" s="136">
        <f t="shared" si="19"/>
        <v>46220</v>
      </c>
      <c r="B100" s="53"/>
      <c r="C100" s="53" t="s">
        <v>132</v>
      </c>
      <c r="D100" s="59">
        <f t="shared" si="17"/>
        <v>11</v>
      </c>
      <c r="E100" s="60">
        <f>IFERROR(round(AVERAGEIFS(dataMail!$P:$P, dataMail!$A:$A,$A100, dataMail!$C:$C,"&lt;&gt;Annulation"),1),"-")</f>
        <v>80.1</v>
      </c>
      <c r="F100" s="71">
        <f>SUMIFS(dataMail!S:S,dataMail!A:A,A100, dataMail!C:C,"Confirmation")</f>
        <v>0</v>
      </c>
      <c r="G100" s="62">
        <f>SUMIFS(dataMail!$I:$I,dataMail!$A:$A,$A100)</f>
        <v>11</v>
      </c>
      <c r="H100" s="62">
        <f>SUMIFS(dataMail!$I:$I,dataMail!$V:$V,$A100,dataMail!C:C,"Annulation")</f>
        <v>0</v>
      </c>
      <c r="I100" s="63">
        <f t="shared" si="18"/>
        <v>881.1</v>
      </c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>
      <c r="A101" s="136">
        <f t="shared" si="19"/>
        <v>46219</v>
      </c>
      <c r="B101" s="53"/>
      <c r="C101" s="53" t="s">
        <v>139</v>
      </c>
      <c r="D101" s="59">
        <f t="shared" si="17"/>
        <v>7</v>
      </c>
      <c r="E101" s="60">
        <f>IFERROR(round(AVERAGEIFS(dataMail!$P:$P, dataMail!$A:$A,$A101, dataMail!$C:$C,"&lt;&gt;Annulation"),1),"-")</f>
        <v>40.3</v>
      </c>
      <c r="F101" s="71">
        <f>SUMIFS(dataMail!S:S,dataMail!A:A,A101, dataMail!C:C,"Confirmation")</f>
        <v>0</v>
      </c>
      <c r="G101" s="62">
        <f>SUMIFS(dataMail!$I:$I,dataMail!$A:$A,$A101)</f>
        <v>9</v>
      </c>
      <c r="H101" s="62">
        <f>SUMIFS(dataMail!$I:$I,dataMail!$V:$V,$A101,dataMail!C:C,"Annulation")</f>
        <v>2</v>
      </c>
      <c r="I101" s="63">
        <f t="shared" si="18"/>
        <v>282.1</v>
      </c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>
      <c r="A102" s="136">
        <f t="shared" si="19"/>
        <v>46218</v>
      </c>
      <c r="B102" s="53"/>
      <c r="C102" s="53" t="s">
        <v>148</v>
      </c>
      <c r="D102" s="59">
        <f t="shared" si="17"/>
        <v>13</v>
      </c>
      <c r="E102" s="60">
        <f>IFERROR(round(AVERAGEIFS(dataMail!$P:$P, dataMail!$A:$A,$A102, dataMail!$C:$C,"&lt;&gt;Annulation"),1),"-")</f>
        <v>168.4</v>
      </c>
      <c r="F102" s="71">
        <f>SUMIFS(dataMail!S:S,dataMail!A:A,A102, dataMail!C:C,"Confirmation")</f>
        <v>0</v>
      </c>
      <c r="G102" s="62">
        <f>SUMIFS(dataMail!$I:$I,dataMail!$A:$A,$A102)</f>
        <v>22</v>
      </c>
      <c r="H102" s="62">
        <f>SUMIFS(dataMail!$I:$I,dataMail!$V:$V,$A102,dataMail!C:C,"Annulation")</f>
        <v>9</v>
      </c>
      <c r="I102" s="63">
        <f t="shared" si="18"/>
        <v>2189.2</v>
      </c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>
      <c r="A103" s="136">
        <f t="shared" si="19"/>
        <v>46217</v>
      </c>
      <c r="B103" s="53"/>
      <c r="C103" s="53" t="s">
        <v>154</v>
      </c>
      <c r="D103" s="59">
        <f t="shared" si="17"/>
        <v>11</v>
      </c>
      <c r="E103" s="60">
        <f>IFERROR(round(AVERAGEIFS(dataMail!$P:$P, dataMail!$A:$A,$A103, dataMail!$C:$C,"&lt;&gt;Annulation"),1),"-")</f>
        <v>128.5</v>
      </c>
      <c r="F103" s="71">
        <f>SUMIFS(dataMail!S:S,dataMail!A:A,A103, dataMail!C:C,"Confirmation")</f>
        <v>0</v>
      </c>
      <c r="G103" s="62">
        <f>SUMIFS(dataMail!$I:$I,dataMail!$A:$A,$A103)</f>
        <v>11</v>
      </c>
      <c r="H103" s="62">
        <f>SUMIFS(dataMail!$I:$I,dataMail!$V:$V,$A103,dataMail!C:C,"Annulation")</f>
        <v>0</v>
      </c>
      <c r="I103" s="63">
        <f t="shared" si="18"/>
        <v>1413.5</v>
      </c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>
      <c r="A104" s="136">
        <f t="shared" si="19"/>
        <v>46216</v>
      </c>
      <c r="B104" s="53"/>
      <c r="C104" s="53" t="s">
        <v>158</v>
      </c>
      <c r="D104" s="59">
        <f t="shared" si="17"/>
        <v>21</v>
      </c>
      <c r="E104" s="60">
        <f>IFERROR(round(AVERAGEIFS(dataMail!$P:$P, dataMail!$A:$A,$A104, dataMail!$C:$C,"&lt;&gt;Annulation"),1),"-")</f>
        <v>211.5</v>
      </c>
      <c r="F104" s="71">
        <f>SUMIFS(dataMail!S:S,dataMail!A:A,A104, dataMail!C:C,"Confirmation")</f>
        <v>0</v>
      </c>
      <c r="G104" s="62">
        <f>SUMIFS(dataMail!$I:$I,dataMail!$A:$A,$A104)</f>
        <v>24</v>
      </c>
      <c r="H104" s="62">
        <f>SUMIFS(dataMail!$I:$I,dataMail!$V:$V,$A104,dataMail!C:C,"Annulation")</f>
        <v>3</v>
      </c>
      <c r="I104" s="63">
        <f t="shared" si="18"/>
        <v>4441.5</v>
      </c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>
      <c r="A105" s="136">
        <f t="shared" si="19"/>
        <v>46215</v>
      </c>
      <c r="B105" s="53"/>
      <c r="C105" s="53" t="s">
        <v>166</v>
      </c>
      <c r="D105" s="59">
        <f t="shared" si="17"/>
        <v>24</v>
      </c>
      <c r="E105" s="60">
        <f>IFERROR(round(AVERAGEIFS(dataMail!$P:$P, dataMail!$A:$A,$A105, dataMail!$C:$C,"&lt;&gt;Annulation"),1),"-")</f>
        <v>82.7</v>
      </c>
      <c r="F105" s="71">
        <f>SUMIFS(dataMail!S:S,dataMail!A:A,A105, dataMail!C:C,"Confirmation")</f>
        <v>0</v>
      </c>
      <c r="G105" s="62">
        <f>SUMIFS(dataMail!$I:$I,dataMail!$A:$A,$A105)</f>
        <v>27</v>
      </c>
      <c r="H105" s="62">
        <f>SUMIFS(dataMail!$I:$I,dataMail!$V:$V,$A105,dataMail!C:C,"Annulation")</f>
        <v>3</v>
      </c>
      <c r="I105" s="63">
        <f t="shared" si="18"/>
        <v>1984.8</v>
      </c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>
      <c r="A106" s="136">
        <f t="shared" si="19"/>
        <v>46214</v>
      </c>
      <c r="B106" s="53"/>
      <c r="C106" s="53" t="s">
        <v>174</v>
      </c>
      <c r="D106" s="59">
        <f t="shared" si="17"/>
        <v>15</v>
      </c>
      <c r="E106" s="60">
        <f>IFERROR(round(AVERAGEIFS(dataMail!$P:$P, dataMail!$A:$A,$A106, dataMail!$C:$C,"&lt;&gt;Annulation"),1),"-")</f>
        <v>98</v>
      </c>
      <c r="F106" s="71">
        <f>SUMIFS(dataMail!S:S,dataMail!A:A,A106, dataMail!C:C,"Confirmation")</f>
        <v>0</v>
      </c>
      <c r="G106" s="62">
        <f>SUMIFS(dataMail!$I:$I,dataMail!$A:$A,$A106)</f>
        <v>15</v>
      </c>
      <c r="H106" s="62">
        <f>SUMIFS(dataMail!$I:$I,dataMail!$V:$V,$A106,dataMail!C:C,"Annulation")</f>
        <v>0</v>
      </c>
      <c r="I106" s="63">
        <f t="shared" si="18"/>
        <v>1470</v>
      </c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>
      <c r="A107" s="136">
        <f t="shared" si="19"/>
        <v>46213</v>
      </c>
      <c r="B107" s="53"/>
      <c r="C107" s="53" t="s">
        <v>185</v>
      </c>
      <c r="D107" s="59">
        <f t="shared" si="17"/>
        <v>15</v>
      </c>
      <c r="E107" s="60">
        <f>IFERROR(round(AVERAGEIFS(dataMail!$P:$P, dataMail!$A:$A,$A107, dataMail!$C:$C,"&lt;&gt;Annulation"),1),"-")</f>
        <v>117.4</v>
      </c>
      <c r="F107" s="71">
        <f>SUMIFS(dataMail!S:S,dataMail!A:A,A107, dataMail!C:C,"Confirmation")</f>
        <v>0</v>
      </c>
      <c r="G107" s="62">
        <f>SUMIFS(dataMail!$I:$I,dataMail!$A:$A,$A107)</f>
        <v>21</v>
      </c>
      <c r="H107" s="62">
        <f>SUMIFS(dataMail!$I:$I,dataMail!$V:$V,$A107,dataMail!C:C,"Annulation")</f>
        <v>6</v>
      </c>
      <c r="I107" s="63">
        <f t="shared" si="18"/>
        <v>1761</v>
      </c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>
      <c r="A108" s="136">
        <f t="shared" si="19"/>
        <v>46212</v>
      </c>
      <c r="B108" s="53"/>
      <c r="C108" s="53" t="s">
        <v>195</v>
      </c>
      <c r="D108" s="59">
        <f t="shared" si="17"/>
        <v>8</v>
      </c>
      <c r="E108" s="60">
        <f>IFERROR(round(AVERAGEIFS(dataMail!$P:$P, dataMail!$A:$A,$A108, dataMail!$C:$C,"&lt;&gt;Annulation"),1),"-")</f>
        <v>210.8</v>
      </c>
      <c r="F108" s="71">
        <f>SUMIFS(dataMail!S:S,dataMail!A:A,A108, dataMail!C:C,"Confirmation")</f>
        <v>0</v>
      </c>
      <c r="G108" s="62">
        <f>SUMIFS(dataMail!$I:$I,dataMail!$A:$A,$A108)</f>
        <v>8</v>
      </c>
      <c r="H108" s="62">
        <f>SUMIFS(dataMail!$I:$I,dataMail!$V:$V,$A108,dataMail!C:C,"Annulation")</f>
        <v>0</v>
      </c>
      <c r="I108" s="63">
        <f t="shared" si="18"/>
        <v>1686.4</v>
      </c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>
      <c r="A109" s="136">
        <f t="shared" si="19"/>
        <v>46211</v>
      </c>
      <c r="B109" s="53"/>
      <c r="C109" s="53" t="s">
        <v>201</v>
      </c>
      <c r="D109" s="59">
        <f t="shared" si="17"/>
        <v>25</v>
      </c>
      <c r="E109" s="60">
        <f>IFERROR(round(AVERAGEIFS(dataMail!$P:$P, dataMail!$A:$A,$A109, dataMail!$C:$C,"&lt;&gt;Annulation"),1),"-")</f>
        <v>196.1</v>
      </c>
      <c r="F109" s="71">
        <f>SUMIFS(dataMail!S:S,dataMail!A:A,A109, dataMail!C:C,"Confirmation")</f>
        <v>0</v>
      </c>
      <c r="G109" s="62">
        <f>SUMIFS(dataMail!$I:$I,dataMail!$A:$A,$A109)</f>
        <v>25</v>
      </c>
      <c r="H109" s="62">
        <f>SUMIFS(dataMail!$I:$I,dataMail!$V:$V,$A109,dataMail!C:C,"Annulation")</f>
        <v>0</v>
      </c>
      <c r="I109" s="63">
        <f t="shared" si="18"/>
        <v>4902.5</v>
      </c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>
      <c r="A110" s="136">
        <f t="shared" si="19"/>
        <v>46210</v>
      </c>
      <c r="B110" s="53"/>
      <c r="C110" s="53" t="s">
        <v>208</v>
      </c>
      <c r="D110" s="59">
        <f t="shared" si="17"/>
        <v>5</v>
      </c>
      <c r="E110" s="60">
        <f>IFERROR(round(AVERAGEIFS(dataMail!$P:$P, dataMail!$A:$A,$A110, dataMail!$C:$C,"&lt;&gt;Annulation"),1),"-")</f>
        <v>158</v>
      </c>
      <c r="F110" s="71">
        <f>SUMIFS(dataMail!S:S,dataMail!A:A,A110, dataMail!C:C,"Confirmation")</f>
        <v>0</v>
      </c>
      <c r="G110" s="62">
        <f>SUMIFS(dataMail!$I:$I,dataMail!$A:$A,$A110)</f>
        <v>5</v>
      </c>
      <c r="H110" s="62">
        <f>SUMIFS(dataMail!$I:$I,dataMail!$V:$V,$A110,dataMail!C:C,"Annulation")</f>
        <v>0</v>
      </c>
      <c r="I110" s="63">
        <f t="shared" si="18"/>
        <v>790</v>
      </c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>
      <c r="A111" s="136">
        <f t="shared" si="19"/>
        <v>46209</v>
      </c>
      <c r="B111" s="53"/>
      <c r="C111" s="53" t="s">
        <v>215</v>
      </c>
      <c r="D111" s="59">
        <f t="shared" si="17"/>
        <v>-15</v>
      </c>
      <c r="E111" s="60">
        <f>IFERROR(round(AVERAGEIFS(dataMail!$P:$P, dataMail!$A:$A,$A111, dataMail!$C:$C,"&lt;&gt;Annulation"),1),"-")</f>
        <v>67.7</v>
      </c>
      <c r="F111" s="71">
        <f>SUMIFS(dataMail!S:S,dataMail!A:A,A111, dataMail!C:C,"Confirmation")</f>
        <v>0</v>
      </c>
      <c r="G111" s="62">
        <f>SUMIFS(dataMail!$I:$I,dataMail!$A:$A,$A111)</f>
        <v>11</v>
      </c>
      <c r="H111" s="62">
        <f>SUMIFS(dataMail!$I:$I,dataMail!$V:$V,$A111,dataMail!C:C,"Annulation")</f>
        <v>26</v>
      </c>
      <c r="I111" s="63">
        <f t="shared" si="18"/>
        <v>-1015.5</v>
      </c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>
      <c r="A112" s="136">
        <f t="shared" si="19"/>
        <v>46208</v>
      </c>
      <c r="B112" s="53"/>
      <c r="C112" s="53" t="s">
        <v>219</v>
      </c>
      <c r="D112" s="59">
        <f t="shared" si="17"/>
        <v>6</v>
      </c>
      <c r="E112" s="60">
        <f>IFERROR(round(AVERAGEIFS(dataMail!$P:$P, dataMail!$A:$A,$A112, dataMail!$C:$C,"&lt;&gt;Annulation"),1),"-")</f>
        <v>238.5</v>
      </c>
      <c r="F112" s="71">
        <f>SUMIFS(dataMail!S:S,dataMail!A:A,A112, dataMail!C:C,"Confirmation")</f>
        <v>0</v>
      </c>
      <c r="G112" s="62">
        <f>SUMIFS(dataMail!$I:$I,dataMail!$A:$A,$A112)</f>
        <v>7</v>
      </c>
      <c r="H112" s="62">
        <f>SUMIFS(dataMail!$I:$I,dataMail!$V:$V,$A112,dataMail!C:C,"Annulation")</f>
        <v>1</v>
      </c>
      <c r="I112" s="63">
        <f t="shared" si="18"/>
        <v>1431</v>
      </c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>
      <c r="A113" s="136">
        <f t="shared" si="19"/>
        <v>46207</v>
      </c>
      <c r="B113" s="53"/>
      <c r="C113" s="53" t="s">
        <v>227</v>
      </c>
      <c r="D113" s="59">
        <f t="shared" si="17"/>
        <v>3</v>
      </c>
      <c r="E113" s="60">
        <f>IFERROR(round(AVERAGEIFS(dataMail!$P:$P, dataMail!$A:$A,$A113, dataMail!$C:$C,"&lt;&gt;Annulation"),1),"-")</f>
        <v>211</v>
      </c>
      <c r="F113" s="71">
        <f>SUMIFS(dataMail!S:S,dataMail!A:A,A113, dataMail!C:C,"Confirmation")</f>
        <v>0</v>
      </c>
      <c r="G113" s="62">
        <f>SUMIFS(dataMail!$I:$I,dataMail!$A:$A,$A113)</f>
        <v>3</v>
      </c>
      <c r="H113" s="62">
        <f>SUMIFS(dataMail!$I:$I,dataMail!$V:$V,$A113,dataMail!C:C,"Annulation")</f>
        <v>0</v>
      </c>
      <c r="I113" s="63">
        <f t="shared" si="18"/>
        <v>633</v>
      </c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>
      <c r="A114" s="136">
        <f t="shared" si="19"/>
        <v>46206</v>
      </c>
      <c r="B114" s="53"/>
      <c r="C114" s="53" t="s">
        <v>233</v>
      </c>
      <c r="D114" s="59">
        <f t="shared" si="17"/>
        <v>5</v>
      </c>
      <c r="E114" s="60">
        <f>IFERROR(round(AVERAGEIFS(dataMail!$P:$P, dataMail!$A:$A,$A114, dataMail!$C:$C,"&lt;&gt;Annulation"),1),"-")</f>
        <v>124</v>
      </c>
      <c r="F114" s="71">
        <f>SUMIFS(dataMail!S:S,dataMail!A:A,A114, dataMail!C:C,"Confirmation")</f>
        <v>0</v>
      </c>
      <c r="G114" s="62">
        <f>SUMIFS(dataMail!$I:$I,dataMail!$A:$A,$A114)</f>
        <v>5</v>
      </c>
      <c r="H114" s="62">
        <f>SUMIFS(dataMail!$I:$I,dataMail!$V:$V,$A114,dataMail!C:C,"Annulation")</f>
        <v>0</v>
      </c>
      <c r="I114" s="63">
        <f t="shared" si="18"/>
        <v>620</v>
      </c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>
      <c r="A115" s="136">
        <f t="shared" si="19"/>
        <v>46205</v>
      </c>
      <c r="B115" s="53"/>
      <c r="C115" s="53" t="s">
        <v>239</v>
      </c>
      <c r="D115" s="59">
        <f t="shared" si="17"/>
        <v>11</v>
      </c>
      <c r="E115" s="60">
        <f>IFERROR(round(AVERAGEIFS(dataMail!$P:$P, dataMail!$A:$A,$A115, dataMail!$C:$C,"&lt;&gt;Annulation"),1),"-")</f>
        <v>135</v>
      </c>
      <c r="F115" s="71">
        <f>SUMIFS(dataMail!S:S,dataMail!A:A,A115, dataMail!C:C,"Confirmation")</f>
        <v>0</v>
      </c>
      <c r="G115" s="62">
        <f>SUMIFS(dataMail!$I:$I,dataMail!$A:$A,$A115)</f>
        <v>11</v>
      </c>
      <c r="H115" s="62">
        <f>SUMIFS(dataMail!$I:$I,dataMail!$V:$V,$A115,dataMail!C:C,"Annulation")</f>
        <v>0</v>
      </c>
      <c r="I115" s="63">
        <f t="shared" si="18"/>
        <v>1485</v>
      </c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>
      <c r="A116" s="136">
        <f t="shared" si="19"/>
        <v>46204</v>
      </c>
      <c r="B116" s="53"/>
      <c r="C116" s="53" t="s">
        <v>242</v>
      </c>
      <c r="D116" s="59">
        <f t="shared" si="17"/>
        <v>12</v>
      </c>
      <c r="E116" s="60">
        <f>IFERROR(round(AVERAGEIFS(dataMail!$P:$P, dataMail!$A:$A,$A116, dataMail!$C:$C,"&lt;&gt;Annulation"),1),"-")</f>
        <v>118.8</v>
      </c>
      <c r="F116" s="71">
        <f>SUMIFS(dataMail!S:S,dataMail!A:A,A116, dataMail!C:C,"Confirmation")</f>
        <v>0</v>
      </c>
      <c r="G116" s="62">
        <f>SUMIFS(dataMail!$I:$I,dataMail!$A:$A,$A116)</f>
        <v>12</v>
      </c>
      <c r="H116" s="62">
        <f>SUMIFS(dataMail!$I:$I,dataMail!$V:$V,$A116,dataMail!C:C,"Annulation")</f>
        <v>0</v>
      </c>
      <c r="I116" s="63">
        <f t="shared" si="18"/>
        <v>1425.6</v>
      </c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>
      <c r="A117" s="136">
        <f t="shared" si="19"/>
        <v>46203</v>
      </c>
      <c r="B117" s="53"/>
      <c r="C117" s="53" t="s">
        <v>249</v>
      </c>
      <c r="D117" s="59">
        <f t="shared" si="17"/>
        <v>1</v>
      </c>
      <c r="E117" s="60">
        <f>IFERROR(round(AVERAGEIFS(dataMail!$P:$P, dataMail!$A:$A,$A117, dataMail!$C:$C,"&lt;&gt;Annulation"),1),"-")</f>
        <v>175.9</v>
      </c>
      <c r="F117" s="71">
        <f>SUMIFS(dataMail!S:S,dataMail!A:A,A117, dataMail!C:C,"Confirmation")</f>
        <v>0</v>
      </c>
      <c r="G117" s="62">
        <f>SUMIFS(dataMail!$I:$I,dataMail!$A:$A,$A117)</f>
        <v>7</v>
      </c>
      <c r="H117" s="62">
        <f>SUMIFS(dataMail!$I:$I,dataMail!$V:$V,$A117,dataMail!C:C,"Annulation")</f>
        <v>6</v>
      </c>
      <c r="I117" s="63">
        <f t="shared" si="18"/>
        <v>175.9</v>
      </c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>
      <c r="A118" s="136">
        <f t="shared" si="19"/>
        <v>46202</v>
      </c>
      <c r="B118" s="53"/>
      <c r="C118" s="53" t="s">
        <v>259</v>
      </c>
      <c r="D118" s="59">
        <f t="shared" si="17"/>
        <v>7</v>
      </c>
      <c r="E118" s="60">
        <f>IFERROR(round(AVERAGEIFS(dataMail!$P:$P, dataMail!$A:$A,$A118, dataMail!$C:$C,"&lt;&gt;Annulation"),1),"-")</f>
        <v>222.2</v>
      </c>
      <c r="F118" s="71">
        <f>SUMIFS(dataMail!S:S,dataMail!A:A,A118, dataMail!C:C,"Confirmation")</f>
        <v>0</v>
      </c>
      <c r="G118" s="62">
        <f>SUMIFS(dataMail!$I:$I,dataMail!$A:$A,$A118)</f>
        <v>17</v>
      </c>
      <c r="H118" s="62">
        <f>SUMIFS(dataMail!$I:$I,dataMail!$V:$V,$A118,dataMail!C:C,"Annulation")</f>
        <v>10</v>
      </c>
      <c r="I118" s="63">
        <f t="shared" si="18"/>
        <v>1555.4</v>
      </c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>
      <c r="A119" s="136">
        <f t="shared" si="19"/>
        <v>46201</v>
      </c>
      <c r="B119" s="53"/>
      <c r="C119" s="53" t="s">
        <v>260</v>
      </c>
      <c r="D119" s="59">
        <f t="shared" si="17"/>
        <v>0</v>
      </c>
      <c r="E119" s="60" t="str">
        <f>IFERROR(round(AVERAGEIFS(dataMail!$P:$P, dataMail!$A:$A,$A119, dataMail!$C:$C,"&lt;&gt;Annulation"),1),"-")</f>
        <v>-</v>
      </c>
      <c r="F119" s="71">
        <f>SUMIFS(dataMail!S:S,dataMail!A:A,A119, dataMail!C:C,"Confirmation")</f>
        <v>0</v>
      </c>
      <c r="G119" s="62">
        <f>SUMIFS(dataMail!$I:$I,dataMail!$A:$A,$A119)</f>
        <v>0</v>
      </c>
      <c r="H119" s="62">
        <f>SUMIFS(dataMail!$I:$I,dataMail!$V:$V,$A119,dataMail!C:C,"Annulation")</f>
        <v>0</v>
      </c>
      <c r="I119" s="63" t="str">
        <f t="shared" si="18"/>
        <v>#VALUE!</v>
      </c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>
      <c r="A120" s="136">
        <f t="shared" si="19"/>
        <v>46200</v>
      </c>
      <c r="B120" s="53"/>
      <c r="C120" s="53" t="s">
        <v>264</v>
      </c>
      <c r="D120" s="59">
        <f t="shared" si="17"/>
        <v>3</v>
      </c>
      <c r="E120" s="60">
        <f>IFERROR(round(AVERAGEIFS(dataMail!$P:$P, dataMail!$A:$A,$A120, dataMail!$C:$C,"&lt;&gt;Annulation"),1),"-")</f>
        <v>135.4</v>
      </c>
      <c r="F120" s="71">
        <f>SUMIFS(dataMail!S:S,dataMail!A:A,A120, dataMail!C:C,"Confirmation")</f>
        <v>162</v>
      </c>
      <c r="G120" s="62">
        <f>SUMIFS(dataMail!$I:$I,dataMail!$A:$A,$A120)</f>
        <v>6</v>
      </c>
      <c r="H120" s="62">
        <f>SUMIFS(dataMail!$I:$I,dataMail!$V:$V,$A120,dataMail!C:C,"Annulation")</f>
        <v>3</v>
      </c>
      <c r="I120" s="63">
        <f t="shared" si="18"/>
        <v>568.2</v>
      </c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>
      <c r="A121" s="136">
        <f t="shared" si="19"/>
        <v>46199</v>
      </c>
      <c r="B121" s="53"/>
      <c r="C121" s="53" t="s">
        <v>273</v>
      </c>
      <c r="D121" s="59">
        <f t="shared" si="17"/>
        <v>0</v>
      </c>
      <c r="E121" s="60" t="str">
        <f>IFERROR(round(AVERAGEIFS(dataMail!$P:$P, dataMail!$A:$A,$A121, dataMail!$C:$C,"&lt;&gt;Annulation"),1),"-")</f>
        <v>-</v>
      </c>
      <c r="F121" s="71">
        <f>SUMIFS(dataMail!S:S,dataMail!A:A,A121, dataMail!C:C,"Confirmation")</f>
        <v>0</v>
      </c>
      <c r="G121" s="62">
        <f>SUMIFS(dataMail!$I:$I,dataMail!$A:$A,$A121)</f>
        <v>0</v>
      </c>
      <c r="H121" s="62">
        <f>SUMIFS(dataMail!$I:$I,dataMail!$V:$V,$A121,dataMail!C:C,"Annulation")</f>
        <v>0</v>
      </c>
      <c r="I121" s="63" t="str">
        <f t="shared" si="18"/>
        <v>#VALUE!</v>
      </c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>
      <c r="A122" s="136">
        <f t="shared" si="19"/>
        <v>46198</v>
      </c>
      <c r="B122" s="53"/>
      <c r="C122" s="53" t="s">
        <v>284</v>
      </c>
      <c r="D122" s="59">
        <f t="shared" si="17"/>
        <v>23</v>
      </c>
      <c r="E122" s="60">
        <f>IFERROR(round(AVERAGEIFS(dataMail!$P:$P, dataMail!$A:$A,$A122, dataMail!$C:$C,"&lt;&gt;Annulation"),1),"-")</f>
        <v>178</v>
      </c>
      <c r="F122" s="71">
        <f>SUMIFS(dataMail!S:S,dataMail!A:A,A122, dataMail!C:C,"Confirmation")</f>
        <v>0</v>
      </c>
      <c r="G122" s="62">
        <f>SUMIFS(dataMail!$I:$I,dataMail!$A:$A,$A122)</f>
        <v>23</v>
      </c>
      <c r="H122" s="62">
        <f>SUMIFS(dataMail!$I:$I,dataMail!$V:$V,$A122,dataMail!C:C,"Annulation")</f>
        <v>0</v>
      </c>
      <c r="I122" s="63">
        <f t="shared" si="18"/>
        <v>4094</v>
      </c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>
      <c r="A123" s="136">
        <f t="shared" si="19"/>
        <v>46197</v>
      </c>
      <c r="B123" s="53"/>
      <c r="C123" s="53" t="s">
        <v>290</v>
      </c>
      <c r="D123" s="59">
        <f t="shared" si="17"/>
        <v>1</v>
      </c>
      <c r="E123" s="60">
        <f>IFERROR(round(AVERAGEIFS(dataMail!$P:$P, dataMail!$A:$A,$A123, dataMail!$C:$C,"&lt;&gt;Annulation"),1),"-")</f>
        <v>208.1</v>
      </c>
      <c r="F123" s="71">
        <f>SUMIFS(dataMail!S:S,dataMail!A:A,A123, dataMail!C:C,"Confirmation")</f>
        <v>0</v>
      </c>
      <c r="G123" s="62">
        <f>SUMIFS(dataMail!$I:$I,dataMail!$A:$A,$A123)</f>
        <v>1</v>
      </c>
      <c r="H123" s="62">
        <f>SUMIFS(dataMail!$I:$I,dataMail!$V:$V,$A123,dataMail!C:C,"Annulation")</f>
        <v>0</v>
      </c>
      <c r="I123" s="63">
        <f t="shared" si="18"/>
        <v>208.1</v>
      </c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>
      <c r="A124" s="136">
        <f t="shared" si="19"/>
        <v>46196</v>
      </c>
      <c r="B124" s="53"/>
      <c r="C124" s="53" t="s">
        <v>298</v>
      </c>
      <c r="D124" s="59">
        <f t="shared" si="17"/>
        <v>-4</v>
      </c>
      <c r="E124" s="60">
        <f>IFERROR(round(AVERAGEIFS(dataMail!$P:$P, dataMail!$A:$A,$A124, dataMail!$C:$C,"&lt;&gt;Annulation"),1),"-")</f>
        <v>107.9</v>
      </c>
      <c r="F124" s="71">
        <f>SUMIFS(dataMail!S:S,dataMail!A:A,A124, dataMail!C:C,"Confirmation")</f>
        <v>0</v>
      </c>
      <c r="G124" s="62">
        <f>SUMIFS(dataMail!$I:$I,dataMail!$A:$A,$A124)</f>
        <v>1</v>
      </c>
      <c r="H124" s="62">
        <f>SUMIFS(dataMail!$I:$I,dataMail!$V:$V,$A124,dataMail!C:C,"Annulation")</f>
        <v>5</v>
      </c>
      <c r="I124" s="63">
        <f t="shared" si="18"/>
        <v>-431.6</v>
      </c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>
      <c r="A125" s="136">
        <f t="shared" si="19"/>
        <v>46195</v>
      </c>
      <c r="B125" s="53"/>
      <c r="C125" s="53" t="s">
        <v>304</v>
      </c>
      <c r="D125" s="59">
        <f t="shared" si="17"/>
        <v>9</v>
      </c>
      <c r="E125" s="60">
        <f>IFERROR(round(AVERAGEIFS(dataMail!$P:$P, dataMail!$A:$A,$A125, dataMail!$C:$C,"&lt;&gt;Annulation"),1),"-")</f>
        <v>158.4</v>
      </c>
      <c r="F125" s="71">
        <f>SUMIFS(dataMail!S:S,dataMail!A:A,A125, dataMail!C:C,"Confirmation")</f>
        <v>0</v>
      </c>
      <c r="G125" s="62">
        <f>SUMIFS(dataMail!$I:$I,dataMail!$A:$A,$A125)</f>
        <v>9</v>
      </c>
      <c r="H125" s="62">
        <f>SUMIFS(dataMail!$I:$I,dataMail!$V:$V,$A125,dataMail!C:C,"Annulation")</f>
        <v>0</v>
      </c>
      <c r="I125" s="63">
        <f t="shared" si="18"/>
        <v>1425.6</v>
      </c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>
      <c r="A126" s="136">
        <f t="shared" si="19"/>
        <v>46194</v>
      </c>
      <c r="B126" s="53"/>
      <c r="C126" s="53" t="s">
        <v>308</v>
      </c>
      <c r="D126" s="59">
        <f t="shared" si="17"/>
        <v>2</v>
      </c>
      <c r="E126" s="60">
        <f>IFERROR(round(AVERAGEIFS(dataMail!$P:$P, dataMail!$A:$A,$A126, dataMail!$C:$C,"&lt;&gt;Annulation"),1),"-")</f>
        <v>120.3</v>
      </c>
      <c r="F126" s="71">
        <f>SUMIFS(dataMail!S:S,dataMail!A:A,A126, dataMail!C:C,"Confirmation")</f>
        <v>0</v>
      </c>
      <c r="G126" s="62">
        <f>SUMIFS(dataMail!$I:$I,dataMail!$A:$A,$A126)</f>
        <v>4</v>
      </c>
      <c r="H126" s="62">
        <f>SUMIFS(dataMail!$I:$I,dataMail!$V:$V,$A126,dataMail!C:C,"Annulation")</f>
        <v>2</v>
      </c>
      <c r="I126" s="63">
        <f t="shared" si="18"/>
        <v>240.6</v>
      </c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>
      <c r="A127" s="136">
        <f t="shared" si="19"/>
        <v>46193</v>
      </c>
      <c r="B127" s="53"/>
      <c r="C127" s="53" t="s">
        <v>313</v>
      </c>
      <c r="D127" s="59">
        <f t="shared" si="17"/>
        <v>-2</v>
      </c>
      <c r="E127" s="60">
        <f>IFERROR(round(AVERAGEIFS(dataMail!$P:$P, dataMail!$A:$A,$A127, dataMail!$C:$C,"&lt;&gt;Annulation"),1),"-")</f>
        <v>152.4</v>
      </c>
      <c r="F127" s="71">
        <f>SUMIFS(dataMail!S:S,dataMail!A:A,A127, dataMail!C:C,"Confirmation")</f>
        <v>0</v>
      </c>
      <c r="G127" s="62">
        <f>SUMIFS(dataMail!$I:$I,dataMail!$A:$A,$A127)</f>
        <v>7</v>
      </c>
      <c r="H127" s="62">
        <f>SUMIFS(dataMail!$I:$I,dataMail!$V:$V,$A127,dataMail!C:C,"Annulation")</f>
        <v>9</v>
      </c>
      <c r="I127" s="63">
        <f t="shared" si="18"/>
        <v>-304.8</v>
      </c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>
      <c r="A128" s="136">
        <f t="shared" si="19"/>
        <v>46192</v>
      </c>
      <c r="B128" s="53"/>
      <c r="C128" s="53" t="s">
        <v>321</v>
      </c>
      <c r="D128" s="59">
        <f t="shared" si="17"/>
        <v>0</v>
      </c>
      <c r="E128" s="60" t="str">
        <f>IFERROR(round(AVERAGEIFS(dataMail!$P:$P, dataMail!$A:$A,$A128, dataMail!$C:$C,"&lt;&gt;Annulation"),1),"-")</f>
        <v>-</v>
      </c>
      <c r="F128" s="71">
        <f>SUMIFS(dataMail!S:S,dataMail!A:A,A128, dataMail!C:C,"Confirmation")</f>
        <v>0</v>
      </c>
      <c r="G128" s="62">
        <f>SUMIFS(dataMail!$I:$I,dataMail!$A:$A,$A128)</f>
        <v>0</v>
      </c>
      <c r="H128" s="62">
        <f>SUMIFS(dataMail!$I:$I,dataMail!$V:$V,$A128,dataMail!C:C,"Annulation")</f>
        <v>0</v>
      </c>
      <c r="I128" s="63" t="str">
        <f t="shared" si="18"/>
        <v>#VALUE!</v>
      </c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>
      <c r="A129" s="136">
        <f t="shared" si="19"/>
        <v>46191</v>
      </c>
      <c r="B129" s="53"/>
      <c r="C129" s="53" t="s">
        <v>327</v>
      </c>
      <c r="D129" s="59">
        <f t="shared" si="17"/>
        <v>1</v>
      </c>
      <c r="E129" s="60">
        <f>IFERROR(round(AVERAGEIFS(dataMail!$P:$P, dataMail!$A:$A,$A129, dataMail!$C:$C,"&lt;&gt;Annulation"),1),"-")</f>
        <v>118.9</v>
      </c>
      <c r="F129" s="71">
        <f>SUMIFS(dataMail!S:S,dataMail!A:A,A129, dataMail!C:C,"Confirmation")</f>
        <v>0</v>
      </c>
      <c r="G129" s="62">
        <f>SUMIFS(dataMail!$I:$I,dataMail!$A:$A,$A129)</f>
        <v>4</v>
      </c>
      <c r="H129" s="62">
        <f>SUMIFS(dataMail!$I:$I,dataMail!$V:$V,$A129,dataMail!C:C,"Annulation")</f>
        <v>3</v>
      </c>
      <c r="I129" s="63">
        <f t="shared" si="18"/>
        <v>118.9</v>
      </c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>
      <c r="A130" s="136">
        <f t="shared" si="19"/>
        <v>46190</v>
      </c>
      <c r="B130" s="53"/>
      <c r="C130" s="53" t="s">
        <v>331</v>
      </c>
      <c r="D130" s="59">
        <f t="shared" si="17"/>
        <v>9</v>
      </c>
      <c r="E130" s="60">
        <f>IFERROR(round(AVERAGEIFS(dataMail!$P:$P, dataMail!$A:$A,$A130, dataMail!$C:$C,"&lt;&gt;Annulation"),1),"-")</f>
        <v>225.6</v>
      </c>
      <c r="F130" s="71">
        <f>SUMIFS(dataMail!S:S,dataMail!A:A,A130, dataMail!C:C,"Confirmation")</f>
        <v>0</v>
      </c>
      <c r="G130" s="62">
        <f>SUMIFS(dataMail!$I:$I,dataMail!$A:$A,$A130)</f>
        <v>9</v>
      </c>
      <c r="H130" s="62">
        <f>SUMIFS(dataMail!$I:$I,dataMail!$V:$V,$A130,dataMail!C:C,"Annulation")</f>
        <v>0</v>
      </c>
      <c r="I130" s="63">
        <f t="shared" si="18"/>
        <v>2030.4</v>
      </c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>
      <c r="A131" s="136">
        <f t="shared" si="19"/>
        <v>46189</v>
      </c>
      <c r="B131" s="53"/>
      <c r="C131" s="53" t="s">
        <v>337</v>
      </c>
      <c r="D131" s="59">
        <f t="shared" si="17"/>
        <v>15</v>
      </c>
      <c r="E131" s="60">
        <f>IFERROR(round(AVERAGEIFS(dataMail!$P:$P, dataMail!$A:$A,$A131, dataMail!$C:$C,"&lt;&gt;Annulation"),1),"-")</f>
        <v>157.9</v>
      </c>
      <c r="F131" s="71">
        <f>SUMIFS(dataMail!S:S,dataMail!A:A,A131, dataMail!C:C,"Confirmation")</f>
        <v>0</v>
      </c>
      <c r="G131" s="62">
        <f>SUMIFS(dataMail!$I:$I,dataMail!$A:$A,$A131)</f>
        <v>15</v>
      </c>
      <c r="H131" s="62">
        <f>SUMIFS(dataMail!$I:$I,dataMail!$V:$V,$A131,dataMail!C:C,"Annulation")</f>
        <v>0</v>
      </c>
      <c r="I131" s="63">
        <f t="shared" si="18"/>
        <v>2368.5</v>
      </c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>
      <c r="A132" s="136">
        <f t="shared" si="19"/>
        <v>46188</v>
      </c>
      <c r="B132" s="53"/>
      <c r="C132" s="53" t="s">
        <v>342</v>
      </c>
      <c r="D132" s="59">
        <f t="shared" si="17"/>
        <v>0</v>
      </c>
      <c r="E132" s="60" t="str">
        <f>IFERROR(round(AVERAGEIFS(dataMail!$P:$P, dataMail!$A:$A,$A132, dataMail!$C:$C,"&lt;&gt;Annulation"),1),"-")</f>
        <v>-</v>
      </c>
      <c r="F132" s="71">
        <f>SUMIFS(dataMail!S:S,dataMail!A:A,A132, dataMail!C:C,"Confirmation")</f>
        <v>0</v>
      </c>
      <c r="G132" s="62">
        <f>SUMIFS(dataMail!$I:$I,dataMail!$A:$A,$A132)</f>
        <v>0</v>
      </c>
      <c r="H132" s="62">
        <f>SUMIFS(dataMail!$I:$I,dataMail!$V:$V,$A132,dataMail!C:C,"Annulation")</f>
        <v>0</v>
      </c>
      <c r="I132" s="63" t="str">
        <f t="shared" si="18"/>
        <v>#VALUE!</v>
      </c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>
      <c r="A133" s="136">
        <f t="shared" si="19"/>
        <v>46187</v>
      </c>
      <c r="B133" s="53"/>
      <c r="C133" s="53" t="s">
        <v>347</v>
      </c>
      <c r="D133" s="59">
        <f t="shared" si="17"/>
        <v>7</v>
      </c>
      <c r="E133" s="60">
        <f>IFERROR(round(AVERAGEIFS(dataMail!$P:$P, dataMail!$A:$A,$A133, dataMail!$C:$C,"&lt;&gt;Annulation"),1),"-")</f>
        <v>178.7</v>
      </c>
      <c r="F133" s="71">
        <f>SUMIFS(dataMail!S:S,dataMail!A:A,A133, dataMail!C:C,"Confirmation")</f>
        <v>0</v>
      </c>
      <c r="G133" s="62">
        <f>SUMIFS(dataMail!$I:$I,dataMail!$A:$A,$A133)</f>
        <v>7</v>
      </c>
      <c r="H133" s="62">
        <f>SUMIFS(dataMail!$I:$I,dataMail!$V:$V,$A133,dataMail!C:C,"Annulation")</f>
        <v>0</v>
      </c>
      <c r="I133" s="63">
        <f t="shared" si="18"/>
        <v>1250.9</v>
      </c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>
      <c r="A134" s="136">
        <f t="shared" si="19"/>
        <v>46186</v>
      </c>
      <c r="B134" s="53"/>
      <c r="C134" s="53" t="s">
        <v>352</v>
      </c>
      <c r="D134" s="59">
        <f t="shared" si="17"/>
        <v>0</v>
      </c>
      <c r="E134" s="60" t="str">
        <f>IFERROR(round(AVERAGEIFS(dataMail!$P:$P, dataMail!$A:$A,$A134, dataMail!$C:$C,"&lt;&gt;Annulation"),1),"-")</f>
        <v>-</v>
      </c>
      <c r="F134" s="71">
        <f>SUMIFS(dataMail!S:S,dataMail!A:A,A134, dataMail!C:C,"Confirmation")</f>
        <v>0</v>
      </c>
      <c r="G134" s="62">
        <f>SUMIFS(dataMail!$I:$I,dataMail!$A:$A,$A134)</f>
        <v>4</v>
      </c>
      <c r="H134" s="62">
        <f>SUMIFS(dataMail!$I:$I,dataMail!$V:$V,$A134,dataMail!C:C,"Annulation")</f>
        <v>4</v>
      </c>
      <c r="I134" s="63" t="str">
        <f t="shared" si="18"/>
        <v>#VALUE!</v>
      </c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>
      <c r="A135" s="136">
        <f t="shared" si="19"/>
        <v>46185</v>
      </c>
      <c r="B135" s="53"/>
      <c r="C135" s="53" t="s">
        <v>354</v>
      </c>
      <c r="D135" s="59">
        <f t="shared" si="17"/>
        <v>7</v>
      </c>
      <c r="E135" s="60">
        <f>IFERROR(round(AVERAGEIFS(dataMail!$P:$P, dataMail!$A:$A,$A135, dataMail!$C:$C,"&lt;&gt;Annulation"),1),"-")</f>
        <v>119.2</v>
      </c>
      <c r="F135" s="71">
        <f>SUMIFS(dataMail!S:S,dataMail!A:A,A135, dataMail!C:C,"Confirmation")</f>
        <v>0</v>
      </c>
      <c r="G135" s="62">
        <f>SUMIFS(dataMail!$I:$I,dataMail!$A:$A,$A135)</f>
        <v>7</v>
      </c>
      <c r="H135" s="62">
        <f>SUMIFS(dataMail!$I:$I,dataMail!$V:$V,$A135,dataMail!C:C,"Annulation")</f>
        <v>0</v>
      </c>
      <c r="I135" s="63">
        <f t="shared" si="18"/>
        <v>834.4</v>
      </c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>
      <c r="A136" s="136">
        <f t="shared" si="19"/>
        <v>46184</v>
      </c>
      <c r="B136" s="53"/>
      <c r="C136" s="53" t="s">
        <v>359</v>
      </c>
      <c r="D136" s="59">
        <f t="shared" si="17"/>
        <v>6</v>
      </c>
      <c r="E136" s="60">
        <f>IFERROR(round(AVERAGEIFS(dataMail!$P:$P, dataMail!$A:$A,$A136, dataMail!$C:$C,"&lt;&gt;Annulation"),1),"-")</f>
        <v>141.9</v>
      </c>
      <c r="F136" s="71">
        <f>SUMIFS(dataMail!S:S,dataMail!A:A,A136, dataMail!C:C,"Confirmation")</f>
        <v>0</v>
      </c>
      <c r="G136" s="62">
        <f>SUMIFS(dataMail!$I:$I,dataMail!$A:$A,$A136)</f>
        <v>8</v>
      </c>
      <c r="H136" s="62">
        <f>SUMIFS(dataMail!$I:$I,dataMail!$V:$V,$A136,dataMail!C:C,"Annulation")</f>
        <v>2</v>
      </c>
      <c r="I136" s="63">
        <f t="shared" si="18"/>
        <v>851.4</v>
      </c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>
      <c r="A137" s="136">
        <f t="shared" si="19"/>
        <v>46183</v>
      </c>
      <c r="B137" s="53"/>
      <c r="C137" s="53" t="s">
        <v>365</v>
      </c>
      <c r="D137" s="59">
        <f t="shared" si="17"/>
        <v>15</v>
      </c>
      <c r="E137" s="60">
        <f>IFERROR(round(AVERAGEIFS(dataMail!$P:$P, dataMail!$A:$A,$A137, dataMail!$C:$C,"&lt;&gt;Annulation"),1),"-")</f>
        <v>136.8</v>
      </c>
      <c r="F137" s="71">
        <f>SUMIFS(dataMail!S:S,dataMail!A:A,A137, dataMail!C:C,"Confirmation")</f>
        <v>0</v>
      </c>
      <c r="G137" s="62">
        <f>SUMIFS(dataMail!$I:$I,dataMail!$A:$A,$A137)</f>
        <v>21</v>
      </c>
      <c r="H137" s="62">
        <f>SUMIFS(dataMail!$I:$I,dataMail!$V:$V,$A137,dataMail!C:C,"Annulation")</f>
        <v>6</v>
      </c>
      <c r="I137" s="63">
        <f t="shared" si="18"/>
        <v>2052</v>
      </c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>
      <c r="A138" s="136">
        <f t="shared" si="19"/>
        <v>46182</v>
      </c>
      <c r="B138" s="53"/>
      <c r="C138" s="53" t="s">
        <v>369</v>
      </c>
      <c r="D138" s="59">
        <f t="shared" si="17"/>
        <v>12</v>
      </c>
      <c r="E138" s="60">
        <f>IFERROR(round(AVERAGEIFS(dataMail!$P:$P, dataMail!$A:$A,$A138, dataMail!$C:$C,"&lt;&gt;Annulation"),1),"-")</f>
        <v>119.6</v>
      </c>
      <c r="F138" s="71">
        <f>SUMIFS(dataMail!S:S,dataMail!A:A,A138, dataMail!C:C,"Confirmation")</f>
        <v>0</v>
      </c>
      <c r="G138" s="62">
        <f>SUMIFS(dataMail!$I:$I,dataMail!$A:$A,$A138)</f>
        <v>17</v>
      </c>
      <c r="H138" s="62">
        <f>SUMIFS(dataMail!$I:$I,dataMail!$V:$V,$A138,dataMail!C:C,"Annulation")</f>
        <v>5</v>
      </c>
      <c r="I138" s="63">
        <f t="shared" si="18"/>
        <v>1435.2</v>
      </c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>
      <c r="A139" s="136">
        <f t="shared" si="19"/>
        <v>46181</v>
      </c>
      <c r="B139" s="53"/>
      <c r="C139" s="53" t="s">
        <v>375</v>
      </c>
      <c r="D139" s="59">
        <f t="shared" si="17"/>
        <v>-3</v>
      </c>
      <c r="E139" s="60">
        <f>IFERROR(round(AVERAGEIFS(dataMail!$P:$P, dataMail!$A:$A,$A139, dataMail!$C:$C,"&lt;&gt;Annulation"),1),"-")</f>
        <v>142.9</v>
      </c>
      <c r="F139" s="71">
        <f>SUMIFS(dataMail!S:S,dataMail!A:A,A139, dataMail!C:C,"Confirmation")</f>
        <v>0</v>
      </c>
      <c r="G139" s="62">
        <f>SUMIFS(dataMail!$I:$I,dataMail!$A:$A,$A139)</f>
        <v>4</v>
      </c>
      <c r="H139" s="62">
        <f>SUMIFS(dataMail!$I:$I,dataMail!$V:$V,$A139,dataMail!C:C,"Annulation")</f>
        <v>7</v>
      </c>
      <c r="I139" s="63">
        <f t="shared" si="18"/>
        <v>-428.7</v>
      </c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>
      <c r="A140" s="136">
        <f t="shared" si="19"/>
        <v>46180</v>
      </c>
      <c r="B140" s="53"/>
      <c r="C140" s="53" t="s">
        <v>382</v>
      </c>
      <c r="D140" s="59">
        <f t="shared" si="17"/>
        <v>8</v>
      </c>
      <c r="E140" s="60">
        <f>IFERROR(round(AVERAGEIFS(dataMail!$P:$P, dataMail!$A:$A,$A140, dataMail!$C:$C,"&lt;&gt;Annulation"),1),"-")</f>
        <v>277.5</v>
      </c>
      <c r="F140" s="71">
        <f>SUMIFS(dataMail!S:S,dataMail!A:A,A140, dataMail!C:C,"Confirmation")</f>
        <v>0</v>
      </c>
      <c r="G140" s="62">
        <f>SUMIFS(dataMail!$I:$I,dataMail!$A:$A,$A140)</f>
        <v>11</v>
      </c>
      <c r="H140" s="62">
        <f>SUMIFS(dataMail!$I:$I,dataMail!$V:$V,$A140,dataMail!C:C,"Annulation")</f>
        <v>3</v>
      </c>
      <c r="I140" s="63">
        <f t="shared" si="18"/>
        <v>2220</v>
      </c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>
      <c r="A141" s="136">
        <f t="shared" si="19"/>
        <v>46179</v>
      </c>
      <c r="B141" s="53"/>
      <c r="C141" s="53" t="s">
        <v>388</v>
      </c>
      <c r="D141" s="59">
        <f t="shared" si="17"/>
        <v>10</v>
      </c>
      <c r="E141" s="60">
        <f>IFERROR(round(AVERAGEIFS(dataMail!$P:$P, dataMail!$A:$A,$A141, dataMail!$C:$C,"&lt;&gt;Annulation"),1),"-")</f>
        <v>135.3</v>
      </c>
      <c r="F141" s="71">
        <f>SUMIFS(dataMail!S:S,dataMail!A:A,A141, dataMail!C:C,"Confirmation")</f>
        <v>0</v>
      </c>
      <c r="G141" s="62">
        <f>SUMIFS(dataMail!$I:$I,dataMail!$A:$A,$A141)</f>
        <v>10</v>
      </c>
      <c r="H141" s="62">
        <f>SUMIFS(dataMail!$I:$I,dataMail!$V:$V,$A141,dataMail!C:C,"Annulation")</f>
        <v>0</v>
      </c>
      <c r="I141" s="63">
        <f t="shared" si="18"/>
        <v>1353</v>
      </c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>
      <c r="A142" s="136">
        <f t="shared" si="19"/>
        <v>46178</v>
      </c>
      <c r="B142" s="53"/>
      <c r="C142" s="53" t="s">
        <v>396</v>
      </c>
      <c r="D142" s="59">
        <f t="shared" si="17"/>
        <v>7</v>
      </c>
      <c r="E142" s="60">
        <f>IFERROR(round(AVERAGEIFS(dataMail!$P:$P, dataMail!$A:$A,$A142, dataMail!$C:$C,"&lt;&gt;Annulation"),1),"-")</f>
        <v>121.3</v>
      </c>
      <c r="F142" s="71">
        <f>SUMIFS(dataMail!S:S,dataMail!A:A,A142, dataMail!C:C,"Confirmation")</f>
        <v>36</v>
      </c>
      <c r="G142" s="62">
        <f>SUMIFS(dataMail!$I:$I,dataMail!$A:$A,$A142)</f>
        <v>7</v>
      </c>
      <c r="H142" s="62">
        <f>SUMIFS(dataMail!$I:$I,dataMail!$V:$V,$A142,dataMail!C:C,"Annulation")</f>
        <v>0</v>
      </c>
      <c r="I142" s="63">
        <f t="shared" si="18"/>
        <v>885.1</v>
      </c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>
      <c r="A143" s="136">
        <f t="shared" si="19"/>
        <v>46177</v>
      </c>
      <c r="B143" s="53"/>
      <c r="C143" s="53" t="s">
        <v>401</v>
      </c>
      <c r="D143" s="59">
        <f t="shared" si="17"/>
        <v>10</v>
      </c>
      <c r="E143" s="60">
        <f>IFERROR(round(AVERAGEIFS(dataMail!$P:$P, dataMail!$A:$A,$A143, dataMail!$C:$C,"&lt;&gt;Annulation"),1),"-")</f>
        <v>130.6</v>
      </c>
      <c r="F143" s="71">
        <f>SUMIFS(dataMail!S:S,dataMail!A:A,A143, dataMail!C:C,"Confirmation")</f>
        <v>0</v>
      </c>
      <c r="G143" s="62">
        <f>SUMIFS(dataMail!$I:$I,dataMail!$A:$A,$A143)</f>
        <v>10</v>
      </c>
      <c r="H143" s="62">
        <f>SUMIFS(dataMail!$I:$I,dataMail!$V:$V,$A143,dataMail!C:C,"Annulation")</f>
        <v>0</v>
      </c>
      <c r="I143" s="63">
        <f t="shared" si="18"/>
        <v>1306</v>
      </c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>
      <c r="A144" s="136">
        <f t="shared" si="19"/>
        <v>46176</v>
      </c>
      <c r="B144" s="53"/>
      <c r="C144" s="53" t="s">
        <v>409</v>
      </c>
      <c r="D144" s="59">
        <f t="shared" si="17"/>
        <v>0</v>
      </c>
      <c r="E144" s="60" t="str">
        <f>IFERROR(round(AVERAGEIFS(dataMail!$P:$P, dataMail!$A:$A,$A144, dataMail!$C:$C,"&lt;&gt;Annulation"),1),"-")</f>
        <v>-</v>
      </c>
      <c r="F144" s="71">
        <f>SUMIFS(dataMail!S:S,dataMail!A:A,A144, dataMail!C:C,"Confirmation")</f>
        <v>0</v>
      </c>
      <c r="G144" s="62">
        <f>SUMIFS(dataMail!$I:$I,dataMail!$A:$A,$A144)</f>
        <v>0</v>
      </c>
      <c r="H144" s="62">
        <f>SUMIFS(dataMail!$I:$I,dataMail!$V:$V,$A144,dataMail!C:C,"Annulation")</f>
        <v>0</v>
      </c>
      <c r="I144" s="63" t="str">
        <f t="shared" si="18"/>
        <v>#VALUE!</v>
      </c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>
      <c r="A145" s="136">
        <f t="shared" si="19"/>
        <v>46175</v>
      </c>
      <c r="B145" s="53"/>
      <c r="C145" s="53" t="s">
        <v>417</v>
      </c>
      <c r="D145" s="59">
        <f t="shared" si="17"/>
        <v>2</v>
      </c>
      <c r="E145" s="60">
        <f>IFERROR(round(AVERAGEIFS(dataMail!$P:$P, dataMail!$A:$A,$A145, dataMail!$C:$C,"&lt;&gt;Annulation"),1),"-")</f>
        <v>122.4</v>
      </c>
      <c r="F145" s="71">
        <f>SUMIFS(dataMail!S:S,dataMail!A:A,A145, dataMail!C:C,"Confirmation")</f>
        <v>0</v>
      </c>
      <c r="G145" s="62">
        <f>SUMIFS(dataMail!$I:$I,dataMail!$A:$A,$A145)</f>
        <v>8</v>
      </c>
      <c r="H145" s="62">
        <f>SUMIFS(dataMail!$I:$I,dataMail!$V:$V,$A145,dataMail!C:C,"Annulation")</f>
        <v>6</v>
      </c>
      <c r="I145" s="63">
        <f t="shared" si="18"/>
        <v>244.8</v>
      </c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>
      <c r="A146" s="136">
        <f t="shared" si="19"/>
        <v>46174</v>
      </c>
      <c r="B146" s="53"/>
      <c r="C146" s="53" t="s">
        <v>424</v>
      </c>
      <c r="D146" s="59">
        <f t="shared" si="17"/>
        <v>1</v>
      </c>
      <c r="E146" s="60">
        <f>IFERROR(round(AVERAGEIFS(dataMail!$P:$P, dataMail!$A:$A,$A146, dataMail!$C:$C,"&lt;&gt;Annulation"),1),"-")</f>
        <v>91.6</v>
      </c>
      <c r="F146" s="71">
        <f>SUMIFS(dataMail!S:S,dataMail!A:A,A146, dataMail!C:C,"Confirmation")</f>
        <v>0</v>
      </c>
      <c r="G146" s="62">
        <f>SUMIFS(dataMail!$I:$I,dataMail!$A:$A,$A146)</f>
        <v>6</v>
      </c>
      <c r="H146" s="62">
        <f>SUMIFS(dataMail!$I:$I,dataMail!$V:$V,$A146,dataMail!C:C,"Annulation")</f>
        <v>5</v>
      </c>
      <c r="I146" s="63">
        <f t="shared" si="18"/>
        <v>91.6</v>
      </c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>
      <c r="A147" s="136">
        <f t="shared" si="19"/>
        <v>46173</v>
      </c>
      <c r="B147" s="53"/>
      <c r="C147" s="53" t="s">
        <v>431</v>
      </c>
      <c r="D147" s="59">
        <f t="shared" si="17"/>
        <v>2</v>
      </c>
      <c r="E147" s="60">
        <f>IFERROR(round(AVERAGEIFS(dataMail!$P:$P, dataMail!$A:$A,$A147, dataMail!$C:$C,"&lt;&gt;Annulation"),1),"-")</f>
        <v>129.3</v>
      </c>
      <c r="F147" s="71">
        <f>SUMIFS(dataMail!S:S,dataMail!A:A,A147, dataMail!C:C,"Confirmation")</f>
        <v>0</v>
      </c>
      <c r="G147" s="62">
        <f>SUMIFS(dataMail!$I:$I,dataMail!$A:$A,$A147)</f>
        <v>4</v>
      </c>
      <c r="H147" s="62">
        <f>SUMIFS(dataMail!$I:$I,dataMail!$V:$V,$A147,dataMail!C:C,"Annulation")</f>
        <v>2</v>
      </c>
      <c r="I147" s="63">
        <f t="shared" si="18"/>
        <v>258.6</v>
      </c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>
      <c r="A148" s="136">
        <f t="shared" si="19"/>
        <v>46172</v>
      </c>
      <c r="B148" s="53"/>
      <c r="C148" s="53" t="s">
        <v>438</v>
      </c>
      <c r="D148" s="59">
        <f t="shared" si="17"/>
        <v>1</v>
      </c>
      <c r="E148" s="60">
        <f>IFERROR(round(AVERAGEIFS(dataMail!$P:$P, dataMail!$A:$A,$A148, dataMail!$C:$C,"&lt;&gt;Annulation"),1),"-")</f>
        <v>110.3</v>
      </c>
      <c r="F148" s="71">
        <f>SUMIFS(dataMail!S:S,dataMail!A:A,A148, dataMail!C:C,"Confirmation")</f>
        <v>0</v>
      </c>
      <c r="G148" s="62">
        <f>SUMIFS(dataMail!$I:$I,dataMail!$A:$A,$A148)</f>
        <v>8</v>
      </c>
      <c r="H148" s="62">
        <f>SUMIFS(dataMail!$I:$I,dataMail!$V:$V,$A148,dataMail!C:C,"Annulation")</f>
        <v>7</v>
      </c>
      <c r="I148" s="63">
        <f t="shared" si="18"/>
        <v>110.3</v>
      </c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>
      <c r="A149" s="136">
        <f t="shared" si="19"/>
        <v>46171</v>
      </c>
      <c r="B149" s="53"/>
      <c r="C149" s="53" t="s">
        <v>446</v>
      </c>
      <c r="D149" s="59">
        <f t="shared" si="17"/>
        <v>16</v>
      </c>
      <c r="E149" s="60">
        <f>IFERROR(round(AVERAGEIFS(dataMail!$P:$P, dataMail!$A:$A,$A149, dataMail!$C:$C,"&lt;&gt;Annulation"),1),"-")</f>
        <v>122.7</v>
      </c>
      <c r="F149" s="71">
        <f>SUMIFS(dataMail!S:S,dataMail!A:A,A149, dataMail!C:C,"Confirmation")</f>
        <v>0</v>
      </c>
      <c r="G149" s="62">
        <f>SUMIFS(dataMail!$I:$I,dataMail!$A:$A,$A149)</f>
        <v>19</v>
      </c>
      <c r="H149" s="62">
        <f>SUMIFS(dataMail!$I:$I,dataMail!$V:$V,$A149,dataMail!C:C,"Annulation")</f>
        <v>3</v>
      </c>
      <c r="I149" s="63">
        <f t="shared" si="18"/>
        <v>1963.2</v>
      </c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>
      <c r="A150" s="136">
        <f t="shared" si="19"/>
        <v>46170</v>
      </c>
      <c r="B150" s="53"/>
      <c r="C150" s="53" t="s">
        <v>453</v>
      </c>
      <c r="D150" s="59">
        <f t="shared" si="17"/>
        <v>8</v>
      </c>
      <c r="E150" s="60">
        <f>IFERROR(round(AVERAGEIFS(dataMail!$P:$P, dataMail!$A:$A,$A150, dataMail!$C:$C,"&lt;&gt;Annulation"),1),"-")</f>
        <v>140.1</v>
      </c>
      <c r="F150" s="71">
        <f>SUMIFS(dataMail!S:S,dataMail!A:A,A150, dataMail!C:C,"Confirmation")</f>
        <v>0</v>
      </c>
      <c r="G150" s="62">
        <f>SUMIFS(dataMail!$I:$I,dataMail!$A:$A,$A150)</f>
        <v>8</v>
      </c>
      <c r="H150" s="62">
        <f>SUMIFS(dataMail!$I:$I,dataMail!$V:$V,$A150,dataMail!C:C,"Annulation")</f>
        <v>0</v>
      </c>
      <c r="I150" s="63">
        <f t="shared" si="18"/>
        <v>1120.8</v>
      </c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>
      <c r="A151" s="136">
        <f t="shared" si="19"/>
        <v>46169</v>
      </c>
      <c r="B151" s="53"/>
      <c r="C151" s="53" t="s">
        <v>459</v>
      </c>
      <c r="D151" s="59">
        <f t="shared" si="17"/>
        <v>1</v>
      </c>
      <c r="E151" s="60">
        <f>IFERROR(round(AVERAGEIFS(dataMail!$P:$P, dataMail!$A:$A,$A151, dataMail!$C:$C,"&lt;&gt;Annulation"),1),"-")</f>
        <v>106.6</v>
      </c>
      <c r="F151" s="71">
        <f>SUMIFS(dataMail!S:S,dataMail!A:A,A151, dataMail!C:C,"Confirmation")</f>
        <v>0</v>
      </c>
      <c r="G151" s="62">
        <f>SUMIFS(dataMail!$I:$I,dataMail!$A:$A,$A151)</f>
        <v>4</v>
      </c>
      <c r="H151" s="62">
        <f>SUMIFS(dataMail!$I:$I,dataMail!$V:$V,$A151,dataMail!C:C,"Annulation")</f>
        <v>3</v>
      </c>
      <c r="I151" s="63">
        <f t="shared" si="18"/>
        <v>106.6</v>
      </c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>
      <c r="A152" s="136">
        <f t="shared" si="19"/>
        <v>46168</v>
      </c>
      <c r="B152" s="53"/>
      <c r="C152" s="53" t="s">
        <v>464</v>
      </c>
      <c r="D152" s="59">
        <f t="shared" si="17"/>
        <v>4</v>
      </c>
      <c r="E152" s="60">
        <f>IFERROR(round(AVERAGEIFS(dataMail!$P:$P, dataMail!$A:$A,$A152, dataMail!$C:$C,"&lt;&gt;Annulation"),1),"-")</f>
        <v>150.9</v>
      </c>
      <c r="F152" s="71">
        <f>SUMIFS(dataMail!S:S,dataMail!A:A,A152, dataMail!C:C,"Confirmation")</f>
        <v>0</v>
      </c>
      <c r="G152" s="62">
        <f>SUMIFS(dataMail!$I:$I,dataMail!$A:$A,$A152)</f>
        <v>10</v>
      </c>
      <c r="H152" s="62">
        <f>SUMIFS(dataMail!$I:$I,dataMail!$V:$V,$A152,dataMail!C:C,"Annulation")</f>
        <v>6</v>
      </c>
      <c r="I152" s="63">
        <f t="shared" si="18"/>
        <v>603.6</v>
      </c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>
      <c r="A153" s="136">
        <f t="shared" si="19"/>
        <v>46167</v>
      </c>
      <c r="B153" s="53"/>
      <c r="C153" s="53" t="s">
        <v>470</v>
      </c>
      <c r="D153" s="59">
        <f t="shared" si="17"/>
        <v>12</v>
      </c>
      <c r="E153" s="60">
        <f>IFERROR(round(AVERAGEIFS(dataMail!$P:$P, dataMail!$A:$A,$A153, dataMail!$C:$C,"&lt;&gt;Annulation"),1),"-")</f>
        <v>125.3</v>
      </c>
      <c r="F153" s="71">
        <f>SUMIFS(dataMail!S:S,dataMail!A:A,A153, dataMail!C:C,"Confirmation")</f>
        <v>0</v>
      </c>
      <c r="G153" s="62">
        <f>SUMIFS(dataMail!$I:$I,dataMail!$A:$A,$A153)</f>
        <v>16</v>
      </c>
      <c r="H153" s="62">
        <f>SUMIFS(dataMail!$I:$I,dataMail!$V:$V,$A153,dataMail!C:C,"Annulation")</f>
        <v>4</v>
      </c>
      <c r="I153" s="63">
        <f t="shared" si="18"/>
        <v>1503.6</v>
      </c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>
      <c r="A154" s="136">
        <f t="shared" si="19"/>
        <v>46166</v>
      </c>
      <c r="B154" s="53"/>
      <c r="C154" s="53" t="s">
        <v>475</v>
      </c>
      <c r="D154" s="59">
        <f t="shared" si="17"/>
        <v>9</v>
      </c>
      <c r="E154" s="60">
        <f>IFERROR(round(AVERAGEIFS(dataMail!$P:$P, dataMail!$A:$A,$A154, dataMail!$C:$C,"&lt;&gt;Annulation"),1),"-")</f>
        <v>134.1</v>
      </c>
      <c r="F154" s="71">
        <f>SUMIFS(dataMail!S:S,dataMail!A:A,A154, dataMail!C:C,"Confirmation")</f>
        <v>0</v>
      </c>
      <c r="G154" s="62">
        <f>SUMIFS(dataMail!$I:$I,dataMail!$A:$A,$A154)</f>
        <v>12</v>
      </c>
      <c r="H154" s="62">
        <f>SUMIFS(dataMail!$I:$I,dataMail!$V:$V,$A154,dataMail!C:C,"Annulation")</f>
        <v>3</v>
      </c>
      <c r="I154" s="63">
        <f t="shared" si="18"/>
        <v>1206.9</v>
      </c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>
      <c r="A155" s="136">
        <f t="shared" si="19"/>
        <v>46165</v>
      </c>
      <c r="B155" s="53"/>
      <c r="C155" s="53" t="s">
        <v>479</v>
      </c>
      <c r="D155" s="59">
        <f t="shared" si="17"/>
        <v>15</v>
      </c>
      <c r="E155" s="60">
        <f>IFERROR(round(AVERAGEIFS(dataMail!$P:$P, dataMail!$A:$A,$A155, dataMail!$C:$C,"&lt;&gt;Annulation"),1),"-")</f>
        <v>165.6</v>
      </c>
      <c r="F155" s="71">
        <f>SUMIFS(dataMail!S:S,dataMail!A:A,A155, dataMail!C:C,"Confirmation")</f>
        <v>0</v>
      </c>
      <c r="G155" s="62">
        <f>SUMIFS(dataMail!$I:$I,dataMail!$A:$A,$A155)</f>
        <v>19</v>
      </c>
      <c r="H155" s="62">
        <f>SUMIFS(dataMail!$I:$I,dataMail!$V:$V,$A155,dataMail!C:C,"Annulation")</f>
        <v>4</v>
      </c>
      <c r="I155" s="63">
        <f t="shared" si="18"/>
        <v>2484</v>
      </c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>
      <c r="A156" s="136">
        <f t="shared" si="19"/>
        <v>46164</v>
      </c>
      <c r="B156" s="53"/>
      <c r="C156" s="53" t="s">
        <v>487</v>
      </c>
      <c r="D156" s="59">
        <f t="shared" si="17"/>
        <v>9</v>
      </c>
      <c r="E156" s="60">
        <f>IFERROR(round(AVERAGEIFS(dataMail!$P:$P, dataMail!$A:$A,$A156, dataMail!$C:$C,"&lt;&gt;Annulation"),1),"-")</f>
        <v>139.5</v>
      </c>
      <c r="F156" s="71">
        <f>SUMIFS(dataMail!S:S,dataMail!A:A,A156, dataMail!C:C,"Confirmation")</f>
        <v>252</v>
      </c>
      <c r="G156" s="62">
        <f>SUMIFS(dataMail!$I:$I,dataMail!$A:$A,$A156)</f>
        <v>9</v>
      </c>
      <c r="H156" s="62">
        <f>SUMIFS(dataMail!$I:$I,dataMail!$V:$V,$A156,dataMail!C:C,"Annulation")</f>
        <v>0</v>
      </c>
      <c r="I156" s="63">
        <f t="shared" si="18"/>
        <v>1507.5</v>
      </c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>
      <c r="A157" s="136">
        <f t="shared" si="19"/>
        <v>46163</v>
      </c>
      <c r="B157" s="53"/>
      <c r="C157" s="53" t="s">
        <v>491</v>
      </c>
      <c r="D157" s="59">
        <f t="shared" si="17"/>
        <v>-5</v>
      </c>
      <c r="E157" s="60">
        <f>IFERROR(round(AVERAGEIFS(dataMail!$P:$P, dataMail!$A:$A,$A157, dataMail!$C:$C,"&lt;&gt;Annulation"),1),"-")</f>
        <v>83</v>
      </c>
      <c r="F157" s="71">
        <f>SUMIFS(dataMail!S:S,dataMail!A:A,A157, dataMail!C:C,"Confirmation")</f>
        <v>0</v>
      </c>
      <c r="G157" s="62">
        <f>SUMIFS(dataMail!$I:$I,dataMail!$A:$A,$A157)</f>
        <v>6</v>
      </c>
      <c r="H157" s="62">
        <f>SUMIFS(dataMail!$I:$I,dataMail!$V:$V,$A157,dataMail!C:C,"Annulation")</f>
        <v>11</v>
      </c>
      <c r="I157" s="63">
        <f t="shared" si="18"/>
        <v>-415</v>
      </c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>
      <c r="A158" s="136">
        <f t="shared" si="19"/>
        <v>46162</v>
      </c>
      <c r="B158" s="53"/>
      <c r="C158" s="53" t="s">
        <v>499</v>
      </c>
      <c r="D158" s="59">
        <f t="shared" si="17"/>
        <v>8</v>
      </c>
      <c r="E158" s="60">
        <f>IFERROR(round(AVERAGEIFS(dataMail!$P:$P, dataMail!$A:$A,$A158, dataMail!$C:$C,"&lt;&gt;Annulation"),1),"-")</f>
        <v>139.3</v>
      </c>
      <c r="F158" s="71">
        <f>SUMIFS(dataMail!S:S,dataMail!A:A,A158, dataMail!C:C,"Confirmation")</f>
        <v>72</v>
      </c>
      <c r="G158" s="62">
        <f>SUMIFS(dataMail!$I:$I,dataMail!$A:$A,$A158)</f>
        <v>11</v>
      </c>
      <c r="H158" s="62">
        <f>SUMIFS(dataMail!$I:$I,dataMail!$V:$V,$A158,dataMail!C:C,"Annulation")</f>
        <v>3</v>
      </c>
      <c r="I158" s="63">
        <f t="shared" si="18"/>
        <v>1186.4</v>
      </c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>
      <c r="A159" s="136">
        <f t="shared" si="19"/>
        <v>46161</v>
      </c>
      <c r="B159" s="53"/>
      <c r="C159" s="53" t="s">
        <v>505</v>
      </c>
      <c r="D159" s="59">
        <f t="shared" si="17"/>
        <v>9</v>
      </c>
      <c r="E159" s="60">
        <f>IFERROR(round(AVERAGEIFS(dataMail!$P:$P, dataMail!$A:$A,$A159, dataMail!$C:$C,"&lt;&gt;Annulation"),1),"-")</f>
        <v>128.7</v>
      </c>
      <c r="F159" s="71">
        <f>SUMIFS(dataMail!S:S,dataMail!A:A,A159, dataMail!C:C,"Confirmation")</f>
        <v>0</v>
      </c>
      <c r="G159" s="62">
        <f>SUMIFS(dataMail!$I:$I,dataMail!$A:$A,$A159)</f>
        <v>9</v>
      </c>
      <c r="H159" s="62">
        <f>SUMIFS(dataMail!$I:$I,dataMail!$V:$V,$A159,dataMail!C:C,"Annulation")</f>
        <v>0</v>
      </c>
      <c r="I159" s="63">
        <f t="shared" si="18"/>
        <v>1158.3</v>
      </c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>
      <c r="A160" s="136">
        <f t="shared" si="19"/>
        <v>46160</v>
      </c>
      <c r="B160" s="53"/>
      <c r="C160" s="53" t="s">
        <v>510</v>
      </c>
      <c r="D160" s="59">
        <f t="shared" si="17"/>
        <v>3</v>
      </c>
      <c r="E160" s="60">
        <f>IFERROR(round(AVERAGEIFS(dataMail!$P:$P, dataMail!$A:$A,$A160, dataMail!$C:$C,"&lt;&gt;Annulation"),1),"-")</f>
        <v>87.1</v>
      </c>
      <c r="F160" s="71">
        <f>SUMIFS(dataMail!S:S,dataMail!A:A,A160, dataMail!C:C,"Confirmation")</f>
        <v>0</v>
      </c>
      <c r="G160" s="62">
        <f>SUMIFS(dataMail!$I:$I,dataMail!$A:$A,$A160)</f>
        <v>10</v>
      </c>
      <c r="H160" s="62">
        <f>SUMIFS(dataMail!$I:$I,dataMail!$V:$V,$A160,dataMail!C:C,"Annulation")</f>
        <v>7</v>
      </c>
      <c r="I160" s="63">
        <f t="shared" si="18"/>
        <v>261.3</v>
      </c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>
      <c r="A161" s="136">
        <f t="shared" si="19"/>
        <v>46159</v>
      </c>
      <c r="B161" s="53"/>
      <c r="C161" s="53" t="s">
        <v>517</v>
      </c>
      <c r="D161" s="59">
        <f t="shared" si="17"/>
        <v>18</v>
      </c>
      <c r="E161" s="60">
        <f>IFERROR(round(AVERAGEIFS(dataMail!$P:$P, dataMail!$A:$A,$A161, dataMail!$C:$C,"&lt;&gt;Annulation"),1),"-")</f>
        <v>123.7</v>
      </c>
      <c r="F161" s="71">
        <f>SUMIFS(dataMail!S:S,dataMail!A:A,A161, dataMail!C:C,"Confirmation")</f>
        <v>0</v>
      </c>
      <c r="G161" s="62">
        <f>SUMIFS(dataMail!$I:$I,dataMail!$A:$A,$A161)</f>
        <v>18</v>
      </c>
      <c r="H161" s="62">
        <f>SUMIFS(dataMail!$I:$I,dataMail!$V:$V,$A161,dataMail!C:C,"Annulation")</f>
        <v>0</v>
      </c>
      <c r="I161" s="63">
        <f t="shared" si="18"/>
        <v>2226.6</v>
      </c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>
      <c r="A162" s="136">
        <f t="shared" si="19"/>
        <v>46158</v>
      </c>
      <c r="B162" s="53"/>
      <c r="C162" s="53" t="s">
        <v>525</v>
      </c>
      <c r="D162" s="59">
        <f t="shared" si="17"/>
        <v>35</v>
      </c>
      <c r="E162" s="60">
        <f>IFERROR(round(AVERAGEIFS(dataMail!$P:$P, dataMail!$A:$A,$A162, dataMail!$C:$C,"&lt;&gt;Annulation"),1),"-")</f>
        <v>99.8</v>
      </c>
      <c r="F162" s="71">
        <f>SUMIFS(dataMail!S:S,dataMail!A:A,A162, dataMail!C:C,"Confirmation")</f>
        <v>0</v>
      </c>
      <c r="G162" s="62">
        <f>SUMIFS(dataMail!$I:$I,dataMail!$A:$A,$A162)</f>
        <v>35</v>
      </c>
      <c r="H162" s="62">
        <f>SUMIFS(dataMail!$I:$I,dataMail!$V:$V,$A162,dataMail!C:C,"Annulation")</f>
        <v>0</v>
      </c>
      <c r="I162" s="63">
        <f t="shared" si="18"/>
        <v>3493</v>
      </c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>
      <c r="A163" s="136">
        <f t="shared" si="19"/>
        <v>46157</v>
      </c>
      <c r="B163" s="53"/>
      <c r="C163" s="53" t="s">
        <v>531</v>
      </c>
      <c r="D163" s="59">
        <f t="shared" si="17"/>
        <v>-2</v>
      </c>
      <c r="E163" s="60">
        <f>IFERROR(round(AVERAGEIFS(dataMail!$P:$P, dataMail!$A:$A,$A163, dataMail!$C:$C,"&lt;&gt;Annulation"),1),"-")</f>
        <v>120.1</v>
      </c>
      <c r="F163" s="71">
        <f>SUMIFS(dataMail!S:S,dataMail!A:A,A163, dataMail!C:C,"Confirmation")</f>
        <v>0</v>
      </c>
      <c r="G163" s="62">
        <f>SUMIFS(dataMail!$I:$I,dataMail!$A:$A,$A163)</f>
        <v>2</v>
      </c>
      <c r="H163" s="62">
        <f>SUMIFS(dataMail!$I:$I,dataMail!$V:$V,$A163,dataMail!C:C,"Annulation")</f>
        <v>4</v>
      </c>
      <c r="I163" s="63">
        <f t="shared" si="18"/>
        <v>-240.2</v>
      </c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>
      <c r="A164" s="136">
        <f t="shared" si="19"/>
        <v>46156</v>
      </c>
      <c r="B164" s="53"/>
      <c r="C164" s="53" t="s">
        <v>539</v>
      </c>
      <c r="D164" s="59">
        <f t="shared" si="17"/>
        <v>7</v>
      </c>
      <c r="E164" s="60">
        <f>IFERROR(round(AVERAGEIFS(dataMail!$P:$P, dataMail!$A:$A,$A164, dataMail!$C:$C,"&lt;&gt;Annulation"),1),"-")</f>
        <v>154.2</v>
      </c>
      <c r="F164" s="71">
        <f>SUMIFS(dataMail!S:S,dataMail!A:A,A164, dataMail!C:C,"Confirmation")</f>
        <v>0</v>
      </c>
      <c r="G164" s="62">
        <f>SUMIFS(dataMail!$I:$I,dataMail!$A:$A,$A164)</f>
        <v>10</v>
      </c>
      <c r="H164" s="62">
        <f>SUMIFS(dataMail!$I:$I,dataMail!$V:$V,$A164,dataMail!C:C,"Annulation")</f>
        <v>3</v>
      </c>
      <c r="I164" s="63">
        <f t="shared" si="18"/>
        <v>1079.4</v>
      </c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>
      <c r="A165" s="136">
        <f t="shared" si="19"/>
        <v>46155</v>
      </c>
      <c r="B165" s="53"/>
      <c r="C165" s="53" t="s">
        <v>545</v>
      </c>
      <c r="D165" s="59">
        <f t="shared" si="17"/>
        <v>3</v>
      </c>
      <c r="E165" s="60">
        <f>IFERROR(round(AVERAGEIFS(dataMail!$P:$P, dataMail!$A:$A,$A165, dataMail!$C:$C,"&lt;&gt;Annulation"),1),"-")</f>
        <v>75.5</v>
      </c>
      <c r="F165" s="71">
        <f>SUMIFS(dataMail!S:S,dataMail!A:A,A165, dataMail!C:C,"Confirmation")</f>
        <v>0</v>
      </c>
      <c r="G165" s="62">
        <f>SUMIFS(dataMail!$I:$I,dataMail!$A:$A,$A165)</f>
        <v>11</v>
      </c>
      <c r="H165" s="62">
        <f>SUMIFS(dataMail!$I:$I,dataMail!$V:$V,$A165,dataMail!C:C,"Annulation")</f>
        <v>8</v>
      </c>
      <c r="I165" s="63">
        <f t="shared" si="18"/>
        <v>226.5</v>
      </c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>
      <c r="A166" s="136">
        <f t="shared" si="19"/>
        <v>46154</v>
      </c>
      <c r="B166" s="53"/>
      <c r="C166" s="53" t="s">
        <v>550</v>
      </c>
      <c r="D166" s="59">
        <f t="shared" si="17"/>
        <v>10</v>
      </c>
      <c r="E166" s="60">
        <f>IFERROR(round(AVERAGEIFS(dataMail!$P:$P, dataMail!$A:$A,$A166, dataMail!$C:$C,"&lt;&gt;Annulation"),1),"-")</f>
        <v>195.5</v>
      </c>
      <c r="F166" s="71">
        <f>SUMIFS(dataMail!S:S,dataMail!A:A,A166, dataMail!C:C,"Confirmation")</f>
        <v>0</v>
      </c>
      <c r="G166" s="62">
        <f>SUMIFS(dataMail!$I:$I,dataMail!$A:$A,$A166)</f>
        <v>12</v>
      </c>
      <c r="H166" s="62">
        <f>SUMIFS(dataMail!$I:$I,dataMail!$V:$V,$A166,dataMail!C:C,"Annulation")</f>
        <v>2</v>
      </c>
      <c r="I166" s="63">
        <f t="shared" si="18"/>
        <v>1955</v>
      </c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>
      <c r="A167" s="136">
        <f t="shared" si="19"/>
        <v>46153</v>
      </c>
      <c r="B167" s="53"/>
      <c r="C167" s="53" t="s">
        <v>555</v>
      </c>
      <c r="D167" s="59">
        <f t="shared" si="17"/>
        <v>6</v>
      </c>
      <c r="E167" s="60">
        <f>IFERROR(round(AVERAGEIFS(dataMail!$P:$P, dataMail!$A:$A,$A167, dataMail!$C:$C,"&lt;&gt;Annulation"),1),"-")</f>
        <v>159.2</v>
      </c>
      <c r="F167" s="71">
        <f>SUMIFS(dataMail!S:S,dataMail!A:A,A167, dataMail!C:C,"Confirmation")</f>
        <v>0</v>
      </c>
      <c r="G167" s="62">
        <f>SUMIFS(dataMail!$I:$I,dataMail!$A:$A,$A167)</f>
        <v>6</v>
      </c>
      <c r="H167" s="62">
        <f>SUMIFS(dataMail!$I:$I,dataMail!$V:$V,$A167,dataMail!C:C,"Annulation")</f>
        <v>0</v>
      </c>
      <c r="I167" s="63">
        <f t="shared" si="18"/>
        <v>955.2</v>
      </c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>
      <c r="A168" s="136">
        <f t="shared" si="19"/>
        <v>46152</v>
      </c>
      <c r="B168" s="53"/>
      <c r="C168" s="53" t="s">
        <v>563</v>
      </c>
      <c r="D168" s="59">
        <f t="shared" si="17"/>
        <v>-1</v>
      </c>
      <c r="E168" s="60">
        <f>IFERROR(round(AVERAGEIFS(dataMail!$P:$P, dataMail!$A:$A,$A168, dataMail!$C:$C,"&lt;&gt;Annulation"),1),"-")</f>
        <v>153.9</v>
      </c>
      <c r="F168" s="71">
        <f>SUMIFS(dataMail!S:S,dataMail!A:A,A168, dataMail!C:C,"Confirmation")</f>
        <v>0</v>
      </c>
      <c r="G168" s="62">
        <f>SUMIFS(dataMail!$I:$I,dataMail!$A:$A,$A168)</f>
        <v>14</v>
      </c>
      <c r="H168" s="62">
        <f>SUMIFS(dataMail!$I:$I,dataMail!$V:$V,$A168,dataMail!C:C,"Annulation")</f>
        <v>15</v>
      </c>
      <c r="I168" s="63">
        <f t="shared" si="18"/>
        <v>-153.9</v>
      </c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>
      <c r="A169" s="136">
        <f t="shared" si="19"/>
        <v>46151</v>
      </c>
      <c r="B169" s="53"/>
      <c r="C169" s="53" t="s">
        <v>568</v>
      </c>
      <c r="D169" s="59">
        <f t="shared" si="17"/>
        <v>3</v>
      </c>
      <c r="E169" s="60">
        <f>IFERROR(round(AVERAGEIFS(dataMail!$P:$P, dataMail!$A:$A,$A169, dataMail!$C:$C,"&lt;&gt;Annulation"),1),"-")</f>
        <v>193.2</v>
      </c>
      <c r="F169" s="71">
        <f>SUMIFS(dataMail!S:S,dataMail!A:A,A169, dataMail!C:C,"Confirmation")</f>
        <v>0</v>
      </c>
      <c r="G169" s="62">
        <f>SUMIFS(dataMail!$I:$I,dataMail!$A:$A,$A169)</f>
        <v>12</v>
      </c>
      <c r="H169" s="62">
        <f>SUMIFS(dataMail!$I:$I,dataMail!$V:$V,$A169,dataMail!C:C,"Annulation")</f>
        <v>9</v>
      </c>
      <c r="I169" s="63">
        <f t="shared" si="18"/>
        <v>579.6</v>
      </c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>
      <c r="A170" s="136">
        <f t="shared" si="19"/>
        <v>46150</v>
      </c>
      <c r="B170" s="53"/>
      <c r="C170" s="53" t="s">
        <v>575</v>
      </c>
      <c r="D170" s="59">
        <f t="shared" si="17"/>
        <v>-11</v>
      </c>
      <c r="E170" s="60">
        <f>IFERROR(round(AVERAGEIFS(dataMail!$P:$P, dataMail!$A:$A,$A170, dataMail!$C:$C,"&lt;&gt;Annulation"),1),"-")</f>
        <v>153.1</v>
      </c>
      <c r="F170" s="71">
        <f>SUMIFS(dataMail!S:S,dataMail!A:A,A170, dataMail!C:C,"Confirmation")</f>
        <v>72</v>
      </c>
      <c r="G170" s="62">
        <f>SUMIFS(dataMail!$I:$I,dataMail!$A:$A,$A170)</f>
        <v>17</v>
      </c>
      <c r="H170" s="62">
        <f>SUMIFS(dataMail!$I:$I,dataMail!$V:$V,$A170,dataMail!C:C,"Annulation")</f>
        <v>28</v>
      </c>
      <c r="I170" s="63">
        <f t="shared" si="18"/>
        <v>-1612.1</v>
      </c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>
      <c r="A171" s="136">
        <f t="shared" si="19"/>
        <v>46149</v>
      </c>
      <c r="B171" s="53"/>
      <c r="C171" s="53" t="s">
        <v>583</v>
      </c>
      <c r="D171" s="59">
        <f t="shared" si="17"/>
        <v>-5</v>
      </c>
      <c r="E171" s="60">
        <f>IFERROR(round(AVERAGEIFS(dataMail!$P:$P, dataMail!$A:$A,$A171, dataMail!$C:$C,"&lt;&gt;Annulation"),1),"-")</f>
        <v>108.1</v>
      </c>
      <c r="F171" s="71">
        <f>SUMIFS(dataMail!S:S,dataMail!A:A,A171, dataMail!C:C,"Confirmation")</f>
        <v>0</v>
      </c>
      <c r="G171" s="62">
        <f>SUMIFS(dataMail!$I:$I,dataMail!$A:$A,$A171)</f>
        <v>15</v>
      </c>
      <c r="H171" s="62">
        <f>SUMIFS(dataMail!$I:$I,dataMail!$V:$V,$A171,dataMail!C:C,"Annulation")</f>
        <v>20</v>
      </c>
      <c r="I171" s="63">
        <f t="shared" si="18"/>
        <v>-540.5</v>
      </c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>
      <c r="A172" s="136">
        <f t="shared" si="19"/>
        <v>46148</v>
      </c>
      <c r="B172" s="53"/>
      <c r="C172" s="53" t="s">
        <v>587</v>
      </c>
      <c r="D172" s="59">
        <f t="shared" si="17"/>
        <v>8</v>
      </c>
      <c r="E172" s="60">
        <f>IFERROR(round(AVERAGEIFS(dataMail!$P:$P, dataMail!$A:$A,$A172, dataMail!$C:$C,"&lt;&gt;Annulation"),1),"-")</f>
        <v>128.9</v>
      </c>
      <c r="F172" s="71">
        <f>SUMIFS(dataMail!S:S,dataMail!A:A,A172, dataMail!C:C,"Confirmation")</f>
        <v>0</v>
      </c>
      <c r="G172" s="62">
        <f>SUMIFS(dataMail!$I:$I,dataMail!$A:$A,$A172)</f>
        <v>19</v>
      </c>
      <c r="H172" s="62">
        <f>SUMIFS(dataMail!$I:$I,dataMail!$V:$V,$A172,dataMail!C:C,"Annulation")</f>
        <v>11</v>
      </c>
      <c r="I172" s="63">
        <f t="shared" si="18"/>
        <v>1031.2</v>
      </c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>
      <c r="A173" s="136">
        <f t="shared" si="19"/>
        <v>46147</v>
      </c>
      <c r="B173" s="53"/>
      <c r="C173" s="53" t="s">
        <v>591</v>
      </c>
      <c r="D173" s="59">
        <f t="shared" si="17"/>
        <v>8</v>
      </c>
      <c r="E173" s="60">
        <f>IFERROR(round(AVERAGEIFS(dataMail!$P:$P, dataMail!$A:$A,$A173, dataMail!$C:$C,"&lt;&gt;Annulation"),1),"-")</f>
        <v>322.2</v>
      </c>
      <c r="F173" s="71">
        <f>SUMIFS(dataMail!S:S,dataMail!A:A,A173, dataMail!C:C,"Confirmation")</f>
        <v>0</v>
      </c>
      <c r="G173" s="62">
        <f>SUMIFS(dataMail!$I:$I,dataMail!$A:$A,$A173)</f>
        <v>15</v>
      </c>
      <c r="H173" s="62">
        <f>SUMIFS(dataMail!$I:$I,dataMail!$V:$V,$A173,dataMail!C:C,"Annulation")</f>
        <v>7</v>
      </c>
      <c r="I173" s="63">
        <f t="shared" si="18"/>
        <v>2577.6</v>
      </c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>
      <c r="A174" s="136">
        <f t="shared" si="19"/>
        <v>46146</v>
      </c>
      <c r="B174" s="53"/>
      <c r="C174" s="53" t="s">
        <v>597</v>
      </c>
      <c r="D174" s="59">
        <f t="shared" si="17"/>
        <v>2</v>
      </c>
      <c r="E174" s="60">
        <f>IFERROR(round(AVERAGEIFS(dataMail!$P:$P, dataMail!$A:$A,$A174, dataMail!$C:$C,"&lt;&gt;Annulation"),1),"-")</f>
        <v>125.8</v>
      </c>
      <c r="F174" s="71">
        <f>SUMIFS(dataMail!S:S,dataMail!A:A,A174, dataMail!C:C,"Confirmation")</f>
        <v>0</v>
      </c>
      <c r="G174" s="62">
        <f>SUMIFS(dataMail!$I:$I,dataMail!$A:$A,$A174)</f>
        <v>7</v>
      </c>
      <c r="H174" s="62">
        <f>SUMIFS(dataMail!$I:$I,dataMail!$V:$V,$A174,dataMail!C:C,"Annulation")</f>
        <v>5</v>
      </c>
      <c r="I174" s="63">
        <f t="shared" si="18"/>
        <v>251.6</v>
      </c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>
      <c r="A175" s="136">
        <f t="shared" si="19"/>
        <v>46145</v>
      </c>
      <c r="B175" s="53"/>
      <c r="C175" s="53" t="s">
        <v>604</v>
      </c>
      <c r="D175" s="59">
        <f t="shared" si="17"/>
        <v>15</v>
      </c>
      <c r="E175" s="60">
        <f>IFERROR(round(AVERAGEIFS(dataMail!$P:$P, dataMail!$A:$A,$A175, dataMail!$C:$C,"&lt;&gt;Annulation"),1),"-")</f>
        <v>228.4</v>
      </c>
      <c r="F175" s="71">
        <f>SUMIFS(dataMail!S:S,dataMail!A:A,A175, dataMail!C:C,"Confirmation")</f>
        <v>0</v>
      </c>
      <c r="G175" s="62">
        <f>SUMIFS(dataMail!$I:$I,dataMail!$A:$A,$A175)</f>
        <v>29</v>
      </c>
      <c r="H175" s="62">
        <f>SUMIFS(dataMail!$I:$I,dataMail!$V:$V,$A175,dataMail!C:C,"Annulation")</f>
        <v>14</v>
      </c>
      <c r="I175" s="63">
        <f t="shared" si="18"/>
        <v>3426</v>
      </c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>
      <c r="A176" s="136">
        <f t="shared" si="19"/>
        <v>46144</v>
      </c>
      <c r="B176" s="53"/>
      <c r="C176" s="53" t="s">
        <v>609</v>
      </c>
      <c r="D176" s="59">
        <f t="shared" si="17"/>
        <v>14</v>
      </c>
      <c r="E176" s="60">
        <f>IFERROR(round(AVERAGEIFS(dataMail!$P:$P, dataMail!$A:$A,$A176, dataMail!$C:$C,"&lt;&gt;Annulation"),1),"-")</f>
        <v>119.7</v>
      </c>
      <c r="F176" s="71">
        <f>SUMIFS(dataMail!S:S,dataMail!A:A,A176, dataMail!C:C,"Confirmation")</f>
        <v>0</v>
      </c>
      <c r="G176" s="62">
        <f>SUMIFS(dataMail!$I:$I,dataMail!$A:$A,$A176)</f>
        <v>14</v>
      </c>
      <c r="H176" s="62">
        <f>SUMIFS(dataMail!$I:$I,dataMail!$V:$V,$A176,dataMail!C:C,"Annulation")</f>
        <v>0</v>
      </c>
      <c r="I176" s="63">
        <f t="shared" si="18"/>
        <v>1675.8</v>
      </c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>
      <c r="A177" s="136">
        <f t="shared" si="19"/>
        <v>46143</v>
      </c>
      <c r="B177" s="53"/>
      <c r="C177" s="53" t="s">
        <v>614</v>
      </c>
      <c r="D177" s="59">
        <f t="shared" si="17"/>
        <v>50</v>
      </c>
      <c r="E177" s="60">
        <f>IFERROR(round(AVERAGEIFS(dataMail!$P:$P, dataMail!$A:$A,$A177, dataMail!$C:$C,"&lt;&gt;Annulation"),1),"-")</f>
        <v>253.8</v>
      </c>
      <c r="F177" s="71">
        <f>SUMIFS(dataMail!S:S,dataMail!A:A,A177, dataMail!C:C,"Confirmation")</f>
        <v>0</v>
      </c>
      <c r="G177" s="62">
        <f>SUMIFS(dataMail!$I:$I,dataMail!$A:$A,$A177)</f>
        <v>51</v>
      </c>
      <c r="H177" s="62">
        <f>SUMIFS(dataMail!$I:$I,dataMail!$V:$V,$A177,dataMail!C:C,"Annulation")</f>
        <v>1</v>
      </c>
      <c r="I177" s="63">
        <f t="shared" si="18"/>
        <v>12690</v>
      </c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>
      <c r="A178" s="136">
        <f t="shared" si="19"/>
        <v>46142</v>
      </c>
      <c r="B178" s="53"/>
      <c r="C178" s="53" t="s">
        <v>618</v>
      </c>
      <c r="D178" s="59">
        <f t="shared" si="17"/>
        <v>17</v>
      </c>
      <c r="E178" s="60">
        <f>IFERROR(round(AVERAGEIFS(dataMail!$P:$P, dataMail!$A:$A,$A178, dataMail!$C:$C,"&lt;&gt;Annulation"),1),"-")</f>
        <v>159.2</v>
      </c>
      <c r="F178" s="71">
        <f>SUMIFS(dataMail!S:S,dataMail!A:A,A178, dataMail!C:C,"Confirmation")</f>
        <v>0</v>
      </c>
      <c r="G178" s="62">
        <f>SUMIFS(dataMail!$I:$I,dataMail!$A:$A,$A178)</f>
        <v>20</v>
      </c>
      <c r="H178" s="62">
        <f>SUMIFS(dataMail!$I:$I,dataMail!$V:$V,$A178,dataMail!C:C,"Annulation")</f>
        <v>3</v>
      </c>
      <c r="I178" s="63">
        <f t="shared" si="18"/>
        <v>2706.4</v>
      </c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>
      <c r="A179" s="136">
        <f t="shared" si="19"/>
        <v>46141</v>
      </c>
      <c r="B179" s="53"/>
      <c r="C179" s="53" t="s">
        <v>627</v>
      </c>
      <c r="D179" s="59">
        <f t="shared" si="17"/>
        <v>3</v>
      </c>
      <c r="E179" s="60">
        <f>IFERROR(round(AVERAGEIFS(dataMail!$P:$P, dataMail!$A:$A,$A179, dataMail!$C:$C,"&lt;&gt;Annulation"),1),"-")</f>
        <v>250</v>
      </c>
      <c r="F179" s="71">
        <f>SUMIFS(dataMail!S:S,dataMail!A:A,A179, dataMail!C:C,"Confirmation")</f>
        <v>0</v>
      </c>
      <c r="G179" s="62">
        <f>SUMIFS(dataMail!$I:$I,dataMail!$A:$A,$A179)</f>
        <v>8</v>
      </c>
      <c r="H179" s="62">
        <f>SUMIFS(dataMail!$I:$I,dataMail!$V:$V,$A179,dataMail!C:C,"Annulation")</f>
        <v>5</v>
      </c>
      <c r="I179" s="63">
        <f t="shared" si="18"/>
        <v>750</v>
      </c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>
      <c r="A180" s="136">
        <f t="shared" si="19"/>
        <v>46140</v>
      </c>
      <c r="B180" s="53"/>
      <c r="C180" s="53" t="s">
        <v>636</v>
      </c>
      <c r="D180" s="59">
        <f t="shared" si="17"/>
        <v>16</v>
      </c>
      <c r="E180" s="60">
        <f>IFERROR(round(AVERAGEIFS(dataMail!$P:$P, dataMail!$A:$A,$A180, dataMail!$C:$C,"&lt;&gt;Annulation"),1),"-")</f>
        <v>151.3</v>
      </c>
      <c r="F180" s="71">
        <f>SUMIFS(dataMail!S:S,dataMail!A:A,A180, dataMail!C:C,"Confirmation")</f>
        <v>0</v>
      </c>
      <c r="G180" s="62">
        <f>SUMIFS(dataMail!$I:$I,dataMail!$A:$A,$A180)</f>
        <v>19</v>
      </c>
      <c r="H180" s="62">
        <f>SUMIFS(dataMail!$I:$I,dataMail!$V:$V,$A180,dataMail!C:C,"Annulation")</f>
        <v>3</v>
      </c>
      <c r="I180" s="63">
        <f t="shared" si="18"/>
        <v>2420.8</v>
      </c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>
      <c r="A181" s="136">
        <f t="shared" si="19"/>
        <v>46139</v>
      </c>
      <c r="B181" s="53"/>
      <c r="C181" s="53" t="s">
        <v>640</v>
      </c>
      <c r="D181" s="59">
        <f t="shared" si="17"/>
        <v>12</v>
      </c>
      <c r="E181" s="60">
        <f>IFERROR(round(AVERAGEIFS(dataMail!$P:$P, dataMail!$A:$A,$A181, dataMail!$C:$C,"&lt;&gt;Annulation"),1),"-")</f>
        <v>152.2</v>
      </c>
      <c r="F181" s="71">
        <f>SUMIFS(dataMail!S:S,dataMail!A:A,A181, dataMail!C:C,"Confirmation")</f>
        <v>0</v>
      </c>
      <c r="G181" s="62">
        <f>SUMIFS(dataMail!$I:$I,dataMail!$A:$A,$A181)</f>
        <v>12</v>
      </c>
      <c r="H181" s="62">
        <f>SUMIFS(dataMail!$I:$I,dataMail!$V:$V,$A181,dataMail!C:C,"Annulation")</f>
        <v>0</v>
      </c>
      <c r="I181" s="63">
        <f t="shared" si="18"/>
        <v>1826.4</v>
      </c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>
      <c r="A182" s="136">
        <f t="shared" si="19"/>
        <v>46138</v>
      </c>
      <c r="B182" s="53"/>
      <c r="C182" s="53" t="s">
        <v>646</v>
      </c>
      <c r="D182" s="59">
        <f t="shared" si="17"/>
        <v>19</v>
      </c>
      <c r="E182" s="60">
        <f>IFERROR(round(AVERAGEIFS(dataMail!$P:$P, dataMail!$A:$A,$A182, dataMail!$C:$C,"&lt;&gt;Annulation"),1),"-")</f>
        <v>142.6</v>
      </c>
      <c r="F182" s="71">
        <f>SUMIFS(dataMail!S:S,dataMail!A:A,A182, dataMail!C:C,"Confirmation")</f>
        <v>0</v>
      </c>
      <c r="G182" s="62">
        <f>SUMIFS(dataMail!$I:$I,dataMail!$A:$A,$A182)</f>
        <v>20</v>
      </c>
      <c r="H182" s="62">
        <f>SUMIFS(dataMail!$I:$I,dataMail!$V:$V,$A182,dataMail!C:C,"Annulation")</f>
        <v>1</v>
      </c>
      <c r="I182" s="63">
        <f t="shared" si="18"/>
        <v>2709.4</v>
      </c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>
      <c r="A183" s="136">
        <f t="shared" si="19"/>
        <v>46137</v>
      </c>
      <c r="B183" s="53"/>
      <c r="C183" s="53" t="s">
        <v>650</v>
      </c>
      <c r="D183" s="59">
        <f t="shared" si="17"/>
        <v>-9</v>
      </c>
      <c r="E183" s="60">
        <f>IFERROR(round(AVERAGEIFS(dataMail!$P:$P, dataMail!$A:$A,$A183, dataMail!$C:$C,"&lt;&gt;Annulation"),1),"-")</f>
        <v>93.9</v>
      </c>
      <c r="F183" s="71">
        <f>SUMIFS(dataMail!S:S,dataMail!A:A,A183, dataMail!C:C,"Confirmation")</f>
        <v>0</v>
      </c>
      <c r="G183" s="62">
        <f>SUMIFS(dataMail!$I:$I,dataMail!$A:$A,$A183)</f>
        <v>8</v>
      </c>
      <c r="H183" s="62">
        <f>SUMIFS(dataMail!$I:$I,dataMail!$V:$V,$A183,dataMail!C:C,"Annulation")</f>
        <v>17</v>
      </c>
      <c r="I183" s="63">
        <f t="shared" si="18"/>
        <v>-845.1</v>
      </c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>
      <c r="A184" s="136">
        <f t="shared" si="19"/>
        <v>46136</v>
      </c>
      <c r="B184" s="53"/>
      <c r="C184" s="53" t="s">
        <v>658</v>
      </c>
      <c r="D184" s="59">
        <f t="shared" si="17"/>
        <v>10</v>
      </c>
      <c r="E184" s="60">
        <f>IFERROR(round(AVERAGEIFS(dataMail!$P:$P, dataMail!$A:$A,$A184, dataMail!$C:$C,"&lt;&gt;Annulation"),1),"-")</f>
        <v>262.2</v>
      </c>
      <c r="F184" s="71">
        <f>SUMIFS(dataMail!S:S,dataMail!A:A,A184, dataMail!C:C,"Confirmation")</f>
        <v>0</v>
      </c>
      <c r="G184" s="62">
        <f>SUMIFS(dataMail!$I:$I,dataMail!$A:$A,$A184)</f>
        <v>12</v>
      </c>
      <c r="H184" s="62">
        <f>SUMIFS(dataMail!$I:$I,dataMail!$V:$V,$A184,dataMail!C:C,"Annulation")</f>
        <v>2</v>
      </c>
      <c r="I184" s="63">
        <f t="shared" si="18"/>
        <v>2622</v>
      </c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>
      <c r="A185" s="136">
        <f t="shared" si="19"/>
        <v>46135</v>
      </c>
      <c r="B185" s="53"/>
      <c r="C185" s="53" t="s">
        <v>663</v>
      </c>
      <c r="D185" s="59">
        <f t="shared" si="17"/>
        <v>17</v>
      </c>
      <c r="E185" s="60">
        <f>IFERROR(round(AVERAGEIFS(dataMail!$P:$P, dataMail!$A:$A,$A185, dataMail!$C:$C,"&lt;&gt;Annulation"),1),"-")</f>
        <v>171</v>
      </c>
      <c r="F185" s="71">
        <f>SUMIFS(dataMail!S:S,dataMail!A:A,A185, dataMail!C:C,"Confirmation")</f>
        <v>0</v>
      </c>
      <c r="G185" s="62">
        <f>SUMIFS(dataMail!$I:$I,dataMail!$A:$A,$A185)</f>
        <v>17</v>
      </c>
      <c r="H185" s="62">
        <f>SUMIFS(dataMail!$I:$I,dataMail!$V:$V,$A185,dataMail!C:C,"Annulation")</f>
        <v>0</v>
      </c>
      <c r="I185" s="63">
        <f t="shared" si="18"/>
        <v>2907</v>
      </c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>
      <c r="A186" s="136">
        <f t="shared" si="19"/>
        <v>46134</v>
      </c>
      <c r="B186" s="53"/>
      <c r="C186" s="53" t="s">
        <v>668</v>
      </c>
      <c r="D186" s="59">
        <f t="shared" si="17"/>
        <v>3</v>
      </c>
      <c r="E186" s="60">
        <f>IFERROR(round(AVERAGEIFS(dataMail!$P:$P, dataMail!$A:$A,$A186, dataMail!$C:$C,"&lt;&gt;Annulation"),1),"-")</f>
        <v>172.2</v>
      </c>
      <c r="F186" s="71">
        <f>SUMIFS(dataMail!S:S,dataMail!A:A,A186, dataMail!C:C,"Confirmation")</f>
        <v>0</v>
      </c>
      <c r="G186" s="62">
        <f>SUMIFS(dataMail!$I:$I,dataMail!$A:$A,$A186)</f>
        <v>24</v>
      </c>
      <c r="H186" s="62">
        <f>SUMIFS(dataMail!$I:$I,dataMail!$V:$V,$A186,dataMail!C:C,"Annulation")</f>
        <v>21</v>
      </c>
      <c r="I186" s="63">
        <f t="shared" si="18"/>
        <v>516.6</v>
      </c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>
      <c r="A187" s="136">
        <f t="shared" si="19"/>
        <v>46133</v>
      </c>
      <c r="B187" s="53"/>
      <c r="C187" s="53" t="s">
        <v>672</v>
      </c>
      <c r="D187" s="59">
        <f t="shared" si="17"/>
        <v>1</v>
      </c>
      <c r="E187" s="60">
        <f>IFERROR(round(AVERAGEIFS(dataMail!$P:$P, dataMail!$A:$A,$A187, dataMail!$C:$C,"&lt;&gt;Annulation"),1),"-")</f>
        <v>104.9</v>
      </c>
      <c r="F187" s="71">
        <f>SUMIFS(dataMail!S:S,dataMail!A:A,A187, dataMail!C:C,"Confirmation")</f>
        <v>0</v>
      </c>
      <c r="G187" s="62">
        <f>SUMIFS(dataMail!$I:$I,dataMail!$A:$A,$A187)</f>
        <v>8</v>
      </c>
      <c r="H187" s="62">
        <f>SUMIFS(dataMail!$I:$I,dataMail!$V:$V,$A187,dataMail!C:C,"Annulation")</f>
        <v>7</v>
      </c>
      <c r="I187" s="63">
        <f t="shared" si="18"/>
        <v>104.9</v>
      </c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>
      <c r="A188" s="136">
        <f t="shared" si="19"/>
        <v>46132</v>
      </c>
      <c r="B188" s="53"/>
      <c r="C188" s="53" t="s">
        <v>677</v>
      </c>
      <c r="D188" s="59">
        <f t="shared" si="17"/>
        <v>4</v>
      </c>
      <c r="E188" s="60">
        <f>IFERROR(round(AVERAGEIFS(dataMail!$P:$P, dataMail!$A:$A,$A188, dataMail!$C:$C,"&lt;&gt;Annulation"),1),"-")</f>
        <v>121.7</v>
      </c>
      <c r="F188" s="71">
        <f>SUMIFS(dataMail!S:S,dataMail!A:A,A188, dataMail!C:C,"Confirmation")</f>
        <v>0</v>
      </c>
      <c r="G188" s="62">
        <f>SUMIFS(dataMail!$I:$I,dataMail!$A:$A,$A188)</f>
        <v>6</v>
      </c>
      <c r="H188" s="62">
        <f>SUMIFS(dataMail!$I:$I,dataMail!$V:$V,$A188,dataMail!C:C,"Annulation")</f>
        <v>2</v>
      </c>
      <c r="I188" s="63">
        <f t="shared" si="18"/>
        <v>486.8</v>
      </c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>
      <c r="A189" s="136">
        <f t="shared" si="19"/>
        <v>46131</v>
      </c>
      <c r="B189" s="53"/>
      <c r="C189" s="53" t="s">
        <v>684</v>
      </c>
      <c r="D189" s="59">
        <f t="shared" si="17"/>
        <v>48</v>
      </c>
      <c r="E189" s="60">
        <f>IFERROR(round(AVERAGEIFS(dataMail!$P:$P, dataMail!$A:$A,$A189, dataMail!$C:$C,"&lt;&gt;Annulation"),1),"-")</f>
        <v>184.1</v>
      </c>
      <c r="F189" s="71">
        <f>SUMIFS(dataMail!S:S,dataMail!A:A,A189, dataMail!C:C,"Confirmation")</f>
        <v>0</v>
      </c>
      <c r="G189" s="62">
        <f>SUMIFS(dataMail!$I:$I,dataMail!$A:$A,$A189)</f>
        <v>56</v>
      </c>
      <c r="H189" s="62">
        <f>SUMIFS(dataMail!$I:$I,dataMail!$V:$V,$A189,dataMail!C:C,"Annulation")</f>
        <v>8</v>
      </c>
      <c r="I189" s="63">
        <f t="shared" si="18"/>
        <v>8836.8</v>
      </c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>
      <c r="A190" s="136">
        <f t="shared" si="19"/>
        <v>46130</v>
      </c>
      <c r="B190" s="53"/>
      <c r="C190" s="53" t="s">
        <v>687</v>
      </c>
      <c r="D190" s="59">
        <f t="shared" si="17"/>
        <v>31</v>
      </c>
      <c r="E190" s="60">
        <f>IFERROR(round(AVERAGEIFS(dataMail!$P:$P, dataMail!$A:$A,$A190, dataMail!$C:$C,"&lt;&gt;Annulation"),1),"-")</f>
        <v>157.5</v>
      </c>
      <c r="F190" s="71">
        <f>SUMIFS(dataMail!S:S,dataMail!A:A,A190, dataMail!C:C,"Confirmation")</f>
        <v>0</v>
      </c>
      <c r="G190" s="62">
        <f>SUMIFS(dataMail!$I:$I,dataMail!$A:$A,$A190)</f>
        <v>33</v>
      </c>
      <c r="H190" s="62">
        <f>SUMIFS(dataMail!$I:$I,dataMail!$V:$V,$A190,dataMail!C:C,"Annulation")</f>
        <v>2</v>
      </c>
      <c r="I190" s="63">
        <f t="shared" si="18"/>
        <v>4882.5</v>
      </c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>
      <c r="A191" s="136">
        <f t="shared" si="19"/>
        <v>46129</v>
      </c>
      <c r="B191" s="53"/>
      <c r="C191" s="53" t="s">
        <v>694</v>
      </c>
      <c r="D191" s="59">
        <f t="shared" si="17"/>
        <v>8</v>
      </c>
      <c r="E191" s="60">
        <f>IFERROR(round(AVERAGEIFS(dataMail!$P:$P, dataMail!$A:$A,$A191, dataMail!$C:$C,"&lt;&gt;Annulation"),1),"-")</f>
        <v>142.3</v>
      </c>
      <c r="F191" s="71">
        <f>SUMIFS(dataMail!S:S,dataMail!A:A,A191, dataMail!C:C,"Confirmation")</f>
        <v>0</v>
      </c>
      <c r="G191" s="62">
        <f>SUMIFS(dataMail!$I:$I,dataMail!$A:$A,$A191)</f>
        <v>8</v>
      </c>
      <c r="H191" s="62">
        <f>SUMIFS(dataMail!$I:$I,dataMail!$V:$V,$A191,dataMail!C:C,"Annulation")</f>
        <v>0</v>
      </c>
      <c r="I191" s="63">
        <f t="shared" si="18"/>
        <v>1138.4</v>
      </c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>
      <c r="A192" s="136">
        <f t="shared" si="19"/>
        <v>46128</v>
      </c>
      <c r="B192" s="53"/>
      <c r="C192" s="53" t="s">
        <v>699</v>
      </c>
      <c r="D192" s="59">
        <f t="shared" si="17"/>
        <v>0</v>
      </c>
      <c r="E192" s="60" t="str">
        <f>IFERROR(round(AVERAGEIFS(dataMail!$P:$P, dataMail!$A:$A,$A192, dataMail!$C:$C,"&lt;&gt;Annulation"),1),"-")</f>
        <v>-</v>
      </c>
      <c r="F192" s="71">
        <f>SUMIFS(dataMail!S:S,dataMail!A:A,A192, dataMail!C:C,"Confirmation")</f>
        <v>0</v>
      </c>
      <c r="G192" s="62">
        <f>SUMIFS(dataMail!$I:$I,dataMail!$A:$A,$A192)</f>
        <v>0</v>
      </c>
      <c r="H192" s="62">
        <f>SUMIFS(dataMail!$I:$I,dataMail!$V:$V,$A192,dataMail!C:C,"Annulation")</f>
        <v>0</v>
      </c>
      <c r="I192" s="63" t="str">
        <f t="shared" si="18"/>
        <v>#VALUE!</v>
      </c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>
      <c r="A193" s="136">
        <f t="shared" si="19"/>
        <v>46127</v>
      </c>
      <c r="B193" s="53"/>
      <c r="C193" s="53" t="s">
        <v>701</v>
      </c>
      <c r="D193" s="59">
        <f t="shared" si="17"/>
        <v>25</v>
      </c>
      <c r="E193" s="60">
        <f>IFERROR(round(AVERAGEIFS(dataMail!$P:$P, dataMail!$A:$A,$A193, dataMail!$C:$C,"&lt;&gt;Annulation"),1),"-")</f>
        <v>121.3</v>
      </c>
      <c r="F193" s="71">
        <f>SUMIFS(dataMail!S:S,dataMail!A:A,A193, dataMail!C:C,"Confirmation")</f>
        <v>0</v>
      </c>
      <c r="G193" s="62">
        <f>SUMIFS(dataMail!$I:$I,dataMail!$A:$A,$A193)</f>
        <v>28</v>
      </c>
      <c r="H193" s="62">
        <f>SUMIFS(dataMail!$I:$I,dataMail!$V:$V,$A193,dataMail!C:C,"Annulation")</f>
        <v>3</v>
      </c>
      <c r="I193" s="63">
        <f t="shared" si="18"/>
        <v>3032.5</v>
      </c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>
      <c r="A194" s="136">
        <f t="shared" si="19"/>
        <v>46126</v>
      </c>
      <c r="B194" s="53"/>
      <c r="C194" s="53" t="s">
        <v>706</v>
      </c>
      <c r="D194" s="59">
        <f t="shared" si="17"/>
        <v>9</v>
      </c>
      <c r="E194" s="60">
        <f>IFERROR(round(AVERAGEIFS(dataMail!$P:$P, dataMail!$A:$A,$A194, dataMail!$C:$C,"&lt;&gt;Annulation"),1),"-")</f>
        <v>144.6</v>
      </c>
      <c r="F194" s="71">
        <f>SUMIFS(dataMail!S:S,dataMail!A:A,A194, dataMail!C:C,"Confirmation")</f>
        <v>0</v>
      </c>
      <c r="G194" s="62">
        <f>SUMIFS(dataMail!$I:$I,dataMail!$A:$A,$A194)</f>
        <v>15</v>
      </c>
      <c r="H194" s="62">
        <f>SUMIFS(dataMail!$I:$I,dataMail!$V:$V,$A194,dataMail!C:C,"Annulation")</f>
        <v>6</v>
      </c>
      <c r="I194" s="63">
        <f t="shared" si="18"/>
        <v>1301.4</v>
      </c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>
      <c r="A195" s="136">
        <f t="shared" si="19"/>
        <v>46125</v>
      </c>
      <c r="B195" s="53"/>
      <c r="C195" s="53" t="s">
        <v>712</v>
      </c>
      <c r="D195" s="59">
        <f t="shared" si="17"/>
        <v>5</v>
      </c>
      <c r="E195" s="60">
        <f>IFERROR(round(AVERAGEIFS(dataMail!$P:$P, dataMail!$A:$A,$A195, dataMail!$C:$C,"&lt;&gt;Annulation"),1),"-")</f>
        <v>139.1</v>
      </c>
      <c r="F195" s="71">
        <f>SUMIFS(dataMail!S:S,dataMail!A:A,A195, dataMail!C:C,"Confirmation")</f>
        <v>108</v>
      </c>
      <c r="G195" s="62">
        <f>SUMIFS(dataMail!$I:$I,dataMail!$A:$A,$A195)</f>
        <v>10</v>
      </c>
      <c r="H195" s="62">
        <f>SUMIFS(dataMail!$I:$I,dataMail!$V:$V,$A195,dataMail!C:C,"Annulation")</f>
        <v>5</v>
      </c>
      <c r="I195" s="63">
        <f t="shared" si="18"/>
        <v>803.5</v>
      </c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>
      <c r="A196" s="136">
        <f t="shared" si="19"/>
        <v>46124</v>
      </c>
      <c r="B196" s="53"/>
      <c r="C196" s="53" t="s">
        <v>721</v>
      </c>
      <c r="D196" s="59">
        <f t="shared" si="17"/>
        <v>3</v>
      </c>
      <c r="E196" s="60">
        <f>IFERROR(round(AVERAGEIFS(dataMail!$P:$P, dataMail!$A:$A,$A196, dataMail!$C:$C,"&lt;&gt;Annulation"),1),"-")</f>
        <v>134</v>
      </c>
      <c r="F196" s="71">
        <f>SUMIFS(dataMail!S:S,dataMail!A:A,A196, dataMail!C:C,"Confirmation")</f>
        <v>0</v>
      </c>
      <c r="G196" s="62">
        <f>SUMIFS(dataMail!$I:$I,dataMail!$A:$A,$A196)</f>
        <v>4</v>
      </c>
      <c r="H196" s="62">
        <f>SUMIFS(dataMail!$I:$I,dataMail!$V:$V,$A196,dataMail!C:C,"Annulation")</f>
        <v>1</v>
      </c>
      <c r="I196" s="63">
        <f t="shared" si="18"/>
        <v>402</v>
      </c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>
      <c r="A197" s="136">
        <f t="shared" si="19"/>
        <v>46123</v>
      </c>
      <c r="B197" s="53"/>
      <c r="C197" s="53" t="s">
        <v>730</v>
      </c>
      <c r="D197" s="59">
        <f t="shared" si="17"/>
        <v>8</v>
      </c>
      <c r="E197" s="60">
        <f>IFERROR(round(AVERAGEIFS(dataMail!$P:$P, dataMail!$A:$A,$A197, dataMail!$C:$C,"&lt;&gt;Annulation"),1),"-")</f>
        <v>129.8</v>
      </c>
      <c r="F197" s="71">
        <f>SUMIFS(dataMail!S:S,dataMail!A:A,A197, dataMail!C:C,"Confirmation")</f>
        <v>0</v>
      </c>
      <c r="G197" s="62">
        <f>SUMIFS(dataMail!$I:$I,dataMail!$A:$A,$A197)</f>
        <v>11</v>
      </c>
      <c r="H197" s="62">
        <f>SUMIFS(dataMail!$I:$I,dataMail!$V:$V,$A197,dataMail!C:C,"Annulation")</f>
        <v>3</v>
      </c>
      <c r="I197" s="63">
        <f t="shared" si="18"/>
        <v>1038.4</v>
      </c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>
      <c r="A198" s="136">
        <f t="shared" si="19"/>
        <v>46122</v>
      </c>
      <c r="B198" s="53"/>
      <c r="C198" s="53" t="s">
        <v>732</v>
      </c>
      <c r="D198" s="59">
        <f t="shared" si="17"/>
        <v>14</v>
      </c>
      <c r="E198" s="60">
        <f>IFERROR(round(AVERAGEIFS(dataMail!$P:$P, dataMail!$A:$A,$A198, dataMail!$C:$C,"&lt;&gt;Annulation"),1),"-")</f>
        <v>189.7</v>
      </c>
      <c r="F198" s="71">
        <f>SUMIFS(dataMail!S:S,dataMail!A:A,A198, dataMail!C:C,"Confirmation")</f>
        <v>0</v>
      </c>
      <c r="G198" s="62">
        <f>SUMIFS(dataMail!$I:$I,dataMail!$A:$A,$A198)</f>
        <v>19</v>
      </c>
      <c r="H198" s="62">
        <f>SUMIFS(dataMail!$I:$I,dataMail!$V:$V,$A198,dataMail!C:C,"Annulation")</f>
        <v>5</v>
      </c>
      <c r="I198" s="63">
        <f t="shared" si="18"/>
        <v>2655.8</v>
      </c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>
      <c r="A199" s="136">
        <f t="shared" si="19"/>
        <v>46121</v>
      </c>
      <c r="B199" s="53"/>
      <c r="C199" s="53" t="s">
        <v>737</v>
      </c>
      <c r="D199" s="59">
        <f t="shared" si="17"/>
        <v>12</v>
      </c>
      <c r="E199" s="60">
        <f>IFERROR(round(AVERAGEIFS(dataMail!$P:$P, dataMail!$A:$A,$A199, dataMail!$C:$C,"&lt;&gt;Annulation"),1),"-")</f>
        <v>216</v>
      </c>
      <c r="F199" s="71">
        <f>SUMIFS(dataMail!S:S,dataMail!A:A,A199, dataMail!C:C,"Confirmation")</f>
        <v>0</v>
      </c>
      <c r="G199" s="62">
        <f>SUMIFS(dataMail!$I:$I,dataMail!$A:$A,$A199)</f>
        <v>19</v>
      </c>
      <c r="H199" s="62">
        <f>SUMIFS(dataMail!$I:$I,dataMail!$V:$V,$A199,dataMail!C:C,"Annulation")</f>
        <v>7</v>
      </c>
      <c r="I199" s="63">
        <f t="shared" si="18"/>
        <v>2592</v>
      </c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>
      <c r="A200" s="136">
        <f t="shared" si="19"/>
        <v>46120</v>
      </c>
      <c r="B200" s="53"/>
      <c r="C200" s="53" t="s">
        <v>742</v>
      </c>
      <c r="D200" s="59">
        <f t="shared" si="17"/>
        <v>26</v>
      </c>
      <c r="E200" s="60">
        <f>IFERROR(round(AVERAGEIFS(dataMail!$P:$P, dataMail!$A:$A,$A200, dataMail!$C:$C,"&lt;&gt;Annulation"),1),"-")</f>
        <v>112.3</v>
      </c>
      <c r="F200" s="71">
        <f>SUMIFS(dataMail!S:S,dataMail!A:A,A200, dataMail!C:C,"Confirmation")</f>
        <v>0</v>
      </c>
      <c r="G200" s="62">
        <f>SUMIFS(dataMail!$I:$I,dataMail!$A:$A,$A200)</f>
        <v>32</v>
      </c>
      <c r="H200" s="62">
        <f>SUMIFS(dataMail!$I:$I,dataMail!$V:$V,$A200,dataMail!C:C,"Annulation")</f>
        <v>6</v>
      </c>
      <c r="I200" s="63">
        <f t="shared" si="18"/>
        <v>2919.8</v>
      </c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>
      <c r="A201" s="136">
        <f t="shared" si="19"/>
        <v>46119</v>
      </c>
      <c r="B201" s="53"/>
      <c r="C201" s="53" t="s">
        <v>752</v>
      </c>
      <c r="D201" s="59">
        <f t="shared" si="17"/>
        <v>3</v>
      </c>
      <c r="E201" s="60">
        <f>IFERROR(round(AVERAGEIFS(dataMail!$P:$P, dataMail!$A:$A,$A201, dataMail!$C:$C,"&lt;&gt;Annulation"),1),"-")</f>
        <v>147.8</v>
      </c>
      <c r="F201" s="71">
        <f>SUMIFS(dataMail!S:S,dataMail!A:A,A201, dataMail!C:C,"Confirmation")</f>
        <v>0</v>
      </c>
      <c r="G201" s="62">
        <f>SUMIFS(dataMail!$I:$I,dataMail!$A:$A,$A201)</f>
        <v>7</v>
      </c>
      <c r="H201" s="62">
        <f>SUMIFS(dataMail!$I:$I,dataMail!$V:$V,$A201,dataMail!C:C,"Annulation")</f>
        <v>4</v>
      </c>
      <c r="I201" s="63">
        <f t="shared" si="18"/>
        <v>443.4</v>
      </c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>
      <c r="A202" s="136">
        <f t="shared" si="19"/>
        <v>46118</v>
      </c>
      <c r="B202" s="53"/>
      <c r="C202" s="53" t="s">
        <v>758</v>
      </c>
      <c r="D202" s="59">
        <f t="shared" si="17"/>
        <v>4</v>
      </c>
      <c r="E202" s="60">
        <f>IFERROR(round(AVERAGEIFS(dataMail!$P:$P, dataMail!$A:$A,$A202, dataMail!$C:$C,"&lt;&gt;Annulation"),1),"-")</f>
        <v>130.4</v>
      </c>
      <c r="F202" s="71">
        <f>SUMIFS(dataMail!S:S,dataMail!A:A,A202, dataMail!C:C,"Confirmation")</f>
        <v>0</v>
      </c>
      <c r="G202" s="62">
        <f>SUMIFS(dataMail!$I:$I,dataMail!$A:$A,$A202)</f>
        <v>4</v>
      </c>
      <c r="H202" s="62">
        <f>SUMIFS(dataMail!$I:$I,dataMail!$V:$V,$A202,dataMail!C:C,"Annulation")</f>
        <v>0</v>
      </c>
      <c r="I202" s="63">
        <f t="shared" si="18"/>
        <v>521.6</v>
      </c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>
      <c r="A203" s="136">
        <f t="shared" si="19"/>
        <v>46117</v>
      </c>
      <c r="B203" s="53"/>
      <c r="C203" s="53" t="s">
        <v>764</v>
      </c>
      <c r="D203" s="59">
        <f t="shared" si="17"/>
        <v>-1</v>
      </c>
      <c r="E203" s="60">
        <f>IFERROR(round(AVERAGEIFS(dataMail!$P:$P, dataMail!$A:$A,$A203, dataMail!$C:$C,"&lt;&gt;Annulation"),1),"-")</f>
        <v>126.9</v>
      </c>
      <c r="F203" s="71">
        <f>SUMIFS(dataMail!S:S,dataMail!A:A,A203, dataMail!C:C,"Confirmation")</f>
        <v>0</v>
      </c>
      <c r="G203" s="62">
        <f>SUMIFS(dataMail!$I:$I,dataMail!$A:$A,$A203)</f>
        <v>6</v>
      </c>
      <c r="H203" s="62">
        <f>SUMIFS(dataMail!$I:$I,dataMail!$V:$V,$A203,dataMail!C:C,"Annulation")</f>
        <v>7</v>
      </c>
      <c r="I203" s="63">
        <f t="shared" si="18"/>
        <v>-126.9</v>
      </c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>
      <c r="A204" s="136">
        <f t="shared" si="19"/>
        <v>46116</v>
      </c>
      <c r="B204" s="53"/>
      <c r="C204" s="53" t="s">
        <v>769</v>
      </c>
      <c r="D204" s="59">
        <f t="shared" si="17"/>
        <v>2</v>
      </c>
      <c r="E204" s="60">
        <f>IFERROR(round(AVERAGEIFS(dataMail!$P:$P, dataMail!$A:$A,$A204, dataMail!$C:$C,"&lt;&gt;Annulation"),1),"-")</f>
        <v>167.5</v>
      </c>
      <c r="F204" s="71">
        <f>SUMIFS(dataMail!S:S,dataMail!A:A,A204, dataMail!C:C,"Confirmation")</f>
        <v>0</v>
      </c>
      <c r="G204" s="62">
        <f>SUMIFS(dataMail!$I:$I,dataMail!$A:$A,$A204)</f>
        <v>9</v>
      </c>
      <c r="H204" s="62">
        <f>SUMIFS(dataMail!$I:$I,dataMail!$V:$V,$A204,dataMail!C:C,"Annulation")</f>
        <v>7</v>
      </c>
      <c r="I204" s="63">
        <f t="shared" si="18"/>
        <v>335</v>
      </c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>
      <c r="A205" s="136">
        <f t="shared" si="19"/>
        <v>46115</v>
      </c>
      <c r="B205" s="53"/>
      <c r="C205" s="53" t="s">
        <v>774</v>
      </c>
      <c r="D205" s="59">
        <f t="shared" si="17"/>
        <v>17</v>
      </c>
      <c r="E205" s="60">
        <f>IFERROR(round(AVERAGEIFS(dataMail!$P:$P, dataMail!$A:$A,$A205, dataMail!$C:$C,"&lt;&gt;Annulation"),1),"-")</f>
        <v>178.6</v>
      </c>
      <c r="F205" s="71">
        <f>SUMIFS(dataMail!S:S,dataMail!A:A,A205, dataMail!C:C,"Confirmation")</f>
        <v>0</v>
      </c>
      <c r="G205" s="62">
        <f>SUMIFS(dataMail!$I:$I,dataMail!$A:$A,$A205)</f>
        <v>23</v>
      </c>
      <c r="H205" s="62">
        <f>SUMIFS(dataMail!$I:$I,dataMail!$V:$V,$A205,dataMail!C:C,"Annulation")</f>
        <v>6</v>
      </c>
      <c r="I205" s="63">
        <f t="shared" si="18"/>
        <v>3036.2</v>
      </c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>
      <c r="A206" s="136">
        <f t="shared" si="19"/>
        <v>46114</v>
      </c>
      <c r="B206" s="53"/>
      <c r="C206" s="53" t="s">
        <v>779</v>
      </c>
      <c r="D206" s="59">
        <f t="shared" si="17"/>
        <v>6</v>
      </c>
      <c r="E206" s="60">
        <f>IFERROR(round(AVERAGEIFS(dataMail!$P:$P, dataMail!$A:$A,$A206, dataMail!$C:$C,"&lt;&gt;Annulation"),1),"-")</f>
        <v>157.1</v>
      </c>
      <c r="F206" s="71">
        <f>SUMIFS(dataMail!S:S,dataMail!A:A,A206, dataMail!C:C,"Confirmation")</f>
        <v>0</v>
      </c>
      <c r="G206" s="62">
        <f>SUMIFS(dataMail!$I:$I,dataMail!$A:$A,$A206)</f>
        <v>6</v>
      </c>
      <c r="H206" s="62">
        <f>SUMIFS(dataMail!$I:$I,dataMail!$V:$V,$A206,dataMail!C:C,"Annulation")</f>
        <v>0</v>
      </c>
      <c r="I206" s="63">
        <f t="shared" si="18"/>
        <v>942.6</v>
      </c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>
      <c r="A207" s="136">
        <f t="shared" si="19"/>
        <v>46113</v>
      </c>
      <c r="B207" s="53"/>
      <c r="C207" s="53" t="s">
        <v>781</v>
      </c>
      <c r="D207" s="59">
        <f t="shared" si="17"/>
        <v>21</v>
      </c>
      <c r="E207" s="60">
        <f>IFERROR(round(AVERAGEIFS(dataMail!$P:$P, dataMail!$A:$A,$A207, dataMail!$C:$C,"&lt;&gt;Annulation"),1),"-")</f>
        <v>168.5</v>
      </c>
      <c r="F207" s="71">
        <f>SUMIFS(dataMail!S:S,dataMail!A:A,A207, dataMail!C:C,"Confirmation")</f>
        <v>216</v>
      </c>
      <c r="G207" s="62">
        <f>SUMIFS(dataMail!$I:$I,dataMail!$A:$A,$A207)</f>
        <v>27</v>
      </c>
      <c r="H207" s="62">
        <f>SUMIFS(dataMail!$I:$I,dataMail!$V:$V,$A207,dataMail!C:C,"Annulation")</f>
        <v>6</v>
      </c>
      <c r="I207" s="63">
        <f t="shared" si="18"/>
        <v>3754.5</v>
      </c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>
      <c r="A208" s="136">
        <f t="shared" si="19"/>
        <v>46112</v>
      </c>
      <c r="B208" s="53"/>
      <c r="C208" s="53" t="s">
        <v>786</v>
      </c>
      <c r="D208" s="59">
        <f t="shared" si="17"/>
        <v>6</v>
      </c>
      <c r="E208" s="60">
        <f>IFERROR(round(AVERAGEIFS(dataMail!$P:$P, dataMail!$A:$A,$A208, dataMail!$C:$C,"&lt;&gt;Annulation"),1),"-")</f>
        <v>195.7</v>
      </c>
      <c r="F208" s="71">
        <f>SUMIFS(dataMail!S:S,dataMail!A:A,A208, dataMail!C:C,"Confirmation")</f>
        <v>0</v>
      </c>
      <c r="G208" s="62">
        <f>SUMIFS(dataMail!$I:$I,dataMail!$A:$A,$A208)</f>
        <v>13</v>
      </c>
      <c r="H208" s="62">
        <f>SUMIFS(dataMail!$I:$I,dataMail!$V:$V,$A208,dataMail!C:C,"Annulation")</f>
        <v>7</v>
      </c>
      <c r="I208" s="63">
        <f t="shared" si="18"/>
        <v>1174.2</v>
      </c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>
      <c r="A209" s="136">
        <f t="shared" si="19"/>
        <v>46111</v>
      </c>
      <c r="B209" s="53"/>
      <c r="C209" s="53" t="s">
        <v>791</v>
      </c>
      <c r="D209" s="59">
        <f t="shared" si="17"/>
        <v>15</v>
      </c>
      <c r="E209" s="60">
        <f>IFERROR(round(AVERAGEIFS(dataMail!$P:$P, dataMail!$A:$A,$A209, dataMail!$C:$C,"&lt;&gt;Annulation"),1),"-")</f>
        <v>145</v>
      </c>
      <c r="F209" s="71">
        <f>SUMIFS(dataMail!S:S,dataMail!A:A,A209, dataMail!C:C,"Confirmation")</f>
        <v>108</v>
      </c>
      <c r="G209" s="62">
        <f>SUMIFS(dataMail!$I:$I,dataMail!$A:$A,$A209)</f>
        <v>22</v>
      </c>
      <c r="H209" s="62">
        <f>SUMIFS(dataMail!$I:$I,dataMail!$V:$V,$A209,dataMail!C:C,"Annulation")</f>
        <v>7</v>
      </c>
      <c r="I209" s="63">
        <f t="shared" si="18"/>
        <v>2283</v>
      </c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>
      <c r="A210" s="136">
        <f t="shared" si="19"/>
        <v>46110</v>
      </c>
      <c r="B210" s="53"/>
      <c r="C210" s="53" t="s">
        <v>801</v>
      </c>
      <c r="D210" s="59">
        <f t="shared" si="17"/>
        <v>-13</v>
      </c>
      <c r="E210" s="60">
        <f>IFERROR(round(AVERAGEIFS(dataMail!$P:$P, dataMail!$A:$A,$A210, dataMail!$C:$C,"&lt;&gt;Annulation"),1),"-")</f>
        <v>146</v>
      </c>
      <c r="F210" s="71">
        <f>SUMIFS(dataMail!S:S,dataMail!A:A,A210, dataMail!C:C,"Confirmation")</f>
        <v>0</v>
      </c>
      <c r="G210" s="62">
        <f>SUMIFS(dataMail!$I:$I,dataMail!$A:$A,$A210)</f>
        <v>13</v>
      </c>
      <c r="H210" s="62">
        <f>SUMIFS(dataMail!$I:$I,dataMail!$V:$V,$A210,dataMail!C:C,"Annulation")</f>
        <v>26</v>
      </c>
      <c r="I210" s="63">
        <f t="shared" si="18"/>
        <v>-1898</v>
      </c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>
      <c r="A211" s="136">
        <f t="shared" si="19"/>
        <v>46109</v>
      </c>
      <c r="B211" s="53"/>
      <c r="C211" s="53" t="s">
        <v>808</v>
      </c>
      <c r="D211" s="59">
        <f t="shared" si="17"/>
        <v>10</v>
      </c>
      <c r="E211" s="60">
        <f>IFERROR(round(AVERAGEIFS(dataMail!$P:$P, dataMail!$A:$A,$A211, dataMail!$C:$C,"&lt;&gt;Annulation"),1),"-")</f>
        <v>108.6</v>
      </c>
      <c r="F211" s="71">
        <f>SUMIFS(dataMail!S:S,dataMail!A:A,A211, dataMail!C:C,"Confirmation")</f>
        <v>0</v>
      </c>
      <c r="G211" s="62">
        <f>SUMIFS(dataMail!$I:$I,dataMail!$A:$A,$A211)</f>
        <v>10</v>
      </c>
      <c r="H211" s="62">
        <f>SUMIFS(dataMail!$I:$I,dataMail!$V:$V,$A211,dataMail!C:C,"Annulation")</f>
        <v>0</v>
      </c>
      <c r="I211" s="63">
        <f t="shared" si="18"/>
        <v>1086</v>
      </c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>
      <c r="A212" s="136">
        <f t="shared" si="19"/>
        <v>46108</v>
      </c>
      <c r="B212" s="53"/>
      <c r="C212" s="53" t="s">
        <v>815</v>
      </c>
      <c r="D212" s="59">
        <f t="shared" si="17"/>
        <v>1</v>
      </c>
      <c r="E212" s="60">
        <f>IFERROR(round(AVERAGEIFS(dataMail!$P:$P, dataMail!$A:$A,$A212, dataMail!$C:$C,"&lt;&gt;Annulation"),1),"-")</f>
        <v>197.4</v>
      </c>
      <c r="F212" s="71">
        <f>SUMIFS(dataMail!S:S,dataMail!A:A,A212, dataMail!C:C,"Confirmation")</f>
        <v>0</v>
      </c>
      <c r="G212" s="62">
        <f>SUMIFS(dataMail!$I:$I,dataMail!$A:$A,$A212)</f>
        <v>2</v>
      </c>
      <c r="H212" s="62">
        <f>SUMIFS(dataMail!$I:$I,dataMail!$V:$V,$A212,dataMail!C:C,"Annulation")</f>
        <v>1</v>
      </c>
      <c r="I212" s="63">
        <f t="shared" si="18"/>
        <v>197.4</v>
      </c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>
      <c r="A213" s="136">
        <f t="shared" si="19"/>
        <v>46107</v>
      </c>
      <c r="B213" s="53"/>
      <c r="C213" s="53" t="s">
        <v>818</v>
      </c>
      <c r="D213" s="59">
        <f t="shared" si="17"/>
        <v>1</v>
      </c>
      <c r="E213" s="60">
        <f>IFERROR(round(AVERAGEIFS(dataMail!$P:$P, dataMail!$A:$A,$A213, dataMail!$C:$C,"&lt;&gt;Annulation"),1),"-")</f>
        <v>120.1</v>
      </c>
      <c r="F213" s="71">
        <f>SUMIFS(dataMail!S:S,dataMail!A:A,A213, dataMail!C:C,"Confirmation")</f>
        <v>0</v>
      </c>
      <c r="G213" s="62">
        <f>SUMIFS(dataMail!$I:$I,dataMail!$A:$A,$A213)</f>
        <v>5</v>
      </c>
      <c r="H213" s="62">
        <f>SUMIFS(dataMail!$I:$I,dataMail!$V:$V,$A213,dataMail!C:C,"Annulation")</f>
        <v>4</v>
      </c>
      <c r="I213" s="63">
        <f t="shared" si="18"/>
        <v>120.1</v>
      </c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>
      <c r="A214" s="136">
        <f t="shared" si="19"/>
        <v>46106</v>
      </c>
      <c r="B214" s="53"/>
      <c r="C214" s="53" t="s">
        <v>824</v>
      </c>
      <c r="D214" s="59">
        <f t="shared" si="17"/>
        <v>15</v>
      </c>
      <c r="E214" s="60">
        <f>IFERROR(round(AVERAGEIFS(dataMail!$P:$P, dataMail!$A:$A,$A214, dataMail!$C:$C,"&lt;&gt;Annulation"),1),"-")</f>
        <v>190.1</v>
      </c>
      <c r="F214" s="71">
        <f>SUMIFS(dataMail!S:S,dataMail!A:A,A214, dataMail!C:C,"Confirmation")</f>
        <v>0</v>
      </c>
      <c r="G214" s="62">
        <f>SUMIFS(dataMail!$I:$I,dataMail!$A:$A,$A214)</f>
        <v>15</v>
      </c>
      <c r="H214" s="62">
        <f>SUMIFS(dataMail!$I:$I,dataMail!$V:$V,$A214,dataMail!C:C,"Annulation")</f>
        <v>0</v>
      </c>
      <c r="I214" s="63">
        <f t="shared" si="18"/>
        <v>2851.5</v>
      </c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>
      <c r="A215" s="136">
        <f t="shared" si="19"/>
        <v>46105</v>
      </c>
      <c r="B215" s="53"/>
      <c r="C215" s="53" t="s">
        <v>833</v>
      </c>
      <c r="D215" s="59">
        <f t="shared" si="17"/>
        <v>27</v>
      </c>
      <c r="E215" s="60">
        <f>IFERROR(round(AVERAGEIFS(dataMail!$P:$P, dataMail!$A:$A,$A215, dataMail!$C:$C,"&lt;&gt;Annulation"),1),"-")</f>
        <v>214.3</v>
      </c>
      <c r="F215" s="71">
        <f>SUMIFS(dataMail!S:S,dataMail!A:A,A215, dataMail!C:C,"Confirmation")</f>
        <v>0</v>
      </c>
      <c r="G215" s="62">
        <f>SUMIFS(dataMail!$I:$I,dataMail!$A:$A,$A215)</f>
        <v>27</v>
      </c>
      <c r="H215" s="62">
        <f>SUMIFS(dataMail!$I:$I,dataMail!$V:$V,$A215,dataMail!C:C,"Annulation")</f>
        <v>0</v>
      </c>
      <c r="I215" s="63">
        <f t="shared" si="18"/>
        <v>5786.1</v>
      </c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>
      <c r="A216" s="136">
        <f t="shared" si="19"/>
        <v>46104</v>
      </c>
      <c r="B216" s="53"/>
      <c r="C216" s="53" t="s">
        <v>836</v>
      </c>
      <c r="D216" s="59">
        <f t="shared" si="17"/>
        <v>16</v>
      </c>
      <c r="E216" s="60">
        <f>IFERROR(round(AVERAGEIFS(dataMail!$P:$P, dataMail!$A:$A,$A216, dataMail!$C:$C,"&lt;&gt;Annulation"),1),"-")</f>
        <v>202.7</v>
      </c>
      <c r="F216" s="71">
        <f>SUMIFS(dataMail!S:S,dataMail!A:A,A216, dataMail!C:C,"Confirmation")</f>
        <v>0</v>
      </c>
      <c r="G216" s="62">
        <f>SUMIFS(dataMail!$I:$I,dataMail!$A:$A,$A216)</f>
        <v>16</v>
      </c>
      <c r="H216" s="62">
        <f>SUMIFS(dataMail!$I:$I,dataMail!$V:$V,$A216,dataMail!C:C,"Annulation")</f>
        <v>0</v>
      </c>
      <c r="I216" s="63">
        <f t="shared" si="18"/>
        <v>3243.2</v>
      </c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>
      <c r="A217" s="136">
        <f t="shared" si="19"/>
        <v>46103</v>
      </c>
      <c r="B217" s="53"/>
      <c r="C217" s="53" t="s">
        <v>846</v>
      </c>
      <c r="D217" s="59">
        <f t="shared" si="17"/>
        <v>3</v>
      </c>
      <c r="E217" s="60">
        <f>IFERROR(round(AVERAGEIFS(dataMail!$P:$P, dataMail!$A:$A,$A217, dataMail!$C:$C,"&lt;&gt;Annulation"),1),"-")</f>
        <v>320.9</v>
      </c>
      <c r="F217" s="71">
        <f>SUMIFS(dataMail!S:S,dataMail!A:A,A217, dataMail!C:C,"Confirmation")</f>
        <v>0</v>
      </c>
      <c r="G217" s="62">
        <f>SUMIFS(dataMail!$I:$I,dataMail!$A:$A,$A217)</f>
        <v>13</v>
      </c>
      <c r="H217" s="62">
        <f>SUMIFS(dataMail!$I:$I,dataMail!$V:$V,$A217,dataMail!C:C,"Annulation")</f>
        <v>10</v>
      </c>
      <c r="I217" s="63">
        <f t="shared" si="18"/>
        <v>962.7</v>
      </c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>
      <c r="A218" s="83"/>
      <c r="B218" s="53"/>
      <c r="C218" s="53"/>
      <c r="D218" s="53"/>
      <c r="E218" s="240"/>
      <c r="F218" s="241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>
      <c r="A219" s="83"/>
      <c r="B219" s="53"/>
      <c r="C219" s="53"/>
      <c r="D219" s="53"/>
      <c r="E219" s="240"/>
      <c r="F219" s="241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>
      <c r="A220" s="83"/>
      <c r="B220" s="53"/>
      <c r="C220" s="53"/>
      <c r="D220" s="53"/>
      <c r="E220" s="240"/>
      <c r="F220" s="241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>
      <c r="A221" s="83"/>
      <c r="B221" s="53"/>
      <c r="C221" s="53"/>
      <c r="D221" s="53"/>
      <c r="E221" s="240"/>
      <c r="F221" s="24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>
      <c r="A222" s="83"/>
      <c r="B222" s="53"/>
      <c r="C222" s="53"/>
      <c r="D222" s="53"/>
      <c r="E222" s="240"/>
      <c r="F222" s="24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>
      <c r="A223" s="83"/>
      <c r="B223" s="53"/>
      <c r="C223" s="53"/>
      <c r="D223" s="53"/>
      <c r="E223" s="240"/>
      <c r="F223" s="241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>
      <c r="A224" s="83"/>
      <c r="B224" s="53"/>
      <c r="C224" s="53"/>
      <c r="D224" s="53"/>
      <c r="E224" s="240"/>
      <c r="F224" s="241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>
      <c r="A225" s="83"/>
      <c r="B225" s="53"/>
      <c r="C225" s="53"/>
      <c r="D225" s="53"/>
      <c r="E225" s="240"/>
      <c r="F225" s="241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>
      <c r="A226" s="83"/>
      <c r="B226" s="53"/>
      <c r="C226" s="53"/>
      <c r="D226" s="53"/>
      <c r="E226" s="240"/>
      <c r="F226" s="241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>
      <c r="A227" s="83"/>
      <c r="B227" s="53"/>
      <c r="C227" s="53"/>
      <c r="D227" s="53"/>
      <c r="E227" s="240"/>
      <c r="F227" s="241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>
      <c r="A228" s="83"/>
      <c r="B228" s="53"/>
      <c r="C228" s="53"/>
      <c r="D228" s="53"/>
      <c r="E228" s="240"/>
      <c r="F228" s="241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>
      <c r="A229" s="83"/>
      <c r="B229" s="53"/>
      <c r="C229" s="53"/>
      <c r="D229" s="53"/>
      <c r="E229" s="240"/>
      <c r="F229" s="241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>
      <c r="A230" s="83"/>
      <c r="B230" s="53"/>
      <c r="C230" s="53"/>
      <c r="D230" s="53"/>
      <c r="E230" s="240"/>
      <c r="F230" s="241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>
      <c r="A231" s="83"/>
      <c r="B231" s="53"/>
      <c r="C231" s="53"/>
      <c r="D231" s="53"/>
      <c r="E231" s="240"/>
      <c r="F231" s="241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>
      <c r="A232" s="83"/>
      <c r="B232" s="53"/>
      <c r="C232" s="53"/>
      <c r="D232" s="53"/>
      <c r="E232" s="240"/>
      <c r="F232" s="241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>
      <c r="A233" s="83"/>
      <c r="B233" s="53"/>
      <c r="C233" s="53"/>
      <c r="D233" s="53"/>
      <c r="E233" s="240"/>
      <c r="F233" s="241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>
      <c r="A234" s="83"/>
      <c r="B234" s="53"/>
      <c r="C234" s="53"/>
      <c r="D234" s="53"/>
      <c r="E234" s="240"/>
      <c r="F234" s="241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>
      <c r="A235" s="83"/>
      <c r="B235" s="53"/>
      <c r="C235" s="53"/>
      <c r="D235" s="53"/>
      <c r="E235" s="240"/>
      <c r="F235" s="241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>
      <c r="A236" s="83"/>
      <c r="B236" s="53"/>
      <c r="C236" s="53"/>
      <c r="D236" s="53"/>
      <c r="E236" s="240"/>
      <c r="F236" s="241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>
      <c r="A237" s="83"/>
      <c r="B237" s="53"/>
      <c r="C237" s="53"/>
      <c r="D237" s="53"/>
      <c r="E237" s="240"/>
      <c r="F237" s="241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>
      <c r="A238" s="83"/>
      <c r="B238" s="53"/>
      <c r="C238" s="53"/>
      <c r="D238" s="53"/>
      <c r="E238" s="240"/>
      <c r="F238" s="241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>
      <c r="A239" s="83"/>
      <c r="B239" s="53"/>
      <c r="C239" s="53"/>
      <c r="D239" s="53"/>
      <c r="E239" s="240"/>
      <c r="F239" s="24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>
      <c r="A240" s="83"/>
      <c r="B240" s="53"/>
      <c r="C240" s="53"/>
      <c r="D240" s="53"/>
      <c r="E240" s="240"/>
      <c r="F240" s="24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>
      <c r="A241" s="83"/>
      <c r="B241" s="53"/>
      <c r="C241" s="53"/>
      <c r="D241" s="53"/>
      <c r="E241" s="240"/>
      <c r="F241" s="241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>
      <c r="A242" s="83"/>
      <c r="B242" s="53"/>
      <c r="C242" s="53"/>
      <c r="D242" s="53"/>
      <c r="E242" s="240"/>
      <c r="F242" s="241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>
      <c r="A243" s="83"/>
      <c r="B243" s="53"/>
      <c r="C243" s="53"/>
      <c r="D243" s="53"/>
      <c r="E243" s="240"/>
      <c r="F243" s="241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>
      <c r="A244" s="83"/>
      <c r="B244" s="53"/>
      <c r="C244" s="53"/>
      <c r="D244" s="53"/>
      <c r="E244" s="240"/>
      <c r="F244" s="241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>
      <c r="A245" s="83"/>
      <c r="B245" s="53"/>
      <c r="C245" s="53"/>
      <c r="D245" s="53"/>
      <c r="E245" s="240"/>
      <c r="F245" s="241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>
      <c r="A246" s="83"/>
      <c r="B246" s="53"/>
      <c r="C246" s="53"/>
      <c r="D246" s="53"/>
      <c r="E246" s="240"/>
      <c r="F246" s="241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>
      <c r="A247" s="83"/>
      <c r="B247" s="53"/>
      <c r="C247" s="53"/>
      <c r="D247" s="53"/>
      <c r="E247" s="240"/>
      <c r="F247" s="241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>
      <c r="A248" s="83"/>
      <c r="B248" s="53"/>
      <c r="C248" s="53"/>
      <c r="D248" s="53"/>
      <c r="E248" s="240"/>
      <c r="F248" s="241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>
      <c r="A249" s="83"/>
      <c r="B249" s="53"/>
      <c r="C249" s="53"/>
      <c r="D249" s="53"/>
      <c r="E249" s="240"/>
      <c r="F249" s="241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>
      <c r="A250" s="83"/>
      <c r="B250" s="53"/>
      <c r="C250" s="53"/>
      <c r="D250" s="53"/>
      <c r="E250" s="240"/>
      <c r="F250" s="241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>
      <c r="A251" s="83"/>
      <c r="B251" s="53"/>
      <c r="C251" s="53"/>
      <c r="D251" s="53"/>
      <c r="E251" s="240"/>
      <c r="F251" s="241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>
      <c r="A252" s="83"/>
      <c r="B252" s="53"/>
      <c r="C252" s="53"/>
      <c r="D252" s="53"/>
      <c r="E252" s="240"/>
      <c r="F252" s="241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>
      <c r="A253" s="83"/>
      <c r="B253" s="53"/>
      <c r="C253" s="53"/>
      <c r="D253" s="53"/>
      <c r="E253" s="240"/>
      <c r="F253" s="241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>
      <c r="A254" s="83"/>
      <c r="B254" s="53"/>
      <c r="C254" s="53"/>
      <c r="D254" s="53"/>
      <c r="E254" s="240"/>
      <c r="F254" s="241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>
      <c r="A255" s="83"/>
      <c r="B255" s="53"/>
      <c r="C255" s="53"/>
      <c r="D255" s="53"/>
      <c r="E255" s="240"/>
      <c r="F255" s="241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>
      <c r="A256" s="83"/>
      <c r="B256" s="53"/>
      <c r="C256" s="53"/>
      <c r="D256" s="53"/>
      <c r="E256" s="240"/>
      <c r="F256" s="241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>
      <c r="A257" s="83"/>
      <c r="B257" s="53"/>
      <c r="C257" s="53"/>
      <c r="D257" s="53"/>
      <c r="E257" s="240"/>
      <c r="F257" s="24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>
      <c r="A258" s="83"/>
      <c r="B258" s="53"/>
      <c r="C258" s="53"/>
      <c r="D258" s="53"/>
      <c r="E258" s="240"/>
      <c r="F258" s="24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>
      <c r="A259" s="83"/>
      <c r="B259" s="53"/>
      <c r="C259" s="53"/>
      <c r="D259" s="53"/>
      <c r="E259" s="240"/>
      <c r="F259" s="241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>
      <c r="A260" s="83"/>
      <c r="B260" s="53"/>
      <c r="C260" s="53"/>
      <c r="D260" s="53"/>
      <c r="E260" s="240"/>
      <c r="F260" s="241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>
      <c r="A261" s="83"/>
      <c r="B261" s="53"/>
      <c r="C261" s="53"/>
      <c r="D261" s="53"/>
      <c r="E261" s="240"/>
      <c r="F261" s="241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>
      <c r="A262" s="83"/>
      <c r="B262" s="53"/>
      <c r="C262" s="53"/>
      <c r="D262" s="53"/>
      <c r="E262" s="240"/>
      <c r="F262" s="241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>
      <c r="A263" s="83"/>
      <c r="B263" s="53"/>
      <c r="C263" s="53"/>
      <c r="D263" s="53"/>
      <c r="E263" s="240"/>
      <c r="F263" s="241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>
      <c r="A264" s="83"/>
      <c r="B264" s="53"/>
      <c r="C264" s="53"/>
      <c r="D264" s="53"/>
      <c r="E264" s="240"/>
      <c r="F264" s="241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>
      <c r="A265" s="83"/>
      <c r="B265" s="53"/>
      <c r="C265" s="53"/>
      <c r="D265" s="53"/>
      <c r="E265" s="240"/>
      <c r="F265" s="241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>
      <c r="A266" s="83"/>
      <c r="B266" s="53"/>
      <c r="C266" s="53"/>
      <c r="D266" s="53"/>
      <c r="E266" s="240"/>
      <c r="F266" s="241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>
      <c r="A267" s="83"/>
      <c r="B267" s="53"/>
      <c r="C267" s="53"/>
      <c r="D267" s="53"/>
      <c r="E267" s="240"/>
      <c r="F267" s="241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>
      <c r="A268" s="83"/>
      <c r="B268" s="53"/>
      <c r="C268" s="53"/>
      <c r="D268" s="53"/>
      <c r="E268" s="240"/>
      <c r="F268" s="241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>
      <c r="A269" s="83"/>
      <c r="B269" s="53"/>
      <c r="C269" s="53"/>
      <c r="D269" s="53"/>
      <c r="E269" s="240"/>
      <c r="F269" s="241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>
      <c r="A270" s="83"/>
      <c r="B270" s="53"/>
      <c r="C270" s="53"/>
      <c r="D270" s="53"/>
      <c r="E270" s="240"/>
      <c r="F270" s="241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>
      <c r="A271" s="83"/>
      <c r="B271" s="53"/>
      <c r="C271" s="53"/>
      <c r="D271" s="53"/>
      <c r="E271" s="240"/>
      <c r="F271" s="241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>
      <c r="A272" s="83"/>
      <c r="B272" s="53"/>
      <c r="C272" s="53"/>
      <c r="D272" s="53"/>
      <c r="E272" s="240"/>
      <c r="F272" s="241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>
      <c r="A273" s="83"/>
      <c r="B273" s="53"/>
      <c r="C273" s="53"/>
      <c r="D273" s="53"/>
      <c r="E273" s="240"/>
      <c r="F273" s="241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>
      <c r="A274" s="83"/>
      <c r="B274" s="53"/>
      <c r="C274" s="53"/>
      <c r="D274" s="53"/>
      <c r="E274" s="240"/>
      <c r="F274" s="241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>
      <c r="A275" s="83"/>
      <c r="B275" s="53"/>
      <c r="C275" s="53"/>
      <c r="D275" s="53"/>
      <c r="E275" s="240"/>
      <c r="F275" s="24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>
      <c r="A276" s="83"/>
      <c r="B276" s="53"/>
      <c r="C276" s="53"/>
      <c r="D276" s="53"/>
      <c r="E276" s="240"/>
      <c r="F276" s="24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>
      <c r="A277" s="83"/>
      <c r="B277" s="53"/>
      <c r="C277" s="53"/>
      <c r="D277" s="53"/>
      <c r="E277" s="240"/>
      <c r="F277" s="241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>
      <c r="A278" s="83"/>
      <c r="B278" s="53"/>
      <c r="C278" s="53"/>
      <c r="D278" s="53"/>
      <c r="E278" s="240"/>
      <c r="F278" s="241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>
      <c r="A279" s="83"/>
      <c r="B279" s="53"/>
      <c r="C279" s="53"/>
      <c r="D279" s="53"/>
      <c r="E279" s="240"/>
      <c r="F279" s="241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>
      <c r="A280" s="83"/>
      <c r="B280" s="53"/>
      <c r="C280" s="53"/>
      <c r="D280" s="53"/>
      <c r="E280" s="240"/>
      <c r="F280" s="241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>
      <c r="A281" s="83"/>
      <c r="B281" s="53"/>
      <c r="C281" s="53"/>
      <c r="D281" s="53"/>
      <c r="E281" s="240"/>
      <c r="F281" s="241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>
      <c r="A282" s="83"/>
      <c r="B282" s="53"/>
      <c r="C282" s="53"/>
      <c r="D282" s="53"/>
      <c r="E282" s="240"/>
      <c r="F282" s="241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>
      <c r="A283" s="83"/>
      <c r="B283" s="53"/>
      <c r="C283" s="53"/>
      <c r="D283" s="53"/>
      <c r="E283" s="240"/>
      <c r="F283" s="241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>
      <c r="A284" s="83"/>
      <c r="B284" s="53"/>
      <c r="C284" s="53"/>
      <c r="D284" s="53"/>
      <c r="E284" s="240"/>
      <c r="F284" s="241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>
      <c r="A285" s="83"/>
      <c r="B285" s="53"/>
      <c r="C285" s="53"/>
      <c r="D285" s="53"/>
      <c r="E285" s="240"/>
      <c r="F285" s="241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>
      <c r="A286" s="83"/>
      <c r="B286" s="53"/>
      <c r="C286" s="53"/>
      <c r="D286" s="53"/>
      <c r="E286" s="240"/>
      <c r="F286" s="241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>
      <c r="A287" s="83"/>
      <c r="B287" s="53"/>
      <c r="C287" s="53"/>
      <c r="D287" s="53"/>
      <c r="E287" s="240"/>
      <c r="F287" s="241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>
      <c r="A288" s="83"/>
      <c r="B288" s="53"/>
      <c r="C288" s="53"/>
      <c r="D288" s="53"/>
      <c r="E288" s="240"/>
      <c r="F288" s="241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>
      <c r="A289" s="83"/>
      <c r="B289" s="53"/>
      <c r="C289" s="53"/>
      <c r="D289" s="53"/>
      <c r="E289" s="240"/>
      <c r="F289" s="241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>
      <c r="A290" s="83"/>
      <c r="B290" s="53"/>
      <c r="C290" s="53"/>
      <c r="D290" s="53"/>
      <c r="E290" s="240"/>
      <c r="F290" s="241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>
      <c r="A291" s="83"/>
      <c r="B291" s="53"/>
      <c r="C291" s="53"/>
      <c r="D291" s="53"/>
      <c r="E291" s="240"/>
      <c r="F291" s="241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>
      <c r="A292" s="83"/>
      <c r="B292" s="53"/>
      <c r="C292" s="53"/>
      <c r="D292" s="53"/>
      <c r="E292" s="240"/>
      <c r="F292" s="241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>
      <c r="A293" s="83"/>
      <c r="B293" s="53"/>
      <c r="C293" s="53"/>
      <c r="D293" s="53"/>
      <c r="E293" s="240"/>
      <c r="F293" s="24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>
      <c r="A294" s="83"/>
      <c r="B294" s="53"/>
      <c r="C294" s="53"/>
      <c r="D294" s="53"/>
      <c r="E294" s="240"/>
      <c r="F294" s="24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>
      <c r="A295" s="83"/>
      <c r="B295" s="53"/>
      <c r="C295" s="53"/>
      <c r="D295" s="53"/>
      <c r="E295" s="240"/>
      <c r="F295" s="241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>
      <c r="A296" s="83"/>
      <c r="B296" s="53"/>
      <c r="C296" s="53"/>
      <c r="D296" s="53"/>
      <c r="E296" s="240"/>
      <c r="F296" s="241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>
      <c r="A297" s="83"/>
      <c r="B297" s="53"/>
      <c r="C297" s="53"/>
      <c r="D297" s="53"/>
      <c r="E297" s="240"/>
      <c r="F297" s="241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>
      <c r="A298" s="83"/>
      <c r="B298" s="53"/>
      <c r="C298" s="53"/>
      <c r="D298" s="53"/>
      <c r="E298" s="240"/>
      <c r="F298" s="241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>
      <c r="A299" s="83"/>
      <c r="B299" s="53"/>
      <c r="C299" s="53"/>
      <c r="D299" s="53"/>
      <c r="E299" s="240"/>
      <c r="F299" s="241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>
      <c r="A300" s="83"/>
      <c r="B300" s="53"/>
      <c r="C300" s="53"/>
      <c r="D300" s="53"/>
      <c r="E300" s="240"/>
      <c r="F300" s="241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>
      <c r="A301" s="83"/>
      <c r="B301" s="53"/>
      <c r="C301" s="53"/>
      <c r="D301" s="53"/>
      <c r="E301" s="240"/>
      <c r="F301" s="241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>
      <c r="A302" s="83"/>
      <c r="B302" s="53"/>
      <c r="C302" s="53"/>
      <c r="D302" s="53"/>
      <c r="E302" s="240"/>
      <c r="F302" s="241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>
      <c r="A303" s="83"/>
      <c r="B303" s="53"/>
      <c r="C303" s="53"/>
      <c r="D303" s="53"/>
      <c r="E303" s="240"/>
      <c r="F303" s="241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>
      <c r="A304" s="83"/>
      <c r="B304" s="53"/>
      <c r="C304" s="53"/>
      <c r="D304" s="53"/>
      <c r="E304" s="240"/>
      <c r="F304" s="241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>
      <c r="A305" s="83"/>
      <c r="B305" s="53"/>
      <c r="C305" s="53"/>
      <c r="D305" s="53"/>
      <c r="E305" s="240"/>
      <c r="F305" s="241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>
      <c r="A306" s="83"/>
      <c r="B306" s="53"/>
      <c r="C306" s="53"/>
      <c r="D306" s="53"/>
      <c r="E306" s="240"/>
      <c r="F306" s="241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>
      <c r="A307" s="83"/>
      <c r="B307" s="53"/>
      <c r="C307" s="53"/>
      <c r="D307" s="53"/>
      <c r="E307" s="240"/>
      <c r="F307" s="241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>
      <c r="A308" s="83"/>
      <c r="B308" s="53"/>
      <c r="C308" s="53"/>
      <c r="D308" s="53"/>
      <c r="E308" s="240"/>
      <c r="F308" s="241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>
      <c r="A309" s="83"/>
      <c r="B309" s="53"/>
      <c r="C309" s="53"/>
      <c r="D309" s="53"/>
      <c r="E309" s="240"/>
      <c r="F309" s="241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>
      <c r="A310" s="83"/>
      <c r="B310" s="53"/>
      <c r="C310" s="53"/>
      <c r="D310" s="53"/>
      <c r="E310" s="240"/>
      <c r="F310" s="241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>
      <c r="A311" s="83"/>
      <c r="B311" s="53"/>
      <c r="C311" s="53"/>
      <c r="D311" s="53"/>
      <c r="E311" s="240"/>
      <c r="F311" s="24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>
      <c r="A312" s="83"/>
      <c r="B312" s="53"/>
      <c r="C312" s="53"/>
      <c r="D312" s="53"/>
      <c r="E312" s="240"/>
      <c r="F312" s="24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>
      <c r="A313" s="83"/>
      <c r="B313" s="53"/>
      <c r="C313" s="53"/>
      <c r="D313" s="53"/>
      <c r="E313" s="240"/>
      <c r="F313" s="241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>
      <c r="A314" s="83"/>
      <c r="B314" s="53"/>
      <c r="C314" s="53"/>
      <c r="D314" s="53"/>
      <c r="E314" s="240"/>
      <c r="F314" s="241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>
      <c r="A315" s="83"/>
      <c r="B315" s="53"/>
      <c r="C315" s="53"/>
      <c r="D315" s="53"/>
      <c r="E315" s="240"/>
      <c r="F315" s="241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>
      <c r="A316" s="83"/>
      <c r="B316" s="53"/>
      <c r="C316" s="53"/>
      <c r="D316" s="53"/>
      <c r="E316" s="240"/>
      <c r="F316" s="241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>
      <c r="A317" s="83"/>
      <c r="B317" s="53"/>
      <c r="C317" s="53"/>
      <c r="D317" s="53"/>
      <c r="E317" s="240"/>
      <c r="F317" s="241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>
      <c r="A318" s="83"/>
      <c r="B318" s="53"/>
      <c r="C318" s="53"/>
      <c r="D318" s="53"/>
      <c r="E318" s="240"/>
      <c r="F318" s="241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>
      <c r="A319" s="83"/>
      <c r="B319" s="53"/>
      <c r="C319" s="53"/>
      <c r="D319" s="53"/>
      <c r="E319" s="240"/>
      <c r="F319" s="241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>
      <c r="A320" s="83"/>
      <c r="B320" s="53"/>
      <c r="C320" s="53"/>
      <c r="D320" s="53"/>
      <c r="E320" s="240"/>
      <c r="F320" s="241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>
      <c r="A321" s="83"/>
      <c r="B321" s="53"/>
      <c r="C321" s="53"/>
      <c r="D321" s="53"/>
      <c r="E321" s="240"/>
      <c r="F321" s="241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>
      <c r="A322" s="83"/>
      <c r="B322" s="53"/>
      <c r="C322" s="53"/>
      <c r="D322" s="53"/>
      <c r="E322" s="240"/>
      <c r="F322" s="241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>
      <c r="A323" s="83"/>
      <c r="B323" s="53"/>
      <c r="C323" s="53"/>
      <c r="D323" s="53"/>
      <c r="E323" s="240"/>
      <c r="F323" s="241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>
      <c r="A324" s="83"/>
      <c r="B324" s="53"/>
      <c r="C324" s="53"/>
      <c r="D324" s="53"/>
      <c r="E324" s="240"/>
      <c r="F324" s="241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>
      <c r="A325" s="83"/>
      <c r="B325" s="53"/>
      <c r="C325" s="53"/>
      <c r="D325" s="53"/>
      <c r="E325" s="240"/>
      <c r="F325" s="241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>
      <c r="A326" s="83"/>
      <c r="B326" s="53"/>
      <c r="C326" s="53"/>
      <c r="D326" s="53"/>
      <c r="E326" s="240"/>
      <c r="F326" s="241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>
      <c r="A327" s="83"/>
      <c r="B327" s="53"/>
      <c r="C327" s="53"/>
      <c r="D327" s="53"/>
      <c r="E327" s="240"/>
      <c r="F327" s="241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>
      <c r="A328" s="83"/>
      <c r="B328" s="53"/>
      <c r="C328" s="53"/>
      <c r="D328" s="53"/>
      <c r="E328" s="240"/>
      <c r="F328" s="241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>
      <c r="A329" s="83"/>
      <c r="B329" s="53"/>
      <c r="C329" s="53"/>
      <c r="D329" s="53"/>
      <c r="E329" s="240"/>
      <c r="F329" s="24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>
      <c r="A330" s="83"/>
      <c r="B330" s="53"/>
      <c r="C330" s="53"/>
      <c r="D330" s="53"/>
      <c r="E330" s="240"/>
      <c r="F330" s="24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>
      <c r="A331" s="83"/>
      <c r="B331" s="53"/>
      <c r="C331" s="53"/>
      <c r="D331" s="53"/>
      <c r="E331" s="240"/>
      <c r="F331" s="241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>
      <c r="A332" s="83"/>
      <c r="B332" s="53"/>
      <c r="C332" s="53"/>
      <c r="D332" s="53"/>
      <c r="E332" s="240"/>
      <c r="F332" s="241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>
      <c r="A333" s="83"/>
      <c r="B333" s="53"/>
      <c r="C333" s="53"/>
      <c r="D333" s="53"/>
      <c r="E333" s="240"/>
      <c r="F333" s="241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>
      <c r="A334" s="83"/>
      <c r="B334" s="53"/>
      <c r="C334" s="53"/>
      <c r="D334" s="53"/>
      <c r="E334" s="240"/>
      <c r="F334" s="241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>
      <c r="A335" s="83"/>
      <c r="B335" s="53"/>
      <c r="C335" s="53"/>
      <c r="D335" s="53"/>
      <c r="E335" s="240"/>
      <c r="F335" s="241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>
      <c r="A336" s="83"/>
      <c r="B336" s="53"/>
      <c r="C336" s="53"/>
      <c r="D336" s="53"/>
      <c r="E336" s="240"/>
      <c r="F336" s="241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>
      <c r="A337" s="83"/>
      <c r="B337" s="53"/>
      <c r="C337" s="53"/>
      <c r="D337" s="53"/>
      <c r="E337" s="240"/>
      <c r="F337" s="241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>
      <c r="A338" s="83"/>
      <c r="B338" s="53"/>
      <c r="C338" s="53"/>
      <c r="D338" s="53"/>
      <c r="E338" s="240"/>
      <c r="F338" s="241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>
      <c r="A339" s="83"/>
      <c r="B339" s="53"/>
      <c r="C339" s="53"/>
      <c r="D339" s="53"/>
      <c r="E339" s="240"/>
      <c r="F339" s="241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>
      <c r="A340" s="83"/>
      <c r="B340" s="53"/>
      <c r="C340" s="53"/>
      <c r="D340" s="53"/>
      <c r="E340" s="240"/>
      <c r="F340" s="241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>
      <c r="A341" s="83"/>
      <c r="B341" s="53"/>
      <c r="C341" s="53"/>
      <c r="D341" s="53"/>
      <c r="E341" s="240"/>
      <c r="F341" s="241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>
      <c r="A342" s="83"/>
      <c r="B342" s="53"/>
      <c r="C342" s="53"/>
      <c r="D342" s="53"/>
      <c r="E342" s="240"/>
      <c r="F342" s="241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>
      <c r="A343" s="83"/>
      <c r="B343" s="53"/>
      <c r="C343" s="53"/>
      <c r="D343" s="53"/>
      <c r="E343" s="240"/>
      <c r="F343" s="241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>
      <c r="A344" s="83"/>
      <c r="B344" s="53"/>
      <c r="C344" s="53"/>
      <c r="D344" s="53"/>
      <c r="E344" s="240"/>
      <c r="F344" s="241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>
      <c r="A345" s="83"/>
      <c r="B345" s="53"/>
      <c r="C345" s="53"/>
      <c r="D345" s="53"/>
      <c r="E345" s="240"/>
      <c r="F345" s="241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>
      <c r="A346" s="83"/>
      <c r="B346" s="53"/>
      <c r="C346" s="53"/>
      <c r="D346" s="53"/>
      <c r="E346" s="240"/>
      <c r="F346" s="241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>
      <c r="A347" s="83"/>
      <c r="B347" s="53"/>
      <c r="C347" s="53"/>
      <c r="D347" s="53"/>
      <c r="E347" s="240"/>
      <c r="F347" s="24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>
      <c r="A348" s="83"/>
      <c r="B348" s="53"/>
      <c r="C348" s="53"/>
      <c r="D348" s="53"/>
      <c r="E348" s="240"/>
      <c r="F348" s="24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>
      <c r="A349" s="83"/>
      <c r="B349" s="53"/>
      <c r="C349" s="53"/>
      <c r="D349" s="53"/>
      <c r="E349" s="240"/>
      <c r="F349" s="241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>
      <c r="A350" s="83"/>
      <c r="B350" s="53"/>
      <c r="C350" s="53"/>
      <c r="D350" s="53"/>
      <c r="E350" s="240"/>
      <c r="F350" s="241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>
      <c r="A351" s="83"/>
      <c r="B351" s="53"/>
      <c r="C351" s="53"/>
      <c r="D351" s="53"/>
      <c r="E351" s="240"/>
      <c r="F351" s="241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>
      <c r="A352" s="83"/>
      <c r="B352" s="53"/>
      <c r="C352" s="53"/>
      <c r="D352" s="53"/>
      <c r="E352" s="240"/>
      <c r="F352" s="241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>
      <c r="A353" s="83"/>
      <c r="B353" s="53"/>
      <c r="C353" s="53"/>
      <c r="D353" s="53"/>
      <c r="E353" s="240"/>
      <c r="F353" s="241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>
      <c r="A354" s="83"/>
      <c r="B354" s="53"/>
      <c r="C354" s="53"/>
      <c r="D354" s="53"/>
      <c r="E354" s="240"/>
      <c r="F354" s="241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>
      <c r="A355" s="83"/>
      <c r="B355" s="53"/>
      <c r="C355" s="53"/>
      <c r="D355" s="53"/>
      <c r="E355" s="240"/>
      <c r="F355" s="241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>
      <c r="A356" s="83"/>
      <c r="B356" s="53"/>
      <c r="C356" s="53"/>
      <c r="D356" s="53"/>
      <c r="E356" s="240"/>
      <c r="F356" s="241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>
      <c r="A357" s="83"/>
      <c r="B357" s="53"/>
      <c r="C357" s="53"/>
      <c r="D357" s="53"/>
      <c r="E357" s="240"/>
      <c r="F357" s="241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>
      <c r="A358" s="83"/>
      <c r="B358" s="53"/>
      <c r="C358" s="53"/>
      <c r="D358" s="53"/>
      <c r="E358" s="240"/>
      <c r="F358" s="241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>
      <c r="A359" s="83"/>
      <c r="B359" s="53"/>
      <c r="C359" s="53"/>
      <c r="D359" s="53"/>
      <c r="E359" s="240"/>
      <c r="F359" s="241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>
      <c r="A360" s="83"/>
      <c r="B360" s="53"/>
      <c r="C360" s="53"/>
      <c r="D360" s="53"/>
      <c r="E360" s="240"/>
      <c r="F360" s="241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>
      <c r="A361" s="83"/>
      <c r="B361" s="53"/>
      <c r="C361" s="53"/>
      <c r="D361" s="53"/>
      <c r="E361" s="240"/>
      <c r="F361" s="241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>
      <c r="A362" s="83"/>
      <c r="B362" s="53"/>
      <c r="C362" s="53"/>
      <c r="D362" s="53"/>
      <c r="E362" s="240"/>
      <c r="F362" s="241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>
      <c r="A363" s="83"/>
      <c r="B363" s="53"/>
      <c r="C363" s="53"/>
      <c r="D363" s="53"/>
      <c r="E363" s="240"/>
      <c r="F363" s="241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>
      <c r="A364" s="83"/>
      <c r="B364" s="53"/>
      <c r="C364" s="53"/>
      <c r="D364" s="53"/>
      <c r="E364" s="240"/>
      <c r="F364" s="241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>
      <c r="A365" s="83"/>
      <c r="B365" s="53"/>
      <c r="C365" s="53"/>
      <c r="D365" s="53"/>
      <c r="E365" s="240"/>
      <c r="F365" s="241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>
      <c r="A366" s="83"/>
      <c r="B366" s="53"/>
      <c r="C366" s="53"/>
      <c r="D366" s="53"/>
      <c r="E366" s="240"/>
      <c r="F366" s="241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>
      <c r="A367" s="83"/>
      <c r="B367" s="53"/>
      <c r="C367" s="53"/>
      <c r="D367" s="53"/>
      <c r="E367" s="240"/>
      <c r="F367" s="241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>
      <c r="A368" s="83"/>
      <c r="B368" s="53"/>
      <c r="C368" s="53"/>
      <c r="D368" s="53"/>
      <c r="E368" s="240"/>
      <c r="F368" s="241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>
      <c r="A369" s="83"/>
      <c r="B369" s="53"/>
      <c r="C369" s="53"/>
      <c r="D369" s="53"/>
      <c r="E369" s="240"/>
      <c r="F369" s="241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>
      <c r="A370" s="83"/>
      <c r="B370" s="53"/>
      <c r="C370" s="53"/>
      <c r="D370" s="53"/>
      <c r="E370" s="240"/>
      <c r="F370" s="241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>
      <c r="A371" s="83"/>
      <c r="B371" s="53"/>
      <c r="C371" s="53"/>
      <c r="D371" s="53"/>
      <c r="E371" s="240"/>
      <c r="F371" s="241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>
      <c r="A372" s="83"/>
      <c r="B372" s="53"/>
      <c r="C372" s="53"/>
      <c r="D372" s="53"/>
      <c r="E372" s="240"/>
      <c r="F372" s="241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>
      <c r="A373" s="83"/>
      <c r="B373" s="53"/>
      <c r="C373" s="53"/>
      <c r="D373" s="53"/>
      <c r="E373" s="240"/>
      <c r="F373" s="241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>
      <c r="A374" s="83"/>
      <c r="B374" s="53"/>
      <c r="C374" s="53"/>
      <c r="D374" s="53"/>
      <c r="E374" s="240"/>
      <c r="F374" s="241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>
      <c r="A375" s="83"/>
      <c r="B375" s="53"/>
      <c r="C375" s="53"/>
      <c r="D375" s="53"/>
      <c r="E375" s="240"/>
      <c r="F375" s="241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>
      <c r="A376" s="83"/>
      <c r="B376" s="53"/>
      <c r="C376" s="53"/>
      <c r="D376" s="53"/>
      <c r="E376" s="240"/>
      <c r="F376" s="241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>
      <c r="A377" s="83"/>
      <c r="B377" s="53"/>
      <c r="C377" s="53"/>
      <c r="D377" s="53"/>
      <c r="E377" s="240"/>
      <c r="F377" s="241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>
      <c r="A378" s="83"/>
      <c r="B378" s="53"/>
      <c r="C378" s="53"/>
      <c r="D378" s="53"/>
      <c r="E378" s="240"/>
      <c r="F378" s="241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>
      <c r="A379" s="83"/>
      <c r="B379" s="53"/>
      <c r="C379" s="53"/>
      <c r="D379" s="53"/>
      <c r="E379" s="240"/>
      <c r="F379" s="241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>
      <c r="A380" s="83"/>
      <c r="B380" s="53"/>
      <c r="C380" s="53"/>
      <c r="D380" s="53"/>
      <c r="E380" s="240"/>
      <c r="F380" s="241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>
      <c r="A381" s="83"/>
      <c r="B381" s="53"/>
      <c r="C381" s="53"/>
      <c r="D381" s="53"/>
      <c r="E381" s="240"/>
      <c r="F381" s="241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>
      <c r="A382" s="83"/>
      <c r="B382" s="53"/>
      <c r="C382" s="53"/>
      <c r="D382" s="53"/>
      <c r="E382" s="240"/>
      <c r="F382" s="241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>
      <c r="A383" s="83"/>
      <c r="B383" s="53"/>
      <c r="C383" s="53"/>
      <c r="D383" s="53"/>
      <c r="E383" s="240"/>
      <c r="F383" s="24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>
      <c r="A384" s="83"/>
      <c r="B384" s="53"/>
      <c r="C384" s="53"/>
      <c r="D384" s="53"/>
      <c r="E384" s="240"/>
      <c r="F384" s="24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>
      <c r="A385" s="83"/>
      <c r="B385" s="53"/>
      <c r="C385" s="53"/>
      <c r="D385" s="53"/>
      <c r="E385" s="240"/>
      <c r="F385" s="241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>
      <c r="A386" s="83"/>
      <c r="B386" s="53"/>
      <c r="C386" s="53"/>
      <c r="D386" s="53"/>
      <c r="E386" s="240"/>
      <c r="F386" s="241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>
      <c r="A387" s="83"/>
      <c r="B387" s="53"/>
      <c r="C387" s="53"/>
      <c r="D387" s="53"/>
      <c r="E387" s="240"/>
      <c r="F387" s="241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>
      <c r="A388" s="83"/>
      <c r="B388" s="53"/>
      <c r="C388" s="53"/>
      <c r="D388" s="53"/>
      <c r="E388" s="240"/>
      <c r="F388" s="241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>
      <c r="A389" s="83"/>
      <c r="B389" s="53"/>
      <c r="C389" s="53"/>
      <c r="D389" s="53"/>
      <c r="E389" s="240"/>
      <c r="F389" s="241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>
      <c r="A390" s="83"/>
      <c r="B390" s="53"/>
      <c r="C390" s="53"/>
      <c r="D390" s="53"/>
      <c r="E390" s="240"/>
      <c r="F390" s="241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>
      <c r="A391" s="83"/>
      <c r="B391" s="53"/>
      <c r="C391" s="53"/>
      <c r="D391" s="53"/>
      <c r="E391" s="240"/>
      <c r="F391" s="241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>
      <c r="A392" s="83"/>
      <c r="B392" s="53"/>
      <c r="C392" s="53"/>
      <c r="D392" s="53"/>
      <c r="E392" s="240"/>
      <c r="F392" s="241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>
      <c r="A393" s="83"/>
      <c r="B393" s="53"/>
      <c r="C393" s="53"/>
      <c r="D393" s="53"/>
      <c r="E393" s="240"/>
      <c r="F393" s="241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>
      <c r="A394" s="83"/>
      <c r="B394" s="53"/>
      <c r="C394" s="53"/>
      <c r="D394" s="53"/>
      <c r="E394" s="240"/>
      <c r="F394" s="241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>
      <c r="A395" s="83"/>
      <c r="B395" s="53"/>
      <c r="C395" s="53"/>
      <c r="D395" s="53"/>
      <c r="E395" s="240"/>
      <c r="F395" s="241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>
      <c r="A396" s="83"/>
      <c r="B396" s="53"/>
      <c r="C396" s="53"/>
      <c r="D396" s="53"/>
      <c r="E396" s="240"/>
      <c r="F396" s="241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>
      <c r="A397" s="83"/>
      <c r="B397" s="53"/>
      <c r="C397" s="53"/>
      <c r="D397" s="53"/>
      <c r="E397" s="240"/>
      <c r="F397" s="241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>
      <c r="A398" s="83"/>
      <c r="B398" s="53"/>
      <c r="C398" s="53"/>
      <c r="D398" s="53"/>
      <c r="E398" s="240"/>
      <c r="F398" s="241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>
      <c r="A399" s="83"/>
      <c r="B399" s="53"/>
      <c r="C399" s="53"/>
      <c r="D399" s="53"/>
      <c r="E399" s="240"/>
      <c r="F399" s="241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>
      <c r="A400" s="83"/>
      <c r="B400" s="53"/>
      <c r="C400" s="53"/>
      <c r="D400" s="53"/>
      <c r="E400" s="240"/>
      <c r="F400" s="241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>
      <c r="A401" s="83"/>
      <c r="B401" s="53"/>
      <c r="C401" s="53"/>
      <c r="D401" s="53"/>
      <c r="E401" s="240"/>
      <c r="F401" s="24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>
      <c r="A402" s="83"/>
      <c r="B402" s="53"/>
      <c r="C402" s="53"/>
      <c r="D402" s="53"/>
      <c r="E402" s="240"/>
      <c r="F402" s="24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>
      <c r="A403" s="83"/>
      <c r="B403" s="53"/>
      <c r="C403" s="53"/>
      <c r="D403" s="53"/>
      <c r="E403" s="240"/>
      <c r="F403" s="241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>
      <c r="A404" s="83"/>
      <c r="B404" s="53"/>
      <c r="C404" s="53"/>
      <c r="D404" s="53"/>
      <c r="E404" s="240"/>
      <c r="F404" s="241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>
      <c r="A405" s="83"/>
      <c r="B405" s="53"/>
      <c r="C405" s="53"/>
      <c r="D405" s="53"/>
      <c r="E405" s="240"/>
      <c r="F405" s="241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>
      <c r="A406" s="83"/>
      <c r="B406" s="53"/>
      <c r="C406" s="53"/>
      <c r="D406" s="53"/>
      <c r="E406" s="240"/>
      <c r="F406" s="241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>
      <c r="A407" s="83"/>
      <c r="B407" s="53"/>
      <c r="C407" s="53"/>
      <c r="D407" s="53"/>
      <c r="E407" s="240"/>
      <c r="F407" s="241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>
      <c r="A408" s="83"/>
      <c r="B408" s="53"/>
      <c r="C408" s="53"/>
      <c r="D408" s="53"/>
      <c r="E408" s="240"/>
      <c r="F408" s="241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>
      <c r="A409" s="83"/>
      <c r="B409" s="53"/>
      <c r="C409" s="53"/>
      <c r="D409" s="53"/>
      <c r="E409" s="240"/>
      <c r="F409" s="241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>
      <c r="A410" s="83"/>
      <c r="B410" s="53"/>
      <c r="C410" s="53"/>
      <c r="D410" s="53"/>
      <c r="E410" s="240"/>
      <c r="F410" s="241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>
      <c r="A411" s="83"/>
      <c r="B411" s="53"/>
      <c r="C411" s="53"/>
      <c r="D411" s="53"/>
      <c r="E411" s="240"/>
      <c r="F411" s="241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>
      <c r="A412" s="83"/>
      <c r="B412" s="53"/>
      <c r="C412" s="53"/>
      <c r="D412" s="53"/>
      <c r="E412" s="240"/>
      <c r="F412" s="241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>
      <c r="A413" s="83"/>
      <c r="B413" s="53"/>
      <c r="C413" s="53"/>
      <c r="D413" s="53"/>
      <c r="E413" s="240"/>
      <c r="F413" s="241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>
      <c r="A414" s="83"/>
      <c r="B414" s="53"/>
      <c r="C414" s="53"/>
      <c r="D414" s="53"/>
      <c r="E414" s="240"/>
      <c r="F414" s="241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>
      <c r="A415" s="83"/>
      <c r="B415" s="53"/>
      <c r="C415" s="53"/>
      <c r="D415" s="53"/>
      <c r="E415" s="240"/>
      <c r="F415" s="241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>
      <c r="A416" s="83"/>
      <c r="B416" s="53"/>
      <c r="C416" s="53"/>
      <c r="D416" s="53"/>
      <c r="E416" s="240"/>
      <c r="F416" s="241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>
      <c r="A417" s="83"/>
      <c r="B417" s="53"/>
      <c r="C417" s="53"/>
      <c r="D417" s="53"/>
      <c r="E417" s="240"/>
      <c r="F417" s="241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>
      <c r="A418" s="83"/>
      <c r="B418" s="53"/>
      <c r="C418" s="53"/>
      <c r="D418" s="53"/>
      <c r="E418" s="240"/>
      <c r="F418" s="241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>
      <c r="A419" s="83"/>
      <c r="B419" s="53"/>
      <c r="C419" s="53"/>
      <c r="D419" s="53"/>
      <c r="E419" s="240"/>
      <c r="F419" s="24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>
      <c r="A420" s="83"/>
      <c r="B420" s="53"/>
      <c r="C420" s="53"/>
      <c r="D420" s="53"/>
      <c r="E420" s="240"/>
      <c r="F420" s="24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>
      <c r="A421" s="83"/>
      <c r="B421" s="53"/>
      <c r="C421" s="53"/>
      <c r="D421" s="53"/>
      <c r="E421" s="240"/>
      <c r="F421" s="241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>
      <c r="A422" s="83"/>
      <c r="B422" s="53"/>
      <c r="C422" s="53"/>
      <c r="D422" s="53"/>
      <c r="E422" s="240"/>
      <c r="F422" s="241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>
      <c r="A423" s="83"/>
      <c r="B423" s="53"/>
      <c r="C423" s="53"/>
      <c r="D423" s="53"/>
      <c r="E423" s="240"/>
      <c r="F423" s="241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>
      <c r="A424" s="83"/>
      <c r="B424" s="53"/>
      <c r="C424" s="53"/>
      <c r="D424" s="53"/>
      <c r="E424" s="240"/>
      <c r="F424" s="241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>
      <c r="A425" s="83"/>
      <c r="B425" s="53"/>
      <c r="C425" s="53"/>
      <c r="D425" s="53"/>
      <c r="E425" s="240"/>
      <c r="F425" s="241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>
      <c r="A426" s="83"/>
      <c r="B426" s="53"/>
      <c r="C426" s="53"/>
      <c r="D426" s="53"/>
      <c r="E426" s="240"/>
      <c r="F426" s="241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>
      <c r="A427" s="83"/>
      <c r="B427" s="53"/>
      <c r="C427" s="53"/>
      <c r="D427" s="53"/>
      <c r="E427" s="240"/>
      <c r="F427" s="241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>
      <c r="A428" s="83"/>
      <c r="B428" s="53"/>
      <c r="C428" s="53"/>
      <c r="D428" s="53"/>
      <c r="E428" s="240"/>
      <c r="F428" s="241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>
      <c r="A429" s="83"/>
      <c r="B429" s="53"/>
      <c r="C429" s="53"/>
      <c r="D429" s="53"/>
      <c r="E429" s="240"/>
      <c r="F429" s="241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>
      <c r="A430" s="83"/>
      <c r="B430" s="53"/>
      <c r="C430" s="53"/>
      <c r="D430" s="53"/>
      <c r="E430" s="240"/>
      <c r="F430" s="241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>
      <c r="A431" s="83"/>
      <c r="B431" s="53"/>
      <c r="C431" s="53"/>
      <c r="D431" s="53"/>
      <c r="E431" s="240"/>
      <c r="F431" s="241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>
      <c r="A432" s="83"/>
      <c r="B432" s="53"/>
      <c r="C432" s="53"/>
      <c r="D432" s="53"/>
      <c r="E432" s="240"/>
      <c r="F432" s="241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>
      <c r="A433" s="83"/>
      <c r="B433" s="53"/>
      <c r="C433" s="53"/>
      <c r="D433" s="53"/>
      <c r="E433" s="240"/>
      <c r="F433" s="241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>
      <c r="A434" s="83"/>
      <c r="B434" s="53"/>
      <c r="C434" s="53"/>
      <c r="D434" s="53"/>
      <c r="E434" s="240"/>
      <c r="F434" s="241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>
      <c r="A435" s="83"/>
      <c r="B435" s="53"/>
      <c r="C435" s="53"/>
      <c r="D435" s="53"/>
      <c r="E435" s="240"/>
      <c r="F435" s="241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>
      <c r="A436" s="83"/>
      <c r="B436" s="53"/>
      <c r="C436" s="53"/>
      <c r="D436" s="53"/>
      <c r="E436" s="240"/>
      <c r="F436" s="241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>
      <c r="A437" s="83"/>
      <c r="B437" s="53"/>
      <c r="C437" s="53"/>
      <c r="D437" s="53"/>
      <c r="E437" s="240"/>
      <c r="F437" s="24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>
      <c r="A438" s="83"/>
      <c r="B438" s="53"/>
      <c r="C438" s="53"/>
      <c r="D438" s="53"/>
      <c r="E438" s="240"/>
      <c r="F438" s="24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>
      <c r="A439" s="83"/>
      <c r="B439" s="53"/>
      <c r="C439" s="53"/>
      <c r="D439" s="53"/>
      <c r="E439" s="240"/>
      <c r="F439" s="241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>
      <c r="A440" s="83"/>
      <c r="B440" s="53"/>
      <c r="C440" s="53"/>
      <c r="D440" s="53"/>
      <c r="E440" s="240"/>
      <c r="F440" s="241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>
      <c r="A441" s="83"/>
      <c r="B441" s="53"/>
      <c r="C441" s="53"/>
      <c r="D441" s="53"/>
      <c r="E441" s="240"/>
      <c r="F441" s="241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>
      <c r="A442" s="83"/>
      <c r="B442" s="53"/>
      <c r="C442" s="53"/>
      <c r="D442" s="53"/>
      <c r="E442" s="240"/>
      <c r="F442" s="241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>
      <c r="A443" s="83"/>
      <c r="B443" s="53"/>
      <c r="C443" s="53"/>
      <c r="D443" s="53"/>
      <c r="E443" s="240"/>
      <c r="F443" s="241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>
      <c r="A444" s="83"/>
      <c r="B444" s="53"/>
      <c r="C444" s="53"/>
      <c r="D444" s="53"/>
      <c r="E444" s="240"/>
      <c r="F444" s="241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>
      <c r="A445" s="83"/>
      <c r="B445" s="53"/>
      <c r="C445" s="53"/>
      <c r="D445" s="53"/>
      <c r="E445" s="240"/>
      <c r="F445" s="241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>
      <c r="A446" s="83"/>
      <c r="B446" s="53"/>
      <c r="C446" s="53"/>
      <c r="D446" s="53"/>
      <c r="E446" s="240"/>
      <c r="F446" s="241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>
      <c r="A447" s="83"/>
      <c r="B447" s="53"/>
      <c r="C447" s="53"/>
      <c r="D447" s="53"/>
      <c r="E447" s="240"/>
      <c r="F447" s="241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>
      <c r="A448" s="83"/>
      <c r="B448" s="53"/>
      <c r="C448" s="53"/>
      <c r="D448" s="53"/>
      <c r="E448" s="240"/>
      <c r="F448" s="241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>
      <c r="A449" s="83"/>
      <c r="B449" s="53"/>
      <c r="C449" s="53"/>
      <c r="D449" s="53"/>
      <c r="E449" s="240"/>
      <c r="F449" s="241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>
      <c r="A450" s="83"/>
      <c r="B450" s="53"/>
      <c r="C450" s="53"/>
      <c r="D450" s="53"/>
      <c r="E450" s="240"/>
      <c r="F450" s="241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>
      <c r="A451" s="83"/>
      <c r="B451" s="53"/>
      <c r="C451" s="53"/>
      <c r="D451" s="53"/>
      <c r="E451" s="240"/>
      <c r="F451" s="241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>
      <c r="A452" s="83"/>
      <c r="B452" s="53"/>
      <c r="C452" s="53"/>
      <c r="D452" s="53"/>
      <c r="E452" s="240"/>
      <c r="F452" s="241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>
      <c r="A453" s="83"/>
      <c r="B453" s="53"/>
      <c r="C453" s="53"/>
      <c r="D453" s="53"/>
      <c r="E453" s="240"/>
      <c r="F453" s="241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>
      <c r="A454" s="83"/>
      <c r="B454" s="53"/>
      <c r="C454" s="53"/>
      <c r="D454" s="53"/>
      <c r="E454" s="240"/>
      <c r="F454" s="241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>
      <c r="A455" s="83"/>
      <c r="B455" s="53"/>
      <c r="C455" s="53"/>
      <c r="D455" s="53"/>
      <c r="E455" s="240"/>
      <c r="F455" s="24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>
      <c r="A456" s="83"/>
      <c r="B456" s="53"/>
      <c r="C456" s="53"/>
      <c r="D456" s="53"/>
      <c r="E456" s="240"/>
      <c r="F456" s="24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>
      <c r="A457" s="83"/>
      <c r="B457" s="53"/>
      <c r="C457" s="53"/>
      <c r="D457" s="53"/>
      <c r="E457" s="240"/>
      <c r="F457" s="241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>
      <c r="A458" s="83"/>
      <c r="B458" s="53"/>
      <c r="C458" s="53"/>
      <c r="D458" s="53"/>
      <c r="E458" s="240"/>
      <c r="F458" s="241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>
      <c r="A459" s="83"/>
      <c r="B459" s="53"/>
      <c r="C459" s="53"/>
      <c r="D459" s="53"/>
      <c r="E459" s="240"/>
      <c r="F459" s="241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>
      <c r="A460" s="83"/>
      <c r="B460" s="53"/>
      <c r="C460" s="53"/>
      <c r="D460" s="53"/>
      <c r="E460" s="240"/>
      <c r="F460" s="241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>
      <c r="A461" s="83"/>
      <c r="B461" s="53"/>
      <c r="C461" s="53"/>
      <c r="D461" s="53"/>
      <c r="E461" s="240"/>
      <c r="F461" s="241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>
      <c r="A462" s="83"/>
      <c r="B462" s="53"/>
      <c r="C462" s="53"/>
      <c r="D462" s="53"/>
      <c r="E462" s="240"/>
      <c r="F462" s="241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>
      <c r="A463" s="83"/>
      <c r="B463" s="53"/>
      <c r="C463" s="53"/>
      <c r="D463" s="53"/>
      <c r="E463" s="240"/>
      <c r="F463" s="241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>
      <c r="A464" s="83"/>
      <c r="B464" s="53"/>
      <c r="C464" s="53"/>
      <c r="D464" s="53"/>
      <c r="E464" s="240"/>
      <c r="F464" s="241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>
      <c r="A465" s="83"/>
      <c r="B465" s="53"/>
      <c r="C465" s="53"/>
      <c r="D465" s="53"/>
      <c r="E465" s="240"/>
      <c r="F465" s="241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>
      <c r="A466" s="83"/>
      <c r="B466" s="53"/>
      <c r="C466" s="53"/>
      <c r="D466" s="53"/>
      <c r="E466" s="240"/>
      <c r="F466" s="241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>
      <c r="A467" s="83"/>
      <c r="B467" s="53"/>
      <c r="C467" s="53"/>
      <c r="D467" s="53"/>
      <c r="E467" s="240"/>
      <c r="F467" s="241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>
      <c r="A468" s="83"/>
      <c r="B468" s="53"/>
      <c r="C468" s="53"/>
      <c r="D468" s="53"/>
      <c r="E468" s="240"/>
      <c r="F468" s="241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>
      <c r="A469" s="83"/>
      <c r="B469" s="53"/>
      <c r="C469" s="53"/>
      <c r="D469" s="53"/>
      <c r="E469" s="240"/>
      <c r="F469" s="241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>
      <c r="A470" s="83"/>
      <c r="B470" s="53"/>
      <c r="C470" s="53"/>
      <c r="D470" s="53"/>
      <c r="E470" s="240"/>
      <c r="F470" s="241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>
      <c r="A471" s="83"/>
      <c r="B471" s="53"/>
      <c r="C471" s="53"/>
      <c r="D471" s="53"/>
      <c r="E471" s="240"/>
      <c r="F471" s="241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>
      <c r="A472" s="83"/>
      <c r="B472" s="53"/>
      <c r="C472" s="53"/>
      <c r="D472" s="53"/>
      <c r="E472" s="240"/>
      <c r="F472" s="241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>
      <c r="A473" s="83"/>
      <c r="B473" s="53"/>
      <c r="C473" s="53"/>
      <c r="D473" s="53"/>
      <c r="E473" s="240"/>
      <c r="F473" s="24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>
      <c r="A474" s="83"/>
      <c r="B474" s="53"/>
      <c r="C474" s="53"/>
      <c r="D474" s="53"/>
      <c r="E474" s="240"/>
      <c r="F474" s="24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>
      <c r="A475" s="83"/>
      <c r="B475" s="53"/>
      <c r="C475" s="53"/>
      <c r="D475" s="53"/>
      <c r="E475" s="240"/>
      <c r="F475" s="241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>
      <c r="A476" s="83"/>
      <c r="B476" s="53"/>
      <c r="C476" s="53"/>
      <c r="D476" s="53"/>
      <c r="E476" s="240"/>
      <c r="F476" s="241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>
      <c r="A477" s="83"/>
      <c r="B477" s="53"/>
      <c r="C477" s="53"/>
      <c r="D477" s="53"/>
      <c r="E477" s="240"/>
      <c r="F477" s="241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>
      <c r="A478" s="83"/>
      <c r="B478" s="53"/>
      <c r="C478" s="53"/>
      <c r="D478" s="53"/>
      <c r="E478" s="240"/>
      <c r="F478" s="241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>
      <c r="A479" s="83"/>
      <c r="B479" s="53"/>
      <c r="C479" s="53"/>
      <c r="D479" s="53"/>
      <c r="E479" s="240"/>
      <c r="F479" s="241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>
      <c r="A480" s="83"/>
      <c r="B480" s="53"/>
      <c r="C480" s="53"/>
      <c r="D480" s="53"/>
      <c r="E480" s="240"/>
      <c r="F480" s="241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>
      <c r="A481" s="83"/>
      <c r="B481" s="53"/>
      <c r="C481" s="53"/>
      <c r="D481" s="53"/>
      <c r="E481" s="240"/>
      <c r="F481" s="241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>
      <c r="A482" s="83"/>
      <c r="B482" s="53"/>
      <c r="C482" s="53"/>
      <c r="D482" s="53"/>
      <c r="E482" s="240"/>
      <c r="F482" s="241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>
      <c r="A483" s="83"/>
      <c r="B483" s="53"/>
      <c r="C483" s="53"/>
      <c r="D483" s="53"/>
      <c r="E483" s="240"/>
      <c r="F483" s="241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>
      <c r="A484" s="83"/>
      <c r="B484" s="53"/>
      <c r="C484" s="53"/>
      <c r="D484" s="53"/>
      <c r="E484" s="240"/>
      <c r="F484" s="241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>
      <c r="A485" s="83"/>
      <c r="B485" s="53"/>
      <c r="C485" s="53"/>
      <c r="D485" s="53"/>
      <c r="E485" s="240"/>
      <c r="F485" s="241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>
      <c r="A486" s="83"/>
      <c r="B486" s="53"/>
      <c r="C486" s="53"/>
      <c r="D486" s="53"/>
      <c r="E486" s="240"/>
      <c r="F486" s="241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>
      <c r="A487" s="83"/>
      <c r="B487" s="53"/>
      <c r="C487" s="53"/>
      <c r="D487" s="53"/>
      <c r="E487" s="240"/>
      <c r="F487" s="241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>
      <c r="A488" s="83"/>
      <c r="B488" s="53"/>
      <c r="C488" s="53"/>
      <c r="D488" s="53"/>
      <c r="E488" s="240"/>
      <c r="F488" s="241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>
      <c r="A489" s="83"/>
      <c r="B489" s="53"/>
      <c r="C489" s="53"/>
      <c r="D489" s="53"/>
      <c r="E489" s="240"/>
      <c r="F489" s="241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>
      <c r="A490" s="83"/>
      <c r="B490" s="53"/>
      <c r="C490" s="53"/>
      <c r="D490" s="53"/>
      <c r="E490" s="240"/>
      <c r="F490" s="241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>
      <c r="A491" s="83"/>
      <c r="B491" s="53"/>
      <c r="C491" s="53"/>
      <c r="D491" s="53"/>
      <c r="E491" s="240"/>
      <c r="F491" s="24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>
      <c r="A492" s="83"/>
      <c r="B492" s="53"/>
      <c r="C492" s="53"/>
      <c r="D492" s="53"/>
      <c r="E492" s="240"/>
      <c r="F492" s="24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>
      <c r="A493" s="83"/>
      <c r="B493" s="53"/>
      <c r="C493" s="53"/>
      <c r="D493" s="53"/>
      <c r="E493" s="240"/>
      <c r="F493" s="241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>
      <c r="A494" s="83"/>
      <c r="B494" s="53"/>
      <c r="C494" s="53"/>
      <c r="D494" s="53"/>
      <c r="E494" s="240"/>
      <c r="F494" s="241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>
      <c r="A495" s="83"/>
      <c r="B495" s="53"/>
      <c r="C495" s="53"/>
      <c r="D495" s="53"/>
      <c r="E495" s="240"/>
      <c r="F495" s="241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>
      <c r="A496" s="83"/>
      <c r="B496" s="53"/>
      <c r="C496" s="53"/>
      <c r="D496" s="53"/>
      <c r="E496" s="240"/>
      <c r="F496" s="241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>
      <c r="A497" s="83"/>
      <c r="B497" s="53"/>
      <c r="C497" s="53"/>
      <c r="D497" s="53"/>
      <c r="E497" s="240"/>
      <c r="F497" s="241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>
      <c r="A498" s="83"/>
      <c r="B498" s="53"/>
      <c r="C498" s="53"/>
      <c r="D498" s="53"/>
      <c r="E498" s="240"/>
      <c r="F498" s="241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>
      <c r="A499" s="83"/>
      <c r="B499" s="53"/>
      <c r="C499" s="53"/>
      <c r="D499" s="53"/>
      <c r="E499" s="240"/>
      <c r="F499" s="241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>
      <c r="A500" s="83"/>
      <c r="B500" s="53"/>
      <c r="C500" s="53"/>
      <c r="D500" s="53"/>
      <c r="E500" s="240"/>
      <c r="F500" s="241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>
      <c r="A501" s="83"/>
      <c r="B501" s="53"/>
      <c r="C501" s="53"/>
      <c r="D501" s="53"/>
      <c r="E501" s="240"/>
      <c r="F501" s="241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>
      <c r="A502" s="83"/>
      <c r="B502" s="53"/>
      <c r="C502" s="53"/>
      <c r="D502" s="53"/>
      <c r="E502" s="240"/>
      <c r="F502" s="241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>
      <c r="A503" s="83"/>
      <c r="B503" s="53"/>
      <c r="C503" s="53"/>
      <c r="D503" s="53"/>
      <c r="E503" s="240"/>
      <c r="F503" s="241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>
      <c r="A504" s="83"/>
      <c r="B504" s="53"/>
      <c r="C504" s="53"/>
      <c r="D504" s="53"/>
      <c r="E504" s="240"/>
      <c r="F504" s="241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>
      <c r="A505" s="83"/>
      <c r="B505" s="53"/>
      <c r="C505" s="53"/>
      <c r="D505" s="53"/>
      <c r="E505" s="240"/>
      <c r="F505" s="241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>
      <c r="A506" s="83"/>
      <c r="B506" s="53"/>
      <c r="C506" s="53"/>
      <c r="D506" s="53"/>
      <c r="E506" s="240"/>
      <c r="F506" s="241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>
      <c r="A507" s="83"/>
      <c r="B507" s="53"/>
      <c r="C507" s="53"/>
      <c r="D507" s="53"/>
      <c r="E507" s="240"/>
      <c r="F507" s="241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>
      <c r="A508" s="83"/>
      <c r="B508" s="53"/>
      <c r="C508" s="53"/>
      <c r="D508" s="53"/>
      <c r="E508" s="240"/>
      <c r="F508" s="241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>
      <c r="A509" s="83"/>
      <c r="B509" s="53"/>
      <c r="C509" s="53"/>
      <c r="D509" s="53"/>
      <c r="E509" s="240"/>
      <c r="F509" s="24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>
      <c r="A510" s="83"/>
      <c r="B510" s="53"/>
      <c r="C510" s="53"/>
      <c r="D510" s="53"/>
      <c r="E510" s="240"/>
      <c r="F510" s="24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>
      <c r="A511" s="83"/>
      <c r="B511" s="53"/>
      <c r="C511" s="53"/>
      <c r="D511" s="53"/>
      <c r="E511" s="240"/>
      <c r="F511" s="241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>
      <c r="A512" s="83"/>
      <c r="B512" s="53"/>
      <c r="C512" s="53"/>
      <c r="D512" s="53"/>
      <c r="E512" s="240"/>
      <c r="F512" s="241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>
      <c r="A513" s="83"/>
      <c r="B513" s="53"/>
      <c r="C513" s="53"/>
      <c r="D513" s="53"/>
      <c r="E513" s="240"/>
      <c r="F513" s="241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>
      <c r="A514" s="83"/>
      <c r="B514" s="53"/>
      <c r="C514" s="53"/>
      <c r="D514" s="53"/>
      <c r="E514" s="240"/>
      <c r="F514" s="241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>
      <c r="A515" s="83"/>
      <c r="B515" s="53"/>
      <c r="C515" s="53"/>
      <c r="D515" s="53"/>
      <c r="E515" s="240"/>
      <c r="F515" s="241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>
      <c r="A516" s="83"/>
      <c r="B516" s="53"/>
      <c r="C516" s="53"/>
      <c r="D516" s="53"/>
      <c r="E516" s="240"/>
      <c r="F516" s="241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>
      <c r="A517" s="83"/>
      <c r="B517" s="53"/>
      <c r="C517" s="53"/>
      <c r="D517" s="53"/>
      <c r="E517" s="240"/>
      <c r="F517" s="241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>
      <c r="A518" s="83"/>
      <c r="B518" s="53"/>
      <c r="C518" s="53"/>
      <c r="D518" s="53"/>
      <c r="E518" s="240"/>
      <c r="F518" s="241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>
      <c r="A519" s="83"/>
      <c r="B519" s="53"/>
      <c r="C519" s="53"/>
      <c r="D519" s="53"/>
      <c r="E519" s="240"/>
      <c r="F519" s="241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>
      <c r="A520" s="83"/>
      <c r="B520" s="53"/>
      <c r="C520" s="53"/>
      <c r="D520" s="53"/>
      <c r="E520" s="240"/>
      <c r="F520" s="241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>
      <c r="A521" s="83"/>
      <c r="B521" s="53"/>
      <c r="C521" s="53"/>
      <c r="D521" s="53"/>
      <c r="E521" s="240"/>
      <c r="F521" s="241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>
      <c r="A522" s="83"/>
      <c r="B522" s="53"/>
      <c r="C522" s="53"/>
      <c r="D522" s="53"/>
      <c r="E522" s="240"/>
      <c r="F522" s="241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>
      <c r="A523" s="83"/>
      <c r="B523" s="53"/>
      <c r="C523" s="53"/>
      <c r="D523" s="53"/>
      <c r="E523" s="240"/>
      <c r="F523" s="241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>
      <c r="A524" s="83"/>
      <c r="B524" s="53"/>
      <c r="C524" s="53"/>
      <c r="D524" s="53"/>
      <c r="E524" s="240"/>
      <c r="F524" s="241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>
      <c r="A525" s="83"/>
      <c r="B525" s="53"/>
      <c r="C525" s="53"/>
      <c r="D525" s="53"/>
      <c r="E525" s="240"/>
      <c r="F525" s="241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>
      <c r="A526" s="83"/>
      <c r="B526" s="53"/>
      <c r="C526" s="53"/>
      <c r="D526" s="53"/>
      <c r="E526" s="240"/>
      <c r="F526" s="241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>
      <c r="A527" s="83"/>
      <c r="B527" s="53"/>
      <c r="C527" s="53"/>
      <c r="D527" s="53"/>
      <c r="E527" s="240"/>
      <c r="F527" s="24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>
      <c r="A528" s="83"/>
      <c r="B528" s="53"/>
      <c r="C528" s="53"/>
      <c r="D528" s="53"/>
      <c r="E528" s="240"/>
      <c r="F528" s="24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>
      <c r="A529" s="83"/>
      <c r="B529" s="53"/>
      <c r="C529" s="53"/>
      <c r="D529" s="53"/>
      <c r="E529" s="240"/>
      <c r="F529" s="241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>
      <c r="A530" s="83"/>
      <c r="B530" s="53"/>
      <c r="C530" s="53"/>
      <c r="D530" s="53"/>
      <c r="E530" s="240"/>
      <c r="F530" s="241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>
      <c r="A531" s="83"/>
      <c r="B531" s="53"/>
      <c r="C531" s="53"/>
      <c r="D531" s="53"/>
      <c r="E531" s="240"/>
      <c r="F531" s="241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>
      <c r="A532" s="83"/>
      <c r="B532" s="53"/>
      <c r="C532" s="53"/>
      <c r="D532" s="53"/>
      <c r="E532" s="240"/>
      <c r="F532" s="241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>
      <c r="A533" s="83"/>
      <c r="B533" s="53"/>
      <c r="C533" s="53"/>
      <c r="D533" s="53"/>
      <c r="E533" s="240"/>
      <c r="F533" s="241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>
      <c r="A534" s="83"/>
      <c r="B534" s="53"/>
      <c r="C534" s="53"/>
      <c r="D534" s="53"/>
      <c r="E534" s="240"/>
      <c r="F534" s="241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>
      <c r="A535" s="83"/>
      <c r="B535" s="53"/>
      <c r="C535" s="53"/>
      <c r="D535" s="53"/>
      <c r="E535" s="240"/>
      <c r="F535" s="241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>
      <c r="A536" s="83"/>
      <c r="B536" s="53"/>
      <c r="C536" s="53"/>
      <c r="D536" s="53"/>
      <c r="E536" s="240"/>
      <c r="F536" s="241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>
      <c r="A537" s="83"/>
      <c r="B537" s="53"/>
      <c r="C537" s="53"/>
      <c r="D537" s="53"/>
      <c r="E537" s="240"/>
      <c r="F537" s="241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>
      <c r="A538" s="83"/>
      <c r="B538" s="53"/>
      <c r="C538" s="53"/>
      <c r="D538" s="53"/>
      <c r="E538" s="240"/>
      <c r="F538" s="241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>
      <c r="A539" s="83"/>
      <c r="B539" s="53"/>
      <c r="C539" s="53"/>
      <c r="D539" s="53"/>
      <c r="E539" s="240"/>
      <c r="F539" s="241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>
      <c r="A540" s="83"/>
      <c r="B540" s="53"/>
      <c r="C540" s="53"/>
      <c r="D540" s="53"/>
      <c r="E540" s="240"/>
      <c r="F540" s="241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>
      <c r="A541" s="83"/>
      <c r="B541" s="53"/>
      <c r="C541" s="53"/>
      <c r="D541" s="53"/>
      <c r="E541" s="240"/>
      <c r="F541" s="241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>
      <c r="A542" s="83"/>
      <c r="B542" s="53"/>
      <c r="C542" s="53"/>
      <c r="D542" s="53"/>
      <c r="E542" s="240"/>
      <c r="F542" s="241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>
      <c r="A543" s="83"/>
      <c r="B543" s="53"/>
      <c r="C543" s="53"/>
      <c r="D543" s="53"/>
      <c r="E543" s="240"/>
      <c r="F543" s="241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>
      <c r="A544" s="83"/>
      <c r="B544" s="53"/>
      <c r="C544" s="53"/>
      <c r="D544" s="53"/>
      <c r="E544" s="240"/>
      <c r="F544" s="241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>
      <c r="A545" s="83"/>
      <c r="B545" s="53"/>
      <c r="C545" s="53"/>
      <c r="D545" s="53"/>
      <c r="E545" s="240"/>
      <c r="F545" s="24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>
      <c r="A546" s="83"/>
      <c r="B546" s="53"/>
      <c r="C546" s="53"/>
      <c r="D546" s="53"/>
      <c r="E546" s="240"/>
      <c r="F546" s="24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>
      <c r="A547" s="83"/>
      <c r="B547" s="53"/>
      <c r="C547" s="53"/>
      <c r="D547" s="53"/>
      <c r="E547" s="240"/>
      <c r="F547" s="241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>
      <c r="A548" s="83"/>
      <c r="B548" s="53"/>
      <c r="C548" s="53"/>
      <c r="D548" s="53"/>
      <c r="E548" s="240"/>
      <c r="F548" s="241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>
      <c r="A549" s="83"/>
      <c r="B549" s="53"/>
      <c r="C549" s="53"/>
      <c r="D549" s="53"/>
      <c r="E549" s="240"/>
      <c r="F549" s="241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>
      <c r="A550" s="83"/>
      <c r="B550" s="53"/>
      <c r="C550" s="53"/>
      <c r="D550" s="53"/>
      <c r="E550" s="240"/>
      <c r="F550" s="241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>
      <c r="A551" s="83"/>
      <c r="B551" s="53"/>
      <c r="C551" s="53"/>
      <c r="D551" s="53"/>
      <c r="E551" s="240"/>
      <c r="F551" s="241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>
      <c r="A552" s="83"/>
      <c r="B552" s="53"/>
      <c r="C552" s="53"/>
      <c r="D552" s="53"/>
      <c r="E552" s="240"/>
      <c r="F552" s="241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>
      <c r="A553" s="83"/>
      <c r="B553" s="53"/>
      <c r="C553" s="53"/>
      <c r="D553" s="53"/>
      <c r="E553" s="240"/>
      <c r="F553" s="241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>
      <c r="A554" s="83"/>
      <c r="B554" s="53"/>
      <c r="C554" s="53"/>
      <c r="D554" s="53"/>
      <c r="E554" s="240"/>
      <c r="F554" s="241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>
      <c r="A555" s="83"/>
      <c r="B555" s="53"/>
      <c r="C555" s="53"/>
      <c r="D555" s="53"/>
      <c r="E555" s="240"/>
      <c r="F555" s="241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>
      <c r="A556" s="83"/>
      <c r="B556" s="53"/>
      <c r="C556" s="53"/>
      <c r="D556" s="53"/>
      <c r="E556" s="240"/>
      <c r="F556" s="241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>
      <c r="A557" s="83"/>
      <c r="B557" s="53"/>
      <c r="C557" s="53"/>
      <c r="D557" s="53"/>
      <c r="E557" s="240"/>
      <c r="F557" s="241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>
      <c r="A558" s="83"/>
      <c r="B558" s="53"/>
      <c r="C558" s="53"/>
      <c r="D558" s="53"/>
      <c r="E558" s="240"/>
      <c r="F558" s="241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>
      <c r="A559" s="83"/>
      <c r="B559" s="53"/>
      <c r="C559" s="53"/>
      <c r="D559" s="53"/>
      <c r="E559" s="240"/>
      <c r="F559" s="241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>
      <c r="A560" s="83"/>
      <c r="B560" s="53"/>
      <c r="C560" s="53"/>
      <c r="D560" s="53"/>
      <c r="E560" s="240"/>
      <c r="F560" s="241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>
      <c r="A561" s="83"/>
      <c r="B561" s="53"/>
      <c r="C561" s="53"/>
      <c r="D561" s="53"/>
      <c r="E561" s="240"/>
      <c r="F561" s="241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>
      <c r="A562" s="83"/>
      <c r="B562" s="53"/>
      <c r="C562" s="53"/>
      <c r="D562" s="53"/>
      <c r="E562" s="240"/>
      <c r="F562" s="241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>
      <c r="A563" s="83"/>
      <c r="B563" s="53"/>
      <c r="C563" s="53"/>
      <c r="D563" s="53"/>
      <c r="E563" s="240"/>
      <c r="F563" s="24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>
      <c r="A564" s="83"/>
      <c r="B564" s="53"/>
      <c r="C564" s="53"/>
      <c r="D564" s="53"/>
      <c r="E564" s="240"/>
      <c r="F564" s="24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>
      <c r="A565" s="83"/>
      <c r="B565" s="53"/>
      <c r="C565" s="53"/>
      <c r="D565" s="53"/>
      <c r="E565" s="240"/>
      <c r="F565" s="241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>
      <c r="A566" s="83"/>
      <c r="B566" s="53"/>
      <c r="C566" s="53"/>
      <c r="D566" s="53"/>
      <c r="E566" s="240"/>
      <c r="F566" s="241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>
      <c r="A567" s="83"/>
      <c r="B567" s="53"/>
      <c r="C567" s="53"/>
      <c r="D567" s="53"/>
      <c r="E567" s="240"/>
      <c r="F567" s="241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>
      <c r="A568" s="83"/>
      <c r="B568" s="53"/>
      <c r="C568" s="53"/>
      <c r="D568" s="53"/>
      <c r="E568" s="240"/>
      <c r="F568" s="241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>
      <c r="A569" s="83"/>
      <c r="B569" s="53"/>
      <c r="C569" s="53"/>
      <c r="D569" s="53"/>
      <c r="E569" s="240"/>
      <c r="F569" s="241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>
      <c r="A570" s="83"/>
      <c r="B570" s="53"/>
      <c r="C570" s="53"/>
      <c r="D570" s="53"/>
      <c r="E570" s="240"/>
      <c r="F570" s="241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>
      <c r="A571" s="83"/>
      <c r="B571" s="53"/>
      <c r="C571" s="53"/>
      <c r="D571" s="53"/>
      <c r="E571" s="240"/>
      <c r="F571" s="241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>
      <c r="A572" s="83"/>
      <c r="B572" s="53"/>
      <c r="C572" s="53"/>
      <c r="D572" s="53"/>
      <c r="E572" s="240"/>
      <c r="F572" s="241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>
      <c r="A573" s="83"/>
      <c r="B573" s="53"/>
      <c r="C573" s="53"/>
      <c r="D573" s="53"/>
      <c r="E573" s="240"/>
      <c r="F573" s="241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>
      <c r="A574" s="83"/>
      <c r="B574" s="53"/>
      <c r="C574" s="53"/>
      <c r="D574" s="53"/>
      <c r="E574" s="240"/>
      <c r="F574" s="241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>
      <c r="A575" s="83"/>
      <c r="B575" s="53"/>
      <c r="C575" s="53"/>
      <c r="D575" s="53"/>
      <c r="E575" s="240"/>
      <c r="F575" s="241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>
      <c r="A576" s="83"/>
      <c r="B576" s="53"/>
      <c r="C576" s="53"/>
      <c r="D576" s="53"/>
      <c r="E576" s="240"/>
      <c r="F576" s="241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>
      <c r="A577" s="83"/>
      <c r="B577" s="53"/>
      <c r="C577" s="53"/>
      <c r="D577" s="53"/>
      <c r="E577" s="240"/>
      <c r="F577" s="241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>
      <c r="A578" s="83"/>
      <c r="B578" s="53"/>
      <c r="C578" s="53"/>
      <c r="D578" s="53"/>
      <c r="E578" s="240"/>
      <c r="F578" s="241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>
      <c r="A579" s="83"/>
      <c r="B579" s="53"/>
      <c r="C579" s="53"/>
      <c r="D579" s="53"/>
      <c r="E579" s="240"/>
      <c r="F579" s="241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>
      <c r="A580" s="83"/>
      <c r="B580" s="53"/>
      <c r="C580" s="53"/>
      <c r="D580" s="53"/>
      <c r="E580" s="240"/>
      <c r="F580" s="241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>
      <c r="A581" s="83"/>
      <c r="B581" s="53"/>
      <c r="C581" s="53"/>
      <c r="D581" s="53"/>
      <c r="E581" s="240"/>
      <c r="F581" s="24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>
      <c r="A582" s="83"/>
      <c r="B582" s="53"/>
      <c r="C582" s="53"/>
      <c r="D582" s="53"/>
      <c r="E582" s="240"/>
      <c r="F582" s="24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>
      <c r="A583" s="83"/>
      <c r="B583" s="53"/>
      <c r="C583" s="53"/>
      <c r="D583" s="53"/>
      <c r="E583" s="240"/>
      <c r="F583" s="241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>
      <c r="A584" s="83"/>
      <c r="B584" s="53"/>
      <c r="C584" s="53"/>
      <c r="D584" s="53"/>
      <c r="E584" s="240"/>
      <c r="F584" s="241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>
      <c r="A585" s="83"/>
      <c r="B585" s="53"/>
      <c r="C585" s="53"/>
      <c r="D585" s="53"/>
      <c r="E585" s="240"/>
      <c r="F585" s="241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>
      <c r="A586" s="83"/>
      <c r="B586" s="53"/>
      <c r="C586" s="53"/>
      <c r="D586" s="53"/>
      <c r="E586" s="240"/>
      <c r="F586" s="241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>
      <c r="A587" s="83"/>
      <c r="B587" s="53"/>
      <c r="C587" s="53"/>
      <c r="D587" s="53"/>
      <c r="E587" s="240"/>
      <c r="F587" s="241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>
      <c r="A588" s="83"/>
      <c r="B588" s="53"/>
      <c r="C588" s="53"/>
      <c r="D588" s="53"/>
      <c r="E588" s="240"/>
      <c r="F588" s="241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>
      <c r="A589" s="83"/>
      <c r="B589" s="53"/>
      <c r="C589" s="53"/>
      <c r="D589" s="53"/>
      <c r="E589" s="240"/>
      <c r="F589" s="241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>
      <c r="A590" s="83"/>
      <c r="B590" s="53"/>
      <c r="C590" s="53"/>
      <c r="D590" s="53"/>
      <c r="E590" s="240"/>
      <c r="F590" s="241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>
      <c r="A591" s="83"/>
      <c r="B591" s="53"/>
      <c r="C591" s="53"/>
      <c r="D591" s="53"/>
      <c r="E591" s="240"/>
      <c r="F591" s="241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>
      <c r="A592" s="83"/>
      <c r="B592" s="53"/>
      <c r="C592" s="53"/>
      <c r="D592" s="53"/>
      <c r="E592" s="240"/>
      <c r="F592" s="241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>
      <c r="A593" s="83"/>
      <c r="B593" s="53"/>
      <c r="C593" s="53"/>
      <c r="D593" s="53"/>
      <c r="E593" s="240"/>
      <c r="F593" s="241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>
      <c r="A594" s="83"/>
      <c r="B594" s="53"/>
      <c r="C594" s="53"/>
      <c r="D594" s="53"/>
      <c r="E594" s="240"/>
      <c r="F594" s="241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>
      <c r="A595" s="83"/>
      <c r="B595" s="53"/>
      <c r="C595" s="53"/>
      <c r="D595" s="53"/>
      <c r="E595" s="240"/>
      <c r="F595" s="241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>
      <c r="A596" s="83"/>
      <c r="B596" s="53"/>
      <c r="C596" s="53"/>
      <c r="D596" s="53"/>
      <c r="E596" s="240"/>
      <c r="F596" s="241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>
      <c r="A597" s="83"/>
      <c r="B597" s="53"/>
      <c r="C597" s="53"/>
      <c r="D597" s="53"/>
      <c r="E597" s="240"/>
      <c r="F597" s="241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>
      <c r="A598" s="83"/>
      <c r="B598" s="53"/>
      <c r="C598" s="53"/>
      <c r="D598" s="53"/>
      <c r="E598" s="240"/>
      <c r="F598" s="241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>
      <c r="A599" s="83"/>
      <c r="B599" s="53"/>
      <c r="C599" s="53"/>
      <c r="D599" s="53"/>
      <c r="E599" s="240"/>
      <c r="F599" s="24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>
      <c r="A600" s="83"/>
      <c r="B600" s="53"/>
      <c r="C600" s="53"/>
      <c r="D600" s="53"/>
      <c r="E600" s="240"/>
      <c r="F600" s="24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>
      <c r="A601" s="83"/>
      <c r="B601" s="53"/>
      <c r="C601" s="53"/>
      <c r="D601" s="53"/>
      <c r="E601" s="240"/>
      <c r="F601" s="241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>
      <c r="A602" s="83"/>
      <c r="B602" s="53"/>
      <c r="C602" s="53"/>
      <c r="D602" s="53"/>
      <c r="E602" s="240"/>
      <c r="F602" s="241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>
      <c r="A603" s="83"/>
      <c r="B603" s="53"/>
      <c r="C603" s="53"/>
      <c r="D603" s="53"/>
      <c r="E603" s="240"/>
      <c r="F603" s="241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>
      <c r="A604" s="83"/>
      <c r="B604" s="53"/>
      <c r="C604" s="53"/>
      <c r="D604" s="53"/>
      <c r="E604" s="240"/>
      <c r="F604" s="241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>
      <c r="A605" s="83"/>
      <c r="B605" s="53"/>
      <c r="C605" s="53"/>
      <c r="D605" s="53"/>
      <c r="E605" s="240"/>
      <c r="F605" s="241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>
      <c r="A606" s="83"/>
      <c r="B606" s="53"/>
      <c r="C606" s="53"/>
      <c r="D606" s="53"/>
      <c r="E606" s="240"/>
      <c r="F606" s="241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>
      <c r="A607" s="83"/>
      <c r="B607" s="53"/>
      <c r="C607" s="53"/>
      <c r="D607" s="53"/>
      <c r="E607" s="240"/>
      <c r="F607" s="241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>
      <c r="A608" s="83"/>
      <c r="B608" s="53"/>
      <c r="C608" s="53"/>
      <c r="D608" s="53"/>
      <c r="E608" s="240"/>
      <c r="F608" s="241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>
      <c r="A609" s="83"/>
      <c r="B609" s="53"/>
      <c r="C609" s="53"/>
      <c r="D609" s="53"/>
      <c r="E609" s="240"/>
      <c r="F609" s="241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>
      <c r="A610" s="83"/>
      <c r="B610" s="53"/>
      <c r="C610" s="53"/>
      <c r="D610" s="53"/>
      <c r="E610" s="240"/>
      <c r="F610" s="241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>
      <c r="A611" s="83"/>
      <c r="B611" s="53"/>
      <c r="C611" s="53"/>
      <c r="D611" s="53"/>
      <c r="E611" s="240"/>
      <c r="F611" s="241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>
      <c r="A612" s="83"/>
      <c r="B612" s="53"/>
      <c r="C612" s="53"/>
      <c r="D612" s="53"/>
      <c r="E612" s="240"/>
      <c r="F612" s="241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>
      <c r="A613" s="83"/>
      <c r="B613" s="53"/>
      <c r="C613" s="53"/>
      <c r="D613" s="53"/>
      <c r="E613" s="240"/>
      <c r="F613" s="241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>
      <c r="A614" s="83"/>
      <c r="B614" s="53"/>
      <c r="C614" s="53"/>
      <c r="D614" s="53"/>
      <c r="E614" s="240"/>
      <c r="F614" s="241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>
      <c r="A615" s="83"/>
      <c r="B615" s="53"/>
      <c r="C615" s="53"/>
      <c r="D615" s="53"/>
      <c r="E615" s="240"/>
      <c r="F615" s="241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>
      <c r="A616" s="83"/>
      <c r="B616" s="53"/>
      <c r="C616" s="53"/>
      <c r="D616" s="53"/>
      <c r="E616" s="240"/>
      <c r="F616" s="241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>
      <c r="A617" s="83"/>
      <c r="B617" s="53"/>
      <c r="C617" s="53"/>
      <c r="D617" s="53"/>
      <c r="E617" s="240"/>
      <c r="F617" s="24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>
      <c r="A618" s="83"/>
      <c r="B618" s="53"/>
      <c r="C618" s="53"/>
      <c r="D618" s="53"/>
      <c r="E618" s="240"/>
      <c r="F618" s="24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>
      <c r="A619" s="83"/>
      <c r="B619" s="53"/>
      <c r="C619" s="53"/>
      <c r="D619" s="53"/>
      <c r="E619" s="240"/>
      <c r="F619" s="241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>
      <c r="A620" s="83"/>
      <c r="B620" s="53"/>
      <c r="C620" s="53"/>
      <c r="D620" s="53"/>
      <c r="E620" s="240"/>
      <c r="F620" s="241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>
      <c r="A621" s="83"/>
      <c r="B621" s="53"/>
      <c r="C621" s="53"/>
      <c r="D621" s="53"/>
      <c r="E621" s="240"/>
      <c r="F621" s="241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>
      <c r="A622" s="83"/>
      <c r="B622" s="53"/>
      <c r="C622" s="53"/>
      <c r="D622" s="53"/>
      <c r="E622" s="240"/>
      <c r="F622" s="241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>
      <c r="A623" s="83"/>
      <c r="B623" s="53"/>
      <c r="C623" s="53"/>
      <c r="D623" s="53"/>
      <c r="E623" s="240"/>
      <c r="F623" s="241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>
      <c r="A624" s="83"/>
      <c r="B624" s="53"/>
      <c r="C624" s="53"/>
      <c r="D624" s="53"/>
      <c r="E624" s="240"/>
      <c r="F624" s="241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>
      <c r="A625" s="83"/>
      <c r="B625" s="53"/>
      <c r="C625" s="53"/>
      <c r="D625" s="53"/>
      <c r="E625" s="240"/>
      <c r="F625" s="241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>
      <c r="A626" s="83"/>
      <c r="B626" s="53"/>
      <c r="C626" s="53"/>
      <c r="D626" s="53"/>
      <c r="E626" s="240"/>
      <c r="F626" s="241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>
      <c r="A627" s="83"/>
      <c r="B627" s="53"/>
      <c r="C627" s="53"/>
      <c r="D627" s="53"/>
      <c r="E627" s="240"/>
      <c r="F627" s="241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>
      <c r="A628" s="83"/>
      <c r="B628" s="53"/>
      <c r="C628" s="53"/>
      <c r="D628" s="53"/>
      <c r="E628" s="240"/>
      <c r="F628" s="241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>
      <c r="A629" s="83"/>
      <c r="B629" s="53"/>
      <c r="C629" s="53"/>
      <c r="D629" s="53"/>
      <c r="E629" s="240"/>
      <c r="F629" s="241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>
      <c r="A630" s="83"/>
      <c r="B630" s="53"/>
      <c r="C630" s="53"/>
      <c r="D630" s="53"/>
      <c r="E630" s="240"/>
      <c r="F630" s="241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>
      <c r="A631" s="83"/>
      <c r="B631" s="53"/>
      <c r="C631" s="53"/>
      <c r="D631" s="53"/>
      <c r="E631" s="240"/>
      <c r="F631" s="241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>
      <c r="A632" s="83"/>
      <c r="B632" s="53"/>
      <c r="C632" s="53"/>
      <c r="D632" s="53"/>
      <c r="E632" s="240"/>
      <c r="F632" s="241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>
      <c r="A633" s="83"/>
      <c r="B633" s="53"/>
      <c r="C633" s="53"/>
      <c r="D633" s="53"/>
      <c r="E633" s="240"/>
      <c r="F633" s="241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>
      <c r="A634" s="83"/>
      <c r="B634" s="53"/>
      <c r="C634" s="53"/>
      <c r="D634" s="53"/>
      <c r="E634" s="240"/>
      <c r="F634" s="241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>
      <c r="A635" s="83"/>
      <c r="B635" s="53"/>
      <c r="C635" s="53"/>
      <c r="D635" s="53"/>
      <c r="E635" s="240"/>
      <c r="F635" s="24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>
      <c r="A636" s="83"/>
      <c r="B636" s="53"/>
      <c r="C636" s="53"/>
      <c r="D636" s="53"/>
      <c r="E636" s="240"/>
      <c r="F636" s="24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>
      <c r="A637" s="83"/>
      <c r="B637" s="53"/>
      <c r="C637" s="53"/>
      <c r="D637" s="53"/>
      <c r="E637" s="240"/>
      <c r="F637" s="241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>
      <c r="A638" s="83"/>
      <c r="B638" s="53"/>
      <c r="C638" s="53"/>
      <c r="D638" s="53"/>
      <c r="E638" s="240"/>
      <c r="F638" s="241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>
      <c r="A639" s="83"/>
      <c r="B639" s="53"/>
      <c r="C639" s="53"/>
      <c r="D639" s="53"/>
      <c r="E639" s="240"/>
      <c r="F639" s="241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>
      <c r="A640" s="83"/>
      <c r="B640" s="53"/>
      <c r="C640" s="53"/>
      <c r="D640" s="53"/>
      <c r="E640" s="240"/>
      <c r="F640" s="241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>
      <c r="A641" s="83"/>
      <c r="B641" s="53"/>
      <c r="C641" s="53"/>
      <c r="D641" s="53"/>
      <c r="E641" s="240"/>
      <c r="F641" s="241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>
      <c r="A642" s="83"/>
      <c r="B642" s="53"/>
      <c r="C642" s="53"/>
      <c r="D642" s="53"/>
      <c r="E642" s="240"/>
      <c r="F642" s="241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>
      <c r="A643" s="83"/>
      <c r="B643" s="53"/>
      <c r="C643" s="53"/>
      <c r="D643" s="53"/>
      <c r="E643" s="240"/>
      <c r="F643" s="241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>
      <c r="A644" s="83"/>
      <c r="B644" s="53"/>
      <c r="C644" s="53"/>
      <c r="D644" s="53"/>
      <c r="E644" s="240"/>
      <c r="F644" s="241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>
      <c r="A645" s="83"/>
      <c r="B645" s="53"/>
      <c r="C645" s="53"/>
      <c r="D645" s="53"/>
      <c r="E645" s="240"/>
      <c r="F645" s="241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>
      <c r="A646" s="83"/>
      <c r="B646" s="53"/>
      <c r="C646" s="53"/>
      <c r="D646" s="53"/>
      <c r="E646" s="240"/>
      <c r="F646" s="241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>
      <c r="A647" s="83"/>
      <c r="B647" s="53"/>
      <c r="C647" s="53"/>
      <c r="D647" s="53"/>
      <c r="E647" s="240"/>
      <c r="F647" s="241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>
      <c r="A648" s="83"/>
      <c r="B648" s="53"/>
      <c r="C648" s="53"/>
      <c r="D648" s="53"/>
      <c r="E648" s="240"/>
      <c r="F648" s="241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>
      <c r="A649" s="83"/>
      <c r="B649" s="53"/>
      <c r="C649" s="53"/>
      <c r="D649" s="53"/>
      <c r="E649" s="240"/>
      <c r="F649" s="241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>
      <c r="A650" s="83"/>
      <c r="B650" s="53"/>
      <c r="C650" s="53"/>
      <c r="D650" s="53"/>
      <c r="E650" s="240"/>
      <c r="F650" s="241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>
      <c r="A651" s="83"/>
      <c r="B651" s="53"/>
      <c r="C651" s="53"/>
      <c r="D651" s="53"/>
      <c r="E651" s="240"/>
      <c r="F651" s="241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>
      <c r="A652" s="83"/>
      <c r="B652" s="53"/>
      <c r="C652" s="53"/>
      <c r="D652" s="53"/>
      <c r="E652" s="240"/>
      <c r="F652" s="241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>
      <c r="A653" s="83"/>
      <c r="B653" s="53"/>
      <c r="C653" s="53"/>
      <c r="D653" s="53"/>
      <c r="E653" s="240"/>
      <c r="F653" s="24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>
      <c r="A654" s="83"/>
      <c r="B654" s="53"/>
      <c r="C654" s="53"/>
      <c r="D654" s="53"/>
      <c r="E654" s="240"/>
      <c r="F654" s="24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>
      <c r="A655" s="83"/>
      <c r="B655" s="53"/>
      <c r="C655" s="53"/>
      <c r="D655" s="53"/>
      <c r="E655" s="240"/>
      <c r="F655" s="241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>
      <c r="A656" s="83"/>
      <c r="B656" s="53"/>
      <c r="C656" s="53"/>
      <c r="D656" s="53"/>
      <c r="E656" s="240"/>
      <c r="F656" s="241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>
      <c r="A657" s="83"/>
      <c r="B657" s="53"/>
      <c r="C657" s="53"/>
      <c r="D657" s="53"/>
      <c r="E657" s="240"/>
      <c r="F657" s="241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>
      <c r="A658" s="83"/>
      <c r="B658" s="53"/>
      <c r="C658" s="53"/>
      <c r="D658" s="53"/>
      <c r="E658" s="240"/>
      <c r="F658" s="241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>
      <c r="A659" s="83"/>
      <c r="B659" s="53"/>
      <c r="C659" s="53"/>
      <c r="D659" s="53"/>
      <c r="E659" s="240"/>
      <c r="F659" s="241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>
      <c r="A660" s="83"/>
      <c r="B660" s="53"/>
      <c r="C660" s="53"/>
      <c r="D660" s="53"/>
      <c r="E660" s="240"/>
      <c r="F660" s="241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>
      <c r="A661" s="83"/>
      <c r="B661" s="53"/>
      <c r="C661" s="53"/>
      <c r="D661" s="53"/>
      <c r="E661" s="240"/>
      <c r="F661" s="241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>
      <c r="A662" s="83"/>
      <c r="B662" s="53"/>
      <c r="C662" s="53"/>
      <c r="D662" s="53"/>
      <c r="E662" s="240"/>
      <c r="F662" s="241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>
      <c r="A663" s="83"/>
      <c r="B663" s="53"/>
      <c r="C663" s="53"/>
      <c r="D663" s="53"/>
      <c r="E663" s="240"/>
      <c r="F663" s="241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>
      <c r="A664" s="83"/>
      <c r="B664" s="53"/>
      <c r="C664" s="53"/>
      <c r="D664" s="53"/>
      <c r="E664" s="240"/>
      <c r="F664" s="241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>
      <c r="A665" s="83"/>
      <c r="B665" s="53"/>
      <c r="C665" s="53"/>
      <c r="D665" s="53"/>
      <c r="E665" s="240"/>
      <c r="F665" s="241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>
      <c r="A666" s="83"/>
      <c r="B666" s="53"/>
      <c r="C666" s="53"/>
      <c r="D666" s="53"/>
      <c r="E666" s="240"/>
      <c r="F666" s="241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>
      <c r="A667" s="83"/>
      <c r="B667" s="53"/>
      <c r="C667" s="53"/>
      <c r="D667" s="53"/>
      <c r="E667" s="240"/>
      <c r="F667" s="241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>
      <c r="A668" s="83"/>
      <c r="B668" s="53"/>
      <c r="C668" s="53"/>
      <c r="D668" s="53"/>
      <c r="E668" s="240"/>
      <c r="F668" s="241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>
      <c r="A669" s="83"/>
      <c r="B669" s="53"/>
      <c r="C669" s="53"/>
      <c r="D669" s="53"/>
      <c r="E669" s="240"/>
      <c r="F669" s="241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>
      <c r="A670" s="83"/>
      <c r="B670" s="53"/>
      <c r="C670" s="53"/>
      <c r="D670" s="53"/>
      <c r="E670" s="240"/>
      <c r="F670" s="241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>
      <c r="A671" s="83"/>
      <c r="B671" s="53"/>
      <c r="C671" s="53"/>
      <c r="D671" s="53"/>
      <c r="E671" s="240"/>
      <c r="F671" s="24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>
      <c r="A672" s="83"/>
      <c r="B672" s="53"/>
      <c r="C672" s="53"/>
      <c r="D672" s="53"/>
      <c r="E672" s="240"/>
      <c r="F672" s="24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>
      <c r="A673" s="83"/>
      <c r="B673" s="53"/>
      <c r="C673" s="53"/>
      <c r="D673" s="53"/>
      <c r="E673" s="240"/>
      <c r="F673" s="241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>
      <c r="A674" s="83"/>
      <c r="B674" s="53"/>
      <c r="C674" s="53"/>
      <c r="D674" s="53"/>
      <c r="E674" s="240"/>
      <c r="F674" s="241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>
      <c r="A675" s="83"/>
      <c r="B675" s="53"/>
      <c r="C675" s="53"/>
      <c r="D675" s="53"/>
      <c r="E675" s="240"/>
      <c r="F675" s="241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>
      <c r="A676" s="83"/>
      <c r="B676" s="53"/>
      <c r="C676" s="53"/>
      <c r="D676" s="53"/>
      <c r="E676" s="240"/>
      <c r="F676" s="241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>
      <c r="A677" s="83"/>
      <c r="B677" s="53"/>
      <c r="C677" s="53"/>
      <c r="D677" s="53"/>
      <c r="E677" s="240"/>
      <c r="F677" s="241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>
      <c r="A678" s="83"/>
      <c r="B678" s="53"/>
      <c r="C678" s="53"/>
      <c r="D678" s="53"/>
      <c r="E678" s="240"/>
      <c r="F678" s="241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>
      <c r="A679" s="83"/>
      <c r="B679" s="53"/>
      <c r="C679" s="53"/>
      <c r="D679" s="53"/>
      <c r="E679" s="240"/>
      <c r="F679" s="241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>
      <c r="A680" s="83"/>
      <c r="B680" s="53"/>
      <c r="C680" s="53"/>
      <c r="D680" s="53"/>
      <c r="E680" s="240"/>
      <c r="F680" s="241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>
      <c r="A681" s="83"/>
      <c r="B681" s="53"/>
      <c r="C681" s="53"/>
      <c r="D681" s="53"/>
      <c r="E681" s="240"/>
      <c r="F681" s="241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>
      <c r="A682" s="83"/>
      <c r="B682" s="53"/>
      <c r="C682" s="53"/>
      <c r="D682" s="53"/>
      <c r="E682" s="240"/>
      <c r="F682" s="241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>
      <c r="A683" s="83"/>
      <c r="B683" s="53"/>
      <c r="C683" s="53"/>
      <c r="D683" s="53"/>
      <c r="E683" s="240"/>
      <c r="F683" s="241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>
      <c r="A684" s="83"/>
      <c r="B684" s="53"/>
      <c r="C684" s="53"/>
      <c r="D684" s="53"/>
      <c r="E684" s="240"/>
      <c r="F684" s="241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>
      <c r="A685" s="83"/>
      <c r="B685" s="53"/>
      <c r="C685" s="53"/>
      <c r="D685" s="53"/>
      <c r="E685" s="240"/>
      <c r="F685" s="241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>
      <c r="A686" s="83"/>
      <c r="B686" s="53"/>
      <c r="C686" s="53"/>
      <c r="D686" s="53"/>
      <c r="E686" s="240"/>
      <c r="F686" s="241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>
      <c r="A687" s="83"/>
      <c r="B687" s="53"/>
      <c r="C687" s="53"/>
      <c r="D687" s="53"/>
      <c r="E687" s="240"/>
      <c r="F687" s="241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>
      <c r="A688" s="83"/>
      <c r="B688" s="53"/>
      <c r="C688" s="53"/>
      <c r="D688" s="53"/>
      <c r="E688" s="240"/>
      <c r="F688" s="241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>
      <c r="A689" s="83"/>
      <c r="B689" s="53"/>
      <c r="C689" s="53"/>
      <c r="D689" s="53"/>
      <c r="E689" s="240"/>
      <c r="F689" s="24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>
      <c r="A690" s="83"/>
      <c r="B690" s="53"/>
      <c r="C690" s="53"/>
      <c r="D690" s="53"/>
      <c r="E690" s="240"/>
      <c r="F690" s="24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>
      <c r="A691" s="83"/>
      <c r="B691" s="53"/>
      <c r="C691" s="53"/>
      <c r="D691" s="53"/>
      <c r="E691" s="240"/>
      <c r="F691" s="241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>
      <c r="A692" s="83"/>
      <c r="B692" s="53"/>
      <c r="C692" s="53"/>
      <c r="D692" s="53"/>
      <c r="E692" s="240"/>
      <c r="F692" s="241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>
      <c r="A693" s="83"/>
      <c r="B693" s="53"/>
      <c r="C693" s="53"/>
      <c r="D693" s="53"/>
      <c r="E693" s="240"/>
      <c r="F693" s="241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>
      <c r="A694" s="83"/>
      <c r="B694" s="53"/>
      <c r="C694" s="53"/>
      <c r="D694" s="53"/>
      <c r="E694" s="240"/>
      <c r="F694" s="241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>
      <c r="A695" s="83"/>
      <c r="B695" s="53"/>
      <c r="C695" s="53"/>
      <c r="D695" s="53"/>
      <c r="E695" s="240"/>
      <c r="F695" s="241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>
      <c r="A696" s="83"/>
      <c r="B696" s="53"/>
      <c r="C696" s="53"/>
      <c r="D696" s="53"/>
      <c r="E696" s="240"/>
      <c r="F696" s="241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>
      <c r="A697" s="83"/>
      <c r="B697" s="53"/>
      <c r="C697" s="53"/>
      <c r="D697" s="53"/>
      <c r="E697" s="240"/>
      <c r="F697" s="241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>
      <c r="A698" s="83"/>
      <c r="B698" s="53"/>
      <c r="C698" s="53"/>
      <c r="D698" s="53"/>
      <c r="E698" s="240"/>
      <c r="F698" s="241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>
      <c r="A699" s="83"/>
      <c r="B699" s="53"/>
      <c r="C699" s="53"/>
      <c r="D699" s="53"/>
      <c r="E699" s="240"/>
      <c r="F699" s="241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>
      <c r="A700" s="83"/>
      <c r="B700" s="53"/>
      <c r="C700" s="53"/>
      <c r="D700" s="53"/>
      <c r="E700" s="240"/>
      <c r="F700" s="241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>
      <c r="A701" s="83"/>
      <c r="B701" s="53"/>
      <c r="C701" s="53"/>
      <c r="D701" s="53"/>
      <c r="E701" s="240"/>
      <c r="F701" s="241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>
      <c r="A702" s="83"/>
      <c r="B702" s="53"/>
      <c r="C702" s="53"/>
      <c r="D702" s="53"/>
      <c r="E702" s="240"/>
      <c r="F702" s="241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>
      <c r="A703" s="83"/>
      <c r="B703" s="53"/>
      <c r="C703" s="53"/>
      <c r="D703" s="53"/>
      <c r="E703" s="240"/>
      <c r="F703" s="241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>
      <c r="A704" s="83"/>
      <c r="B704" s="53"/>
      <c r="C704" s="53"/>
      <c r="D704" s="53"/>
      <c r="E704" s="240"/>
      <c r="F704" s="241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>
      <c r="A705" s="83"/>
      <c r="B705" s="53"/>
      <c r="C705" s="53"/>
      <c r="D705" s="53"/>
      <c r="E705" s="240"/>
      <c r="F705" s="241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>
      <c r="A706" s="83"/>
      <c r="B706" s="53"/>
      <c r="C706" s="53"/>
      <c r="D706" s="53"/>
      <c r="E706" s="240"/>
      <c r="F706" s="241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>
      <c r="A707" s="83"/>
      <c r="B707" s="53"/>
      <c r="C707" s="53"/>
      <c r="D707" s="53"/>
      <c r="E707" s="240"/>
      <c r="F707" s="24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>
      <c r="A708" s="83"/>
      <c r="B708" s="53"/>
      <c r="C708" s="53"/>
      <c r="D708" s="53"/>
      <c r="E708" s="240"/>
      <c r="F708" s="24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>
      <c r="A709" s="83"/>
      <c r="B709" s="53"/>
      <c r="C709" s="53"/>
      <c r="D709" s="53"/>
      <c r="E709" s="240"/>
      <c r="F709" s="241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>
      <c r="A710" s="83"/>
      <c r="B710" s="53"/>
      <c r="C710" s="53"/>
      <c r="D710" s="53"/>
      <c r="E710" s="240"/>
      <c r="F710" s="241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>
      <c r="A711" s="83"/>
      <c r="B711" s="53"/>
      <c r="C711" s="53"/>
      <c r="D711" s="53"/>
      <c r="E711" s="240"/>
      <c r="F711" s="241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>
      <c r="A712" s="83"/>
      <c r="B712" s="53"/>
      <c r="C712" s="53"/>
      <c r="D712" s="53"/>
      <c r="E712" s="240"/>
      <c r="F712" s="241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>
      <c r="A713" s="83"/>
      <c r="B713" s="53"/>
      <c r="C713" s="53"/>
      <c r="D713" s="53"/>
      <c r="E713" s="240"/>
      <c r="F713" s="241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>
      <c r="A714" s="83"/>
      <c r="B714" s="53"/>
      <c r="C714" s="53"/>
      <c r="D714" s="53"/>
      <c r="E714" s="240"/>
      <c r="F714" s="241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>
      <c r="A715" s="83"/>
      <c r="B715" s="53"/>
      <c r="C715" s="53"/>
      <c r="D715" s="53"/>
      <c r="E715" s="240"/>
      <c r="F715" s="241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>
      <c r="A716" s="83"/>
      <c r="B716" s="53"/>
      <c r="C716" s="53"/>
      <c r="D716" s="53"/>
      <c r="E716" s="240"/>
      <c r="F716" s="241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>
      <c r="A717" s="83"/>
      <c r="B717" s="53"/>
      <c r="C717" s="53"/>
      <c r="D717" s="53"/>
      <c r="E717" s="240"/>
      <c r="F717" s="241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>
      <c r="A718" s="83"/>
      <c r="B718" s="53"/>
      <c r="C718" s="53"/>
      <c r="D718" s="53"/>
      <c r="E718" s="240"/>
      <c r="F718" s="241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>
      <c r="A719" s="83"/>
      <c r="B719" s="53"/>
      <c r="C719" s="53"/>
      <c r="D719" s="53"/>
      <c r="E719" s="240"/>
      <c r="F719" s="241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>
      <c r="A720" s="83"/>
      <c r="B720" s="53"/>
      <c r="C720" s="53"/>
      <c r="D720" s="53"/>
      <c r="E720" s="240"/>
      <c r="F720" s="241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>
      <c r="A721" s="83"/>
      <c r="B721" s="53"/>
      <c r="C721" s="53"/>
      <c r="D721" s="53"/>
      <c r="E721" s="240"/>
      <c r="F721" s="241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>
      <c r="A722" s="83"/>
      <c r="B722" s="53"/>
      <c r="C722" s="53"/>
      <c r="D722" s="53"/>
      <c r="E722" s="240"/>
      <c r="F722" s="241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>
      <c r="A723" s="83"/>
      <c r="B723" s="53"/>
      <c r="C723" s="53"/>
      <c r="D723" s="53"/>
      <c r="E723" s="240"/>
      <c r="F723" s="241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>
      <c r="A724" s="83"/>
      <c r="B724" s="53"/>
      <c r="C724" s="53"/>
      <c r="D724" s="53"/>
      <c r="E724" s="240"/>
      <c r="F724" s="241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>
      <c r="A725" s="83"/>
      <c r="B725" s="53"/>
      <c r="C725" s="53"/>
      <c r="D725" s="53"/>
      <c r="E725" s="240"/>
      <c r="F725" s="24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>
      <c r="A726" s="83"/>
      <c r="B726" s="53"/>
      <c r="C726" s="53"/>
      <c r="D726" s="53"/>
      <c r="E726" s="240"/>
      <c r="F726" s="24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>
      <c r="A727" s="83"/>
      <c r="B727" s="53"/>
      <c r="C727" s="53"/>
      <c r="D727" s="53"/>
      <c r="E727" s="240"/>
      <c r="F727" s="241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>
      <c r="A728" s="83"/>
      <c r="B728" s="53"/>
      <c r="C728" s="53"/>
      <c r="D728" s="53"/>
      <c r="E728" s="240"/>
      <c r="F728" s="241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>
      <c r="A729" s="83"/>
      <c r="B729" s="53"/>
      <c r="C729" s="53"/>
      <c r="D729" s="53"/>
      <c r="E729" s="240"/>
      <c r="F729" s="241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>
      <c r="A730" s="83"/>
      <c r="B730" s="53"/>
      <c r="C730" s="53"/>
      <c r="D730" s="53"/>
      <c r="E730" s="240"/>
      <c r="F730" s="241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>
      <c r="A731" s="83"/>
      <c r="B731" s="53"/>
      <c r="C731" s="53"/>
      <c r="D731" s="53"/>
      <c r="E731" s="240"/>
      <c r="F731" s="241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>
      <c r="A732" s="83"/>
      <c r="B732" s="53"/>
      <c r="C732" s="53"/>
      <c r="D732" s="53"/>
      <c r="E732" s="240"/>
      <c r="F732" s="241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>
      <c r="A733" s="83"/>
      <c r="B733" s="53"/>
      <c r="C733" s="53"/>
      <c r="D733" s="53"/>
      <c r="E733" s="240"/>
      <c r="F733" s="241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>
      <c r="A734" s="83"/>
      <c r="B734" s="53"/>
      <c r="C734" s="53"/>
      <c r="D734" s="53"/>
      <c r="E734" s="240"/>
      <c r="F734" s="241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>
      <c r="A735" s="83"/>
      <c r="B735" s="53"/>
      <c r="C735" s="53"/>
      <c r="D735" s="53"/>
      <c r="E735" s="240"/>
      <c r="F735" s="241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>
      <c r="A736" s="83"/>
      <c r="B736" s="53"/>
      <c r="C736" s="53"/>
      <c r="D736" s="53"/>
      <c r="E736" s="240"/>
      <c r="F736" s="241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>
      <c r="A737" s="83"/>
      <c r="B737" s="53"/>
      <c r="C737" s="53"/>
      <c r="D737" s="53"/>
      <c r="E737" s="240"/>
      <c r="F737" s="241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>
      <c r="A738" s="83"/>
      <c r="B738" s="53"/>
      <c r="C738" s="53"/>
      <c r="D738" s="53"/>
      <c r="E738" s="240"/>
      <c r="F738" s="241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>
      <c r="A739" s="83"/>
      <c r="B739" s="53"/>
      <c r="C739" s="53"/>
      <c r="D739" s="53"/>
      <c r="E739" s="240"/>
      <c r="F739" s="241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>
      <c r="A740" s="83"/>
      <c r="B740" s="53"/>
      <c r="C740" s="53"/>
      <c r="D740" s="53"/>
      <c r="E740" s="240"/>
      <c r="F740" s="241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>
      <c r="A741" s="83"/>
      <c r="B741" s="53"/>
      <c r="C741" s="53"/>
      <c r="D741" s="53"/>
      <c r="E741" s="240"/>
      <c r="F741" s="241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>
      <c r="A742" s="83"/>
      <c r="B742" s="53"/>
      <c r="C742" s="53"/>
      <c r="D742" s="53"/>
      <c r="E742" s="240"/>
      <c r="F742" s="241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>
      <c r="A743" s="83"/>
      <c r="B743" s="53"/>
      <c r="C743" s="53"/>
      <c r="D743" s="53"/>
      <c r="E743" s="240"/>
      <c r="F743" s="24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>
      <c r="A744" s="83"/>
      <c r="B744" s="53"/>
      <c r="C744" s="53"/>
      <c r="D744" s="53"/>
      <c r="E744" s="240"/>
      <c r="F744" s="24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>
      <c r="A745" s="83"/>
      <c r="B745" s="53"/>
      <c r="C745" s="53"/>
      <c r="D745" s="53"/>
      <c r="E745" s="240"/>
      <c r="F745" s="241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>
      <c r="A746" s="83"/>
      <c r="B746" s="53"/>
      <c r="C746" s="53"/>
      <c r="D746" s="53"/>
      <c r="E746" s="240"/>
      <c r="F746" s="241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>
      <c r="A747" s="83"/>
      <c r="B747" s="53"/>
      <c r="C747" s="53"/>
      <c r="D747" s="53"/>
      <c r="E747" s="240"/>
      <c r="F747" s="241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>
      <c r="A748" s="83"/>
      <c r="B748" s="53"/>
      <c r="C748" s="53"/>
      <c r="D748" s="53"/>
      <c r="E748" s="240"/>
      <c r="F748" s="241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>
      <c r="A749" s="83"/>
      <c r="B749" s="53"/>
      <c r="C749" s="53"/>
      <c r="D749" s="53"/>
      <c r="E749" s="240"/>
      <c r="F749" s="241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>
      <c r="A750" s="83"/>
      <c r="B750" s="53"/>
      <c r="C750" s="53"/>
      <c r="D750" s="53"/>
      <c r="E750" s="240"/>
      <c r="F750" s="241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>
      <c r="A751" s="83"/>
      <c r="B751" s="53"/>
      <c r="C751" s="53"/>
      <c r="D751" s="53"/>
      <c r="E751" s="240"/>
      <c r="F751" s="241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>
      <c r="A752" s="83"/>
      <c r="B752" s="53"/>
      <c r="C752" s="53"/>
      <c r="D752" s="53"/>
      <c r="E752" s="240"/>
      <c r="F752" s="241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>
      <c r="A753" s="83"/>
      <c r="B753" s="53"/>
      <c r="C753" s="53"/>
      <c r="D753" s="53"/>
      <c r="E753" s="240"/>
      <c r="F753" s="241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>
      <c r="A754" s="83"/>
      <c r="B754" s="53"/>
      <c r="C754" s="53"/>
      <c r="D754" s="53"/>
      <c r="E754" s="240"/>
      <c r="F754" s="241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>
      <c r="A755" s="83"/>
      <c r="B755" s="53"/>
      <c r="C755" s="53"/>
      <c r="D755" s="53"/>
      <c r="E755" s="240"/>
      <c r="F755" s="241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>
      <c r="A756" s="83"/>
      <c r="B756" s="53"/>
      <c r="C756" s="53"/>
      <c r="D756" s="53"/>
      <c r="E756" s="240"/>
      <c r="F756" s="241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>
      <c r="A757" s="83"/>
      <c r="B757" s="53"/>
      <c r="C757" s="53"/>
      <c r="D757" s="53"/>
      <c r="E757" s="240"/>
      <c r="F757" s="241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>
      <c r="A758" s="83"/>
      <c r="B758" s="53"/>
      <c r="C758" s="53"/>
      <c r="D758" s="53"/>
      <c r="E758" s="240"/>
      <c r="F758" s="241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>
      <c r="A759" s="83"/>
      <c r="B759" s="53"/>
      <c r="C759" s="53"/>
      <c r="D759" s="53"/>
      <c r="E759" s="240"/>
      <c r="F759" s="241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>
      <c r="A760" s="83"/>
      <c r="B760" s="53"/>
      <c r="C760" s="53"/>
      <c r="D760" s="53"/>
      <c r="E760" s="240"/>
      <c r="F760" s="241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>
      <c r="A761" s="83"/>
      <c r="B761" s="53"/>
      <c r="C761" s="53"/>
      <c r="D761" s="53"/>
      <c r="E761" s="240"/>
      <c r="F761" s="24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>
      <c r="A762" s="83"/>
      <c r="B762" s="53"/>
      <c r="C762" s="53"/>
      <c r="D762" s="53"/>
      <c r="E762" s="240"/>
      <c r="F762" s="24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>
      <c r="A763" s="83"/>
      <c r="B763" s="53"/>
      <c r="C763" s="53"/>
      <c r="D763" s="53"/>
      <c r="E763" s="240"/>
      <c r="F763" s="241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>
      <c r="A764" s="83"/>
      <c r="B764" s="53"/>
      <c r="C764" s="53"/>
      <c r="D764" s="53"/>
      <c r="E764" s="240"/>
      <c r="F764" s="241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>
      <c r="A765" s="83"/>
      <c r="B765" s="53"/>
      <c r="C765" s="53"/>
      <c r="D765" s="53"/>
      <c r="E765" s="240"/>
      <c r="F765" s="241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>
      <c r="A766" s="83"/>
      <c r="B766" s="53"/>
      <c r="C766" s="53"/>
      <c r="D766" s="53"/>
      <c r="E766" s="240"/>
      <c r="F766" s="241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>
      <c r="A767" s="83"/>
      <c r="B767" s="53"/>
      <c r="C767" s="53"/>
      <c r="D767" s="53"/>
      <c r="E767" s="240"/>
      <c r="F767" s="241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>
      <c r="A768" s="83"/>
      <c r="B768" s="53"/>
      <c r="C768" s="53"/>
      <c r="D768" s="53"/>
      <c r="E768" s="240"/>
      <c r="F768" s="241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>
      <c r="A769" s="83"/>
      <c r="B769" s="53"/>
      <c r="C769" s="53"/>
      <c r="D769" s="53"/>
      <c r="E769" s="240"/>
      <c r="F769" s="241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>
      <c r="A770" s="83"/>
      <c r="B770" s="53"/>
      <c r="C770" s="53"/>
      <c r="D770" s="53"/>
      <c r="E770" s="240"/>
      <c r="F770" s="241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>
      <c r="A771" s="83"/>
      <c r="B771" s="53"/>
      <c r="C771" s="53"/>
      <c r="D771" s="53"/>
      <c r="E771" s="240"/>
      <c r="F771" s="241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>
      <c r="A772" s="83"/>
      <c r="B772" s="53"/>
      <c r="C772" s="53"/>
      <c r="D772" s="53"/>
      <c r="E772" s="240"/>
      <c r="F772" s="241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>
      <c r="A773" s="83"/>
      <c r="B773" s="53"/>
      <c r="C773" s="53"/>
      <c r="D773" s="53"/>
      <c r="E773" s="240"/>
      <c r="F773" s="241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>
      <c r="A774" s="83"/>
      <c r="B774" s="53"/>
      <c r="C774" s="53"/>
      <c r="D774" s="53"/>
      <c r="E774" s="240"/>
      <c r="F774" s="241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>
      <c r="A775" s="83"/>
      <c r="B775" s="53"/>
      <c r="C775" s="53"/>
      <c r="D775" s="53"/>
      <c r="E775" s="240"/>
      <c r="F775" s="241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>
      <c r="A776" s="83"/>
      <c r="B776" s="53"/>
      <c r="C776" s="53"/>
      <c r="D776" s="53"/>
      <c r="E776" s="240"/>
      <c r="F776" s="241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>
      <c r="A777" s="83"/>
      <c r="B777" s="53"/>
      <c r="C777" s="53"/>
      <c r="D777" s="53"/>
      <c r="E777" s="240"/>
      <c r="F777" s="241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>
      <c r="A778" s="83"/>
      <c r="B778" s="53"/>
      <c r="C778" s="53"/>
      <c r="D778" s="53"/>
      <c r="E778" s="240"/>
      <c r="F778" s="241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>
      <c r="A779" s="83"/>
      <c r="B779" s="53"/>
      <c r="C779" s="53"/>
      <c r="D779" s="53"/>
      <c r="E779" s="240"/>
      <c r="F779" s="24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>
      <c r="A780" s="83"/>
      <c r="B780" s="53"/>
      <c r="C780" s="53"/>
      <c r="D780" s="53"/>
      <c r="E780" s="240"/>
      <c r="F780" s="24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>
      <c r="A781" s="83"/>
      <c r="B781" s="53"/>
      <c r="C781" s="53"/>
      <c r="D781" s="53"/>
      <c r="E781" s="240"/>
      <c r="F781" s="241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>
      <c r="A782" s="83"/>
      <c r="B782" s="53"/>
      <c r="C782" s="53"/>
      <c r="D782" s="53"/>
      <c r="E782" s="240"/>
      <c r="F782" s="241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>
      <c r="A783" s="83"/>
      <c r="B783" s="53"/>
      <c r="C783" s="53"/>
      <c r="D783" s="53"/>
      <c r="E783" s="240"/>
      <c r="F783" s="241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>
      <c r="A784" s="83"/>
      <c r="B784" s="53"/>
      <c r="C784" s="53"/>
      <c r="D784" s="53"/>
      <c r="E784" s="240"/>
      <c r="F784" s="241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>
      <c r="A785" s="83"/>
      <c r="B785" s="53"/>
      <c r="C785" s="53"/>
      <c r="D785" s="53"/>
      <c r="E785" s="240"/>
      <c r="F785" s="241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>
      <c r="A786" s="83"/>
      <c r="B786" s="53"/>
      <c r="C786" s="53"/>
      <c r="D786" s="53"/>
      <c r="E786" s="240"/>
      <c r="F786" s="241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>
      <c r="A787" s="83"/>
      <c r="B787" s="53"/>
      <c r="C787" s="53"/>
      <c r="D787" s="53"/>
      <c r="E787" s="240"/>
      <c r="F787" s="241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>
      <c r="A788" s="83"/>
      <c r="B788" s="53"/>
      <c r="C788" s="53"/>
      <c r="D788" s="53"/>
      <c r="E788" s="240"/>
      <c r="F788" s="241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>
      <c r="A789" s="83"/>
      <c r="B789" s="53"/>
      <c r="C789" s="53"/>
      <c r="D789" s="53"/>
      <c r="E789" s="240"/>
      <c r="F789" s="241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>
      <c r="A790" s="83"/>
      <c r="B790" s="53"/>
      <c r="C790" s="53"/>
      <c r="D790" s="53"/>
      <c r="E790" s="240"/>
      <c r="F790" s="241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>
      <c r="A791" s="83"/>
      <c r="B791" s="53"/>
      <c r="C791" s="53"/>
      <c r="D791" s="53"/>
      <c r="E791" s="240"/>
      <c r="F791" s="241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>
      <c r="A792" s="83"/>
      <c r="B792" s="53"/>
      <c r="C792" s="53"/>
      <c r="D792" s="53"/>
      <c r="E792" s="240"/>
      <c r="F792" s="241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>
      <c r="A793" s="83"/>
      <c r="B793" s="53"/>
      <c r="C793" s="53"/>
      <c r="D793" s="53"/>
      <c r="E793" s="240"/>
      <c r="F793" s="241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>
      <c r="A794" s="83"/>
      <c r="B794" s="53"/>
      <c r="C794" s="53"/>
      <c r="D794" s="53"/>
      <c r="E794" s="240"/>
      <c r="F794" s="241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>
      <c r="A795" s="83"/>
      <c r="B795" s="53"/>
      <c r="C795" s="53"/>
      <c r="D795" s="53"/>
      <c r="E795" s="240"/>
      <c r="F795" s="241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>
      <c r="A796" s="83"/>
      <c r="B796" s="53"/>
      <c r="C796" s="53"/>
      <c r="D796" s="53"/>
      <c r="E796" s="240"/>
      <c r="F796" s="241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>
      <c r="A797" s="83"/>
      <c r="B797" s="53"/>
      <c r="C797" s="53"/>
      <c r="D797" s="53"/>
      <c r="E797" s="240"/>
      <c r="F797" s="24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>
      <c r="A798" s="83"/>
      <c r="B798" s="53"/>
      <c r="C798" s="53"/>
      <c r="D798" s="53"/>
      <c r="E798" s="240"/>
      <c r="F798" s="24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>
      <c r="A799" s="83"/>
      <c r="B799" s="53"/>
      <c r="C799" s="53"/>
      <c r="D799" s="53"/>
      <c r="E799" s="240"/>
      <c r="F799" s="241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>
      <c r="A800" s="83"/>
      <c r="B800" s="53"/>
      <c r="C800" s="53"/>
      <c r="D800" s="53"/>
      <c r="E800" s="240"/>
      <c r="F800" s="241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>
      <c r="A801" s="83"/>
      <c r="B801" s="53"/>
      <c r="C801" s="53"/>
      <c r="D801" s="53"/>
      <c r="E801" s="240"/>
      <c r="F801" s="241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>
      <c r="A802" s="83"/>
      <c r="B802" s="53"/>
      <c r="C802" s="53"/>
      <c r="D802" s="53"/>
      <c r="E802" s="240"/>
      <c r="F802" s="241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>
      <c r="A803" s="83"/>
      <c r="B803" s="53"/>
      <c r="C803" s="53"/>
      <c r="D803" s="53"/>
      <c r="E803" s="240"/>
      <c r="F803" s="241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>
      <c r="A804" s="83"/>
      <c r="B804" s="53"/>
      <c r="C804" s="53"/>
      <c r="D804" s="53"/>
      <c r="E804" s="240"/>
      <c r="F804" s="241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>
      <c r="A805" s="83"/>
      <c r="B805" s="53"/>
      <c r="C805" s="53"/>
      <c r="D805" s="53"/>
      <c r="E805" s="240"/>
      <c r="F805" s="241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>
      <c r="A806" s="83"/>
      <c r="B806" s="53"/>
      <c r="C806" s="53"/>
      <c r="D806" s="53"/>
      <c r="E806" s="240"/>
      <c r="F806" s="241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>
      <c r="A807" s="83"/>
      <c r="B807" s="53"/>
      <c r="C807" s="53"/>
      <c r="D807" s="53"/>
      <c r="E807" s="240"/>
      <c r="F807" s="241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>
      <c r="A808" s="83"/>
      <c r="B808" s="53"/>
      <c r="C808" s="53"/>
      <c r="D808" s="53"/>
      <c r="E808" s="240"/>
      <c r="F808" s="241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>
      <c r="A809" s="83"/>
      <c r="B809" s="53"/>
      <c r="C809" s="53"/>
      <c r="D809" s="53"/>
      <c r="E809" s="240"/>
      <c r="F809" s="241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>
      <c r="A810" s="83"/>
      <c r="B810" s="53"/>
      <c r="C810" s="53"/>
      <c r="D810" s="53"/>
      <c r="E810" s="240"/>
      <c r="F810" s="241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>
      <c r="A811" s="83"/>
      <c r="B811" s="53"/>
      <c r="C811" s="53"/>
      <c r="D811" s="53"/>
      <c r="E811" s="240"/>
      <c r="F811" s="241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>
      <c r="A812" s="83"/>
      <c r="B812" s="53"/>
      <c r="C812" s="53"/>
      <c r="D812" s="53"/>
      <c r="E812" s="240"/>
      <c r="F812" s="241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>
      <c r="A813" s="83"/>
      <c r="B813" s="53"/>
      <c r="C813" s="53"/>
      <c r="D813" s="53"/>
      <c r="E813" s="240"/>
      <c r="F813" s="241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>
      <c r="A814" s="83"/>
      <c r="B814" s="53"/>
      <c r="C814" s="53"/>
      <c r="D814" s="53"/>
      <c r="E814" s="240"/>
      <c r="F814" s="241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>
      <c r="A815" s="83"/>
      <c r="B815" s="53"/>
      <c r="C815" s="53"/>
      <c r="D815" s="53"/>
      <c r="E815" s="240"/>
      <c r="F815" s="24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>
      <c r="A816" s="83"/>
      <c r="B816" s="53"/>
      <c r="C816" s="53"/>
      <c r="D816" s="53"/>
      <c r="E816" s="240"/>
      <c r="F816" s="24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>
      <c r="A817" s="83"/>
      <c r="B817" s="53"/>
      <c r="C817" s="53"/>
      <c r="D817" s="53"/>
      <c r="E817" s="240"/>
      <c r="F817" s="241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>
      <c r="A818" s="83"/>
      <c r="B818" s="53"/>
      <c r="C818" s="53"/>
      <c r="D818" s="53"/>
      <c r="E818" s="240"/>
      <c r="F818" s="241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>
      <c r="A819" s="83"/>
      <c r="B819" s="53"/>
      <c r="C819" s="53"/>
      <c r="D819" s="53"/>
      <c r="E819" s="240"/>
      <c r="F819" s="241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>
      <c r="A820" s="83"/>
      <c r="B820" s="53"/>
      <c r="C820" s="53"/>
      <c r="D820" s="53"/>
      <c r="E820" s="240"/>
      <c r="F820" s="241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>
      <c r="A821" s="83"/>
      <c r="B821" s="53"/>
      <c r="C821" s="53"/>
      <c r="D821" s="53"/>
      <c r="E821" s="240"/>
      <c r="F821" s="241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>
      <c r="A822" s="83"/>
      <c r="B822" s="53"/>
      <c r="C822" s="53"/>
      <c r="D822" s="53"/>
      <c r="E822" s="240"/>
      <c r="F822" s="241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>
      <c r="A823" s="83"/>
      <c r="B823" s="53"/>
      <c r="C823" s="53"/>
      <c r="D823" s="53"/>
      <c r="E823" s="240"/>
      <c r="F823" s="241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>
      <c r="A824" s="83"/>
      <c r="B824" s="53"/>
      <c r="C824" s="53"/>
      <c r="D824" s="53"/>
      <c r="E824" s="240"/>
      <c r="F824" s="241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>
      <c r="A825" s="83"/>
      <c r="B825" s="53"/>
      <c r="C825" s="53"/>
      <c r="D825" s="53"/>
      <c r="E825" s="240"/>
      <c r="F825" s="241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>
      <c r="A826" s="83"/>
      <c r="B826" s="53"/>
      <c r="C826" s="53"/>
      <c r="D826" s="53"/>
      <c r="E826" s="240"/>
      <c r="F826" s="241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>
      <c r="A827" s="83"/>
      <c r="B827" s="53"/>
      <c r="C827" s="53"/>
      <c r="D827" s="53"/>
      <c r="E827" s="240"/>
      <c r="F827" s="241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>
      <c r="A828" s="83"/>
      <c r="B828" s="53"/>
      <c r="C828" s="53"/>
      <c r="D828" s="53"/>
      <c r="E828" s="240"/>
      <c r="F828" s="241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>
      <c r="A829" s="83"/>
      <c r="B829" s="53"/>
      <c r="C829" s="53"/>
      <c r="D829" s="53"/>
      <c r="E829" s="240"/>
      <c r="F829" s="241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>
      <c r="A830" s="83"/>
      <c r="B830" s="53"/>
      <c r="C830" s="53"/>
      <c r="D830" s="53"/>
      <c r="E830" s="240"/>
      <c r="F830" s="241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>
      <c r="A831" s="83"/>
      <c r="B831" s="53"/>
      <c r="C831" s="53"/>
      <c r="D831" s="53"/>
      <c r="E831" s="240"/>
      <c r="F831" s="241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>
      <c r="A832" s="83"/>
      <c r="B832" s="53"/>
      <c r="C832" s="53"/>
      <c r="D832" s="53"/>
      <c r="E832" s="240"/>
      <c r="F832" s="241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>
      <c r="A833" s="83"/>
      <c r="B833" s="53"/>
      <c r="C833" s="53"/>
      <c r="D833" s="53"/>
      <c r="E833" s="240"/>
      <c r="F833" s="24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>
      <c r="A834" s="83"/>
      <c r="B834" s="53"/>
      <c r="C834" s="53"/>
      <c r="D834" s="53"/>
      <c r="E834" s="240"/>
      <c r="F834" s="24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>
      <c r="A835" s="83"/>
      <c r="B835" s="53"/>
      <c r="C835" s="53"/>
      <c r="D835" s="53"/>
      <c r="E835" s="240"/>
      <c r="F835" s="241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>
      <c r="A836" s="83"/>
      <c r="B836" s="53"/>
      <c r="C836" s="53"/>
      <c r="D836" s="53"/>
      <c r="E836" s="240"/>
      <c r="F836" s="241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>
      <c r="A837" s="83"/>
      <c r="B837" s="53"/>
      <c r="C837" s="53"/>
      <c r="D837" s="53"/>
      <c r="E837" s="240"/>
      <c r="F837" s="241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>
      <c r="A838" s="83"/>
      <c r="B838" s="53"/>
      <c r="C838" s="53"/>
      <c r="D838" s="53"/>
      <c r="E838" s="240"/>
      <c r="F838" s="241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>
      <c r="A839" s="83"/>
      <c r="B839" s="53"/>
      <c r="C839" s="53"/>
      <c r="D839" s="53"/>
      <c r="E839" s="240"/>
      <c r="F839" s="241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>
      <c r="A840" s="83"/>
      <c r="B840" s="53"/>
      <c r="C840" s="53"/>
      <c r="D840" s="53"/>
      <c r="E840" s="240"/>
      <c r="F840" s="241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>
      <c r="A841" s="83"/>
      <c r="B841" s="53"/>
      <c r="C841" s="53"/>
      <c r="D841" s="53"/>
      <c r="E841" s="240"/>
      <c r="F841" s="241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>
      <c r="A842" s="83"/>
      <c r="B842" s="53"/>
      <c r="C842" s="53"/>
      <c r="D842" s="53"/>
      <c r="E842" s="240"/>
      <c r="F842" s="241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>
      <c r="A843" s="83"/>
      <c r="B843" s="53"/>
      <c r="C843" s="53"/>
      <c r="D843" s="53"/>
      <c r="E843" s="240"/>
      <c r="F843" s="241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>
      <c r="A844" s="83"/>
      <c r="B844" s="53"/>
      <c r="C844" s="53"/>
      <c r="D844" s="53"/>
      <c r="E844" s="240"/>
      <c r="F844" s="241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>
      <c r="A845" s="83"/>
      <c r="B845" s="53"/>
      <c r="C845" s="53"/>
      <c r="D845" s="53"/>
      <c r="E845" s="240"/>
      <c r="F845" s="241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>
      <c r="A846" s="83"/>
      <c r="B846" s="53"/>
      <c r="C846" s="53"/>
      <c r="D846" s="53"/>
      <c r="E846" s="240"/>
      <c r="F846" s="241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>
      <c r="A847" s="83"/>
      <c r="B847" s="53"/>
      <c r="C847" s="53"/>
      <c r="D847" s="53"/>
      <c r="E847" s="240"/>
      <c r="F847" s="241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>
      <c r="A848" s="83"/>
      <c r="B848" s="53"/>
      <c r="C848" s="53"/>
      <c r="D848" s="53"/>
      <c r="E848" s="240"/>
      <c r="F848" s="241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>
      <c r="A849" s="83"/>
      <c r="B849" s="53"/>
      <c r="C849" s="53"/>
      <c r="D849" s="53"/>
      <c r="E849" s="240"/>
      <c r="F849" s="241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>
      <c r="A850" s="83"/>
      <c r="B850" s="53"/>
      <c r="C850" s="53"/>
      <c r="D850" s="53"/>
      <c r="E850" s="240"/>
      <c r="F850" s="241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>
      <c r="A851" s="83"/>
      <c r="B851" s="53"/>
      <c r="C851" s="53"/>
      <c r="D851" s="53"/>
      <c r="E851" s="240"/>
      <c r="F851" s="24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>
      <c r="A852" s="83"/>
      <c r="B852" s="53"/>
      <c r="C852" s="53"/>
      <c r="D852" s="53"/>
      <c r="E852" s="240"/>
      <c r="F852" s="24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>
      <c r="A853" s="83"/>
      <c r="B853" s="53"/>
      <c r="C853" s="53"/>
      <c r="D853" s="53"/>
      <c r="E853" s="240"/>
      <c r="F853" s="241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>
      <c r="A854" s="83"/>
      <c r="B854" s="53"/>
      <c r="C854" s="53"/>
      <c r="D854" s="53"/>
      <c r="E854" s="240"/>
      <c r="F854" s="241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>
      <c r="A855" s="83"/>
      <c r="B855" s="53"/>
      <c r="C855" s="53"/>
      <c r="D855" s="53"/>
      <c r="E855" s="240"/>
      <c r="F855" s="241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>
      <c r="A856" s="83"/>
      <c r="B856" s="53"/>
      <c r="C856" s="53"/>
      <c r="D856" s="53"/>
      <c r="E856" s="240"/>
      <c r="F856" s="241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>
      <c r="A857" s="83"/>
      <c r="B857" s="53"/>
      <c r="C857" s="53"/>
      <c r="D857" s="53"/>
      <c r="E857" s="240"/>
      <c r="F857" s="241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>
      <c r="A858" s="83"/>
      <c r="B858" s="53"/>
      <c r="C858" s="53"/>
      <c r="D858" s="53"/>
      <c r="E858" s="240"/>
      <c r="F858" s="241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>
      <c r="A859" s="83"/>
      <c r="B859" s="53"/>
      <c r="C859" s="53"/>
      <c r="D859" s="53"/>
      <c r="E859" s="240"/>
      <c r="F859" s="241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>
      <c r="A860" s="83"/>
      <c r="B860" s="53"/>
      <c r="C860" s="53"/>
      <c r="D860" s="53"/>
      <c r="E860" s="240"/>
      <c r="F860" s="241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>
      <c r="A861" s="83"/>
      <c r="B861" s="53"/>
      <c r="C861" s="53"/>
      <c r="D861" s="53"/>
      <c r="E861" s="240"/>
      <c r="F861" s="241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>
      <c r="A862" s="83"/>
      <c r="B862" s="53"/>
      <c r="C862" s="53"/>
      <c r="D862" s="53"/>
      <c r="E862" s="240"/>
      <c r="F862" s="241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>
      <c r="A863" s="83"/>
      <c r="B863" s="53"/>
      <c r="C863" s="53"/>
      <c r="D863" s="53"/>
      <c r="E863" s="240"/>
      <c r="F863" s="241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>
      <c r="A864" s="83"/>
      <c r="B864" s="53"/>
      <c r="C864" s="53"/>
      <c r="D864" s="53"/>
      <c r="E864" s="240"/>
      <c r="F864" s="241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>
      <c r="A865" s="83"/>
      <c r="B865" s="53"/>
      <c r="C865" s="53"/>
      <c r="D865" s="53"/>
      <c r="E865" s="240"/>
      <c r="F865" s="241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>
      <c r="A866" s="83"/>
      <c r="B866" s="53"/>
      <c r="C866" s="53"/>
      <c r="D866" s="53"/>
      <c r="E866" s="240"/>
      <c r="F866" s="241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>
      <c r="A867" s="83"/>
      <c r="B867" s="53"/>
      <c r="C867" s="53"/>
      <c r="D867" s="53"/>
      <c r="E867" s="240"/>
      <c r="F867" s="241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>
      <c r="A868" s="83"/>
      <c r="B868" s="53"/>
      <c r="C868" s="53"/>
      <c r="D868" s="53"/>
      <c r="E868" s="240"/>
      <c r="F868" s="241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>
      <c r="A869" s="83"/>
      <c r="B869" s="53"/>
      <c r="C869" s="53"/>
      <c r="D869" s="53"/>
      <c r="E869" s="240"/>
      <c r="F869" s="24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>
      <c r="A870" s="83"/>
      <c r="B870" s="53"/>
      <c r="C870" s="53"/>
      <c r="D870" s="53"/>
      <c r="E870" s="240"/>
      <c r="F870" s="24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>
      <c r="A871" s="83"/>
      <c r="B871" s="53"/>
      <c r="C871" s="53"/>
      <c r="D871" s="53"/>
      <c r="E871" s="240"/>
      <c r="F871" s="241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>
      <c r="A872" s="83"/>
      <c r="B872" s="53"/>
      <c r="C872" s="53"/>
      <c r="D872" s="53"/>
      <c r="E872" s="240"/>
      <c r="F872" s="241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>
      <c r="A873" s="83"/>
      <c r="B873" s="53"/>
      <c r="C873" s="53"/>
      <c r="D873" s="53"/>
      <c r="E873" s="240"/>
      <c r="F873" s="241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>
      <c r="A874" s="83"/>
      <c r="B874" s="53"/>
      <c r="C874" s="53"/>
      <c r="D874" s="53"/>
      <c r="E874" s="240"/>
      <c r="F874" s="241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>
      <c r="A875" s="83"/>
      <c r="B875" s="53"/>
      <c r="C875" s="53"/>
      <c r="D875" s="53"/>
      <c r="E875" s="240"/>
      <c r="F875" s="241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>
      <c r="A876" s="83"/>
      <c r="B876" s="53"/>
      <c r="C876" s="53"/>
      <c r="D876" s="53"/>
      <c r="E876" s="240"/>
      <c r="F876" s="241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>
      <c r="A877" s="83"/>
      <c r="B877" s="53"/>
      <c r="C877" s="53"/>
      <c r="D877" s="53"/>
      <c r="E877" s="240"/>
      <c r="F877" s="241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>
      <c r="A878" s="83"/>
      <c r="B878" s="53"/>
      <c r="C878" s="53"/>
      <c r="D878" s="53"/>
      <c r="E878" s="240"/>
      <c r="F878" s="241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>
      <c r="A879" s="83"/>
      <c r="B879" s="53"/>
      <c r="C879" s="53"/>
      <c r="D879" s="53"/>
      <c r="E879" s="240"/>
      <c r="F879" s="241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>
      <c r="A880" s="83"/>
      <c r="B880" s="53"/>
      <c r="C880" s="53"/>
      <c r="D880" s="53"/>
      <c r="E880" s="240"/>
      <c r="F880" s="241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>
      <c r="A881" s="83"/>
      <c r="B881" s="53"/>
      <c r="C881" s="53"/>
      <c r="D881" s="53"/>
      <c r="E881" s="240"/>
      <c r="F881" s="241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>
      <c r="A882" s="83"/>
      <c r="B882" s="53"/>
      <c r="C882" s="53"/>
      <c r="D882" s="53"/>
      <c r="E882" s="240"/>
      <c r="F882" s="241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>
      <c r="A883" s="83"/>
      <c r="B883" s="53"/>
      <c r="C883" s="53"/>
      <c r="D883" s="53"/>
      <c r="E883" s="240"/>
      <c r="F883" s="241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>
      <c r="A884" s="83"/>
      <c r="B884" s="53"/>
      <c r="C884" s="53"/>
      <c r="D884" s="53"/>
      <c r="E884" s="240"/>
      <c r="F884" s="241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>
      <c r="A885" s="83"/>
      <c r="B885" s="53"/>
      <c r="C885" s="53"/>
      <c r="D885" s="53"/>
      <c r="E885" s="240"/>
      <c r="F885" s="241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>
      <c r="A886" s="83"/>
      <c r="B886" s="53"/>
      <c r="C886" s="53"/>
      <c r="D886" s="53"/>
      <c r="E886" s="240"/>
      <c r="F886" s="241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>
      <c r="A887" s="83"/>
      <c r="B887" s="53"/>
      <c r="C887" s="53"/>
      <c r="D887" s="53"/>
      <c r="E887" s="240"/>
      <c r="F887" s="241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>
      <c r="A888" s="83"/>
      <c r="B888" s="53"/>
      <c r="C888" s="53"/>
      <c r="D888" s="53"/>
      <c r="E888" s="240"/>
      <c r="F888" s="241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>
      <c r="A889" s="83"/>
      <c r="B889" s="53"/>
      <c r="C889" s="53"/>
      <c r="D889" s="53"/>
      <c r="E889" s="240"/>
      <c r="F889" s="241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>
      <c r="A890" s="83"/>
      <c r="B890" s="53"/>
      <c r="C890" s="53"/>
      <c r="D890" s="53"/>
      <c r="E890" s="240"/>
      <c r="F890" s="241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>
      <c r="A891" s="83"/>
      <c r="B891" s="53"/>
      <c r="C891" s="53"/>
      <c r="D891" s="53"/>
      <c r="E891" s="240"/>
      <c r="F891" s="241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>
      <c r="A892" s="83"/>
      <c r="B892" s="53"/>
      <c r="C892" s="53"/>
      <c r="D892" s="53"/>
      <c r="E892" s="240"/>
      <c r="F892" s="241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>
      <c r="A893" s="83"/>
      <c r="B893" s="53"/>
      <c r="C893" s="53"/>
      <c r="D893" s="53"/>
      <c r="E893" s="240"/>
      <c r="F893" s="241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>
      <c r="A894" s="83"/>
      <c r="B894" s="53"/>
      <c r="C894" s="53"/>
      <c r="D894" s="53"/>
      <c r="E894" s="240"/>
      <c r="F894" s="241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>
      <c r="A895" s="83"/>
      <c r="B895" s="53"/>
      <c r="C895" s="53"/>
      <c r="D895" s="53"/>
      <c r="E895" s="240"/>
      <c r="F895" s="241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>
      <c r="A896" s="83"/>
      <c r="B896" s="53"/>
      <c r="C896" s="53"/>
      <c r="D896" s="53"/>
      <c r="E896" s="240"/>
      <c r="F896" s="241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>
      <c r="A897" s="83"/>
      <c r="B897" s="53"/>
      <c r="C897" s="53"/>
      <c r="D897" s="53"/>
      <c r="E897" s="240"/>
      <c r="F897" s="241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>
      <c r="A898" s="83"/>
      <c r="B898" s="53"/>
      <c r="C898" s="53"/>
      <c r="D898" s="53"/>
      <c r="E898" s="240"/>
      <c r="F898" s="241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>
      <c r="A899" s="83"/>
      <c r="B899" s="53"/>
      <c r="C899" s="53"/>
      <c r="D899" s="53"/>
      <c r="E899" s="240"/>
      <c r="F899" s="241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>
      <c r="A900" s="83"/>
      <c r="B900" s="53"/>
      <c r="C900" s="53"/>
      <c r="D900" s="53"/>
      <c r="E900" s="240"/>
      <c r="F900" s="241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>
      <c r="A901" s="83"/>
      <c r="B901" s="53"/>
      <c r="C901" s="53"/>
      <c r="D901" s="53"/>
      <c r="E901" s="240"/>
      <c r="F901" s="241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>
      <c r="A902" s="83"/>
      <c r="B902" s="53"/>
      <c r="C902" s="53"/>
      <c r="D902" s="53"/>
      <c r="E902" s="240"/>
      <c r="F902" s="241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>
      <c r="A903" s="83"/>
      <c r="B903" s="53"/>
      <c r="C903" s="53"/>
      <c r="D903" s="53"/>
      <c r="E903" s="240"/>
      <c r="F903" s="241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>
      <c r="A904" s="83"/>
      <c r="B904" s="53"/>
      <c r="C904" s="53"/>
      <c r="D904" s="53"/>
      <c r="E904" s="240"/>
      <c r="F904" s="241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>
      <c r="A905" s="83"/>
      <c r="B905" s="53"/>
      <c r="C905" s="53"/>
      <c r="D905" s="53"/>
      <c r="E905" s="240"/>
      <c r="F905" s="241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>
      <c r="A906" s="83"/>
      <c r="B906" s="53"/>
      <c r="C906" s="53"/>
      <c r="D906" s="53"/>
      <c r="E906" s="240"/>
      <c r="F906" s="241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>
      <c r="A907" s="83"/>
      <c r="B907" s="53"/>
      <c r="C907" s="53"/>
      <c r="D907" s="53"/>
      <c r="E907" s="240"/>
      <c r="F907" s="241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>
      <c r="A908" s="83"/>
      <c r="B908" s="53"/>
      <c r="C908" s="53"/>
      <c r="D908" s="53"/>
      <c r="E908" s="240"/>
      <c r="F908" s="241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>
      <c r="A909" s="83"/>
      <c r="B909" s="53"/>
      <c r="C909" s="53"/>
      <c r="D909" s="53"/>
      <c r="E909" s="240"/>
      <c r="F909" s="241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>
      <c r="A910" s="83"/>
      <c r="B910" s="53"/>
      <c r="C910" s="53"/>
      <c r="D910" s="53"/>
      <c r="E910" s="240"/>
      <c r="F910" s="241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>
      <c r="A911" s="83"/>
      <c r="B911" s="53"/>
      <c r="C911" s="53"/>
      <c r="D911" s="53"/>
      <c r="E911" s="240"/>
      <c r="F911" s="241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>
      <c r="A912" s="83"/>
      <c r="B912" s="53"/>
      <c r="C912" s="53"/>
      <c r="D912" s="53"/>
      <c r="E912" s="240"/>
      <c r="F912" s="241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>
      <c r="A913" s="83"/>
      <c r="B913" s="53"/>
      <c r="C913" s="53"/>
      <c r="D913" s="53"/>
      <c r="E913" s="240"/>
      <c r="F913" s="241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>
      <c r="A914" s="83"/>
      <c r="B914" s="53"/>
      <c r="C914" s="53"/>
      <c r="D914" s="53"/>
      <c r="E914" s="240"/>
      <c r="F914" s="241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>
      <c r="A915" s="83"/>
      <c r="B915" s="53"/>
      <c r="C915" s="53"/>
      <c r="D915" s="53"/>
      <c r="E915" s="240"/>
      <c r="F915" s="241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>
      <c r="A916" s="83"/>
      <c r="B916" s="53"/>
      <c r="C916" s="53"/>
      <c r="D916" s="53"/>
      <c r="E916" s="240"/>
      <c r="F916" s="241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>
      <c r="A917" s="83"/>
      <c r="B917" s="53"/>
      <c r="C917" s="53"/>
      <c r="D917" s="53"/>
      <c r="E917" s="240"/>
      <c r="F917" s="241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>
      <c r="A918" s="83"/>
      <c r="B918" s="53"/>
      <c r="C918" s="53"/>
      <c r="D918" s="53"/>
      <c r="E918" s="240"/>
      <c r="F918" s="241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>
      <c r="A919" s="83"/>
      <c r="B919" s="53"/>
      <c r="C919" s="53"/>
      <c r="D919" s="53"/>
      <c r="E919" s="240"/>
      <c r="F919" s="241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>
      <c r="A920" s="83"/>
      <c r="B920" s="53"/>
      <c r="C920" s="53"/>
      <c r="D920" s="53"/>
      <c r="E920" s="240"/>
      <c r="F920" s="241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>
      <c r="A921" s="83"/>
      <c r="B921" s="53"/>
      <c r="C921" s="53"/>
      <c r="D921" s="53"/>
      <c r="E921" s="240"/>
      <c r="F921" s="241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>
      <c r="A922" s="83"/>
      <c r="B922" s="53"/>
      <c r="C922" s="53"/>
      <c r="D922" s="53"/>
      <c r="E922" s="240"/>
      <c r="F922" s="241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>
      <c r="A923" s="83"/>
      <c r="B923" s="53"/>
      <c r="C923" s="53"/>
      <c r="D923" s="53"/>
      <c r="E923" s="240"/>
      <c r="F923" s="241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>
      <c r="A924" s="83"/>
      <c r="B924" s="53"/>
      <c r="C924" s="53"/>
      <c r="D924" s="53"/>
      <c r="E924" s="240"/>
      <c r="F924" s="241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>
      <c r="A925" s="83"/>
      <c r="B925" s="53"/>
      <c r="C925" s="53"/>
      <c r="D925" s="53"/>
      <c r="E925" s="240"/>
      <c r="F925" s="241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>
      <c r="A926" s="83"/>
      <c r="B926" s="53"/>
      <c r="C926" s="53"/>
      <c r="D926" s="53"/>
      <c r="E926" s="240"/>
      <c r="F926" s="241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>
      <c r="A927" s="83"/>
      <c r="B927" s="53"/>
      <c r="C927" s="53"/>
      <c r="D927" s="53"/>
      <c r="E927" s="240"/>
      <c r="F927" s="241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>
      <c r="A928" s="83"/>
      <c r="B928" s="53"/>
      <c r="C928" s="53"/>
      <c r="D928" s="53"/>
      <c r="E928" s="240"/>
      <c r="F928" s="241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>
      <c r="A929" s="83"/>
      <c r="B929" s="53"/>
      <c r="C929" s="53"/>
      <c r="D929" s="53"/>
      <c r="E929" s="240"/>
      <c r="F929" s="241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>
      <c r="A930" s="83"/>
      <c r="B930" s="53"/>
      <c r="C930" s="53"/>
      <c r="D930" s="53"/>
      <c r="E930" s="240"/>
      <c r="F930" s="241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>
      <c r="A931" s="83"/>
      <c r="B931" s="53"/>
      <c r="C931" s="53"/>
      <c r="D931" s="53"/>
      <c r="E931" s="240"/>
      <c r="F931" s="241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>
      <c r="A932" s="83"/>
      <c r="B932" s="53"/>
      <c r="C932" s="53"/>
      <c r="D932" s="53"/>
      <c r="E932" s="240"/>
      <c r="F932" s="241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>
      <c r="A933" s="83"/>
      <c r="B933" s="53"/>
      <c r="C933" s="53"/>
      <c r="D933" s="53"/>
      <c r="E933" s="240"/>
      <c r="F933" s="241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>
      <c r="A934" s="83"/>
      <c r="B934" s="53"/>
      <c r="C934" s="53"/>
      <c r="D934" s="53"/>
      <c r="E934" s="240"/>
      <c r="F934" s="241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>
      <c r="A935" s="83"/>
      <c r="B935" s="53"/>
      <c r="C935" s="53"/>
      <c r="D935" s="53"/>
      <c r="E935" s="240"/>
      <c r="F935" s="241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>
      <c r="A936" s="83"/>
      <c r="B936" s="53"/>
      <c r="C936" s="53"/>
      <c r="D936" s="53"/>
      <c r="E936" s="240"/>
      <c r="F936" s="241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>
      <c r="A937" s="83"/>
      <c r="B937" s="53"/>
      <c r="C937" s="53"/>
      <c r="D937" s="53"/>
      <c r="E937" s="240"/>
      <c r="F937" s="241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>
      <c r="A938" s="83"/>
      <c r="B938" s="53"/>
      <c r="C938" s="53"/>
      <c r="D938" s="53"/>
      <c r="E938" s="240"/>
      <c r="F938" s="241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>
      <c r="A939" s="83"/>
      <c r="B939" s="53"/>
      <c r="C939" s="53"/>
      <c r="D939" s="53"/>
      <c r="E939" s="240"/>
      <c r="F939" s="241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>
      <c r="A940" s="83"/>
      <c r="B940" s="53"/>
      <c r="C940" s="53"/>
      <c r="D940" s="53"/>
      <c r="E940" s="240"/>
      <c r="F940" s="241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>
      <c r="A941" s="83"/>
      <c r="B941" s="53"/>
      <c r="C941" s="53"/>
      <c r="D941" s="53"/>
      <c r="E941" s="240"/>
      <c r="F941" s="241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>
      <c r="A942" s="83"/>
      <c r="B942" s="53"/>
      <c r="C942" s="53"/>
      <c r="D942" s="53"/>
      <c r="E942" s="240"/>
      <c r="F942" s="241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>
      <c r="A943" s="83"/>
      <c r="B943" s="53"/>
      <c r="C943" s="53"/>
      <c r="D943" s="53"/>
      <c r="E943" s="240"/>
      <c r="F943" s="241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>
      <c r="A944" s="83"/>
      <c r="B944" s="53"/>
      <c r="C944" s="53"/>
      <c r="D944" s="53"/>
      <c r="E944" s="240"/>
      <c r="F944" s="241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>
      <c r="A945" s="83"/>
      <c r="B945" s="53"/>
      <c r="C945" s="53"/>
      <c r="D945" s="53"/>
      <c r="E945" s="240"/>
      <c r="F945" s="241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>
      <c r="A946" s="83"/>
      <c r="B946" s="53"/>
      <c r="C946" s="53"/>
      <c r="D946" s="53"/>
      <c r="E946" s="240"/>
      <c r="F946" s="241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>
      <c r="A947" s="83"/>
      <c r="B947" s="53"/>
      <c r="C947" s="53"/>
      <c r="D947" s="53"/>
      <c r="E947" s="240"/>
      <c r="F947" s="241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>
      <c r="A948" s="83"/>
      <c r="B948" s="53"/>
      <c r="C948" s="53"/>
      <c r="D948" s="53"/>
      <c r="E948" s="240"/>
      <c r="F948" s="241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>
      <c r="A949" s="83"/>
      <c r="B949" s="53"/>
      <c r="C949" s="53"/>
      <c r="D949" s="53"/>
      <c r="E949" s="240"/>
      <c r="F949" s="241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>
      <c r="A950" s="83"/>
      <c r="B950" s="53"/>
      <c r="C950" s="53"/>
      <c r="D950" s="53"/>
      <c r="E950" s="240"/>
      <c r="F950" s="241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>
      <c r="A951" s="83"/>
      <c r="B951" s="53"/>
      <c r="C951" s="53"/>
      <c r="D951" s="53"/>
      <c r="E951" s="240"/>
      <c r="F951" s="241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>
      <c r="A952" s="83"/>
      <c r="B952" s="53"/>
      <c r="C952" s="53"/>
      <c r="D952" s="53"/>
      <c r="E952" s="240"/>
      <c r="F952" s="241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>
      <c r="A953" s="83"/>
      <c r="B953" s="53"/>
      <c r="C953" s="53"/>
      <c r="D953" s="53"/>
      <c r="E953" s="240"/>
      <c r="F953" s="241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>
      <c r="A954" s="83"/>
      <c r="B954" s="53"/>
      <c r="C954" s="53"/>
      <c r="D954" s="53"/>
      <c r="E954" s="240"/>
      <c r="F954" s="241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>
      <c r="A955" s="83"/>
      <c r="B955" s="53"/>
      <c r="C955" s="53"/>
      <c r="D955" s="53"/>
      <c r="E955" s="240"/>
      <c r="F955" s="241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>
      <c r="A956" s="83"/>
      <c r="B956" s="53"/>
      <c r="C956" s="53"/>
      <c r="D956" s="53"/>
      <c r="E956" s="240"/>
      <c r="F956" s="241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83"/>
      <c r="B957" s="53"/>
      <c r="C957" s="53"/>
      <c r="D957" s="53"/>
      <c r="E957" s="240"/>
      <c r="F957" s="241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83"/>
      <c r="B958" s="53"/>
      <c r="C958" s="53"/>
      <c r="D958" s="53"/>
      <c r="E958" s="240"/>
      <c r="F958" s="241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83"/>
      <c r="B959" s="53"/>
      <c r="C959" s="53"/>
      <c r="D959" s="53"/>
      <c r="E959" s="240"/>
      <c r="F959" s="241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83"/>
      <c r="B960" s="53"/>
      <c r="C960" s="53"/>
      <c r="D960" s="53"/>
      <c r="E960" s="240"/>
      <c r="F960" s="241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83"/>
      <c r="B961" s="53"/>
      <c r="C961" s="53"/>
      <c r="D961" s="53"/>
      <c r="E961" s="240"/>
      <c r="F961" s="241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83"/>
      <c r="B962" s="53"/>
      <c r="C962" s="53"/>
      <c r="D962" s="53"/>
      <c r="E962" s="240"/>
      <c r="F962" s="241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83"/>
      <c r="B963" s="53"/>
      <c r="C963" s="53"/>
      <c r="D963" s="53"/>
      <c r="E963" s="240"/>
      <c r="F963" s="241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83"/>
      <c r="B964" s="53"/>
      <c r="C964" s="53"/>
      <c r="D964" s="53"/>
      <c r="E964" s="240"/>
      <c r="F964" s="241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83"/>
      <c r="B965" s="53"/>
      <c r="C965" s="53"/>
      <c r="D965" s="53"/>
      <c r="E965" s="240"/>
      <c r="F965" s="241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83"/>
      <c r="B966" s="53"/>
      <c r="C966" s="53"/>
      <c r="D966" s="53"/>
      <c r="E966" s="240"/>
      <c r="F966" s="241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83"/>
      <c r="B967" s="53"/>
      <c r="C967" s="53"/>
      <c r="D967" s="53"/>
      <c r="E967" s="240"/>
      <c r="F967" s="241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83"/>
      <c r="B968" s="53"/>
      <c r="C968" s="53"/>
      <c r="D968" s="53"/>
      <c r="E968" s="240"/>
      <c r="F968" s="241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83"/>
      <c r="B969" s="53"/>
      <c r="C969" s="53"/>
      <c r="D969" s="53"/>
      <c r="E969" s="240"/>
      <c r="F969" s="241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83"/>
      <c r="B970" s="53"/>
      <c r="C970" s="53"/>
      <c r="D970" s="53"/>
      <c r="E970" s="240"/>
      <c r="F970" s="241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83"/>
      <c r="B971" s="53"/>
      <c r="C971" s="53"/>
      <c r="D971" s="53"/>
      <c r="E971" s="240"/>
      <c r="F971" s="241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83"/>
      <c r="B972" s="53"/>
      <c r="C972" s="53"/>
      <c r="D972" s="53"/>
      <c r="E972" s="240"/>
      <c r="F972" s="241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83"/>
      <c r="B973" s="53"/>
      <c r="C973" s="53"/>
      <c r="D973" s="53"/>
      <c r="E973" s="240"/>
      <c r="F973" s="241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83"/>
      <c r="B974" s="53"/>
      <c r="C974" s="53"/>
      <c r="D974" s="53"/>
      <c r="E974" s="240"/>
      <c r="F974" s="241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83"/>
      <c r="B975" s="53"/>
      <c r="C975" s="53"/>
      <c r="D975" s="53"/>
      <c r="E975" s="240"/>
      <c r="F975" s="241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83"/>
      <c r="B976" s="53"/>
      <c r="C976" s="53"/>
      <c r="D976" s="53"/>
      <c r="E976" s="240"/>
      <c r="F976" s="241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83"/>
      <c r="B977" s="53"/>
      <c r="C977" s="53"/>
      <c r="D977" s="53"/>
      <c r="E977" s="240"/>
      <c r="F977" s="241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83"/>
      <c r="B978" s="53"/>
      <c r="C978" s="53"/>
      <c r="D978" s="53"/>
      <c r="E978" s="240"/>
      <c r="F978" s="241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83"/>
      <c r="B979" s="53"/>
      <c r="C979" s="53"/>
      <c r="D979" s="53"/>
      <c r="E979" s="240"/>
      <c r="F979" s="241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83"/>
      <c r="B980" s="53"/>
      <c r="C980" s="53"/>
      <c r="D980" s="53"/>
      <c r="E980" s="240"/>
      <c r="F980" s="241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83"/>
      <c r="B981" s="53"/>
      <c r="C981" s="53"/>
      <c r="D981" s="53"/>
      <c r="E981" s="240"/>
      <c r="F981" s="241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83"/>
      <c r="B982" s="53"/>
      <c r="C982" s="53"/>
      <c r="D982" s="53"/>
      <c r="E982" s="240"/>
      <c r="F982" s="241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83"/>
      <c r="B983" s="53"/>
      <c r="C983" s="53"/>
      <c r="D983" s="53"/>
      <c r="E983" s="240"/>
      <c r="F983" s="241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83"/>
      <c r="B984" s="53"/>
      <c r="C984" s="53"/>
      <c r="D984" s="53"/>
      <c r="E984" s="240"/>
      <c r="F984" s="241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83"/>
      <c r="B985" s="53"/>
      <c r="C985" s="53"/>
      <c r="D985" s="53"/>
      <c r="E985" s="240"/>
      <c r="F985" s="241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83"/>
      <c r="B986" s="53"/>
      <c r="C986" s="53"/>
      <c r="D986" s="53"/>
      <c r="E986" s="240"/>
      <c r="F986" s="241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83"/>
      <c r="B987" s="53"/>
      <c r="C987" s="53"/>
      <c r="D987" s="53"/>
      <c r="E987" s="240"/>
      <c r="F987" s="241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83"/>
      <c r="B988" s="53"/>
      <c r="C988" s="53"/>
      <c r="D988" s="53"/>
      <c r="E988" s="240"/>
      <c r="F988" s="241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83"/>
      <c r="B989" s="53"/>
      <c r="C989" s="53"/>
      <c r="D989" s="53"/>
      <c r="E989" s="240"/>
      <c r="F989" s="241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83"/>
      <c r="B990" s="53"/>
      <c r="C990" s="53"/>
      <c r="D990" s="53"/>
      <c r="E990" s="240"/>
      <c r="F990" s="241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83"/>
      <c r="B991" s="53"/>
      <c r="C991" s="53"/>
      <c r="D991" s="53"/>
      <c r="E991" s="240"/>
      <c r="F991" s="241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83"/>
      <c r="B992" s="53"/>
      <c r="C992" s="53"/>
      <c r="D992" s="53"/>
      <c r="E992" s="240"/>
      <c r="F992" s="241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83"/>
      <c r="B993" s="53"/>
      <c r="C993" s="53"/>
      <c r="D993" s="53"/>
      <c r="E993" s="240"/>
      <c r="F993" s="241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83"/>
      <c r="B994" s="53"/>
      <c r="C994" s="53"/>
      <c r="D994" s="53"/>
      <c r="E994" s="240"/>
      <c r="F994" s="241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83"/>
      <c r="B995" s="53"/>
      <c r="C995" s="53"/>
      <c r="D995" s="53"/>
      <c r="E995" s="240"/>
      <c r="F995" s="241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83"/>
      <c r="B996" s="53"/>
      <c r="C996" s="53"/>
      <c r="D996" s="53"/>
      <c r="E996" s="240"/>
      <c r="F996" s="241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83"/>
      <c r="B997" s="53"/>
      <c r="C997" s="53"/>
      <c r="D997" s="53"/>
      <c r="E997" s="240"/>
      <c r="F997" s="241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83"/>
      <c r="B998" s="53"/>
      <c r="C998" s="53"/>
      <c r="D998" s="53"/>
      <c r="E998" s="240"/>
      <c r="F998" s="241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83"/>
      <c r="B999" s="53"/>
      <c r="C999" s="53"/>
      <c r="D999" s="53"/>
      <c r="E999" s="240"/>
      <c r="F999" s="241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83"/>
      <c r="B1000" s="53"/>
      <c r="C1000" s="53"/>
      <c r="D1000" s="53"/>
      <c r="E1000" s="240"/>
      <c r="F1000" s="241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83"/>
      <c r="B1001" s="53"/>
      <c r="C1001" s="53"/>
      <c r="D1001" s="53"/>
      <c r="E1001" s="240"/>
      <c r="F1001" s="241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83"/>
      <c r="B1002" s="53"/>
      <c r="C1002" s="53"/>
      <c r="D1002" s="53"/>
      <c r="E1002" s="240"/>
      <c r="F1002" s="241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83"/>
      <c r="B1003" s="53"/>
      <c r="C1003" s="53"/>
      <c r="D1003" s="53"/>
      <c r="E1003" s="240"/>
      <c r="F1003" s="241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83"/>
      <c r="B1004" s="53"/>
      <c r="C1004" s="53"/>
      <c r="D1004" s="53"/>
      <c r="E1004" s="240"/>
      <c r="F1004" s="241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83"/>
      <c r="B1005" s="53"/>
      <c r="C1005" s="53"/>
      <c r="D1005" s="53"/>
      <c r="E1005" s="240"/>
      <c r="F1005" s="241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83"/>
      <c r="B1006" s="53"/>
      <c r="C1006" s="53"/>
      <c r="D1006" s="53"/>
      <c r="E1006" s="240"/>
      <c r="F1006" s="241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83"/>
      <c r="B1007" s="53"/>
      <c r="C1007" s="53"/>
      <c r="D1007" s="53"/>
      <c r="E1007" s="240"/>
      <c r="F1007" s="241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83"/>
      <c r="B1008" s="53"/>
      <c r="C1008" s="53"/>
      <c r="D1008" s="53"/>
      <c r="E1008" s="240"/>
      <c r="F1008" s="241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83"/>
      <c r="B1009" s="53"/>
      <c r="C1009" s="53"/>
      <c r="D1009" s="53"/>
      <c r="E1009" s="240"/>
      <c r="F1009" s="241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83"/>
      <c r="B1010" s="53"/>
      <c r="C1010" s="53"/>
      <c r="D1010" s="53"/>
      <c r="E1010" s="240"/>
      <c r="F1010" s="241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>
      <c r="A1011" s="83"/>
      <c r="B1011" s="53"/>
      <c r="C1011" s="53"/>
      <c r="D1011" s="53"/>
      <c r="E1011" s="240"/>
      <c r="F1011" s="241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>
      <c r="A1012" s="83"/>
      <c r="B1012" s="53"/>
      <c r="C1012" s="53"/>
      <c r="D1012" s="53"/>
      <c r="E1012" s="240"/>
      <c r="F1012" s="241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>
      <c r="A1013" s="83"/>
      <c r="B1013" s="53"/>
      <c r="C1013" s="53"/>
      <c r="D1013" s="53"/>
      <c r="E1013" s="240"/>
      <c r="F1013" s="241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>
      <c r="A1014" s="83"/>
      <c r="B1014" s="53"/>
      <c r="C1014" s="53"/>
      <c r="D1014" s="53"/>
      <c r="E1014" s="240"/>
      <c r="F1014" s="241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>
      <c r="A1015" s="83"/>
      <c r="B1015" s="53"/>
      <c r="C1015" s="53"/>
      <c r="D1015" s="53"/>
      <c r="E1015" s="240"/>
      <c r="F1015" s="241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>
      <c r="A1016" s="83"/>
      <c r="B1016" s="53"/>
      <c r="C1016" s="53"/>
      <c r="D1016" s="53"/>
      <c r="E1016" s="240"/>
      <c r="F1016" s="241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>
      <c r="A1017" s="83"/>
      <c r="B1017" s="53"/>
      <c r="C1017" s="53"/>
      <c r="D1017" s="53"/>
      <c r="E1017" s="240"/>
      <c r="F1017" s="241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>
      <c r="A1018" s="83"/>
      <c r="B1018" s="53"/>
      <c r="C1018" s="53"/>
      <c r="D1018" s="53"/>
      <c r="E1018" s="240"/>
      <c r="F1018" s="241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  <row r="1019">
      <c r="A1019" s="83"/>
      <c r="B1019" s="53"/>
      <c r="C1019" s="53"/>
      <c r="D1019" s="53"/>
      <c r="E1019" s="240"/>
      <c r="F1019" s="241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</row>
    <row r="1020">
      <c r="A1020" s="83"/>
      <c r="B1020" s="53"/>
      <c r="C1020" s="53"/>
      <c r="D1020" s="53"/>
      <c r="E1020" s="240"/>
      <c r="F1020" s="241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</row>
    <row r="1021">
      <c r="A1021" s="83"/>
      <c r="B1021" s="53"/>
      <c r="C1021" s="53"/>
      <c r="D1021" s="53"/>
      <c r="E1021" s="240"/>
      <c r="F1021" s="241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</row>
    <row r="1022">
      <c r="A1022" s="83"/>
      <c r="B1022" s="53"/>
      <c r="C1022" s="53"/>
      <c r="D1022" s="53"/>
      <c r="E1022" s="240"/>
      <c r="F1022" s="241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</row>
    <row r="1023">
      <c r="A1023" s="83"/>
      <c r="B1023" s="53"/>
      <c r="C1023" s="53"/>
      <c r="D1023" s="53"/>
      <c r="E1023" s="240"/>
      <c r="F1023" s="241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</row>
    <row r="1024">
      <c r="A1024" s="83"/>
      <c r="B1024" s="53"/>
      <c r="C1024" s="53"/>
      <c r="D1024" s="53"/>
      <c r="E1024" s="240"/>
      <c r="F1024" s="241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</row>
    <row r="1025">
      <c r="A1025" s="83"/>
      <c r="B1025" s="53"/>
      <c r="C1025" s="53"/>
      <c r="D1025" s="53"/>
      <c r="E1025" s="240"/>
      <c r="F1025" s="241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</row>
    <row r="1026">
      <c r="A1026" s="83"/>
      <c r="B1026" s="53"/>
      <c r="C1026" s="53"/>
      <c r="D1026" s="53"/>
      <c r="E1026" s="240"/>
      <c r="F1026" s="241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</row>
    <row r="1027">
      <c r="A1027" s="83"/>
      <c r="B1027" s="53"/>
      <c r="C1027" s="53"/>
      <c r="D1027" s="53"/>
      <c r="E1027" s="240"/>
      <c r="F1027" s="241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</row>
    <row r="1028">
      <c r="A1028" s="83"/>
      <c r="B1028" s="53"/>
      <c r="C1028" s="53"/>
      <c r="D1028" s="53"/>
      <c r="E1028" s="240"/>
      <c r="F1028" s="241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</row>
    <row r="1029">
      <c r="A1029" s="83"/>
      <c r="B1029" s="53"/>
      <c r="C1029" s="53"/>
      <c r="D1029" s="53"/>
      <c r="E1029" s="240"/>
      <c r="F1029" s="241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</row>
    <row r="1030">
      <c r="A1030" s="83"/>
      <c r="B1030" s="53"/>
      <c r="C1030" s="53"/>
      <c r="D1030" s="53"/>
      <c r="E1030" s="240"/>
      <c r="F1030" s="241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</row>
    <row r="1031">
      <c r="A1031" s="83"/>
      <c r="B1031" s="53"/>
      <c r="C1031" s="53"/>
      <c r="D1031" s="53"/>
      <c r="E1031" s="240"/>
      <c r="F1031" s="241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</row>
    <row r="1032">
      <c r="A1032" s="83"/>
      <c r="B1032" s="53"/>
      <c r="C1032" s="53"/>
      <c r="D1032" s="53"/>
      <c r="E1032" s="240"/>
      <c r="F1032" s="241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</row>
    <row r="1033">
      <c r="A1033" s="83"/>
      <c r="B1033" s="53"/>
      <c r="C1033" s="53"/>
      <c r="D1033" s="53"/>
      <c r="E1033" s="240"/>
      <c r="F1033" s="241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</row>
    <row r="1034">
      <c r="A1034" s="83"/>
      <c r="B1034" s="53"/>
      <c r="C1034" s="53"/>
      <c r="D1034" s="53"/>
      <c r="E1034" s="240"/>
      <c r="F1034" s="241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</row>
    <row r="1035">
      <c r="A1035" s="83"/>
      <c r="B1035" s="53"/>
      <c r="C1035" s="53"/>
      <c r="D1035" s="53"/>
      <c r="E1035" s="240"/>
      <c r="F1035" s="241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</row>
    <row r="1036">
      <c r="A1036" s="83"/>
      <c r="B1036" s="53"/>
      <c r="C1036" s="53"/>
      <c r="D1036" s="53"/>
      <c r="E1036" s="240"/>
      <c r="F1036" s="241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</row>
    <row r="1037">
      <c r="A1037" s="83"/>
      <c r="B1037" s="53"/>
      <c r="C1037" s="53"/>
      <c r="D1037" s="53"/>
      <c r="E1037" s="240"/>
      <c r="F1037" s="241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</row>
    <row r="1038">
      <c r="A1038" s="83"/>
      <c r="B1038" s="53"/>
      <c r="C1038" s="53"/>
      <c r="D1038" s="53"/>
      <c r="E1038" s="240"/>
      <c r="F1038" s="241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</row>
    <row r="1039">
      <c r="A1039" s="83"/>
      <c r="B1039" s="53"/>
      <c r="C1039" s="53"/>
      <c r="D1039" s="53"/>
      <c r="E1039" s="240"/>
      <c r="F1039" s="241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</row>
    <row r="1040">
      <c r="A1040" s="83"/>
      <c r="B1040" s="53"/>
      <c r="C1040" s="53"/>
      <c r="D1040" s="53"/>
      <c r="E1040" s="240"/>
      <c r="F1040" s="241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</row>
    <row r="1041">
      <c r="A1041" s="83"/>
      <c r="B1041" s="53"/>
      <c r="C1041" s="53"/>
      <c r="D1041" s="53"/>
      <c r="E1041" s="240"/>
      <c r="F1041" s="241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</row>
    <row r="1042">
      <c r="A1042" s="83"/>
      <c r="B1042" s="53"/>
      <c r="C1042" s="53"/>
      <c r="D1042" s="53"/>
      <c r="E1042" s="240"/>
      <c r="F1042" s="241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</row>
    <row r="1043">
      <c r="A1043" s="83"/>
      <c r="B1043" s="53"/>
      <c r="C1043" s="53"/>
      <c r="D1043" s="53"/>
      <c r="E1043" s="240"/>
      <c r="F1043" s="241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</row>
    <row r="1044">
      <c r="A1044" s="83"/>
      <c r="B1044" s="53"/>
      <c r="C1044" s="53"/>
      <c r="D1044" s="53"/>
      <c r="E1044" s="240"/>
      <c r="F1044" s="241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</row>
    <row r="1045">
      <c r="A1045" s="83"/>
      <c r="B1045" s="53"/>
      <c r="C1045" s="53"/>
      <c r="D1045" s="53"/>
      <c r="E1045" s="240"/>
      <c r="F1045" s="241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</row>
    <row r="1046">
      <c r="A1046" s="83"/>
      <c r="B1046" s="53"/>
      <c r="C1046" s="53"/>
      <c r="D1046" s="53"/>
      <c r="E1046" s="240"/>
      <c r="F1046" s="241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</row>
    <row r="1047">
      <c r="A1047" s="83"/>
      <c r="B1047" s="53"/>
      <c r="C1047" s="53"/>
      <c r="D1047" s="53"/>
      <c r="E1047" s="240"/>
      <c r="F1047" s="241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</row>
    <row r="1048">
      <c r="A1048" s="83"/>
      <c r="B1048" s="53"/>
      <c r="C1048" s="53"/>
      <c r="D1048" s="53"/>
      <c r="E1048" s="240"/>
      <c r="F1048" s="241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</row>
    <row r="1049">
      <c r="A1049" s="83"/>
      <c r="B1049" s="53"/>
      <c r="C1049" s="53"/>
      <c r="D1049" s="53"/>
      <c r="E1049" s="240"/>
      <c r="F1049" s="241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</row>
    <row r="1050">
      <c r="A1050" s="83"/>
      <c r="B1050" s="53"/>
      <c r="C1050" s="53"/>
      <c r="D1050" s="53"/>
      <c r="E1050" s="240"/>
      <c r="F1050" s="241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</row>
    <row r="1051">
      <c r="A1051" s="83"/>
      <c r="B1051" s="53"/>
      <c r="C1051" s="53"/>
      <c r="D1051" s="53"/>
      <c r="E1051" s="240"/>
      <c r="F1051" s="241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</row>
    <row r="1052">
      <c r="A1052" s="83"/>
      <c r="B1052" s="53"/>
      <c r="C1052" s="53"/>
      <c r="D1052" s="53"/>
      <c r="E1052" s="240"/>
      <c r="F1052" s="241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</row>
    <row r="1053">
      <c r="A1053" s="83"/>
      <c r="B1053" s="53"/>
      <c r="C1053" s="53"/>
      <c r="D1053" s="53"/>
      <c r="E1053" s="240"/>
      <c r="F1053" s="241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</row>
    <row r="1054">
      <c r="A1054" s="83"/>
      <c r="B1054" s="53"/>
      <c r="C1054" s="53"/>
      <c r="D1054" s="53"/>
      <c r="E1054" s="240"/>
      <c r="F1054" s="241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</row>
    <row r="1055">
      <c r="A1055" s="83"/>
      <c r="B1055" s="53"/>
      <c r="C1055" s="53"/>
      <c r="D1055" s="53"/>
      <c r="E1055" s="240"/>
      <c r="F1055" s="241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</row>
    <row r="1056">
      <c r="A1056" s="83"/>
      <c r="B1056" s="53"/>
      <c r="C1056" s="53"/>
      <c r="D1056" s="53"/>
      <c r="E1056" s="240"/>
      <c r="F1056" s="241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</row>
    <row r="1057">
      <c r="A1057" s="83"/>
      <c r="B1057" s="53"/>
      <c r="C1057" s="53"/>
      <c r="D1057" s="53"/>
      <c r="E1057" s="240"/>
      <c r="F1057" s="241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</row>
    <row r="1058">
      <c r="A1058" s="83"/>
      <c r="B1058" s="53"/>
      <c r="C1058" s="53"/>
      <c r="D1058" s="53"/>
      <c r="E1058" s="240"/>
      <c r="F1058" s="241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</row>
    <row r="1059">
      <c r="A1059" s="83"/>
      <c r="B1059" s="53"/>
      <c r="C1059" s="53"/>
      <c r="D1059" s="53"/>
      <c r="E1059" s="240"/>
      <c r="F1059" s="241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</row>
    <row r="1060">
      <c r="A1060" s="83"/>
      <c r="B1060" s="53"/>
      <c r="C1060" s="53"/>
      <c r="D1060" s="53"/>
      <c r="E1060" s="240"/>
      <c r="F1060" s="241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</row>
    <row r="1061">
      <c r="A1061" s="83"/>
      <c r="B1061" s="53"/>
      <c r="C1061" s="53"/>
      <c r="D1061" s="53"/>
      <c r="E1061" s="240"/>
      <c r="F1061" s="241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</row>
    <row r="1062">
      <c r="A1062" s="83"/>
      <c r="B1062" s="53"/>
      <c r="C1062" s="53"/>
      <c r="D1062" s="53"/>
      <c r="E1062" s="240"/>
      <c r="F1062" s="241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</row>
    <row r="1063">
      <c r="A1063" s="83"/>
      <c r="B1063" s="53"/>
      <c r="C1063" s="53"/>
      <c r="D1063" s="53"/>
      <c r="E1063" s="240"/>
      <c r="F1063" s="241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</row>
    <row r="1064">
      <c r="A1064" s="83"/>
      <c r="B1064" s="53"/>
      <c r="C1064" s="53"/>
      <c r="D1064" s="53"/>
      <c r="E1064" s="240"/>
      <c r="F1064" s="241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</row>
    <row r="1065">
      <c r="A1065" s="83"/>
      <c r="B1065" s="53"/>
      <c r="C1065" s="53"/>
      <c r="D1065" s="53"/>
      <c r="E1065" s="240"/>
      <c r="F1065" s="241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</row>
    <row r="1066">
      <c r="A1066" s="83"/>
      <c r="B1066" s="53"/>
      <c r="C1066" s="53"/>
      <c r="D1066" s="53"/>
      <c r="E1066" s="240"/>
      <c r="F1066" s="241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</row>
    <row r="1067">
      <c r="A1067" s="83"/>
      <c r="B1067" s="53"/>
      <c r="C1067" s="53"/>
      <c r="D1067" s="53"/>
      <c r="E1067" s="240"/>
      <c r="F1067" s="241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</row>
    <row r="1068">
      <c r="A1068" s="83"/>
      <c r="B1068" s="53"/>
      <c r="C1068" s="53"/>
      <c r="D1068" s="53"/>
      <c r="E1068" s="240"/>
      <c r="F1068" s="241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</row>
    <row r="1069">
      <c r="A1069" s="83"/>
      <c r="B1069" s="53"/>
      <c r="C1069" s="53"/>
      <c r="D1069" s="53"/>
      <c r="E1069" s="240"/>
      <c r="F1069" s="241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</row>
    <row r="1070">
      <c r="A1070" s="83"/>
      <c r="B1070" s="53"/>
      <c r="C1070" s="53"/>
      <c r="D1070" s="53"/>
      <c r="E1070" s="240"/>
      <c r="F1070" s="241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</row>
    <row r="1071">
      <c r="A1071" s="83"/>
      <c r="B1071" s="53"/>
      <c r="C1071" s="53"/>
      <c r="D1071" s="53"/>
      <c r="E1071" s="240"/>
      <c r="F1071" s="241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</row>
    <row r="1072">
      <c r="A1072" s="83"/>
      <c r="B1072" s="53"/>
      <c r="C1072" s="53"/>
      <c r="D1072" s="53"/>
      <c r="E1072" s="240"/>
      <c r="F1072" s="241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</row>
    <row r="1073">
      <c r="A1073" s="83"/>
      <c r="B1073" s="53"/>
      <c r="C1073" s="53"/>
      <c r="D1073" s="53"/>
      <c r="E1073" s="240"/>
      <c r="F1073" s="241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</row>
    <row r="1074">
      <c r="A1074" s="83"/>
      <c r="B1074" s="53"/>
      <c r="C1074" s="53"/>
      <c r="D1074" s="53"/>
      <c r="E1074" s="240"/>
      <c r="F1074" s="241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</row>
    <row r="1075">
      <c r="A1075" s="83"/>
      <c r="B1075" s="53"/>
      <c r="C1075" s="53"/>
      <c r="D1075" s="53"/>
      <c r="E1075" s="240"/>
      <c r="F1075" s="241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</row>
    <row r="1076">
      <c r="A1076" s="83"/>
      <c r="B1076" s="53"/>
      <c r="C1076" s="53"/>
      <c r="D1076" s="53"/>
      <c r="E1076" s="240"/>
      <c r="F1076" s="241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</row>
    <row r="1077">
      <c r="A1077" s="83"/>
      <c r="B1077" s="53"/>
      <c r="C1077" s="53"/>
      <c r="D1077" s="53"/>
      <c r="E1077" s="240"/>
      <c r="F1077" s="241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</row>
    <row r="1078">
      <c r="A1078" s="83"/>
      <c r="B1078" s="53"/>
      <c r="C1078" s="53"/>
      <c r="D1078" s="53"/>
      <c r="E1078" s="240"/>
      <c r="F1078" s="241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</row>
    <row r="1079">
      <c r="A1079" s="83"/>
      <c r="B1079" s="53"/>
      <c r="C1079" s="53"/>
      <c r="D1079" s="53"/>
      <c r="E1079" s="240"/>
      <c r="F1079" s="241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</row>
    <row r="1080">
      <c r="A1080" s="83"/>
      <c r="B1080" s="53"/>
      <c r="C1080" s="53"/>
      <c r="D1080" s="53"/>
      <c r="E1080" s="240"/>
      <c r="F1080" s="241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</row>
    <row r="1081">
      <c r="A1081" s="83"/>
      <c r="B1081" s="53"/>
      <c r="C1081" s="53"/>
      <c r="D1081" s="53"/>
      <c r="E1081" s="240"/>
      <c r="F1081" s="241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</row>
    <row r="1082">
      <c r="A1082" s="83"/>
      <c r="B1082" s="53"/>
      <c r="C1082" s="53"/>
      <c r="D1082" s="53"/>
      <c r="E1082" s="240"/>
      <c r="F1082" s="241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</row>
    <row r="1083">
      <c r="A1083" s="83"/>
      <c r="B1083" s="53"/>
      <c r="C1083" s="53"/>
      <c r="D1083" s="53"/>
      <c r="E1083" s="240"/>
      <c r="F1083" s="241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</row>
    <row r="1084">
      <c r="A1084" s="83"/>
      <c r="B1084" s="53"/>
      <c r="C1084" s="53"/>
      <c r="D1084" s="53"/>
      <c r="E1084" s="240"/>
      <c r="F1084" s="241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</row>
    <row r="1085">
      <c r="A1085" s="83"/>
      <c r="B1085" s="53"/>
      <c r="C1085" s="53"/>
      <c r="D1085" s="53"/>
      <c r="E1085" s="240"/>
      <c r="F1085" s="241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</row>
    <row r="1086">
      <c r="A1086" s="83"/>
      <c r="B1086" s="53"/>
      <c r="C1086" s="53"/>
      <c r="D1086" s="53"/>
      <c r="E1086" s="240"/>
      <c r="F1086" s="241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</row>
    <row r="1087">
      <c r="A1087" s="83"/>
      <c r="B1087" s="53"/>
      <c r="C1087" s="53"/>
      <c r="D1087" s="53"/>
      <c r="E1087" s="240"/>
      <c r="F1087" s="241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</row>
    <row r="1088">
      <c r="A1088" s="83"/>
      <c r="B1088" s="53"/>
      <c r="C1088" s="53"/>
      <c r="D1088" s="53"/>
      <c r="E1088" s="240"/>
      <c r="F1088" s="241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</row>
    <row r="1089">
      <c r="A1089" s="83"/>
      <c r="B1089" s="53"/>
      <c r="C1089" s="53"/>
      <c r="D1089" s="53"/>
      <c r="E1089" s="240"/>
      <c r="F1089" s="241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</row>
    <row r="1090">
      <c r="A1090" s="83"/>
      <c r="B1090" s="53"/>
      <c r="C1090" s="53"/>
      <c r="D1090" s="53"/>
      <c r="E1090" s="240"/>
      <c r="F1090" s="241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</row>
    <row r="1091">
      <c r="A1091" s="83"/>
      <c r="B1091" s="53"/>
      <c r="C1091" s="53"/>
      <c r="D1091" s="53"/>
      <c r="E1091" s="240"/>
      <c r="F1091" s="241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</row>
    <row r="1092">
      <c r="A1092" s="83"/>
      <c r="B1092" s="53"/>
      <c r="C1092" s="53"/>
      <c r="D1092" s="53"/>
      <c r="E1092" s="240"/>
      <c r="F1092" s="241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</row>
    <row r="1093">
      <c r="A1093" s="83"/>
      <c r="B1093" s="53"/>
      <c r="C1093" s="53"/>
      <c r="D1093" s="53"/>
      <c r="E1093" s="240"/>
      <c r="F1093" s="241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</row>
    <row r="1094">
      <c r="A1094" s="83"/>
      <c r="B1094" s="53"/>
      <c r="C1094" s="53"/>
      <c r="D1094" s="53"/>
      <c r="E1094" s="240"/>
      <c r="F1094" s="241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</row>
    <row r="1095">
      <c r="A1095" s="83"/>
      <c r="B1095" s="53"/>
      <c r="C1095" s="53"/>
      <c r="D1095" s="53"/>
      <c r="E1095" s="240"/>
      <c r="F1095" s="241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</row>
    <row r="1096">
      <c r="A1096" s="83"/>
      <c r="B1096" s="53"/>
      <c r="C1096" s="53"/>
      <c r="D1096" s="53"/>
      <c r="E1096" s="240"/>
      <c r="F1096" s="241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</row>
    <row r="1097">
      <c r="A1097" s="83"/>
      <c r="B1097" s="53"/>
      <c r="C1097" s="53"/>
      <c r="D1097" s="53"/>
      <c r="E1097" s="240"/>
      <c r="F1097" s="241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</row>
    <row r="1098">
      <c r="A1098" s="83"/>
      <c r="B1098" s="53"/>
      <c r="C1098" s="53"/>
      <c r="D1098" s="53"/>
      <c r="E1098" s="240"/>
      <c r="F1098" s="241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</row>
    <row r="1099">
      <c r="A1099" s="83"/>
      <c r="B1099" s="53"/>
      <c r="C1099" s="53"/>
      <c r="D1099" s="53"/>
      <c r="E1099" s="240"/>
      <c r="F1099" s="241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</row>
    <row r="1100">
      <c r="A1100" s="83"/>
      <c r="B1100" s="53"/>
      <c r="C1100" s="53"/>
      <c r="D1100" s="53"/>
      <c r="E1100" s="240"/>
      <c r="F1100" s="241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</row>
    <row r="1101">
      <c r="A1101" s="83"/>
      <c r="B1101" s="53"/>
      <c r="C1101" s="53"/>
      <c r="D1101" s="53"/>
      <c r="E1101" s="240"/>
      <c r="F1101" s="241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</row>
    <row r="1102">
      <c r="A1102" s="83"/>
      <c r="B1102" s="53"/>
      <c r="C1102" s="53"/>
      <c r="D1102" s="53"/>
      <c r="E1102" s="240"/>
      <c r="F1102" s="241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</row>
    <row r="1103">
      <c r="A1103" s="83"/>
      <c r="B1103" s="53"/>
      <c r="C1103" s="53"/>
      <c r="D1103" s="53"/>
      <c r="E1103" s="240"/>
      <c r="F1103" s="241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</row>
    <row r="1104">
      <c r="A1104" s="83"/>
      <c r="B1104" s="53"/>
      <c r="C1104" s="53"/>
      <c r="D1104" s="53"/>
      <c r="E1104" s="240"/>
      <c r="F1104" s="241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</row>
    <row r="1105">
      <c r="A1105" s="83"/>
      <c r="B1105" s="53"/>
      <c r="C1105" s="53"/>
      <c r="D1105" s="53"/>
      <c r="E1105" s="240"/>
      <c r="F1105" s="241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</row>
    <row r="1106">
      <c r="A1106" s="83"/>
      <c r="B1106" s="53"/>
      <c r="C1106" s="53"/>
      <c r="D1106" s="53"/>
      <c r="E1106" s="240"/>
      <c r="F1106" s="241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</row>
    <row r="1107">
      <c r="A1107" s="83"/>
      <c r="B1107" s="53"/>
      <c r="C1107" s="53"/>
      <c r="D1107" s="53"/>
      <c r="E1107" s="240"/>
      <c r="F1107" s="241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</row>
    <row r="1108">
      <c r="A1108" s="83"/>
      <c r="B1108" s="53"/>
      <c r="C1108" s="53"/>
      <c r="D1108" s="53"/>
      <c r="E1108" s="240"/>
      <c r="F1108" s="241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</row>
    <row r="1109">
      <c r="A1109" s="83"/>
      <c r="B1109" s="53"/>
      <c r="C1109" s="53"/>
      <c r="D1109" s="53"/>
      <c r="E1109" s="240"/>
      <c r="F1109" s="241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</row>
    <row r="1110">
      <c r="A1110" s="83"/>
      <c r="B1110" s="53"/>
      <c r="C1110" s="53"/>
      <c r="D1110" s="53"/>
      <c r="E1110" s="240"/>
      <c r="F1110" s="241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</row>
    <row r="1111">
      <c r="A1111" s="83"/>
      <c r="B1111" s="53"/>
      <c r="C1111" s="53"/>
      <c r="D1111" s="53"/>
      <c r="E1111" s="240"/>
      <c r="F1111" s="241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</row>
    <row r="1112">
      <c r="A1112" s="83"/>
      <c r="B1112" s="53"/>
      <c r="C1112" s="53"/>
      <c r="D1112" s="53"/>
      <c r="E1112" s="240"/>
      <c r="F1112" s="241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</row>
    <row r="1113">
      <c r="A1113" s="83"/>
      <c r="B1113" s="53"/>
      <c r="C1113" s="53"/>
      <c r="D1113" s="53"/>
      <c r="E1113" s="240"/>
      <c r="F1113" s="241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</row>
    <row r="1114">
      <c r="A1114" s="83"/>
      <c r="B1114" s="53"/>
      <c r="C1114" s="53"/>
      <c r="D1114" s="53"/>
      <c r="E1114" s="240"/>
      <c r="F1114" s="241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</row>
    <row r="1115">
      <c r="A1115" s="83"/>
      <c r="B1115" s="53"/>
      <c r="C1115" s="53"/>
      <c r="D1115" s="53"/>
      <c r="E1115" s="240"/>
      <c r="F1115" s="241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</row>
    <row r="1116">
      <c r="A1116" s="83"/>
      <c r="B1116" s="53"/>
      <c r="C1116" s="53"/>
      <c r="D1116" s="53"/>
      <c r="E1116" s="240"/>
      <c r="F1116" s="241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</row>
    <row r="1117">
      <c r="A1117" s="83"/>
      <c r="B1117" s="53"/>
      <c r="C1117" s="53"/>
      <c r="D1117" s="53"/>
      <c r="E1117" s="240"/>
      <c r="F1117" s="241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</row>
    <row r="1118">
      <c r="A1118" s="83"/>
      <c r="B1118" s="53"/>
      <c r="C1118" s="53"/>
      <c r="D1118" s="53"/>
      <c r="E1118" s="240"/>
      <c r="F1118" s="241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</row>
    <row r="1119">
      <c r="A1119" s="83"/>
      <c r="B1119" s="53"/>
      <c r="C1119" s="53"/>
      <c r="D1119" s="53"/>
      <c r="E1119" s="240"/>
      <c r="F1119" s="241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</row>
    <row r="1120">
      <c r="A1120" s="83"/>
      <c r="B1120" s="53"/>
      <c r="C1120" s="53"/>
      <c r="D1120" s="53"/>
      <c r="E1120" s="240"/>
      <c r="F1120" s="241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</row>
    <row r="1121">
      <c r="A1121" s="83"/>
      <c r="B1121" s="53"/>
      <c r="C1121" s="53"/>
      <c r="D1121" s="53"/>
      <c r="E1121" s="240"/>
      <c r="F1121" s="241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</row>
    <row r="1122">
      <c r="A1122" s="83"/>
      <c r="B1122" s="53"/>
      <c r="C1122" s="53"/>
      <c r="D1122" s="53"/>
      <c r="E1122" s="240"/>
      <c r="F1122" s="241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</row>
    <row r="1123">
      <c r="A1123" s="83"/>
      <c r="B1123" s="53"/>
      <c r="C1123" s="53"/>
      <c r="D1123" s="53"/>
      <c r="E1123" s="240"/>
      <c r="F1123" s="241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</row>
    <row r="1124">
      <c r="A1124" s="83"/>
      <c r="B1124" s="53"/>
      <c r="C1124" s="53"/>
      <c r="D1124" s="53"/>
      <c r="E1124" s="240"/>
      <c r="F1124" s="241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</row>
    <row r="1125">
      <c r="A1125" s="83"/>
      <c r="B1125" s="53"/>
      <c r="C1125" s="53"/>
      <c r="D1125" s="53"/>
      <c r="E1125" s="240"/>
      <c r="F1125" s="241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</row>
    <row r="1126">
      <c r="A1126" s="83"/>
      <c r="B1126" s="53"/>
      <c r="C1126" s="53"/>
      <c r="D1126" s="53"/>
      <c r="E1126" s="240"/>
      <c r="F1126" s="241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</row>
    <row r="1127">
      <c r="A1127" s="83"/>
      <c r="B1127" s="53"/>
      <c r="C1127" s="53"/>
      <c r="D1127" s="53"/>
      <c r="E1127" s="240"/>
      <c r="F1127" s="241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</row>
    <row r="1128">
      <c r="A1128" s="83"/>
      <c r="B1128" s="53"/>
      <c r="C1128" s="53"/>
      <c r="D1128" s="53"/>
      <c r="E1128" s="240"/>
      <c r="F1128" s="241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</row>
    <row r="1129">
      <c r="A1129" s="83"/>
      <c r="B1129" s="53"/>
      <c r="C1129" s="53"/>
      <c r="D1129" s="53"/>
      <c r="E1129" s="240"/>
      <c r="F1129" s="241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</row>
    <row r="1130">
      <c r="A1130" s="83"/>
      <c r="B1130" s="53"/>
      <c r="C1130" s="53"/>
      <c r="D1130" s="53"/>
      <c r="E1130" s="240"/>
      <c r="F1130" s="241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</row>
    <row r="1131">
      <c r="A1131" s="83"/>
      <c r="B1131" s="53"/>
      <c r="C1131" s="53"/>
      <c r="D1131" s="53"/>
      <c r="E1131" s="240"/>
      <c r="F1131" s="241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</row>
    <row r="1132">
      <c r="A1132" s="83"/>
      <c r="B1132" s="53"/>
      <c r="C1132" s="53"/>
      <c r="D1132" s="53"/>
      <c r="E1132" s="240"/>
      <c r="F1132" s="241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</row>
    <row r="1133">
      <c r="A1133" s="83"/>
      <c r="B1133" s="53"/>
      <c r="C1133" s="53"/>
      <c r="D1133" s="53"/>
      <c r="E1133" s="240"/>
      <c r="F1133" s="241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</row>
    <row r="1134">
      <c r="A1134" s="83"/>
      <c r="B1134" s="53"/>
      <c r="C1134" s="53"/>
      <c r="D1134" s="53"/>
      <c r="E1134" s="240"/>
      <c r="F1134" s="241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</row>
    <row r="1135">
      <c r="A1135" s="83"/>
      <c r="B1135" s="53"/>
      <c r="C1135" s="53"/>
      <c r="D1135" s="53"/>
      <c r="E1135" s="240"/>
      <c r="F1135" s="241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</row>
    <row r="1136">
      <c r="A1136" s="83"/>
      <c r="B1136" s="53"/>
      <c r="C1136" s="53"/>
      <c r="D1136" s="53"/>
      <c r="E1136" s="240"/>
      <c r="F1136" s="241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</row>
    <row r="1137">
      <c r="A1137" s="83"/>
      <c r="B1137" s="53"/>
      <c r="C1137" s="53"/>
      <c r="D1137" s="53"/>
      <c r="E1137" s="240"/>
      <c r="F1137" s="241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</row>
    <row r="1138">
      <c r="A1138" s="83"/>
      <c r="B1138" s="53"/>
      <c r="C1138" s="53"/>
      <c r="D1138" s="53"/>
      <c r="E1138" s="240"/>
      <c r="F1138" s="241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</row>
    <row r="1139">
      <c r="A1139" s="83"/>
      <c r="B1139" s="53"/>
      <c r="C1139" s="53"/>
      <c r="D1139" s="53"/>
      <c r="E1139" s="240"/>
      <c r="F1139" s="241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</row>
    <row r="1140">
      <c r="A1140" s="83"/>
      <c r="B1140" s="53"/>
      <c r="C1140" s="53"/>
      <c r="D1140" s="53"/>
      <c r="E1140" s="240"/>
      <c r="F1140" s="241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</row>
    <row r="1141">
      <c r="A1141" s="83"/>
      <c r="B1141" s="53"/>
      <c r="C1141" s="53"/>
      <c r="D1141" s="53"/>
      <c r="E1141" s="240"/>
      <c r="F1141" s="241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</row>
    <row r="1142">
      <c r="A1142" s="83"/>
      <c r="B1142" s="53"/>
      <c r="C1142" s="53"/>
      <c r="D1142" s="53"/>
      <c r="E1142" s="240"/>
      <c r="F1142" s="241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</row>
    <row r="1143">
      <c r="A1143" s="83"/>
      <c r="B1143" s="53"/>
      <c r="C1143" s="53"/>
      <c r="D1143" s="53"/>
      <c r="E1143" s="240"/>
      <c r="F1143" s="241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</row>
    <row r="1144">
      <c r="A1144" s="83"/>
      <c r="B1144" s="53"/>
      <c r="C1144" s="53"/>
      <c r="D1144" s="53"/>
      <c r="E1144" s="240"/>
      <c r="F1144" s="241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</row>
    <row r="1145">
      <c r="A1145" s="83"/>
      <c r="B1145" s="53"/>
      <c r="C1145" s="53"/>
      <c r="D1145" s="53"/>
      <c r="E1145" s="240"/>
      <c r="F1145" s="241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</row>
    <row r="1146">
      <c r="A1146" s="83"/>
      <c r="B1146" s="53"/>
      <c r="C1146" s="53"/>
      <c r="D1146" s="53"/>
      <c r="E1146" s="240"/>
      <c r="F1146" s="241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</row>
    <row r="1147">
      <c r="A1147" s="83"/>
      <c r="B1147" s="53"/>
      <c r="C1147" s="53"/>
      <c r="D1147" s="53"/>
      <c r="E1147" s="240"/>
      <c r="F1147" s="241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</row>
    <row r="1148">
      <c r="A1148" s="83"/>
      <c r="B1148" s="53"/>
      <c r="C1148" s="53"/>
      <c r="D1148" s="53"/>
      <c r="E1148" s="240"/>
      <c r="F1148" s="241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</row>
    <row r="1149">
      <c r="A1149" s="83"/>
      <c r="B1149" s="53"/>
      <c r="C1149" s="53"/>
      <c r="D1149" s="53"/>
      <c r="E1149" s="240"/>
      <c r="F1149" s="241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</row>
    <row r="1150">
      <c r="A1150" s="83"/>
      <c r="B1150" s="53"/>
      <c r="C1150" s="53"/>
      <c r="D1150" s="53"/>
      <c r="E1150" s="240"/>
      <c r="F1150" s="241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</row>
    <row r="1151">
      <c r="A1151" s="83"/>
      <c r="B1151" s="53"/>
      <c r="C1151" s="53"/>
      <c r="D1151" s="53"/>
      <c r="E1151" s="240"/>
      <c r="F1151" s="241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</row>
    <row r="1152">
      <c r="A1152" s="83"/>
      <c r="B1152" s="53"/>
      <c r="C1152" s="53"/>
      <c r="D1152" s="53"/>
      <c r="E1152" s="240"/>
      <c r="F1152" s="241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</row>
    <row r="1153">
      <c r="A1153" s="83"/>
      <c r="B1153" s="53"/>
      <c r="C1153" s="53"/>
      <c r="D1153" s="53"/>
      <c r="E1153" s="240"/>
      <c r="F1153" s="241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</row>
    <row r="1154">
      <c r="A1154" s="83"/>
      <c r="B1154" s="53"/>
      <c r="C1154" s="53"/>
      <c r="D1154" s="53"/>
      <c r="E1154" s="240"/>
      <c r="F1154" s="241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</row>
    <row r="1155">
      <c r="A1155" s="83"/>
      <c r="B1155" s="53"/>
      <c r="C1155" s="53"/>
      <c r="D1155" s="53"/>
      <c r="E1155" s="240"/>
      <c r="F1155" s="241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</row>
    <row r="1156">
      <c r="A1156" s="83"/>
      <c r="B1156" s="53"/>
      <c r="C1156" s="53"/>
      <c r="D1156" s="53"/>
      <c r="E1156" s="240"/>
      <c r="F1156" s="241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</row>
    <row r="1157">
      <c r="A1157" s="83"/>
      <c r="B1157" s="53"/>
      <c r="C1157" s="53"/>
      <c r="D1157" s="53"/>
      <c r="E1157" s="240"/>
      <c r="F1157" s="241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</row>
    <row r="1158">
      <c r="A1158" s="83"/>
      <c r="B1158" s="53"/>
      <c r="C1158" s="53"/>
      <c r="D1158" s="53"/>
      <c r="E1158" s="240"/>
      <c r="F1158" s="241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</row>
    <row r="1159">
      <c r="A1159" s="83"/>
      <c r="B1159" s="53"/>
      <c r="C1159" s="53"/>
      <c r="D1159" s="53"/>
      <c r="E1159" s="240"/>
      <c r="F1159" s="241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</row>
    <row r="1160">
      <c r="A1160" s="83"/>
      <c r="B1160" s="53"/>
      <c r="C1160" s="53"/>
      <c r="D1160" s="53"/>
      <c r="E1160" s="240"/>
      <c r="F1160" s="241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</row>
    <row r="1161">
      <c r="A1161" s="83"/>
      <c r="B1161" s="53"/>
      <c r="C1161" s="53"/>
      <c r="D1161" s="53"/>
      <c r="E1161" s="240"/>
      <c r="F1161" s="241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</row>
    <row r="1162">
      <c r="A1162" s="83"/>
      <c r="B1162" s="53"/>
      <c r="C1162" s="53"/>
      <c r="D1162" s="53"/>
      <c r="E1162" s="240"/>
      <c r="F1162" s="241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</row>
    <row r="1163">
      <c r="A1163" s="83"/>
      <c r="B1163" s="53"/>
      <c r="C1163" s="53"/>
      <c r="D1163" s="53"/>
      <c r="E1163" s="240"/>
      <c r="F1163" s="241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</row>
    <row r="1164">
      <c r="A1164" s="83"/>
      <c r="B1164" s="53"/>
      <c r="C1164" s="53"/>
      <c r="D1164" s="53"/>
      <c r="E1164" s="240"/>
      <c r="F1164" s="241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</row>
    <row r="1165">
      <c r="A1165" s="83"/>
      <c r="B1165" s="53"/>
      <c r="C1165" s="53"/>
      <c r="D1165" s="53"/>
      <c r="E1165" s="240"/>
      <c r="F1165" s="241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</row>
    <row r="1166">
      <c r="A1166" s="83"/>
      <c r="B1166" s="53"/>
      <c r="C1166" s="53"/>
      <c r="D1166" s="53"/>
      <c r="E1166" s="240"/>
      <c r="F1166" s="241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</row>
    <row r="1167">
      <c r="A1167" s="83"/>
      <c r="B1167" s="53"/>
      <c r="C1167" s="53"/>
      <c r="D1167" s="53"/>
      <c r="E1167" s="240"/>
      <c r="F1167" s="241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</row>
    <row r="1168">
      <c r="A1168" s="83"/>
      <c r="B1168" s="53"/>
      <c r="C1168" s="53"/>
      <c r="D1168" s="53"/>
      <c r="E1168" s="240"/>
      <c r="F1168" s="241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</row>
    <row r="1169">
      <c r="A1169" s="83"/>
      <c r="B1169" s="53"/>
      <c r="C1169" s="53"/>
      <c r="D1169" s="53"/>
      <c r="E1169" s="240"/>
      <c r="F1169" s="241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</row>
    <row r="1170">
      <c r="A1170" s="83"/>
      <c r="B1170" s="53"/>
      <c r="C1170" s="53"/>
      <c r="D1170" s="53"/>
      <c r="E1170" s="240"/>
      <c r="F1170" s="241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</row>
    <row r="1171">
      <c r="A1171" s="83"/>
      <c r="B1171" s="53"/>
      <c r="C1171" s="53"/>
      <c r="D1171" s="53"/>
      <c r="E1171" s="240"/>
      <c r="F1171" s="241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</row>
    <row r="1172">
      <c r="A1172" s="83"/>
      <c r="B1172" s="53"/>
      <c r="C1172" s="53"/>
      <c r="D1172" s="53"/>
      <c r="E1172" s="240"/>
      <c r="F1172" s="241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</row>
    <row r="1173">
      <c r="A1173" s="83"/>
      <c r="B1173" s="53"/>
      <c r="C1173" s="53"/>
      <c r="D1173" s="53"/>
      <c r="E1173" s="240"/>
      <c r="F1173" s="241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</row>
    <row r="1174">
      <c r="A1174" s="83"/>
      <c r="B1174" s="53"/>
      <c r="C1174" s="53"/>
      <c r="D1174" s="53"/>
      <c r="E1174" s="240"/>
      <c r="F1174" s="241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</row>
    <row r="1175">
      <c r="A1175" s="83"/>
      <c r="B1175" s="53"/>
      <c r="C1175" s="53"/>
      <c r="D1175" s="53"/>
      <c r="E1175" s="240"/>
      <c r="F1175" s="241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</row>
    <row r="1176">
      <c r="A1176" s="83"/>
      <c r="B1176" s="53"/>
      <c r="C1176" s="53"/>
      <c r="D1176" s="53"/>
      <c r="E1176" s="240"/>
      <c r="F1176" s="241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</row>
    <row r="1177">
      <c r="A1177" s="83"/>
      <c r="B1177" s="53"/>
      <c r="C1177" s="53"/>
      <c r="D1177" s="53"/>
      <c r="E1177" s="240"/>
      <c r="F1177" s="241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</row>
    <row r="1178">
      <c r="A1178" s="83"/>
      <c r="B1178" s="53"/>
      <c r="C1178" s="53"/>
      <c r="D1178" s="53"/>
      <c r="E1178" s="240"/>
      <c r="F1178" s="241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</row>
    <row r="1179">
      <c r="A1179" s="83"/>
      <c r="B1179" s="53"/>
      <c r="C1179" s="53"/>
      <c r="D1179" s="53"/>
      <c r="E1179" s="240"/>
      <c r="F1179" s="241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</row>
    <row r="1180">
      <c r="A1180" s="83"/>
      <c r="B1180" s="53"/>
      <c r="C1180" s="53"/>
      <c r="D1180" s="53"/>
      <c r="E1180" s="240"/>
      <c r="F1180" s="241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</row>
    <row r="1181">
      <c r="A1181" s="83"/>
      <c r="B1181" s="53"/>
      <c r="C1181" s="53"/>
      <c r="D1181" s="53"/>
      <c r="E1181" s="240"/>
      <c r="F1181" s="241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</row>
    <row r="1182">
      <c r="A1182" s="83"/>
      <c r="B1182" s="53"/>
      <c r="C1182" s="53"/>
      <c r="D1182" s="53"/>
      <c r="E1182" s="240"/>
      <c r="F1182" s="241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</row>
    <row r="1183">
      <c r="A1183" s="83"/>
      <c r="B1183" s="53"/>
      <c r="C1183" s="53"/>
      <c r="D1183" s="53"/>
      <c r="E1183" s="240"/>
      <c r="F1183" s="241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</row>
    <row r="1184">
      <c r="A1184" s="83"/>
      <c r="B1184" s="53"/>
      <c r="C1184" s="53"/>
      <c r="D1184" s="53"/>
      <c r="E1184" s="240"/>
      <c r="F1184" s="241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</row>
    <row r="1185">
      <c r="A1185" s="83"/>
      <c r="B1185" s="53"/>
      <c r="C1185" s="53"/>
      <c r="D1185" s="53"/>
      <c r="E1185" s="240"/>
      <c r="F1185" s="241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</row>
    <row r="1186">
      <c r="A1186" s="83"/>
      <c r="B1186" s="53"/>
      <c r="C1186" s="53"/>
      <c r="D1186" s="53"/>
      <c r="E1186" s="240"/>
      <c r="F1186" s="241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</row>
    <row r="1187">
      <c r="A1187" s="83"/>
      <c r="B1187" s="53"/>
      <c r="C1187" s="53"/>
      <c r="D1187" s="53"/>
      <c r="E1187" s="240"/>
      <c r="F1187" s="241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</row>
    <row r="1188">
      <c r="A1188" s="83"/>
      <c r="B1188" s="53"/>
      <c r="C1188" s="53"/>
      <c r="D1188" s="53"/>
      <c r="E1188" s="240"/>
      <c r="F1188" s="241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</row>
    <row r="1189">
      <c r="A1189" s="83"/>
      <c r="B1189" s="53"/>
      <c r="C1189" s="53"/>
      <c r="D1189" s="53"/>
      <c r="E1189" s="240"/>
      <c r="F1189" s="241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</row>
    <row r="1190">
      <c r="A1190" s="83"/>
      <c r="B1190" s="53"/>
      <c r="C1190" s="53"/>
      <c r="D1190" s="53"/>
      <c r="E1190" s="240"/>
      <c r="F1190" s="241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</row>
    <row r="1191">
      <c r="A1191" s="83"/>
      <c r="B1191" s="53"/>
      <c r="C1191" s="53"/>
      <c r="D1191" s="53"/>
      <c r="E1191" s="240"/>
      <c r="F1191" s="241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</row>
    <row r="1192">
      <c r="A1192" s="83"/>
      <c r="B1192" s="53"/>
      <c r="C1192" s="53"/>
      <c r="D1192" s="53"/>
      <c r="E1192" s="240"/>
      <c r="F1192" s="241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</row>
    <row r="1193">
      <c r="A1193" s="83"/>
      <c r="B1193" s="53"/>
      <c r="C1193" s="53"/>
      <c r="D1193" s="53"/>
      <c r="E1193" s="240"/>
      <c r="F1193" s="241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</row>
    <row r="1194">
      <c r="A1194" s="83"/>
      <c r="B1194" s="53"/>
      <c r="C1194" s="53"/>
      <c r="D1194" s="53"/>
      <c r="E1194" s="240"/>
      <c r="F1194" s="241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</row>
    <row r="1195">
      <c r="A1195" s="83"/>
      <c r="B1195" s="53"/>
      <c r="C1195" s="53"/>
      <c r="D1195" s="53"/>
      <c r="E1195" s="240"/>
      <c r="F1195" s="241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</row>
    <row r="1196">
      <c r="A1196" s="83"/>
      <c r="B1196" s="53"/>
      <c r="C1196" s="53"/>
      <c r="D1196" s="53"/>
      <c r="E1196" s="240"/>
      <c r="F1196" s="241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</row>
    <row r="1197">
      <c r="A1197" s="83"/>
      <c r="B1197" s="53"/>
      <c r="C1197" s="53"/>
      <c r="D1197" s="53"/>
      <c r="E1197" s="240"/>
      <c r="F1197" s="241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</row>
    <row r="1198">
      <c r="A1198" s="83"/>
      <c r="B1198" s="53"/>
      <c r="C1198" s="53"/>
      <c r="D1198" s="53"/>
      <c r="E1198" s="240"/>
      <c r="F1198" s="241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</row>
    <row r="1199">
      <c r="A1199" s="83"/>
      <c r="B1199" s="53"/>
      <c r="C1199" s="53"/>
      <c r="D1199" s="53"/>
      <c r="E1199" s="240"/>
      <c r="F1199" s="241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</row>
    <row r="1200">
      <c r="A1200" s="83"/>
      <c r="B1200" s="53"/>
      <c r="C1200" s="53"/>
      <c r="D1200" s="53"/>
      <c r="E1200" s="240"/>
      <c r="F1200" s="241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</row>
    <row r="1201">
      <c r="A1201" s="83"/>
      <c r="B1201" s="53"/>
      <c r="C1201" s="53"/>
      <c r="D1201" s="53"/>
      <c r="E1201" s="240"/>
      <c r="F1201" s="241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</row>
    <row r="1202">
      <c r="A1202" s="83"/>
      <c r="B1202" s="53"/>
      <c r="C1202" s="53"/>
      <c r="D1202" s="53"/>
      <c r="E1202" s="240"/>
      <c r="F1202" s="241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</row>
    <row r="1203">
      <c r="A1203" s="83"/>
      <c r="B1203" s="53"/>
      <c r="C1203" s="53"/>
      <c r="D1203" s="53"/>
      <c r="E1203" s="240"/>
      <c r="F1203" s="241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</row>
    <row r="1204">
      <c r="A1204" s="83"/>
      <c r="B1204" s="53"/>
      <c r="C1204" s="53"/>
      <c r="D1204" s="53"/>
      <c r="E1204" s="240"/>
      <c r="F1204" s="241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</row>
    <row r="1205">
      <c r="A1205" s="83"/>
      <c r="B1205" s="53"/>
      <c r="C1205" s="53"/>
      <c r="D1205" s="53"/>
      <c r="E1205" s="240"/>
      <c r="F1205" s="241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</row>
    <row r="1206">
      <c r="A1206" s="83"/>
      <c r="B1206" s="53"/>
      <c r="C1206" s="53"/>
      <c r="D1206" s="53"/>
      <c r="E1206" s="240"/>
      <c r="F1206" s="241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</row>
    <row r="1207">
      <c r="A1207" s="83"/>
      <c r="B1207" s="53"/>
      <c r="C1207" s="53"/>
      <c r="D1207" s="53"/>
      <c r="E1207" s="240"/>
      <c r="F1207" s="241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</row>
    <row r="1208">
      <c r="A1208" s="83"/>
      <c r="B1208" s="53"/>
      <c r="C1208" s="53"/>
      <c r="D1208" s="53"/>
      <c r="E1208" s="240"/>
      <c r="F1208" s="241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</row>
    <row r="1209">
      <c r="A1209" s="83"/>
      <c r="B1209" s="53"/>
      <c r="C1209" s="53"/>
      <c r="D1209" s="53"/>
      <c r="E1209" s="240"/>
      <c r="F1209" s="241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</row>
    <row r="1210">
      <c r="A1210" s="83"/>
      <c r="B1210" s="53"/>
      <c r="C1210" s="53"/>
      <c r="D1210" s="53"/>
      <c r="E1210" s="240"/>
      <c r="F1210" s="241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</row>
    <row r="1211">
      <c r="A1211" s="83"/>
      <c r="B1211" s="53"/>
      <c r="C1211" s="53"/>
      <c r="D1211" s="53"/>
      <c r="E1211" s="240"/>
      <c r="F1211" s="241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</row>
    <row r="1212">
      <c r="A1212" s="83"/>
      <c r="B1212" s="53"/>
      <c r="C1212" s="53"/>
      <c r="D1212" s="53"/>
      <c r="E1212" s="240"/>
      <c r="F1212" s="241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</row>
    <row r="1213">
      <c r="A1213" s="83"/>
      <c r="B1213" s="53"/>
      <c r="C1213" s="53"/>
      <c r="D1213" s="53"/>
      <c r="E1213" s="240"/>
      <c r="F1213" s="241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</row>
    <row r="1214">
      <c r="A1214" s="83"/>
      <c r="B1214" s="53"/>
      <c r="C1214" s="53"/>
      <c r="D1214" s="53"/>
      <c r="E1214" s="240"/>
      <c r="F1214" s="241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</row>
    <row r="1215">
      <c r="A1215" s="83"/>
      <c r="B1215" s="53"/>
      <c r="C1215" s="53"/>
      <c r="D1215" s="53"/>
      <c r="E1215" s="240"/>
      <c r="F1215" s="241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</row>
    <row r="1216">
      <c r="A1216" s="83"/>
      <c r="B1216" s="53"/>
      <c r="C1216" s="53"/>
      <c r="D1216" s="53"/>
      <c r="E1216" s="240"/>
      <c r="F1216" s="241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</row>
    <row r="1217">
      <c r="A1217" s="83"/>
      <c r="B1217" s="53"/>
      <c r="C1217" s="53"/>
      <c r="D1217" s="53"/>
      <c r="E1217" s="240"/>
      <c r="F1217" s="241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</row>
    <row r="1218">
      <c r="A1218" s="83"/>
      <c r="B1218" s="53"/>
      <c r="C1218" s="53"/>
      <c r="D1218" s="53"/>
      <c r="E1218" s="240"/>
      <c r="F1218" s="241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</row>
    <row r="1219">
      <c r="A1219" s="83"/>
      <c r="B1219" s="53"/>
      <c r="C1219" s="53"/>
      <c r="D1219" s="53"/>
      <c r="E1219" s="240"/>
      <c r="F1219" s="241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</row>
    <row r="1220">
      <c r="A1220" s="83"/>
      <c r="B1220" s="53"/>
      <c r="C1220" s="53"/>
      <c r="D1220" s="53"/>
      <c r="E1220" s="240"/>
      <c r="F1220" s="241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</row>
    <row r="1221">
      <c r="A1221" s="83"/>
      <c r="B1221" s="53"/>
      <c r="C1221" s="53"/>
      <c r="D1221" s="53"/>
      <c r="E1221" s="240"/>
      <c r="F1221" s="241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</row>
    <row r="1222">
      <c r="A1222" s="83"/>
      <c r="B1222" s="53"/>
      <c r="C1222" s="53"/>
      <c r="D1222" s="53"/>
      <c r="E1222" s="240"/>
      <c r="F1222" s="241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</row>
    <row r="1223">
      <c r="A1223" s="83"/>
      <c r="B1223" s="53"/>
      <c r="C1223" s="53"/>
      <c r="D1223" s="53"/>
      <c r="E1223" s="240"/>
      <c r="F1223" s="241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</row>
    <row r="1224">
      <c r="A1224" s="83"/>
      <c r="B1224" s="53"/>
      <c r="C1224" s="53"/>
      <c r="D1224" s="53"/>
      <c r="E1224" s="240"/>
      <c r="F1224" s="241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</row>
    <row r="1225">
      <c r="A1225" s="83"/>
      <c r="B1225" s="53"/>
      <c r="C1225" s="53"/>
      <c r="D1225" s="53"/>
      <c r="E1225" s="240"/>
      <c r="F1225" s="241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</row>
    <row r="1226">
      <c r="A1226" s="83"/>
      <c r="B1226" s="53"/>
      <c r="C1226" s="53"/>
      <c r="D1226" s="53"/>
      <c r="E1226" s="240"/>
      <c r="F1226" s="241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</row>
    <row r="1227">
      <c r="A1227" s="83"/>
      <c r="B1227" s="53"/>
      <c r="C1227" s="53"/>
      <c r="D1227" s="53"/>
      <c r="E1227" s="240"/>
      <c r="F1227" s="241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</row>
    <row r="1228">
      <c r="A1228" s="83"/>
      <c r="B1228" s="53"/>
      <c r="C1228" s="53"/>
      <c r="D1228" s="53"/>
      <c r="E1228" s="240"/>
      <c r="F1228" s="241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</row>
    <row r="1229">
      <c r="A1229" s="83"/>
      <c r="B1229" s="53"/>
      <c r="C1229" s="53"/>
      <c r="D1229" s="53"/>
      <c r="E1229" s="240"/>
      <c r="F1229" s="241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</row>
    <row r="1230">
      <c r="A1230" s="83"/>
      <c r="B1230" s="53"/>
      <c r="C1230" s="53"/>
      <c r="D1230" s="53"/>
      <c r="E1230" s="240"/>
      <c r="F1230" s="241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</row>
    <row r="1231">
      <c r="A1231" s="83"/>
      <c r="B1231" s="53"/>
      <c r="C1231" s="53"/>
      <c r="D1231" s="53"/>
      <c r="E1231" s="240"/>
      <c r="F1231" s="241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</row>
    <row r="1232">
      <c r="A1232" s="83"/>
      <c r="B1232" s="53"/>
      <c r="C1232" s="53"/>
      <c r="D1232" s="53"/>
      <c r="E1232" s="240"/>
      <c r="F1232" s="241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</row>
    <row r="1233">
      <c r="A1233" s="83"/>
      <c r="B1233" s="53"/>
      <c r="C1233" s="53"/>
      <c r="D1233" s="53"/>
      <c r="E1233" s="240"/>
      <c r="F1233" s="241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</row>
    <row r="1234">
      <c r="A1234" s="83"/>
      <c r="B1234" s="53"/>
      <c r="C1234" s="53"/>
      <c r="D1234" s="53"/>
      <c r="E1234" s="240"/>
      <c r="F1234" s="241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</row>
    <row r="1235">
      <c r="A1235" s="83"/>
      <c r="B1235" s="53"/>
      <c r="C1235" s="53"/>
      <c r="D1235" s="53"/>
      <c r="E1235" s="240"/>
      <c r="F1235" s="241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</row>
    <row r="1236">
      <c r="A1236" s="83"/>
      <c r="B1236" s="53"/>
      <c r="C1236" s="53"/>
      <c r="D1236" s="53"/>
      <c r="E1236" s="240"/>
      <c r="F1236" s="241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</row>
    <row r="1237">
      <c r="A1237" s="83"/>
      <c r="B1237" s="53"/>
      <c r="C1237" s="53"/>
      <c r="D1237" s="53"/>
      <c r="E1237" s="240"/>
      <c r="F1237" s="241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</row>
    <row r="1238">
      <c r="A1238" s="83"/>
      <c r="B1238" s="53"/>
      <c r="C1238" s="53"/>
      <c r="D1238" s="53"/>
      <c r="E1238" s="240"/>
      <c r="F1238" s="241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</row>
    <row r="1239">
      <c r="A1239" s="83"/>
      <c r="B1239" s="53"/>
      <c r="C1239" s="53"/>
      <c r="D1239" s="53"/>
      <c r="E1239" s="240"/>
      <c r="F1239" s="241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</row>
    <row r="1240">
      <c r="A1240" s="83"/>
      <c r="B1240" s="53"/>
      <c r="C1240" s="53"/>
      <c r="D1240" s="53"/>
      <c r="E1240" s="240"/>
      <c r="F1240" s="241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</row>
    <row r="1241">
      <c r="A1241" s="83"/>
      <c r="B1241" s="53"/>
      <c r="C1241" s="53"/>
      <c r="D1241" s="53"/>
      <c r="E1241" s="240"/>
      <c r="F1241" s="241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</row>
    <row r="1242">
      <c r="A1242" s="83"/>
      <c r="B1242" s="53"/>
      <c r="C1242" s="53"/>
      <c r="D1242" s="53"/>
      <c r="E1242" s="240"/>
      <c r="F1242" s="241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</row>
    <row r="1243">
      <c r="A1243" s="83"/>
      <c r="B1243" s="53"/>
      <c r="C1243" s="53"/>
      <c r="D1243" s="53"/>
      <c r="E1243" s="240"/>
      <c r="F1243" s="241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</row>
    <row r="1244">
      <c r="A1244" s="83"/>
      <c r="B1244" s="53"/>
      <c r="C1244" s="53"/>
      <c r="D1244" s="53"/>
      <c r="E1244" s="240"/>
      <c r="F1244" s="241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</row>
    <row r="1245">
      <c r="A1245" s="83"/>
      <c r="B1245" s="53"/>
      <c r="C1245" s="53"/>
      <c r="D1245" s="53"/>
      <c r="E1245" s="240"/>
      <c r="F1245" s="241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</row>
    <row r="1246">
      <c r="A1246" s="83"/>
      <c r="B1246" s="53"/>
      <c r="C1246" s="53"/>
      <c r="D1246" s="53"/>
      <c r="E1246" s="240"/>
      <c r="F1246" s="241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</row>
    <row r="1247">
      <c r="A1247" s="83"/>
      <c r="B1247" s="53"/>
      <c r="C1247" s="53"/>
      <c r="D1247" s="53"/>
      <c r="E1247" s="240"/>
      <c r="F1247" s="241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</row>
    <row r="1248">
      <c r="A1248" s="83"/>
      <c r="B1248" s="53"/>
      <c r="C1248" s="53"/>
      <c r="D1248" s="53"/>
      <c r="E1248" s="240"/>
      <c r="F1248" s="241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</row>
    <row r="1249">
      <c r="A1249" s="83"/>
      <c r="B1249" s="53"/>
      <c r="C1249" s="53"/>
      <c r="D1249" s="53"/>
      <c r="E1249" s="240"/>
      <c r="F1249" s="241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</row>
    <row r="1250">
      <c r="A1250" s="83"/>
      <c r="B1250" s="53"/>
      <c r="C1250" s="53"/>
      <c r="D1250" s="53"/>
      <c r="E1250" s="240"/>
      <c r="F1250" s="241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</row>
    <row r="1251">
      <c r="A1251" s="83"/>
      <c r="B1251" s="53"/>
      <c r="C1251" s="53"/>
      <c r="D1251" s="53"/>
      <c r="E1251" s="240"/>
      <c r="F1251" s="241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</row>
    <row r="1252">
      <c r="A1252" s="83"/>
      <c r="B1252" s="53"/>
      <c r="C1252" s="53"/>
      <c r="D1252" s="53"/>
      <c r="E1252" s="240"/>
      <c r="F1252" s="241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</row>
    <row r="1253">
      <c r="A1253" s="83"/>
      <c r="B1253" s="53"/>
      <c r="C1253" s="53"/>
      <c r="D1253" s="53"/>
      <c r="E1253" s="240"/>
      <c r="F1253" s="241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</row>
    <row r="1254">
      <c r="A1254" s="83"/>
      <c r="B1254" s="53"/>
      <c r="C1254" s="53"/>
      <c r="D1254" s="53"/>
      <c r="E1254" s="240"/>
      <c r="F1254" s="241"/>
      <c r="G1254" s="53"/>
      <c r="H1254" s="53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</row>
    <row r="1255">
      <c r="A1255" s="83"/>
      <c r="B1255" s="53"/>
      <c r="C1255" s="53"/>
      <c r="D1255" s="53"/>
      <c r="E1255" s="240"/>
      <c r="F1255" s="241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</row>
    <row r="1256">
      <c r="A1256" s="83"/>
      <c r="B1256" s="53"/>
      <c r="C1256" s="53"/>
      <c r="D1256" s="53"/>
      <c r="E1256" s="240"/>
      <c r="F1256" s="241"/>
      <c r="G1256" s="53"/>
      <c r="H1256" s="53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</row>
    <row r="1257">
      <c r="A1257" s="83"/>
      <c r="B1257" s="53"/>
      <c r="C1257" s="53"/>
      <c r="D1257" s="53"/>
      <c r="E1257" s="240"/>
      <c r="F1257" s="241"/>
      <c r="G1257" s="53"/>
      <c r="H1257" s="53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</row>
    <row r="1258">
      <c r="A1258" s="83"/>
      <c r="B1258" s="53"/>
      <c r="C1258" s="53"/>
      <c r="D1258" s="53"/>
      <c r="E1258" s="240"/>
      <c r="F1258" s="241"/>
      <c r="G1258" s="53"/>
      <c r="H1258" s="53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</row>
    <row r="1259">
      <c r="A1259" s="83"/>
      <c r="B1259" s="53"/>
      <c r="C1259" s="53"/>
      <c r="D1259" s="53"/>
      <c r="E1259" s="240"/>
      <c r="F1259" s="241"/>
      <c r="G1259" s="53"/>
      <c r="H1259" s="53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</row>
    <row r="1260">
      <c r="A1260" s="83"/>
      <c r="B1260" s="53"/>
      <c r="C1260" s="53"/>
      <c r="D1260" s="53"/>
      <c r="E1260" s="240"/>
      <c r="F1260" s="241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</row>
    <row r="1261">
      <c r="A1261" s="83"/>
      <c r="B1261" s="53"/>
      <c r="C1261" s="53"/>
      <c r="D1261" s="53"/>
      <c r="E1261" s="240"/>
      <c r="F1261" s="241"/>
      <c r="G1261" s="53"/>
      <c r="H1261" s="53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</row>
    <row r="1262">
      <c r="A1262" s="83"/>
      <c r="B1262" s="53"/>
      <c r="C1262" s="53"/>
      <c r="D1262" s="53"/>
      <c r="E1262" s="240"/>
      <c r="F1262" s="241"/>
      <c r="G1262" s="53"/>
      <c r="H1262" s="53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</row>
    <row r="1263">
      <c r="A1263" s="83"/>
      <c r="B1263" s="53"/>
      <c r="C1263" s="53"/>
      <c r="D1263" s="53"/>
      <c r="E1263" s="240"/>
      <c r="F1263" s="241"/>
      <c r="G1263" s="53"/>
      <c r="H1263" s="53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</row>
    <row r="1264">
      <c r="A1264" s="83"/>
      <c r="B1264" s="53"/>
      <c r="C1264" s="53"/>
      <c r="D1264" s="53"/>
      <c r="E1264" s="240"/>
      <c r="F1264" s="241"/>
      <c r="G1264" s="53"/>
      <c r="H1264" s="53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</row>
    <row r="1265">
      <c r="A1265" s="83"/>
      <c r="B1265" s="53"/>
      <c r="C1265" s="53"/>
      <c r="D1265" s="53"/>
      <c r="E1265" s="240"/>
      <c r="F1265" s="241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</row>
    <row r="1266">
      <c r="A1266" s="83"/>
      <c r="B1266" s="53"/>
      <c r="C1266" s="53"/>
      <c r="D1266" s="53"/>
      <c r="E1266" s="240"/>
      <c r="F1266" s="241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</row>
    <row r="1267">
      <c r="A1267" s="83"/>
      <c r="B1267" s="53"/>
      <c r="C1267" s="53"/>
      <c r="D1267" s="53"/>
      <c r="E1267" s="240"/>
      <c r="F1267" s="241"/>
      <c r="G1267" s="53"/>
      <c r="H1267" s="53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</row>
    <row r="1268">
      <c r="A1268" s="83"/>
      <c r="B1268" s="53"/>
      <c r="C1268" s="53"/>
      <c r="D1268" s="53"/>
      <c r="E1268" s="240"/>
      <c r="F1268" s="241"/>
      <c r="G1268" s="53"/>
      <c r="H1268" s="53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</row>
    <row r="1269">
      <c r="A1269" s="83"/>
      <c r="B1269" s="53"/>
      <c r="C1269" s="53"/>
      <c r="D1269" s="53"/>
      <c r="E1269" s="240"/>
      <c r="F1269" s="241"/>
      <c r="G1269" s="53"/>
      <c r="H1269" s="53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</row>
    <row r="1270">
      <c r="A1270" s="83"/>
      <c r="B1270" s="53"/>
      <c r="C1270" s="53"/>
      <c r="D1270" s="53"/>
      <c r="E1270" s="240"/>
      <c r="F1270" s="241"/>
      <c r="G1270" s="53"/>
      <c r="H1270" s="53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</row>
    <row r="1271">
      <c r="A1271" s="83"/>
      <c r="B1271" s="53"/>
      <c r="C1271" s="53"/>
      <c r="D1271" s="53"/>
      <c r="E1271" s="240"/>
      <c r="F1271" s="241"/>
      <c r="G1271" s="53"/>
      <c r="H1271" s="53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</row>
    <row r="1272">
      <c r="A1272" s="83"/>
      <c r="B1272" s="53"/>
      <c r="C1272" s="53"/>
      <c r="D1272" s="53"/>
      <c r="E1272" s="240"/>
      <c r="F1272" s="241"/>
      <c r="G1272" s="53"/>
      <c r="H1272" s="53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</row>
    <row r="1273">
      <c r="A1273" s="83"/>
      <c r="B1273" s="53"/>
      <c r="C1273" s="53"/>
      <c r="D1273" s="53"/>
      <c r="E1273" s="240"/>
      <c r="F1273" s="241"/>
      <c r="G1273" s="53"/>
      <c r="H1273" s="53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</row>
    <row r="1274">
      <c r="A1274" s="83"/>
      <c r="B1274" s="53"/>
      <c r="C1274" s="53"/>
      <c r="D1274" s="53"/>
      <c r="E1274" s="240"/>
      <c r="F1274" s="241"/>
      <c r="G1274" s="53"/>
      <c r="H1274" s="53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</row>
    <row r="1275">
      <c r="A1275" s="83"/>
      <c r="B1275" s="53"/>
      <c r="C1275" s="53"/>
      <c r="D1275" s="53"/>
      <c r="E1275" s="240"/>
      <c r="F1275" s="241"/>
      <c r="G1275" s="53"/>
      <c r="H1275" s="53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</row>
    <row r="1276">
      <c r="A1276" s="83"/>
      <c r="B1276" s="53"/>
      <c r="C1276" s="53"/>
      <c r="D1276" s="53"/>
      <c r="E1276" s="240"/>
      <c r="F1276" s="241"/>
      <c r="G1276" s="53"/>
      <c r="H1276" s="53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</row>
    <row r="1277">
      <c r="A1277" s="83"/>
      <c r="B1277" s="53"/>
      <c r="C1277" s="53"/>
      <c r="D1277" s="53"/>
      <c r="E1277" s="240"/>
      <c r="F1277" s="241"/>
      <c r="G1277" s="53"/>
      <c r="H1277" s="53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</row>
    <row r="1278">
      <c r="A1278" s="83"/>
      <c r="B1278" s="53"/>
      <c r="C1278" s="53"/>
      <c r="D1278" s="53"/>
      <c r="E1278" s="240"/>
      <c r="F1278" s="241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</row>
    <row r="1279">
      <c r="A1279" s="83"/>
      <c r="B1279" s="53"/>
      <c r="C1279" s="53"/>
      <c r="D1279" s="53"/>
      <c r="E1279" s="240"/>
      <c r="F1279" s="241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</row>
    <row r="1280">
      <c r="A1280" s="83"/>
      <c r="B1280" s="53"/>
      <c r="C1280" s="53"/>
      <c r="D1280" s="53"/>
      <c r="E1280" s="240"/>
      <c r="F1280" s="241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</row>
    <row r="1281">
      <c r="A1281" s="83"/>
      <c r="B1281" s="53"/>
      <c r="C1281" s="53"/>
      <c r="D1281" s="53"/>
      <c r="E1281" s="240"/>
      <c r="F1281" s="241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</row>
    <row r="1282">
      <c r="A1282" s="83"/>
      <c r="B1282" s="53"/>
      <c r="C1282" s="53"/>
      <c r="D1282" s="53"/>
      <c r="E1282" s="240"/>
      <c r="F1282" s="241"/>
      <c r="G1282" s="53"/>
      <c r="H1282" s="53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</row>
    <row r="1283">
      <c r="A1283" s="83"/>
      <c r="B1283" s="53"/>
      <c r="C1283" s="53"/>
      <c r="D1283" s="53"/>
      <c r="E1283" s="240"/>
      <c r="F1283" s="241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</row>
    <row r="1284">
      <c r="A1284" s="83"/>
      <c r="B1284" s="53"/>
      <c r="C1284" s="53"/>
      <c r="D1284" s="53"/>
      <c r="E1284" s="240"/>
      <c r="F1284" s="241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</row>
    <row r="1285">
      <c r="A1285" s="83"/>
      <c r="B1285" s="53"/>
      <c r="C1285" s="53"/>
      <c r="D1285" s="53"/>
      <c r="E1285" s="240"/>
      <c r="F1285" s="241"/>
      <c r="G1285" s="53"/>
      <c r="H1285" s="53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</row>
    <row r="1286">
      <c r="A1286" s="83"/>
      <c r="B1286" s="53"/>
      <c r="C1286" s="53"/>
      <c r="D1286" s="53"/>
      <c r="E1286" s="240"/>
      <c r="F1286" s="241"/>
      <c r="G1286" s="53"/>
      <c r="H1286" s="53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</row>
    <row r="1287">
      <c r="A1287" s="83"/>
      <c r="B1287" s="53"/>
      <c r="C1287" s="53"/>
      <c r="D1287" s="53"/>
      <c r="E1287" s="240"/>
      <c r="F1287" s="241"/>
      <c r="G1287" s="53"/>
      <c r="H1287" s="53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</row>
    <row r="1288">
      <c r="A1288" s="83"/>
      <c r="B1288" s="53"/>
      <c r="C1288" s="53"/>
      <c r="D1288" s="53"/>
      <c r="E1288" s="240"/>
      <c r="F1288" s="241"/>
      <c r="G1288" s="53"/>
      <c r="H1288" s="53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</row>
    <row r="1289">
      <c r="A1289" s="83"/>
      <c r="B1289" s="53"/>
      <c r="C1289" s="53"/>
      <c r="D1289" s="53"/>
      <c r="E1289" s="240"/>
      <c r="F1289" s="241"/>
      <c r="G1289" s="53"/>
      <c r="H1289" s="53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</row>
    <row r="1290">
      <c r="A1290" s="83"/>
      <c r="B1290" s="53"/>
      <c r="C1290" s="53"/>
      <c r="D1290" s="53"/>
      <c r="E1290" s="240"/>
      <c r="F1290" s="241"/>
      <c r="G1290" s="53"/>
      <c r="H1290" s="53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</row>
    <row r="1291">
      <c r="A1291" s="83"/>
      <c r="B1291" s="53"/>
      <c r="C1291" s="53"/>
      <c r="D1291" s="53"/>
      <c r="E1291" s="240"/>
      <c r="F1291" s="241"/>
      <c r="G1291" s="53"/>
      <c r="H1291" s="53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</row>
    <row r="1292">
      <c r="A1292" s="83"/>
      <c r="B1292" s="53"/>
      <c r="C1292" s="53"/>
      <c r="D1292" s="53"/>
      <c r="E1292" s="240"/>
      <c r="F1292" s="241"/>
      <c r="G1292" s="53"/>
      <c r="H1292" s="53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</row>
    <row r="1293">
      <c r="A1293" s="83"/>
      <c r="B1293" s="53"/>
      <c r="C1293" s="53"/>
      <c r="D1293" s="53"/>
      <c r="E1293" s="240"/>
      <c r="F1293" s="241"/>
      <c r="G1293" s="53"/>
      <c r="H1293" s="53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</row>
    <row r="1294">
      <c r="A1294" s="83"/>
      <c r="B1294" s="53"/>
      <c r="C1294" s="53"/>
      <c r="D1294" s="53"/>
      <c r="E1294" s="240"/>
      <c r="F1294" s="241"/>
      <c r="G1294" s="53"/>
      <c r="H1294" s="53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</row>
    <row r="1295">
      <c r="A1295" s="83"/>
      <c r="B1295" s="53"/>
      <c r="C1295" s="53"/>
      <c r="D1295" s="53"/>
      <c r="E1295" s="240"/>
      <c r="F1295" s="241"/>
      <c r="G1295" s="53"/>
      <c r="H1295" s="53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</row>
    <row r="1296">
      <c r="A1296" s="83"/>
      <c r="B1296" s="53"/>
      <c r="C1296" s="53"/>
      <c r="D1296" s="53"/>
      <c r="E1296" s="240"/>
      <c r="F1296" s="241"/>
      <c r="G1296" s="53"/>
      <c r="H1296" s="53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</row>
    <row r="1297">
      <c r="A1297" s="83"/>
      <c r="B1297" s="53"/>
      <c r="C1297" s="53"/>
      <c r="D1297" s="53"/>
      <c r="E1297" s="240"/>
      <c r="F1297" s="241"/>
      <c r="G1297" s="53"/>
      <c r="H1297" s="53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</row>
    <row r="1298">
      <c r="A1298" s="83"/>
      <c r="B1298" s="53"/>
      <c r="C1298" s="53"/>
      <c r="D1298" s="53"/>
      <c r="E1298" s="240"/>
      <c r="F1298" s="241"/>
      <c r="G1298" s="53"/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</row>
    <row r="1299">
      <c r="A1299" s="83"/>
      <c r="B1299" s="53"/>
      <c r="C1299" s="53"/>
      <c r="D1299" s="53"/>
      <c r="E1299" s="240"/>
      <c r="F1299" s="241"/>
      <c r="G1299" s="53"/>
      <c r="H1299" s="53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</row>
    <row r="1300">
      <c r="A1300" s="83"/>
      <c r="B1300" s="53"/>
      <c r="C1300" s="53"/>
      <c r="D1300" s="53"/>
      <c r="E1300" s="240"/>
      <c r="F1300" s="241"/>
      <c r="G1300" s="53"/>
      <c r="H1300" s="53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</row>
    <row r="1301">
      <c r="A1301" s="83"/>
      <c r="B1301" s="53"/>
      <c r="C1301" s="53"/>
      <c r="D1301" s="53"/>
      <c r="E1301" s="240"/>
      <c r="F1301" s="241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</row>
    <row r="1302">
      <c r="A1302" s="83"/>
      <c r="B1302" s="53"/>
      <c r="C1302" s="53"/>
      <c r="D1302" s="53"/>
      <c r="E1302" s="240"/>
      <c r="F1302" s="241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</row>
    <row r="1303">
      <c r="A1303" s="83"/>
      <c r="B1303" s="53"/>
      <c r="C1303" s="53"/>
      <c r="D1303" s="53"/>
      <c r="E1303" s="240"/>
      <c r="F1303" s="241"/>
      <c r="G1303" s="53"/>
      <c r="H1303" s="53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</row>
    <row r="1304">
      <c r="A1304" s="83"/>
      <c r="B1304" s="53"/>
      <c r="C1304" s="53"/>
      <c r="D1304" s="53"/>
      <c r="E1304" s="240"/>
      <c r="F1304" s="241"/>
      <c r="G1304" s="53"/>
      <c r="H1304" s="53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</row>
    <row r="1305">
      <c r="A1305" s="83"/>
      <c r="B1305" s="53"/>
      <c r="C1305" s="53"/>
      <c r="D1305" s="53"/>
      <c r="E1305" s="240"/>
      <c r="F1305" s="241"/>
      <c r="G1305" s="53"/>
      <c r="H1305" s="53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</row>
    <row r="1306">
      <c r="A1306" s="83"/>
      <c r="B1306" s="53"/>
      <c r="C1306" s="53"/>
      <c r="D1306" s="53"/>
      <c r="E1306" s="240"/>
      <c r="F1306" s="241"/>
      <c r="G1306" s="53"/>
      <c r="H1306" s="53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</row>
    <row r="1307">
      <c r="A1307" s="83"/>
      <c r="B1307" s="53"/>
      <c r="C1307" s="53"/>
      <c r="D1307" s="53"/>
      <c r="E1307" s="240"/>
      <c r="F1307" s="241"/>
      <c r="G1307" s="53"/>
      <c r="H1307" s="53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</row>
    <row r="1308">
      <c r="A1308" s="83"/>
      <c r="B1308" s="53"/>
      <c r="C1308" s="53"/>
      <c r="D1308" s="53"/>
      <c r="E1308" s="240"/>
      <c r="F1308" s="241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</row>
    <row r="1309">
      <c r="A1309" s="83"/>
      <c r="B1309" s="53"/>
      <c r="C1309" s="53"/>
      <c r="D1309" s="53"/>
      <c r="E1309" s="240"/>
      <c r="F1309" s="241"/>
      <c r="G1309" s="53"/>
      <c r="H1309" s="53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</row>
    <row r="1310">
      <c r="A1310" s="83"/>
      <c r="B1310" s="53"/>
      <c r="C1310" s="53"/>
      <c r="D1310" s="53"/>
      <c r="E1310" s="240"/>
      <c r="F1310" s="241"/>
      <c r="G1310" s="53"/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</row>
    <row r="1311">
      <c r="A1311" s="83"/>
      <c r="B1311" s="53"/>
      <c r="C1311" s="53"/>
      <c r="D1311" s="53"/>
      <c r="E1311" s="240"/>
      <c r="F1311" s="241"/>
      <c r="G1311" s="53"/>
      <c r="H1311" s="53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</row>
    <row r="1312">
      <c r="A1312" s="83"/>
      <c r="B1312" s="53"/>
      <c r="C1312" s="53"/>
      <c r="D1312" s="53"/>
      <c r="E1312" s="240"/>
      <c r="F1312" s="241"/>
      <c r="G1312" s="53"/>
      <c r="H1312" s="53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</row>
    <row r="1313">
      <c r="A1313" s="83"/>
      <c r="B1313" s="53"/>
      <c r="C1313" s="53"/>
      <c r="D1313" s="53"/>
      <c r="E1313" s="240"/>
      <c r="F1313" s="241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</row>
    <row r="1314">
      <c r="A1314" s="83"/>
      <c r="B1314" s="53"/>
      <c r="C1314" s="53"/>
      <c r="D1314" s="53"/>
      <c r="E1314" s="240"/>
      <c r="F1314" s="241"/>
      <c r="G1314" s="53"/>
      <c r="H1314" s="53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</row>
    <row r="1315">
      <c r="A1315" s="83"/>
      <c r="B1315" s="53"/>
      <c r="C1315" s="53"/>
      <c r="D1315" s="53"/>
      <c r="E1315" s="240"/>
      <c r="F1315" s="241"/>
      <c r="G1315" s="53"/>
      <c r="H1315" s="53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</row>
    <row r="1316">
      <c r="A1316" s="83"/>
      <c r="B1316" s="53"/>
      <c r="C1316" s="53"/>
      <c r="D1316" s="53"/>
      <c r="E1316" s="240"/>
      <c r="F1316" s="241"/>
      <c r="G1316" s="53"/>
      <c r="H1316" s="53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</row>
    <row r="1317">
      <c r="A1317" s="83"/>
      <c r="B1317" s="53"/>
      <c r="C1317" s="53"/>
      <c r="D1317" s="53"/>
      <c r="E1317" s="240"/>
      <c r="F1317" s="241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</row>
    <row r="1318">
      <c r="A1318" s="83"/>
      <c r="B1318" s="53"/>
      <c r="C1318" s="53"/>
      <c r="D1318" s="53"/>
      <c r="E1318" s="240"/>
      <c r="F1318" s="241"/>
      <c r="G1318" s="53"/>
      <c r="H1318" s="53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</row>
    <row r="1319">
      <c r="A1319" s="83"/>
      <c r="B1319" s="53"/>
      <c r="C1319" s="53"/>
      <c r="D1319" s="53"/>
      <c r="E1319" s="240"/>
      <c r="F1319" s="241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</row>
    <row r="1320">
      <c r="A1320" s="83"/>
      <c r="B1320" s="53"/>
      <c r="C1320" s="53"/>
      <c r="D1320" s="53"/>
      <c r="E1320" s="240"/>
      <c r="F1320" s="241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</row>
    <row r="1321">
      <c r="A1321" s="83"/>
      <c r="B1321" s="53"/>
      <c r="C1321" s="53"/>
      <c r="D1321" s="53"/>
      <c r="E1321" s="240"/>
      <c r="F1321" s="241"/>
      <c r="G1321" s="53"/>
      <c r="H1321" s="53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</row>
    <row r="1322">
      <c r="A1322" s="83"/>
      <c r="B1322" s="53"/>
      <c r="C1322" s="53"/>
      <c r="D1322" s="53"/>
      <c r="E1322" s="240"/>
      <c r="F1322" s="241"/>
      <c r="G1322" s="53"/>
      <c r="H1322" s="53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</row>
    <row r="1323">
      <c r="A1323" s="83"/>
      <c r="B1323" s="53"/>
      <c r="C1323" s="53"/>
      <c r="D1323" s="53"/>
      <c r="E1323" s="240"/>
      <c r="F1323" s="241"/>
      <c r="G1323" s="53"/>
      <c r="H1323" s="53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</row>
    <row r="1324">
      <c r="A1324" s="83"/>
      <c r="B1324" s="53"/>
      <c r="C1324" s="53"/>
      <c r="D1324" s="53"/>
      <c r="E1324" s="240"/>
      <c r="F1324" s="241"/>
      <c r="G1324" s="53"/>
      <c r="H1324" s="53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</row>
    <row r="1325">
      <c r="A1325" s="83"/>
      <c r="B1325" s="53"/>
      <c r="C1325" s="53"/>
      <c r="D1325" s="53"/>
      <c r="E1325" s="240"/>
      <c r="F1325" s="241"/>
      <c r="G1325" s="53"/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</row>
    <row r="1326">
      <c r="A1326" s="83"/>
      <c r="B1326" s="53"/>
      <c r="C1326" s="53"/>
      <c r="D1326" s="53"/>
      <c r="E1326" s="240"/>
      <c r="F1326" s="241"/>
      <c r="G1326" s="53"/>
      <c r="H1326" s="53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</row>
    <row r="1327">
      <c r="A1327" s="83"/>
      <c r="B1327" s="53"/>
      <c r="C1327" s="53"/>
      <c r="D1327" s="53"/>
      <c r="E1327" s="240"/>
      <c r="F1327" s="241"/>
      <c r="G1327" s="53"/>
      <c r="H1327" s="53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</row>
    <row r="1328">
      <c r="A1328" s="83"/>
      <c r="B1328" s="53"/>
      <c r="C1328" s="53"/>
      <c r="D1328" s="53"/>
      <c r="E1328" s="240"/>
      <c r="F1328" s="241"/>
      <c r="G1328" s="53"/>
      <c r="H1328" s="53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</row>
    <row r="1329">
      <c r="A1329" s="83"/>
      <c r="B1329" s="53"/>
      <c r="C1329" s="53"/>
      <c r="D1329" s="53"/>
      <c r="E1329" s="240"/>
      <c r="F1329" s="241"/>
      <c r="G1329" s="53"/>
      <c r="H1329" s="53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</row>
    <row r="1330">
      <c r="A1330" s="83"/>
      <c r="B1330" s="53"/>
      <c r="C1330" s="53"/>
      <c r="D1330" s="53"/>
      <c r="E1330" s="240"/>
      <c r="F1330" s="241"/>
      <c r="G1330" s="53"/>
      <c r="H1330" s="53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</row>
    <row r="1331">
      <c r="A1331" s="83"/>
      <c r="B1331" s="53"/>
      <c r="C1331" s="53"/>
      <c r="D1331" s="53"/>
      <c r="E1331" s="240"/>
      <c r="F1331" s="241"/>
      <c r="G1331" s="53"/>
      <c r="H1331" s="53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</row>
    <row r="1332">
      <c r="A1332" s="83"/>
      <c r="B1332" s="53"/>
      <c r="C1332" s="53"/>
      <c r="D1332" s="53"/>
      <c r="E1332" s="240"/>
      <c r="F1332" s="241"/>
      <c r="G1332" s="53"/>
      <c r="H1332" s="53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</row>
    <row r="1333">
      <c r="A1333" s="83"/>
      <c r="B1333" s="53"/>
      <c r="C1333" s="53"/>
      <c r="D1333" s="53"/>
      <c r="E1333" s="240"/>
      <c r="F1333" s="241"/>
      <c r="G1333" s="53"/>
      <c r="H1333" s="53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</row>
    <row r="1334">
      <c r="A1334" s="83"/>
      <c r="B1334" s="53"/>
      <c r="C1334" s="53"/>
      <c r="D1334" s="53"/>
      <c r="E1334" s="240"/>
      <c r="F1334" s="241"/>
      <c r="G1334" s="53"/>
      <c r="H1334" s="53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</row>
    <row r="1335">
      <c r="A1335" s="83"/>
      <c r="B1335" s="53"/>
      <c r="C1335" s="53"/>
      <c r="D1335" s="53"/>
      <c r="E1335" s="240"/>
      <c r="F1335" s="241"/>
      <c r="G1335" s="53"/>
      <c r="H1335" s="53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</row>
    <row r="1336">
      <c r="A1336" s="83"/>
      <c r="B1336" s="53"/>
      <c r="C1336" s="53"/>
      <c r="D1336" s="53"/>
      <c r="E1336" s="240"/>
      <c r="F1336" s="241"/>
      <c r="G1336" s="53"/>
      <c r="H1336" s="53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</row>
    <row r="1337">
      <c r="A1337" s="83"/>
      <c r="B1337" s="53"/>
      <c r="C1337" s="53"/>
      <c r="D1337" s="53"/>
      <c r="E1337" s="240"/>
      <c r="F1337" s="241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</row>
    <row r="1338">
      <c r="A1338" s="83"/>
      <c r="B1338" s="53"/>
      <c r="C1338" s="53"/>
      <c r="D1338" s="53"/>
      <c r="E1338" s="240"/>
      <c r="F1338" s="241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</row>
    <row r="1339">
      <c r="A1339" s="83"/>
      <c r="B1339" s="53"/>
      <c r="C1339" s="53"/>
      <c r="D1339" s="53"/>
      <c r="E1339" s="240"/>
      <c r="F1339" s="241"/>
      <c r="G1339" s="53"/>
      <c r="H1339" s="53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</row>
    <row r="1340">
      <c r="A1340" s="83"/>
      <c r="B1340" s="53"/>
      <c r="C1340" s="53"/>
      <c r="D1340" s="53"/>
      <c r="E1340" s="240"/>
      <c r="F1340" s="241"/>
      <c r="G1340" s="53"/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</row>
    <row r="1341">
      <c r="A1341" s="83"/>
      <c r="B1341" s="53"/>
      <c r="C1341" s="53"/>
      <c r="D1341" s="53"/>
      <c r="E1341" s="240"/>
      <c r="F1341" s="241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</row>
    <row r="1342">
      <c r="A1342" s="83"/>
      <c r="B1342" s="53"/>
      <c r="C1342" s="53"/>
      <c r="D1342" s="53"/>
      <c r="E1342" s="240"/>
      <c r="F1342" s="241"/>
      <c r="G1342" s="53"/>
      <c r="H1342" s="53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</row>
    <row r="1343">
      <c r="A1343" s="83"/>
      <c r="B1343" s="53"/>
      <c r="C1343" s="53"/>
      <c r="D1343" s="53"/>
      <c r="E1343" s="240"/>
      <c r="F1343" s="241"/>
      <c r="G1343" s="53"/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</row>
    <row r="1344">
      <c r="A1344" s="83"/>
      <c r="B1344" s="53"/>
      <c r="C1344" s="53"/>
      <c r="D1344" s="53"/>
      <c r="E1344" s="240"/>
      <c r="F1344" s="241"/>
      <c r="G1344" s="53"/>
      <c r="H1344" s="53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</row>
    <row r="1345">
      <c r="A1345" s="83"/>
      <c r="B1345" s="53"/>
      <c r="C1345" s="53"/>
      <c r="D1345" s="53"/>
      <c r="E1345" s="240"/>
      <c r="F1345" s="241"/>
      <c r="G1345" s="53"/>
      <c r="H1345" s="53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</row>
    <row r="1346">
      <c r="A1346" s="83"/>
      <c r="B1346" s="53"/>
      <c r="C1346" s="53"/>
      <c r="D1346" s="53"/>
      <c r="E1346" s="240"/>
      <c r="F1346" s="241"/>
      <c r="G1346" s="53"/>
      <c r="H1346" s="53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</row>
    <row r="1347">
      <c r="A1347" s="83"/>
      <c r="B1347" s="53"/>
      <c r="C1347" s="53"/>
      <c r="D1347" s="53"/>
      <c r="E1347" s="240"/>
      <c r="F1347" s="241"/>
      <c r="G1347" s="53"/>
      <c r="H1347" s="53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</row>
    <row r="1348">
      <c r="A1348" s="83"/>
      <c r="B1348" s="53"/>
      <c r="C1348" s="53"/>
      <c r="D1348" s="53"/>
      <c r="E1348" s="240"/>
      <c r="F1348" s="241"/>
      <c r="G1348" s="53"/>
      <c r="H1348" s="53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</row>
    <row r="1349">
      <c r="A1349" s="83"/>
      <c r="B1349" s="53"/>
      <c r="C1349" s="53"/>
      <c r="D1349" s="53"/>
      <c r="E1349" s="240"/>
      <c r="F1349" s="241"/>
      <c r="G1349" s="53"/>
      <c r="H1349" s="53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</row>
    <row r="1350">
      <c r="A1350" s="83"/>
      <c r="B1350" s="53"/>
      <c r="C1350" s="53"/>
      <c r="D1350" s="53"/>
      <c r="E1350" s="240"/>
      <c r="F1350" s="241"/>
      <c r="G1350" s="53"/>
      <c r="H1350" s="53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</row>
    <row r="1351">
      <c r="A1351" s="83"/>
      <c r="B1351" s="53"/>
      <c r="C1351" s="53"/>
      <c r="D1351" s="53"/>
      <c r="E1351" s="240"/>
      <c r="F1351" s="241"/>
      <c r="G1351" s="53"/>
      <c r="H1351" s="53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</row>
    <row r="1352">
      <c r="A1352" s="83"/>
      <c r="B1352" s="53"/>
      <c r="C1352" s="53"/>
      <c r="D1352" s="53"/>
      <c r="E1352" s="240"/>
      <c r="F1352" s="241"/>
      <c r="G1352" s="53"/>
      <c r="H1352" s="53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</row>
    <row r="1353">
      <c r="A1353" s="83"/>
      <c r="B1353" s="53"/>
      <c r="C1353" s="53"/>
      <c r="D1353" s="53"/>
      <c r="E1353" s="240"/>
      <c r="F1353" s="241"/>
      <c r="G1353" s="53"/>
      <c r="H1353" s="53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</row>
    <row r="1354">
      <c r="A1354" s="83"/>
      <c r="B1354" s="53"/>
      <c r="C1354" s="53"/>
      <c r="D1354" s="53"/>
      <c r="E1354" s="240"/>
      <c r="F1354" s="241"/>
      <c r="G1354" s="53"/>
      <c r="H1354" s="53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</row>
    <row r="1355">
      <c r="A1355" s="83"/>
      <c r="B1355" s="53"/>
      <c r="C1355" s="53"/>
      <c r="D1355" s="53"/>
      <c r="E1355" s="240"/>
      <c r="F1355" s="241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</row>
    <row r="1356">
      <c r="A1356" s="83"/>
      <c r="B1356" s="53"/>
      <c r="C1356" s="53"/>
      <c r="D1356" s="53"/>
      <c r="E1356" s="240"/>
      <c r="F1356" s="241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</row>
    <row r="1357">
      <c r="A1357" s="83"/>
      <c r="B1357" s="53"/>
      <c r="C1357" s="53"/>
      <c r="D1357" s="53"/>
      <c r="E1357" s="240"/>
      <c r="F1357" s="241"/>
      <c r="G1357" s="53"/>
      <c r="H1357" s="53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</row>
    <row r="1358">
      <c r="A1358" s="83"/>
      <c r="B1358" s="53"/>
      <c r="C1358" s="53"/>
      <c r="D1358" s="53"/>
      <c r="E1358" s="240"/>
      <c r="F1358" s="241"/>
      <c r="G1358" s="53"/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</row>
    <row r="1359">
      <c r="A1359" s="83"/>
      <c r="B1359" s="53"/>
      <c r="C1359" s="53"/>
      <c r="D1359" s="53"/>
      <c r="E1359" s="240"/>
      <c r="F1359" s="241"/>
      <c r="G1359" s="53"/>
      <c r="H1359" s="53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</row>
    <row r="1360">
      <c r="A1360" s="83"/>
      <c r="B1360" s="53"/>
      <c r="C1360" s="53"/>
      <c r="D1360" s="53"/>
      <c r="E1360" s="240"/>
      <c r="F1360" s="241"/>
      <c r="G1360" s="53"/>
      <c r="H1360" s="53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</row>
    <row r="1361">
      <c r="A1361" s="83"/>
      <c r="B1361" s="53"/>
      <c r="C1361" s="53"/>
      <c r="D1361" s="53"/>
      <c r="E1361" s="240"/>
      <c r="F1361" s="241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</row>
    <row r="1362">
      <c r="A1362" s="83"/>
      <c r="B1362" s="53"/>
      <c r="C1362" s="53"/>
      <c r="D1362" s="53"/>
      <c r="E1362" s="240"/>
      <c r="F1362" s="241"/>
      <c r="G1362" s="53"/>
      <c r="H1362" s="53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</row>
    <row r="1363">
      <c r="A1363" s="83"/>
      <c r="B1363" s="53"/>
      <c r="C1363" s="53"/>
      <c r="D1363" s="53"/>
      <c r="E1363" s="240"/>
      <c r="F1363" s="241"/>
      <c r="G1363" s="53"/>
      <c r="H1363" s="53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</row>
    <row r="1364">
      <c r="A1364" s="83"/>
      <c r="B1364" s="53"/>
      <c r="C1364" s="53"/>
      <c r="D1364" s="53"/>
      <c r="E1364" s="240"/>
      <c r="F1364" s="241"/>
      <c r="G1364" s="53"/>
      <c r="H1364" s="53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</row>
    <row r="1365">
      <c r="A1365" s="83"/>
      <c r="B1365" s="53"/>
      <c r="C1365" s="53"/>
      <c r="D1365" s="53"/>
      <c r="E1365" s="240"/>
      <c r="F1365" s="241"/>
      <c r="G1365" s="53"/>
      <c r="H1365" s="53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</row>
    <row r="1366">
      <c r="A1366" s="83"/>
      <c r="B1366" s="53"/>
      <c r="C1366" s="53"/>
      <c r="D1366" s="53"/>
      <c r="E1366" s="240"/>
      <c r="F1366" s="241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</row>
    <row r="1367">
      <c r="A1367" s="83"/>
      <c r="B1367" s="53"/>
      <c r="C1367" s="53"/>
      <c r="D1367" s="53"/>
      <c r="E1367" s="240"/>
      <c r="F1367" s="241"/>
      <c r="G1367" s="53"/>
      <c r="H1367" s="53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</row>
    <row r="1368">
      <c r="A1368" s="83"/>
      <c r="B1368" s="53"/>
      <c r="C1368" s="53"/>
      <c r="D1368" s="53"/>
      <c r="E1368" s="240"/>
      <c r="F1368" s="241"/>
      <c r="G1368" s="53"/>
      <c r="H1368" s="53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</row>
    <row r="1369">
      <c r="A1369" s="83"/>
      <c r="B1369" s="53"/>
      <c r="C1369" s="53"/>
      <c r="D1369" s="53"/>
      <c r="E1369" s="240"/>
      <c r="F1369" s="241"/>
      <c r="G1369" s="53"/>
      <c r="H1369" s="53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</row>
    <row r="1370">
      <c r="A1370" s="83"/>
      <c r="B1370" s="53"/>
      <c r="C1370" s="53"/>
      <c r="D1370" s="53"/>
      <c r="E1370" s="240"/>
      <c r="F1370" s="241"/>
      <c r="G1370" s="53"/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</row>
    <row r="1371">
      <c r="A1371" s="83"/>
      <c r="B1371" s="53"/>
      <c r="C1371" s="53"/>
      <c r="D1371" s="53"/>
      <c r="E1371" s="240"/>
      <c r="F1371" s="241"/>
      <c r="G1371" s="53"/>
      <c r="H1371" s="53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</row>
    <row r="1372">
      <c r="A1372" s="83"/>
      <c r="B1372" s="53"/>
      <c r="C1372" s="53"/>
      <c r="D1372" s="53"/>
      <c r="E1372" s="240"/>
      <c r="F1372" s="241"/>
      <c r="G1372" s="53"/>
      <c r="H1372" s="53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</row>
    <row r="1373">
      <c r="A1373" s="83"/>
      <c r="B1373" s="53"/>
      <c r="C1373" s="53"/>
      <c r="D1373" s="53"/>
      <c r="E1373" s="240"/>
      <c r="F1373" s="241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</row>
    <row r="1374">
      <c r="A1374" s="83"/>
      <c r="B1374" s="53"/>
      <c r="C1374" s="53"/>
      <c r="D1374" s="53"/>
      <c r="E1374" s="240"/>
      <c r="F1374" s="241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</row>
    <row r="1375">
      <c r="A1375" s="83"/>
      <c r="B1375" s="53"/>
      <c r="C1375" s="53"/>
      <c r="D1375" s="53"/>
      <c r="E1375" s="240"/>
      <c r="F1375" s="241"/>
      <c r="G1375" s="53"/>
      <c r="H1375" s="53"/>
      <c r="I1375" s="53"/>
      <c r="J1375" s="53"/>
      <c r="K1375" s="53"/>
      <c r="L1375" s="53"/>
      <c r="M1375" s="53"/>
      <c r="N1375" s="53"/>
      <c r="O1375" s="53"/>
      <c r="P1375" s="53"/>
      <c r="Q1375" s="53"/>
      <c r="R1375" s="53"/>
      <c r="S1375" s="53"/>
      <c r="T1375" s="53"/>
      <c r="U1375" s="53"/>
      <c r="V1375" s="53"/>
    </row>
    <row r="1376">
      <c r="A1376" s="83"/>
      <c r="B1376" s="53"/>
      <c r="C1376" s="53"/>
      <c r="D1376" s="53"/>
      <c r="E1376" s="240"/>
      <c r="F1376" s="241"/>
      <c r="G1376" s="53"/>
      <c r="H1376" s="53"/>
      <c r="I1376" s="53"/>
      <c r="J1376" s="53"/>
      <c r="K1376" s="53"/>
      <c r="L1376" s="53"/>
      <c r="M1376" s="53"/>
      <c r="N1376" s="53"/>
      <c r="O1376" s="53"/>
      <c r="P1376" s="53"/>
      <c r="Q1376" s="53"/>
      <c r="R1376" s="53"/>
      <c r="S1376" s="53"/>
      <c r="T1376" s="53"/>
      <c r="U1376" s="53"/>
      <c r="V1376" s="53"/>
    </row>
    <row r="1377">
      <c r="A1377" s="83"/>
      <c r="B1377" s="53"/>
      <c r="C1377" s="53"/>
      <c r="D1377" s="53"/>
      <c r="E1377" s="240"/>
      <c r="F1377" s="241"/>
      <c r="G1377" s="53"/>
      <c r="H1377" s="53"/>
      <c r="I1377" s="53"/>
      <c r="J1377" s="53"/>
      <c r="K1377" s="53"/>
      <c r="L1377" s="53"/>
      <c r="M1377" s="53"/>
      <c r="N1377" s="53"/>
      <c r="O1377" s="53"/>
      <c r="P1377" s="53"/>
      <c r="Q1377" s="53"/>
      <c r="R1377" s="53"/>
      <c r="S1377" s="53"/>
      <c r="T1377" s="53"/>
      <c r="U1377" s="53"/>
      <c r="V1377" s="53"/>
    </row>
    <row r="1378">
      <c r="A1378" s="83"/>
      <c r="B1378" s="53"/>
      <c r="C1378" s="53"/>
      <c r="D1378" s="53"/>
      <c r="E1378" s="240"/>
      <c r="F1378" s="241"/>
      <c r="G1378" s="53"/>
      <c r="H1378" s="53"/>
      <c r="I1378" s="53"/>
      <c r="J1378" s="53"/>
      <c r="K1378" s="53"/>
      <c r="L1378" s="53"/>
      <c r="M1378" s="53"/>
      <c r="N1378" s="53"/>
      <c r="O1378" s="53"/>
      <c r="P1378" s="53"/>
      <c r="Q1378" s="53"/>
      <c r="R1378" s="53"/>
      <c r="S1378" s="53"/>
      <c r="T1378" s="53"/>
      <c r="U1378" s="53"/>
      <c r="V1378" s="53"/>
    </row>
    <row r="1379">
      <c r="A1379" s="83"/>
      <c r="B1379" s="53"/>
      <c r="C1379" s="53"/>
      <c r="D1379" s="53"/>
      <c r="E1379" s="240"/>
      <c r="F1379" s="241"/>
      <c r="G1379" s="53"/>
      <c r="H1379" s="53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</row>
    <row r="1380">
      <c r="A1380" s="83"/>
      <c r="B1380" s="53"/>
      <c r="C1380" s="53"/>
      <c r="D1380" s="53"/>
      <c r="E1380" s="240"/>
      <c r="F1380" s="241"/>
      <c r="G1380" s="53"/>
      <c r="H1380" s="53"/>
      <c r="I1380" s="53"/>
      <c r="J1380" s="53"/>
      <c r="K1380" s="53"/>
      <c r="L1380" s="53"/>
      <c r="M1380" s="53"/>
      <c r="N1380" s="53"/>
      <c r="O1380" s="53"/>
      <c r="P1380" s="53"/>
      <c r="Q1380" s="53"/>
      <c r="R1380" s="53"/>
      <c r="S1380" s="53"/>
      <c r="T1380" s="53"/>
      <c r="U1380" s="53"/>
      <c r="V1380" s="53"/>
    </row>
    <row r="1381">
      <c r="A1381" s="83"/>
      <c r="B1381" s="53"/>
      <c r="C1381" s="53"/>
      <c r="D1381" s="53"/>
      <c r="E1381" s="240"/>
      <c r="F1381" s="241"/>
      <c r="G1381" s="53"/>
      <c r="H1381" s="53"/>
      <c r="I1381" s="53"/>
      <c r="J1381" s="53"/>
      <c r="K1381" s="53"/>
      <c r="L1381" s="53"/>
      <c r="M1381" s="53"/>
      <c r="N1381" s="53"/>
      <c r="O1381" s="53"/>
      <c r="P1381" s="53"/>
      <c r="Q1381" s="53"/>
      <c r="R1381" s="53"/>
      <c r="S1381" s="53"/>
      <c r="T1381" s="53"/>
      <c r="U1381" s="53"/>
      <c r="V1381" s="53"/>
    </row>
    <row r="1382">
      <c r="A1382" s="83"/>
      <c r="B1382" s="53"/>
      <c r="C1382" s="53"/>
      <c r="D1382" s="53"/>
      <c r="E1382" s="240"/>
      <c r="F1382" s="241"/>
      <c r="G1382" s="53"/>
      <c r="H1382" s="53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</row>
    <row r="1383">
      <c r="A1383" s="83"/>
      <c r="B1383" s="53"/>
      <c r="C1383" s="53"/>
      <c r="D1383" s="53"/>
      <c r="E1383" s="240"/>
      <c r="F1383" s="241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</row>
    <row r="1384">
      <c r="A1384" s="83"/>
      <c r="B1384" s="53"/>
      <c r="C1384" s="53"/>
      <c r="D1384" s="53"/>
      <c r="E1384" s="240"/>
      <c r="F1384" s="241"/>
      <c r="G1384" s="53"/>
      <c r="H1384" s="53"/>
      <c r="I1384" s="53"/>
      <c r="J1384" s="53"/>
      <c r="K1384" s="53"/>
      <c r="L1384" s="53"/>
      <c r="M1384" s="53"/>
      <c r="N1384" s="53"/>
      <c r="O1384" s="53"/>
      <c r="P1384" s="53"/>
      <c r="Q1384" s="53"/>
      <c r="R1384" s="53"/>
      <c r="S1384" s="53"/>
      <c r="T1384" s="53"/>
      <c r="U1384" s="53"/>
      <c r="V1384" s="53"/>
    </row>
    <row r="1385">
      <c r="A1385" s="83"/>
      <c r="B1385" s="53"/>
      <c r="C1385" s="53"/>
      <c r="D1385" s="53"/>
      <c r="E1385" s="240"/>
      <c r="F1385" s="241"/>
      <c r="G1385" s="53"/>
      <c r="H1385" s="53"/>
      <c r="I1385" s="53"/>
      <c r="J1385" s="53"/>
      <c r="K1385" s="53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</row>
    <row r="1386">
      <c r="A1386" s="83"/>
      <c r="B1386" s="53"/>
      <c r="C1386" s="53"/>
      <c r="D1386" s="53"/>
      <c r="E1386" s="240"/>
      <c r="F1386" s="241"/>
      <c r="G1386" s="53"/>
      <c r="H1386" s="53"/>
      <c r="I1386" s="53"/>
      <c r="J1386" s="53"/>
      <c r="K1386" s="53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</row>
    <row r="1387">
      <c r="A1387" s="83"/>
      <c r="B1387" s="53"/>
      <c r="C1387" s="53"/>
      <c r="D1387" s="53"/>
      <c r="E1387" s="240"/>
      <c r="F1387" s="241"/>
      <c r="G1387" s="53"/>
      <c r="H1387" s="53"/>
      <c r="I1387" s="53"/>
      <c r="J1387" s="53"/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</row>
    <row r="1388">
      <c r="A1388" s="83"/>
      <c r="B1388" s="53"/>
      <c r="C1388" s="53"/>
      <c r="D1388" s="53"/>
      <c r="E1388" s="240"/>
      <c r="F1388" s="241"/>
      <c r="G1388" s="53"/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</row>
    <row r="1389">
      <c r="A1389" s="83"/>
      <c r="B1389" s="53"/>
      <c r="C1389" s="53"/>
      <c r="D1389" s="53"/>
      <c r="E1389" s="240"/>
      <c r="F1389" s="241"/>
      <c r="G1389" s="53"/>
      <c r="H1389" s="53"/>
      <c r="I1389" s="53"/>
      <c r="J1389" s="53"/>
      <c r="K1389" s="53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</row>
    <row r="1390">
      <c r="A1390" s="83"/>
      <c r="B1390" s="53"/>
      <c r="C1390" s="53"/>
      <c r="D1390" s="53"/>
      <c r="E1390" s="240"/>
      <c r="F1390" s="241"/>
      <c r="G1390" s="53"/>
      <c r="H1390" s="53"/>
      <c r="I1390" s="53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</row>
    <row r="1391">
      <c r="A1391" s="83"/>
      <c r="B1391" s="53"/>
      <c r="C1391" s="53"/>
      <c r="D1391" s="53"/>
      <c r="E1391" s="240"/>
      <c r="F1391" s="241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</row>
    <row r="1392">
      <c r="A1392" s="83"/>
      <c r="B1392" s="53"/>
      <c r="C1392" s="53"/>
      <c r="D1392" s="53"/>
      <c r="E1392" s="240"/>
      <c r="F1392" s="241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</row>
    <row r="1393">
      <c r="A1393" s="83"/>
      <c r="B1393" s="53"/>
      <c r="C1393" s="53"/>
      <c r="D1393" s="53"/>
      <c r="E1393" s="240"/>
      <c r="F1393" s="241"/>
      <c r="G1393" s="53"/>
      <c r="H1393" s="53"/>
      <c r="I1393" s="53"/>
      <c r="J1393" s="53"/>
      <c r="K1393" s="53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</row>
    <row r="1394">
      <c r="A1394" s="83"/>
      <c r="B1394" s="53"/>
      <c r="C1394" s="53"/>
      <c r="D1394" s="53"/>
      <c r="E1394" s="240"/>
      <c r="F1394" s="241"/>
      <c r="G1394" s="53"/>
      <c r="H1394" s="53"/>
      <c r="I1394" s="53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</row>
    <row r="1395">
      <c r="A1395" s="83"/>
      <c r="B1395" s="53"/>
      <c r="C1395" s="53"/>
      <c r="D1395" s="53"/>
      <c r="E1395" s="240"/>
      <c r="F1395" s="241"/>
      <c r="G1395" s="53"/>
      <c r="H1395" s="53"/>
      <c r="I1395" s="53"/>
      <c r="J1395" s="53"/>
      <c r="K1395" s="53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</row>
    <row r="1396">
      <c r="A1396" s="83"/>
      <c r="B1396" s="53"/>
      <c r="C1396" s="53"/>
      <c r="D1396" s="53"/>
      <c r="E1396" s="240"/>
      <c r="F1396" s="241"/>
      <c r="G1396" s="53"/>
      <c r="H1396" s="53"/>
      <c r="I1396" s="53"/>
      <c r="J1396" s="53"/>
      <c r="K1396" s="53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</row>
    <row r="1397">
      <c r="A1397" s="83"/>
      <c r="B1397" s="53"/>
      <c r="C1397" s="53"/>
      <c r="D1397" s="53"/>
      <c r="E1397" s="240"/>
      <c r="F1397" s="241"/>
      <c r="G1397" s="53"/>
      <c r="H1397" s="53"/>
      <c r="I1397" s="53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</row>
    <row r="1398">
      <c r="A1398" s="83"/>
      <c r="B1398" s="53"/>
      <c r="C1398" s="53"/>
      <c r="D1398" s="53"/>
      <c r="E1398" s="240"/>
      <c r="F1398" s="241"/>
      <c r="G1398" s="53"/>
      <c r="H1398" s="53"/>
      <c r="I1398" s="53"/>
      <c r="J1398" s="53"/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</row>
    <row r="1399">
      <c r="A1399" s="83"/>
      <c r="B1399" s="53"/>
      <c r="C1399" s="53"/>
      <c r="D1399" s="53"/>
      <c r="E1399" s="240"/>
      <c r="F1399" s="241"/>
      <c r="G1399" s="53"/>
      <c r="H1399" s="53"/>
      <c r="I1399" s="53"/>
      <c r="J1399" s="53"/>
      <c r="K1399" s="53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</row>
    <row r="1400">
      <c r="A1400" s="83"/>
      <c r="B1400" s="53"/>
      <c r="C1400" s="53"/>
      <c r="D1400" s="53"/>
      <c r="E1400" s="240"/>
      <c r="F1400" s="241"/>
      <c r="G1400" s="53"/>
      <c r="H1400" s="53"/>
      <c r="I1400" s="53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</row>
    <row r="1401">
      <c r="A1401" s="83"/>
      <c r="B1401" s="53"/>
      <c r="C1401" s="53"/>
      <c r="D1401" s="53"/>
      <c r="E1401" s="240"/>
      <c r="F1401" s="241"/>
      <c r="G1401" s="53"/>
      <c r="H1401" s="53"/>
      <c r="I1401" s="53"/>
      <c r="J1401" s="53"/>
      <c r="K1401" s="53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3"/>
    </row>
    <row r="1402">
      <c r="A1402" s="83"/>
      <c r="B1402" s="53"/>
      <c r="C1402" s="53"/>
      <c r="D1402" s="53"/>
      <c r="E1402" s="240"/>
      <c r="F1402" s="241"/>
      <c r="G1402" s="53"/>
      <c r="H1402" s="53"/>
      <c r="I1402" s="53"/>
      <c r="J1402" s="53"/>
      <c r="K1402" s="53"/>
      <c r="L1402" s="53"/>
      <c r="M1402" s="53"/>
      <c r="N1402" s="53"/>
      <c r="O1402" s="53"/>
      <c r="P1402" s="53"/>
      <c r="Q1402" s="53"/>
      <c r="R1402" s="53"/>
      <c r="S1402" s="53"/>
      <c r="T1402" s="53"/>
      <c r="U1402" s="53"/>
      <c r="V1402" s="53"/>
    </row>
    <row r="1403">
      <c r="A1403" s="83"/>
      <c r="B1403" s="53"/>
      <c r="C1403" s="53"/>
      <c r="D1403" s="53"/>
      <c r="E1403" s="240"/>
      <c r="F1403" s="241"/>
      <c r="G1403" s="53"/>
      <c r="H1403" s="53"/>
      <c r="I1403" s="53"/>
      <c r="J1403" s="53"/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</row>
    <row r="1404">
      <c r="A1404" s="83"/>
      <c r="B1404" s="53"/>
      <c r="C1404" s="53"/>
      <c r="D1404" s="53"/>
      <c r="E1404" s="240"/>
      <c r="F1404" s="241"/>
      <c r="G1404" s="53"/>
      <c r="H1404" s="53"/>
      <c r="I1404" s="53"/>
      <c r="J1404" s="53"/>
      <c r="K1404" s="53"/>
      <c r="L1404" s="53"/>
      <c r="M1404" s="53"/>
      <c r="N1404" s="53"/>
      <c r="O1404" s="53"/>
      <c r="P1404" s="53"/>
      <c r="Q1404" s="53"/>
      <c r="R1404" s="53"/>
      <c r="S1404" s="53"/>
      <c r="T1404" s="53"/>
      <c r="U1404" s="53"/>
      <c r="V1404" s="53"/>
    </row>
    <row r="1405">
      <c r="A1405" s="83"/>
      <c r="B1405" s="53"/>
      <c r="C1405" s="53"/>
      <c r="D1405" s="53"/>
      <c r="E1405" s="240"/>
      <c r="F1405" s="241"/>
      <c r="G1405" s="53"/>
      <c r="H1405" s="53"/>
      <c r="I1405" s="53"/>
      <c r="J1405" s="53"/>
      <c r="K1405" s="53"/>
      <c r="L1405" s="53"/>
      <c r="M1405" s="53"/>
      <c r="N1405" s="53"/>
      <c r="O1405" s="53"/>
      <c r="P1405" s="53"/>
      <c r="Q1405" s="53"/>
      <c r="R1405" s="53"/>
      <c r="S1405" s="53"/>
      <c r="T1405" s="53"/>
      <c r="U1405" s="53"/>
      <c r="V1405" s="53"/>
    </row>
    <row r="1406">
      <c r="A1406" s="83"/>
      <c r="B1406" s="53"/>
      <c r="C1406" s="53"/>
      <c r="D1406" s="53"/>
      <c r="E1406" s="240"/>
      <c r="F1406" s="241"/>
      <c r="G1406" s="53"/>
      <c r="H1406" s="53"/>
      <c r="I1406" s="53"/>
      <c r="J1406" s="53"/>
      <c r="K1406" s="53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</row>
    <row r="1407">
      <c r="A1407" s="83"/>
      <c r="B1407" s="53"/>
      <c r="C1407" s="53"/>
      <c r="D1407" s="53"/>
      <c r="E1407" s="240"/>
      <c r="F1407" s="241"/>
      <c r="G1407" s="53"/>
      <c r="H1407" s="53"/>
      <c r="I1407" s="53"/>
      <c r="J1407" s="53"/>
      <c r="K1407" s="53"/>
      <c r="L1407" s="53"/>
      <c r="M1407" s="53"/>
      <c r="N1407" s="53"/>
      <c r="O1407" s="53"/>
      <c r="P1407" s="53"/>
      <c r="Q1407" s="53"/>
      <c r="R1407" s="53"/>
      <c r="S1407" s="53"/>
      <c r="T1407" s="53"/>
      <c r="U1407" s="53"/>
      <c r="V1407" s="53"/>
    </row>
    <row r="1408">
      <c r="A1408" s="83"/>
      <c r="B1408" s="53"/>
      <c r="C1408" s="53"/>
      <c r="D1408" s="53"/>
      <c r="E1408" s="240"/>
      <c r="F1408" s="241"/>
      <c r="G1408" s="53"/>
      <c r="H1408" s="53"/>
      <c r="I1408" s="53"/>
      <c r="J1408" s="53"/>
      <c r="K1408" s="53"/>
      <c r="L1408" s="53"/>
      <c r="M1408" s="53"/>
      <c r="N1408" s="53"/>
      <c r="O1408" s="53"/>
      <c r="P1408" s="53"/>
      <c r="Q1408" s="53"/>
      <c r="R1408" s="53"/>
      <c r="S1408" s="53"/>
      <c r="T1408" s="53"/>
      <c r="U1408" s="53"/>
      <c r="V1408" s="53"/>
    </row>
    <row r="1409">
      <c r="A1409" s="83"/>
      <c r="B1409" s="53"/>
      <c r="C1409" s="53"/>
      <c r="D1409" s="53"/>
      <c r="E1409" s="240"/>
      <c r="F1409" s="241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</row>
    <row r="1410">
      <c r="A1410" s="83"/>
      <c r="B1410" s="53"/>
      <c r="C1410" s="53"/>
      <c r="D1410" s="53"/>
      <c r="E1410" s="240"/>
      <c r="F1410" s="241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</row>
    <row r="1411">
      <c r="A1411" s="83"/>
      <c r="B1411" s="53"/>
      <c r="C1411" s="53"/>
      <c r="D1411" s="53"/>
      <c r="E1411" s="240"/>
      <c r="F1411" s="241"/>
      <c r="G1411" s="53"/>
      <c r="H1411" s="53"/>
      <c r="I1411" s="53"/>
      <c r="J1411" s="53"/>
      <c r="K1411" s="53"/>
      <c r="L1411" s="53"/>
      <c r="M1411" s="53"/>
      <c r="N1411" s="53"/>
      <c r="O1411" s="53"/>
      <c r="P1411" s="53"/>
      <c r="Q1411" s="53"/>
      <c r="R1411" s="53"/>
      <c r="S1411" s="53"/>
      <c r="T1411" s="53"/>
      <c r="U1411" s="53"/>
      <c r="V1411" s="53"/>
    </row>
    <row r="1412">
      <c r="A1412" s="83"/>
      <c r="B1412" s="53"/>
      <c r="C1412" s="53"/>
      <c r="D1412" s="53"/>
      <c r="E1412" s="240"/>
      <c r="F1412" s="241"/>
      <c r="G1412" s="53"/>
      <c r="H1412" s="53"/>
      <c r="I1412" s="53"/>
      <c r="J1412" s="53"/>
      <c r="K1412" s="53"/>
      <c r="L1412" s="53"/>
      <c r="M1412" s="53"/>
      <c r="N1412" s="53"/>
      <c r="O1412" s="53"/>
      <c r="P1412" s="53"/>
      <c r="Q1412" s="53"/>
      <c r="R1412" s="53"/>
      <c r="S1412" s="53"/>
      <c r="T1412" s="53"/>
      <c r="U1412" s="53"/>
      <c r="V1412" s="53"/>
    </row>
    <row r="1413">
      <c r="A1413" s="83"/>
      <c r="B1413" s="53"/>
      <c r="C1413" s="53"/>
      <c r="D1413" s="53"/>
      <c r="E1413" s="240"/>
      <c r="F1413" s="241"/>
      <c r="G1413" s="53"/>
      <c r="H1413" s="53"/>
      <c r="I1413" s="53"/>
      <c r="J1413" s="53"/>
      <c r="K1413" s="53"/>
      <c r="L1413" s="53"/>
      <c r="M1413" s="53"/>
      <c r="N1413" s="53"/>
      <c r="O1413" s="53"/>
      <c r="P1413" s="53"/>
      <c r="Q1413" s="53"/>
      <c r="R1413" s="53"/>
      <c r="S1413" s="53"/>
      <c r="T1413" s="53"/>
      <c r="U1413" s="53"/>
      <c r="V1413" s="53"/>
    </row>
    <row r="1414">
      <c r="A1414" s="83"/>
      <c r="B1414" s="53"/>
      <c r="C1414" s="53"/>
      <c r="D1414" s="53"/>
      <c r="E1414" s="240"/>
      <c r="F1414" s="241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</row>
    <row r="1415">
      <c r="A1415" s="83"/>
      <c r="B1415" s="53"/>
      <c r="C1415" s="53"/>
      <c r="D1415" s="53"/>
      <c r="E1415" s="240"/>
      <c r="F1415" s="241"/>
      <c r="G1415" s="53"/>
      <c r="H1415" s="53"/>
      <c r="I1415" s="53"/>
      <c r="J1415" s="53"/>
      <c r="K1415" s="53"/>
      <c r="L1415" s="53"/>
      <c r="M1415" s="53"/>
      <c r="N1415" s="53"/>
      <c r="O1415" s="53"/>
      <c r="P1415" s="53"/>
      <c r="Q1415" s="53"/>
      <c r="R1415" s="53"/>
      <c r="S1415" s="53"/>
      <c r="T1415" s="53"/>
      <c r="U1415" s="53"/>
      <c r="V1415" s="53"/>
    </row>
    <row r="1416">
      <c r="A1416" s="83"/>
      <c r="B1416" s="53"/>
      <c r="C1416" s="53"/>
      <c r="D1416" s="53"/>
      <c r="E1416" s="240"/>
      <c r="F1416" s="241"/>
      <c r="G1416" s="53"/>
      <c r="H1416" s="53"/>
      <c r="I1416" s="53"/>
      <c r="J1416" s="53"/>
      <c r="K1416" s="53"/>
      <c r="L1416" s="53"/>
      <c r="M1416" s="53"/>
      <c r="N1416" s="53"/>
      <c r="O1416" s="53"/>
      <c r="P1416" s="53"/>
      <c r="Q1416" s="53"/>
      <c r="R1416" s="53"/>
      <c r="S1416" s="53"/>
      <c r="T1416" s="53"/>
      <c r="U1416" s="53"/>
      <c r="V1416" s="53"/>
    </row>
    <row r="1417">
      <c r="A1417" s="83"/>
      <c r="B1417" s="53"/>
      <c r="C1417" s="53"/>
      <c r="D1417" s="53"/>
      <c r="E1417" s="240"/>
      <c r="F1417" s="241"/>
      <c r="G1417" s="53"/>
      <c r="H1417" s="53"/>
      <c r="I1417" s="53"/>
      <c r="J1417" s="53"/>
      <c r="K1417" s="53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</row>
    <row r="1418">
      <c r="A1418" s="83"/>
      <c r="B1418" s="53"/>
      <c r="C1418" s="53"/>
      <c r="D1418" s="53"/>
      <c r="E1418" s="240"/>
      <c r="F1418" s="241"/>
      <c r="G1418" s="53"/>
      <c r="H1418" s="53"/>
      <c r="I1418" s="53"/>
      <c r="J1418" s="53"/>
      <c r="K1418" s="53"/>
      <c r="L1418" s="53"/>
      <c r="M1418" s="53"/>
      <c r="N1418" s="53"/>
      <c r="O1418" s="53"/>
      <c r="P1418" s="53"/>
      <c r="Q1418" s="53"/>
      <c r="R1418" s="53"/>
      <c r="S1418" s="53"/>
      <c r="T1418" s="53"/>
      <c r="U1418" s="53"/>
      <c r="V1418" s="53"/>
    </row>
    <row r="1419">
      <c r="A1419" s="83"/>
      <c r="B1419" s="53"/>
      <c r="C1419" s="53"/>
      <c r="D1419" s="53"/>
      <c r="E1419" s="240"/>
      <c r="F1419" s="241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53"/>
      <c r="T1419" s="53"/>
      <c r="U1419" s="53"/>
      <c r="V1419" s="53"/>
    </row>
    <row r="1420">
      <c r="A1420" s="83"/>
      <c r="B1420" s="53"/>
      <c r="C1420" s="53"/>
      <c r="D1420" s="53"/>
      <c r="E1420" s="240"/>
      <c r="F1420" s="241"/>
      <c r="G1420" s="53"/>
      <c r="H1420" s="53"/>
      <c r="I1420" s="53"/>
      <c r="J1420" s="53"/>
      <c r="K1420" s="53"/>
      <c r="L1420" s="53"/>
      <c r="M1420" s="53"/>
      <c r="N1420" s="53"/>
      <c r="O1420" s="53"/>
      <c r="P1420" s="53"/>
      <c r="Q1420" s="53"/>
      <c r="R1420" s="53"/>
      <c r="S1420" s="53"/>
      <c r="T1420" s="53"/>
      <c r="U1420" s="53"/>
      <c r="V1420" s="53"/>
    </row>
    <row r="1421">
      <c r="A1421" s="83"/>
      <c r="B1421" s="53"/>
      <c r="C1421" s="53"/>
      <c r="D1421" s="53"/>
      <c r="E1421" s="240"/>
      <c r="F1421" s="241"/>
      <c r="G1421" s="53"/>
      <c r="H1421" s="53"/>
      <c r="I1421" s="53"/>
      <c r="J1421" s="53"/>
      <c r="K1421" s="53"/>
      <c r="L1421" s="53"/>
      <c r="M1421" s="53"/>
      <c r="N1421" s="53"/>
      <c r="O1421" s="53"/>
      <c r="P1421" s="53"/>
      <c r="Q1421" s="53"/>
      <c r="R1421" s="53"/>
      <c r="S1421" s="53"/>
      <c r="T1421" s="53"/>
      <c r="U1421" s="53"/>
      <c r="V1421" s="53"/>
    </row>
    <row r="1422">
      <c r="A1422" s="83"/>
      <c r="B1422" s="53"/>
      <c r="C1422" s="53"/>
      <c r="D1422" s="53"/>
      <c r="E1422" s="240"/>
      <c r="F1422" s="241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</row>
    <row r="1423">
      <c r="A1423" s="83"/>
      <c r="B1423" s="53"/>
      <c r="C1423" s="53"/>
      <c r="D1423" s="53"/>
      <c r="E1423" s="240"/>
      <c r="F1423" s="241"/>
      <c r="G1423" s="53"/>
      <c r="H1423" s="53"/>
      <c r="I1423" s="53"/>
      <c r="J1423" s="53"/>
      <c r="K1423" s="53"/>
      <c r="L1423" s="53"/>
      <c r="M1423" s="53"/>
      <c r="N1423" s="53"/>
      <c r="O1423" s="53"/>
      <c r="P1423" s="53"/>
      <c r="Q1423" s="53"/>
      <c r="R1423" s="53"/>
      <c r="S1423" s="53"/>
      <c r="T1423" s="53"/>
      <c r="U1423" s="53"/>
      <c r="V1423" s="53"/>
    </row>
    <row r="1424">
      <c r="A1424" s="83"/>
      <c r="B1424" s="53"/>
      <c r="C1424" s="53"/>
      <c r="D1424" s="53"/>
      <c r="E1424" s="240"/>
      <c r="F1424" s="241"/>
      <c r="G1424" s="53"/>
      <c r="H1424" s="53"/>
      <c r="I1424" s="53"/>
      <c r="J1424" s="53"/>
      <c r="K1424" s="53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</row>
    <row r="1425">
      <c r="A1425" s="83"/>
      <c r="B1425" s="53"/>
      <c r="C1425" s="53"/>
      <c r="D1425" s="53"/>
      <c r="E1425" s="240"/>
      <c r="F1425" s="241"/>
      <c r="G1425" s="53"/>
      <c r="H1425" s="53"/>
      <c r="I1425" s="53"/>
      <c r="J1425" s="53"/>
      <c r="K1425" s="53"/>
      <c r="L1425" s="53"/>
      <c r="M1425" s="53"/>
      <c r="N1425" s="53"/>
      <c r="O1425" s="53"/>
      <c r="P1425" s="53"/>
      <c r="Q1425" s="53"/>
      <c r="R1425" s="53"/>
      <c r="S1425" s="53"/>
      <c r="T1425" s="53"/>
      <c r="U1425" s="53"/>
      <c r="V1425" s="53"/>
    </row>
    <row r="1426">
      <c r="A1426" s="83"/>
      <c r="B1426" s="53"/>
      <c r="C1426" s="53"/>
      <c r="D1426" s="53"/>
      <c r="E1426" s="240"/>
      <c r="F1426" s="241"/>
      <c r="G1426" s="53"/>
      <c r="H1426" s="53"/>
      <c r="I1426" s="53"/>
      <c r="J1426" s="53"/>
      <c r="K1426" s="53"/>
      <c r="L1426" s="53"/>
      <c r="M1426" s="53"/>
      <c r="N1426" s="53"/>
      <c r="O1426" s="53"/>
      <c r="P1426" s="53"/>
      <c r="Q1426" s="53"/>
      <c r="R1426" s="53"/>
      <c r="S1426" s="53"/>
      <c r="T1426" s="53"/>
      <c r="U1426" s="53"/>
      <c r="V1426" s="53"/>
    </row>
    <row r="1427">
      <c r="A1427" s="83"/>
      <c r="B1427" s="53"/>
      <c r="C1427" s="53"/>
      <c r="D1427" s="53"/>
      <c r="E1427" s="240"/>
      <c r="F1427" s="241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</row>
    <row r="1428">
      <c r="A1428" s="83"/>
      <c r="B1428" s="53"/>
      <c r="C1428" s="53"/>
      <c r="D1428" s="53"/>
      <c r="E1428" s="240"/>
      <c r="F1428" s="241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</row>
    <row r="1429">
      <c r="A1429" s="83"/>
      <c r="B1429" s="53"/>
      <c r="C1429" s="53"/>
      <c r="D1429" s="53"/>
      <c r="E1429" s="240"/>
      <c r="F1429" s="241"/>
      <c r="G1429" s="53"/>
      <c r="H1429" s="53"/>
      <c r="I1429" s="53"/>
      <c r="J1429" s="53"/>
      <c r="K1429" s="53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</row>
    <row r="1430">
      <c r="A1430" s="83"/>
      <c r="B1430" s="53"/>
      <c r="C1430" s="53"/>
      <c r="D1430" s="53"/>
      <c r="E1430" s="240"/>
      <c r="F1430" s="241"/>
      <c r="G1430" s="53"/>
      <c r="H1430" s="53"/>
      <c r="I1430" s="53"/>
      <c r="J1430" s="53"/>
      <c r="K1430" s="53"/>
      <c r="L1430" s="53"/>
      <c r="M1430" s="53"/>
      <c r="N1430" s="53"/>
      <c r="O1430" s="53"/>
      <c r="P1430" s="53"/>
      <c r="Q1430" s="53"/>
      <c r="R1430" s="53"/>
      <c r="S1430" s="53"/>
      <c r="T1430" s="53"/>
      <c r="U1430" s="53"/>
      <c r="V1430" s="53"/>
    </row>
    <row r="1431">
      <c r="A1431" s="83"/>
      <c r="B1431" s="53"/>
      <c r="C1431" s="53"/>
      <c r="D1431" s="53"/>
      <c r="E1431" s="240"/>
      <c r="F1431" s="241"/>
      <c r="G1431" s="53"/>
      <c r="H1431" s="53"/>
      <c r="I1431" s="53"/>
      <c r="J1431" s="53"/>
      <c r="K1431" s="53"/>
      <c r="L1431" s="53"/>
      <c r="M1431" s="53"/>
      <c r="N1431" s="53"/>
      <c r="O1431" s="53"/>
      <c r="P1431" s="53"/>
      <c r="Q1431" s="53"/>
      <c r="R1431" s="53"/>
      <c r="S1431" s="53"/>
      <c r="T1431" s="53"/>
      <c r="U1431" s="53"/>
      <c r="V1431" s="53"/>
    </row>
    <row r="1432">
      <c r="A1432" s="83"/>
      <c r="B1432" s="53"/>
      <c r="C1432" s="53"/>
      <c r="D1432" s="53"/>
      <c r="E1432" s="240"/>
      <c r="F1432" s="241"/>
      <c r="G1432" s="53"/>
      <c r="H1432" s="53"/>
      <c r="I1432" s="53"/>
      <c r="J1432" s="53"/>
      <c r="K1432" s="53"/>
      <c r="L1432" s="53"/>
      <c r="M1432" s="53"/>
      <c r="N1432" s="53"/>
      <c r="O1432" s="53"/>
      <c r="P1432" s="53"/>
      <c r="Q1432" s="53"/>
      <c r="R1432" s="53"/>
      <c r="S1432" s="53"/>
      <c r="T1432" s="53"/>
      <c r="U1432" s="53"/>
      <c r="V1432" s="53"/>
    </row>
    <row r="1433">
      <c r="A1433" s="83"/>
      <c r="B1433" s="53"/>
      <c r="C1433" s="53"/>
      <c r="D1433" s="53"/>
      <c r="E1433" s="240"/>
      <c r="F1433" s="241"/>
      <c r="G1433" s="53"/>
      <c r="H1433" s="53"/>
      <c r="I1433" s="53"/>
      <c r="J1433" s="53"/>
      <c r="K1433" s="53"/>
      <c r="L1433" s="53"/>
      <c r="M1433" s="53"/>
      <c r="N1433" s="53"/>
      <c r="O1433" s="53"/>
      <c r="P1433" s="53"/>
      <c r="Q1433" s="53"/>
      <c r="R1433" s="53"/>
      <c r="S1433" s="53"/>
      <c r="T1433" s="53"/>
      <c r="U1433" s="53"/>
      <c r="V1433" s="53"/>
    </row>
    <row r="1434">
      <c r="A1434" s="83"/>
      <c r="B1434" s="53"/>
      <c r="C1434" s="53"/>
      <c r="D1434" s="53"/>
      <c r="E1434" s="240"/>
      <c r="F1434" s="241"/>
      <c r="G1434" s="53"/>
      <c r="H1434" s="53"/>
      <c r="I1434" s="53"/>
      <c r="J1434" s="53"/>
      <c r="K1434" s="53"/>
      <c r="L1434" s="53"/>
      <c r="M1434" s="53"/>
      <c r="N1434" s="53"/>
      <c r="O1434" s="53"/>
      <c r="P1434" s="53"/>
      <c r="Q1434" s="53"/>
      <c r="R1434" s="53"/>
      <c r="S1434" s="53"/>
      <c r="T1434" s="53"/>
      <c r="U1434" s="53"/>
      <c r="V1434" s="53"/>
    </row>
    <row r="1435">
      <c r="A1435" s="83"/>
      <c r="B1435" s="53"/>
      <c r="C1435" s="53"/>
      <c r="D1435" s="53"/>
      <c r="E1435" s="240"/>
      <c r="F1435" s="241"/>
      <c r="G1435" s="53"/>
      <c r="H1435" s="53"/>
      <c r="I1435" s="53"/>
      <c r="J1435" s="53"/>
      <c r="K1435" s="53"/>
      <c r="L1435" s="53"/>
      <c r="M1435" s="53"/>
      <c r="N1435" s="53"/>
      <c r="O1435" s="53"/>
      <c r="P1435" s="53"/>
      <c r="Q1435" s="53"/>
      <c r="R1435" s="53"/>
      <c r="S1435" s="53"/>
      <c r="T1435" s="53"/>
      <c r="U1435" s="53"/>
      <c r="V1435" s="53"/>
    </row>
    <row r="1436">
      <c r="A1436" s="83"/>
      <c r="B1436" s="53"/>
      <c r="C1436" s="53"/>
      <c r="D1436" s="53"/>
      <c r="E1436" s="240"/>
      <c r="F1436" s="241"/>
      <c r="G1436" s="53"/>
      <c r="H1436" s="53"/>
      <c r="I1436" s="53"/>
      <c r="J1436" s="53"/>
      <c r="K1436" s="53"/>
      <c r="L1436" s="53"/>
      <c r="M1436" s="53"/>
      <c r="N1436" s="53"/>
      <c r="O1436" s="53"/>
      <c r="P1436" s="53"/>
      <c r="Q1436" s="53"/>
      <c r="R1436" s="53"/>
      <c r="S1436" s="53"/>
      <c r="T1436" s="53"/>
      <c r="U1436" s="53"/>
      <c r="V1436" s="53"/>
    </row>
    <row r="1437">
      <c r="A1437" s="83"/>
      <c r="B1437" s="53"/>
      <c r="C1437" s="53"/>
      <c r="D1437" s="53"/>
      <c r="E1437" s="240"/>
      <c r="F1437" s="241"/>
      <c r="G1437" s="53"/>
      <c r="H1437" s="53"/>
      <c r="I1437" s="53"/>
      <c r="J1437" s="53"/>
      <c r="K1437" s="53"/>
      <c r="L1437" s="53"/>
      <c r="M1437" s="53"/>
      <c r="N1437" s="53"/>
      <c r="O1437" s="53"/>
      <c r="P1437" s="53"/>
      <c r="Q1437" s="53"/>
      <c r="R1437" s="53"/>
      <c r="S1437" s="53"/>
      <c r="T1437" s="53"/>
      <c r="U1437" s="53"/>
      <c r="V1437" s="53"/>
    </row>
    <row r="1438">
      <c r="A1438" s="83"/>
      <c r="B1438" s="53"/>
      <c r="C1438" s="53"/>
      <c r="D1438" s="53"/>
      <c r="E1438" s="240"/>
      <c r="F1438" s="241"/>
      <c r="G1438" s="53"/>
      <c r="H1438" s="53"/>
      <c r="I1438" s="53"/>
      <c r="J1438" s="53"/>
      <c r="K1438" s="53"/>
      <c r="L1438" s="53"/>
      <c r="M1438" s="53"/>
      <c r="N1438" s="53"/>
      <c r="O1438" s="53"/>
      <c r="P1438" s="53"/>
      <c r="Q1438" s="53"/>
      <c r="R1438" s="53"/>
      <c r="S1438" s="53"/>
      <c r="T1438" s="53"/>
      <c r="U1438" s="53"/>
      <c r="V1438" s="53"/>
    </row>
    <row r="1439">
      <c r="A1439" s="83"/>
      <c r="B1439" s="53"/>
      <c r="C1439" s="53"/>
      <c r="D1439" s="53"/>
      <c r="E1439" s="240"/>
      <c r="F1439" s="241"/>
      <c r="G1439" s="53"/>
      <c r="H1439" s="53"/>
      <c r="I1439" s="53"/>
      <c r="J1439" s="53"/>
      <c r="K1439" s="53"/>
      <c r="L1439" s="53"/>
      <c r="M1439" s="53"/>
      <c r="N1439" s="53"/>
      <c r="O1439" s="53"/>
      <c r="P1439" s="53"/>
      <c r="Q1439" s="53"/>
      <c r="R1439" s="53"/>
      <c r="S1439" s="53"/>
      <c r="T1439" s="53"/>
      <c r="U1439" s="53"/>
      <c r="V1439" s="53"/>
    </row>
    <row r="1440">
      <c r="A1440" s="83"/>
      <c r="B1440" s="53"/>
      <c r="C1440" s="53"/>
      <c r="D1440" s="53"/>
      <c r="E1440" s="240"/>
      <c r="F1440" s="241"/>
      <c r="G1440" s="53"/>
      <c r="H1440" s="53"/>
      <c r="I1440" s="53"/>
      <c r="J1440" s="53"/>
      <c r="K1440" s="53"/>
      <c r="L1440" s="53"/>
      <c r="M1440" s="53"/>
      <c r="N1440" s="53"/>
      <c r="O1440" s="53"/>
      <c r="P1440" s="53"/>
      <c r="Q1440" s="53"/>
      <c r="R1440" s="53"/>
      <c r="S1440" s="53"/>
      <c r="T1440" s="53"/>
      <c r="U1440" s="53"/>
      <c r="V1440" s="53"/>
    </row>
    <row r="1441">
      <c r="A1441" s="83"/>
      <c r="B1441" s="53"/>
      <c r="C1441" s="53"/>
      <c r="D1441" s="53"/>
      <c r="E1441" s="240"/>
      <c r="F1441" s="241"/>
      <c r="G1441" s="53"/>
      <c r="H1441" s="53"/>
      <c r="I1441" s="53"/>
      <c r="J1441" s="53"/>
      <c r="K1441" s="53"/>
      <c r="L1441" s="53"/>
      <c r="M1441" s="53"/>
      <c r="N1441" s="53"/>
      <c r="O1441" s="53"/>
      <c r="P1441" s="53"/>
      <c r="Q1441" s="53"/>
      <c r="R1441" s="53"/>
      <c r="S1441" s="53"/>
      <c r="T1441" s="53"/>
      <c r="U1441" s="53"/>
      <c r="V1441" s="53"/>
    </row>
    <row r="1442">
      <c r="A1442" s="83"/>
      <c r="B1442" s="53"/>
      <c r="C1442" s="53"/>
      <c r="D1442" s="53"/>
      <c r="E1442" s="240"/>
      <c r="F1442" s="241"/>
      <c r="G1442" s="53"/>
      <c r="H1442" s="53"/>
      <c r="I1442" s="53"/>
      <c r="J1442" s="53"/>
      <c r="K1442" s="53"/>
      <c r="L1442" s="53"/>
      <c r="M1442" s="53"/>
      <c r="N1442" s="53"/>
      <c r="O1442" s="53"/>
      <c r="P1442" s="53"/>
      <c r="Q1442" s="53"/>
      <c r="R1442" s="53"/>
      <c r="S1442" s="53"/>
      <c r="T1442" s="53"/>
      <c r="U1442" s="53"/>
      <c r="V1442" s="53"/>
    </row>
    <row r="1443">
      <c r="A1443" s="83"/>
      <c r="B1443" s="53"/>
      <c r="C1443" s="53"/>
      <c r="D1443" s="53"/>
      <c r="E1443" s="240"/>
      <c r="F1443" s="241"/>
      <c r="G1443" s="53"/>
      <c r="H1443" s="53"/>
      <c r="I1443" s="53"/>
      <c r="J1443" s="53"/>
      <c r="K1443" s="53"/>
      <c r="L1443" s="53"/>
      <c r="M1443" s="53"/>
      <c r="N1443" s="53"/>
      <c r="O1443" s="53"/>
      <c r="P1443" s="53"/>
      <c r="Q1443" s="53"/>
      <c r="R1443" s="53"/>
      <c r="S1443" s="53"/>
      <c r="T1443" s="53"/>
      <c r="U1443" s="53"/>
      <c r="V1443" s="53"/>
    </row>
    <row r="1444">
      <c r="A1444" s="83"/>
      <c r="B1444" s="53"/>
      <c r="C1444" s="53"/>
      <c r="D1444" s="53"/>
      <c r="E1444" s="240"/>
      <c r="F1444" s="241"/>
      <c r="G1444" s="53"/>
      <c r="H1444" s="53"/>
      <c r="I1444" s="53"/>
      <c r="J1444" s="53"/>
      <c r="K1444" s="53"/>
      <c r="L1444" s="53"/>
      <c r="M1444" s="53"/>
      <c r="N1444" s="53"/>
      <c r="O1444" s="53"/>
      <c r="P1444" s="53"/>
      <c r="Q1444" s="53"/>
      <c r="R1444" s="53"/>
      <c r="S1444" s="53"/>
      <c r="T1444" s="53"/>
      <c r="U1444" s="53"/>
      <c r="V1444" s="53"/>
    </row>
    <row r="1445">
      <c r="A1445" s="83"/>
      <c r="B1445" s="53"/>
      <c r="C1445" s="53"/>
      <c r="D1445" s="53"/>
      <c r="E1445" s="240"/>
      <c r="F1445" s="241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</row>
    <row r="1446">
      <c r="A1446" s="83"/>
      <c r="B1446" s="53"/>
      <c r="C1446" s="53"/>
      <c r="D1446" s="53"/>
      <c r="E1446" s="240"/>
      <c r="F1446" s="241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</row>
    <row r="1447">
      <c r="A1447" s="83"/>
      <c r="B1447" s="53"/>
      <c r="C1447" s="53"/>
      <c r="D1447" s="53"/>
      <c r="E1447" s="240"/>
      <c r="F1447" s="241"/>
      <c r="G1447" s="53"/>
      <c r="H1447" s="53"/>
      <c r="I1447" s="53"/>
      <c r="J1447" s="53"/>
      <c r="K1447" s="53"/>
      <c r="L1447" s="53"/>
      <c r="M1447" s="53"/>
      <c r="N1447" s="53"/>
      <c r="O1447" s="53"/>
      <c r="P1447" s="53"/>
      <c r="Q1447" s="53"/>
      <c r="R1447" s="53"/>
      <c r="S1447" s="53"/>
      <c r="T1447" s="53"/>
      <c r="U1447" s="53"/>
      <c r="V1447" s="53"/>
    </row>
    <row r="1448">
      <c r="A1448" s="83"/>
      <c r="B1448" s="53"/>
      <c r="C1448" s="53"/>
      <c r="D1448" s="53"/>
      <c r="E1448" s="240"/>
      <c r="F1448" s="241"/>
      <c r="G1448" s="53"/>
      <c r="H1448" s="53"/>
      <c r="I1448" s="53"/>
      <c r="J1448" s="53"/>
      <c r="K1448" s="53"/>
      <c r="L1448" s="53"/>
      <c r="M1448" s="53"/>
      <c r="N1448" s="53"/>
      <c r="O1448" s="53"/>
      <c r="P1448" s="53"/>
      <c r="Q1448" s="53"/>
      <c r="R1448" s="53"/>
      <c r="S1448" s="53"/>
      <c r="T1448" s="53"/>
      <c r="U1448" s="53"/>
      <c r="V1448" s="53"/>
    </row>
    <row r="1449">
      <c r="A1449" s="83"/>
      <c r="B1449" s="53"/>
      <c r="C1449" s="53"/>
      <c r="D1449" s="53"/>
      <c r="E1449" s="240"/>
      <c r="F1449" s="241"/>
      <c r="G1449" s="53"/>
      <c r="H1449" s="53"/>
      <c r="I1449" s="53"/>
      <c r="J1449" s="53"/>
      <c r="K1449" s="53"/>
      <c r="L1449" s="53"/>
      <c r="M1449" s="53"/>
      <c r="N1449" s="53"/>
      <c r="O1449" s="53"/>
      <c r="P1449" s="53"/>
      <c r="Q1449" s="53"/>
      <c r="R1449" s="53"/>
      <c r="S1449" s="53"/>
      <c r="T1449" s="53"/>
      <c r="U1449" s="53"/>
      <c r="V1449" s="53"/>
    </row>
    <row r="1450">
      <c r="A1450" s="83"/>
      <c r="B1450" s="53"/>
      <c r="C1450" s="53"/>
      <c r="D1450" s="53"/>
      <c r="E1450" s="240"/>
      <c r="F1450" s="241"/>
      <c r="G1450" s="53"/>
      <c r="H1450" s="53"/>
      <c r="I1450" s="53"/>
      <c r="J1450" s="53"/>
      <c r="K1450" s="53"/>
      <c r="L1450" s="53"/>
      <c r="M1450" s="53"/>
      <c r="N1450" s="53"/>
      <c r="O1450" s="53"/>
      <c r="P1450" s="53"/>
      <c r="Q1450" s="53"/>
      <c r="R1450" s="53"/>
      <c r="S1450" s="53"/>
      <c r="T1450" s="53"/>
      <c r="U1450" s="53"/>
      <c r="V1450" s="53"/>
    </row>
    <row r="1451">
      <c r="A1451" s="83"/>
      <c r="B1451" s="53"/>
      <c r="C1451" s="53"/>
      <c r="D1451" s="53"/>
      <c r="E1451" s="240"/>
      <c r="F1451" s="241"/>
      <c r="G1451" s="53"/>
      <c r="H1451" s="53"/>
      <c r="I1451" s="53"/>
      <c r="J1451" s="53"/>
      <c r="K1451" s="53"/>
      <c r="L1451" s="53"/>
      <c r="M1451" s="53"/>
      <c r="N1451" s="53"/>
      <c r="O1451" s="53"/>
      <c r="P1451" s="53"/>
      <c r="Q1451" s="53"/>
      <c r="R1451" s="53"/>
      <c r="S1451" s="53"/>
      <c r="T1451" s="53"/>
      <c r="U1451" s="53"/>
      <c r="V1451" s="53"/>
    </row>
    <row r="1452">
      <c r="A1452" s="83"/>
      <c r="B1452" s="53"/>
      <c r="C1452" s="53"/>
      <c r="D1452" s="53"/>
      <c r="E1452" s="240"/>
      <c r="F1452" s="241"/>
      <c r="G1452" s="53"/>
      <c r="H1452" s="53"/>
      <c r="I1452" s="53"/>
      <c r="J1452" s="53"/>
      <c r="K1452" s="53"/>
      <c r="L1452" s="53"/>
      <c r="M1452" s="53"/>
      <c r="N1452" s="53"/>
      <c r="O1452" s="53"/>
      <c r="P1452" s="53"/>
      <c r="Q1452" s="53"/>
      <c r="R1452" s="53"/>
      <c r="S1452" s="53"/>
      <c r="T1452" s="53"/>
      <c r="U1452" s="53"/>
      <c r="V1452" s="53"/>
    </row>
    <row r="1453">
      <c r="A1453" s="83"/>
      <c r="B1453" s="53"/>
      <c r="C1453" s="53"/>
      <c r="D1453" s="53"/>
      <c r="E1453" s="240"/>
      <c r="F1453" s="241"/>
      <c r="G1453" s="53"/>
      <c r="H1453" s="53"/>
      <c r="I1453" s="53"/>
      <c r="J1453" s="53"/>
      <c r="K1453" s="53"/>
      <c r="L1453" s="53"/>
      <c r="M1453" s="53"/>
      <c r="N1453" s="53"/>
      <c r="O1453" s="53"/>
      <c r="P1453" s="53"/>
      <c r="Q1453" s="53"/>
      <c r="R1453" s="53"/>
      <c r="S1453" s="53"/>
      <c r="T1453" s="53"/>
      <c r="U1453" s="53"/>
      <c r="V1453" s="53"/>
    </row>
    <row r="1454">
      <c r="A1454" s="83"/>
      <c r="B1454" s="53"/>
      <c r="C1454" s="53"/>
      <c r="D1454" s="53"/>
      <c r="E1454" s="240"/>
      <c r="F1454" s="241"/>
      <c r="G1454" s="53"/>
      <c r="H1454" s="53"/>
      <c r="I1454" s="53"/>
      <c r="J1454" s="53"/>
      <c r="K1454" s="53"/>
      <c r="L1454" s="53"/>
      <c r="M1454" s="53"/>
      <c r="N1454" s="53"/>
      <c r="O1454" s="53"/>
      <c r="P1454" s="53"/>
      <c r="Q1454" s="53"/>
      <c r="R1454" s="53"/>
      <c r="S1454" s="53"/>
      <c r="T1454" s="53"/>
      <c r="U1454" s="53"/>
      <c r="V1454" s="53"/>
    </row>
    <row r="1455">
      <c r="A1455" s="83"/>
      <c r="B1455" s="53"/>
      <c r="C1455" s="53"/>
      <c r="D1455" s="53"/>
      <c r="E1455" s="240"/>
      <c r="F1455" s="241"/>
      <c r="G1455" s="53"/>
      <c r="H1455" s="53"/>
      <c r="I1455" s="53"/>
      <c r="J1455" s="53"/>
      <c r="K1455" s="53"/>
      <c r="L1455" s="53"/>
      <c r="M1455" s="53"/>
      <c r="N1455" s="53"/>
      <c r="O1455" s="53"/>
      <c r="P1455" s="53"/>
      <c r="Q1455" s="53"/>
      <c r="R1455" s="53"/>
      <c r="S1455" s="53"/>
      <c r="T1455" s="53"/>
      <c r="U1455" s="53"/>
      <c r="V1455" s="53"/>
    </row>
    <row r="1456">
      <c r="A1456" s="83"/>
      <c r="B1456" s="53"/>
      <c r="C1456" s="53"/>
      <c r="D1456" s="53"/>
      <c r="E1456" s="240"/>
      <c r="F1456" s="241"/>
      <c r="G1456" s="53"/>
      <c r="H1456" s="53"/>
      <c r="I1456" s="53"/>
      <c r="J1456" s="53"/>
      <c r="K1456" s="53"/>
      <c r="L1456" s="53"/>
      <c r="M1456" s="53"/>
      <c r="N1456" s="53"/>
      <c r="O1456" s="53"/>
      <c r="P1456" s="53"/>
      <c r="Q1456" s="53"/>
      <c r="R1456" s="53"/>
      <c r="S1456" s="53"/>
      <c r="T1456" s="53"/>
      <c r="U1456" s="53"/>
      <c r="V1456" s="53"/>
    </row>
    <row r="1457">
      <c r="A1457" s="83"/>
      <c r="B1457" s="53"/>
      <c r="C1457" s="53"/>
      <c r="D1457" s="53"/>
      <c r="E1457" s="240"/>
      <c r="F1457" s="241"/>
      <c r="G1457" s="53"/>
      <c r="H1457" s="53"/>
      <c r="I1457" s="53"/>
      <c r="J1457" s="53"/>
      <c r="K1457" s="53"/>
      <c r="L1457" s="53"/>
      <c r="M1457" s="53"/>
      <c r="N1457" s="53"/>
      <c r="O1457" s="53"/>
      <c r="P1457" s="53"/>
      <c r="Q1457" s="53"/>
      <c r="R1457" s="53"/>
      <c r="S1457" s="53"/>
      <c r="T1457" s="53"/>
      <c r="U1457" s="53"/>
      <c r="V1457" s="53"/>
    </row>
    <row r="1458">
      <c r="A1458" s="83"/>
      <c r="B1458" s="53"/>
      <c r="C1458" s="53"/>
      <c r="D1458" s="53"/>
      <c r="E1458" s="240"/>
      <c r="F1458" s="241"/>
      <c r="G1458" s="53"/>
      <c r="H1458" s="53"/>
      <c r="I1458" s="53"/>
      <c r="J1458" s="53"/>
      <c r="K1458" s="53"/>
      <c r="L1458" s="53"/>
      <c r="M1458" s="53"/>
      <c r="N1458" s="53"/>
      <c r="O1458" s="53"/>
      <c r="P1458" s="53"/>
      <c r="Q1458" s="53"/>
      <c r="R1458" s="53"/>
      <c r="S1458" s="53"/>
      <c r="T1458" s="53"/>
      <c r="U1458" s="53"/>
      <c r="V1458" s="53"/>
    </row>
    <row r="1459">
      <c r="A1459" s="83"/>
      <c r="B1459" s="53"/>
      <c r="C1459" s="53"/>
      <c r="D1459" s="53"/>
      <c r="E1459" s="240"/>
      <c r="F1459" s="241"/>
      <c r="G1459" s="53"/>
      <c r="H1459" s="53"/>
      <c r="I1459" s="53"/>
      <c r="J1459" s="53"/>
      <c r="K1459" s="53"/>
      <c r="L1459" s="53"/>
      <c r="M1459" s="53"/>
      <c r="N1459" s="53"/>
      <c r="O1459" s="53"/>
      <c r="P1459" s="53"/>
      <c r="Q1459" s="53"/>
      <c r="R1459" s="53"/>
      <c r="S1459" s="53"/>
      <c r="T1459" s="53"/>
      <c r="U1459" s="53"/>
      <c r="V1459" s="53"/>
    </row>
    <row r="1460">
      <c r="A1460" s="83"/>
      <c r="B1460" s="53"/>
      <c r="C1460" s="53"/>
      <c r="D1460" s="53"/>
      <c r="E1460" s="240"/>
      <c r="F1460" s="241"/>
      <c r="G1460" s="53"/>
      <c r="H1460" s="53"/>
      <c r="I1460" s="53"/>
      <c r="J1460" s="53"/>
      <c r="K1460" s="53"/>
      <c r="L1460" s="53"/>
      <c r="M1460" s="53"/>
      <c r="N1460" s="53"/>
      <c r="O1460" s="53"/>
      <c r="P1460" s="53"/>
      <c r="Q1460" s="53"/>
      <c r="R1460" s="53"/>
      <c r="S1460" s="53"/>
      <c r="T1460" s="53"/>
      <c r="U1460" s="53"/>
      <c r="V1460" s="53"/>
    </row>
    <row r="1461">
      <c r="A1461" s="83"/>
      <c r="B1461" s="53"/>
      <c r="C1461" s="53"/>
      <c r="D1461" s="53"/>
      <c r="E1461" s="240"/>
      <c r="F1461" s="241"/>
      <c r="G1461" s="53"/>
      <c r="H1461" s="53"/>
      <c r="I1461" s="53"/>
      <c r="J1461" s="53"/>
      <c r="K1461" s="53"/>
      <c r="L1461" s="53"/>
      <c r="M1461" s="53"/>
      <c r="N1461" s="53"/>
      <c r="O1461" s="53"/>
      <c r="P1461" s="53"/>
      <c r="Q1461" s="53"/>
      <c r="R1461" s="53"/>
      <c r="S1461" s="53"/>
      <c r="T1461" s="53"/>
      <c r="U1461" s="53"/>
      <c r="V1461" s="53"/>
    </row>
    <row r="1462">
      <c r="A1462" s="83"/>
      <c r="B1462" s="53"/>
      <c r="C1462" s="53"/>
      <c r="D1462" s="53"/>
      <c r="E1462" s="240"/>
      <c r="F1462" s="241"/>
      <c r="G1462" s="53"/>
      <c r="H1462" s="53"/>
      <c r="I1462" s="53"/>
      <c r="J1462" s="53"/>
      <c r="K1462" s="53"/>
      <c r="L1462" s="53"/>
      <c r="M1462" s="53"/>
      <c r="N1462" s="53"/>
      <c r="O1462" s="53"/>
      <c r="P1462" s="53"/>
      <c r="Q1462" s="53"/>
      <c r="R1462" s="53"/>
      <c r="S1462" s="53"/>
      <c r="T1462" s="53"/>
      <c r="U1462" s="53"/>
      <c r="V1462" s="53"/>
    </row>
    <row r="1463">
      <c r="A1463" s="83"/>
      <c r="B1463" s="53"/>
      <c r="C1463" s="53"/>
      <c r="D1463" s="53"/>
      <c r="E1463" s="240"/>
      <c r="F1463" s="241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</row>
    <row r="1464">
      <c r="A1464" s="83"/>
      <c r="B1464" s="53"/>
      <c r="C1464" s="53"/>
      <c r="D1464" s="53"/>
      <c r="E1464" s="240"/>
      <c r="F1464" s="241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</row>
    <row r="1465">
      <c r="A1465" s="83"/>
      <c r="B1465" s="53"/>
      <c r="C1465" s="53"/>
      <c r="D1465" s="53"/>
      <c r="E1465" s="240"/>
      <c r="F1465" s="241"/>
      <c r="G1465" s="53"/>
      <c r="H1465" s="53"/>
      <c r="I1465" s="53"/>
      <c r="J1465" s="53"/>
      <c r="K1465" s="53"/>
      <c r="L1465" s="53"/>
      <c r="M1465" s="53"/>
      <c r="N1465" s="53"/>
      <c r="O1465" s="53"/>
      <c r="P1465" s="53"/>
      <c r="Q1465" s="53"/>
      <c r="R1465" s="53"/>
      <c r="S1465" s="53"/>
      <c r="T1465" s="53"/>
      <c r="U1465" s="53"/>
      <c r="V1465" s="53"/>
    </row>
    <row r="1466">
      <c r="A1466" s="83"/>
      <c r="B1466" s="53"/>
      <c r="C1466" s="53"/>
      <c r="D1466" s="53"/>
      <c r="E1466" s="240"/>
      <c r="F1466" s="241"/>
      <c r="G1466" s="53"/>
      <c r="H1466" s="53"/>
      <c r="I1466" s="53"/>
      <c r="J1466" s="53"/>
      <c r="K1466" s="53"/>
      <c r="L1466" s="53"/>
      <c r="M1466" s="53"/>
      <c r="N1466" s="53"/>
      <c r="O1466" s="53"/>
      <c r="P1466" s="53"/>
      <c r="Q1466" s="53"/>
      <c r="R1466" s="53"/>
      <c r="S1466" s="53"/>
      <c r="T1466" s="53"/>
      <c r="U1466" s="53"/>
      <c r="V1466" s="53"/>
    </row>
    <row r="1467">
      <c r="A1467" s="83"/>
      <c r="B1467" s="53"/>
      <c r="C1467" s="53"/>
      <c r="D1467" s="53"/>
      <c r="E1467" s="240"/>
      <c r="F1467" s="241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</row>
    <row r="1468">
      <c r="A1468" s="83"/>
      <c r="B1468" s="53"/>
      <c r="C1468" s="53"/>
      <c r="D1468" s="53"/>
      <c r="E1468" s="240"/>
      <c r="F1468" s="241"/>
      <c r="G1468" s="53"/>
      <c r="H1468" s="53"/>
      <c r="I1468" s="53"/>
      <c r="J1468" s="53"/>
      <c r="K1468" s="53"/>
      <c r="L1468" s="53"/>
      <c r="M1468" s="53"/>
      <c r="N1468" s="53"/>
      <c r="O1468" s="53"/>
      <c r="P1468" s="53"/>
      <c r="Q1468" s="53"/>
      <c r="R1468" s="53"/>
      <c r="S1468" s="53"/>
      <c r="T1468" s="53"/>
      <c r="U1468" s="53"/>
      <c r="V1468" s="53"/>
    </row>
    <row r="1469">
      <c r="A1469" s="83"/>
      <c r="B1469" s="53"/>
      <c r="C1469" s="53"/>
      <c r="D1469" s="53"/>
      <c r="E1469" s="240"/>
      <c r="F1469" s="241"/>
      <c r="G1469" s="53"/>
      <c r="H1469" s="53"/>
      <c r="I1469" s="53"/>
      <c r="J1469" s="53"/>
      <c r="K1469" s="53"/>
      <c r="L1469" s="53"/>
      <c r="M1469" s="53"/>
      <c r="N1469" s="53"/>
      <c r="O1469" s="53"/>
      <c r="P1469" s="53"/>
      <c r="Q1469" s="53"/>
      <c r="R1469" s="53"/>
      <c r="S1469" s="53"/>
      <c r="T1469" s="53"/>
      <c r="U1469" s="53"/>
      <c r="V1469" s="53"/>
    </row>
    <row r="1470">
      <c r="A1470" s="83"/>
      <c r="B1470" s="53"/>
      <c r="C1470" s="53"/>
      <c r="D1470" s="53"/>
      <c r="E1470" s="240"/>
      <c r="F1470" s="241"/>
      <c r="G1470" s="53"/>
      <c r="H1470" s="53"/>
      <c r="I1470" s="53"/>
      <c r="J1470" s="53"/>
      <c r="K1470" s="53"/>
      <c r="L1470" s="53"/>
      <c r="M1470" s="53"/>
      <c r="N1470" s="53"/>
      <c r="O1470" s="53"/>
      <c r="P1470" s="53"/>
      <c r="Q1470" s="53"/>
      <c r="R1470" s="53"/>
      <c r="S1470" s="53"/>
      <c r="T1470" s="53"/>
      <c r="U1470" s="53"/>
      <c r="V1470" s="53"/>
    </row>
    <row r="1471">
      <c r="A1471" s="83"/>
      <c r="B1471" s="53"/>
      <c r="C1471" s="53"/>
      <c r="D1471" s="53"/>
      <c r="E1471" s="240"/>
      <c r="F1471" s="241"/>
      <c r="G1471" s="53"/>
      <c r="H1471" s="53"/>
      <c r="I1471" s="53"/>
      <c r="J1471" s="53"/>
      <c r="K1471" s="53"/>
      <c r="L1471" s="53"/>
      <c r="M1471" s="53"/>
      <c r="N1471" s="53"/>
      <c r="O1471" s="53"/>
      <c r="P1471" s="53"/>
      <c r="Q1471" s="53"/>
      <c r="R1471" s="53"/>
      <c r="S1471" s="53"/>
      <c r="T1471" s="53"/>
      <c r="U1471" s="53"/>
      <c r="V1471" s="53"/>
    </row>
    <row r="1472">
      <c r="A1472" s="83"/>
      <c r="B1472" s="53"/>
      <c r="C1472" s="53"/>
      <c r="D1472" s="53"/>
      <c r="E1472" s="240"/>
      <c r="F1472" s="241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53"/>
      <c r="T1472" s="53"/>
      <c r="U1472" s="53"/>
      <c r="V1472" s="53"/>
    </row>
    <row r="1473">
      <c r="A1473" s="83"/>
      <c r="B1473" s="53"/>
      <c r="C1473" s="53"/>
      <c r="D1473" s="53"/>
      <c r="E1473" s="240"/>
      <c r="F1473" s="241"/>
      <c r="G1473" s="53"/>
      <c r="H1473" s="53"/>
      <c r="I1473" s="53"/>
      <c r="J1473" s="53"/>
      <c r="K1473" s="53"/>
      <c r="L1473" s="53"/>
      <c r="M1473" s="53"/>
      <c r="N1473" s="53"/>
      <c r="O1473" s="53"/>
      <c r="P1473" s="53"/>
      <c r="Q1473" s="53"/>
      <c r="R1473" s="53"/>
      <c r="S1473" s="53"/>
      <c r="T1473" s="53"/>
      <c r="U1473" s="53"/>
      <c r="V1473" s="53"/>
    </row>
    <row r="1474">
      <c r="A1474" s="83"/>
      <c r="B1474" s="53"/>
      <c r="C1474" s="53"/>
      <c r="D1474" s="53"/>
      <c r="E1474" s="240"/>
      <c r="F1474" s="241"/>
      <c r="G1474" s="53"/>
      <c r="H1474" s="53"/>
      <c r="I1474" s="53"/>
      <c r="J1474" s="53"/>
      <c r="K1474" s="53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</row>
    <row r="1475">
      <c r="A1475" s="83"/>
      <c r="B1475" s="53"/>
      <c r="C1475" s="53"/>
      <c r="D1475" s="53"/>
      <c r="E1475" s="240"/>
      <c r="F1475" s="241"/>
      <c r="G1475" s="53"/>
      <c r="H1475" s="53"/>
      <c r="I1475" s="53"/>
      <c r="J1475" s="53"/>
      <c r="K1475" s="53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</row>
    <row r="1476">
      <c r="A1476" s="83"/>
      <c r="B1476" s="53"/>
      <c r="C1476" s="53"/>
      <c r="D1476" s="53"/>
      <c r="E1476" s="240"/>
      <c r="F1476" s="241"/>
      <c r="G1476" s="53"/>
      <c r="H1476" s="53"/>
      <c r="I1476" s="53"/>
      <c r="J1476" s="53"/>
      <c r="K1476" s="53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</row>
    <row r="1477">
      <c r="A1477" s="83"/>
      <c r="B1477" s="53"/>
      <c r="C1477" s="53"/>
      <c r="D1477" s="53"/>
      <c r="E1477" s="240"/>
      <c r="F1477" s="241"/>
      <c r="G1477" s="53"/>
      <c r="H1477" s="53"/>
      <c r="I1477" s="53"/>
      <c r="J1477" s="53"/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</row>
    <row r="1478">
      <c r="A1478" s="83"/>
      <c r="B1478" s="53"/>
      <c r="C1478" s="53"/>
      <c r="D1478" s="53"/>
      <c r="E1478" s="240"/>
      <c r="F1478" s="241"/>
      <c r="G1478" s="53"/>
      <c r="H1478" s="53"/>
      <c r="I1478" s="53"/>
      <c r="J1478" s="53"/>
      <c r="K1478" s="53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</row>
    <row r="1479">
      <c r="A1479" s="83"/>
      <c r="B1479" s="53"/>
      <c r="C1479" s="53"/>
      <c r="D1479" s="53"/>
      <c r="E1479" s="240"/>
      <c r="F1479" s="241"/>
      <c r="G1479" s="53"/>
      <c r="H1479" s="53"/>
      <c r="I1479" s="53"/>
      <c r="J1479" s="53"/>
      <c r="K1479" s="53"/>
      <c r="L1479" s="53"/>
      <c r="M1479" s="53"/>
      <c r="N1479" s="53"/>
      <c r="O1479" s="53"/>
      <c r="P1479" s="53"/>
      <c r="Q1479" s="53"/>
      <c r="R1479" s="53"/>
      <c r="S1479" s="53"/>
      <c r="T1479" s="53"/>
      <c r="U1479" s="53"/>
      <c r="V1479" s="53"/>
    </row>
    <row r="1480">
      <c r="A1480" s="83"/>
      <c r="B1480" s="53"/>
      <c r="C1480" s="53"/>
      <c r="D1480" s="53"/>
      <c r="E1480" s="240"/>
      <c r="F1480" s="241"/>
      <c r="G1480" s="53"/>
      <c r="H1480" s="53"/>
      <c r="I1480" s="53"/>
      <c r="J1480" s="53"/>
      <c r="K1480" s="53"/>
      <c r="L1480" s="53"/>
      <c r="M1480" s="53"/>
      <c r="N1480" s="53"/>
      <c r="O1480" s="53"/>
      <c r="P1480" s="53"/>
      <c r="Q1480" s="53"/>
      <c r="R1480" s="53"/>
      <c r="S1480" s="53"/>
      <c r="T1480" s="53"/>
      <c r="U1480" s="53"/>
      <c r="V1480" s="53"/>
    </row>
    <row r="1481">
      <c r="A1481" s="83"/>
      <c r="B1481" s="53"/>
      <c r="C1481" s="53"/>
      <c r="D1481" s="53"/>
      <c r="E1481" s="240"/>
      <c r="F1481" s="241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</row>
    <row r="1482">
      <c r="A1482" s="83"/>
      <c r="B1482" s="53"/>
      <c r="C1482" s="53"/>
      <c r="D1482" s="53"/>
      <c r="E1482" s="240"/>
      <c r="F1482" s="241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</row>
    <row r="1483">
      <c r="A1483" s="83"/>
      <c r="B1483" s="53"/>
      <c r="C1483" s="53"/>
      <c r="D1483" s="53"/>
      <c r="E1483" s="240"/>
      <c r="F1483" s="241"/>
      <c r="G1483" s="53"/>
      <c r="H1483" s="53"/>
      <c r="I1483" s="53"/>
      <c r="J1483" s="53"/>
      <c r="K1483" s="53"/>
      <c r="L1483" s="53"/>
      <c r="M1483" s="53"/>
      <c r="N1483" s="53"/>
      <c r="O1483" s="53"/>
      <c r="P1483" s="53"/>
      <c r="Q1483" s="53"/>
      <c r="R1483" s="53"/>
      <c r="S1483" s="53"/>
      <c r="T1483" s="53"/>
      <c r="U1483" s="53"/>
      <c r="V1483" s="53"/>
    </row>
    <row r="1484">
      <c r="A1484" s="83"/>
      <c r="B1484" s="53"/>
      <c r="C1484" s="53"/>
      <c r="D1484" s="53"/>
      <c r="E1484" s="240"/>
      <c r="F1484" s="241"/>
      <c r="G1484" s="53"/>
      <c r="H1484" s="53"/>
      <c r="I1484" s="53"/>
      <c r="J1484" s="53"/>
      <c r="K1484" s="53"/>
      <c r="L1484" s="53"/>
      <c r="M1484" s="53"/>
      <c r="N1484" s="53"/>
      <c r="O1484" s="53"/>
      <c r="P1484" s="53"/>
      <c r="Q1484" s="53"/>
      <c r="R1484" s="53"/>
      <c r="S1484" s="53"/>
      <c r="T1484" s="53"/>
      <c r="U1484" s="53"/>
      <c r="V1484" s="53"/>
    </row>
    <row r="1485">
      <c r="A1485" s="83"/>
      <c r="B1485" s="53"/>
      <c r="C1485" s="53"/>
      <c r="D1485" s="53"/>
      <c r="E1485" s="240"/>
      <c r="F1485" s="241"/>
      <c r="G1485" s="53"/>
      <c r="H1485" s="53"/>
      <c r="I1485" s="53"/>
      <c r="J1485" s="53"/>
      <c r="K1485" s="53"/>
      <c r="L1485" s="53"/>
      <c r="M1485" s="53"/>
      <c r="N1485" s="53"/>
      <c r="O1485" s="53"/>
      <c r="P1485" s="53"/>
      <c r="Q1485" s="53"/>
      <c r="R1485" s="53"/>
      <c r="S1485" s="53"/>
      <c r="T1485" s="53"/>
      <c r="U1485" s="53"/>
      <c r="V1485" s="53"/>
    </row>
    <row r="1486">
      <c r="A1486" s="83"/>
      <c r="B1486" s="53"/>
      <c r="C1486" s="53"/>
      <c r="D1486" s="53"/>
      <c r="E1486" s="240"/>
      <c r="F1486" s="241"/>
      <c r="G1486" s="53"/>
      <c r="H1486" s="53"/>
      <c r="I1486" s="53"/>
      <c r="J1486" s="53"/>
      <c r="K1486" s="53"/>
      <c r="L1486" s="53"/>
      <c r="M1486" s="53"/>
      <c r="N1486" s="53"/>
      <c r="O1486" s="53"/>
      <c r="P1486" s="53"/>
      <c r="Q1486" s="53"/>
      <c r="R1486" s="53"/>
      <c r="S1486" s="53"/>
      <c r="T1486" s="53"/>
      <c r="U1486" s="53"/>
      <c r="V1486" s="53"/>
    </row>
    <row r="1487">
      <c r="A1487" s="83"/>
      <c r="B1487" s="53"/>
      <c r="C1487" s="53"/>
      <c r="D1487" s="53"/>
      <c r="E1487" s="240"/>
      <c r="F1487" s="241"/>
      <c r="G1487" s="53"/>
      <c r="H1487" s="53"/>
      <c r="I1487" s="53"/>
      <c r="J1487" s="53"/>
      <c r="K1487" s="53"/>
      <c r="L1487" s="53"/>
      <c r="M1487" s="53"/>
      <c r="N1487" s="53"/>
      <c r="O1487" s="53"/>
      <c r="P1487" s="53"/>
      <c r="Q1487" s="53"/>
      <c r="R1487" s="53"/>
      <c r="S1487" s="53"/>
      <c r="T1487" s="53"/>
      <c r="U1487" s="53"/>
      <c r="V1487" s="53"/>
    </row>
    <row r="1488">
      <c r="A1488" s="83"/>
      <c r="B1488" s="53"/>
      <c r="C1488" s="53"/>
      <c r="D1488" s="53"/>
      <c r="E1488" s="240"/>
      <c r="F1488" s="241"/>
      <c r="G1488" s="53"/>
      <c r="H1488" s="53"/>
      <c r="I1488" s="53"/>
      <c r="J1488" s="53"/>
      <c r="K1488" s="53"/>
      <c r="L1488" s="53"/>
      <c r="M1488" s="53"/>
      <c r="N1488" s="53"/>
      <c r="O1488" s="53"/>
      <c r="P1488" s="53"/>
      <c r="Q1488" s="53"/>
      <c r="R1488" s="53"/>
      <c r="S1488" s="53"/>
      <c r="T1488" s="53"/>
      <c r="U1488" s="53"/>
      <c r="V1488" s="53"/>
    </row>
    <row r="1489">
      <c r="A1489" s="83"/>
      <c r="B1489" s="53"/>
      <c r="C1489" s="53"/>
      <c r="D1489" s="53"/>
      <c r="E1489" s="240"/>
      <c r="F1489" s="241"/>
      <c r="G1489" s="53"/>
      <c r="H1489" s="53"/>
      <c r="I1489" s="53"/>
      <c r="J1489" s="53"/>
      <c r="K1489" s="53"/>
      <c r="L1489" s="53"/>
      <c r="M1489" s="53"/>
      <c r="N1489" s="53"/>
      <c r="O1489" s="53"/>
      <c r="P1489" s="53"/>
      <c r="Q1489" s="53"/>
      <c r="R1489" s="53"/>
      <c r="S1489" s="53"/>
      <c r="T1489" s="53"/>
      <c r="U1489" s="53"/>
      <c r="V1489" s="53"/>
    </row>
    <row r="1490">
      <c r="A1490" s="83"/>
      <c r="B1490" s="53"/>
      <c r="C1490" s="53"/>
      <c r="D1490" s="53"/>
      <c r="E1490" s="240"/>
      <c r="F1490" s="241"/>
      <c r="G1490" s="53"/>
      <c r="H1490" s="53"/>
      <c r="I1490" s="53"/>
      <c r="J1490" s="53"/>
      <c r="K1490" s="53"/>
      <c r="L1490" s="53"/>
      <c r="M1490" s="53"/>
      <c r="N1490" s="53"/>
      <c r="O1490" s="53"/>
      <c r="P1490" s="53"/>
      <c r="Q1490" s="53"/>
      <c r="R1490" s="53"/>
      <c r="S1490" s="53"/>
      <c r="T1490" s="53"/>
      <c r="U1490" s="53"/>
      <c r="V1490" s="53"/>
    </row>
    <row r="1491">
      <c r="A1491" s="83"/>
      <c r="B1491" s="53"/>
      <c r="C1491" s="53"/>
      <c r="D1491" s="53"/>
      <c r="E1491" s="240"/>
      <c r="F1491" s="241"/>
      <c r="G1491" s="53"/>
      <c r="H1491" s="53"/>
      <c r="I1491" s="53"/>
      <c r="J1491" s="53"/>
      <c r="K1491" s="53"/>
      <c r="L1491" s="53"/>
      <c r="M1491" s="53"/>
      <c r="N1491" s="53"/>
      <c r="O1491" s="53"/>
      <c r="P1491" s="53"/>
      <c r="Q1491" s="53"/>
      <c r="R1491" s="53"/>
      <c r="S1491" s="53"/>
      <c r="T1491" s="53"/>
      <c r="U1491" s="53"/>
      <c r="V1491" s="53"/>
    </row>
    <row r="1492">
      <c r="A1492" s="83"/>
      <c r="B1492" s="53"/>
      <c r="C1492" s="53"/>
      <c r="D1492" s="53"/>
      <c r="E1492" s="240"/>
      <c r="F1492" s="241"/>
      <c r="G1492" s="53"/>
      <c r="H1492" s="53"/>
      <c r="I1492" s="53"/>
      <c r="J1492" s="53"/>
      <c r="K1492" s="53"/>
      <c r="L1492" s="53"/>
      <c r="M1492" s="53"/>
      <c r="N1492" s="53"/>
      <c r="O1492" s="53"/>
      <c r="P1492" s="53"/>
      <c r="Q1492" s="53"/>
      <c r="R1492" s="53"/>
      <c r="S1492" s="53"/>
      <c r="T1492" s="53"/>
      <c r="U1492" s="53"/>
      <c r="V1492" s="53"/>
    </row>
    <row r="1493">
      <c r="A1493" s="83"/>
      <c r="B1493" s="53"/>
      <c r="C1493" s="53"/>
      <c r="D1493" s="53"/>
      <c r="E1493" s="240"/>
      <c r="F1493" s="241"/>
      <c r="G1493" s="53"/>
      <c r="H1493" s="53"/>
      <c r="I1493" s="53"/>
      <c r="J1493" s="53"/>
      <c r="K1493" s="53"/>
      <c r="L1493" s="53"/>
      <c r="M1493" s="53"/>
      <c r="N1493" s="53"/>
      <c r="O1493" s="53"/>
      <c r="P1493" s="53"/>
      <c r="Q1493" s="53"/>
      <c r="R1493" s="53"/>
      <c r="S1493" s="53"/>
      <c r="T1493" s="53"/>
      <c r="U1493" s="53"/>
      <c r="V1493" s="53"/>
    </row>
    <row r="1494">
      <c r="A1494" s="83"/>
      <c r="B1494" s="53"/>
      <c r="C1494" s="53"/>
      <c r="D1494" s="53"/>
      <c r="E1494" s="240"/>
      <c r="F1494" s="241"/>
      <c r="G1494" s="53"/>
      <c r="H1494" s="53"/>
      <c r="I1494" s="53"/>
      <c r="J1494" s="53"/>
      <c r="K1494" s="53"/>
      <c r="L1494" s="53"/>
      <c r="M1494" s="53"/>
      <c r="N1494" s="53"/>
      <c r="O1494" s="53"/>
      <c r="P1494" s="53"/>
      <c r="Q1494" s="53"/>
      <c r="R1494" s="53"/>
      <c r="S1494" s="53"/>
      <c r="T1494" s="53"/>
      <c r="U1494" s="53"/>
      <c r="V1494" s="53"/>
    </row>
    <row r="1495">
      <c r="A1495" s="83"/>
      <c r="B1495" s="53"/>
      <c r="C1495" s="53"/>
      <c r="D1495" s="53"/>
      <c r="E1495" s="240"/>
      <c r="F1495" s="241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</row>
    <row r="1496">
      <c r="A1496" s="83"/>
      <c r="B1496" s="53"/>
      <c r="C1496" s="53"/>
      <c r="D1496" s="53"/>
      <c r="E1496" s="240"/>
      <c r="F1496" s="241"/>
      <c r="G1496" s="53"/>
      <c r="H1496" s="53"/>
      <c r="I1496" s="53"/>
      <c r="J1496" s="53"/>
      <c r="K1496" s="53"/>
      <c r="L1496" s="53"/>
      <c r="M1496" s="53"/>
      <c r="N1496" s="53"/>
      <c r="O1496" s="53"/>
      <c r="P1496" s="53"/>
      <c r="Q1496" s="53"/>
      <c r="R1496" s="53"/>
      <c r="S1496" s="53"/>
      <c r="T1496" s="53"/>
      <c r="U1496" s="53"/>
      <c r="V1496" s="53"/>
    </row>
    <row r="1497">
      <c r="A1497" s="83"/>
      <c r="B1497" s="53"/>
      <c r="C1497" s="53"/>
      <c r="D1497" s="53"/>
      <c r="E1497" s="240"/>
      <c r="F1497" s="241"/>
      <c r="G1497" s="53"/>
      <c r="H1497" s="53"/>
      <c r="I1497" s="53"/>
      <c r="J1497" s="53"/>
      <c r="K1497" s="53"/>
      <c r="L1497" s="53"/>
      <c r="M1497" s="53"/>
      <c r="N1497" s="53"/>
      <c r="O1497" s="53"/>
      <c r="P1497" s="53"/>
      <c r="Q1497" s="53"/>
      <c r="R1497" s="53"/>
      <c r="S1497" s="53"/>
      <c r="T1497" s="53"/>
      <c r="U1497" s="53"/>
      <c r="V1497" s="53"/>
    </row>
    <row r="1498">
      <c r="A1498" s="83"/>
      <c r="B1498" s="53"/>
      <c r="C1498" s="53"/>
      <c r="D1498" s="53"/>
      <c r="E1498" s="240"/>
      <c r="F1498" s="241"/>
      <c r="G1498" s="53"/>
      <c r="H1498" s="53"/>
      <c r="I1498" s="53"/>
      <c r="J1498" s="53"/>
      <c r="K1498" s="53"/>
      <c r="L1498" s="53"/>
      <c r="M1498" s="53"/>
      <c r="N1498" s="53"/>
      <c r="O1498" s="53"/>
      <c r="P1498" s="53"/>
      <c r="Q1498" s="53"/>
      <c r="R1498" s="53"/>
      <c r="S1498" s="53"/>
      <c r="T1498" s="53"/>
      <c r="U1498" s="53"/>
      <c r="V1498" s="53"/>
    </row>
    <row r="1499">
      <c r="A1499" s="83"/>
      <c r="B1499" s="53"/>
      <c r="C1499" s="53"/>
      <c r="D1499" s="53"/>
      <c r="E1499" s="240"/>
      <c r="F1499" s="241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</row>
    <row r="1500">
      <c r="A1500" s="83"/>
      <c r="B1500" s="53"/>
      <c r="C1500" s="53"/>
      <c r="D1500" s="53"/>
      <c r="E1500" s="240"/>
      <c r="F1500" s="241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</row>
    <row r="1501">
      <c r="A1501" s="83"/>
      <c r="B1501" s="53"/>
      <c r="C1501" s="53"/>
      <c r="D1501" s="53"/>
      <c r="E1501" s="240"/>
      <c r="F1501" s="241"/>
      <c r="G1501" s="53"/>
      <c r="H1501" s="53"/>
      <c r="I1501" s="53"/>
      <c r="J1501" s="53"/>
      <c r="K1501" s="53"/>
      <c r="L1501" s="53"/>
      <c r="M1501" s="53"/>
      <c r="N1501" s="53"/>
      <c r="O1501" s="53"/>
      <c r="P1501" s="53"/>
      <c r="Q1501" s="53"/>
      <c r="R1501" s="53"/>
      <c r="S1501" s="53"/>
      <c r="T1501" s="53"/>
      <c r="U1501" s="53"/>
      <c r="V1501" s="53"/>
    </row>
    <row r="1502">
      <c r="A1502" s="83"/>
      <c r="B1502" s="53"/>
      <c r="C1502" s="53"/>
      <c r="D1502" s="53"/>
      <c r="E1502" s="240"/>
      <c r="F1502" s="241"/>
      <c r="G1502" s="53"/>
      <c r="H1502" s="53"/>
      <c r="I1502" s="53"/>
      <c r="J1502" s="53"/>
      <c r="K1502" s="53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</row>
    <row r="1503">
      <c r="A1503" s="83"/>
      <c r="B1503" s="53"/>
      <c r="C1503" s="53"/>
      <c r="D1503" s="53"/>
      <c r="E1503" s="240"/>
      <c r="F1503" s="241"/>
      <c r="G1503" s="53"/>
      <c r="H1503" s="53"/>
      <c r="I1503" s="53"/>
      <c r="J1503" s="53"/>
      <c r="K1503" s="53"/>
      <c r="L1503" s="53"/>
      <c r="M1503" s="53"/>
      <c r="N1503" s="53"/>
      <c r="O1503" s="53"/>
      <c r="P1503" s="53"/>
      <c r="Q1503" s="53"/>
      <c r="R1503" s="53"/>
      <c r="S1503" s="53"/>
      <c r="T1503" s="53"/>
      <c r="U1503" s="53"/>
      <c r="V1503" s="53"/>
    </row>
    <row r="1504">
      <c r="A1504" s="83"/>
      <c r="B1504" s="53"/>
      <c r="C1504" s="53"/>
      <c r="D1504" s="53"/>
      <c r="E1504" s="240"/>
      <c r="F1504" s="241"/>
      <c r="G1504" s="53"/>
      <c r="H1504" s="53"/>
      <c r="I1504" s="53"/>
      <c r="J1504" s="53"/>
      <c r="K1504" s="53"/>
      <c r="L1504" s="53"/>
      <c r="M1504" s="53"/>
      <c r="N1504" s="53"/>
      <c r="O1504" s="53"/>
      <c r="P1504" s="53"/>
      <c r="Q1504" s="53"/>
      <c r="R1504" s="53"/>
      <c r="S1504" s="53"/>
      <c r="T1504" s="53"/>
      <c r="U1504" s="53"/>
      <c r="V1504" s="53"/>
    </row>
    <row r="1505">
      <c r="A1505" s="83"/>
      <c r="B1505" s="53"/>
      <c r="C1505" s="53"/>
      <c r="D1505" s="53"/>
      <c r="E1505" s="240"/>
      <c r="F1505" s="241"/>
      <c r="G1505" s="53"/>
      <c r="H1505" s="53"/>
      <c r="I1505" s="53"/>
      <c r="J1505" s="53"/>
      <c r="K1505" s="53"/>
      <c r="L1505" s="53"/>
      <c r="M1505" s="53"/>
      <c r="N1505" s="53"/>
      <c r="O1505" s="53"/>
      <c r="P1505" s="53"/>
      <c r="Q1505" s="53"/>
      <c r="R1505" s="53"/>
      <c r="S1505" s="53"/>
      <c r="T1505" s="53"/>
      <c r="U1505" s="53"/>
      <c r="V1505" s="53"/>
    </row>
    <row r="1506">
      <c r="A1506" s="83"/>
      <c r="B1506" s="53"/>
      <c r="C1506" s="53"/>
      <c r="D1506" s="53"/>
      <c r="E1506" s="240"/>
      <c r="F1506" s="241"/>
      <c r="G1506" s="53"/>
      <c r="H1506" s="53"/>
      <c r="I1506" s="53"/>
      <c r="J1506" s="53"/>
      <c r="K1506" s="53"/>
      <c r="L1506" s="53"/>
      <c r="M1506" s="53"/>
      <c r="N1506" s="53"/>
      <c r="O1506" s="53"/>
      <c r="P1506" s="53"/>
      <c r="Q1506" s="53"/>
      <c r="R1506" s="53"/>
      <c r="S1506" s="53"/>
      <c r="T1506" s="53"/>
      <c r="U1506" s="53"/>
      <c r="V1506" s="53"/>
    </row>
    <row r="1507">
      <c r="A1507" s="83"/>
      <c r="B1507" s="53"/>
      <c r="C1507" s="53"/>
      <c r="D1507" s="53"/>
      <c r="E1507" s="240"/>
      <c r="F1507" s="241"/>
      <c r="G1507" s="53"/>
      <c r="H1507" s="53"/>
      <c r="I1507" s="53"/>
      <c r="J1507" s="53"/>
      <c r="K1507" s="53"/>
      <c r="L1507" s="53"/>
      <c r="M1507" s="53"/>
      <c r="N1507" s="53"/>
      <c r="O1507" s="53"/>
      <c r="P1507" s="53"/>
      <c r="Q1507" s="53"/>
      <c r="R1507" s="53"/>
      <c r="S1507" s="53"/>
      <c r="T1507" s="53"/>
      <c r="U1507" s="53"/>
      <c r="V1507" s="53"/>
    </row>
    <row r="1508">
      <c r="A1508" s="83"/>
      <c r="B1508" s="53"/>
      <c r="C1508" s="53"/>
      <c r="D1508" s="53"/>
      <c r="E1508" s="240"/>
      <c r="F1508" s="241"/>
      <c r="G1508" s="53"/>
      <c r="H1508" s="53"/>
      <c r="I1508" s="53"/>
      <c r="J1508" s="53"/>
      <c r="K1508" s="53"/>
      <c r="L1508" s="53"/>
      <c r="M1508" s="53"/>
      <c r="N1508" s="53"/>
      <c r="O1508" s="53"/>
      <c r="P1508" s="53"/>
      <c r="Q1508" s="53"/>
      <c r="R1508" s="53"/>
      <c r="S1508" s="53"/>
      <c r="T1508" s="53"/>
      <c r="U1508" s="53"/>
      <c r="V1508" s="53"/>
    </row>
    <row r="1509">
      <c r="A1509" s="83"/>
      <c r="B1509" s="53"/>
      <c r="C1509" s="53"/>
      <c r="D1509" s="53"/>
      <c r="E1509" s="240"/>
      <c r="F1509" s="241"/>
      <c r="G1509" s="53"/>
      <c r="H1509" s="53"/>
      <c r="I1509" s="53"/>
      <c r="J1509" s="53"/>
      <c r="K1509" s="53"/>
      <c r="L1509" s="53"/>
      <c r="M1509" s="53"/>
      <c r="N1509" s="53"/>
      <c r="O1509" s="53"/>
      <c r="P1509" s="53"/>
      <c r="Q1509" s="53"/>
      <c r="R1509" s="53"/>
      <c r="S1509" s="53"/>
      <c r="T1509" s="53"/>
      <c r="U1509" s="53"/>
      <c r="V1509" s="53"/>
    </row>
    <row r="1510">
      <c r="A1510" s="83"/>
      <c r="B1510" s="53"/>
      <c r="C1510" s="53"/>
      <c r="D1510" s="53"/>
      <c r="E1510" s="240"/>
      <c r="F1510" s="241"/>
      <c r="G1510" s="53"/>
      <c r="H1510" s="53"/>
      <c r="I1510" s="53"/>
      <c r="J1510" s="53"/>
      <c r="K1510" s="53"/>
      <c r="L1510" s="53"/>
      <c r="M1510" s="53"/>
      <c r="N1510" s="53"/>
      <c r="O1510" s="53"/>
      <c r="P1510" s="53"/>
      <c r="Q1510" s="53"/>
      <c r="R1510" s="53"/>
      <c r="S1510" s="53"/>
      <c r="T1510" s="53"/>
      <c r="U1510" s="53"/>
      <c r="V1510" s="53"/>
    </row>
    <row r="1511">
      <c r="A1511" s="83"/>
      <c r="B1511" s="53"/>
      <c r="C1511" s="53"/>
      <c r="D1511" s="53"/>
      <c r="E1511" s="240"/>
      <c r="F1511" s="241"/>
      <c r="G1511" s="53"/>
      <c r="H1511" s="53"/>
      <c r="I1511" s="53"/>
      <c r="J1511" s="53"/>
      <c r="K1511" s="53"/>
      <c r="L1511" s="53"/>
      <c r="M1511" s="53"/>
      <c r="N1511" s="53"/>
      <c r="O1511" s="53"/>
      <c r="P1511" s="53"/>
      <c r="Q1511" s="53"/>
      <c r="R1511" s="53"/>
      <c r="S1511" s="53"/>
      <c r="T1511" s="53"/>
      <c r="U1511" s="53"/>
      <c r="V1511" s="53"/>
    </row>
    <row r="1512">
      <c r="A1512" s="83"/>
      <c r="B1512" s="53"/>
      <c r="C1512" s="53"/>
      <c r="D1512" s="53"/>
      <c r="E1512" s="240"/>
      <c r="F1512" s="241"/>
      <c r="G1512" s="53"/>
      <c r="H1512" s="53"/>
      <c r="I1512" s="53"/>
      <c r="J1512" s="53"/>
      <c r="K1512" s="53"/>
      <c r="L1512" s="53"/>
      <c r="M1512" s="53"/>
      <c r="N1512" s="53"/>
      <c r="O1512" s="53"/>
      <c r="P1512" s="53"/>
      <c r="Q1512" s="53"/>
      <c r="R1512" s="53"/>
      <c r="S1512" s="53"/>
      <c r="T1512" s="53"/>
      <c r="U1512" s="53"/>
      <c r="V1512" s="53"/>
    </row>
    <row r="1513">
      <c r="A1513" s="83"/>
      <c r="B1513" s="53"/>
      <c r="C1513" s="53"/>
      <c r="D1513" s="53"/>
      <c r="E1513" s="240"/>
      <c r="F1513" s="241"/>
      <c r="G1513" s="53"/>
      <c r="H1513" s="53"/>
      <c r="I1513" s="53"/>
      <c r="J1513" s="53"/>
      <c r="K1513" s="53"/>
      <c r="L1513" s="53"/>
      <c r="M1513" s="53"/>
      <c r="N1513" s="53"/>
      <c r="O1513" s="53"/>
      <c r="P1513" s="53"/>
      <c r="Q1513" s="53"/>
      <c r="R1513" s="53"/>
      <c r="S1513" s="53"/>
      <c r="T1513" s="53"/>
      <c r="U1513" s="53"/>
      <c r="V1513" s="53"/>
    </row>
    <row r="1514">
      <c r="A1514" s="83"/>
      <c r="B1514" s="53"/>
      <c r="C1514" s="53"/>
      <c r="D1514" s="53"/>
      <c r="E1514" s="240"/>
      <c r="F1514" s="241"/>
      <c r="G1514" s="53"/>
      <c r="H1514" s="53"/>
      <c r="I1514" s="53"/>
      <c r="J1514" s="53"/>
      <c r="K1514" s="53"/>
      <c r="L1514" s="53"/>
      <c r="M1514" s="53"/>
      <c r="N1514" s="53"/>
      <c r="O1514" s="53"/>
      <c r="P1514" s="53"/>
      <c r="Q1514" s="53"/>
      <c r="R1514" s="53"/>
      <c r="S1514" s="53"/>
      <c r="T1514" s="53"/>
      <c r="U1514" s="53"/>
      <c r="V1514" s="53"/>
    </row>
    <row r="1515">
      <c r="A1515" s="83"/>
      <c r="B1515" s="53"/>
      <c r="C1515" s="53"/>
      <c r="D1515" s="53"/>
      <c r="E1515" s="240"/>
      <c r="F1515" s="241"/>
      <c r="G1515" s="53"/>
      <c r="H1515" s="53"/>
      <c r="I1515" s="53"/>
      <c r="J1515" s="53"/>
      <c r="K1515" s="53"/>
      <c r="L1515" s="53"/>
      <c r="M1515" s="53"/>
      <c r="N1515" s="53"/>
      <c r="O1515" s="53"/>
      <c r="P1515" s="53"/>
      <c r="Q1515" s="53"/>
      <c r="R1515" s="53"/>
      <c r="S1515" s="53"/>
      <c r="T1515" s="53"/>
      <c r="U1515" s="53"/>
      <c r="V1515" s="53"/>
    </row>
    <row r="1516">
      <c r="A1516" s="83"/>
      <c r="B1516" s="53"/>
      <c r="C1516" s="53"/>
      <c r="D1516" s="53"/>
      <c r="E1516" s="240"/>
      <c r="F1516" s="241"/>
      <c r="G1516" s="53"/>
      <c r="H1516" s="53"/>
      <c r="I1516" s="53"/>
      <c r="J1516" s="53"/>
      <c r="K1516" s="53"/>
      <c r="L1516" s="53"/>
      <c r="M1516" s="53"/>
      <c r="N1516" s="53"/>
      <c r="O1516" s="53"/>
      <c r="P1516" s="53"/>
      <c r="Q1516" s="53"/>
      <c r="R1516" s="53"/>
      <c r="S1516" s="53"/>
      <c r="T1516" s="53"/>
      <c r="U1516" s="53"/>
      <c r="V1516" s="53"/>
    </row>
    <row r="1517">
      <c r="A1517" s="83"/>
      <c r="B1517" s="53"/>
      <c r="C1517" s="53"/>
      <c r="D1517" s="53"/>
      <c r="E1517" s="240"/>
      <c r="F1517" s="241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</row>
    <row r="1518">
      <c r="A1518" s="83"/>
      <c r="B1518" s="53"/>
      <c r="C1518" s="53"/>
      <c r="D1518" s="53"/>
      <c r="E1518" s="240"/>
      <c r="F1518" s="241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</row>
    <row r="1519">
      <c r="A1519" s="83"/>
      <c r="B1519" s="53"/>
      <c r="C1519" s="53"/>
      <c r="D1519" s="53"/>
      <c r="E1519" s="240"/>
      <c r="F1519" s="241"/>
      <c r="G1519" s="53"/>
      <c r="H1519" s="53"/>
      <c r="I1519" s="53"/>
      <c r="J1519" s="53"/>
      <c r="K1519" s="53"/>
      <c r="L1519" s="53"/>
      <c r="M1519" s="53"/>
      <c r="N1519" s="53"/>
      <c r="O1519" s="53"/>
      <c r="P1519" s="53"/>
      <c r="Q1519" s="53"/>
      <c r="R1519" s="53"/>
      <c r="S1519" s="53"/>
      <c r="T1519" s="53"/>
      <c r="U1519" s="53"/>
      <c r="V1519" s="53"/>
    </row>
    <row r="1520">
      <c r="A1520" s="83"/>
      <c r="B1520" s="53"/>
      <c r="C1520" s="53"/>
      <c r="D1520" s="53"/>
      <c r="E1520" s="240"/>
      <c r="F1520" s="241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</row>
    <row r="1521">
      <c r="A1521" s="83"/>
      <c r="B1521" s="53"/>
      <c r="C1521" s="53"/>
      <c r="D1521" s="53"/>
      <c r="E1521" s="240"/>
      <c r="F1521" s="241"/>
      <c r="G1521" s="53"/>
      <c r="H1521" s="53"/>
      <c r="I1521" s="53"/>
      <c r="J1521" s="53"/>
      <c r="K1521" s="53"/>
      <c r="L1521" s="53"/>
      <c r="M1521" s="53"/>
      <c r="N1521" s="53"/>
      <c r="O1521" s="53"/>
      <c r="P1521" s="53"/>
      <c r="Q1521" s="53"/>
      <c r="R1521" s="53"/>
      <c r="S1521" s="53"/>
      <c r="T1521" s="53"/>
      <c r="U1521" s="53"/>
      <c r="V1521" s="53"/>
    </row>
    <row r="1522">
      <c r="A1522" s="83"/>
      <c r="B1522" s="53"/>
      <c r="C1522" s="53"/>
      <c r="D1522" s="53"/>
      <c r="E1522" s="240"/>
      <c r="F1522" s="241"/>
      <c r="G1522" s="53"/>
      <c r="H1522" s="53"/>
      <c r="I1522" s="53"/>
      <c r="J1522" s="53"/>
      <c r="K1522" s="53"/>
      <c r="L1522" s="53"/>
      <c r="M1522" s="53"/>
      <c r="N1522" s="53"/>
      <c r="O1522" s="53"/>
      <c r="P1522" s="53"/>
      <c r="Q1522" s="53"/>
      <c r="R1522" s="53"/>
      <c r="S1522" s="53"/>
      <c r="T1522" s="53"/>
      <c r="U1522" s="53"/>
      <c r="V1522" s="53"/>
    </row>
    <row r="1523">
      <c r="A1523" s="83"/>
      <c r="B1523" s="53"/>
      <c r="C1523" s="53"/>
      <c r="D1523" s="53"/>
      <c r="E1523" s="240"/>
      <c r="F1523" s="241"/>
      <c r="G1523" s="53"/>
      <c r="H1523" s="53"/>
      <c r="I1523" s="53"/>
      <c r="J1523" s="53"/>
      <c r="K1523" s="53"/>
      <c r="L1523" s="53"/>
      <c r="M1523" s="53"/>
      <c r="N1523" s="53"/>
      <c r="O1523" s="53"/>
      <c r="P1523" s="53"/>
      <c r="Q1523" s="53"/>
      <c r="R1523" s="53"/>
      <c r="S1523" s="53"/>
      <c r="T1523" s="53"/>
      <c r="U1523" s="53"/>
      <c r="V1523" s="53"/>
    </row>
    <row r="1524">
      <c r="A1524" s="83"/>
      <c r="B1524" s="53"/>
      <c r="C1524" s="53"/>
      <c r="D1524" s="53"/>
      <c r="E1524" s="240"/>
      <c r="F1524" s="241"/>
      <c r="G1524" s="53"/>
      <c r="H1524" s="53"/>
      <c r="I1524" s="53"/>
      <c r="J1524" s="53"/>
      <c r="K1524" s="53"/>
      <c r="L1524" s="53"/>
      <c r="M1524" s="53"/>
      <c r="N1524" s="53"/>
      <c r="O1524" s="53"/>
      <c r="P1524" s="53"/>
      <c r="Q1524" s="53"/>
      <c r="R1524" s="53"/>
      <c r="S1524" s="53"/>
      <c r="T1524" s="53"/>
      <c r="U1524" s="53"/>
      <c r="V1524" s="53"/>
    </row>
    <row r="1525">
      <c r="A1525" s="83"/>
      <c r="B1525" s="53"/>
      <c r="C1525" s="53"/>
      <c r="D1525" s="53"/>
      <c r="E1525" s="240"/>
      <c r="F1525" s="241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53"/>
      <c r="T1525" s="53"/>
      <c r="U1525" s="53"/>
      <c r="V1525" s="53"/>
    </row>
    <row r="1526">
      <c r="A1526" s="83"/>
      <c r="B1526" s="53"/>
      <c r="C1526" s="53"/>
      <c r="D1526" s="53"/>
      <c r="E1526" s="240"/>
      <c r="F1526" s="241"/>
      <c r="G1526" s="53"/>
      <c r="H1526" s="53"/>
      <c r="I1526" s="53"/>
      <c r="J1526" s="53"/>
      <c r="K1526" s="53"/>
      <c r="L1526" s="53"/>
      <c r="M1526" s="53"/>
      <c r="N1526" s="53"/>
      <c r="O1526" s="53"/>
      <c r="P1526" s="53"/>
      <c r="Q1526" s="53"/>
      <c r="R1526" s="53"/>
      <c r="S1526" s="53"/>
      <c r="T1526" s="53"/>
      <c r="U1526" s="53"/>
      <c r="V1526" s="53"/>
    </row>
    <row r="1527">
      <c r="A1527" s="83"/>
      <c r="B1527" s="53"/>
      <c r="C1527" s="53"/>
      <c r="D1527" s="53"/>
      <c r="E1527" s="240"/>
      <c r="F1527" s="241"/>
      <c r="G1527" s="53"/>
      <c r="H1527" s="53"/>
      <c r="I1527" s="53"/>
      <c r="J1527" s="53"/>
      <c r="K1527" s="53"/>
      <c r="L1527" s="53"/>
      <c r="M1527" s="53"/>
      <c r="N1527" s="53"/>
      <c r="O1527" s="53"/>
      <c r="P1527" s="53"/>
      <c r="Q1527" s="53"/>
      <c r="R1527" s="53"/>
      <c r="S1527" s="53"/>
      <c r="T1527" s="53"/>
      <c r="U1527" s="53"/>
      <c r="V1527" s="53"/>
    </row>
    <row r="1528">
      <c r="A1528" s="83"/>
      <c r="B1528" s="53"/>
      <c r="C1528" s="53"/>
      <c r="D1528" s="53"/>
      <c r="E1528" s="240"/>
      <c r="F1528" s="241"/>
      <c r="G1528" s="53"/>
      <c r="H1528" s="53"/>
      <c r="I1528" s="53"/>
      <c r="J1528" s="53"/>
      <c r="K1528" s="53"/>
      <c r="L1528" s="53"/>
      <c r="M1528" s="53"/>
      <c r="N1528" s="53"/>
      <c r="O1528" s="53"/>
      <c r="P1528" s="53"/>
      <c r="Q1528" s="53"/>
      <c r="R1528" s="53"/>
      <c r="S1528" s="53"/>
      <c r="T1528" s="53"/>
      <c r="U1528" s="53"/>
      <c r="V1528" s="53"/>
    </row>
    <row r="1529">
      <c r="A1529" s="83"/>
      <c r="B1529" s="53"/>
      <c r="C1529" s="53"/>
      <c r="D1529" s="53"/>
      <c r="E1529" s="240"/>
      <c r="F1529" s="241"/>
      <c r="G1529" s="53"/>
      <c r="H1529" s="53"/>
      <c r="I1529" s="53"/>
      <c r="J1529" s="53"/>
      <c r="K1529" s="53"/>
      <c r="L1529" s="53"/>
      <c r="M1529" s="53"/>
      <c r="N1529" s="53"/>
      <c r="O1529" s="53"/>
      <c r="P1529" s="53"/>
      <c r="Q1529" s="53"/>
      <c r="R1529" s="53"/>
      <c r="S1529" s="53"/>
      <c r="T1529" s="53"/>
      <c r="U1529" s="53"/>
      <c r="V1529" s="53"/>
    </row>
    <row r="1530">
      <c r="A1530" s="83"/>
      <c r="B1530" s="53"/>
      <c r="C1530" s="53"/>
      <c r="D1530" s="53"/>
      <c r="E1530" s="240"/>
      <c r="F1530" s="241"/>
      <c r="G1530" s="53"/>
      <c r="H1530" s="53"/>
      <c r="I1530" s="53"/>
      <c r="J1530" s="53"/>
      <c r="K1530" s="53"/>
      <c r="L1530" s="53"/>
      <c r="M1530" s="53"/>
      <c r="N1530" s="53"/>
      <c r="O1530" s="53"/>
      <c r="P1530" s="53"/>
      <c r="Q1530" s="53"/>
      <c r="R1530" s="53"/>
      <c r="S1530" s="53"/>
      <c r="T1530" s="53"/>
      <c r="U1530" s="53"/>
      <c r="V1530" s="53"/>
    </row>
    <row r="1531">
      <c r="A1531" s="83"/>
      <c r="B1531" s="53"/>
      <c r="C1531" s="53"/>
      <c r="D1531" s="53"/>
      <c r="E1531" s="240"/>
      <c r="F1531" s="241"/>
      <c r="G1531" s="53"/>
      <c r="H1531" s="53"/>
      <c r="I1531" s="53"/>
      <c r="J1531" s="53"/>
      <c r="K1531" s="53"/>
      <c r="L1531" s="53"/>
      <c r="M1531" s="53"/>
      <c r="N1531" s="53"/>
      <c r="O1531" s="53"/>
      <c r="P1531" s="53"/>
      <c r="Q1531" s="53"/>
      <c r="R1531" s="53"/>
      <c r="S1531" s="53"/>
      <c r="T1531" s="53"/>
      <c r="U1531" s="53"/>
      <c r="V1531" s="53"/>
    </row>
    <row r="1532">
      <c r="A1532" s="83"/>
      <c r="B1532" s="53"/>
      <c r="C1532" s="53"/>
      <c r="D1532" s="53"/>
      <c r="E1532" s="240"/>
      <c r="F1532" s="241"/>
      <c r="G1532" s="53"/>
      <c r="H1532" s="53"/>
      <c r="I1532" s="53"/>
      <c r="J1532" s="53"/>
      <c r="K1532" s="53"/>
      <c r="L1532" s="53"/>
      <c r="M1532" s="53"/>
      <c r="N1532" s="53"/>
      <c r="O1532" s="53"/>
      <c r="P1532" s="53"/>
      <c r="Q1532" s="53"/>
      <c r="R1532" s="53"/>
      <c r="S1532" s="53"/>
      <c r="T1532" s="53"/>
      <c r="U1532" s="53"/>
      <c r="V1532" s="53"/>
    </row>
    <row r="1533">
      <c r="A1533" s="83"/>
      <c r="B1533" s="53"/>
      <c r="C1533" s="53"/>
      <c r="D1533" s="53"/>
      <c r="E1533" s="240"/>
      <c r="F1533" s="241"/>
      <c r="G1533" s="53"/>
      <c r="H1533" s="53"/>
      <c r="I1533" s="53"/>
      <c r="J1533" s="53"/>
      <c r="K1533" s="53"/>
      <c r="L1533" s="53"/>
      <c r="M1533" s="53"/>
      <c r="N1533" s="53"/>
      <c r="O1533" s="53"/>
      <c r="P1533" s="53"/>
      <c r="Q1533" s="53"/>
      <c r="R1533" s="53"/>
      <c r="S1533" s="53"/>
      <c r="T1533" s="53"/>
      <c r="U1533" s="53"/>
      <c r="V1533" s="53"/>
    </row>
    <row r="1534">
      <c r="A1534" s="83"/>
      <c r="B1534" s="53"/>
      <c r="C1534" s="53"/>
      <c r="D1534" s="53"/>
      <c r="E1534" s="240"/>
      <c r="F1534" s="241"/>
      <c r="G1534" s="53"/>
      <c r="H1534" s="53"/>
      <c r="I1534" s="53"/>
      <c r="J1534" s="53"/>
      <c r="K1534" s="53"/>
      <c r="L1534" s="53"/>
      <c r="M1534" s="53"/>
      <c r="N1534" s="53"/>
      <c r="O1534" s="53"/>
      <c r="P1534" s="53"/>
      <c r="Q1534" s="53"/>
      <c r="R1534" s="53"/>
      <c r="S1534" s="53"/>
      <c r="T1534" s="53"/>
      <c r="U1534" s="53"/>
      <c r="V1534" s="53"/>
    </row>
    <row r="1535">
      <c r="A1535" s="83"/>
      <c r="B1535" s="53"/>
      <c r="C1535" s="53"/>
      <c r="D1535" s="53"/>
      <c r="E1535" s="240"/>
      <c r="F1535" s="241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</row>
    <row r="1536">
      <c r="A1536" s="83"/>
      <c r="B1536" s="53"/>
      <c r="C1536" s="53"/>
      <c r="D1536" s="53"/>
      <c r="E1536" s="240"/>
      <c r="F1536" s="241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</row>
    <row r="1537">
      <c r="A1537" s="83"/>
      <c r="B1537" s="53"/>
      <c r="C1537" s="53"/>
      <c r="D1537" s="53"/>
      <c r="E1537" s="240"/>
      <c r="F1537" s="241"/>
      <c r="G1537" s="53"/>
      <c r="H1537" s="53"/>
      <c r="I1537" s="53"/>
      <c r="J1537" s="53"/>
      <c r="K1537" s="53"/>
      <c r="L1537" s="53"/>
      <c r="M1537" s="53"/>
      <c r="N1537" s="53"/>
      <c r="O1537" s="53"/>
      <c r="P1537" s="53"/>
      <c r="Q1537" s="53"/>
      <c r="R1537" s="53"/>
      <c r="S1537" s="53"/>
      <c r="T1537" s="53"/>
      <c r="U1537" s="53"/>
      <c r="V1537" s="53"/>
    </row>
    <row r="1538">
      <c r="A1538" s="83"/>
      <c r="B1538" s="53"/>
      <c r="C1538" s="53"/>
      <c r="D1538" s="53"/>
      <c r="E1538" s="240"/>
      <c r="F1538" s="241"/>
      <c r="G1538" s="53"/>
      <c r="H1538" s="53"/>
      <c r="I1538" s="53"/>
      <c r="J1538" s="53"/>
      <c r="K1538" s="53"/>
      <c r="L1538" s="53"/>
      <c r="M1538" s="53"/>
      <c r="N1538" s="53"/>
      <c r="O1538" s="53"/>
      <c r="P1538" s="53"/>
      <c r="Q1538" s="53"/>
      <c r="R1538" s="53"/>
      <c r="S1538" s="53"/>
      <c r="T1538" s="53"/>
      <c r="U1538" s="53"/>
      <c r="V1538" s="53"/>
    </row>
    <row r="1539">
      <c r="A1539" s="83"/>
      <c r="B1539" s="53"/>
      <c r="C1539" s="53"/>
      <c r="D1539" s="53"/>
      <c r="E1539" s="240"/>
      <c r="F1539" s="241"/>
      <c r="G1539" s="53"/>
      <c r="H1539" s="53"/>
      <c r="I1539" s="53"/>
      <c r="J1539" s="53"/>
      <c r="K1539" s="53"/>
      <c r="L1539" s="53"/>
      <c r="M1539" s="53"/>
      <c r="N1539" s="53"/>
      <c r="O1539" s="53"/>
      <c r="P1539" s="53"/>
      <c r="Q1539" s="53"/>
      <c r="R1539" s="53"/>
      <c r="S1539" s="53"/>
      <c r="T1539" s="53"/>
      <c r="U1539" s="53"/>
      <c r="V1539" s="53"/>
    </row>
    <row r="1540">
      <c r="A1540" s="83"/>
      <c r="B1540" s="53"/>
      <c r="C1540" s="53"/>
      <c r="D1540" s="53"/>
      <c r="E1540" s="240"/>
      <c r="F1540" s="241"/>
      <c r="G1540" s="53"/>
      <c r="H1540" s="53"/>
      <c r="I1540" s="53"/>
      <c r="J1540" s="53"/>
      <c r="K1540" s="53"/>
      <c r="L1540" s="53"/>
      <c r="M1540" s="53"/>
      <c r="N1540" s="53"/>
      <c r="O1540" s="53"/>
      <c r="P1540" s="53"/>
      <c r="Q1540" s="53"/>
      <c r="R1540" s="53"/>
      <c r="S1540" s="53"/>
      <c r="T1540" s="53"/>
      <c r="U1540" s="53"/>
      <c r="V1540" s="53"/>
    </row>
    <row r="1541">
      <c r="A1541" s="83"/>
      <c r="B1541" s="53"/>
      <c r="C1541" s="53"/>
      <c r="D1541" s="53"/>
      <c r="E1541" s="240"/>
      <c r="F1541" s="241"/>
      <c r="G1541" s="53"/>
      <c r="H1541" s="53"/>
      <c r="I1541" s="53"/>
      <c r="J1541" s="53"/>
      <c r="K1541" s="53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</row>
    <row r="1542">
      <c r="A1542" s="83"/>
      <c r="B1542" s="53"/>
      <c r="C1542" s="53"/>
      <c r="D1542" s="53"/>
      <c r="E1542" s="240"/>
      <c r="F1542" s="241"/>
      <c r="G1542" s="53"/>
      <c r="H1542" s="53"/>
      <c r="I1542" s="53"/>
      <c r="J1542" s="53"/>
      <c r="K1542" s="53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</row>
    <row r="1543">
      <c r="A1543" s="83"/>
      <c r="B1543" s="53"/>
      <c r="C1543" s="53"/>
      <c r="D1543" s="53"/>
      <c r="E1543" s="240"/>
      <c r="F1543" s="241"/>
      <c r="G1543" s="53"/>
      <c r="H1543" s="53"/>
      <c r="I1543" s="53"/>
      <c r="J1543" s="53"/>
      <c r="K1543" s="53"/>
      <c r="L1543" s="53"/>
      <c r="M1543" s="53"/>
      <c r="N1543" s="53"/>
      <c r="O1543" s="53"/>
      <c r="P1543" s="53"/>
      <c r="Q1543" s="53"/>
      <c r="R1543" s="53"/>
      <c r="S1543" s="53"/>
      <c r="T1543" s="53"/>
      <c r="U1543" s="53"/>
      <c r="V1543" s="53"/>
    </row>
    <row r="1544">
      <c r="A1544" s="83"/>
      <c r="B1544" s="53"/>
      <c r="C1544" s="53"/>
      <c r="D1544" s="53"/>
      <c r="E1544" s="240"/>
      <c r="F1544" s="241"/>
      <c r="G1544" s="53"/>
      <c r="H1544" s="53"/>
      <c r="I1544" s="53"/>
      <c r="J1544" s="53"/>
      <c r="K1544" s="53"/>
      <c r="L1544" s="53"/>
      <c r="M1544" s="53"/>
      <c r="N1544" s="53"/>
      <c r="O1544" s="53"/>
      <c r="P1544" s="53"/>
      <c r="Q1544" s="53"/>
      <c r="R1544" s="53"/>
      <c r="S1544" s="53"/>
      <c r="T1544" s="53"/>
      <c r="U1544" s="53"/>
      <c r="V1544" s="53"/>
    </row>
    <row r="1545">
      <c r="A1545" s="83"/>
      <c r="B1545" s="53"/>
      <c r="C1545" s="53"/>
      <c r="D1545" s="53"/>
      <c r="E1545" s="240"/>
      <c r="F1545" s="241"/>
      <c r="G1545" s="53"/>
      <c r="H1545" s="53"/>
      <c r="I1545" s="53"/>
      <c r="J1545" s="53"/>
      <c r="K1545" s="53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</row>
    <row r="1546">
      <c r="A1546" s="83"/>
      <c r="B1546" s="53"/>
      <c r="C1546" s="53"/>
      <c r="D1546" s="53"/>
      <c r="E1546" s="240"/>
      <c r="F1546" s="241"/>
      <c r="G1546" s="53"/>
      <c r="H1546" s="53"/>
      <c r="I1546" s="53"/>
      <c r="J1546" s="53"/>
      <c r="K1546" s="53"/>
      <c r="L1546" s="53"/>
      <c r="M1546" s="53"/>
      <c r="N1546" s="53"/>
      <c r="O1546" s="53"/>
      <c r="P1546" s="53"/>
      <c r="Q1546" s="53"/>
      <c r="R1546" s="53"/>
      <c r="S1546" s="53"/>
      <c r="T1546" s="53"/>
      <c r="U1546" s="53"/>
      <c r="V1546" s="53"/>
    </row>
    <row r="1547">
      <c r="A1547" s="83"/>
      <c r="B1547" s="53"/>
      <c r="C1547" s="53"/>
      <c r="D1547" s="53"/>
      <c r="E1547" s="240"/>
      <c r="F1547" s="241"/>
      <c r="G1547" s="53"/>
      <c r="H1547" s="53"/>
      <c r="I1547" s="53"/>
      <c r="J1547" s="53"/>
      <c r="K1547" s="53"/>
      <c r="L1547" s="53"/>
      <c r="M1547" s="53"/>
      <c r="N1547" s="53"/>
      <c r="O1547" s="53"/>
      <c r="P1547" s="53"/>
      <c r="Q1547" s="53"/>
      <c r="R1547" s="53"/>
      <c r="S1547" s="53"/>
      <c r="T1547" s="53"/>
      <c r="U1547" s="53"/>
      <c r="V1547" s="53"/>
    </row>
    <row r="1548">
      <c r="A1548" s="83"/>
      <c r="B1548" s="53"/>
      <c r="C1548" s="53"/>
      <c r="D1548" s="53"/>
      <c r="E1548" s="240"/>
      <c r="F1548" s="241"/>
      <c r="G1548" s="53"/>
      <c r="H1548" s="53"/>
      <c r="I1548" s="53"/>
      <c r="J1548" s="53"/>
      <c r="K1548" s="53"/>
      <c r="L1548" s="53"/>
      <c r="M1548" s="53"/>
      <c r="N1548" s="53"/>
      <c r="O1548" s="53"/>
      <c r="P1548" s="53"/>
      <c r="Q1548" s="53"/>
      <c r="R1548" s="53"/>
      <c r="S1548" s="53"/>
      <c r="T1548" s="53"/>
      <c r="U1548" s="53"/>
      <c r="V1548" s="53"/>
    </row>
    <row r="1549">
      <c r="A1549" s="83"/>
      <c r="B1549" s="53"/>
      <c r="C1549" s="53"/>
      <c r="D1549" s="53"/>
      <c r="E1549" s="240"/>
      <c r="F1549" s="241"/>
      <c r="G1549" s="53"/>
      <c r="H1549" s="53"/>
      <c r="I1549" s="53"/>
      <c r="J1549" s="53"/>
      <c r="K1549" s="53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</row>
    <row r="1550">
      <c r="A1550" s="83"/>
      <c r="B1550" s="53"/>
      <c r="C1550" s="53"/>
      <c r="D1550" s="53"/>
      <c r="E1550" s="240"/>
      <c r="F1550" s="241"/>
      <c r="G1550" s="53"/>
      <c r="H1550" s="53"/>
      <c r="I1550" s="53"/>
      <c r="J1550" s="53"/>
      <c r="K1550" s="53"/>
      <c r="L1550" s="53"/>
      <c r="M1550" s="53"/>
      <c r="N1550" s="53"/>
      <c r="O1550" s="53"/>
      <c r="P1550" s="53"/>
      <c r="Q1550" s="53"/>
      <c r="R1550" s="53"/>
      <c r="S1550" s="53"/>
      <c r="T1550" s="53"/>
      <c r="U1550" s="53"/>
      <c r="V1550" s="53"/>
    </row>
    <row r="1551">
      <c r="A1551" s="83"/>
      <c r="B1551" s="53"/>
      <c r="C1551" s="53"/>
      <c r="D1551" s="53"/>
      <c r="E1551" s="240"/>
      <c r="F1551" s="241"/>
      <c r="G1551" s="53"/>
      <c r="H1551" s="53"/>
      <c r="I1551" s="53"/>
      <c r="J1551" s="53"/>
      <c r="K1551" s="53"/>
      <c r="L1551" s="53"/>
      <c r="M1551" s="53"/>
      <c r="N1551" s="53"/>
      <c r="O1551" s="53"/>
      <c r="P1551" s="53"/>
      <c r="Q1551" s="53"/>
      <c r="R1551" s="53"/>
      <c r="S1551" s="53"/>
      <c r="T1551" s="53"/>
      <c r="U1551" s="53"/>
      <c r="V1551" s="53"/>
    </row>
    <row r="1552">
      <c r="A1552" s="83"/>
      <c r="B1552" s="53"/>
      <c r="C1552" s="53"/>
      <c r="D1552" s="53"/>
      <c r="E1552" s="240"/>
      <c r="F1552" s="241"/>
      <c r="G1552" s="53"/>
      <c r="H1552" s="53"/>
      <c r="I1552" s="53"/>
      <c r="J1552" s="53"/>
      <c r="K1552" s="53"/>
      <c r="L1552" s="53"/>
      <c r="M1552" s="53"/>
      <c r="N1552" s="53"/>
      <c r="O1552" s="53"/>
      <c r="P1552" s="53"/>
      <c r="Q1552" s="53"/>
      <c r="R1552" s="53"/>
      <c r="S1552" s="53"/>
      <c r="T1552" s="53"/>
      <c r="U1552" s="53"/>
      <c r="V1552" s="53"/>
    </row>
    <row r="1553">
      <c r="A1553" s="83"/>
      <c r="B1553" s="53"/>
      <c r="C1553" s="53"/>
      <c r="D1553" s="53"/>
      <c r="E1553" s="240"/>
      <c r="F1553" s="241"/>
      <c r="G1553" s="53"/>
      <c r="H1553" s="53"/>
      <c r="I1553" s="53"/>
      <c r="J1553" s="53"/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</row>
    <row r="1554">
      <c r="A1554" s="83"/>
      <c r="B1554" s="53"/>
      <c r="C1554" s="53"/>
      <c r="D1554" s="53"/>
      <c r="E1554" s="240"/>
      <c r="F1554" s="241"/>
      <c r="G1554" s="53"/>
      <c r="H1554" s="53"/>
      <c r="I1554" s="53"/>
      <c r="J1554" s="53"/>
      <c r="K1554" s="53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</row>
    <row r="1555">
      <c r="A1555" s="83"/>
      <c r="B1555" s="53"/>
      <c r="C1555" s="53"/>
      <c r="D1555" s="53"/>
      <c r="E1555" s="240"/>
      <c r="F1555" s="241"/>
      <c r="G1555" s="53"/>
      <c r="H1555" s="53"/>
      <c r="I1555" s="53"/>
      <c r="J1555" s="53"/>
      <c r="K1555" s="53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</row>
    <row r="1556">
      <c r="A1556" s="83"/>
      <c r="B1556" s="53"/>
      <c r="C1556" s="53"/>
      <c r="D1556" s="53"/>
      <c r="E1556" s="240"/>
      <c r="F1556" s="241"/>
      <c r="G1556" s="53"/>
      <c r="H1556" s="53"/>
      <c r="I1556" s="53"/>
      <c r="J1556" s="53"/>
      <c r="K1556" s="53"/>
      <c r="L1556" s="53"/>
      <c r="M1556" s="53"/>
      <c r="N1556" s="53"/>
      <c r="O1556" s="53"/>
      <c r="P1556" s="53"/>
      <c r="Q1556" s="53"/>
      <c r="R1556" s="53"/>
      <c r="S1556" s="53"/>
      <c r="T1556" s="53"/>
      <c r="U1556" s="53"/>
      <c r="V1556" s="53"/>
    </row>
    <row r="1557">
      <c r="A1557" s="83"/>
      <c r="B1557" s="53"/>
      <c r="C1557" s="53"/>
      <c r="D1557" s="53"/>
      <c r="E1557" s="240"/>
      <c r="F1557" s="241"/>
      <c r="G1557" s="53"/>
      <c r="H1557" s="53"/>
      <c r="I1557" s="53"/>
      <c r="J1557" s="53"/>
      <c r="K1557" s="53"/>
      <c r="L1557" s="53"/>
      <c r="M1557" s="53"/>
      <c r="N1557" s="53"/>
      <c r="O1557" s="53"/>
      <c r="P1557" s="53"/>
      <c r="Q1557" s="53"/>
      <c r="R1557" s="53"/>
      <c r="S1557" s="53"/>
      <c r="T1557" s="53"/>
      <c r="U1557" s="53"/>
      <c r="V1557" s="53"/>
    </row>
    <row r="1558">
      <c r="A1558" s="83"/>
      <c r="B1558" s="53"/>
      <c r="C1558" s="53"/>
      <c r="D1558" s="53"/>
      <c r="E1558" s="240"/>
      <c r="F1558" s="241"/>
      <c r="G1558" s="53"/>
      <c r="H1558" s="53"/>
      <c r="I1558" s="53"/>
      <c r="J1558" s="53"/>
      <c r="K1558" s="53"/>
      <c r="L1558" s="53"/>
      <c r="M1558" s="53"/>
      <c r="N1558" s="53"/>
      <c r="O1558" s="53"/>
      <c r="P1558" s="53"/>
      <c r="Q1558" s="53"/>
      <c r="R1558" s="53"/>
      <c r="S1558" s="53"/>
      <c r="T1558" s="53"/>
      <c r="U1558" s="53"/>
      <c r="V1558" s="53"/>
    </row>
    <row r="1559">
      <c r="A1559" s="83"/>
      <c r="B1559" s="53"/>
      <c r="C1559" s="53"/>
      <c r="D1559" s="53"/>
      <c r="E1559" s="240"/>
      <c r="F1559" s="241"/>
      <c r="G1559" s="53"/>
      <c r="H1559" s="53"/>
      <c r="I1559" s="53"/>
      <c r="J1559" s="53"/>
      <c r="K1559" s="53"/>
      <c r="L1559" s="53"/>
      <c r="M1559" s="53"/>
      <c r="N1559" s="53"/>
      <c r="O1559" s="53"/>
      <c r="P1559" s="53"/>
      <c r="Q1559" s="53"/>
      <c r="R1559" s="53"/>
      <c r="S1559" s="53"/>
      <c r="T1559" s="53"/>
      <c r="U1559" s="53"/>
      <c r="V1559" s="53"/>
    </row>
    <row r="1560">
      <c r="A1560" s="83"/>
      <c r="B1560" s="53"/>
      <c r="C1560" s="53"/>
      <c r="D1560" s="53"/>
      <c r="E1560" s="240"/>
      <c r="F1560" s="241"/>
      <c r="G1560" s="53"/>
      <c r="H1560" s="53"/>
      <c r="I1560" s="53"/>
      <c r="J1560" s="53"/>
      <c r="K1560" s="53"/>
      <c r="L1560" s="53"/>
      <c r="M1560" s="53"/>
      <c r="N1560" s="53"/>
      <c r="O1560" s="53"/>
      <c r="P1560" s="53"/>
      <c r="Q1560" s="53"/>
      <c r="R1560" s="53"/>
      <c r="S1560" s="53"/>
      <c r="T1560" s="53"/>
      <c r="U1560" s="53"/>
      <c r="V1560" s="53"/>
    </row>
    <row r="1561">
      <c r="A1561" s="83"/>
      <c r="B1561" s="53"/>
      <c r="C1561" s="53"/>
      <c r="D1561" s="53"/>
      <c r="E1561" s="240"/>
      <c r="F1561" s="241"/>
      <c r="G1561" s="53"/>
      <c r="H1561" s="53"/>
      <c r="I1561" s="53"/>
      <c r="J1561" s="53"/>
      <c r="K1561" s="53"/>
      <c r="L1561" s="53"/>
      <c r="M1561" s="53"/>
      <c r="N1561" s="53"/>
      <c r="O1561" s="53"/>
      <c r="P1561" s="53"/>
      <c r="Q1561" s="53"/>
      <c r="R1561" s="53"/>
      <c r="S1561" s="53"/>
      <c r="T1561" s="53"/>
      <c r="U1561" s="53"/>
      <c r="V1561" s="53"/>
    </row>
    <row r="1562">
      <c r="A1562" s="83"/>
      <c r="B1562" s="53"/>
      <c r="C1562" s="53"/>
      <c r="D1562" s="53"/>
      <c r="E1562" s="240"/>
      <c r="F1562" s="241"/>
      <c r="G1562" s="53"/>
      <c r="H1562" s="53"/>
      <c r="I1562" s="53"/>
      <c r="J1562" s="53"/>
      <c r="K1562" s="53"/>
      <c r="L1562" s="53"/>
      <c r="M1562" s="53"/>
      <c r="N1562" s="53"/>
      <c r="O1562" s="53"/>
      <c r="P1562" s="53"/>
      <c r="Q1562" s="53"/>
      <c r="R1562" s="53"/>
      <c r="S1562" s="53"/>
      <c r="T1562" s="53"/>
      <c r="U1562" s="53"/>
      <c r="V1562" s="53"/>
    </row>
    <row r="1563">
      <c r="A1563" s="83"/>
      <c r="B1563" s="53"/>
      <c r="C1563" s="53"/>
      <c r="D1563" s="53"/>
      <c r="E1563" s="240"/>
      <c r="F1563" s="241"/>
      <c r="G1563" s="53"/>
      <c r="H1563" s="53"/>
      <c r="I1563" s="53"/>
      <c r="J1563" s="53"/>
      <c r="K1563" s="53"/>
      <c r="L1563" s="53"/>
      <c r="M1563" s="53"/>
      <c r="N1563" s="53"/>
      <c r="O1563" s="53"/>
      <c r="P1563" s="53"/>
      <c r="Q1563" s="53"/>
      <c r="R1563" s="53"/>
      <c r="S1563" s="53"/>
      <c r="T1563" s="53"/>
      <c r="U1563" s="53"/>
      <c r="V1563" s="53"/>
    </row>
    <row r="1564">
      <c r="A1564" s="83"/>
      <c r="B1564" s="53"/>
      <c r="C1564" s="53"/>
      <c r="D1564" s="53"/>
      <c r="E1564" s="240"/>
      <c r="F1564" s="241"/>
      <c r="G1564" s="53"/>
      <c r="H1564" s="53"/>
      <c r="I1564" s="53"/>
      <c r="J1564" s="53"/>
      <c r="K1564" s="53"/>
      <c r="L1564" s="53"/>
      <c r="M1564" s="53"/>
      <c r="N1564" s="53"/>
      <c r="O1564" s="53"/>
      <c r="P1564" s="53"/>
      <c r="Q1564" s="53"/>
      <c r="R1564" s="53"/>
      <c r="S1564" s="53"/>
      <c r="T1564" s="53"/>
      <c r="U1564" s="53"/>
      <c r="V1564" s="53"/>
    </row>
    <row r="1565">
      <c r="A1565" s="83"/>
      <c r="B1565" s="53"/>
      <c r="C1565" s="53"/>
      <c r="D1565" s="53"/>
      <c r="E1565" s="240"/>
      <c r="F1565" s="241"/>
      <c r="G1565" s="53"/>
      <c r="H1565" s="53"/>
      <c r="I1565" s="53"/>
      <c r="J1565" s="53"/>
      <c r="K1565" s="53"/>
      <c r="L1565" s="53"/>
      <c r="M1565" s="53"/>
      <c r="N1565" s="53"/>
      <c r="O1565" s="53"/>
      <c r="P1565" s="53"/>
      <c r="Q1565" s="53"/>
      <c r="R1565" s="53"/>
      <c r="S1565" s="53"/>
      <c r="T1565" s="53"/>
      <c r="U1565" s="53"/>
      <c r="V1565" s="53"/>
    </row>
    <row r="1566">
      <c r="A1566" s="83"/>
      <c r="B1566" s="53"/>
      <c r="C1566" s="53"/>
      <c r="D1566" s="53"/>
      <c r="E1566" s="240"/>
      <c r="F1566" s="241"/>
      <c r="G1566" s="53"/>
      <c r="H1566" s="53"/>
      <c r="I1566" s="53"/>
      <c r="J1566" s="53"/>
      <c r="K1566" s="53"/>
      <c r="L1566" s="53"/>
      <c r="M1566" s="53"/>
      <c r="N1566" s="53"/>
      <c r="O1566" s="53"/>
      <c r="P1566" s="53"/>
      <c r="Q1566" s="53"/>
      <c r="R1566" s="53"/>
      <c r="S1566" s="53"/>
      <c r="T1566" s="53"/>
      <c r="U1566" s="53"/>
      <c r="V1566" s="53"/>
    </row>
    <row r="1567">
      <c r="A1567" s="83"/>
      <c r="B1567" s="53"/>
      <c r="C1567" s="53"/>
      <c r="D1567" s="53"/>
      <c r="E1567" s="240"/>
      <c r="F1567" s="241"/>
      <c r="G1567" s="53"/>
      <c r="H1567" s="53"/>
      <c r="I1567" s="53"/>
      <c r="J1567" s="53"/>
      <c r="K1567" s="53"/>
      <c r="L1567" s="53"/>
      <c r="M1567" s="53"/>
      <c r="N1567" s="53"/>
      <c r="O1567" s="53"/>
      <c r="P1567" s="53"/>
      <c r="Q1567" s="53"/>
      <c r="R1567" s="53"/>
      <c r="S1567" s="53"/>
      <c r="T1567" s="53"/>
      <c r="U1567" s="53"/>
      <c r="V1567" s="53"/>
    </row>
    <row r="1568">
      <c r="A1568" s="83"/>
      <c r="B1568" s="53"/>
      <c r="C1568" s="53"/>
      <c r="D1568" s="53"/>
      <c r="E1568" s="240"/>
      <c r="F1568" s="241"/>
      <c r="G1568" s="53"/>
      <c r="H1568" s="53"/>
      <c r="I1568" s="53"/>
      <c r="J1568" s="53"/>
      <c r="K1568" s="53"/>
      <c r="L1568" s="53"/>
      <c r="M1568" s="53"/>
      <c r="N1568" s="53"/>
      <c r="O1568" s="53"/>
      <c r="P1568" s="53"/>
      <c r="Q1568" s="53"/>
      <c r="R1568" s="53"/>
      <c r="S1568" s="53"/>
      <c r="T1568" s="53"/>
      <c r="U1568" s="53"/>
      <c r="V1568" s="53"/>
    </row>
    <row r="1569">
      <c r="A1569" s="83"/>
      <c r="B1569" s="53"/>
      <c r="C1569" s="53"/>
      <c r="D1569" s="53"/>
      <c r="E1569" s="240"/>
      <c r="F1569" s="241"/>
      <c r="G1569" s="53"/>
      <c r="H1569" s="53"/>
      <c r="I1569" s="53"/>
      <c r="J1569" s="53"/>
      <c r="K1569" s="53"/>
      <c r="L1569" s="53"/>
      <c r="M1569" s="53"/>
      <c r="N1569" s="53"/>
      <c r="O1569" s="53"/>
      <c r="P1569" s="53"/>
      <c r="Q1569" s="53"/>
      <c r="R1569" s="53"/>
      <c r="S1569" s="53"/>
      <c r="T1569" s="53"/>
      <c r="U1569" s="53"/>
      <c r="V1569" s="53"/>
    </row>
    <row r="1570">
      <c r="A1570" s="83"/>
      <c r="B1570" s="53"/>
      <c r="C1570" s="53"/>
      <c r="D1570" s="53"/>
      <c r="E1570" s="240"/>
      <c r="F1570" s="241"/>
      <c r="G1570" s="53"/>
      <c r="H1570" s="53"/>
      <c r="I1570" s="53"/>
      <c r="J1570" s="53"/>
      <c r="K1570" s="53"/>
      <c r="L1570" s="53"/>
      <c r="M1570" s="53"/>
      <c r="N1570" s="53"/>
      <c r="O1570" s="53"/>
      <c r="P1570" s="53"/>
      <c r="Q1570" s="53"/>
      <c r="R1570" s="53"/>
      <c r="S1570" s="53"/>
      <c r="T1570" s="53"/>
      <c r="U1570" s="53"/>
      <c r="V1570" s="53"/>
    </row>
    <row r="1571">
      <c r="A1571" s="83"/>
      <c r="B1571" s="53"/>
      <c r="C1571" s="53"/>
      <c r="D1571" s="53"/>
      <c r="E1571" s="240"/>
      <c r="F1571" s="241"/>
      <c r="G1571" s="53"/>
      <c r="H1571" s="53"/>
      <c r="I1571" s="53"/>
      <c r="J1571" s="53"/>
      <c r="K1571" s="53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</row>
    <row r="1572">
      <c r="A1572" s="83"/>
      <c r="B1572" s="53"/>
      <c r="C1572" s="53"/>
      <c r="D1572" s="53"/>
      <c r="E1572" s="240"/>
      <c r="F1572" s="241"/>
      <c r="G1572" s="53"/>
      <c r="H1572" s="53"/>
      <c r="I1572" s="53"/>
      <c r="J1572" s="53"/>
      <c r="K1572" s="53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</row>
    <row r="1573">
      <c r="A1573" s="83"/>
      <c r="B1573" s="53"/>
      <c r="C1573" s="53"/>
      <c r="D1573" s="53"/>
      <c r="E1573" s="240"/>
      <c r="F1573" s="241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</row>
    <row r="1574">
      <c r="A1574" s="83"/>
      <c r="B1574" s="53"/>
      <c r="C1574" s="53"/>
      <c r="D1574" s="53"/>
      <c r="E1574" s="240"/>
      <c r="F1574" s="241"/>
      <c r="G1574" s="53"/>
      <c r="H1574" s="53"/>
      <c r="I1574" s="53"/>
      <c r="J1574" s="53"/>
      <c r="K1574" s="53"/>
      <c r="L1574" s="53"/>
      <c r="M1574" s="53"/>
      <c r="N1574" s="53"/>
      <c r="O1574" s="53"/>
      <c r="P1574" s="53"/>
      <c r="Q1574" s="53"/>
      <c r="R1574" s="53"/>
      <c r="S1574" s="53"/>
      <c r="T1574" s="53"/>
      <c r="U1574" s="53"/>
      <c r="V1574" s="53"/>
    </row>
    <row r="1575">
      <c r="A1575" s="83"/>
      <c r="B1575" s="53"/>
      <c r="C1575" s="53"/>
      <c r="D1575" s="53"/>
      <c r="E1575" s="240"/>
      <c r="F1575" s="241"/>
      <c r="G1575" s="53"/>
      <c r="H1575" s="53"/>
      <c r="I1575" s="53"/>
      <c r="J1575" s="53"/>
      <c r="K1575" s="53"/>
      <c r="L1575" s="53"/>
      <c r="M1575" s="53"/>
      <c r="N1575" s="53"/>
      <c r="O1575" s="53"/>
      <c r="P1575" s="53"/>
      <c r="Q1575" s="53"/>
      <c r="R1575" s="53"/>
      <c r="S1575" s="53"/>
      <c r="T1575" s="53"/>
      <c r="U1575" s="53"/>
      <c r="V1575" s="53"/>
    </row>
    <row r="1576">
      <c r="A1576" s="83"/>
      <c r="B1576" s="53"/>
      <c r="C1576" s="53"/>
      <c r="D1576" s="53"/>
      <c r="E1576" s="240"/>
      <c r="F1576" s="241"/>
      <c r="G1576" s="53"/>
      <c r="H1576" s="53"/>
      <c r="I1576" s="53"/>
      <c r="J1576" s="53"/>
      <c r="K1576" s="53"/>
      <c r="L1576" s="53"/>
      <c r="M1576" s="53"/>
      <c r="N1576" s="53"/>
      <c r="O1576" s="53"/>
      <c r="P1576" s="53"/>
      <c r="Q1576" s="53"/>
      <c r="R1576" s="53"/>
      <c r="S1576" s="53"/>
      <c r="T1576" s="53"/>
      <c r="U1576" s="53"/>
      <c r="V1576" s="53"/>
    </row>
    <row r="1577">
      <c r="A1577" s="83"/>
      <c r="B1577" s="53"/>
      <c r="C1577" s="53"/>
      <c r="D1577" s="53"/>
      <c r="E1577" s="240"/>
      <c r="F1577" s="241"/>
      <c r="G1577" s="53"/>
      <c r="H1577" s="53"/>
      <c r="I1577" s="53"/>
      <c r="J1577" s="53"/>
      <c r="K1577" s="53"/>
      <c r="L1577" s="53"/>
      <c r="M1577" s="53"/>
      <c r="N1577" s="53"/>
      <c r="O1577" s="53"/>
      <c r="P1577" s="53"/>
      <c r="Q1577" s="53"/>
      <c r="R1577" s="53"/>
      <c r="S1577" s="53"/>
      <c r="T1577" s="53"/>
      <c r="U1577" s="53"/>
      <c r="V1577" s="53"/>
    </row>
    <row r="1578">
      <c r="A1578" s="83"/>
      <c r="B1578" s="53"/>
      <c r="C1578" s="53"/>
      <c r="D1578" s="53"/>
      <c r="E1578" s="240"/>
      <c r="F1578" s="241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53"/>
      <c r="T1578" s="53"/>
      <c r="U1578" s="53"/>
      <c r="V1578" s="53"/>
    </row>
    <row r="1579">
      <c r="A1579" s="83"/>
      <c r="B1579" s="53"/>
      <c r="C1579" s="53"/>
      <c r="D1579" s="53"/>
      <c r="E1579" s="240"/>
      <c r="F1579" s="241"/>
      <c r="G1579" s="53"/>
      <c r="H1579" s="53"/>
      <c r="I1579" s="53"/>
      <c r="J1579" s="53"/>
      <c r="K1579" s="53"/>
      <c r="L1579" s="53"/>
      <c r="M1579" s="53"/>
      <c r="N1579" s="53"/>
      <c r="O1579" s="53"/>
      <c r="P1579" s="53"/>
      <c r="Q1579" s="53"/>
      <c r="R1579" s="53"/>
      <c r="S1579" s="53"/>
      <c r="T1579" s="53"/>
      <c r="U1579" s="53"/>
      <c r="V1579" s="53"/>
    </row>
    <row r="1580">
      <c r="A1580" s="83"/>
      <c r="B1580" s="53"/>
      <c r="C1580" s="53"/>
      <c r="D1580" s="53"/>
      <c r="E1580" s="240"/>
      <c r="F1580" s="241"/>
      <c r="G1580" s="53"/>
      <c r="H1580" s="53"/>
      <c r="I1580" s="53"/>
      <c r="J1580" s="53"/>
      <c r="K1580" s="53"/>
      <c r="L1580" s="53"/>
      <c r="M1580" s="53"/>
      <c r="N1580" s="53"/>
      <c r="O1580" s="53"/>
      <c r="P1580" s="53"/>
      <c r="Q1580" s="53"/>
      <c r="R1580" s="53"/>
      <c r="S1580" s="53"/>
      <c r="T1580" s="53"/>
      <c r="U1580" s="53"/>
      <c r="V1580" s="53"/>
    </row>
    <row r="1581">
      <c r="A1581" s="83"/>
      <c r="B1581" s="53"/>
      <c r="C1581" s="53"/>
      <c r="D1581" s="53"/>
      <c r="E1581" s="240"/>
      <c r="F1581" s="241"/>
      <c r="G1581" s="53"/>
      <c r="H1581" s="53"/>
      <c r="I1581" s="53"/>
      <c r="J1581" s="53"/>
      <c r="K1581" s="53"/>
      <c r="L1581" s="53"/>
      <c r="M1581" s="53"/>
      <c r="N1581" s="53"/>
      <c r="O1581" s="53"/>
      <c r="P1581" s="53"/>
      <c r="Q1581" s="53"/>
      <c r="R1581" s="53"/>
      <c r="S1581" s="53"/>
      <c r="T1581" s="53"/>
      <c r="U1581" s="53"/>
      <c r="V1581" s="53"/>
    </row>
    <row r="1582">
      <c r="A1582" s="83"/>
      <c r="B1582" s="53"/>
      <c r="C1582" s="53"/>
      <c r="D1582" s="53"/>
      <c r="E1582" s="240"/>
      <c r="F1582" s="241"/>
      <c r="G1582" s="53"/>
      <c r="H1582" s="53"/>
      <c r="I1582" s="53"/>
      <c r="J1582" s="53"/>
      <c r="K1582" s="53"/>
      <c r="L1582" s="53"/>
      <c r="M1582" s="53"/>
      <c r="N1582" s="53"/>
      <c r="O1582" s="53"/>
      <c r="P1582" s="53"/>
      <c r="Q1582" s="53"/>
      <c r="R1582" s="53"/>
      <c r="S1582" s="53"/>
      <c r="T1582" s="53"/>
      <c r="U1582" s="53"/>
      <c r="V1582" s="53"/>
    </row>
    <row r="1583">
      <c r="A1583" s="83"/>
      <c r="B1583" s="53"/>
      <c r="C1583" s="53"/>
      <c r="D1583" s="53"/>
      <c r="E1583" s="240"/>
      <c r="F1583" s="241"/>
      <c r="G1583" s="53"/>
      <c r="H1583" s="53"/>
      <c r="I1583" s="53"/>
      <c r="J1583" s="53"/>
      <c r="K1583" s="53"/>
      <c r="L1583" s="53"/>
      <c r="M1583" s="53"/>
      <c r="N1583" s="53"/>
      <c r="O1583" s="53"/>
      <c r="P1583" s="53"/>
      <c r="Q1583" s="53"/>
      <c r="R1583" s="53"/>
      <c r="S1583" s="53"/>
      <c r="T1583" s="53"/>
      <c r="U1583" s="53"/>
      <c r="V1583" s="53"/>
    </row>
    <row r="1584">
      <c r="A1584" s="83"/>
      <c r="B1584" s="53"/>
      <c r="C1584" s="53"/>
      <c r="D1584" s="53"/>
      <c r="E1584" s="240"/>
      <c r="F1584" s="241"/>
      <c r="G1584" s="53"/>
      <c r="H1584" s="53"/>
      <c r="I1584" s="53"/>
      <c r="J1584" s="53"/>
      <c r="K1584" s="53"/>
      <c r="L1584" s="53"/>
      <c r="M1584" s="53"/>
      <c r="N1584" s="53"/>
      <c r="O1584" s="53"/>
      <c r="P1584" s="53"/>
      <c r="Q1584" s="53"/>
      <c r="R1584" s="53"/>
      <c r="S1584" s="53"/>
      <c r="T1584" s="53"/>
      <c r="U1584" s="53"/>
      <c r="V1584" s="53"/>
    </row>
    <row r="1585">
      <c r="A1585" s="83"/>
      <c r="B1585" s="53"/>
      <c r="C1585" s="53"/>
      <c r="D1585" s="53"/>
      <c r="E1585" s="240"/>
      <c r="F1585" s="241"/>
      <c r="G1585" s="53"/>
      <c r="H1585" s="53"/>
      <c r="I1585" s="53"/>
      <c r="J1585" s="53"/>
      <c r="K1585" s="53"/>
      <c r="L1585" s="53"/>
      <c r="M1585" s="53"/>
      <c r="N1585" s="53"/>
      <c r="O1585" s="53"/>
      <c r="P1585" s="53"/>
      <c r="Q1585" s="53"/>
      <c r="R1585" s="53"/>
      <c r="S1585" s="53"/>
      <c r="T1585" s="53"/>
      <c r="U1585" s="53"/>
      <c r="V1585" s="53"/>
    </row>
    <row r="1586">
      <c r="A1586" s="83"/>
      <c r="B1586" s="53"/>
      <c r="C1586" s="53"/>
      <c r="D1586" s="53"/>
      <c r="E1586" s="240"/>
      <c r="F1586" s="241"/>
      <c r="G1586" s="53"/>
      <c r="H1586" s="53"/>
      <c r="I1586" s="53"/>
      <c r="J1586" s="53"/>
      <c r="K1586" s="53"/>
      <c r="L1586" s="53"/>
      <c r="M1586" s="53"/>
      <c r="N1586" s="53"/>
      <c r="O1586" s="53"/>
      <c r="P1586" s="53"/>
      <c r="Q1586" s="53"/>
      <c r="R1586" s="53"/>
      <c r="S1586" s="53"/>
      <c r="T1586" s="53"/>
      <c r="U1586" s="53"/>
      <c r="V1586" s="53"/>
    </row>
    <row r="1587">
      <c r="A1587" s="83"/>
      <c r="B1587" s="53"/>
      <c r="C1587" s="53"/>
      <c r="D1587" s="53"/>
      <c r="E1587" s="240"/>
      <c r="F1587" s="241"/>
      <c r="G1587" s="53"/>
      <c r="H1587" s="53"/>
      <c r="I1587" s="53"/>
      <c r="J1587" s="53"/>
      <c r="K1587" s="53"/>
      <c r="L1587" s="53"/>
      <c r="M1587" s="53"/>
      <c r="N1587" s="53"/>
      <c r="O1587" s="53"/>
      <c r="P1587" s="53"/>
      <c r="Q1587" s="53"/>
      <c r="R1587" s="53"/>
      <c r="S1587" s="53"/>
      <c r="T1587" s="53"/>
      <c r="U1587" s="53"/>
      <c r="V1587" s="53"/>
    </row>
    <row r="1588">
      <c r="A1588" s="83"/>
      <c r="B1588" s="53"/>
      <c r="C1588" s="53"/>
      <c r="D1588" s="53"/>
      <c r="E1588" s="240"/>
      <c r="F1588" s="241"/>
      <c r="G1588" s="53"/>
      <c r="H1588" s="53"/>
      <c r="I1588" s="53"/>
      <c r="J1588" s="53"/>
      <c r="K1588" s="53"/>
      <c r="L1588" s="53"/>
      <c r="M1588" s="53"/>
      <c r="N1588" s="53"/>
      <c r="O1588" s="53"/>
      <c r="P1588" s="53"/>
      <c r="Q1588" s="53"/>
      <c r="R1588" s="53"/>
      <c r="S1588" s="53"/>
      <c r="T1588" s="53"/>
      <c r="U1588" s="53"/>
      <c r="V1588" s="53"/>
    </row>
    <row r="1589">
      <c r="A1589" s="83"/>
      <c r="B1589" s="53"/>
      <c r="C1589" s="53"/>
      <c r="D1589" s="53"/>
      <c r="E1589" s="240"/>
      <c r="F1589" s="241"/>
      <c r="G1589" s="53"/>
      <c r="H1589" s="53"/>
      <c r="I1589" s="53"/>
      <c r="J1589" s="53"/>
      <c r="K1589" s="53"/>
      <c r="L1589" s="53"/>
      <c r="M1589" s="53"/>
      <c r="N1589" s="53"/>
      <c r="O1589" s="53"/>
      <c r="P1589" s="53"/>
      <c r="Q1589" s="53"/>
      <c r="R1589" s="53"/>
      <c r="S1589" s="53"/>
      <c r="T1589" s="53"/>
      <c r="U1589" s="53"/>
      <c r="V1589" s="53"/>
    </row>
    <row r="1590">
      <c r="A1590" s="83"/>
      <c r="B1590" s="53"/>
      <c r="C1590" s="53"/>
      <c r="D1590" s="53"/>
      <c r="E1590" s="240"/>
      <c r="F1590" s="241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  <c r="V1590" s="53"/>
    </row>
    <row r="1591">
      <c r="A1591" s="83"/>
      <c r="B1591" s="53"/>
      <c r="C1591" s="53"/>
      <c r="D1591" s="53"/>
      <c r="E1591" s="240"/>
      <c r="F1591" s="241"/>
      <c r="G1591" s="53"/>
      <c r="H1591" s="53"/>
      <c r="I1591" s="53"/>
      <c r="J1591" s="53"/>
      <c r="K1591" s="53"/>
      <c r="L1591" s="53"/>
      <c r="M1591" s="53"/>
      <c r="N1591" s="53"/>
      <c r="O1591" s="53"/>
      <c r="P1591" s="53"/>
      <c r="Q1591" s="53"/>
      <c r="R1591" s="53"/>
      <c r="S1591" s="53"/>
      <c r="T1591" s="53"/>
      <c r="U1591" s="53"/>
      <c r="V1591" s="53"/>
    </row>
    <row r="1592">
      <c r="A1592" s="83"/>
      <c r="B1592" s="53"/>
      <c r="C1592" s="53"/>
      <c r="D1592" s="53"/>
      <c r="E1592" s="240"/>
      <c r="F1592" s="241"/>
      <c r="G1592" s="53"/>
      <c r="H1592" s="53"/>
      <c r="I1592" s="53"/>
      <c r="J1592" s="53"/>
      <c r="K1592" s="53"/>
      <c r="L1592" s="53"/>
      <c r="M1592" s="53"/>
      <c r="N1592" s="53"/>
      <c r="O1592" s="53"/>
      <c r="P1592" s="53"/>
      <c r="Q1592" s="53"/>
      <c r="R1592" s="53"/>
      <c r="S1592" s="53"/>
      <c r="T1592" s="53"/>
      <c r="U1592" s="53"/>
      <c r="V1592" s="53"/>
    </row>
    <row r="1593">
      <c r="A1593" s="83"/>
      <c r="B1593" s="53"/>
      <c r="C1593" s="53"/>
      <c r="D1593" s="53"/>
      <c r="E1593" s="240"/>
      <c r="F1593" s="241"/>
      <c r="G1593" s="53"/>
      <c r="H1593" s="53"/>
      <c r="I1593" s="53"/>
      <c r="J1593" s="53"/>
      <c r="K1593" s="53"/>
      <c r="L1593" s="53"/>
      <c r="M1593" s="53"/>
      <c r="N1593" s="53"/>
      <c r="O1593" s="53"/>
      <c r="P1593" s="53"/>
      <c r="Q1593" s="53"/>
      <c r="R1593" s="53"/>
      <c r="S1593" s="53"/>
      <c r="T1593" s="53"/>
      <c r="U1593" s="53"/>
      <c r="V1593" s="53"/>
    </row>
    <row r="1594">
      <c r="A1594" s="83"/>
      <c r="B1594" s="53"/>
      <c r="C1594" s="53"/>
      <c r="D1594" s="53"/>
      <c r="E1594" s="240"/>
      <c r="F1594" s="241"/>
      <c r="G1594" s="53"/>
      <c r="H1594" s="53"/>
      <c r="I1594" s="53"/>
      <c r="J1594" s="53"/>
      <c r="K1594" s="53"/>
      <c r="L1594" s="53"/>
      <c r="M1594" s="53"/>
      <c r="N1594" s="53"/>
      <c r="O1594" s="53"/>
      <c r="P1594" s="53"/>
      <c r="Q1594" s="53"/>
      <c r="R1594" s="53"/>
      <c r="S1594" s="53"/>
      <c r="T1594" s="53"/>
      <c r="U1594" s="53"/>
      <c r="V1594" s="53"/>
    </row>
    <row r="1595">
      <c r="A1595" s="83"/>
      <c r="B1595" s="53"/>
      <c r="C1595" s="53"/>
      <c r="D1595" s="53"/>
      <c r="E1595" s="240"/>
      <c r="F1595" s="241"/>
      <c r="G1595" s="53"/>
      <c r="H1595" s="53"/>
      <c r="I1595" s="53"/>
      <c r="J1595" s="53"/>
      <c r="K1595" s="53"/>
      <c r="L1595" s="53"/>
      <c r="M1595" s="53"/>
      <c r="N1595" s="53"/>
      <c r="O1595" s="53"/>
      <c r="P1595" s="53"/>
      <c r="Q1595" s="53"/>
      <c r="R1595" s="53"/>
      <c r="S1595" s="53"/>
      <c r="T1595" s="53"/>
      <c r="U1595" s="53"/>
      <c r="V1595" s="53"/>
    </row>
    <row r="1596">
      <c r="A1596" s="83"/>
      <c r="B1596" s="53"/>
      <c r="C1596" s="53"/>
      <c r="D1596" s="53"/>
      <c r="E1596" s="240"/>
      <c r="F1596" s="241"/>
      <c r="G1596" s="53"/>
      <c r="H1596" s="53"/>
      <c r="I1596" s="53"/>
      <c r="J1596" s="53"/>
      <c r="K1596" s="53"/>
      <c r="L1596" s="53"/>
      <c r="M1596" s="53"/>
      <c r="N1596" s="53"/>
      <c r="O1596" s="53"/>
      <c r="P1596" s="53"/>
      <c r="Q1596" s="53"/>
      <c r="R1596" s="53"/>
      <c r="S1596" s="53"/>
      <c r="T1596" s="53"/>
      <c r="U1596" s="53"/>
      <c r="V1596" s="53"/>
    </row>
    <row r="1597">
      <c r="A1597" s="83"/>
      <c r="B1597" s="53"/>
      <c r="C1597" s="53"/>
      <c r="D1597" s="53"/>
      <c r="E1597" s="240"/>
      <c r="F1597" s="241"/>
      <c r="G1597" s="53"/>
      <c r="H1597" s="53"/>
      <c r="I1597" s="53"/>
      <c r="J1597" s="53"/>
      <c r="K1597" s="53"/>
      <c r="L1597" s="53"/>
      <c r="M1597" s="53"/>
      <c r="N1597" s="53"/>
      <c r="O1597" s="53"/>
      <c r="P1597" s="53"/>
      <c r="Q1597" s="53"/>
      <c r="R1597" s="53"/>
      <c r="S1597" s="53"/>
      <c r="T1597" s="53"/>
      <c r="U1597" s="53"/>
      <c r="V1597" s="53"/>
    </row>
    <row r="1598">
      <c r="A1598" s="83"/>
      <c r="B1598" s="53"/>
      <c r="C1598" s="53"/>
      <c r="D1598" s="53"/>
      <c r="E1598" s="240"/>
      <c r="F1598" s="241"/>
      <c r="G1598" s="53"/>
      <c r="H1598" s="53"/>
      <c r="I1598" s="53"/>
      <c r="J1598" s="53"/>
      <c r="K1598" s="53"/>
      <c r="L1598" s="53"/>
      <c r="M1598" s="53"/>
      <c r="N1598" s="53"/>
      <c r="O1598" s="53"/>
      <c r="P1598" s="53"/>
      <c r="Q1598" s="53"/>
      <c r="R1598" s="53"/>
      <c r="S1598" s="53"/>
      <c r="T1598" s="53"/>
      <c r="U1598" s="53"/>
      <c r="V1598" s="53"/>
    </row>
    <row r="1599">
      <c r="A1599" s="83"/>
      <c r="B1599" s="53"/>
      <c r="C1599" s="53"/>
      <c r="D1599" s="53"/>
      <c r="E1599" s="240"/>
      <c r="F1599" s="241"/>
      <c r="G1599" s="53"/>
      <c r="H1599" s="53"/>
      <c r="I1599" s="53"/>
      <c r="J1599" s="53"/>
      <c r="K1599" s="53"/>
      <c r="L1599" s="53"/>
      <c r="M1599" s="53"/>
      <c r="N1599" s="53"/>
      <c r="O1599" s="53"/>
      <c r="P1599" s="53"/>
      <c r="Q1599" s="53"/>
      <c r="R1599" s="53"/>
      <c r="S1599" s="53"/>
      <c r="T1599" s="53"/>
      <c r="U1599" s="53"/>
      <c r="V1599" s="53"/>
    </row>
    <row r="1600">
      <c r="A1600" s="83"/>
      <c r="B1600" s="53"/>
      <c r="C1600" s="53"/>
      <c r="D1600" s="53"/>
      <c r="E1600" s="240"/>
      <c r="F1600" s="241"/>
      <c r="G1600" s="53"/>
      <c r="H1600" s="53"/>
      <c r="I1600" s="53"/>
      <c r="J1600" s="53"/>
      <c r="K1600" s="53"/>
      <c r="L1600" s="53"/>
      <c r="M1600" s="53"/>
      <c r="N1600" s="53"/>
      <c r="O1600" s="53"/>
      <c r="P1600" s="53"/>
      <c r="Q1600" s="53"/>
      <c r="R1600" s="53"/>
      <c r="S1600" s="53"/>
      <c r="T1600" s="53"/>
      <c r="U1600" s="53"/>
      <c r="V1600" s="53"/>
    </row>
    <row r="1601">
      <c r="A1601" s="83"/>
      <c r="B1601" s="53"/>
      <c r="C1601" s="53"/>
      <c r="D1601" s="53"/>
      <c r="E1601" s="240"/>
      <c r="F1601" s="241"/>
      <c r="G1601" s="53"/>
      <c r="H1601" s="53"/>
      <c r="I1601" s="53"/>
      <c r="J1601" s="53"/>
      <c r="K1601" s="53"/>
      <c r="L1601" s="53"/>
      <c r="M1601" s="53"/>
      <c r="N1601" s="53"/>
      <c r="O1601" s="53"/>
      <c r="P1601" s="53"/>
      <c r="Q1601" s="53"/>
      <c r="R1601" s="53"/>
      <c r="S1601" s="53"/>
      <c r="T1601" s="53"/>
      <c r="U1601" s="53"/>
      <c r="V1601" s="53"/>
    </row>
    <row r="1602">
      <c r="A1602" s="83"/>
      <c r="B1602" s="53"/>
      <c r="C1602" s="53"/>
      <c r="D1602" s="53"/>
      <c r="E1602" s="240"/>
      <c r="F1602" s="241"/>
      <c r="G1602" s="53"/>
      <c r="H1602" s="53"/>
      <c r="I1602" s="53"/>
      <c r="J1602" s="53"/>
      <c r="K1602" s="53"/>
      <c r="L1602" s="53"/>
      <c r="M1602" s="53"/>
      <c r="N1602" s="53"/>
      <c r="O1602" s="53"/>
      <c r="P1602" s="53"/>
      <c r="Q1602" s="53"/>
      <c r="R1602" s="53"/>
      <c r="S1602" s="53"/>
      <c r="T1602" s="53"/>
      <c r="U1602" s="53"/>
      <c r="V1602" s="53"/>
    </row>
    <row r="1603">
      <c r="A1603" s="83"/>
      <c r="B1603" s="53"/>
      <c r="C1603" s="53"/>
      <c r="D1603" s="53"/>
      <c r="E1603" s="240"/>
      <c r="F1603" s="241"/>
      <c r="G1603" s="53"/>
      <c r="H1603" s="53"/>
      <c r="I1603" s="53"/>
      <c r="J1603" s="53"/>
      <c r="K1603" s="53"/>
      <c r="L1603" s="53"/>
      <c r="M1603" s="53"/>
      <c r="N1603" s="53"/>
      <c r="O1603" s="53"/>
      <c r="P1603" s="53"/>
      <c r="Q1603" s="53"/>
      <c r="R1603" s="53"/>
      <c r="S1603" s="53"/>
      <c r="T1603" s="53"/>
      <c r="U1603" s="53"/>
      <c r="V1603" s="53"/>
    </row>
    <row r="1604">
      <c r="A1604" s="83"/>
      <c r="B1604" s="53"/>
      <c r="C1604" s="53"/>
      <c r="D1604" s="53"/>
      <c r="E1604" s="240"/>
      <c r="F1604" s="241"/>
      <c r="G1604" s="53"/>
      <c r="H1604" s="53"/>
      <c r="I1604" s="53"/>
      <c r="J1604" s="53"/>
      <c r="K1604" s="53"/>
      <c r="L1604" s="53"/>
      <c r="M1604" s="53"/>
      <c r="N1604" s="53"/>
      <c r="O1604" s="53"/>
      <c r="P1604" s="53"/>
      <c r="Q1604" s="53"/>
      <c r="R1604" s="53"/>
      <c r="S1604" s="53"/>
      <c r="T1604" s="53"/>
      <c r="U1604" s="53"/>
      <c r="V1604" s="53"/>
    </row>
    <row r="1605">
      <c r="A1605" s="83"/>
      <c r="B1605" s="53"/>
      <c r="C1605" s="53"/>
      <c r="D1605" s="53"/>
      <c r="E1605" s="240"/>
      <c r="F1605" s="241"/>
      <c r="G1605" s="53"/>
      <c r="H1605" s="53"/>
      <c r="I1605" s="53"/>
      <c r="J1605" s="53"/>
      <c r="K1605" s="53"/>
      <c r="L1605" s="53"/>
      <c r="M1605" s="53"/>
      <c r="N1605" s="53"/>
      <c r="O1605" s="53"/>
      <c r="P1605" s="53"/>
      <c r="Q1605" s="53"/>
      <c r="R1605" s="53"/>
      <c r="S1605" s="53"/>
      <c r="T1605" s="53"/>
      <c r="U1605" s="53"/>
      <c r="V1605" s="53"/>
    </row>
    <row r="1606">
      <c r="A1606" s="83"/>
      <c r="B1606" s="53"/>
      <c r="C1606" s="53"/>
      <c r="D1606" s="53"/>
      <c r="E1606" s="240"/>
      <c r="F1606" s="241"/>
      <c r="G1606" s="53"/>
      <c r="H1606" s="53"/>
      <c r="I1606" s="53"/>
      <c r="J1606" s="53"/>
      <c r="K1606" s="53"/>
      <c r="L1606" s="53"/>
      <c r="M1606" s="53"/>
      <c r="N1606" s="53"/>
      <c r="O1606" s="53"/>
      <c r="P1606" s="53"/>
      <c r="Q1606" s="53"/>
      <c r="R1606" s="53"/>
      <c r="S1606" s="53"/>
      <c r="T1606" s="53"/>
      <c r="U1606" s="53"/>
      <c r="V1606" s="53"/>
    </row>
    <row r="1607">
      <c r="A1607" s="83"/>
      <c r="B1607" s="53"/>
      <c r="C1607" s="53"/>
      <c r="D1607" s="53"/>
      <c r="E1607" s="240"/>
      <c r="F1607" s="241"/>
      <c r="G1607" s="53"/>
      <c r="H1607" s="53"/>
      <c r="I1607" s="53"/>
      <c r="J1607" s="53"/>
      <c r="K1607" s="53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</row>
    <row r="1608">
      <c r="A1608" s="83"/>
      <c r="B1608" s="53"/>
      <c r="C1608" s="53"/>
      <c r="D1608" s="53"/>
      <c r="E1608" s="240"/>
      <c r="F1608" s="241"/>
      <c r="G1608" s="53"/>
      <c r="H1608" s="53"/>
      <c r="I1608" s="53"/>
      <c r="J1608" s="53"/>
      <c r="K1608" s="53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</row>
    <row r="1609">
      <c r="A1609" s="83"/>
      <c r="B1609" s="53"/>
      <c r="C1609" s="53"/>
      <c r="D1609" s="53"/>
      <c r="E1609" s="240"/>
      <c r="F1609" s="241"/>
      <c r="G1609" s="53"/>
      <c r="H1609" s="53"/>
      <c r="I1609" s="53"/>
      <c r="J1609" s="53"/>
      <c r="K1609" s="53"/>
      <c r="L1609" s="53"/>
      <c r="M1609" s="53"/>
      <c r="N1609" s="53"/>
      <c r="O1609" s="53"/>
      <c r="P1609" s="53"/>
      <c r="Q1609" s="53"/>
      <c r="R1609" s="53"/>
      <c r="S1609" s="53"/>
      <c r="T1609" s="53"/>
      <c r="U1609" s="53"/>
      <c r="V1609" s="53"/>
    </row>
    <row r="1610">
      <c r="A1610" s="83"/>
      <c r="B1610" s="53"/>
      <c r="C1610" s="53"/>
      <c r="D1610" s="53"/>
      <c r="E1610" s="240"/>
      <c r="F1610" s="241"/>
      <c r="G1610" s="53"/>
      <c r="H1610" s="53"/>
      <c r="I1610" s="53"/>
      <c r="J1610" s="53"/>
      <c r="K1610" s="53"/>
      <c r="L1610" s="53"/>
      <c r="M1610" s="53"/>
      <c r="N1610" s="53"/>
      <c r="O1610" s="53"/>
      <c r="P1610" s="53"/>
      <c r="Q1610" s="53"/>
      <c r="R1610" s="53"/>
      <c r="S1610" s="53"/>
      <c r="T1610" s="53"/>
      <c r="U1610" s="53"/>
      <c r="V1610" s="53"/>
    </row>
    <row r="1611">
      <c r="A1611" s="83"/>
      <c r="B1611" s="53"/>
      <c r="C1611" s="53"/>
      <c r="D1611" s="53"/>
      <c r="E1611" s="240"/>
      <c r="F1611" s="241"/>
      <c r="G1611" s="53"/>
      <c r="H1611" s="53"/>
      <c r="I1611" s="53"/>
      <c r="J1611" s="53"/>
      <c r="K1611" s="53"/>
      <c r="L1611" s="53"/>
      <c r="M1611" s="53"/>
      <c r="N1611" s="53"/>
      <c r="O1611" s="53"/>
      <c r="P1611" s="53"/>
      <c r="Q1611" s="53"/>
      <c r="R1611" s="53"/>
      <c r="S1611" s="53"/>
      <c r="T1611" s="53"/>
      <c r="U1611" s="53"/>
      <c r="V1611" s="53"/>
    </row>
    <row r="1612">
      <c r="A1612" s="83"/>
      <c r="B1612" s="53"/>
      <c r="C1612" s="53"/>
      <c r="D1612" s="53"/>
      <c r="E1612" s="240"/>
      <c r="F1612" s="241"/>
      <c r="G1612" s="53"/>
      <c r="H1612" s="53"/>
      <c r="I1612" s="53"/>
      <c r="J1612" s="53"/>
      <c r="K1612" s="53"/>
      <c r="L1612" s="53"/>
      <c r="M1612" s="53"/>
      <c r="N1612" s="53"/>
      <c r="O1612" s="53"/>
      <c r="P1612" s="53"/>
      <c r="Q1612" s="53"/>
      <c r="R1612" s="53"/>
      <c r="S1612" s="53"/>
      <c r="T1612" s="53"/>
      <c r="U1612" s="53"/>
      <c r="V1612" s="53"/>
    </row>
    <row r="1613">
      <c r="A1613" s="83"/>
      <c r="B1613" s="53"/>
      <c r="C1613" s="53"/>
      <c r="D1613" s="53"/>
      <c r="E1613" s="240"/>
      <c r="F1613" s="241"/>
      <c r="G1613" s="53"/>
      <c r="H1613" s="53"/>
      <c r="I1613" s="53"/>
      <c r="J1613" s="53"/>
      <c r="K1613" s="53"/>
      <c r="L1613" s="53"/>
      <c r="M1613" s="53"/>
      <c r="N1613" s="53"/>
      <c r="O1613" s="53"/>
      <c r="P1613" s="53"/>
      <c r="Q1613" s="53"/>
      <c r="R1613" s="53"/>
      <c r="S1613" s="53"/>
      <c r="T1613" s="53"/>
      <c r="U1613" s="53"/>
      <c r="V1613" s="53"/>
    </row>
    <row r="1614">
      <c r="A1614" s="83"/>
      <c r="B1614" s="53"/>
      <c r="C1614" s="53"/>
      <c r="D1614" s="53"/>
      <c r="E1614" s="240"/>
      <c r="F1614" s="241"/>
      <c r="G1614" s="53"/>
      <c r="H1614" s="53"/>
      <c r="I1614" s="53"/>
      <c r="J1614" s="53"/>
      <c r="K1614" s="53"/>
      <c r="L1614" s="53"/>
      <c r="M1614" s="53"/>
      <c r="N1614" s="53"/>
      <c r="O1614" s="53"/>
      <c r="P1614" s="53"/>
      <c r="Q1614" s="53"/>
      <c r="R1614" s="53"/>
      <c r="S1614" s="53"/>
      <c r="T1614" s="53"/>
      <c r="U1614" s="53"/>
      <c r="V1614" s="53"/>
    </row>
    <row r="1615">
      <c r="A1615" s="83"/>
      <c r="B1615" s="53"/>
      <c r="C1615" s="53"/>
      <c r="D1615" s="53"/>
      <c r="E1615" s="240"/>
      <c r="F1615" s="241"/>
      <c r="G1615" s="53"/>
      <c r="H1615" s="53"/>
      <c r="I1615" s="53"/>
      <c r="J1615" s="53"/>
      <c r="K1615" s="53"/>
      <c r="L1615" s="53"/>
      <c r="M1615" s="53"/>
      <c r="N1615" s="53"/>
      <c r="O1615" s="53"/>
      <c r="P1615" s="53"/>
      <c r="Q1615" s="53"/>
      <c r="R1615" s="53"/>
      <c r="S1615" s="53"/>
      <c r="T1615" s="53"/>
      <c r="U1615" s="53"/>
      <c r="V1615" s="53"/>
    </row>
    <row r="1616">
      <c r="A1616" s="83"/>
      <c r="B1616" s="53"/>
      <c r="C1616" s="53"/>
      <c r="D1616" s="53"/>
      <c r="E1616" s="240"/>
      <c r="F1616" s="241"/>
      <c r="G1616" s="53"/>
      <c r="H1616" s="53"/>
      <c r="I1616" s="53"/>
      <c r="J1616" s="53"/>
      <c r="K1616" s="53"/>
      <c r="L1616" s="53"/>
      <c r="M1616" s="53"/>
      <c r="N1616" s="53"/>
      <c r="O1616" s="53"/>
      <c r="P1616" s="53"/>
      <c r="Q1616" s="53"/>
      <c r="R1616" s="53"/>
      <c r="S1616" s="53"/>
      <c r="T1616" s="53"/>
      <c r="U1616" s="53"/>
      <c r="V1616" s="53"/>
    </row>
    <row r="1617">
      <c r="A1617" s="83"/>
      <c r="B1617" s="53"/>
      <c r="C1617" s="53"/>
      <c r="D1617" s="53"/>
      <c r="E1617" s="240"/>
      <c r="F1617" s="241"/>
      <c r="G1617" s="53"/>
      <c r="H1617" s="53"/>
      <c r="I1617" s="53"/>
      <c r="J1617" s="53"/>
      <c r="K1617" s="53"/>
      <c r="L1617" s="53"/>
      <c r="M1617" s="53"/>
      <c r="N1617" s="53"/>
      <c r="O1617" s="53"/>
      <c r="P1617" s="53"/>
      <c r="Q1617" s="53"/>
      <c r="R1617" s="53"/>
      <c r="S1617" s="53"/>
      <c r="T1617" s="53"/>
      <c r="U1617" s="53"/>
      <c r="V1617" s="53"/>
    </row>
    <row r="1618">
      <c r="A1618" s="83"/>
      <c r="B1618" s="53"/>
      <c r="C1618" s="53"/>
      <c r="D1618" s="53"/>
      <c r="E1618" s="240"/>
      <c r="F1618" s="241"/>
      <c r="G1618" s="53"/>
      <c r="H1618" s="53"/>
      <c r="I1618" s="53"/>
      <c r="J1618" s="53"/>
      <c r="K1618" s="53"/>
      <c r="L1618" s="53"/>
      <c r="M1618" s="53"/>
      <c r="N1618" s="53"/>
      <c r="O1618" s="53"/>
      <c r="P1618" s="53"/>
      <c r="Q1618" s="53"/>
      <c r="R1618" s="53"/>
      <c r="S1618" s="53"/>
      <c r="T1618" s="53"/>
      <c r="U1618" s="53"/>
      <c r="V1618" s="53"/>
    </row>
    <row r="1619">
      <c r="A1619" s="83"/>
      <c r="B1619" s="53"/>
      <c r="C1619" s="53"/>
      <c r="D1619" s="53"/>
      <c r="E1619" s="240"/>
      <c r="F1619" s="241"/>
      <c r="G1619" s="53"/>
      <c r="H1619" s="53"/>
      <c r="I1619" s="53"/>
      <c r="J1619" s="53"/>
      <c r="K1619" s="53"/>
      <c r="L1619" s="53"/>
      <c r="M1619" s="53"/>
      <c r="N1619" s="53"/>
      <c r="O1619" s="53"/>
      <c r="P1619" s="53"/>
      <c r="Q1619" s="53"/>
      <c r="R1619" s="53"/>
      <c r="S1619" s="53"/>
      <c r="T1619" s="53"/>
      <c r="U1619" s="53"/>
      <c r="V1619" s="53"/>
    </row>
    <row r="1620">
      <c r="A1620" s="83"/>
      <c r="B1620" s="53"/>
      <c r="C1620" s="53"/>
      <c r="D1620" s="53"/>
      <c r="E1620" s="240"/>
      <c r="F1620" s="241"/>
      <c r="G1620" s="53"/>
      <c r="H1620" s="53"/>
      <c r="I1620" s="53"/>
      <c r="J1620" s="53"/>
      <c r="K1620" s="53"/>
      <c r="L1620" s="53"/>
      <c r="M1620" s="53"/>
      <c r="N1620" s="53"/>
      <c r="O1620" s="53"/>
      <c r="P1620" s="53"/>
      <c r="Q1620" s="53"/>
      <c r="R1620" s="53"/>
      <c r="S1620" s="53"/>
      <c r="T1620" s="53"/>
      <c r="U1620" s="53"/>
      <c r="V1620" s="53"/>
    </row>
    <row r="1621">
      <c r="A1621" s="83"/>
      <c r="B1621" s="53"/>
      <c r="C1621" s="53"/>
      <c r="D1621" s="53"/>
      <c r="E1621" s="240"/>
      <c r="F1621" s="241"/>
      <c r="G1621" s="53"/>
      <c r="H1621" s="53"/>
      <c r="I1621" s="53"/>
      <c r="J1621" s="53"/>
      <c r="K1621" s="53"/>
      <c r="L1621" s="53"/>
      <c r="M1621" s="53"/>
      <c r="N1621" s="53"/>
      <c r="O1621" s="53"/>
      <c r="P1621" s="53"/>
      <c r="Q1621" s="53"/>
      <c r="R1621" s="53"/>
      <c r="S1621" s="53"/>
      <c r="T1621" s="53"/>
      <c r="U1621" s="53"/>
      <c r="V1621" s="53"/>
    </row>
    <row r="1622">
      <c r="A1622" s="83"/>
      <c r="B1622" s="53"/>
      <c r="C1622" s="53"/>
      <c r="D1622" s="53"/>
      <c r="E1622" s="240"/>
      <c r="F1622" s="241"/>
      <c r="G1622" s="53"/>
      <c r="H1622" s="53"/>
      <c r="I1622" s="53"/>
      <c r="J1622" s="53"/>
      <c r="K1622" s="53"/>
      <c r="L1622" s="53"/>
      <c r="M1622" s="53"/>
      <c r="N1622" s="53"/>
      <c r="O1622" s="53"/>
      <c r="P1622" s="53"/>
      <c r="Q1622" s="53"/>
      <c r="R1622" s="53"/>
      <c r="S1622" s="53"/>
      <c r="T1622" s="53"/>
      <c r="U1622" s="53"/>
      <c r="V1622" s="53"/>
    </row>
    <row r="1623">
      <c r="A1623" s="83"/>
      <c r="B1623" s="53"/>
      <c r="C1623" s="53"/>
      <c r="D1623" s="53"/>
      <c r="E1623" s="240"/>
      <c r="F1623" s="241"/>
      <c r="G1623" s="53"/>
      <c r="H1623" s="53"/>
      <c r="I1623" s="53"/>
      <c r="J1623" s="53"/>
      <c r="K1623" s="53"/>
      <c r="L1623" s="53"/>
      <c r="M1623" s="53"/>
      <c r="N1623" s="53"/>
      <c r="O1623" s="53"/>
      <c r="P1623" s="53"/>
      <c r="Q1623" s="53"/>
      <c r="R1623" s="53"/>
      <c r="S1623" s="53"/>
      <c r="T1623" s="53"/>
      <c r="U1623" s="53"/>
      <c r="V1623" s="53"/>
    </row>
    <row r="1624">
      <c r="A1624" s="83"/>
      <c r="B1624" s="53"/>
      <c r="C1624" s="53"/>
      <c r="D1624" s="53"/>
      <c r="E1624" s="240"/>
      <c r="F1624" s="241"/>
      <c r="G1624" s="53"/>
      <c r="H1624" s="53"/>
      <c r="I1624" s="53"/>
      <c r="J1624" s="53"/>
      <c r="K1624" s="53"/>
      <c r="L1624" s="53"/>
      <c r="M1624" s="53"/>
      <c r="N1624" s="53"/>
      <c r="O1624" s="53"/>
      <c r="P1624" s="53"/>
      <c r="Q1624" s="53"/>
      <c r="R1624" s="53"/>
      <c r="S1624" s="53"/>
      <c r="T1624" s="53"/>
      <c r="U1624" s="53"/>
      <c r="V1624" s="53"/>
    </row>
    <row r="1625">
      <c r="A1625" s="83"/>
      <c r="B1625" s="53"/>
      <c r="C1625" s="53"/>
      <c r="D1625" s="53"/>
      <c r="E1625" s="240"/>
      <c r="F1625" s="241"/>
      <c r="G1625" s="53"/>
      <c r="H1625" s="53"/>
      <c r="I1625" s="53"/>
      <c r="J1625" s="53"/>
      <c r="K1625" s="53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</row>
    <row r="1626">
      <c r="A1626" s="83"/>
      <c r="B1626" s="53"/>
      <c r="C1626" s="53"/>
      <c r="D1626" s="53"/>
      <c r="E1626" s="240"/>
      <c r="F1626" s="241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</row>
    <row r="1627">
      <c r="A1627" s="83"/>
      <c r="B1627" s="53"/>
      <c r="C1627" s="53"/>
      <c r="D1627" s="53"/>
      <c r="E1627" s="240"/>
      <c r="F1627" s="241"/>
      <c r="G1627" s="53"/>
      <c r="H1627" s="53"/>
      <c r="I1627" s="53"/>
      <c r="J1627" s="53"/>
      <c r="K1627" s="53"/>
      <c r="L1627" s="53"/>
      <c r="M1627" s="53"/>
      <c r="N1627" s="53"/>
      <c r="O1627" s="53"/>
      <c r="P1627" s="53"/>
      <c r="Q1627" s="53"/>
      <c r="R1627" s="53"/>
      <c r="S1627" s="53"/>
      <c r="T1627" s="53"/>
      <c r="U1627" s="53"/>
      <c r="V1627" s="53"/>
    </row>
    <row r="1628">
      <c r="A1628" s="83"/>
      <c r="B1628" s="53"/>
      <c r="C1628" s="53"/>
      <c r="D1628" s="53"/>
      <c r="E1628" s="240"/>
      <c r="F1628" s="241"/>
      <c r="G1628" s="53"/>
      <c r="H1628" s="53"/>
      <c r="I1628" s="53"/>
      <c r="J1628" s="53"/>
      <c r="K1628" s="53"/>
      <c r="L1628" s="53"/>
      <c r="M1628" s="53"/>
      <c r="N1628" s="53"/>
      <c r="O1628" s="53"/>
      <c r="P1628" s="53"/>
      <c r="Q1628" s="53"/>
      <c r="R1628" s="53"/>
      <c r="S1628" s="53"/>
      <c r="T1628" s="53"/>
      <c r="U1628" s="53"/>
      <c r="V1628" s="53"/>
    </row>
    <row r="1629">
      <c r="A1629" s="83"/>
      <c r="B1629" s="53"/>
      <c r="C1629" s="53"/>
      <c r="D1629" s="53"/>
      <c r="E1629" s="240"/>
      <c r="F1629" s="241"/>
      <c r="G1629" s="53"/>
      <c r="H1629" s="53"/>
      <c r="I1629" s="53"/>
      <c r="J1629" s="53"/>
      <c r="K1629" s="53"/>
      <c r="L1629" s="53"/>
      <c r="M1629" s="53"/>
      <c r="N1629" s="53"/>
      <c r="O1629" s="53"/>
      <c r="P1629" s="53"/>
      <c r="Q1629" s="53"/>
      <c r="R1629" s="53"/>
      <c r="S1629" s="53"/>
      <c r="T1629" s="53"/>
      <c r="U1629" s="53"/>
      <c r="V1629" s="53"/>
    </row>
    <row r="1630">
      <c r="A1630" s="83"/>
      <c r="B1630" s="53"/>
      <c r="C1630" s="53"/>
      <c r="D1630" s="53"/>
      <c r="E1630" s="240"/>
      <c r="F1630" s="241"/>
      <c r="G1630" s="53"/>
      <c r="H1630" s="53"/>
      <c r="I1630" s="53"/>
      <c r="J1630" s="53"/>
      <c r="K1630" s="53"/>
      <c r="L1630" s="53"/>
      <c r="M1630" s="53"/>
      <c r="N1630" s="53"/>
      <c r="O1630" s="53"/>
      <c r="P1630" s="53"/>
      <c r="Q1630" s="53"/>
      <c r="R1630" s="53"/>
      <c r="S1630" s="53"/>
      <c r="T1630" s="53"/>
      <c r="U1630" s="53"/>
      <c r="V1630" s="53"/>
    </row>
    <row r="1631">
      <c r="A1631" s="83"/>
      <c r="B1631" s="53"/>
      <c r="C1631" s="53"/>
      <c r="D1631" s="53"/>
      <c r="E1631" s="240"/>
      <c r="F1631" s="241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53"/>
      <c r="T1631" s="53"/>
      <c r="U1631" s="53"/>
      <c r="V1631" s="53"/>
    </row>
    <row r="1632">
      <c r="A1632" s="83"/>
      <c r="B1632" s="53"/>
      <c r="C1632" s="53"/>
      <c r="D1632" s="53"/>
      <c r="E1632" s="240"/>
      <c r="F1632" s="241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</row>
    <row r="1633">
      <c r="A1633" s="83"/>
      <c r="B1633" s="53"/>
      <c r="C1633" s="53"/>
      <c r="D1633" s="53"/>
      <c r="E1633" s="240"/>
      <c r="F1633" s="241"/>
      <c r="G1633" s="53"/>
      <c r="H1633" s="53"/>
      <c r="I1633" s="53"/>
      <c r="J1633" s="53"/>
      <c r="K1633" s="53"/>
      <c r="L1633" s="53"/>
      <c r="M1633" s="53"/>
      <c r="N1633" s="53"/>
      <c r="O1633" s="53"/>
      <c r="P1633" s="53"/>
      <c r="Q1633" s="53"/>
      <c r="R1633" s="53"/>
      <c r="S1633" s="53"/>
      <c r="T1633" s="53"/>
      <c r="U1633" s="53"/>
      <c r="V1633" s="53"/>
    </row>
    <row r="1634">
      <c r="A1634" s="83"/>
      <c r="B1634" s="53"/>
      <c r="C1634" s="53"/>
      <c r="D1634" s="53"/>
      <c r="E1634" s="240"/>
      <c r="F1634" s="241"/>
      <c r="G1634" s="53"/>
      <c r="H1634" s="53"/>
      <c r="I1634" s="53"/>
      <c r="J1634" s="53"/>
      <c r="K1634" s="53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</row>
    <row r="1635">
      <c r="A1635" s="83"/>
      <c r="B1635" s="53"/>
      <c r="C1635" s="53"/>
      <c r="D1635" s="53"/>
      <c r="E1635" s="240"/>
      <c r="F1635" s="241"/>
      <c r="G1635" s="53"/>
      <c r="H1635" s="53"/>
      <c r="I1635" s="53"/>
      <c r="J1635" s="53"/>
      <c r="K1635" s="53"/>
      <c r="L1635" s="53"/>
      <c r="M1635" s="53"/>
      <c r="N1635" s="53"/>
      <c r="O1635" s="53"/>
      <c r="P1635" s="53"/>
      <c r="Q1635" s="53"/>
      <c r="R1635" s="53"/>
      <c r="S1635" s="53"/>
      <c r="T1635" s="53"/>
      <c r="U1635" s="53"/>
      <c r="V1635" s="53"/>
    </row>
    <row r="1636">
      <c r="A1636" s="83"/>
      <c r="B1636" s="53"/>
      <c r="C1636" s="53"/>
      <c r="D1636" s="53"/>
      <c r="E1636" s="240"/>
      <c r="F1636" s="241"/>
      <c r="G1636" s="53"/>
      <c r="H1636" s="53"/>
      <c r="I1636" s="53"/>
      <c r="J1636" s="53"/>
      <c r="K1636" s="53"/>
      <c r="L1636" s="53"/>
      <c r="M1636" s="53"/>
      <c r="N1636" s="53"/>
      <c r="O1636" s="53"/>
      <c r="P1636" s="53"/>
      <c r="Q1636" s="53"/>
      <c r="R1636" s="53"/>
      <c r="S1636" s="53"/>
      <c r="T1636" s="53"/>
      <c r="U1636" s="53"/>
      <c r="V1636" s="53"/>
    </row>
    <row r="1637">
      <c r="A1637" s="83"/>
      <c r="B1637" s="53"/>
      <c r="C1637" s="53"/>
      <c r="D1637" s="53"/>
      <c r="E1637" s="240"/>
      <c r="F1637" s="241"/>
      <c r="G1637" s="53"/>
      <c r="H1637" s="53"/>
      <c r="I1637" s="53"/>
      <c r="J1637" s="53"/>
      <c r="K1637" s="53"/>
      <c r="L1637" s="53"/>
      <c r="M1637" s="53"/>
      <c r="N1637" s="53"/>
      <c r="O1637" s="53"/>
      <c r="P1637" s="53"/>
      <c r="Q1637" s="53"/>
      <c r="R1637" s="53"/>
      <c r="S1637" s="53"/>
      <c r="T1637" s="53"/>
      <c r="U1637" s="53"/>
      <c r="V1637" s="53"/>
    </row>
    <row r="1638">
      <c r="A1638" s="83"/>
      <c r="B1638" s="53"/>
      <c r="C1638" s="53"/>
      <c r="D1638" s="53"/>
      <c r="E1638" s="240"/>
      <c r="F1638" s="241"/>
      <c r="G1638" s="53"/>
      <c r="H1638" s="53"/>
      <c r="I1638" s="53"/>
      <c r="J1638" s="53"/>
      <c r="K1638" s="53"/>
      <c r="L1638" s="53"/>
      <c r="M1638" s="53"/>
      <c r="N1638" s="53"/>
      <c r="O1638" s="53"/>
      <c r="P1638" s="53"/>
      <c r="Q1638" s="53"/>
      <c r="R1638" s="53"/>
      <c r="S1638" s="53"/>
      <c r="T1638" s="53"/>
      <c r="U1638" s="53"/>
      <c r="V1638" s="53"/>
    </row>
    <row r="1639">
      <c r="A1639" s="83"/>
      <c r="B1639" s="53"/>
      <c r="C1639" s="53"/>
      <c r="D1639" s="53"/>
      <c r="E1639" s="240"/>
      <c r="F1639" s="241"/>
      <c r="G1639" s="53"/>
      <c r="H1639" s="53"/>
      <c r="I1639" s="53"/>
      <c r="J1639" s="53"/>
      <c r="K1639" s="53"/>
      <c r="L1639" s="53"/>
      <c r="M1639" s="53"/>
      <c r="N1639" s="53"/>
      <c r="O1639" s="53"/>
      <c r="P1639" s="53"/>
      <c r="Q1639" s="53"/>
      <c r="R1639" s="53"/>
      <c r="S1639" s="53"/>
      <c r="T1639" s="53"/>
      <c r="U1639" s="53"/>
      <c r="V1639" s="53"/>
    </row>
    <row r="1640">
      <c r="A1640" s="83"/>
      <c r="B1640" s="53"/>
      <c r="C1640" s="53"/>
      <c r="D1640" s="53"/>
      <c r="E1640" s="240"/>
      <c r="F1640" s="241"/>
      <c r="G1640" s="53"/>
      <c r="H1640" s="53"/>
      <c r="I1640" s="53"/>
      <c r="J1640" s="53"/>
      <c r="K1640" s="53"/>
      <c r="L1640" s="53"/>
      <c r="M1640" s="53"/>
      <c r="N1640" s="53"/>
      <c r="O1640" s="53"/>
      <c r="P1640" s="53"/>
      <c r="Q1640" s="53"/>
      <c r="R1640" s="53"/>
      <c r="S1640" s="53"/>
      <c r="T1640" s="53"/>
      <c r="U1640" s="53"/>
      <c r="V1640" s="53"/>
    </row>
    <row r="1641">
      <c r="A1641" s="83"/>
      <c r="B1641" s="53"/>
      <c r="C1641" s="53"/>
      <c r="D1641" s="53"/>
      <c r="E1641" s="240"/>
      <c r="F1641" s="241"/>
      <c r="G1641" s="53"/>
      <c r="H1641" s="53"/>
      <c r="I1641" s="53"/>
      <c r="J1641" s="53"/>
      <c r="K1641" s="53"/>
      <c r="L1641" s="53"/>
      <c r="M1641" s="53"/>
      <c r="N1641" s="53"/>
      <c r="O1641" s="53"/>
      <c r="P1641" s="53"/>
      <c r="Q1641" s="53"/>
      <c r="R1641" s="53"/>
      <c r="S1641" s="53"/>
      <c r="T1641" s="53"/>
      <c r="U1641" s="53"/>
      <c r="V1641" s="53"/>
    </row>
    <row r="1642">
      <c r="A1642" s="83"/>
      <c r="B1642" s="53"/>
      <c r="C1642" s="53"/>
      <c r="D1642" s="53"/>
      <c r="E1642" s="240"/>
      <c r="F1642" s="241"/>
      <c r="G1642" s="53"/>
      <c r="H1642" s="53"/>
      <c r="I1642" s="53"/>
      <c r="J1642" s="53"/>
      <c r="K1642" s="53"/>
      <c r="L1642" s="53"/>
      <c r="M1642" s="53"/>
      <c r="N1642" s="53"/>
      <c r="O1642" s="53"/>
      <c r="P1642" s="53"/>
      <c r="Q1642" s="53"/>
      <c r="R1642" s="53"/>
      <c r="S1642" s="53"/>
      <c r="T1642" s="53"/>
      <c r="U1642" s="53"/>
      <c r="V1642" s="53"/>
    </row>
    <row r="1643">
      <c r="A1643" s="83"/>
      <c r="B1643" s="53"/>
      <c r="C1643" s="53"/>
      <c r="D1643" s="53"/>
      <c r="E1643" s="240"/>
      <c r="F1643" s="241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</row>
    <row r="1644">
      <c r="A1644" s="83"/>
      <c r="B1644" s="53"/>
      <c r="C1644" s="53"/>
      <c r="D1644" s="53"/>
      <c r="E1644" s="240"/>
      <c r="F1644" s="241"/>
      <c r="G1644" s="53"/>
      <c r="H1644" s="53"/>
      <c r="I1644" s="53"/>
      <c r="J1644" s="53"/>
      <c r="K1644" s="53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</row>
    <row r="1645">
      <c r="A1645" s="83"/>
      <c r="B1645" s="53"/>
      <c r="C1645" s="53"/>
      <c r="D1645" s="53"/>
      <c r="E1645" s="240"/>
      <c r="F1645" s="241"/>
      <c r="G1645" s="53"/>
      <c r="H1645" s="53"/>
      <c r="I1645" s="53"/>
      <c r="J1645" s="53"/>
      <c r="K1645" s="53"/>
      <c r="L1645" s="53"/>
      <c r="M1645" s="53"/>
      <c r="N1645" s="53"/>
      <c r="O1645" s="53"/>
      <c r="P1645" s="53"/>
      <c r="Q1645" s="53"/>
      <c r="R1645" s="53"/>
      <c r="S1645" s="53"/>
      <c r="T1645" s="53"/>
      <c r="U1645" s="53"/>
      <c r="V1645" s="53"/>
    </row>
    <row r="1646">
      <c r="A1646" s="83"/>
      <c r="B1646" s="53"/>
      <c r="C1646" s="53"/>
      <c r="D1646" s="53"/>
      <c r="E1646" s="240"/>
      <c r="F1646" s="241"/>
      <c r="G1646" s="53"/>
      <c r="H1646" s="53"/>
      <c r="I1646" s="53"/>
      <c r="J1646" s="53"/>
      <c r="K1646" s="53"/>
      <c r="L1646" s="53"/>
      <c r="M1646" s="53"/>
      <c r="N1646" s="53"/>
      <c r="O1646" s="53"/>
      <c r="P1646" s="53"/>
      <c r="Q1646" s="53"/>
      <c r="R1646" s="53"/>
      <c r="S1646" s="53"/>
      <c r="T1646" s="53"/>
      <c r="U1646" s="53"/>
      <c r="V1646" s="53"/>
    </row>
    <row r="1647">
      <c r="A1647" s="83"/>
      <c r="B1647" s="53"/>
      <c r="C1647" s="53"/>
      <c r="D1647" s="53"/>
      <c r="E1647" s="240"/>
      <c r="F1647" s="241"/>
      <c r="G1647" s="53"/>
      <c r="H1647" s="53"/>
      <c r="I1647" s="53"/>
      <c r="J1647" s="53"/>
      <c r="K1647" s="53"/>
      <c r="L1647" s="53"/>
      <c r="M1647" s="53"/>
      <c r="N1647" s="53"/>
      <c r="O1647" s="53"/>
      <c r="P1647" s="53"/>
      <c r="Q1647" s="53"/>
      <c r="R1647" s="53"/>
      <c r="S1647" s="53"/>
      <c r="T1647" s="53"/>
      <c r="U1647" s="53"/>
      <c r="V1647" s="53"/>
    </row>
    <row r="1648">
      <c r="A1648" s="83"/>
      <c r="B1648" s="53"/>
      <c r="C1648" s="53"/>
      <c r="D1648" s="53"/>
      <c r="E1648" s="240"/>
      <c r="F1648" s="241"/>
      <c r="G1648" s="53"/>
      <c r="H1648" s="53"/>
      <c r="I1648" s="53"/>
      <c r="J1648" s="53"/>
      <c r="K1648" s="53"/>
      <c r="L1648" s="53"/>
      <c r="M1648" s="53"/>
      <c r="N1648" s="53"/>
      <c r="O1648" s="53"/>
      <c r="P1648" s="53"/>
      <c r="Q1648" s="53"/>
      <c r="R1648" s="53"/>
      <c r="S1648" s="53"/>
      <c r="T1648" s="53"/>
      <c r="U1648" s="53"/>
      <c r="V1648" s="53"/>
    </row>
    <row r="1649">
      <c r="A1649" s="83"/>
      <c r="B1649" s="53"/>
      <c r="C1649" s="53"/>
      <c r="D1649" s="53"/>
      <c r="E1649" s="240"/>
      <c r="F1649" s="241"/>
      <c r="G1649" s="53"/>
      <c r="H1649" s="53"/>
      <c r="I1649" s="53"/>
      <c r="J1649" s="53"/>
      <c r="K1649" s="53"/>
      <c r="L1649" s="53"/>
      <c r="M1649" s="53"/>
      <c r="N1649" s="53"/>
      <c r="O1649" s="53"/>
      <c r="P1649" s="53"/>
      <c r="Q1649" s="53"/>
      <c r="R1649" s="53"/>
      <c r="S1649" s="53"/>
      <c r="T1649" s="53"/>
      <c r="U1649" s="53"/>
      <c r="V1649" s="53"/>
    </row>
    <row r="1650">
      <c r="A1650" s="83"/>
      <c r="B1650" s="53"/>
      <c r="C1650" s="53"/>
      <c r="D1650" s="53"/>
      <c r="E1650" s="240"/>
      <c r="F1650" s="241"/>
      <c r="G1650" s="53"/>
      <c r="H1650" s="53"/>
      <c r="I1650" s="53"/>
      <c r="J1650" s="53"/>
      <c r="K1650" s="53"/>
      <c r="L1650" s="53"/>
      <c r="M1650" s="53"/>
      <c r="N1650" s="53"/>
      <c r="O1650" s="53"/>
      <c r="P1650" s="53"/>
      <c r="Q1650" s="53"/>
      <c r="R1650" s="53"/>
      <c r="S1650" s="53"/>
      <c r="T1650" s="53"/>
      <c r="U1650" s="53"/>
      <c r="V1650" s="53"/>
    </row>
    <row r="1651">
      <c r="A1651" s="83"/>
      <c r="B1651" s="53"/>
      <c r="C1651" s="53"/>
      <c r="D1651" s="53"/>
      <c r="E1651" s="240"/>
      <c r="F1651" s="241"/>
      <c r="G1651" s="53"/>
      <c r="H1651" s="53"/>
      <c r="I1651" s="53"/>
      <c r="J1651" s="53"/>
      <c r="K1651" s="53"/>
      <c r="L1651" s="53"/>
      <c r="M1651" s="53"/>
      <c r="N1651" s="53"/>
      <c r="O1651" s="53"/>
      <c r="P1651" s="53"/>
      <c r="Q1651" s="53"/>
      <c r="R1651" s="53"/>
      <c r="S1651" s="53"/>
      <c r="T1651" s="53"/>
      <c r="U1651" s="53"/>
      <c r="V1651" s="53"/>
    </row>
    <row r="1652">
      <c r="A1652" s="83"/>
      <c r="B1652" s="53"/>
      <c r="C1652" s="53"/>
      <c r="D1652" s="53"/>
      <c r="E1652" s="240"/>
      <c r="F1652" s="241"/>
      <c r="G1652" s="53"/>
      <c r="H1652" s="53"/>
      <c r="I1652" s="53"/>
      <c r="J1652" s="53"/>
      <c r="K1652" s="53"/>
      <c r="L1652" s="53"/>
      <c r="M1652" s="53"/>
      <c r="N1652" s="53"/>
      <c r="O1652" s="53"/>
      <c r="P1652" s="53"/>
      <c r="Q1652" s="53"/>
      <c r="R1652" s="53"/>
      <c r="S1652" s="53"/>
      <c r="T1652" s="53"/>
      <c r="U1652" s="53"/>
      <c r="V1652" s="53"/>
    </row>
    <row r="1653">
      <c r="A1653" s="83"/>
      <c r="B1653" s="53"/>
      <c r="C1653" s="53"/>
      <c r="D1653" s="53"/>
      <c r="E1653" s="240"/>
      <c r="F1653" s="241"/>
      <c r="G1653" s="53"/>
      <c r="H1653" s="53"/>
      <c r="I1653" s="53"/>
      <c r="J1653" s="53"/>
      <c r="K1653" s="53"/>
      <c r="L1653" s="53"/>
      <c r="M1653" s="53"/>
      <c r="N1653" s="53"/>
      <c r="O1653" s="53"/>
      <c r="P1653" s="53"/>
      <c r="Q1653" s="53"/>
      <c r="R1653" s="53"/>
      <c r="S1653" s="53"/>
      <c r="T1653" s="53"/>
      <c r="U1653" s="53"/>
      <c r="V1653" s="53"/>
    </row>
    <row r="1654">
      <c r="A1654" s="83"/>
      <c r="B1654" s="53"/>
      <c r="C1654" s="53"/>
      <c r="D1654" s="53"/>
      <c r="E1654" s="240"/>
      <c r="F1654" s="241"/>
      <c r="G1654" s="53"/>
      <c r="H1654" s="53"/>
      <c r="I1654" s="53"/>
      <c r="J1654" s="53"/>
      <c r="K1654" s="53"/>
      <c r="L1654" s="53"/>
      <c r="M1654" s="53"/>
      <c r="N1654" s="53"/>
      <c r="O1654" s="53"/>
      <c r="P1654" s="53"/>
      <c r="Q1654" s="53"/>
      <c r="R1654" s="53"/>
      <c r="S1654" s="53"/>
      <c r="T1654" s="53"/>
      <c r="U1654" s="53"/>
      <c r="V1654" s="53"/>
    </row>
    <row r="1655">
      <c r="A1655" s="83"/>
      <c r="B1655" s="53"/>
      <c r="C1655" s="53"/>
      <c r="D1655" s="53"/>
      <c r="E1655" s="240"/>
      <c r="F1655" s="241"/>
      <c r="G1655" s="53"/>
      <c r="H1655" s="53"/>
      <c r="I1655" s="53"/>
      <c r="J1655" s="53"/>
      <c r="K1655" s="53"/>
      <c r="L1655" s="53"/>
      <c r="M1655" s="53"/>
      <c r="N1655" s="53"/>
      <c r="O1655" s="53"/>
      <c r="P1655" s="53"/>
      <c r="Q1655" s="53"/>
      <c r="R1655" s="53"/>
      <c r="S1655" s="53"/>
      <c r="T1655" s="53"/>
      <c r="U1655" s="53"/>
      <c r="V1655" s="53"/>
    </row>
    <row r="1656">
      <c r="A1656" s="83"/>
      <c r="B1656" s="53"/>
      <c r="C1656" s="53"/>
      <c r="D1656" s="53"/>
      <c r="E1656" s="240"/>
      <c r="F1656" s="241"/>
      <c r="G1656" s="53"/>
      <c r="H1656" s="53"/>
      <c r="I1656" s="53"/>
      <c r="J1656" s="53"/>
      <c r="K1656" s="53"/>
      <c r="L1656" s="53"/>
      <c r="M1656" s="53"/>
      <c r="N1656" s="53"/>
      <c r="O1656" s="53"/>
      <c r="P1656" s="53"/>
      <c r="Q1656" s="53"/>
      <c r="R1656" s="53"/>
      <c r="S1656" s="53"/>
      <c r="T1656" s="53"/>
      <c r="U1656" s="53"/>
      <c r="V1656" s="53"/>
    </row>
    <row r="1657">
      <c r="A1657" s="83"/>
      <c r="B1657" s="53"/>
      <c r="C1657" s="53"/>
      <c r="D1657" s="53"/>
      <c r="E1657" s="240"/>
      <c r="F1657" s="241"/>
      <c r="G1657" s="53"/>
      <c r="H1657" s="53"/>
      <c r="I1657" s="53"/>
      <c r="J1657" s="53"/>
      <c r="K1657" s="53"/>
      <c r="L1657" s="53"/>
      <c r="M1657" s="53"/>
      <c r="N1657" s="53"/>
      <c r="O1657" s="53"/>
      <c r="P1657" s="53"/>
      <c r="Q1657" s="53"/>
      <c r="R1657" s="53"/>
      <c r="S1657" s="53"/>
      <c r="T1657" s="53"/>
      <c r="U1657" s="53"/>
      <c r="V1657" s="53"/>
    </row>
    <row r="1658">
      <c r="A1658" s="83"/>
      <c r="B1658" s="53"/>
      <c r="C1658" s="53"/>
      <c r="D1658" s="53"/>
      <c r="E1658" s="240"/>
      <c r="F1658" s="241"/>
      <c r="G1658" s="53"/>
      <c r="H1658" s="53"/>
      <c r="I1658" s="53"/>
      <c r="J1658" s="53"/>
      <c r="K1658" s="53"/>
      <c r="L1658" s="53"/>
      <c r="M1658" s="53"/>
      <c r="N1658" s="53"/>
      <c r="O1658" s="53"/>
      <c r="P1658" s="53"/>
      <c r="Q1658" s="53"/>
      <c r="R1658" s="53"/>
      <c r="S1658" s="53"/>
      <c r="T1658" s="53"/>
      <c r="U1658" s="53"/>
      <c r="V1658" s="53"/>
    </row>
    <row r="1659">
      <c r="A1659" s="83"/>
      <c r="B1659" s="53"/>
      <c r="C1659" s="53"/>
      <c r="D1659" s="53"/>
      <c r="E1659" s="240"/>
      <c r="F1659" s="241"/>
      <c r="G1659" s="53"/>
      <c r="H1659" s="53"/>
      <c r="I1659" s="53"/>
      <c r="J1659" s="53"/>
      <c r="K1659" s="53"/>
      <c r="L1659" s="53"/>
      <c r="M1659" s="53"/>
      <c r="N1659" s="53"/>
      <c r="O1659" s="53"/>
      <c r="P1659" s="53"/>
      <c r="Q1659" s="53"/>
      <c r="R1659" s="53"/>
      <c r="S1659" s="53"/>
      <c r="T1659" s="53"/>
      <c r="U1659" s="53"/>
      <c r="V1659" s="53"/>
    </row>
    <row r="1660">
      <c r="A1660" s="83"/>
      <c r="B1660" s="53"/>
      <c r="C1660" s="53"/>
      <c r="D1660" s="53"/>
      <c r="E1660" s="240"/>
      <c r="F1660" s="241"/>
      <c r="G1660" s="53"/>
      <c r="H1660" s="53"/>
      <c r="I1660" s="53"/>
      <c r="J1660" s="53"/>
      <c r="K1660" s="53"/>
      <c r="L1660" s="53"/>
      <c r="M1660" s="53"/>
      <c r="N1660" s="53"/>
      <c r="O1660" s="53"/>
      <c r="P1660" s="53"/>
      <c r="Q1660" s="53"/>
      <c r="R1660" s="53"/>
      <c r="S1660" s="53"/>
      <c r="T1660" s="53"/>
      <c r="U1660" s="53"/>
      <c r="V1660" s="53"/>
    </row>
    <row r="1661">
      <c r="A1661" s="83"/>
      <c r="B1661" s="53"/>
      <c r="C1661" s="53"/>
      <c r="D1661" s="53"/>
      <c r="E1661" s="240"/>
      <c r="F1661" s="241"/>
      <c r="G1661" s="53"/>
      <c r="H1661" s="53"/>
      <c r="I1661" s="53"/>
      <c r="J1661" s="53"/>
      <c r="K1661" s="53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</row>
    <row r="1662">
      <c r="A1662" s="83"/>
      <c r="B1662" s="53"/>
      <c r="C1662" s="53"/>
      <c r="D1662" s="53"/>
      <c r="E1662" s="240"/>
      <c r="F1662" s="241"/>
      <c r="G1662" s="53"/>
      <c r="H1662" s="53"/>
      <c r="I1662" s="53"/>
      <c r="J1662" s="53"/>
      <c r="K1662" s="53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</row>
    <row r="1663">
      <c r="A1663" s="83"/>
      <c r="B1663" s="53"/>
      <c r="C1663" s="53"/>
      <c r="D1663" s="53"/>
      <c r="E1663" s="240"/>
      <c r="F1663" s="241"/>
      <c r="G1663" s="53"/>
      <c r="H1663" s="53"/>
      <c r="I1663" s="53"/>
      <c r="J1663" s="53"/>
      <c r="K1663" s="53"/>
      <c r="L1663" s="53"/>
      <c r="M1663" s="53"/>
      <c r="N1663" s="53"/>
      <c r="O1663" s="53"/>
      <c r="P1663" s="53"/>
      <c r="Q1663" s="53"/>
      <c r="R1663" s="53"/>
      <c r="S1663" s="53"/>
      <c r="T1663" s="53"/>
      <c r="U1663" s="53"/>
      <c r="V1663" s="53"/>
    </row>
    <row r="1664">
      <c r="A1664" s="83"/>
      <c r="B1664" s="53"/>
      <c r="C1664" s="53"/>
      <c r="D1664" s="53"/>
      <c r="E1664" s="240"/>
      <c r="F1664" s="241"/>
      <c r="G1664" s="53"/>
      <c r="H1664" s="53"/>
      <c r="I1664" s="53"/>
      <c r="J1664" s="53"/>
      <c r="K1664" s="53"/>
      <c r="L1664" s="53"/>
      <c r="M1664" s="53"/>
      <c r="N1664" s="53"/>
      <c r="O1664" s="53"/>
      <c r="P1664" s="53"/>
      <c r="Q1664" s="53"/>
      <c r="R1664" s="53"/>
      <c r="S1664" s="53"/>
      <c r="T1664" s="53"/>
      <c r="U1664" s="53"/>
      <c r="V1664" s="53"/>
    </row>
    <row r="1665">
      <c r="A1665" s="83"/>
      <c r="B1665" s="53"/>
      <c r="C1665" s="53"/>
      <c r="D1665" s="53"/>
      <c r="E1665" s="240"/>
      <c r="F1665" s="241"/>
      <c r="G1665" s="53"/>
      <c r="H1665" s="53"/>
      <c r="I1665" s="53"/>
      <c r="J1665" s="53"/>
      <c r="K1665" s="53"/>
      <c r="L1665" s="53"/>
      <c r="M1665" s="53"/>
      <c r="N1665" s="53"/>
      <c r="O1665" s="53"/>
      <c r="P1665" s="53"/>
      <c r="Q1665" s="53"/>
      <c r="R1665" s="53"/>
      <c r="S1665" s="53"/>
      <c r="T1665" s="53"/>
      <c r="U1665" s="53"/>
      <c r="V1665" s="53"/>
    </row>
    <row r="1666">
      <c r="A1666" s="83"/>
      <c r="B1666" s="53"/>
      <c r="C1666" s="53"/>
      <c r="D1666" s="53"/>
      <c r="E1666" s="240"/>
      <c r="F1666" s="241"/>
      <c r="G1666" s="53"/>
      <c r="H1666" s="53"/>
      <c r="I1666" s="53"/>
      <c r="J1666" s="53"/>
      <c r="K1666" s="53"/>
      <c r="L1666" s="53"/>
      <c r="M1666" s="53"/>
      <c r="N1666" s="53"/>
      <c r="O1666" s="53"/>
      <c r="P1666" s="53"/>
      <c r="Q1666" s="53"/>
      <c r="R1666" s="53"/>
      <c r="S1666" s="53"/>
      <c r="T1666" s="53"/>
      <c r="U1666" s="53"/>
      <c r="V1666" s="53"/>
    </row>
    <row r="1667">
      <c r="A1667" s="83"/>
      <c r="B1667" s="53"/>
      <c r="C1667" s="53"/>
      <c r="D1667" s="53"/>
      <c r="E1667" s="240"/>
      <c r="F1667" s="241"/>
      <c r="G1667" s="53"/>
      <c r="H1667" s="53"/>
      <c r="I1667" s="53"/>
      <c r="J1667" s="53"/>
      <c r="K1667" s="53"/>
      <c r="L1667" s="53"/>
      <c r="M1667" s="53"/>
      <c r="N1667" s="53"/>
      <c r="O1667" s="53"/>
      <c r="P1667" s="53"/>
      <c r="Q1667" s="53"/>
      <c r="R1667" s="53"/>
      <c r="S1667" s="53"/>
      <c r="T1667" s="53"/>
      <c r="U1667" s="53"/>
      <c r="V1667" s="53"/>
    </row>
    <row r="1668">
      <c r="A1668" s="83"/>
      <c r="B1668" s="53"/>
      <c r="C1668" s="53"/>
      <c r="D1668" s="53"/>
      <c r="E1668" s="240"/>
      <c r="F1668" s="241"/>
      <c r="G1668" s="53"/>
      <c r="H1668" s="53"/>
      <c r="I1668" s="53"/>
      <c r="J1668" s="53"/>
      <c r="K1668" s="53"/>
      <c r="L1668" s="53"/>
      <c r="M1668" s="53"/>
      <c r="N1668" s="53"/>
      <c r="O1668" s="53"/>
      <c r="P1668" s="53"/>
      <c r="Q1668" s="53"/>
      <c r="R1668" s="53"/>
      <c r="S1668" s="53"/>
      <c r="T1668" s="53"/>
      <c r="U1668" s="53"/>
      <c r="V1668" s="53"/>
    </row>
    <row r="1669">
      <c r="A1669" s="83"/>
      <c r="B1669" s="53"/>
      <c r="C1669" s="53"/>
      <c r="D1669" s="53"/>
      <c r="E1669" s="240"/>
      <c r="F1669" s="241"/>
      <c r="G1669" s="53"/>
      <c r="H1669" s="53"/>
      <c r="I1669" s="53"/>
      <c r="J1669" s="53"/>
      <c r="K1669" s="53"/>
      <c r="L1669" s="53"/>
      <c r="M1669" s="53"/>
      <c r="N1669" s="53"/>
      <c r="O1669" s="53"/>
      <c r="P1669" s="53"/>
      <c r="Q1669" s="53"/>
      <c r="R1669" s="53"/>
      <c r="S1669" s="53"/>
      <c r="T1669" s="53"/>
      <c r="U1669" s="53"/>
      <c r="V1669" s="53"/>
    </row>
    <row r="1670">
      <c r="A1670" s="83"/>
      <c r="B1670" s="53"/>
      <c r="C1670" s="53"/>
      <c r="D1670" s="53"/>
      <c r="E1670" s="240"/>
      <c r="F1670" s="241"/>
      <c r="G1670" s="53"/>
      <c r="H1670" s="53"/>
      <c r="I1670" s="53"/>
      <c r="J1670" s="53"/>
      <c r="K1670" s="53"/>
      <c r="L1670" s="53"/>
      <c r="M1670" s="53"/>
      <c r="N1670" s="53"/>
      <c r="O1670" s="53"/>
      <c r="P1670" s="53"/>
      <c r="Q1670" s="53"/>
      <c r="R1670" s="53"/>
      <c r="S1670" s="53"/>
      <c r="T1670" s="53"/>
      <c r="U1670" s="53"/>
      <c r="V1670" s="53"/>
    </row>
    <row r="1671">
      <c r="A1671" s="83"/>
      <c r="B1671" s="53"/>
      <c r="C1671" s="53"/>
      <c r="D1671" s="53"/>
      <c r="E1671" s="240"/>
      <c r="F1671" s="241"/>
      <c r="G1671" s="53"/>
      <c r="H1671" s="53"/>
      <c r="I1671" s="53"/>
      <c r="J1671" s="53"/>
      <c r="K1671" s="53"/>
      <c r="L1671" s="53"/>
      <c r="M1671" s="53"/>
      <c r="N1671" s="53"/>
      <c r="O1671" s="53"/>
      <c r="P1671" s="53"/>
      <c r="Q1671" s="53"/>
      <c r="R1671" s="53"/>
      <c r="S1671" s="53"/>
      <c r="T1671" s="53"/>
      <c r="U1671" s="53"/>
      <c r="V1671" s="53"/>
    </row>
    <row r="1672">
      <c r="A1672" s="83"/>
      <c r="B1672" s="53"/>
      <c r="C1672" s="53"/>
      <c r="D1672" s="53"/>
      <c r="E1672" s="240"/>
      <c r="F1672" s="241"/>
      <c r="G1672" s="53"/>
      <c r="H1672" s="53"/>
      <c r="I1672" s="53"/>
      <c r="J1672" s="53"/>
      <c r="K1672" s="53"/>
      <c r="L1672" s="53"/>
      <c r="M1672" s="53"/>
      <c r="N1672" s="53"/>
      <c r="O1672" s="53"/>
      <c r="P1672" s="53"/>
      <c r="Q1672" s="53"/>
      <c r="R1672" s="53"/>
      <c r="S1672" s="53"/>
      <c r="T1672" s="53"/>
      <c r="U1672" s="53"/>
      <c r="V1672" s="53"/>
    </row>
    <row r="1673">
      <c r="A1673" s="83"/>
      <c r="B1673" s="53"/>
      <c r="C1673" s="53"/>
      <c r="D1673" s="53"/>
      <c r="E1673" s="240"/>
      <c r="F1673" s="241"/>
      <c r="G1673" s="53"/>
      <c r="H1673" s="53"/>
      <c r="I1673" s="53"/>
      <c r="J1673" s="53"/>
      <c r="K1673" s="53"/>
      <c r="L1673" s="53"/>
      <c r="M1673" s="53"/>
      <c r="N1673" s="53"/>
      <c r="O1673" s="53"/>
      <c r="P1673" s="53"/>
      <c r="Q1673" s="53"/>
      <c r="R1673" s="53"/>
      <c r="S1673" s="53"/>
      <c r="T1673" s="53"/>
      <c r="U1673" s="53"/>
      <c r="V1673" s="53"/>
    </row>
    <row r="1674">
      <c r="A1674" s="83"/>
      <c r="B1674" s="53"/>
      <c r="C1674" s="53"/>
      <c r="D1674" s="53"/>
      <c r="E1674" s="240"/>
      <c r="F1674" s="241"/>
      <c r="G1674" s="53"/>
      <c r="H1674" s="53"/>
      <c r="I1674" s="53"/>
      <c r="J1674" s="53"/>
      <c r="K1674" s="53"/>
      <c r="L1674" s="53"/>
      <c r="M1674" s="53"/>
      <c r="N1674" s="53"/>
      <c r="O1674" s="53"/>
      <c r="P1674" s="53"/>
      <c r="Q1674" s="53"/>
      <c r="R1674" s="53"/>
      <c r="S1674" s="53"/>
      <c r="T1674" s="53"/>
      <c r="U1674" s="53"/>
      <c r="V1674" s="53"/>
    </row>
    <row r="1675">
      <c r="A1675" s="83"/>
      <c r="B1675" s="53"/>
      <c r="C1675" s="53"/>
      <c r="D1675" s="53"/>
      <c r="E1675" s="240"/>
      <c r="F1675" s="241"/>
      <c r="G1675" s="53"/>
      <c r="H1675" s="53"/>
      <c r="I1675" s="53"/>
      <c r="J1675" s="53"/>
      <c r="K1675" s="53"/>
      <c r="L1675" s="53"/>
      <c r="M1675" s="53"/>
      <c r="N1675" s="53"/>
      <c r="O1675" s="53"/>
      <c r="P1675" s="53"/>
      <c r="Q1675" s="53"/>
      <c r="R1675" s="53"/>
      <c r="S1675" s="53"/>
      <c r="T1675" s="53"/>
      <c r="U1675" s="53"/>
      <c r="V1675" s="53"/>
    </row>
    <row r="1676">
      <c r="A1676" s="83"/>
      <c r="B1676" s="53"/>
      <c r="C1676" s="53"/>
      <c r="D1676" s="53"/>
      <c r="E1676" s="240"/>
      <c r="F1676" s="241"/>
      <c r="G1676" s="53"/>
      <c r="H1676" s="53"/>
      <c r="I1676" s="53"/>
      <c r="J1676" s="53"/>
      <c r="K1676" s="53"/>
      <c r="L1676" s="53"/>
      <c r="M1676" s="53"/>
      <c r="N1676" s="53"/>
      <c r="O1676" s="53"/>
      <c r="P1676" s="53"/>
      <c r="Q1676" s="53"/>
      <c r="R1676" s="53"/>
      <c r="S1676" s="53"/>
      <c r="T1676" s="53"/>
      <c r="U1676" s="53"/>
      <c r="V1676" s="53"/>
    </row>
    <row r="1677">
      <c r="A1677" s="83"/>
      <c r="B1677" s="53"/>
      <c r="C1677" s="53"/>
      <c r="D1677" s="53"/>
      <c r="E1677" s="240"/>
      <c r="F1677" s="241"/>
      <c r="G1677" s="53"/>
      <c r="H1677" s="53"/>
      <c r="I1677" s="53"/>
      <c r="J1677" s="53"/>
      <c r="K1677" s="53"/>
      <c r="L1677" s="53"/>
      <c r="M1677" s="53"/>
      <c r="N1677" s="53"/>
      <c r="O1677" s="53"/>
      <c r="P1677" s="53"/>
      <c r="Q1677" s="53"/>
      <c r="R1677" s="53"/>
      <c r="S1677" s="53"/>
      <c r="T1677" s="53"/>
      <c r="U1677" s="53"/>
      <c r="V1677" s="53"/>
    </row>
    <row r="1678">
      <c r="A1678" s="83"/>
      <c r="B1678" s="53"/>
      <c r="C1678" s="53"/>
      <c r="D1678" s="53"/>
      <c r="E1678" s="240"/>
      <c r="F1678" s="241"/>
      <c r="G1678" s="53"/>
      <c r="H1678" s="53"/>
      <c r="I1678" s="53"/>
      <c r="J1678" s="53"/>
      <c r="K1678" s="53"/>
      <c r="L1678" s="53"/>
      <c r="M1678" s="53"/>
      <c r="N1678" s="53"/>
      <c r="O1678" s="53"/>
      <c r="P1678" s="53"/>
      <c r="Q1678" s="53"/>
      <c r="R1678" s="53"/>
      <c r="S1678" s="53"/>
      <c r="T1678" s="53"/>
      <c r="U1678" s="53"/>
      <c r="V1678" s="53"/>
    </row>
    <row r="1679">
      <c r="A1679" s="83"/>
      <c r="B1679" s="53"/>
      <c r="C1679" s="53"/>
      <c r="D1679" s="53"/>
      <c r="E1679" s="240"/>
      <c r="F1679" s="241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</row>
    <row r="1680">
      <c r="A1680" s="83"/>
      <c r="B1680" s="53"/>
      <c r="C1680" s="53"/>
      <c r="D1680" s="53"/>
      <c r="E1680" s="240"/>
      <c r="F1680" s="241"/>
      <c r="G1680" s="53"/>
      <c r="H1680" s="53"/>
      <c r="I1680" s="53"/>
      <c r="J1680" s="53"/>
      <c r="K1680" s="53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</row>
    <row r="1681">
      <c r="A1681" s="83"/>
      <c r="B1681" s="53"/>
      <c r="C1681" s="53"/>
      <c r="D1681" s="53"/>
      <c r="E1681" s="240"/>
      <c r="F1681" s="241"/>
      <c r="G1681" s="53"/>
      <c r="H1681" s="53"/>
      <c r="I1681" s="53"/>
      <c r="J1681" s="53"/>
      <c r="K1681" s="53"/>
      <c r="L1681" s="53"/>
      <c r="M1681" s="53"/>
      <c r="N1681" s="53"/>
      <c r="O1681" s="53"/>
      <c r="P1681" s="53"/>
      <c r="Q1681" s="53"/>
      <c r="R1681" s="53"/>
      <c r="S1681" s="53"/>
      <c r="T1681" s="53"/>
      <c r="U1681" s="53"/>
      <c r="V1681" s="53"/>
    </row>
    <row r="1682">
      <c r="A1682" s="83"/>
      <c r="B1682" s="53"/>
      <c r="C1682" s="53"/>
      <c r="D1682" s="53"/>
      <c r="E1682" s="240"/>
      <c r="F1682" s="241"/>
      <c r="G1682" s="53"/>
      <c r="H1682" s="53"/>
      <c r="I1682" s="53"/>
      <c r="J1682" s="53"/>
      <c r="K1682" s="53"/>
      <c r="L1682" s="53"/>
      <c r="M1682" s="53"/>
      <c r="N1682" s="53"/>
      <c r="O1682" s="53"/>
      <c r="P1682" s="53"/>
      <c r="Q1682" s="53"/>
      <c r="R1682" s="53"/>
      <c r="S1682" s="53"/>
      <c r="T1682" s="53"/>
      <c r="U1682" s="53"/>
      <c r="V1682" s="53"/>
    </row>
    <row r="1683">
      <c r="A1683" s="83"/>
      <c r="B1683" s="53"/>
      <c r="C1683" s="53"/>
      <c r="D1683" s="53"/>
      <c r="E1683" s="240"/>
      <c r="F1683" s="241"/>
      <c r="G1683" s="53"/>
      <c r="H1683" s="53"/>
      <c r="I1683" s="53"/>
      <c r="J1683" s="53"/>
      <c r="K1683" s="53"/>
      <c r="L1683" s="53"/>
      <c r="M1683" s="53"/>
      <c r="N1683" s="53"/>
      <c r="O1683" s="53"/>
      <c r="P1683" s="53"/>
      <c r="Q1683" s="53"/>
      <c r="R1683" s="53"/>
      <c r="S1683" s="53"/>
      <c r="T1683" s="53"/>
      <c r="U1683" s="53"/>
      <c r="V1683" s="53"/>
    </row>
    <row r="1684">
      <c r="A1684" s="83"/>
      <c r="B1684" s="53"/>
      <c r="C1684" s="53"/>
      <c r="D1684" s="53"/>
      <c r="E1684" s="240"/>
      <c r="F1684" s="241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53"/>
      <c r="T1684" s="53"/>
      <c r="U1684" s="53"/>
      <c r="V1684" s="53"/>
    </row>
    <row r="1685">
      <c r="A1685" s="83"/>
      <c r="B1685" s="53"/>
      <c r="C1685" s="53"/>
      <c r="D1685" s="53"/>
      <c r="E1685" s="240"/>
      <c r="F1685" s="241"/>
      <c r="G1685" s="53"/>
      <c r="H1685" s="53"/>
      <c r="I1685" s="53"/>
      <c r="J1685" s="53"/>
      <c r="K1685" s="53"/>
      <c r="L1685" s="53"/>
      <c r="M1685" s="53"/>
      <c r="N1685" s="53"/>
      <c r="O1685" s="53"/>
      <c r="P1685" s="53"/>
      <c r="Q1685" s="53"/>
      <c r="R1685" s="53"/>
      <c r="S1685" s="53"/>
      <c r="T1685" s="53"/>
      <c r="U1685" s="53"/>
      <c r="V1685" s="53"/>
    </row>
    <row r="1686">
      <c r="A1686" s="83"/>
      <c r="B1686" s="53"/>
      <c r="C1686" s="53"/>
      <c r="D1686" s="53"/>
      <c r="E1686" s="240"/>
      <c r="F1686" s="241"/>
      <c r="G1686" s="53"/>
      <c r="H1686" s="53"/>
      <c r="I1686" s="53"/>
      <c r="J1686" s="53"/>
      <c r="K1686" s="53"/>
      <c r="L1686" s="53"/>
      <c r="M1686" s="53"/>
      <c r="N1686" s="53"/>
      <c r="O1686" s="53"/>
      <c r="P1686" s="53"/>
      <c r="Q1686" s="53"/>
      <c r="R1686" s="53"/>
      <c r="S1686" s="53"/>
      <c r="T1686" s="53"/>
      <c r="U1686" s="53"/>
      <c r="V1686" s="53"/>
    </row>
    <row r="1687">
      <c r="A1687" s="83"/>
      <c r="B1687" s="53"/>
      <c r="C1687" s="53"/>
      <c r="D1687" s="53"/>
      <c r="E1687" s="240"/>
      <c r="F1687" s="241"/>
      <c r="G1687" s="53"/>
      <c r="H1687" s="53"/>
      <c r="I1687" s="53"/>
      <c r="J1687" s="53"/>
      <c r="K1687" s="53"/>
      <c r="L1687" s="53"/>
      <c r="M1687" s="53"/>
      <c r="N1687" s="53"/>
      <c r="O1687" s="53"/>
      <c r="P1687" s="53"/>
      <c r="Q1687" s="53"/>
      <c r="R1687" s="53"/>
      <c r="S1687" s="53"/>
      <c r="T1687" s="53"/>
      <c r="U1687" s="53"/>
      <c r="V1687" s="53"/>
    </row>
    <row r="1688">
      <c r="A1688" s="83"/>
      <c r="B1688" s="53"/>
      <c r="C1688" s="53"/>
      <c r="D1688" s="53"/>
      <c r="E1688" s="240"/>
      <c r="F1688" s="241"/>
      <c r="G1688" s="53"/>
      <c r="H1688" s="53"/>
      <c r="I1688" s="53"/>
      <c r="J1688" s="53"/>
      <c r="K1688" s="53"/>
      <c r="L1688" s="53"/>
      <c r="M1688" s="53"/>
      <c r="N1688" s="53"/>
      <c r="O1688" s="53"/>
      <c r="P1688" s="53"/>
      <c r="Q1688" s="53"/>
      <c r="R1688" s="53"/>
      <c r="S1688" s="53"/>
      <c r="T1688" s="53"/>
      <c r="U1688" s="53"/>
      <c r="V1688" s="53"/>
    </row>
    <row r="1689">
      <c r="A1689" s="83"/>
      <c r="B1689" s="53"/>
      <c r="C1689" s="53"/>
      <c r="D1689" s="53"/>
      <c r="E1689" s="240"/>
      <c r="F1689" s="241"/>
      <c r="G1689" s="53"/>
      <c r="H1689" s="53"/>
      <c r="I1689" s="53"/>
      <c r="J1689" s="53"/>
      <c r="K1689" s="53"/>
      <c r="L1689" s="53"/>
      <c r="M1689" s="53"/>
      <c r="N1689" s="53"/>
      <c r="O1689" s="53"/>
      <c r="P1689" s="53"/>
      <c r="Q1689" s="53"/>
      <c r="R1689" s="53"/>
      <c r="S1689" s="53"/>
      <c r="T1689" s="53"/>
      <c r="U1689" s="53"/>
      <c r="V1689" s="53"/>
    </row>
    <row r="1690">
      <c r="A1690" s="83"/>
      <c r="B1690" s="53"/>
      <c r="C1690" s="53"/>
      <c r="D1690" s="53"/>
      <c r="E1690" s="240"/>
      <c r="F1690" s="241"/>
      <c r="G1690" s="53"/>
      <c r="H1690" s="53"/>
      <c r="I1690" s="53"/>
      <c r="J1690" s="53"/>
      <c r="K1690" s="53"/>
      <c r="L1690" s="53"/>
      <c r="M1690" s="53"/>
      <c r="N1690" s="53"/>
      <c r="O1690" s="53"/>
      <c r="P1690" s="53"/>
      <c r="Q1690" s="53"/>
      <c r="R1690" s="53"/>
      <c r="S1690" s="53"/>
      <c r="T1690" s="53"/>
      <c r="U1690" s="53"/>
      <c r="V1690" s="53"/>
    </row>
    <row r="1691">
      <c r="A1691" s="83"/>
      <c r="B1691" s="53"/>
      <c r="C1691" s="53"/>
      <c r="D1691" s="53"/>
      <c r="E1691" s="240"/>
      <c r="F1691" s="241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</row>
    <row r="1692">
      <c r="A1692" s="83"/>
      <c r="B1692" s="53"/>
      <c r="C1692" s="53"/>
      <c r="D1692" s="53"/>
      <c r="E1692" s="240"/>
      <c r="F1692" s="241"/>
      <c r="G1692" s="53"/>
      <c r="H1692" s="53"/>
      <c r="I1692" s="53"/>
      <c r="J1692" s="53"/>
      <c r="K1692" s="53"/>
      <c r="L1692" s="53"/>
      <c r="M1692" s="53"/>
      <c r="N1692" s="53"/>
      <c r="O1692" s="53"/>
      <c r="P1692" s="53"/>
      <c r="Q1692" s="53"/>
      <c r="R1692" s="53"/>
      <c r="S1692" s="53"/>
      <c r="T1692" s="53"/>
      <c r="U1692" s="53"/>
      <c r="V1692" s="53"/>
    </row>
    <row r="1693">
      <c r="A1693" s="83"/>
      <c r="B1693" s="53"/>
      <c r="C1693" s="53"/>
      <c r="D1693" s="53"/>
      <c r="E1693" s="240"/>
      <c r="F1693" s="241"/>
      <c r="G1693" s="53"/>
      <c r="H1693" s="53"/>
      <c r="I1693" s="53"/>
      <c r="J1693" s="53"/>
      <c r="K1693" s="53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</row>
    <row r="1694">
      <c r="A1694" s="83"/>
      <c r="B1694" s="53"/>
      <c r="C1694" s="53"/>
      <c r="D1694" s="53"/>
      <c r="E1694" s="240"/>
      <c r="F1694" s="241"/>
      <c r="G1694" s="53"/>
      <c r="H1694" s="53"/>
      <c r="I1694" s="53"/>
      <c r="J1694" s="53"/>
      <c r="K1694" s="53"/>
      <c r="L1694" s="53"/>
      <c r="M1694" s="53"/>
      <c r="N1694" s="53"/>
      <c r="O1694" s="53"/>
      <c r="P1694" s="53"/>
      <c r="Q1694" s="53"/>
      <c r="R1694" s="53"/>
      <c r="S1694" s="53"/>
      <c r="T1694" s="53"/>
      <c r="U1694" s="53"/>
      <c r="V1694" s="53"/>
    </row>
    <row r="1695">
      <c r="A1695" s="83"/>
      <c r="B1695" s="53"/>
      <c r="C1695" s="53"/>
      <c r="D1695" s="53"/>
      <c r="E1695" s="240"/>
      <c r="F1695" s="241"/>
      <c r="G1695" s="53"/>
      <c r="H1695" s="53"/>
      <c r="I1695" s="53"/>
      <c r="J1695" s="53"/>
      <c r="K1695" s="53"/>
      <c r="L1695" s="53"/>
      <c r="M1695" s="53"/>
      <c r="N1695" s="53"/>
      <c r="O1695" s="53"/>
      <c r="P1695" s="53"/>
      <c r="Q1695" s="53"/>
      <c r="R1695" s="53"/>
      <c r="S1695" s="53"/>
      <c r="T1695" s="53"/>
      <c r="U1695" s="53"/>
      <c r="V1695" s="53"/>
    </row>
    <row r="1696">
      <c r="A1696" s="83"/>
      <c r="B1696" s="53"/>
      <c r="C1696" s="53"/>
      <c r="D1696" s="53"/>
      <c r="E1696" s="240"/>
      <c r="F1696" s="241"/>
      <c r="G1696" s="53"/>
      <c r="H1696" s="53"/>
      <c r="I1696" s="53"/>
      <c r="J1696" s="53"/>
      <c r="K1696" s="53"/>
      <c r="L1696" s="53"/>
      <c r="M1696" s="53"/>
      <c r="N1696" s="53"/>
      <c r="O1696" s="53"/>
      <c r="P1696" s="53"/>
      <c r="Q1696" s="53"/>
      <c r="R1696" s="53"/>
      <c r="S1696" s="53"/>
      <c r="T1696" s="53"/>
      <c r="U1696" s="53"/>
      <c r="V1696" s="53"/>
    </row>
    <row r="1697">
      <c r="A1697" s="83"/>
      <c r="B1697" s="53"/>
      <c r="C1697" s="53"/>
      <c r="D1697" s="53"/>
      <c r="E1697" s="240"/>
      <c r="F1697" s="241"/>
      <c r="G1697" s="53"/>
      <c r="H1697" s="53"/>
      <c r="I1697" s="53"/>
      <c r="J1697" s="53"/>
      <c r="K1697" s="53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</row>
    <row r="1698">
      <c r="A1698" s="83"/>
      <c r="B1698" s="53"/>
      <c r="C1698" s="53"/>
      <c r="D1698" s="53"/>
      <c r="E1698" s="240"/>
      <c r="F1698" s="241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</row>
    <row r="1699">
      <c r="A1699" s="83"/>
      <c r="B1699" s="53"/>
      <c r="C1699" s="53"/>
      <c r="D1699" s="53"/>
      <c r="E1699" s="240"/>
      <c r="F1699" s="241"/>
      <c r="G1699" s="53"/>
      <c r="H1699" s="53"/>
      <c r="I1699" s="53"/>
      <c r="J1699" s="53"/>
      <c r="K1699" s="53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53"/>
    </row>
    <row r="1700">
      <c r="A1700" s="83"/>
      <c r="B1700" s="53"/>
      <c r="C1700" s="53"/>
      <c r="D1700" s="53"/>
      <c r="E1700" s="240"/>
      <c r="F1700" s="241"/>
      <c r="G1700" s="53"/>
      <c r="H1700" s="53"/>
      <c r="I1700" s="53"/>
      <c r="J1700" s="53"/>
      <c r="K1700" s="53"/>
      <c r="L1700" s="53"/>
      <c r="M1700" s="53"/>
      <c r="N1700" s="53"/>
      <c r="O1700" s="53"/>
      <c r="P1700" s="53"/>
      <c r="Q1700" s="53"/>
      <c r="R1700" s="53"/>
      <c r="S1700" s="53"/>
      <c r="T1700" s="53"/>
      <c r="U1700" s="53"/>
      <c r="V1700" s="53"/>
    </row>
    <row r="1701">
      <c r="A1701" s="83"/>
      <c r="B1701" s="53"/>
      <c r="C1701" s="53"/>
      <c r="D1701" s="53"/>
      <c r="E1701" s="240"/>
      <c r="F1701" s="241"/>
      <c r="G1701" s="53"/>
      <c r="H1701" s="53"/>
      <c r="I1701" s="53"/>
      <c r="J1701" s="53"/>
      <c r="K1701" s="53"/>
      <c r="L1701" s="53"/>
      <c r="M1701" s="53"/>
      <c r="N1701" s="53"/>
      <c r="O1701" s="53"/>
      <c r="P1701" s="53"/>
      <c r="Q1701" s="53"/>
      <c r="R1701" s="53"/>
      <c r="S1701" s="53"/>
      <c r="T1701" s="53"/>
      <c r="U1701" s="53"/>
      <c r="V1701" s="53"/>
    </row>
    <row r="1702">
      <c r="A1702" s="83"/>
      <c r="B1702" s="53"/>
      <c r="C1702" s="53"/>
      <c r="D1702" s="53"/>
      <c r="E1702" s="240"/>
      <c r="F1702" s="241"/>
      <c r="G1702" s="53"/>
      <c r="H1702" s="53"/>
      <c r="I1702" s="53"/>
      <c r="J1702" s="53"/>
      <c r="K1702" s="53"/>
      <c r="L1702" s="53"/>
      <c r="M1702" s="53"/>
      <c r="N1702" s="53"/>
      <c r="O1702" s="53"/>
      <c r="P1702" s="53"/>
      <c r="Q1702" s="53"/>
      <c r="R1702" s="53"/>
      <c r="S1702" s="53"/>
      <c r="T1702" s="53"/>
      <c r="U1702" s="53"/>
      <c r="V1702" s="53"/>
    </row>
    <row r="1703">
      <c r="A1703" s="83"/>
      <c r="B1703" s="53"/>
      <c r="C1703" s="53"/>
      <c r="D1703" s="53"/>
      <c r="E1703" s="240"/>
      <c r="F1703" s="241"/>
      <c r="G1703" s="53"/>
      <c r="H1703" s="53"/>
      <c r="I1703" s="53"/>
      <c r="J1703" s="53"/>
      <c r="K1703" s="53"/>
      <c r="L1703" s="53"/>
      <c r="M1703" s="53"/>
      <c r="N1703" s="53"/>
      <c r="O1703" s="53"/>
      <c r="P1703" s="53"/>
      <c r="Q1703" s="53"/>
      <c r="R1703" s="53"/>
      <c r="S1703" s="53"/>
      <c r="T1703" s="53"/>
      <c r="U1703" s="53"/>
      <c r="V1703" s="53"/>
    </row>
    <row r="1704">
      <c r="A1704" s="83"/>
      <c r="B1704" s="53"/>
      <c r="C1704" s="53"/>
      <c r="D1704" s="53"/>
      <c r="E1704" s="240"/>
      <c r="F1704" s="241"/>
      <c r="G1704" s="53"/>
      <c r="H1704" s="53"/>
      <c r="I1704" s="53"/>
      <c r="J1704" s="53"/>
      <c r="K1704" s="53"/>
      <c r="L1704" s="53"/>
      <c r="M1704" s="53"/>
      <c r="N1704" s="53"/>
      <c r="O1704" s="53"/>
      <c r="P1704" s="53"/>
      <c r="Q1704" s="53"/>
      <c r="R1704" s="53"/>
      <c r="S1704" s="53"/>
      <c r="T1704" s="53"/>
      <c r="U1704" s="53"/>
      <c r="V1704" s="53"/>
    </row>
    <row r="1705">
      <c r="A1705" s="83"/>
      <c r="B1705" s="53"/>
      <c r="C1705" s="53"/>
      <c r="D1705" s="53"/>
      <c r="E1705" s="240"/>
      <c r="F1705" s="241"/>
      <c r="G1705" s="53"/>
      <c r="H1705" s="53"/>
      <c r="I1705" s="53"/>
      <c r="J1705" s="53"/>
      <c r="K1705" s="53"/>
      <c r="L1705" s="53"/>
      <c r="M1705" s="53"/>
      <c r="N1705" s="53"/>
      <c r="O1705" s="53"/>
      <c r="P1705" s="53"/>
      <c r="Q1705" s="53"/>
      <c r="R1705" s="53"/>
      <c r="S1705" s="53"/>
      <c r="T1705" s="53"/>
      <c r="U1705" s="53"/>
      <c r="V1705" s="53"/>
    </row>
    <row r="1706">
      <c r="A1706" s="83"/>
      <c r="B1706" s="53"/>
      <c r="C1706" s="53"/>
      <c r="D1706" s="53"/>
      <c r="E1706" s="240"/>
      <c r="F1706" s="241"/>
      <c r="G1706" s="53"/>
      <c r="H1706" s="53"/>
      <c r="I1706" s="53"/>
      <c r="J1706" s="53"/>
      <c r="K1706" s="53"/>
      <c r="L1706" s="53"/>
      <c r="M1706" s="53"/>
      <c r="N1706" s="53"/>
      <c r="O1706" s="53"/>
      <c r="P1706" s="53"/>
      <c r="Q1706" s="53"/>
      <c r="R1706" s="53"/>
      <c r="S1706" s="53"/>
      <c r="T1706" s="53"/>
      <c r="U1706" s="53"/>
      <c r="V1706" s="53"/>
    </row>
    <row r="1707">
      <c r="A1707" s="83"/>
      <c r="B1707" s="53"/>
      <c r="C1707" s="53"/>
      <c r="D1707" s="53"/>
      <c r="E1707" s="240"/>
      <c r="F1707" s="241"/>
      <c r="G1707" s="53"/>
      <c r="H1707" s="53"/>
      <c r="I1707" s="53"/>
      <c r="J1707" s="53"/>
      <c r="K1707" s="53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53"/>
    </row>
    <row r="1708">
      <c r="A1708" s="83"/>
      <c r="B1708" s="53"/>
      <c r="C1708" s="53"/>
      <c r="D1708" s="53"/>
      <c r="E1708" s="240"/>
      <c r="F1708" s="241"/>
      <c r="G1708" s="53"/>
      <c r="H1708" s="53"/>
      <c r="I1708" s="53"/>
      <c r="J1708" s="53"/>
      <c r="K1708" s="53"/>
      <c r="L1708" s="53"/>
      <c r="M1708" s="53"/>
      <c r="N1708" s="53"/>
      <c r="O1708" s="53"/>
      <c r="P1708" s="53"/>
      <c r="Q1708" s="53"/>
      <c r="R1708" s="53"/>
      <c r="S1708" s="53"/>
      <c r="T1708" s="53"/>
      <c r="U1708" s="53"/>
      <c r="V1708" s="53"/>
    </row>
    <row r="1709">
      <c r="A1709" s="83"/>
      <c r="B1709" s="53"/>
      <c r="C1709" s="53"/>
      <c r="D1709" s="53"/>
      <c r="E1709" s="240"/>
      <c r="F1709" s="241"/>
      <c r="G1709" s="53"/>
      <c r="H1709" s="53"/>
      <c r="I1709" s="53"/>
      <c r="J1709" s="53"/>
      <c r="K1709" s="53"/>
      <c r="L1709" s="53"/>
      <c r="M1709" s="53"/>
      <c r="N1709" s="53"/>
      <c r="O1709" s="53"/>
      <c r="P1709" s="53"/>
      <c r="Q1709" s="53"/>
      <c r="R1709" s="53"/>
      <c r="S1709" s="53"/>
      <c r="T1709" s="53"/>
      <c r="U1709" s="53"/>
      <c r="V1709" s="53"/>
    </row>
    <row r="1710">
      <c r="A1710" s="83"/>
      <c r="B1710" s="53"/>
      <c r="C1710" s="53"/>
      <c r="D1710" s="53"/>
      <c r="E1710" s="240"/>
      <c r="F1710" s="241"/>
      <c r="G1710" s="53"/>
      <c r="H1710" s="53"/>
      <c r="I1710" s="53"/>
      <c r="J1710" s="53"/>
      <c r="K1710" s="53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3"/>
    </row>
    <row r="1711">
      <c r="A1711" s="83"/>
      <c r="B1711" s="53"/>
      <c r="C1711" s="53"/>
      <c r="D1711" s="53"/>
      <c r="E1711" s="240"/>
      <c r="F1711" s="241"/>
      <c r="G1711" s="53"/>
      <c r="H1711" s="53"/>
      <c r="I1711" s="53"/>
      <c r="J1711" s="53"/>
      <c r="K1711" s="53"/>
      <c r="L1711" s="53"/>
      <c r="M1711" s="53"/>
      <c r="N1711" s="53"/>
      <c r="O1711" s="53"/>
      <c r="P1711" s="53"/>
      <c r="Q1711" s="53"/>
      <c r="R1711" s="53"/>
      <c r="S1711" s="53"/>
      <c r="T1711" s="53"/>
      <c r="U1711" s="53"/>
      <c r="V1711" s="53"/>
    </row>
    <row r="1712">
      <c r="A1712" s="83"/>
      <c r="B1712" s="53"/>
      <c r="C1712" s="53"/>
      <c r="D1712" s="53"/>
      <c r="E1712" s="240"/>
      <c r="F1712" s="241"/>
      <c r="G1712" s="53"/>
      <c r="H1712" s="53"/>
      <c r="I1712" s="53"/>
      <c r="J1712" s="53"/>
      <c r="K1712" s="53"/>
      <c r="L1712" s="53"/>
      <c r="M1712" s="53"/>
      <c r="N1712" s="53"/>
      <c r="O1712" s="53"/>
      <c r="P1712" s="53"/>
      <c r="Q1712" s="53"/>
      <c r="R1712" s="53"/>
      <c r="S1712" s="53"/>
      <c r="T1712" s="53"/>
      <c r="U1712" s="53"/>
      <c r="V1712" s="53"/>
    </row>
    <row r="1713">
      <c r="A1713" s="83"/>
      <c r="B1713" s="53"/>
      <c r="C1713" s="53"/>
      <c r="D1713" s="53"/>
      <c r="E1713" s="240"/>
      <c r="F1713" s="241"/>
      <c r="G1713" s="53"/>
      <c r="H1713" s="53"/>
      <c r="I1713" s="53"/>
      <c r="J1713" s="53"/>
      <c r="K1713" s="53"/>
      <c r="L1713" s="53"/>
      <c r="M1713" s="53"/>
      <c r="N1713" s="53"/>
      <c r="O1713" s="53"/>
      <c r="P1713" s="53"/>
      <c r="Q1713" s="53"/>
      <c r="R1713" s="53"/>
      <c r="S1713" s="53"/>
      <c r="T1713" s="53"/>
      <c r="U1713" s="53"/>
      <c r="V1713" s="53"/>
    </row>
    <row r="1714">
      <c r="A1714" s="83"/>
      <c r="B1714" s="53"/>
      <c r="C1714" s="53"/>
      <c r="D1714" s="53"/>
      <c r="E1714" s="240"/>
      <c r="F1714" s="241"/>
      <c r="G1714" s="53"/>
      <c r="H1714" s="53"/>
      <c r="I1714" s="53"/>
      <c r="J1714" s="53"/>
      <c r="K1714" s="53"/>
      <c r="L1714" s="53"/>
      <c r="M1714" s="53"/>
      <c r="N1714" s="53"/>
      <c r="O1714" s="53"/>
      <c r="P1714" s="53"/>
      <c r="Q1714" s="53"/>
      <c r="R1714" s="53"/>
      <c r="S1714" s="53"/>
      <c r="T1714" s="53"/>
      <c r="U1714" s="53"/>
      <c r="V1714" s="53"/>
    </row>
    <row r="1715">
      <c r="A1715" s="83"/>
      <c r="B1715" s="53"/>
      <c r="C1715" s="53"/>
      <c r="D1715" s="53"/>
      <c r="E1715" s="240"/>
      <c r="F1715" s="241"/>
      <c r="G1715" s="53"/>
      <c r="H1715" s="53"/>
      <c r="I1715" s="53"/>
      <c r="J1715" s="53"/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</row>
    <row r="1716">
      <c r="A1716" s="83"/>
      <c r="B1716" s="53"/>
      <c r="C1716" s="53"/>
      <c r="D1716" s="53"/>
      <c r="E1716" s="240"/>
      <c r="F1716" s="241"/>
      <c r="G1716" s="53"/>
      <c r="H1716" s="53"/>
      <c r="I1716" s="53"/>
      <c r="J1716" s="53"/>
      <c r="K1716" s="53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</row>
    <row r="1717">
      <c r="A1717" s="83"/>
      <c r="B1717" s="53"/>
      <c r="C1717" s="53"/>
      <c r="D1717" s="53"/>
      <c r="E1717" s="240"/>
      <c r="F1717" s="241"/>
      <c r="G1717" s="53"/>
      <c r="H1717" s="53"/>
      <c r="I1717" s="53"/>
      <c r="J1717" s="53"/>
      <c r="K1717" s="53"/>
      <c r="L1717" s="53"/>
      <c r="M1717" s="53"/>
      <c r="N1717" s="53"/>
      <c r="O1717" s="53"/>
      <c r="P1717" s="53"/>
      <c r="Q1717" s="53"/>
      <c r="R1717" s="53"/>
      <c r="S1717" s="53"/>
      <c r="T1717" s="53"/>
      <c r="U1717" s="53"/>
      <c r="V1717" s="53"/>
    </row>
    <row r="1718">
      <c r="A1718" s="83"/>
      <c r="B1718" s="53"/>
      <c r="C1718" s="53"/>
      <c r="D1718" s="53"/>
      <c r="E1718" s="240"/>
      <c r="F1718" s="241"/>
      <c r="G1718" s="53"/>
      <c r="H1718" s="53"/>
      <c r="I1718" s="53"/>
      <c r="J1718" s="53"/>
      <c r="K1718" s="53"/>
      <c r="L1718" s="53"/>
      <c r="M1718" s="53"/>
      <c r="N1718" s="53"/>
      <c r="O1718" s="53"/>
      <c r="P1718" s="53"/>
      <c r="Q1718" s="53"/>
      <c r="R1718" s="53"/>
      <c r="S1718" s="53"/>
      <c r="T1718" s="53"/>
      <c r="U1718" s="53"/>
      <c r="V1718" s="53"/>
    </row>
    <row r="1719">
      <c r="A1719" s="83"/>
      <c r="B1719" s="53"/>
      <c r="C1719" s="53"/>
      <c r="D1719" s="53"/>
      <c r="E1719" s="240"/>
      <c r="F1719" s="241"/>
      <c r="G1719" s="53"/>
      <c r="H1719" s="53"/>
      <c r="I1719" s="53"/>
      <c r="J1719" s="53"/>
      <c r="K1719" s="53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53"/>
    </row>
    <row r="1720">
      <c r="A1720" s="83"/>
      <c r="B1720" s="53"/>
      <c r="C1720" s="53"/>
      <c r="D1720" s="53"/>
      <c r="E1720" s="240"/>
      <c r="F1720" s="241"/>
      <c r="G1720" s="53"/>
      <c r="H1720" s="53"/>
      <c r="I1720" s="53"/>
      <c r="J1720" s="53"/>
      <c r="K1720" s="53"/>
      <c r="L1720" s="53"/>
      <c r="M1720" s="53"/>
      <c r="N1720" s="53"/>
      <c r="O1720" s="53"/>
      <c r="P1720" s="53"/>
      <c r="Q1720" s="53"/>
      <c r="R1720" s="53"/>
      <c r="S1720" s="53"/>
      <c r="T1720" s="53"/>
      <c r="U1720" s="53"/>
      <c r="V1720" s="53"/>
    </row>
    <row r="1721">
      <c r="A1721" s="83"/>
      <c r="B1721" s="53"/>
      <c r="C1721" s="53"/>
      <c r="D1721" s="53"/>
      <c r="E1721" s="240"/>
      <c r="F1721" s="241"/>
      <c r="G1721" s="53"/>
      <c r="H1721" s="53"/>
      <c r="I1721" s="53"/>
      <c r="J1721" s="53"/>
      <c r="K1721" s="53"/>
      <c r="L1721" s="53"/>
      <c r="M1721" s="53"/>
      <c r="N1721" s="53"/>
      <c r="O1721" s="53"/>
      <c r="P1721" s="53"/>
      <c r="Q1721" s="53"/>
      <c r="R1721" s="53"/>
      <c r="S1721" s="53"/>
      <c r="T1721" s="53"/>
      <c r="U1721" s="53"/>
      <c r="V1721" s="53"/>
    </row>
    <row r="1722">
      <c r="A1722" s="83"/>
      <c r="B1722" s="53"/>
      <c r="C1722" s="53"/>
      <c r="D1722" s="53"/>
      <c r="E1722" s="240"/>
      <c r="F1722" s="241"/>
      <c r="G1722" s="53"/>
      <c r="H1722" s="53"/>
      <c r="I1722" s="53"/>
      <c r="J1722" s="53"/>
      <c r="K1722" s="53"/>
      <c r="L1722" s="53"/>
      <c r="M1722" s="53"/>
      <c r="N1722" s="53"/>
      <c r="O1722" s="53"/>
      <c r="P1722" s="53"/>
      <c r="Q1722" s="53"/>
      <c r="R1722" s="53"/>
      <c r="S1722" s="53"/>
      <c r="T1722" s="53"/>
      <c r="U1722" s="53"/>
      <c r="V1722" s="53"/>
    </row>
    <row r="1723">
      <c r="A1723" s="83"/>
      <c r="B1723" s="53"/>
      <c r="C1723" s="53"/>
      <c r="D1723" s="53"/>
      <c r="E1723" s="240"/>
      <c r="F1723" s="241"/>
      <c r="G1723" s="53"/>
      <c r="H1723" s="53"/>
      <c r="I1723" s="53"/>
      <c r="J1723" s="53"/>
      <c r="K1723" s="53"/>
      <c r="L1723" s="53"/>
      <c r="M1723" s="53"/>
      <c r="N1723" s="53"/>
      <c r="O1723" s="53"/>
      <c r="P1723" s="53"/>
      <c r="Q1723" s="53"/>
      <c r="R1723" s="53"/>
      <c r="S1723" s="53"/>
      <c r="T1723" s="53"/>
      <c r="U1723" s="53"/>
      <c r="V1723" s="53"/>
    </row>
    <row r="1724">
      <c r="A1724" s="83"/>
      <c r="B1724" s="53"/>
      <c r="C1724" s="53"/>
      <c r="D1724" s="53"/>
      <c r="E1724" s="240"/>
      <c r="F1724" s="241"/>
      <c r="G1724" s="53"/>
      <c r="H1724" s="53"/>
      <c r="I1724" s="53"/>
      <c r="J1724" s="53"/>
      <c r="K1724" s="53"/>
      <c r="L1724" s="53"/>
      <c r="M1724" s="53"/>
      <c r="N1724" s="53"/>
      <c r="O1724" s="53"/>
      <c r="P1724" s="53"/>
      <c r="Q1724" s="53"/>
      <c r="R1724" s="53"/>
      <c r="S1724" s="53"/>
      <c r="T1724" s="53"/>
      <c r="U1724" s="53"/>
      <c r="V1724" s="53"/>
    </row>
    <row r="1725">
      <c r="A1725" s="83"/>
      <c r="B1725" s="53"/>
      <c r="C1725" s="53"/>
      <c r="D1725" s="53"/>
      <c r="E1725" s="240"/>
      <c r="F1725" s="241"/>
      <c r="G1725" s="53"/>
      <c r="H1725" s="53"/>
      <c r="I1725" s="53"/>
      <c r="J1725" s="53"/>
      <c r="K1725" s="53"/>
      <c r="L1725" s="53"/>
      <c r="M1725" s="53"/>
      <c r="N1725" s="53"/>
      <c r="O1725" s="53"/>
      <c r="P1725" s="53"/>
      <c r="Q1725" s="53"/>
      <c r="R1725" s="53"/>
      <c r="S1725" s="53"/>
      <c r="T1725" s="53"/>
      <c r="U1725" s="53"/>
      <c r="V1725" s="53"/>
    </row>
    <row r="1726">
      <c r="A1726" s="83"/>
      <c r="B1726" s="53"/>
      <c r="C1726" s="53"/>
      <c r="D1726" s="53"/>
      <c r="E1726" s="240"/>
      <c r="F1726" s="241"/>
      <c r="G1726" s="53"/>
      <c r="H1726" s="53"/>
      <c r="I1726" s="53"/>
      <c r="J1726" s="53"/>
      <c r="K1726" s="53"/>
      <c r="L1726" s="53"/>
      <c r="M1726" s="53"/>
      <c r="N1726" s="53"/>
      <c r="O1726" s="53"/>
      <c r="P1726" s="53"/>
      <c r="Q1726" s="53"/>
      <c r="R1726" s="53"/>
      <c r="S1726" s="53"/>
      <c r="T1726" s="53"/>
      <c r="U1726" s="53"/>
      <c r="V1726" s="53"/>
    </row>
    <row r="1727">
      <c r="A1727" s="83"/>
      <c r="B1727" s="53"/>
      <c r="C1727" s="53"/>
      <c r="D1727" s="53"/>
      <c r="E1727" s="240"/>
      <c r="F1727" s="241"/>
      <c r="G1727" s="53"/>
      <c r="H1727" s="53"/>
      <c r="I1727" s="53"/>
      <c r="J1727" s="53"/>
      <c r="K1727" s="53"/>
      <c r="L1727" s="53"/>
      <c r="M1727" s="53"/>
      <c r="N1727" s="53"/>
      <c r="O1727" s="53"/>
      <c r="P1727" s="53"/>
      <c r="Q1727" s="53"/>
      <c r="R1727" s="53"/>
      <c r="S1727" s="53"/>
      <c r="T1727" s="53"/>
      <c r="U1727" s="53"/>
      <c r="V1727" s="53"/>
    </row>
    <row r="1728">
      <c r="A1728" s="83"/>
      <c r="B1728" s="53"/>
      <c r="C1728" s="53"/>
      <c r="D1728" s="53"/>
      <c r="E1728" s="240"/>
      <c r="F1728" s="241"/>
      <c r="G1728" s="53"/>
      <c r="H1728" s="53"/>
      <c r="I1728" s="53"/>
      <c r="J1728" s="53"/>
      <c r="K1728" s="53"/>
      <c r="L1728" s="53"/>
      <c r="M1728" s="53"/>
      <c r="N1728" s="53"/>
      <c r="O1728" s="53"/>
      <c r="P1728" s="53"/>
      <c r="Q1728" s="53"/>
      <c r="R1728" s="53"/>
      <c r="S1728" s="53"/>
      <c r="T1728" s="53"/>
      <c r="U1728" s="53"/>
      <c r="V1728" s="53"/>
    </row>
    <row r="1729">
      <c r="A1729" s="83"/>
      <c r="B1729" s="53"/>
      <c r="C1729" s="53"/>
      <c r="D1729" s="53"/>
      <c r="E1729" s="240"/>
      <c r="F1729" s="241"/>
      <c r="G1729" s="53"/>
      <c r="H1729" s="53"/>
      <c r="I1729" s="53"/>
      <c r="J1729" s="53"/>
      <c r="K1729" s="53"/>
      <c r="L1729" s="53"/>
      <c r="M1729" s="53"/>
      <c r="N1729" s="53"/>
      <c r="O1729" s="53"/>
      <c r="P1729" s="53"/>
      <c r="Q1729" s="53"/>
      <c r="R1729" s="53"/>
      <c r="S1729" s="53"/>
      <c r="T1729" s="53"/>
      <c r="U1729" s="53"/>
      <c r="V1729" s="53"/>
    </row>
    <row r="1730">
      <c r="A1730" s="83"/>
      <c r="B1730" s="53"/>
      <c r="C1730" s="53"/>
      <c r="D1730" s="53"/>
      <c r="E1730" s="240"/>
      <c r="F1730" s="241"/>
      <c r="G1730" s="53"/>
      <c r="H1730" s="53"/>
      <c r="I1730" s="53"/>
      <c r="J1730" s="53"/>
      <c r="K1730" s="53"/>
      <c r="L1730" s="53"/>
      <c r="M1730" s="53"/>
      <c r="N1730" s="53"/>
      <c r="O1730" s="53"/>
      <c r="P1730" s="53"/>
      <c r="Q1730" s="53"/>
      <c r="R1730" s="53"/>
      <c r="S1730" s="53"/>
      <c r="T1730" s="53"/>
      <c r="U1730" s="53"/>
      <c r="V1730" s="53"/>
    </row>
    <row r="1731">
      <c r="A1731" s="83"/>
      <c r="B1731" s="53"/>
      <c r="C1731" s="53"/>
      <c r="D1731" s="53"/>
      <c r="E1731" s="240"/>
      <c r="F1731" s="241"/>
      <c r="G1731" s="53"/>
      <c r="H1731" s="53"/>
      <c r="I1731" s="53"/>
      <c r="J1731" s="53"/>
      <c r="K1731" s="53"/>
      <c r="L1731" s="53"/>
      <c r="M1731" s="53"/>
      <c r="N1731" s="53"/>
      <c r="O1731" s="53"/>
      <c r="P1731" s="53"/>
      <c r="Q1731" s="53"/>
      <c r="R1731" s="53"/>
      <c r="S1731" s="53"/>
      <c r="T1731" s="53"/>
      <c r="U1731" s="53"/>
      <c r="V1731" s="53"/>
    </row>
    <row r="1732">
      <c r="A1732" s="83"/>
      <c r="B1732" s="53"/>
      <c r="C1732" s="53"/>
      <c r="D1732" s="53"/>
      <c r="E1732" s="240"/>
      <c r="F1732" s="241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</row>
    <row r="1733">
      <c r="A1733" s="83"/>
      <c r="B1733" s="53"/>
      <c r="C1733" s="53"/>
      <c r="D1733" s="53"/>
      <c r="E1733" s="240"/>
      <c r="F1733" s="241"/>
      <c r="G1733" s="53"/>
      <c r="H1733" s="53"/>
      <c r="I1733" s="53"/>
      <c r="J1733" s="53"/>
      <c r="K1733" s="53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</row>
    <row r="1734">
      <c r="A1734" s="83"/>
      <c r="B1734" s="53"/>
      <c r="C1734" s="53"/>
      <c r="D1734" s="53"/>
      <c r="E1734" s="240"/>
      <c r="F1734" s="241"/>
      <c r="G1734" s="53"/>
      <c r="H1734" s="53"/>
      <c r="I1734" s="53"/>
      <c r="J1734" s="53"/>
      <c r="K1734" s="53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</row>
    <row r="1735">
      <c r="A1735" s="83"/>
      <c r="B1735" s="53"/>
      <c r="C1735" s="53"/>
      <c r="D1735" s="53"/>
      <c r="E1735" s="240"/>
      <c r="F1735" s="241"/>
      <c r="G1735" s="53"/>
      <c r="H1735" s="53"/>
      <c r="I1735" s="53"/>
      <c r="J1735" s="53"/>
      <c r="K1735" s="53"/>
      <c r="L1735" s="53"/>
      <c r="M1735" s="53"/>
      <c r="N1735" s="53"/>
      <c r="O1735" s="53"/>
      <c r="P1735" s="53"/>
      <c r="Q1735" s="53"/>
      <c r="R1735" s="53"/>
      <c r="S1735" s="53"/>
      <c r="T1735" s="53"/>
      <c r="U1735" s="53"/>
      <c r="V1735" s="53"/>
    </row>
    <row r="1736">
      <c r="A1736" s="83"/>
      <c r="B1736" s="53"/>
      <c r="C1736" s="53"/>
      <c r="D1736" s="53"/>
      <c r="E1736" s="240"/>
      <c r="F1736" s="241"/>
      <c r="G1736" s="53"/>
      <c r="H1736" s="53"/>
      <c r="I1736" s="53"/>
      <c r="J1736" s="53"/>
      <c r="K1736" s="53"/>
      <c r="L1736" s="53"/>
      <c r="M1736" s="53"/>
      <c r="N1736" s="53"/>
      <c r="O1736" s="53"/>
      <c r="P1736" s="53"/>
      <c r="Q1736" s="53"/>
      <c r="R1736" s="53"/>
      <c r="S1736" s="53"/>
      <c r="T1736" s="53"/>
      <c r="U1736" s="53"/>
      <c r="V1736" s="53"/>
    </row>
    <row r="1737">
      <c r="A1737" s="83"/>
      <c r="B1737" s="53"/>
      <c r="C1737" s="53"/>
      <c r="D1737" s="53"/>
      <c r="E1737" s="240"/>
      <c r="F1737" s="241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</row>
    <row r="1738">
      <c r="A1738" s="83"/>
      <c r="B1738" s="53"/>
      <c r="C1738" s="53"/>
      <c r="D1738" s="53"/>
      <c r="E1738" s="240"/>
      <c r="F1738" s="241"/>
      <c r="G1738" s="53"/>
      <c r="H1738" s="53"/>
      <c r="I1738" s="53"/>
      <c r="J1738" s="53"/>
      <c r="K1738" s="53"/>
      <c r="L1738" s="53"/>
      <c r="M1738" s="53"/>
      <c r="N1738" s="53"/>
      <c r="O1738" s="53"/>
      <c r="P1738" s="53"/>
      <c r="Q1738" s="53"/>
      <c r="R1738" s="53"/>
      <c r="S1738" s="53"/>
      <c r="T1738" s="53"/>
      <c r="U1738" s="53"/>
      <c r="V1738" s="53"/>
    </row>
    <row r="1739">
      <c r="A1739" s="83"/>
      <c r="B1739" s="53"/>
      <c r="C1739" s="53"/>
      <c r="D1739" s="53"/>
      <c r="E1739" s="240"/>
      <c r="F1739" s="241"/>
      <c r="G1739" s="53"/>
      <c r="H1739" s="53"/>
      <c r="I1739" s="53"/>
      <c r="J1739" s="53"/>
      <c r="K1739" s="53"/>
      <c r="L1739" s="53"/>
      <c r="M1739" s="53"/>
      <c r="N1739" s="53"/>
      <c r="O1739" s="53"/>
      <c r="P1739" s="53"/>
      <c r="Q1739" s="53"/>
      <c r="R1739" s="53"/>
      <c r="S1739" s="53"/>
      <c r="T1739" s="53"/>
      <c r="U1739" s="53"/>
      <c r="V1739" s="53"/>
    </row>
    <row r="1740">
      <c r="A1740" s="83"/>
      <c r="B1740" s="53"/>
      <c r="C1740" s="53"/>
      <c r="D1740" s="53"/>
      <c r="E1740" s="240"/>
      <c r="F1740" s="241"/>
      <c r="G1740" s="53"/>
      <c r="H1740" s="53"/>
      <c r="I1740" s="53"/>
      <c r="J1740" s="53"/>
      <c r="K1740" s="53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</row>
    <row r="1741">
      <c r="A1741" s="83"/>
      <c r="B1741" s="53"/>
      <c r="C1741" s="53"/>
      <c r="D1741" s="53"/>
      <c r="E1741" s="240"/>
      <c r="F1741" s="241"/>
      <c r="G1741" s="53"/>
      <c r="H1741" s="53"/>
      <c r="I1741" s="53"/>
      <c r="J1741" s="53"/>
      <c r="K1741" s="53"/>
      <c r="L1741" s="53"/>
      <c r="M1741" s="53"/>
      <c r="N1741" s="53"/>
      <c r="O1741" s="53"/>
      <c r="P1741" s="53"/>
      <c r="Q1741" s="53"/>
      <c r="R1741" s="53"/>
      <c r="S1741" s="53"/>
      <c r="T1741" s="53"/>
      <c r="U1741" s="53"/>
      <c r="V1741" s="53"/>
    </row>
    <row r="1742">
      <c r="A1742" s="83"/>
      <c r="B1742" s="53"/>
      <c r="C1742" s="53"/>
      <c r="D1742" s="53"/>
      <c r="E1742" s="240"/>
      <c r="F1742" s="241"/>
      <c r="G1742" s="53"/>
      <c r="H1742" s="53"/>
      <c r="I1742" s="53"/>
      <c r="J1742" s="53"/>
      <c r="K1742" s="53"/>
      <c r="L1742" s="53"/>
      <c r="M1742" s="53"/>
      <c r="N1742" s="53"/>
      <c r="O1742" s="53"/>
      <c r="P1742" s="53"/>
      <c r="Q1742" s="53"/>
      <c r="R1742" s="53"/>
      <c r="S1742" s="53"/>
      <c r="T1742" s="53"/>
      <c r="U1742" s="53"/>
      <c r="V1742" s="53"/>
    </row>
    <row r="1743">
      <c r="A1743" s="83"/>
      <c r="B1743" s="53"/>
      <c r="C1743" s="53"/>
      <c r="D1743" s="53"/>
      <c r="E1743" s="240"/>
      <c r="F1743" s="241"/>
      <c r="G1743" s="53"/>
      <c r="H1743" s="53"/>
      <c r="I1743" s="53"/>
      <c r="J1743" s="53"/>
      <c r="K1743" s="53"/>
      <c r="L1743" s="53"/>
      <c r="M1743" s="53"/>
      <c r="N1743" s="53"/>
      <c r="O1743" s="53"/>
      <c r="P1743" s="53"/>
      <c r="Q1743" s="53"/>
      <c r="R1743" s="53"/>
      <c r="S1743" s="53"/>
      <c r="T1743" s="53"/>
      <c r="U1743" s="53"/>
      <c r="V1743" s="53"/>
    </row>
    <row r="1744">
      <c r="A1744" s="83"/>
      <c r="B1744" s="53"/>
      <c r="C1744" s="53"/>
      <c r="D1744" s="53"/>
      <c r="E1744" s="240"/>
      <c r="F1744" s="241"/>
      <c r="G1744" s="53"/>
      <c r="H1744" s="53"/>
      <c r="I1744" s="53"/>
      <c r="J1744" s="53"/>
      <c r="K1744" s="53"/>
      <c r="L1744" s="53"/>
      <c r="M1744" s="53"/>
      <c r="N1744" s="53"/>
      <c r="O1744" s="53"/>
      <c r="P1744" s="53"/>
      <c r="Q1744" s="53"/>
      <c r="R1744" s="53"/>
      <c r="S1744" s="53"/>
      <c r="T1744" s="53"/>
      <c r="U1744" s="53"/>
      <c r="V1744" s="53"/>
    </row>
    <row r="1745">
      <c r="A1745" s="83"/>
      <c r="B1745" s="53"/>
      <c r="C1745" s="53"/>
      <c r="D1745" s="53"/>
      <c r="E1745" s="240"/>
      <c r="F1745" s="241"/>
      <c r="G1745" s="53"/>
      <c r="H1745" s="53"/>
      <c r="I1745" s="53"/>
      <c r="J1745" s="53"/>
      <c r="K1745" s="53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53"/>
    </row>
    <row r="1746">
      <c r="A1746" s="83"/>
      <c r="B1746" s="53"/>
      <c r="C1746" s="53"/>
      <c r="D1746" s="53"/>
      <c r="E1746" s="240"/>
      <c r="F1746" s="241"/>
      <c r="G1746" s="53"/>
      <c r="H1746" s="53"/>
      <c r="I1746" s="53"/>
      <c r="J1746" s="53"/>
      <c r="K1746" s="53"/>
      <c r="L1746" s="53"/>
      <c r="M1746" s="53"/>
      <c r="N1746" s="53"/>
      <c r="O1746" s="53"/>
      <c r="P1746" s="53"/>
      <c r="Q1746" s="53"/>
      <c r="R1746" s="53"/>
      <c r="S1746" s="53"/>
      <c r="T1746" s="53"/>
      <c r="U1746" s="53"/>
      <c r="V1746" s="53"/>
    </row>
    <row r="1747">
      <c r="A1747" s="83"/>
      <c r="B1747" s="53"/>
      <c r="C1747" s="53"/>
      <c r="D1747" s="53"/>
      <c r="E1747" s="240"/>
      <c r="F1747" s="241"/>
      <c r="G1747" s="53"/>
      <c r="H1747" s="53"/>
      <c r="I1747" s="53"/>
      <c r="J1747" s="53"/>
      <c r="K1747" s="53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/>
    </row>
    <row r="1748">
      <c r="A1748" s="83"/>
      <c r="B1748" s="53"/>
      <c r="C1748" s="53"/>
      <c r="D1748" s="53"/>
      <c r="E1748" s="240"/>
      <c r="F1748" s="241"/>
      <c r="G1748" s="53"/>
      <c r="H1748" s="53"/>
      <c r="I1748" s="53"/>
      <c r="J1748" s="53"/>
      <c r="K1748" s="53"/>
      <c r="L1748" s="53"/>
      <c r="M1748" s="53"/>
      <c r="N1748" s="53"/>
      <c r="O1748" s="53"/>
      <c r="P1748" s="53"/>
      <c r="Q1748" s="53"/>
      <c r="R1748" s="53"/>
      <c r="S1748" s="53"/>
      <c r="T1748" s="53"/>
      <c r="U1748" s="53"/>
      <c r="V1748" s="53"/>
    </row>
    <row r="1749">
      <c r="A1749" s="83"/>
      <c r="B1749" s="53"/>
      <c r="C1749" s="53"/>
      <c r="D1749" s="53"/>
      <c r="E1749" s="240"/>
      <c r="F1749" s="241"/>
      <c r="G1749" s="53"/>
      <c r="H1749" s="53"/>
      <c r="I1749" s="53"/>
      <c r="J1749" s="53"/>
      <c r="K1749" s="53"/>
      <c r="L1749" s="53"/>
      <c r="M1749" s="53"/>
      <c r="N1749" s="53"/>
      <c r="O1749" s="53"/>
      <c r="P1749" s="53"/>
      <c r="Q1749" s="53"/>
      <c r="R1749" s="53"/>
      <c r="S1749" s="53"/>
      <c r="T1749" s="53"/>
      <c r="U1749" s="53"/>
      <c r="V1749" s="53"/>
    </row>
    <row r="1750">
      <c r="A1750" s="83"/>
      <c r="B1750" s="53"/>
      <c r="C1750" s="53"/>
      <c r="D1750" s="53"/>
      <c r="E1750" s="240"/>
      <c r="F1750" s="241"/>
      <c r="G1750" s="53"/>
      <c r="H1750" s="53"/>
      <c r="I1750" s="53"/>
      <c r="J1750" s="53"/>
      <c r="K1750" s="53"/>
      <c r="L1750" s="53"/>
      <c r="M1750" s="53"/>
      <c r="N1750" s="53"/>
      <c r="O1750" s="53"/>
      <c r="P1750" s="53"/>
      <c r="Q1750" s="53"/>
      <c r="R1750" s="53"/>
      <c r="S1750" s="53"/>
      <c r="T1750" s="53"/>
      <c r="U1750" s="53"/>
      <c r="V1750" s="53"/>
    </row>
    <row r="1751">
      <c r="A1751" s="83"/>
      <c r="B1751" s="53"/>
      <c r="C1751" s="53"/>
      <c r="D1751" s="53"/>
      <c r="E1751" s="240"/>
      <c r="F1751" s="241"/>
      <c r="G1751" s="53"/>
      <c r="H1751" s="53"/>
      <c r="I1751" s="53"/>
      <c r="J1751" s="53"/>
      <c r="K1751" s="53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</row>
    <row r="1752">
      <c r="A1752" s="83"/>
      <c r="B1752" s="53"/>
      <c r="C1752" s="53"/>
      <c r="D1752" s="53"/>
      <c r="E1752" s="240"/>
      <c r="F1752" s="241"/>
      <c r="G1752" s="53"/>
      <c r="H1752" s="53"/>
      <c r="I1752" s="53"/>
      <c r="J1752" s="53"/>
      <c r="K1752" s="53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</row>
    <row r="1753">
      <c r="A1753" s="83"/>
      <c r="B1753" s="53"/>
      <c r="C1753" s="53"/>
      <c r="D1753" s="53"/>
      <c r="E1753" s="240"/>
      <c r="F1753" s="241"/>
      <c r="G1753" s="53"/>
      <c r="H1753" s="53"/>
      <c r="I1753" s="53"/>
      <c r="J1753" s="53"/>
      <c r="K1753" s="53"/>
      <c r="L1753" s="53"/>
      <c r="M1753" s="53"/>
      <c r="N1753" s="53"/>
      <c r="O1753" s="53"/>
      <c r="P1753" s="53"/>
      <c r="Q1753" s="53"/>
      <c r="R1753" s="53"/>
      <c r="S1753" s="53"/>
      <c r="T1753" s="53"/>
      <c r="U1753" s="53"/>
      <c r="V1753" s="53"/>
    </row>
    <row r="1754">
      <c r="A1754" s="83"/>
      <c r="B1754" s="53"/>
      <c r="C1754" s="53"/>
      <c r="D1754" s="53"/>
      <c r="E1754" s="240"/>
      <c r="F1754" s="241"/>
      <c r="G1754" s="53"/>
      <c r="H1754" s="53"/>
      <c r="I1754" s="53"/>
      <c r="J1754" s="53"/>
      <c r="K1754" s="53"/>
      <c r="L1754" s="53"/>
      <c r="M1754" s="53"/>
      <c r="N1754" s="53"/>
      <c r="O1754" s="53"/>
      <c r="P1754" s="53"/>
      <c r="Q1754" s="53"/>
      <c r="R1754" s="53"/>
      <c r="S1754" s="53"/>
      <c r="T1754" s="53"/>
      <c r="U1754" s="53"/>
      <c r="V1754" s="53"/>
    </row>
    <row r="1755">
      <c r="A1755" s="83"/>
      <c r="B1755" s="53"/>
      <c r="C1755" s="53"/>
      <c r="D1755" s="53"/>
      <c r="E1755" s="240"/>
      <c r="F1755" s="241"/>
      <c r="G1755" s="53"/>
      <c r="H1755" s="53"/>
      <c r="I1755" s="53"/>
      <c r="J1755" s="53"/>
      <c r="K1755" s="53"/>
      <c r="L1755" s="53"/>
      <c r="M1755" s="53"/>
      <c r="N1755" s="53"/>
      <c r="O1755" s="53"/>
      <c r="P1755" s="53"/>
      <c r="Q1755" s="53"/>
      <c r="R1755" s="53"/>
      <c r="S1755" s="53"/>
      <c r="T1755" s="53"/>
      <c r="U1755" s="53"/>
      <c r="V1755" s="53"/>
    </row>
    <row r="1756">
      <c r="A1756" s="83"/>
      <c r="B1756" s="53"/>
      <c r="C1756" s="53"/>
      <c r="D1756" s="53"/>
      <c r="E1756" s="240"/>
      <c r="F1756" s="241"/>
      <c r="G1756" s="53"/>
      <c r="H1756" s="53"/>
      <c r="I1756" s="53"/>
      <c r="J1756" s="53"/>
      <c r="K1756" s="53"/>
      <c r="L1756" s="53"/>
      <c r="M1756" s="53"/>
      <c r="N1756" s="53"/>
      <c r="O1756" s="53"/>
      <c r="P1756" s="53"/>
      <c r="Q1756" s="53"/>
      <c r="R1756" s="53"/>
      <c r="S1756" s="53"/>
      <c r="T1756" s="53"/>
      <c r="U1756" s="53"/>
      <c r="V1756" s="53"/>
    </row>
    <row r="1757">
      <c r="A1757" s="83"/>
      <c r="B1757" s="53"/>
      <c r="C1757" s="53"/>
      <c r="D1757" s="53"/>
      <c r="E1757" s="240"/>
      <c r="F1757" s="241"/>
      <c r="G1757" s="53"/>
      <c r="H1757" s="53"/>
      <c r="I1757" s="53"/>
      <c r="J1757" s="53"/>
      <c r="K1757" s="53"/>
      <c r="L1757" s="53"/>
      <c r="M1757" s="53"/>
      <c r="N1757" s="53"/>
      <c r="O1757" s="53"/>
      <c r="P1757" s="53"/>
      <c r="Q1757" s="53"/>
      <c r="R1757" s="53"/>
      <c r="S1757" s="53"/>
      <c r="T1757" s="53"/>
      <c r="U1757" s="53"/>
      <c r="V1757" s="53"/>
    </row>
    <row r="1758">
      <c r="A1758" s="83"/>
      <c r="B1758" s="53"/>
      <c r="C1758" s="53"/>
      <c r="D1758" s="53"/>
      <c r="E1758" s="240"/>
      <c r="F1758" s="241"/>
      <c r="G1758" s="53"/>
      <c r="H1758" s="53"/>
      <c r="I1758" s="53"/>
      <c r="J1758" s="53"/>
      <c r="K1758" s="53"/>
      <c r="L1758" s="53"/>
      <c r="M1758" s="53"/>
      <c r="N1758" s="53"/>
      <c r="O1758" s="53"/>
      <c r="P1758" s="53"/>
      <c r="Q1758" s="53"/>
      <c r="R1758" s="53"/>
      <c r="S1758" s="53"/>
      <c r="T1758" s="53"/>
      <c r="U1758" s="53"/>
      <c r="V1758" s="53"/>
    </row>
    <row r="1759">
      <c r="A1759" s="83"/>
      <c r="B1759" s="53"/>
      <c r="C1759" s="53"/>
      <c r="D1759" s="53"/>
      <c r="E1759" s="240"/>
      <c r="F1759" s="241"/>
      <c r="G1759" s="53"/>
      <c r="H1759" s="53"/>
      <c r="I1759" s="53"/>
      <c r="J1759" s="53"/>
      <c r="K1759" s="53"/>
      <c r="L1759" s="53"/>
      <c r="M1759" s="53"/>
      <c r="N1759" s="53"/>
      <c r="O1759" s="53"/>
      <c r="P1759" s="53"/>
      <c r="Q1759" s="53"/>
      <c r="R1759" s="53"/>
      <c r="S1759" s="53"/>
      <c r="T1759" s="53"/>
      <c r="U1759" s="53"/>
      <c r="V1759" s="53"/>
    </row>
    <row r="1760">
      <c r="A1760" s="83"/>
      <c r="B1760" s="53"/>
      <c r="C1760" s="53"/>
      <c r="D1760" s="53"/>
      <c r="E1760" s="240"/>
      <c r="F1760" s="241"/>
      <c r="G1760" s="53"/>
      <c r="H1760" s="53"/>
      <c r="I1760" s="53"/>
      <c r="J1760" s="53"/>
      <c r="K1760" s="53"/>
      <c r="L1760" s="53"/>
      <c r="M1760" s="53"/>
      <c r="N1760" s="53"/>
      <c r="O1760" s="53"/>
      <c r="P1760" s="53"/>
      <c r="Q1760" s="53"/>
      <c r="R1760" s="53"/>
      <c r="S1760" s="53"/>
      <c r="T1760" s="53"/>
      <c r="U1760" s="53"/>
      <c r="V1760" s="53"/>
    </row>
    <row r="1761">
      <c r="A1761" s="83"/>
      <c r="B1761" s="53"/>
      <c r="C1761" s="53"/>
      <c r="D1761" s="53"/>
      <c r="E1761" s="240"/>
      <c r="F1761" s="241"/>
      <c r="G1761" s="53"/>
      <c r="H1761" s="53"/>
      <c r="I1761" s="53"/>
      <c r="J1761" s="53"/>
      <c r="K1761" s="53"/>
      <c r="L1761" s="53"/>
      <c r="M1761" s="53"/>
      <c r="N1761" s="53"/>
      <c r="O1761" s="53"/>
      <c r="P1761" s="53"/>
      <c r="Q1761" s="53"/>
      <c r="R1761" s="53"/>
      <c r="S1761" s="53"/>
      <c r="T1761" s="53"/>
      <c r="U1761" s="53"/>
      <c r="V1761" s="53"/>
    </row>
    <row r="1762">
      <c r="A1762" s="83"/>
      <c r="B1762" s="53"/>
      <c r="C1762" s="53"/>
      <c r="D1762" s="53"/>
      <c r="E1762" s="240"/>
      <c r="F1762" s="241"/>
      <c r="G1762" s="53"/>
      <c r="H1762" s="53"/>
      <c r="I1762" s="53"/>
      <c r="J1762" s="53"/>
      <c r="K1762" s="53"/>
      <c r="L1762" s="53"/>
      <c r="M1762" s="53"/>
      <c r="N1762" s="53"/>
      <c r="O1762" s="53"/>
      <c r="P1762" s="53"/>
      <c r="Q1762" s="53"/>
      <c r="R1762" s="53"/>
      <c r="S1762" s="53"/>
      <c r="T1762" s="53"/>
      <c r="U1762" s="53"/>
      <c r="V1762" s="53"/>
    </row>
    <row r="1763">
      <c r="A1763" s="83"/>
      <c r="B1763" s="53"/>
      <c r="C1763" s="53"/>
      <c r="D1763" s="53"/>
      <c r="E1763" s="240"/>
      <c r="F1763" s="241"/>
      <c r="G1763" s="53"/>
      <c r="H1763" s="53"/>
      <c r="I1763" s="53"/>
      <c r="J1763" s="53"/>
      <c r="K1763" s="53"/>
      <c r="L1763" s="53"/>
      <c r="M1763" s="53"/>
      <c r="N1763" s="53"/>
      <c r="O1763" s="53"/>
      <c r="P1763" s="53"/>
      <c r="Q1763" s="53"/>
      <c r="R1763" s="53"/>
      <c r="S1763" s="53"/>
      <c r="T1763" s="53"/>
      <c r="U1763" s="53"/>
      <c r="V1763" s="53"/>
    </row>
    <row r="1764">
      <c r="A1764" s="83"/>
      <c r="B1764" s="53"/>
      <c r="C1764" s="53"/>
      <c r="D1764" s="53"/>
      <c r="E1764" s="240"/>
      <c r="F1764" s="241"/>
      <c r="G1764" s="53"/>
      <c r="H1764" s="53"/>
      <c r="I1764" s="53"/>
      <c r="J1764" s="53"/>
      <c r="K1764" s="53"/>
      <c r="L1764" s="53"/>
      <c r="M1764" s="53"/>
      <c r="N1764" s="53"/>
      <c r="O1764" s="53"/>
      <c r="P1764" s="53"/>
      <c r="Q1764" s="53"/>
      <c r="R1764" s="53"/>
      <c r="S1764" s="53"/>
      <c r="T1764" s="53"/>
      <c r="U1764" s="53"/>
      <c r="V1764" s="53"/>
    </row>
    <row r="1765">
      <c r="A1765" s="83"/>
      <c r="B1765" s="53"/>
      <c r="C1765" s="53"/>
      <c r="D1765" s="53"/>
      <c r="E1765" s="240"/>
      <c r="F1765" s="241"/>
      <c r="G1765" s="53"/>
      <c r="H1765" s="53"/>
      <c r="I1765" s="53"/>
      <c r="J1765" s="53"/>
      <c r="K1765" s="53"/>
      <c r="L1765" s="53"/>
      <c r="M1765" s="53"/>
      <c r="N1765" s="53"/>
      <c r="O1765" s="53"/>
      <c r="P1765" s="53"/>
      <c r="Q1765" s="53"/>
      <c r="R1765" s="53"/>
      <c r="S1765" s="53"/>
      <c r="T1765" s="53"/>
      <c r="U1765" s="53"/>
      <c r="V1765" s="53"/>
    </row>
    <row r="1766">
      <c r="A1766" s="83"/>
      <c r="B1766" s="53"/>
      <c r="C1766" s="53"/>
      <c r="D1766" s="53"/>
      <c r="E1766" s="240"/>
      <c r="F1766" s="241"/>
      <c r="G1766" s="53"/>
      <c r="H1766" s="53"/>
      <c r="I1766" s="53"/>
      <c r="J1766" s="53"/>
      <c r="K1766" s="53"/>
      <c r="L1766" s="53"/>
      <c r="M1766" s="53"/>
      <c r="N1766" s="53"/>
      <c r="O1766" s="53"/>
      <c r="P1766" s="53"/>
      <c r="Q1766" s="53"/>
      <c r="R1766" s="53"/>
      <c r="S1766" s="53"/>
      <c r="T1766" s="53"/>
      <c r="U1766" s="53"/>
      <c r="V1766" s="53"/>
    </row>
    <row r="1767">
      <c r="A1767" s="83"/>
      <c r="B1767" s="53"/>
      <c r="C1767" s="53"/>
      <c r="D1767" s="53"/>
      <c r="E1767" s="240"/>
      <c r="F1767" s="241"/>
      <c r="G1767" s="53"/>
      <c r="H1767" s="53"/>
      <c r="I1767" s="53"/>
      <c r="J1767" s="53"/>
      <c r="K1767" s="53"/>
      <c r="L1767" s="53"/>
      <c r="M1767" s="53"/>
      <c r="N1767" s="53"/>
      <c r="O1767" s="53"/>
      <c r="P1767" s="53"/>
      <c r="Q1767" s="53"/>
      <c r="R1767" s="53"/>
      <c r="S1767" s="53"/>
      <c r="T1767" s="53"/>
      <c r="U1767" s="53"/>
      <c r="V1767" s="53"/>
    </row>
    <row r="1768">
      <c r="A1768" s="83"/>
      <c r="B1768" s="53"/>
      <c r="C1768" s="53"/>
      <c r="D1768" s="53"/>
      <c r="E1768" s="240"/>
      <c r="F1768" s="241"/>
      <c r="G1768" s="53"/>
      <c r="H1768" s="53"/>
      <c r="I1768" s="53"/>
      <c r="J1768" s="53"/>
      <c r="K1768" s="53"/>
      <c r="L1768" s="53"/>
      <c r="M1768" s="53"/>
      <c r="N1768" s="53"/>
      <c r="O1768" s="53"/>
      <c r="P1768" s="53"/>
      <c r="Q1768" s="53"/>
      <c r="R1768" s="53"/>
      <c r="S1768" s="53"/>
      <c r="T1768" s="53"/>
      <c r="U1768" s="53"/>
      <c r="V1768" s="53"/>
    </row>
    <row r="1769">
      <c r="A1769" s="83"/>
      <c r="B1769" s="53"/>
      <c r="C1769" s="53"/>
      <c r="D1769" s="53"/>
      <c r="E1769" s="240"/>
      <c r="F1769" s="241"/>
      <c r="G1769" s="53"/>
      <c r="H1769" s="53"/>
      <c r="I1769" s="53"/>
      <c r="J1769" s="53"/>
      <c r="K1769" s="53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</row>
    <row r="1770">
      <c r="A1770" s="83"/>
      <c r="B1770" s="53"/>
      <c r="C1770" s="53"/>
      <c r="D1770" s="53"/>
      <c r="E1770" s="240"/>
      <c r="F1770" s="241"/>
      <c r="G1770" s="53"/>
      <c r="H1770" s="53"/>
      <c r="I1770" s="53"/>
      <c r="J1770" s="53"/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</row>
    <row r="1771">
      <c r="A1771" s="83"/>
      <c r="B1771" s="53"/>
      <c r="C1771" s="53"/>
      <c r="D1771" s="53"/>
      <c r="E1771" s="240"/>
      <c r="F1771" s="241"/>
      <c r="G1771" s="53"/>
      <c r="H1771" s="53"/>
      <c r="I1771" s="53"/>
      <c r="J1771" s="53"/>
      <c r="K1771" s="53"/>
      <c r="L1771" s="53"/>
      <c r="M1771" s="53"/>
      <c r="N1771" s="53"/>
      <c r="O1771" s="53"/>
      <c r="P1771" s="53"/>
      <c r="Q1771" s="53"/>
      <c r="R1771" s="53"/>
      <c r="S1771" s="53"/>
      <c r="T1771" s="53"/>
      <c r="U1771" s="53"/>
      <c r="V1771" s="53"/>
    </row>
    <row r="1772">
      <c r="A1772" s="83"/>
      <c r="B1772" s="53"/>
      <c r="C1772" s="53"/>
      <c r="D1772" s="53"/>
      <c r="E1772" s="240"/>
      <c r="F1772" s="241"/>
      <c r="G1772" s="53"/>
      <c r="H1772" s="53"/>
      <c r="I1772" s="53"/>
      <c r="J1772" s="53"/>
      <c r="K1772" s="53"/>
      <c r="L1772" s="53"/>
      <c r="M1772" s="53"/>
      <c r="N1772" s="53"/>
      <c r="O1772" s="53"/>
      <c r="P1772" s="53"/>
      <c r="Q1772" s="53"/>
      <c r="R1772" s="53"/>
      <c r="S1772" s="53"/>
      <c r="T1772" s="53"/>
      <c r="U1772" s="53"/>
      <c r="V1772" s="53"/>
    </row>
    <row r="1773">
      <c r="A1773" s="83"/>
      <c r="B1773" s="53"/>
      <c r="C1773" s="53"/>
      <c r="D1773" s="53"/>
      <c r="E1773" s="240"/>
      <c r="F1773" s="241"/>
      <c r="G1773" s="53"/>
      <c r="H1773" s="53"/>
      <c r="I1773" s="53"/>
      <c r="J1773" s="53"/>
      <c r="K1773" s="53"/>
      <c r="L1773" s="53"/>
      <c r="M1773" s="53"/>
      <c r="N1773" s="53"/>
      <c r="O1773" s="53"/>
      <c r="P1773" s="53"/>
      <c r="Q1773" s="53"/>
      <c r="R1773" s="53"/>
      <c r="S1773" s="53"/>
      <c r="T1773" s="53"/>
      <c r="U1773" s="53"/>
      <c r="V1773" s="53"/>
    </row>
    <row r="1774">
      <c r="A1774" s="83"/>
      <c r="B1774" s="53"/>
      <c r="C1774" s="53"/>
      <c r="D1774" s="53"/>
      <c r="E1774" s="240"/>
      <c r="F1774" s="241"/>
      <c r="G1774" s="53"/>
      <c r="H1774" s="53"/>
      <c r="I1774" s="53"/>
      <c r="J1774" s="53"/>
      <c r="K1774" s="53"/>
      <c r="L1774" s="53"/>
      <c r="M1774" s="53"/>
      <c r="N1774" s="53"/>
      <c r="O1774" s="53"/>
      <c r="P1774" s="53"/>
      <c r="Q1774" s="53"/>
      <c r="R1774" s="53"/>
      <c r="S1774" s="53"/>
      <c r="T1774" s="53"/>
      <c r="U1774" s="53"/>
      <c r="V1774" s="53"/>
    </row>
    <row r="1775">
      <c r="A1775" s="83"/>
      <c r="B1775" s="53"/>
      <c r="C1775" s="53"/>
      <c r="D1775" s="53"/>
      <c r="E1775" s="240"/>
      <c r="F1775" s="241"/>
      <c r="G1775" s="53"/>
      <c r="H1775" s="53"/>
      <c r="I1775" s="53"/>
      <c r="J1775" s="53"/>
      <c r="K1775" s="53"/>
      <c r="L1775" s="53"/>
      <c r="M1775" s="53"/>
      <c r="N1775" s="53"/>
      <c r="O1775" s="53"/>
      <c r="P1775" s="53"/>
      <c r="Q1775" s="53"/>
      <c r="R1775" s="53"/>
      <c r="S1775" s="53"/>
      <c r="T1775" s="53"/>
      <c r="U1775" s="53"/>
      <c r="V1775" s="53"/>
    </row>
    <row r="1776">
      <c r="A1776" s="83"/>
      <c r="B1776" s="53"/>
      <c r="C1776" s="53"/>
      <c r="D1776" s="53"/>
      <c r="E1776" s="240"/>
      <c r="F1776" s="241"/>
      <c r="G1776" s="53"/>
      <c r="H1776" s="53"/>
      <c r="I1776" s="53"/>
      <c r="J1776" s="53"/>
      <c r="K1776" s="53"/>
      <c r="L1776" s="53"/>
      <c r="M1776" s="53"/>
      <c r="N1776" s="53"/>
      <c r="O1776" s="53"/>
      <c r="P1776" s="53"/>
      <c r="Q1776" s="53"/>
      <c r="R1776" s="53"/>
      <c r="S1776" s="53"/>
      <c r="T1776" s="53"/>
      <c r="U1776" s="53"/>
      <c r="V1776" s="53"/>
    </row>
    <row r="1777">
      <c r="A1777" s="83"/>
      <c r="B1777" s="53"/>
      <c r="C1777" s="53"/>
      <c r="D1777" s="53"/>
      <c r="E1777" s="240"/>
      <c r="F1777" s="241"/>
      <c r="G1777" s="53"/>
      <c r="H1777" s="53"/>
      <c r="I1777" s="53"/>
      <c r="J1777" s="53"/>
      <c r="K1777" s="53"/>
      <c r="L1777" s="53"/>
      <c r="M1777" s="53"/>
      <c r="N1777" s="53"/>
      <c r="O1777" s="53"/>
      <c r="P1777" s="53"/>
      <c r="Q1777" s="53"/>
      <c r="R1777" s="53"/>
      <c r="S1777" s="53"/>
      <c r="T1777" s="53"/>
      <c r="U1777" s="53"/>
      <c r="V1777" s="53"/>
    </row>
    <row r="1778">
      <c r="A1778" s="83"/>
      <c r="B1778" s="53"/>
      <c r="C1778" s="53"/>
      <c r="D1778" s="53"/>
      <c r="E1778" s="240"/>
      <c r="F1778" s="241"/>
      <c r="G1778" s="53"/>
      <c r="H1778" s="53"/>
      <c r="I1778" s="53"/>
      <c r="J1778" s="53"/>
      <c r="K1778" s="53"/>
      <c r="L1778" s="53"/>
      <c r="M1778" s="53"/>
      <c r="N1778" s="53"/>
      <c r="O1778" s="53"/>
      <c r="P1778" s="53"/>
      <c r="Q1778" s="53"/>
      <c r="R1778" s="53"/>
      <c r="S1778" s="53"/>
      <c r="T1778" s="53"/>
      <c r="U1778" s="53"/>
      <c r="V1778" s="53"/>
    </row>
    <row r="1779">
      <c r="A1779" s="83"/>
      <c r="B1779" s="53"/>
      <c r="C1779" s="53"/>
      <c r="D1779" s="53"/>
      <c r="E1779" s="240"/>
      <c r="F1779" s="241"/>
      <c r="G1779" s="53"/>
      <c r="H1779" s="53"/>
      <c r="I1779" s="53"/>
      <c r="J1779" s="53"/>
      <c r="K1779" s="53"/>
      <c r="L1779" s="53"/>
      <c r="M1779" s="53"/>
      <c r="N1779" s="53"/>
      <c r="O1779" s="53"/>
      <c r="P1779" s="53"/>
      <c r="Q1779" s="53"/>
      <c r="R1779" s="53"/>
      <c r="S1779" s="53"/>
      <c r="T1779" s="53"/>
      <c r="U1779" s="53"/>
      <c r="V1779" s="53"/>
    </row>
    <row r="1780">
      <c r="A1780" s="83"/>
      <c r="B1780" s="53"/>
      <c r="C1780" s="53"/>
      <c r="D1780" s="53"/>
      <c r="E1780" s="240"/>
      <c r="F1780" s="241"/>
      <c r="G1780" s="53"/>
      <c r="H1780" s="53"/>
      <c r="I1780" s="53"/>
      <c r="J1780" s="53"/>
      <c r="K1780" s="53"/>
      <c r="L1780" s="53"/>
      <c r="M1780" s="53"/>
      <c r="N1780" s="53"/>
      <c r="O1780" s="53"/>
      <c r="P1780" s="53"/>
      <c r="Q1780" s="53"/>
      <c r="R1780" s="53"/>
      <c r="S1780" s="53"/>
      <c r="T1780" s="53"/>
      <c r="U1780" s="53"/>
      <c r="V1780" s="53"/>
    </row>
    <row r="1781">
      <c r="A1781" s="83"/>
      <c r="B1781" s="53"/>
      <c r="C1781" s="53"/>
      <c r="D1781" s="53"/>
      <c r="E1781" s="240"/>
      <c r="F1781" s="241"/>
      <c r="G1781" s="53"/>
      <c r="H1781" s="53"/>
      <c r="I1781" s="53"/>
      <c r="J1781" s="53"/>
      <c r="K1781" s="53"/>
      <c r="L1781" s="53"/>
      <c r="M1781" s="53"/>
      <c r="N1781" s="53"/>
      <c r="O1781" s="53"/>
      <c r="P1781" s="53"/>
      <c r="Q1781" s="53"/>
      <c r="R1781" s="53"/>
      <c r="S1781" s="53"/>
      <c r="T1781" s="53"/>
      <c r="U1781" s="53"/>
      <c r="V1781" s="53"/>
    </row>
    <row r="1782">
      <c r="A1782" s="83"/>
      <c r="B1782" s="53"/>
      <c r="C1782" s="53"/>
      <c r="D1782" s="53"/>
      <c r="E1782" s="240"/>
      <c r="F1782" s="241"/>
      <c r="G1782" s="53"/>
      <c r="H1782" s="53"/>
      <c r="I1782" s="53"/>
      <c r="J1782" s="53"/>
      <c r="K1782" s="53"/>
      <c r="L1782" s="53"/>
      <c r="M1782" s="53"/>
      <c r="N1782" s="53"/>
      <c r="O1782" s="53"/>
      <c r="P1782" s="53"/>
      <c r="Q1782" s="53"/>
      <c r="R1782" s="53"/>
      <c r="S1782" s="53"/>
      <c r="T1782" s="53"/>
      <c r="U1782" s="53"/>
      <c r="V1782" s="53"/>
    </row>
    <row r="1783">
      <c r="A1783" s="83"/>
      <c r="B1783" s="53"/>
      <c r="C1783" s="53"/>
      <c r="D1783" s="53"/>
      <c r="E1783" s="240"/>
      <c r="F1783" s="241"/>
      <c r="G1783" s="53"/>
      <c r="H1783" s="53"/>
      <c r="I1783" s="53"/>
      <c r="J1783" s="53"/>
      <c r="K1783" s="53"/>
      <c r="L1783" s="53"/>
      <c r="M1783" s="53"/>
      <c r="N1783" s="53"/>
      <c r="O1783" s="53"/>
      <c r="P1783" s="53"/>
      <c r="Q1783" s="53"/>
      <c r="R1783" s="53"/>
      <c r="S1783" s="53"/>
      <c r="T1783" s="53"/>
      <c r="U1783" s="53"/>
      <c r="V1783" s="53"/>
    </row>
    <row r="1784">
      <c r="A1784" s="83"/>
      <c r="B1784" s="53"/>
      <c r="C1784" s="53"/>
      <c r="D1784" s="53"/>
      <c r="E1784" s="240"/>
      <c r="F1784" s="241"/>
      <c r="G1784" s="53"/>
      <c r="H1784" s="53"/>
      <c r="I1784" s="53"/>
      <c r="J1784" s="53"/>
      <c r="K1784" s="53"/>
      <c r="L1784" s="53"/>
      <c r="M1784" s="53"/>
      <c r="N1784" s="53"/>
      <c r="O1784" s="53"/>
      <c r="P1784" s="53"/>
      <c r="Q1784" s="53"/>
      <c r="R1784" s="53"/>
      <c r="S1784" s="53"/>
      <c r="T1784" s="53"/>
      <c r="U1784" s="53"/>
      <c r="V1784" s="53"/>
    </row>
    <row r="1785">
      <c r="A1785" s="83"/>
      <c r="B1785" s="53"/>
      <c r="C1785" s="53"/>
      <c r="D1785" s="53"/>
      <c r="E1785" s="240"/>
      <c r="F1785" s="241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</row>
    <row r="1786">
      <c r="A1786" s="83"/>
      <c r="B1786" s="53"/>
      <c r="C1786" s="53"/>
      <c r="D1786" s="53"/>
      <c r="E1786" s="240"/>
      <c r="F1786" s="241"/>
      <c r="G1786" s="53"/>
      <c r="H1786" s="53"/>
      <c r="I1786" s="53"/>
      <c r="J1786" s="53"/>
      <c r="K1786" s="53"/>
      <c r="L1786" s="53"/>
      <c r="M1786" s="53"/>
      <c r="N1786" s="53"/>
      <c r="O1786" s="53"/>
      <c r="P1786" s="53"/>
      <c r="Q1786" s="53"/>
      <c r="R1786" s="53"/>
      <c r="S1786" s="53"/>
      <c r="T1786" s="53"/>
      <c r="U1786" s="53"/>
      <c r="V1786" s="53"/>
    </row>
    <row r="1787">
      <c r="A1787" s="83"/>
      <c r="B1787" s="53"/>
      <c r="C1787" s="53"/>
      <c r="D1787" s="53"/>
      <c r="E1787" s="240"/>
      <c r="F1787" s="241"/>
      <c r="G1787" s="53"/>
      <c r="H1787" s="53"/>
      <c r="I1787" s="53"/>
      <c r="J1787" s="53"/>
      <c r="K1787" s="53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</row>
    <row r="1788">
      <c r="A1788" s="83"/>
      <c r="B1788" s="53"/>
      <c r="C1788" s="53"/>
      <c r="D1788" s="53"/>
      <c r="E1788" s="240"/>
      <c r="F1788" s="241"/>
      <c r="G1788" s="53"/>
      <c r="H1788" s="53"/>
      <c r="I1788" s="53"/>
      <c r="J1788" s="53"/>
      <c r="K1788" s="53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</row>
    <row r="1789">
      <c r="A1789" s="83"/>
      <c r="B1789" s="53"/>
      <c r="C1789" s="53"/>
      <c r="D1789" s="53"/>
      <c r="E1789" s="240"/>
      <c r="F1789" s="241"/>
      <c r="G1789" s="53"/>
      <c r="H1789" s="53"/>
      <c r="I1789" s="53"/>
      <c r="J1789" s="53"/>
      <c r="K1789" s="53"/>
      <c r="L1789" s="53"/>
      <c r="M1789" s="53"/>
      <c r="N1789" s="53"/>
      <c r="O1789" s="53"/>
      <c r="P1789" s="53"/>
      <c r="Q1789" s="53"/>
      <c r="R1789" s="53"/>
      <c r="S1789" s="53"/>
      <c r="T1789" s="53"/>
      <c r="U1789" s="53"/>
      <c r="V1789" s="53"/>
    </row>
    <row r="1790">
      <c r="A1790" s="83"/>
      <c r="B1790" s="53"/>
      <c r="C1790" s="53"/>
      <c r="D1790" s="53"/>
      <c r="E1790" s="240"/>
      <c r="F1790" s="241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53"/>
    </row>
    <row r="1791">
      <c r="A1791" s="83"/>
      <c r="B1791" s="53"/>
      <c r="C1791" s="53"/>
      <c r="D1791" s="53"/>
      <c r="E1791" s="240"/>
      <c r="F1791" s="241"/>
      <c r="G1791" s="53"/>
      <c r="H1791" s="53"/>
      <c r="I1791" s="53"/>
      <c r="J1791" s="53"/>
      <c r="K1791" s="53"/>
      <c r="L1791" s="53"/>
      <c r="M1791" s="53"/>
      <c r="N1791" s="53"/>
      <c r="O1791" s="53"/>
      <c r="P1791" s="53"/>
      <c r="Q1791" s="53"/>
      <c r="R1791" s="53"/>
      <c r="S1791" s="53"/>
      <c r="T1791" s="53"/>
      <c r="U1791" s="53"/>
      <c r="V1791" s="53"/>
    </row>
    <row r="1792">
      <c r="A1792" s="83"/>
      <c r="B1792" s="53"/>
      <c r="C1792" s="53"/>
      <c r="D1792" s="53"/>
      <c r="E1792" s="240"/>
      <c r="F1792" s="241"/>
      <c r="G1792" s="53"/>
      <c r="H1792" s="53"/>
      <c r="I1792" s="53"/>
      <c r="J1792" s="53"/>
      <c r="K1792" s="53"/>
      <c r="L1792" s="53"/>
      <c r="M1792" s="53"/>
      <c r="N1792" s="53"/>
      <c r="O1792" s="53"/>
      <c r="P1792" s="53"/>
      <c r="Q1792" s="53"/>
      <c r="R1792" s="53"/>
      <c r="S1792" s="53"/>
      <c r="T1792" s="53"/>
      <c r="U1792" s="53"/>
      <c r="V1792" s="53"/>
    </row>
    <row r="1793">
      <c r="A1793" s="83"/>
      <c r="B1793" s="53"/>
      <c r="C1793" s="53"/>
      <c r="D1793" s="53"/>
      <c r="E1793" s="240"/>
      <c r="F1793" s="241"/>
      <c r="G1793" s="53"/>
      <c r="H1793" s="53"/>
      <c r="I1793" s="53"/>
      <c r="J1793" s="53"/>
      <c r="K1793" s="53"/>
      <c r="L1793" s="53"/>
      <c r="M1793" s="53"/>
      <c r="N1793" s="53"/>
      <c r="O1793" s="53"/>
      <c r="P1793" s="53"/>
      <c r="Q1793" s="53"/>
      <c r="R1793" s="53"/>
      <c r="S1793" s="53"/>
      <c r="T1793" s="53"/>
      <c r="U1793" s="53"/>
      <c r="V1793" s="53"/>
    </row>
    <row r="1794">
      <c r="A1794" s="83"/>
      <c r="B1794" s="53"/>
      <c r="C1794" s="53"/>
      <c r="D1794" s="53"/>
      <c r="E1794" s="240"/>
      <c r="F1794" s="241"/>
      <c r="G1794" s="53"/>
      <c r="H1794" s="53"/>
      <c r="I1794" s="53"/>
      <c r="J1794" s="53"/>
      <c r="K1794" s="53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/>
    </row>
    <row r="1795">
      <c r="A1795" s="83"/>
      <c r="B1795" s="53"/>
      <c r="C1795" s="53"/>
      <c r="D1795" s="53"/>
      <c r="E1795" s="240"/>
      <c r="F1795" s="241"/>
      <c r="G1795" s="53"/>
      <c r="H1795" s="53"/>
      <c r="I1795" s="53"/>
      <c r="J1795" s="53"/>
      <c r="K1795" s="53"/>
      <c r="L1795" s="53"/>
      <c r="M1795" s="53"/>
      <c r="N1795" s="53"/>
      <c r="O1795" s="53"/>
      <c r="P1795" s="53"/>
      <c r="Q1795" s="53"/>
      <c r="R1795" s="53"/>
      <c r="S1795" s="53"/>
      <c r="T1795" s="53"/>
      <c r="U1795" s="53"/>
      <c r="V1795" s="53"/>
    </row>
    <row r="1796">
      <c r="A1796" s="83"/>
      <c r="B1796" s="53"/>
      <c r="C1796" s="53"/>
      <c r="D1796" s="53"/>
      <c r="E1796" s="240"/>
      <c r="F1796" s="241"/>
      <c r="G1796" s="53"/>
      <c r="H1796" s="53"/>
      <c r="I1796" s="53"/>
      <c r="J1796" s="53"/>
      <c r="K1796" s="53"/>
      <c r="L1796" s="53"/>
      <c r="M1796" s="53"/>
      <c r="N1796" s="53"/>
      <c r="O1796" s="53"/>
      <c r="P1796" s="53"/>
      <c r="Q1796" s="53"/>
      <c r="R1796" s="53"/>
      <c r="S1796" s="53"/>
      <c r="T1796" s="53"/>
      <c r="U1796" s="53"/>
      <c r="V1796" s="53"/>
    </row>
    <row r="1797">
      <c r="A1797" s="83"/>
      <c r="B1797" s="53"/>
      <c r="C1797" s="53"/>
      <c r="D1797" s="53"/>
      <c r="E1797" s="240"/>
      <c r="F1797" s="241"/>
      <c r="G1797" s="53"/>
      <c r="H1797" s="53"/>
      <c r="I1797" s="53"/>
      <c r="J1797" s="53"/>
      <c r="K1797" s="53"/>
      <c r="L1797" s="53"/>
      <c r="M1797" s="53"/>
      <c r="N1797" s="53"/>
      <c r="O1797" s="53"/>
      <c r="P1797" s="53"/>
      <c r="Q1797" s="53"/>
      <c r="R1797" s="53"/>
      <c r="S1797" s="53"/>
      <c r="T1797" s="53"/>
      <c r="U1797" s="53"/>
      <c r="V1797" s="53"/>
    </row>
    <row r="1798">
      <c r="A1798" s="83"/>
      <c r="B1798" s="53"/>
      <c r="C1798" s="53"/>
      <c r="D1798" s="53"/>
      <c r="E1798" s="240"/>
      <c r="F1798" s="241"/>
      <c r="G1798" s="53"/>
      <c r="H1798" s="53"/>
      <c r="I1798" s="53"/>
      <c r="J1798" s="53"/>
      <c r="K1798" s="53"/>
      <c r="L1798" s="53"/>
      <c r="M1798" s="53"/>
      <c r="N1798" s="53"/>
      <c r="O1798" s="53"/>
      <c r="P1798" s="53"/>
      <c r="Q1798" s="53"/>
      <c r="R1798" s="53"/>
      <c r="S1798" s="53"/>
      <c r="T1798" s="53"/>
      <c r="U1798" s="53"/>
      <c r="V1798" s="53"/>
    </row>
    <row r="1799">
      <c r="A1799" s="83"/>
      <c r="B1799" s="53"/>
      <c r="C1799" s="53"/>
      <c r="D1799" s="53"/>
      <c r="E1799" s="240"/>
      <c r="F1799" s="241"/>
      <c r="G1799" s="53"/>
      <c r="H1799" s="53"/>
      <c r="I1799" s="53"/>
      <c r="J1799" s="53"/>
      <c r="K1799" s="53"/>
      <c r="L1799" s="53"/>
      <c r="M1799" s="53"/>
      <c r="N1799" s="53"/>
      <c r="O1799" s="53"/>
      <c r="P1799" s="53"/>
      <c r="Q1799" s="53"/>
      <c r="R1799" s="53"/>
      <c r="S1799" s="53"/>
      <c r="T1799" s="53"/>
      <c r="U1799" s="53"/>
      <c r="V1799" s="53"/>
    </row>
    <row r="1800">
      <c r="A1800" s="83"/>
      <c r="B1800" s="53"/>
      <c r="C1800" s="53"/>
      <c r="D1800" s="53"/>
      <c r="E1800" s="240"/>
      <c r="F1800" s="241"/>
      <c r="G1800" s="53"/>
      <c r="H1800" s="53"/>
      <c r="I1800" s="53"/>
      <c r="J1800" s="53"/>
      <c r="K1800" s="53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/>
    </row>
    <row r="1801">
      <c r="A1801" s="83"/>
      <c r="B1801" s="53"/>
      <c r="C1801" s="53"/>
      <c r="D1801" s="53"/>
      <c r="E1801" s="240"/>
      <c r="F1801" s="241"/>
      <c r="G1801" s="53"/>
      <c r="H1801" s="53"/>
      <c r="I1801" s="53"/>
      <c r="J1801" s="53"/>
      <c r="K1801" s="53"/>
      <c r="L1801" s="53"/>
      <c r="M1801" s="53"/>
      <c r="N1801" s="53"/>
      <c r="O1801" s="53"/>
      <c r="P1801" s="53"/>
      <c r="Q1801" s="53"/>
      <c r="R1801" s="53"/>
      <c r="S1801" s="53"/>
      <c r="T1801" s="53"/>
      <c r="U1801" s="53"/>
      <c r="V1801" s="53"/>
    </row>
    <row r="1802">
      <c r="A1802" s="83"/>
      <c r="B1802" s="53"/>
      <c r="C1802" s="53"/>
      <c r="D1802" s="53"/>
      <c r="E1802" s="240"/>
      <c r="F1802" s="241"/>
      <c r="G1802" s="53"/>
      <c r="H1802" s="53"/>
      <c r="I1802" s="53"/>
      <c r="J1802" s="53"/>
      <c r="K1802" s="53"/>
      <c r="L1802" s="53"/>
      <c r="M1802" s="53"/>
      <c r="N1802" s="53"/>
      <c r="O1802" s="53"/>
      <c r="P1802" s="53"/>
      <c r="Q1802" s="53"/>
      <c r="R1802" s="53"/>
      <c r="S1802" s="53"/>
      <c r="T1802" s="53"/>
      <c r="U1802" s="53"/>
      <c r="V1802" s="53"/>
    </row>
    <row r="1803">
      <c r="A1803" s="83"/>
      <c r="B1803" s="53"/>
      <c r="C1803" s="53"/>
      <c r="D1803" s="53"/>
      <c r="E1803" s="240"/>
      <c r="F1803" s="241"/>
      <c r="G1803" s="53"/>
      <c r="H1803" s="53"/>
      <c r="I1803" s="53"/>
      <c r="J1803" s="53"/>
      <c r="K1803" s="53"/>
      <c r="L1803" s="53"/>
      <c r="M1803" s="53"/>
      <c r="N1803" s="53"/>
      <c r="O1803" s="53"/>
      <c r="P1803" s="53"/>
      <c r="Q1803" s="53"/>
      <c r="R1803" s="53"/>
      <c r="S1803" s="53"/>
      <c r="T1803" s="53"/>
      <c r="U1803" s="53"/>
      <c r="V1803" s="53"/>
    </row>
    <row r="1804">
      <c r="A1804" s="83"/>
      <c r="B1804" s="53"/>
      <c r="C1804" s="53"/>
      <c r="D1804" s="53"/>
      <c r="E1804" s="240"/>
      <c r="F1804" s="241"/>
      <c r="G1804" s="53"/>
      <c r="H1804" s="53"/>
      <c r="I1804" s="53"/>
      <c r="J1804" s="53"/>
      <c r="K1804" s="53"/>
      <c r="L1804" s="53"/>
      <c r="M1804" s="53"/>
      <c r="N1804" s="53"/>
      <c r="O1804" s="53"/>
      <c r="P1804" s="53"/>
      <c r="Q1804" s="53"/>
      <c r="R1804" s="53"/>
      <c r="S1804" s="53"/>
      <c r="T1804" s="53"/>
      <c r="U1804" s="53"/>
      <c r="V1804" s="53"/>
    </row>
    <row r="1805">
      <c r="A1805" s="83"/>
      <c r="B1805" s="53"/>
      <c r="C1805" s="53"/>
      <c r="D1805" s="53"/>
      <c r="E1805" s="240"/>
      <c r="F1805" s="241"/>
      <c r="G1805" s="53"/>
      <c r="H1805" s="53"/>
      <c r="I1805" s="53"/>
      <c r="J1805" s="53"/>
      <c r="K1805" s="53"/>
      <c r="L1805" s="53"/>
      <c r="M1805" s="53"/>
      <c r="N1805" s="53"/>
      <c r="O1805" s="53"/>
      <c r="P1805" s="53"/>
      <c r="Q1805" s="53"/>
      <c r="R1805" s="53"/>
      <c r="S1805" s="53"/>
      <c r="T1805" s="53"/>
      <c r="U1805" s="53"/>
      <c r="V1805" s="53"/>
    </row>
    <row r="1806">
      <c r="A1806" s="83"/>
      <c r="B1806" s="53"/>
      <c r="C1806" s="53"/>
      <c r="D1806" s="53"/>
      <c r="E1806" s="240"/>
      <c r="F1806" s="241"/>
      <c r="G1806" s="53"/>
      <c r="H1806" s="53"/>
      <c r="I1806" s="53"/>
      <c r="J1806" s="53"/>
      <c r="K1806" s="53"/>
      <c r="L1806" s="53"/>
      <c r="M1806" s="53"/>
      <c r="N1806" s="53"/>
      <c r="O1806" s="53"/>
      <c r="P1806" s="53"/>
      <c r="Q1806" s="53"/>
      <c r="R1806" s="53"/>
      <c r="S1806" s="53"/>
      <c r="T1806" s="53"/>
      <c r="U1806" s="53"/>
      <c r="V1806" s="53"/>
    </row>
    <row r="1807">
      <c r="A1807" s="83"/>
      <c r="B1807" s="53"/>
      <c r="C1807" s="53"/>
      <c r="D1807" s="53"/>
      <c r="E1807" s="240"/>
      <c r="F1807" s="241"/>
      <c r="G1807" s="53"/>
      <c r="H1807" s="53"/>
      <c r="I1807" s="53"/>
      <c r="J1807" s="53"/>
      <c r="K1807" s="53"/>
      <c r="L1807" s="53"/>
      <c r="M1807" s="53"/>
      <c r="N1807" s="53"/>
      <c r="O1807" s="53"/>
      <c r="P1807" s="53"/>
      <c r="Q1807" s="53"/>
      <c r="R1807" s="53"/>
      <c r="S1807" s="53"/>
      <c r="T1807" s="53"/>
      <c r="U1807" s="53"/>
      <c r="V1807" s="53"/>
    </row>
    <row r="1808">
      <c r="A1808" s="83"/>
      <c r="B1808" s="53"/>
      <c r="C1808" s="53"/>
      <c r="D1808" s="53"/>
      <c r="E1808" s="240"/>
      <c r="F1808" s="241"/>
      <c r="G1808" s="53"/>
      <c r="H1808" s="53"/>
      <c r="I1808" s="53"/>
      <c r="J1808" s="53"/>
      <c r="K1808" s="53"/>
      <c r="L1808" s="53"/>
      <c r="M1808" s="53"/>
      <c r="N1808" s="53"/>
      <c r="O1808" s="53"/>
      <c r="P1808" s="53"/>
      <c r="Q1808" s="53"/>
      <c r="R1808" s="53"/>
      <c r="S1808" s="53"/>
      <c r="T1808" s="53"/>
      <c r="U1808" s="53"/>
      <c r="V1808" s="53"/>
    </row>
    <row r="1809">
      <c r="A1809" s="83"/>
      <c r="B1809" s="53"/>
      <c r="C1809" s="53"/>
      <c r="D1809" s="53"/>
      <c r="E1809" s="240"/>
      <c r="F1809" s="241"/>
      <c r="G1809" s="53"/>
      <c r="H1809" s="53"/>
      <c r="I1809" s="53"/>
      <c r="J1809" s="53"/>
      <c r="K1809" s="53"/>
      <c r="L1809" s="53"/>
      <c r="M1809" s="53"/>
      <c r="N1809" s="53"/>
      <c r="O1809" s="53"/>
      <c r="P1809" s="53"/>
      <c r="Q1809" s="53"/>
      <c r="R1809" s="53"/>
      <c r="S1809" s="53"/>
      <c r="T1809" s="53"/>
      <c r="U1809" s="53"/>
      <c r="V1809" s="53"/>
    </row>
    <row r="1810">
      <c r="A1810" s="83"/>
      <c r="B1810" s="53"/>
      <c r="C1810" s="53"/>
      <c r="D1810" s="53"/>
      <c r="E1810" s="240"/>
      <c r="F1810" s="241"/>
      <c r="G1810" s="53"/>
      <c r="H1810" s="53"/>
      <c r="I1810" s="53"/>
      <c r="J1810" s="53"/>
      <c r="K1810" s="53"/>
      <c r="L1810" s="53"/>
      <c r="M1810" s="53"/>
      <c r="N1810" s="53"/>
      <c r="O1810" s="53"/>
      <c r="P1810" s="53"/>
      <c r="Q1810" s="53"/>
      <c r="R1810" s="53"/>
      <c r="S1810" s="53"/>
      <c r="T1810" s="53"/>
      <c r="U1810" s="53"/>
      <c r="V1810" s="53"/>
    </row>
    <row r="1811">
      <c r="A1811" s="83"/>
      <c r="B1811" s="53"/>
      <c r="C1811" s="53"/>
      <c r="D1811" s="53"/>
      <c r="E1811" s="240"/>
      <c r="F1811" s="241"/>
      <c r="G1811" s="53"/>
      <c r="H1811" s="53"/>
      <c r="I1811" s="53"/>
      <c r="J1811" s="53"/>
      <c r="K1811" s="53"/>
      <c r="L1811" s="53"/>
      <c r="M1811" s="53"/>
      <c r="N1811" s="53"/>
      <c r="O1811" s="53"/>
      <c r="P1811" s="53"/>
      <c r="Q1811" s="53"/>
      <c r="R1811" s="53"/>
      <c r="S1811" s="53"/>
      <c r="T1811" s="53"/>
      <c r="U1811" s="53"/>
      <c r="V1811" s="53"/>
    </row>
    <row r="1812">
      <c r="A1812" s="83"/>
      <c r="B1812" s="53"/>
      <c r="C1812" s="53"/>
      <c r="D1812" s="53"/>
      <c r="E1812" s="240"/>
      <c r="F1812" s="241"/>
      <c r="G1812" s="53"/>
      <c r="H1812" s="53"/>
      <c r="I1812" s="53"/>
      <c r="J1812" s="53"/>
      <c r="K1812" s="53"/>
      <c r="L1812" s="53"/>
      <c r="M1812" s="53"/>
      <c r="N1812" s="53"/>
      <c r="O1812" s="53"/>
      <c r="P1812" s="53"/>
      <c r="Q1812" s="53"/>
      <c r="R1812" s="53"/>
      <c r="S1812" s="53"/>
      <c r="T1812" s="53"/>
      <c r="U1812" s="53"/>
      <c r="V1812" s="53"/>
    </row>
    <row r="1813">
      <c r="A1813" s="83"/>
      <c r="B1813" s="53"/>
      <c r="C1813" s="53"/>
      <c r="D1813" s="53"/>
      <c r="E1813" s="240"/>
      <c r="F1813" s="241"/>
      <c r="G1813" s="53"/>
      <c r="H1813" s="53"/>
      <c r="I1813" s="53"/>
      <c r="J1813" s="53"/>
      <c r="K1813" s="53"/>
      <c r="L1813" s="53"/>
      <c r="M1813" s="53"/>
      <c r="N1813" s="53"/>
      <c r="O1813" s="53"/>
      <c r="P1813" s="53"/>
      <c r="Q1813" s="53"/>
      <c r="R1813" s="53"/>
      <c r="S1813" s="53"/>
      <c r="T1813" s="53"/>
      <c r="U1813" s="53"/>
      <c r="V1813" s="53"/>
    </row>
    <row r="1814">
      <c r="A1814" s="83"/>
      <c r="B1814" s="53"/>
      <c r="C1814" s="53"/>
      <c r="D1814" s="53"/>
      <c r="E1814" s="240"/>
      <c r="F1814" s="241"/>
      <c r="G1814" s="53"/>
      <c r="H1814" s="53"/>
      <c r="I1814" s="53"/>
      <c r="J1814" s="53"/>
      <c r="K1814" s="53"/>
      <c r="L1814" s="53"/>
      <c r="M1814" s="53"/>
      <c r="N1814" s="53"/>
      <c r="O1814" s="53"/>
      <c r="P1814" s="53"/>
      <c r="Q1814" s="53"/>
      <c r="R1814" s="53"/>
      <c r="S1814" s="53"/>
      <c r="T1814" s="53"/>
      <c r="U1814" s="53"/>
      <c r="V1814" s="53"/>
    </row>
    <row r="1815">
      <c r="A1815" s="83"/>
      <c r="B1815" s="53"/>
      <c r="C1815" s="53"/>
      <c r="D1815" s="53"/>
      <c r="E1815" s="240"/>
      <c r="F1815" s="241"/>
      <c r="G1815" s="53"/>
      <c r="H1815" s="53"/>
      <c r="I1815" s="53"/>
      <c r="J1815" s="53"/>
      <c r="K1815" s="53"/>
      <c r="L1815" s="53"/>
      <c r="M1815" s="53"/>
      <c r="N1815" s="53"/>
      <c r="O1815" s="53"/>
      <c r="P1815" s="53"/>
      <c r="Q1815" s="53"/>
      <c r="R1815" s="53"/>
      <c r="S1815" s="53"/>
      <c r="T1815" s="53"/>
      <c r="U1815" s="53"/>
      <c r="V1815" s="53"/>
    </row>
    <row r="1816">
      <c r="A1816" s="83"/>
      <c r="B1816" s="53"/>
      <c r="C1816" s="53"/>
      <c r="D1816" s="53"/>
      <c r="E1816" s="240"/>
      <c r="F1816" s="241"/>
      <c r="G1816" s="53"/>
      <c r="H1816" s="53"/>
      <c r="I1816" s="53"/>
      <c r="J1816" s="53"/>
      <c r="K1816" s="53"/>
      <c r="L1816" s="53"/>
      <c r="M1816" s="53"/>
      <c r="N1816" s="53"/>
      <c r="O1816" s="53"/>
      <c r="P1816" s="53"/>
      <c r="Q1816" s="53"/>
      <c r="R1816" s="53"/>
      <c r="S1816" s="53"/>
      <c r="T1816" s="53"/>
      <c r="U1816" s="53"/>
      <c r="V1816" s="53"/>
    </row>
    <row r="1817">
      <c r="A1817" s="83"/>
      <c r="B1817" s="53"/>
      <c r="C1817" s="53"/>
      <c r="D1817" s="53"/>
      <c r="E1817" s="240"/>
      <c r="F1817" s="241"/>
      <c r="G1817" s="53"/>
      <c r="H1817" s="53"/>
      <c r="I1817" s="53"/>
      <c r="J1817" s="53"/>
      <c r="K1817" s="53"/>
      <c r="L1817" s="53"/>
      <c r="M1817" s="53"/>
      <c r="N1817" s="53"/>
      <c r="O1817" s="53"/>
      <c r="P1817" s="53"/>
      <c r="Q1817" s="53"/>
      <c r="R1817" s="53"/>
      <c r="S1817" s="53"/>
      <c r="T1817" s="53"/>
      <c r="U1817" s="53"/>
      <c r="V1817" s="53"/>
    </row>
    <row r="1818">
      <c r="A1818" s="83"/>
      <c r="B1818" s="53"/>
      <c r="C1818" s="53"/>
      <c r="D1818" s="53"/>
      <c r="E1818" s="240"/>
      <c r="F1818" s="241"/>
      <c r="G1818" s="53"/>
      <c r="H1818" s="53"/>
      <c r="I1818" s="53"/>
      <c r="J1818" s="53"/>
      <c r="K1818" s="53"/>
      <c r="L1818" s="53"/>
      <c r="M1818" s="53"/>
      <c r="N1818" s="53"/>
      <c r="O1818" s="53"/>
      <c r="P1818" s="53"/>
      <c r="Q1818" s="53"/>
      <c r="R1818" s="53"/>
      <c r="S1818" s="53"/>
      <c r="T1818" s="53"/>
      <c r="U1818" s="53"/>
      <c r="V1818" s="53"/>
    </row>
    <row r="1819">
      <c r="A1819" s="83"/>
      <c r="B1819" s="53"/>
      <c r="C1819" s="53"/>
      <c r="D1819" s="53"/>
      <c r="E1819" s="240"/>
      <c r="F1819" s="241"/>
      <c r="G1819" s="53"/>
      <c r="H1819" s="53"/>
      <c r="I1819" s="53"/>
      <c r="J1819" s="53"/>
      <c r="K1819" s="53"/>
      <c r="L1819" s="53"/>
      <c r="M1819" s="53"/>
      <c r="N1819" s="53"/>
      <c r="O1819" s="53"/>
      <c r="P1819" s="53"/>
      <c r="Q1819" s="53"/>
      <c r="R1819" s="53"/>
      <c r="S1819" s="53"/>
      <c r="T1819" s="53"/>
      <c r="U1819" s="53"/>
      <c r="V1819" s="53"/>
    </row>
    <row r="1820">
      <c r="A1820" s="83"/>
      <c r="B1820" s="53"/>
      <c r="C1820" s="53"/>
      <c r="D1820" s="53"/>
      <c r="E1820" s="240"/>
      <c r="F1820" s="241"/>
      <c r="G1820" s="53"/>
      <c r="H1820" s="53"/>
      <c r="I1820" s="53"/>
      <c r="J1820" s="53"/>
      <c r="K1820" s="53"/>
      <c r="L1820" s="53"/>
      <c r="M1820" s="53"/>
      <c r="N1820" s="53"/>
      <c r="O1820" s="53"/>
      <c r="P1820" s="53"/>
      <c r="Q1820" s="53"/>
      <c r="R1820" s="53"/>
      <c r="S1820" s="53"/>
      <c r="T1820" s="53"/>
      <c r="U1820" s="53"/>
      <c r="V1820" s="53"/>
    </row>
    <row r="1821">
      <c r="A1821" s="83"/>
      <c r="B1821" s="53"/>
      <c r="C1821" s="53"/>
      <c r="D1821" s="53"/>
      <c r="E1821" s="240"/>
      <c r="F1821" s="241"/>
      <c r="G1821" s="53"/>
      <c r="H1821" s="53"/>
      <c r="I1821" s="53"/>
      <c r="J1821" s="53"/>
      <c r="K1821" s="53"/>
      <c r="L1821" s="53"/>
      <c r="M1821" s="53"/>
      <c r="N1821" s="53"/>
      <c r="O1821" s="53"/>
      <c r="P1821" s="53"/>
      <c r="Q1821" s="53"/>
      <c r="R1821" s="53"/>
      <c r="S1821" s="53"/>
      <c r="T1821" s="53"/>
      <c r="U1821" s="53"/>
      <c r="V1821" s="53"/>
    </row>
    <row r="1822">
      <c r="A1822" s="83"/>
      <c r="B1822" s="53"/>
      <c r="C1822" s="53"/>
      <c r="D1822" s="53"/>
      <c r="E1822" s="240"/>
      <c r="F1822" s="241"/>
      <c r="G1822" s="53"/>
      <c r="H1822" s="53"/>
      <c r="I1822" s="53"/>
      <c r="J1822" s="53"/>
      <c r="K1822" s="53"/>
      <c r="L1822" s="53"/>
      <c r="M1822" s="53"/>
      <c r="N1822" s="53"/>
      <c r="O1822" s="53"/>
      <c r="P1822" s="53"/>
      <c r="Q1822" s="53"/>
      <c r="R1822" s="53"/>
      <c r="S1822" s="53"/>
      <c r="T1822" s="53"/>
      <c r="U1822" s="53"/>
      <c r="V1822" s="53"/>
    </row>
    <row r="1823">
      <c r="A1823" s="83"/>
      <c r="B1823" s="53"/>
      <c r="C1823" s="53"/>
      <c r="D1823" s="53"/>
      <c r="E1823" s="240"/>
      <c r="F1823" s="241"/>
      <c r="G1823" s="53"/>
      <c r="H1823" s="53"/>
      <c r="I1823" s="53"/>
      <c r="J1823" s="53"/>
      <c r="K1823" s="53"/>
      <c r="L1823" s="53"/>
      <c r="M1823" s="53"/>
      <c r="N1823" s="53"/>
      <c r="O1823" s="53"/>
      <c r="P1823" s="53"/>
      <c r="Q1823" s="53"/>
      <c r="R1823" s="53"/>
      <c r="S1823" s="53"/>
      <c r="T1823" s="53"/>
      <c r="U1823" s="53"/>
      <c r="V1823" s="53"/>
    </row>
    <row r="1824">
      <c r="A1824" s="83"/>
      <c r="B1824" s="53"/>
      <c r="C1824" s="53"/>
      <c r="D1824" s="53"/>
      <c r="E1824" s="240"/>
      <c r="F1824" s="241"/>
      <c r="G1824" s="53"/>
      <c r="H1824" s="53"/>
      <c r="I1824" s="53"/>
      <c r="J1824" s="53"/>
      <c r="K1824" s="53"/>
      <c r="L1824" s="53"/>
      <c r="M1824" s="53"/>
      <c r="N1824" s="53"/>
      <c r="O1824" s="53"/>
      <c r="P1824" s="53"/>
      <c r="Q1824" s="53"/>
      <c r="R1824" s="53"/>
      <c r="S1824" s="53"/>
      <c r="T1824" s="53"/>
      <c r="U1824" s="53"/>
      <c r="V1824" s="53"/>
    </row>
    <row r="1825">
      <c r="A1825" s="83"/>
      <c r="B1825" s="53"/>
      <c r="C1825" s="53"/>
      <c r="D1825" s="53"/>
      <c r="E1825" s="240"/>
      <c r="F1825" s="241"/>
      <c r="G1825" s="53"/>
      <c r="H1825" s="53"/>
      <c r="I1825" s="53"/>
      <c r="J1825" s="53"/>
      <c r="K1825" s="53"/>
      <c r="L1825" s="53"/>
      <c r="M1825" s="53"/>
      <c r="N1825" s="53"/>
      <c r="O1825" s="53"/>
      <c r="P1825" s="53"/>
      <c r="Q1825" s="53"/>
      <c r="R1825" s="53"/>
      <c r="S1825" s="53"/>
      <c r="T1825" s="53"/>
      <c r="U1825" s="53"/>
      <c r="V1825" s="53"/>
    </row>
    <row r="1826">
      <c r="A1826" s="83"/>
      <c r="B1826" s="53"/>
      <c r="C1826" s="53"/>
      <c r="D1826" s="53"/>
      <c r="E1826" s="240"/>
      <c r="F1826" s="241"/>
      <c r="G1826" s="53"/>
      <c r="H1826" s="53"/>
      <c r="I1826" s="53"/>
      <c r="J1826" s="53"/>
      <c r="K1826" s="53"/>
      <c r="L1826" s="53"/>
      <c r="M1826" s="53"/>
      <c r="N1826" s="53"/>
      <c r="O1826" s="53"/>
      <c r="P1826" s="53"/>
      <c r="Q1826" s="53"/>
      <c r="R1826" s="53"/>
      <c r="S1826" s="53"/>
      <c r="T1826" s="53"/>
      <c r="U1826" s="53"/>
      <c r="V1826" s="53"/>
    </row>
    <row r="1827">
      <c r="A1827" s="83"/>
      <c r="B1827" s="53"/>
      <c r="C1827" s="53"/>
      <c r="D1827" s="53"/>
      <c r="E1827" s="240"/>
      <c r="F1827" s="241"/>
      <c r="G1827" s="53"/>
      <c r="H1827" s="53"/>
      <c r="I1827" s="53"/>
      <c r="J1827" s="53"/>
      <c r="K1827" s="53"/>
      <c r="L1827" s="53"/>
      <c r="M1827" s="53"/>
      <c r="N1827" s="53"/>
      <c r="O1827" s="53"/>
      <c r="P1827" s="53"/>
      <c r="Q1827" s="53"/>
      <c r="R1827" s="53"/>
      <c r="S1827" s="53"/>
      <c r="T1827" s="53"/>
      <c r="U1827" s="53"/>
      <c r="V1827" s="53"/>
    </row>
    <row r="1828">
      <c r="A1828" s="83"/>
      <c r="B1828" s="53"/>
      <c r="C1828" s="53"/>
      <c r="D1828" s="53"/>
      <c r="E1828" s="240"/>
      <c r="F1828" s="241"/>
      <c r="G1828" s="53"/>
      <c r="H1828" s="53"/>
      <c r="I1828" s="53"/>
      <c r="J1828" s="53"/>
      <c r="K1828" s="53"/>
      <c r="L1828" s="53"/>
      <c r="M1828" s="53"/>
      <c r="N1828" s="53"/>
      <c r="O1828" s="53"/>
      <c r="P1828" s="53"/>
      <c r="Q1828" s="53"/>
      <c r="R1828" s="53"/>
      <c r="S1828" s="53"/>
      <c r="T1828" s="53"/>
      <c r="U1828" s="53"/>
      <c r="V1828" s="53"/>
    </row>
    <row r="1829">
      <c r="A1829" s="83"/>
      <c r="B1829" s="53"/>
      <c r="C1829" s="53"/>
      <c r="D1829" s="53"/>
      <c r="E1829" s="240"/>
      <c r="F1829" s="241"/>
      <c r="G1829" s="53"/>
      <c r="H1829" s="53"/>
      <c r="I1829" s="53"/>
      <c r="J1829" s="53"/>
      <c r="K1829" s="53"/>
      <c r="L1829" s="53"/>
      <c r="M1829" s="53"/>
      <c r="N1829" s="53"/>
      <c r="O1829" s="53"/>
      <c r="P1829" s="53"/>
      <c r="Q1829" s="53"/>
      <c r="R1829" s="53"/>
      <c r="S1829" s="53"/>
      <c r="T1829" s="53"/>
      <c r="U1829" s="53"/>
      <c r="V1829" s="53"/>
    </row>
    <row r="1830">
      <c r="A1830" s="83"/>
      <c r="B1830" s="53"/>
      <c r="C1830" s="53"/>
      <c r="D1830" s="53"/>
      <c r="E1830" s="240"/>
      <c r="F1830" s="241"/>
      <c r="G1830" s="53"/>
      <c r="H1830" s="53"/>
      <c r="I1830" s="53"/>
      <c r="J1830" s="53"/>
      <c r="K1830" s="53"/>
      <c r="L1830" s="53"/>
      <c r="M1830" s="53"/>
      <c r="N1830" s="53"/>
      <c r="O1830" s="53"/>
      <c r="P1830" s="53"/>
      <c r="Q1830" s="53"/>
      <c r="R1830" s="53"/>
      <c r="S1830" s="53"/>
      <c r="T1830" s="53"/>
      <c r="U1830" s="53"/>
      <c r="V1830" s="53"/>
    </row>
    <row r="1831">
      <c r="A1831" s="83"/>
      <c r="B1831" s="53"/>
      <c r="C1831" s="53"/>
      <c r="D1831" s="53"/>
      <c r="E1831" s="240"/>
      <c r="F1831" s="241"/>
      <c r="G1831" s="53"/>
      <c r="H1831" s="53"/>
      <c r="I1831" s="53"/>
      <c r="J1831" s="53"/>
      <c r="K1831" s="53"/>
      <c r="L1831" s="53"/>
      <c r="M1831" s="53"/>
      <c r="N1831" s="53"/>
      <c r="O1831" s="53"/>
      <c r="P1831" s="53"/>
      <c r="Q1831" s="53"/>
      <c r="R1831" s="53"/>
      <c r="S1831" s="53"/>
      <c r="T1831" s="53"/>
      <c r="U1831" s="53"/>
      <c r="V1831" s="53"/>
    </row>
    <row r="1832">
      <c r="A1832" s="83"/>
      <c r="B1832" s="53"/>
      <c r="C1832" s="53"/>
      <c r="D1832" s="53"/>
      <c r="E1832" s="240"/>
      <c r="F1832" s="241"/>
      <c r="G1832" s="53"/>
      <c r="H1832" s="53"/>
      <c r="I1832" s="53"/>
      <c r="J1832" s="53"/>
      <c r="K1832" s="53"/>
      <c r="L1832" s="53"/>
      <c r="M1832" s="53"/>
      <c r="N1832" s="53"/>
      <c r="O1832" s="53"/>
      <c r="P1832" s="53"/>
      <c r="Q1832" s="53"/>
      <c r="R1832" s="53"/>
      <c r="S1832" s="53"/>
      <c r="T1832" s="53"/>
      <c r="U1832" s="53"/>
      <c r="V1832" s="53"/>
    </row>
    <row r="1833">
      <c r="A1833" s="83"/>
      <c r="B1833" s="53"/>
      <c r="C1833" s="53"/>
      <c r="D1833" s="53"/>
      <c r="E1833" s="240"/>
      <c r="F1833" s="241"/>
      <c r="G1833" s="53"/>
      <c r="H1833" s="53"/>
      <c r="I1833" s="53"/>
      <c r="J1833" s="53"/>
      <c r="K1833" s="53"/>
      <c r="L1833" s="53"/>
      <c r="M1833" s="53"/>
      <c r="N1833" s="53"/>
      <c r="O1833" s="53"/>
      <c r="P1833" s="53"/>
      <c r="Q1833" s="53"/>
      <c r="R1833" s="53"/>
      <c r="S1833" s="53"/>
      <c r="T1833" s="53"/>
      <c r="U1833" s="53"/>
      <c r="V1833" s="53"/>
    </row>
    <row r="1834">
      <c r="A1834" s="83"/>
      <c r="B1834" s="53"/>
      <c r="C1834" s="53"/>
      <c r="D1834" s="53"/>
      <c r="E1834" s="240"/>
      <c r="F1834" s="241"/>
      <c r="G1834" s="53"/>
      <c r="H1834" s="53"/>
      <c r="I1834" s="53"/>
      <c r="J1834" s="53"/>
      <c r="K1834" s="53"/>
      <c r="L1834" s="53"/>
      <c r="M1834" s="53"/>
      <c r="N1834" s="53"/>
      <c r="O1834" s="53"/>
      <c r="P1834" s="53"/>
      <c r="Q1834" s="53"/>
      <c r="R1834" s="53"/>
      <c r="S1834" s="53"/>
      <c r="T1834" s="53"/>
      <c r="U1834" s="53"/>
      <c r="V1834" s="53"/>
    </row>
    <row r="1835">
      <c r="A1835" s="83"/>
      <c r="B1835" s="53"/>
      <c r="C1835" s="53"/>
      <c r="D1835" s="53"/>
      <c r="E1835" s="240"/>
      <c r="F1835" s="241"/>
      <c r="G1835" s="53"/>
      <c r="H1835" s="53"/>
      <c r="I1835" s="53"/>
      <c r="J1835" s="53"/>
      <c r="K1835" s="53"/>
      <c r="L1835" s="53"/>
      <c r="M1835" s="53"/>
      <c r="N1835" s="53"/>
      <c r="O1835" s="53"/>
      <c r="P1835" s="53"/>
      <c r="Q1835" s="53"/>
      <c r="R1835" s="53"/>
      <c r="S1835" s="53"/>
      <c r="T1835" s="53"/>
      <c r="U1835" s="53"/>
      <c r="V1835" s="53"/>
    </row>
    <row r="1836">
      <c r="A1836" s="83"/>
      <c r="B1836" s="53"/>
      <c r="C1836" s="53"/>
      <c r="D1836" s="53"/>
      <c r="E1836" s="240"/>
      <c r="F1836" s="241"/>
      <c r="G1836" s="53"/>
      <c r="H1836" s="53"/>
      <c r="I1836" s="53"/>
      <c r="J1836" s="53"/>
      <c r="K1836" s="53"/>
      <c r="L1836" s="53"/>
      <c r="M1836" s="53"/>
      <c r="N1836" s="53"/>
      <c r="O1836" s="53"/>
      <c r="P1836" s="53"/>
      <c r="Q1836" s="53"/>
      <c r="R1836" s="53"/>
      <c r="S1836" s="53"/>
      <c r="T1836" s="53"/>
      <c r="U1836" s="53"/>
      <c r="V1836" s="53"/>
    </row>
    <row r="1837">
      <c r="A1837" s="83"/>
      <c r="B1837" s="53"/>
      <c r="C1837" s="53"/>
      <c r="D1837" s="53"/>
      <c r="E1837" s="240"/>
      <c r="F1837" s="241"/>
      <c r="G1837" s="53"/>
      <c r="H1837" s="53"/>
      <c r="I1837" s="53"/>
      <c r="J1837" s="53"/>
      <c r="K1837" s="53"/>
      <c r="L1837" s="53"/>
      <c r="M1837" s="53"/>
      <c r="N1837" s="53"/>
      <c r="O1837" s="53"/>
      <c r="P1837" s="53"/>
      <c r="Q1837" s="53"/>
      <c r="R1837" s="53"/>
      <c r="S1837" s="53"/>
      <c r="T1837" s="53"/>
      <c r="U1837" s="53"/>
      <c r="V1837" s="53"/>
    </row>
    <row r="1838">
      <c r="A1838" s="83"/>
      <c r="B1838" s="53"/>
      <c r="C1838" s="53"/>
      <c r="D1838" s="53"/>
      <c r="E1838" s="240"/>
      <c r="F1838" s="241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</row>
    <row r="1839">
      <c r="A1839" s="83"/>
      <c r="B1839" s="53"/>
      <c r="C1839" s="53"/>
      <c r="D1839" s="53"/>
      <c r="E1839" s="240"/>
      <c r="F1839" s="241"/>
      <c r="G1839" s="53"/>
      <c r="H1839" s="53"/>
      <c r="I1839" s="53"/>
      <c r="J1839" s="53"/>
      <c r="K1839" s="53"/>
      <c r="L1839" s="53"/>
      <c r="M1839" s="53"/>
      <c r="N1839" s="53"/>
      <c r="O1839" s="53"/>
      <c r="P1839" s="53"/>
      <c r="Q1839" s="53"/>
      <c r="R1839" s="53"/>
      <c r="S1839" s="53"/>
      <c r="T1839" s="53"/>
      <c r="U1839" s="53"/>
      <c r="V1839" s="53"/>
    </row>
    <row r="1840">
      <c r="A1840" s="83"/>
      <c r="B1840" s="53"/>
      <c r="C1840" s="53"/>
      <c r="D1840" s="53"/>
      <c r="E1840" s="240"/>
      <c r="F1840" s="241"/>
      <c r="G1840" s="53"/>
      <c r="H1840" s="53"/>
      <c r="I1840" s="53"/>
      <c r="J1840" s="53"/>
      <c r="K1840" s="53"/>
      <c r="L1840" s="53"/>
      <c r="M1840" s="53"/>
      <c r="N1840" s="53"/>
      <c r="O1840" s="53"/>
      <c r="P1840" s="53"/>
      <c r="Q1840" s="53"/>
      <c r="R1840" s="53"/>
      <c r="S1840" s="53"/>
      <c r="T1840" s="53"/>
      <c r="U1840" s="53"/>
      <c r="V1840" s="53"/>
    </row>
    <row r="1841">
      <c r="A1841" s="83"/>
      <c r="B1841" s="53"/>
      <c r="C1841" s="53"/>
      <c r="D1841" s="53"/>
      <c r="E1841" s="240"/>
      <c r="F1841" s="241"/>
      <c r="G1841" s="53"/>
      <c r="H1841" s="53"/>
      <c r="I1841" s="53"/>
      <c r="J1841" s="53"/>
      <c r="K1841" s="53"/>
      <c r="L1841" s="53"/>
      <c r="M1841" s="53"/>
      <c r="N1841" s="53"/>
      <c r="O1841" s="53"/>
      <c r="P1841" s="53"/>
      <c r="Q1841" s="53"/>
      <c r="R1841" s="53"/>
      <c r="S1841" s="53"/>
      <c r="T1841" s="53"/>
      <c r="U1841" s="53"/>
      <c r="V1841" s="53"/>
    </row>
    <row r="1842">
      <c r="A1842" s="83"/>
      <c r="B1842" s="53"/>
      <c r="C1842" s="53"/>
      <c r="D1842" s="53"/>
      <c r="E1842" s="240"/>
      <c r="F1842" s="241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</row>
    <row r="1843">
      <c r="A1843" s="83"/>
      <c r="B1843" s="53"/>
      <c r="C1843" s="53"/>
      <c r="D1843" s="53"/>
      <c r="E1843" s="240"/>
      <c r="F1843" s="241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53"/>
      <c r="T1843" s="53"/>
      <c r="U1843" s="53"/>
      <c r="V1843" s="53"/>
    </row>
    <row r="1844">
      <c r="A1844" s="83"/>
      <c r="B1844" s="53"/>
      <c r="C1844" s="53"/>
      <c r="D1844" s="53"/>
      <c r="E1844" s="240"/>
      <c r="F1844" s="241"/>
      <c r="G1844" s="53"/>
      <c r="H1844" s="53"/>
      <c r="I1844" s="53"/>
      <c r="J1844" s="53"/>
      <c r="K1844" s="53"/>
      <c r="L1844" s="53"/>
      <c r="M1844" s="53"/>
      <c r="N1844" s="53"/>
      <c r="O1844" s="53"/>
      <c r="P1844" s="53"/>
      <c r="Q1844" s="53"/>
      <c r="R1844" s="53"/>
      <c r="S1844" s="53"/>
      <c r="T1844" s="53"/>
      <c r="U1844" s="53"/>
      <c r="V1844" s="53"/>
    </row>
    <row r="1845">
      <c r="A1845" s="83"/>
      <c r="B1845" s="53"/>
      <c r="C1845" s="53"/>
      <c r="D1845" s="53"/>
      <c r="E1845" s="240"/>
      <c r="F1845" s="241"/>
      <c r="G1845" s="53"/>
      <c r="H1845" s="53"/>
      <c r="I1845" s="53"/>
      <c r="J1845" s="53"/>
      <c r="K1845" s="53"/>
      <c r="L1845" s="53"/>
      <c r="M1845" s="53"/>
      <c r="N1845" s="53"/>
      <c r="O1845" s="53"/>
      <c r="P1845" s="53"/>
      <c r="Q1845" s="53"/>
      <c r="R1845" s="53"/>
      <c r="S1845" s="53"/>
      <c r="T1845" s="53"/>
      <c r="U1845" s="53"/>
      <c r="V1845" s="53"/>
    </row>
    <row r="1846">
      <c r="A1846" s="83"/>
      <c r="B1846" s="53"/>
      <c r="C1846" s="53"/>
      <c r="D1846" s="53"/>
      <c r="E1846" s="240"/>
      <c r="F1846" s="241"/>
      <c r="G1846" s="53"/>
      <c r="H1846" s="53"/>
      <c r="I1846" s="53"/>
      <c r="J1846" s="53"/>
      <c r="K1846" s="53"/>
      <c r="L1846" s="53"/>
      <c r="M1846" s="53"/>
      <c r="N1846" s="53"/>
      <c r="O1846" s="53"/>
      <c r="P1846" s="53"/>
      <c r="Q1846" s="53"/>
      <c r="R1846" s="53"/>
      <c r="S1846" s="53"/>
      <c r="T1846" s="53"/>
      <c r="U1846" s="53"/>
      <c r="V1846" s="53"/>
    </row>
    <row r="1847">
      <c r="A1847" s="83"/>
      <c r="B1847" s="53"/>
      <c r="C1847" s="53"/>
      <c r="D1847" s="53"/>
      <c r="E1847" s="240"/>
      <c r="F1847" s="241"/>
      <c r="G1847" s="53"/>
      <c r="H1847" s="53"/>
      <c r="I1847" s="53"/>
      <c r="J1847" s="53"/>
      <c r="K1847" s="53"/>
      <c r="L1847" s="53"/>
      <c r="M1847" s="53"/>
      <c r="N1847" s="53"/>
      <c r="O1847" s="53"/>
      <c r="P1847" s="53"/>
      <c r="Q1847" s="53"/>
      <c r="R1847" s="53"/>
      <c r="S1847" s="53"/>
      <c r="T1847" s="53"/>
      <c r="U1847" s="53"/>
      <c r="V1847" s="53"/>
    </row>
    <row r="1848">
      <c r="A1848" s="83"/>
      <c r="B1848" s="53"/>
      <c r="C1848" s="53"/>
      <c r="D1848" s="53"/>
      <c r="E1848" s="240"/>
      <c r="F1848" s="241"/>
      <c r="G1848" s="53"/>
      <c r="H1848" s="53"/>
      <c r="I1848" s="53"/>
      <c r="J1848" s="53"/>
      <c r="K1848" s="53"/>
      <c r="L1848" s="53"/>
      <c r="M1848" s="53"/>
      <c r="N1848" s="53"/>
      <c r="O1848" s="53"/>
      <c r="P1848" s="53"/>
      <c r="Q1848" s="53"/>
      <c r="R1848" s="53"/>
      <c r="S1848" s="53"/>
      <c r="T1848" s="53"/>
      <c r="U1848" s="53"/>
      <c r="V1848" s="53"/>
    </row>
    <row r="1849">
      <c r="A1849" s="83"/>
      <c r="B1849" s="53"/>
      <c r="C1849" s="53"/>
      <c r="D1849" s="53"/>
      <c r="E1849" s="240"/>
      <c r="F1849" s="241"/>
      <c r="G1849" s="53"/>
      <c r="H1849" s="53"/>
      <c r="I1849" s="53"/>
      <c r="J1849" s="53"/>
      <c r="K1849" s="53"/>
      <c r="L1849" s="53"/>
      <c r="M1849" s="53"/>
      <c r="N1849" s="53"/>
      <c r="O1849" s="53"/>
      <c r="P1849" s="53"/>
      <c r="Q1849" s="53"/>
      <c r="R1849" s="53"/>
      <c r="S1849" s="53"/>
      <c r="T1849" s="53"/>
      <c r="U1849" s="53"/>
      <c r="V1849" s="53"/>
    </row>
    <row r="1850">
      <c r="A1850" s="83"/>
      <c r="B1850" s="53"/>
      <c r="C1850" s="53"/>
      <c r="D1850" s="53"/>
      <c r="E1850" s="240"/>
      <c r="F1850" s="241"/>
      <c r="G1850" s="53"/>
      <c r="H1850" s="53"/>
      <c r="I1850" s="53"/>
      <c r="J1850" s="53"/>
      <c r="K1850" s="53"/>
      <c r="L1850" s="53"/>
      <c r="M1850" s="53"/>
      <c r="N1850" s="53"/>
      <c r="O1850" s="53"/>
      <c r="P1850" s="53"/>
      <c r="Q1850" s="53"/>
      <c r="R1850" s="53"/>
      <c r="S1850" s="53"/>
      <c r="T1850" s="53"/>
      <c r="U1850" s="53"/>
      <c r="V1850" s="53"/>
    </row>
    <row r="1851">
      <c r="A1851" s="83"/>
      <c r="B1851" s="53"/>
      <c r="C1851" s="53"/>
      <c r="D1851" s="53"/>
      <c r="E1851" s="240"/>
      <c r="F1851" s="241"/>
      <c r="G1851" s="53"/>
      <c r="H1851" s="53"/>
      <c r="I1851" s="53"/>
      <c r="J1851" s="53"/>
      <c r="K1851" s="53"/>
      <c r="L1851" s="53"/>
      <c r="M1851" s="53"/>
      <c r="N1851" s="53"/>
      <c r="O1851" s="53"/>
      <c r="P1851" s="53"/>
      <c r="Q1851" s="53"/>
      <c r="R1851" s="53"/>
      <c r="S1851" s="53"/>
      <c r="T1851" s="53"/>
      <c r="U1851" s="53"/>
      <c r="V1851" s="53"/>
    </row>
    <row r="1852">
      <c r="A1852" s="83"/>
      <c r="B1852" s="53"/>
      <c r="C1852" s="53"/>
      <c r="D1852" s="53"/>
      <c r="E1852" s="240"/>
      <c r="F1852" s="241"/>
      <c r="G1852" s="53"/>
      <c r="H1852" s="53"/>
      <c r="I1852" s="53"/>
      <c r="J1852" s="53"/>
      <c r="K1852" s="53"/>
      <c r="L1852" s="53"/>
      <c r="M1852" s="53"/>
      <c r="N1852" s="53"/>
      <c r="O1852" s="53"/>
      <c r="P1852" s="53"/>
      <c r="Q1852" s="53"/>
      <c r="R1852" s="53"/>
      <c r="S1852" s="53"/>
      <c r="T1852" s="53"/>
      <c r="U1852" s="53"/>
      <c r="V1852" s="53"/>
    </row>
    <row r="1853">
      <c r="A1853" s="83"/>
      <c r="B1853" s="53"/>
      <c r="C1853" s="53"/>
      <c r="D1853" s="53"/>
      <c r="E1853" s="240"/>
      <c r="F1853" s="241"/>
      <c r="G1853" s="53"/>
      <c r="H1853" s="53"/>
      <c r="I1853" s="53"/>
      <c r="J1853" s="53"/>
      <c r="K1853" s="53"/>
      <c r="L1853" s="53"/>
      <c r="M1853" s="53"/>
      <c r="N1853" s="53"/>
      <c r="O1853" s="53"/>
      <c r="P1853" s="53"/>
      <c r="Q1853" s="53"/>
      <c r="R1853" s="53"/>
      <c r="S1853" s="53"/>
      <c r="T1853" s="53"/>
      <c r="U1853" s="53"/>
      <c r="V1853" s="53"/>
    </row>
    <row r="1854">
      <c r="A1854" s="83"/>
      <c r="B1854" s="53"/>
      <c r="C1854" s="53"/>
      <c r="D1854" s="53"/>
      <c r="E1854" s="240"/>
      <c r="F1854" s="241"/>
      <c r="G1854" s="53"/>
      <c r="H1854" s="53"/>
      <c r="I1854" s="53"/>
      <c r="J1854" s="53"/>
      <c r="K1854" s="53"/>
      <c r="L1854" s="53"/>
      <c r="M1854" s="53"/>
      <c r="N1854" s="53"/>
      <c r="O1854" s="53"/>
      <c r="P1854" s="53"/>
      <c r="Q1854" s="53"/>
      <c r="R1854" s="53"/>
      <c r="S1854" s="53"/>
      <c r="T1854" s="53"/>
      <c r="U1854" s="53"/>
      <c r="V1854" s="53"/>
    </row>
    <row r="1855">
      <c r="A1855" s="83"/>
      <c r="B1855" s="53"/>
      <c r="C1855" s="53"/>
      <c r="D1855" s="53"/>
      <c r="E1855" s="240"/>
      <c r="F1855" s="241"/>
      <c r="G1855" s="53"/>
      <c r="H1855" s="53"/>
      <c r="I1855" s="53"/>
      <c r="J1855" s="53"/>
      <c r="K1855" s="53"/>
      <c r="L1855" s="53"/>
      <c r="M1855" s="53"/>
      <c r="N1855" s="53"/>
      <c r="O1855" s="53"/>
      <c r="P1855" s="53"/>
      <c r="Q1855" s="53"/>
      <c r="R1855" s="53"/>
      <c r="S1855" s="53"/>
      <c r="T1855" s="53"/>
      <c r="U1855" s="53"/>
      <c r="V1855" s="53"/>
    </row>
    <row r="1856">
      <c r="A1856" s="83"/>
      <c r="B1856" s="53"/>
      <c r="C1856" s="53"/>
      <c r="D1856" s="53"/>
      <c r="E1856" s="240"/>
      <c r="F1856" s="241"/>
      <c r="G1856" s="53"/>
      <c r="H1856" s="53"/>
      <c r="I1856" s="53"/>
      <c r="J1856" s="53"/>
      <c r="K1856" s="53"/>
      <c r="L1856" s="53"/>
      <c r="M1856" s="53"/>
      <c r="N1856" s="53"/>
      <c r="O1856" s="53"/>
      <c r="P1856" s="53"/>
      <c r="Q1856" s="53"/>
      <c r="R1856" s="53"/>
      <c r="S1856" s="53"/>
      <c r="T1856" s="53"/>
      <c r="U1856" s="53"/>
      <c r="V1856" s="53"/>
    </row>
    <row r="1857">
      <c r="A1857" s="83"/>
      <c r="B1857" s="53"/>
      <c r="C1857" s="53"/>
      <c r="D1857" s="53"/>
      <c r="E1857" s="240"/>
      <c r="F1857" s="241"/>
      <c r="G1857" s="53"/>
      <c r="H1857" s="53"/>
      <c r="I1857" s="53"/>
      <c r="J1857" s="53"/>
      <c r="K1857" s="53"/>
      <c r="L1857" s="53"/>
      <c r="M1857" s="53"/>
      <c r="N1857" s="53"/>
      <c r="O1857" s="53"/>
      <c r="P1857" s="53"/>
      <c r="Q1857" s="53"/>
      <c r="R1857" s="53"/>
      <c r="S1857" s="53"/>
      <c r="T1857" s="53"/>
      <c r="U1857" s="53"/>
      <c r="V1857" s="53"/>
    </row>
    <row r="1858">
      <c r="A1858" s="83"/>
      <c r="B1858" s="53"/>
      <c r="C1858" s="53"/>
      <c r="D1858" s="53"/>
      <c r="E1858" s="240"/>
      <c r="F1858" s="241"/>
      <c r="G1858" s="53"/>
      <c r="H1858" s="53"/>
      <c r="I1858" s="53"/>
      <c r="J1858" s="53"/>
      <c r="K1858" s="53"/>
      <c r="L1858" s="53"/>
      <c r="M1858" s="53"/>
      <c r="N1858" s="53"/>
      <c r="O1858" s="53"/>
      <c r="P1858" s="53"/>
      <c r="Q1858" s="53"/>
      <c r="R1858" s="53"/>
      <c r="S1858" s="53"/>
      <c r="T1858" s="53"/>
      <c r="U1858" s="53"/>
      <c r="V1858" s="53"/>
    </row>
    <row r="1859">
      <c r="A1859" s="83"/>
      <c r="B1859" s="53"/>
      <c r="C1859" s="53"/>
      <c r="D1859" s="53"/>
      <c r="E1859" s="240"/>
      <c r="F1859" s="241"/>
      <c r="G1859" s="53"/>
      <c r="H1859" s="53"/>
      <c r="I1859" s="53"/>
      <c r="J1859" s="53"/>
      <c r="K1859" s="53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</row>
    <row r="1860">
      <c r="A1860" s="83"/>
      <c r="B1860" s="53"/>
      <c r="C1860" s="53"/>
      <c r="D1860" s="53"/>
      <c r="E1860" s="240"/>
      <c r="F1860" s="241"/>
      <c r="G1860" s="53"/>
      <c r="H1860" s="53"/>
      <c r="I1860" s="53"/>
      <c r="J1860" s="53"/>
      <c r="K1860" s="53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</row>
    <row r="1861">
      <c r="A1861" s="83"/>
      <c r="B1861" s="53"/>
      <c r="C1861" s="53"/>
      <c r="D1861" s="53"/>
      <c r="E1861" s="240"/>
      <c r="F1861" s="241"/>
      <c r="G1861" s="53"/>
      <c r="H1861" s="53"/>
      <c r="I1861" s="53"/>
      <c r="J1861" s="53"/>
      <c r="K1861" s="53"/>
      <c r="L1861" s="53"/>
      <c r="M1861" s="53"/>
      <c r="N1861" s="53"/>
      <c r="O1861" s="53"/>
      <c r="P1861" s="53"/>
      <c r="Q1861" s="53"/>
      <c r="R1861" s="53"/>
      <c r="S1861" s="53"/>
      <c r="T1861" s="53"/>
      <c r="U1861" s="53"/>
      <c r="V1861" s="53"/>
    </row>
    <row r="1862">
      <c r="A1862" s="83"/>
      <c r="B1862" s="53"/>
      <c r="C1862" s="53"/>
      <c r="D1862" s="53"/>
      <c r="E1862" s="240"/>
      <c r="F1862" s="241"/>
      <c r="G1862" s="53"/>
      <c r="H1862" s="53"/>
      <c r="I1862" s="53"/>
      <c r="J1862" s="53"/>
      <c r="K1862" s="53"/>
      <c r="L1862" s="53"/>
      <c r="M1862" s="53"/>
      <c r="N1862" s="53"/>
      <c r="O1862" s="53"/>
      <c r="P1862" s="53"/>
      <c r="Q1862" s="53"/>
      <c r="R1862" s="53"/>
      <c r="S1862" s="53"/>
      <c r="T1862" s="53"/>
      <c r="U1862" s="53"/>
      <c r="V1862" s="53"/>
    </row>
    <row r="1863">
      <c r="A1863" s="83"/>
      <c r="B1863" s="53"/>
      <c r="C1863" s="53"/>
      <c r="D1863" s="53"/>
      <c r="E1863" s="240"/>
      <c r="F1863" s="241"/>
      <c r="G1863" s="53"/>
      <c r="H1863" s="53"/>
      <c r="I1863" s="53"/>
      <c r="J1863" s="53"/>
      <c r="K1863" s="53"/>
      <c r="L1863" s="53"/>
      <c r="M1863" s="53"/>
      <c r="N1863" s="53"/>
      <c r="O1863" s="53"/>
      <c r="P1863" s="53"/>
      <c r="Q1863" s="53"/>
      <c r="R1863" s="53"/>
      <c r="S1863" s="53"/>
      <c r="T1863" s="53"/>
      <c r="U1863" s="53"/>
      <c r="V1863" s="53"/>
    </row>
    <row r="1864">
      <c r="A1864" s="83"/>
      <c r="B1864" s="53"/>
      <c r="C1864" s="53"/>
      <c r="D1864" s="53"/>
      <c r="E1864" s="240"/>
      <c r="F1864" s="241"/>
      <c r="G1864" s="53"/>
      <c r="H1864" s="53"/>
      <c r="I1864" s="53"/>
      <c r="J1864" s="53"/>
      <c r="K1864" s="53"/>
      <c r="L1864" s="53"/>
      <c r="M1864" s="53"/>
      <c r="N1864" s="53"/>
      <c r="O1864" s="53"/>
      <c r="P1864" s="53"/>
      <c r="Q1864" s="53"/>
      <c r="R1864" s="53"/>
      <c r="S1864" s="53"/>
      <c r="T1864" s="53"/>
      <c r="U1864" s="53"/>
      <c r="V1864" s="53"/>
    </row>
    <row r="1865">
      <c r="A1865" s="83"/>
      <c r="B1865" s="53"/>
      <c r="C1865" s="53"/>
      <c r="D1865" s="53"/>
      <c r="E1865" s="240"/>
      <c r="F1865" s="241"/>
      <c r="G1865" s="53"/>
      <c r="H1865" s="53"/>
      <c r="I1865" s="53"/>
      <c r="J1865" s="53"/>
      <c r="K1865" s="53"/>
      <c r="L1865" s="53"/>
      <c r="M1865" s="53"/>
      <c r="N1865" s="53"/>
      <c r="O1865" s="53"/>
      <c r="P1865" s="53"/>
      <c r="Q1865" s="53"/>
      <c r="R1865" s="53"/>
      <c r="S1865" s="53"/>
      <c r="T1865" s="53"/>
      <c r="U1865" s="53"/>
      <c r="V1865" s="53"/>
    </row>
    <row r="1866">
      <c r="A1866" s="83"/>
      <c r="B1866" s="53"/>
      <c r="C1866" s="53"/>
      <c r="D1866" s="53"/>
      <c r="E1866" s="240"/>
      <c r="F1866" s="241"/>
      <c r="G1866" s="53"/>
      <c r="H1866" s="53"/>
      <c r="I1866" s="53"/>
      <c r="J1866" s="53"/>
      <c r="K1866" s="53"/>
      <c r="L1866" s="53"/>
      <c r="M1866" s="53"/>
      <c r="N1866" s="53"/>
      <c r="O1866" s="53"/>
      <c r="P1866" s="53"/>
      <c r="Q1866" s="53"/>
      <c r="R1866" s="53"/>
      <c r="S1866" s="53"/>
      <c r="T1866" s="53"/>
      <c r="U1866" s="53"/>
      <c r="V1866" s="53"/>
    </row>
    <row r="1867">
      <c r="A1867" s="83"/>
      <c r="B1867" s="53"/>
      <c r="C1867" s="53"/>
      <c r="D1867" s="53"/>
      <c r="E1867" s="240"/>
      <c r="F1867" s="241"/>
      <c r="G1867" s="53"/>
      <c r="H1867" s="53"/>
      <c r="I1867" s="53"/>
      <c r="J1867" s="53"/>
      <c r="K1867" s="53"/>
      <c r="L1867" s="53"/>
      <c r="M1867" s="53"/>
      <c r="N1867" s="53"/>
      <c r="O1867" s="53"/>
      <c r="P1867" s="53"/>
      <c r="Q1867" s="53"/>
      <c r="R1867" s="53"/>
      <c r="S1867" s="53"/>
      <c r="T1867" s="53"/>
      <c r="U1867" s="53"/>
      <c r="V1867" s="53"/>
    </row>
    <row r="1868">
      <c r="A1868" s="83"/>
      <c r="B1868" s="53"/>
      <c r="C1868" s="53"/>
      <c r="D1868" s="53"/>
      <c r="E1868" s="240"/>
      <c r="F1868" s="241"/>
      <c r="G1868" s="53"/>
      <c r="H1868" s="53"/>
      <c r="I1868" s="53"/>
      <c r="J1868" s="53"/>
      <c r="K1868" s="53"/>
      <c r="L1868" s="53"/>
      <c r="M1868" s="53"/>
      <c r="N1868" s="53"/>
      <c r="O1868" s="53"/>
      <c r="P1868" s="53"/>
      <c r="Q1868" s="53"/>
      <c r="R1868" s="53"/>
      <c r="S1868" s="53"/>
      <c r="T1868" s="53"/>
      <c r="U1868" s="53"/>
      <c r="V1868" s="53"/>
    </row>
    <row r="1869">
      <c r="A1869" s="83"/>
      <c r="B1869" s="53"/>
      <c r="C1869" s="53"/>
      <c r="D1869" s="53"/>
      <c r="E1869" s="240"/>
      <c r="F1869" s="241"/>
      <c r="G1869" s="53"/>
      <c r="H1869" s="53"/>
      <c r="I1869" s="53"/>
      <c r="J1869" s="53"/>
      <c r="K1869" s="53"/>
      <c r="L1869" s="53"/>
      <c r="M1869" s="53"/>
      <c r="N1869" s="53"/>
      <c r="O1869" s="53"/>
      <c r="P1869" s="53"/>
      <c r="Q1869" s="53"/>
      <c r="R1869" s="53"/>
      <c r="S1869" s="53"/>
      <c r="T1869" s="53"/>
      <c r="U1869" s="53"/>
      <c r="V1869" s="53"/>
    </row>
    <row r="1870">
      <c r="A1870" s="83"/>
      <c r="B1870" s="53"/>
      <c r="C1870" s="53"/>
      <c r="D1870" s="53"/>
      <c r="E1870" s="240"/>
      <c r="F1870" s="241"/>
      <c r="G1870" s="53"/>
      <c r="H1870" s="53"/>
      <c r="I1870" s="53"/>
      <c r="J1870" s="53"/>
      <c r="K1870" s="53"/>
      <c r="L1870" s="53"/>
      <c r="M1870" s="53"/>
      <c r="N1870" s="53"/>
      <c r="O1870" s="53"/>
      <c r="P1870" s="53"/>
      <c r="Q1870" s="53"/>
      <c r="R1870" s="53"/>
      <c r="S1870" s="53"/>
      <c r="T1870" s="53"/>
      <c r="U1870" s="53"/>
      <c r="V1870" s="53"/>
    </row>
    <row r="1871">
      <c r="A1871" s="83"/>
      <c r="B1871" s="53"/>
      <c r="C1871" s="53"/>
      <c r="D1871" s="53"/>
      <c r="E1871" s="240"/>
      <c r="F1871" s="241"/>
      <c r="G1871" s="53"/>
      <c r="H1871" s="53"/>
      <c r="I1871" s="53"/>
      <c r="J1871" s="53"/>
      <c r="K1871" s="53"/>
      <c r="L1871" s="53"/>
      <c r="M1871" s="53"/>
      <c r="N1871" s="53"/>
      <c r="O1871" s="53"/>
      <c r="P1871" s="53"/>
      <c r="Q1871" s="53"/>
      <c r="R1871" s="53"/>
      <c r="S1871" s="53"/>
      <c r="T1871" s="53"/>
      <c r="U1871" s="53"/>
      <c r="V1871" s="53"/>
    </row>
    <row r="1872">
      <c r="A1872" s="83"/>
      <c r="B1872" s="53"/>
      <c r="C1872" s="53"/>
      <c r="D1872" s="53"/>
      <c r="E1872" s="240"/>
      <c r="F1872" s="241"/>
      <c r="G1872" s="53"/>
      <c r="H1872" s="53"/>
      <c r="I1872" s="53"/>
      <c r="J1872" s="53"/>
      <c r="K1872" s="53"/>
      <c r="L1872" s="53"/>
      <c r="M1872" s="53"/>
      <c r="N1872" s="53"/>
      <c r="O1872" s="53"/>
      <c r="P1872" s="53"/>
      <c r="Q1872" s="53"/>
      <c r="R1872" s="53"/>
      <c r="S1872" s="53"/>
      <c r="T1872" s="53"/>
      <c r="U1872" s="53"/>
      <c r="V1872" s="53"/>
    </row>
    <row r="1873">
      <c r="A1873" s="83"/>
      <c r="B1873" s="53"/>
      <c r="C1873" s="53"/>
      <c r="D1873" s="53"/>
      <c r="E1873" s="240"/>
      <c r="F1873" s="241"/>
      <c r="G1873" s="53"/>
      <c r="H1873" s="53"/>
      <c r="I1873" s="53"/>
      <c r="J1873" s="53"/>
      <c r="K1873" s="53"/>
      <c r="L1873" s="53"/>
      <c r="M1873" s="53"/>
      <c r="N1873" s="53"/>
      <c r="O1873" s="53"/>
      <c r="P1873" s="53"/>
      <c r="Q1873" s="53"/>
      <c r="R1873" s="53"/>
      <c r="S1873" s="53"/>
      <c r="T1873" s="53"/>
      <c r="U1873" s="53"/>
      <c r="V1873" s="53"/>
    </row>
    <row r="1874">
      <c r="A1874" s="83"/>
      <c r="B1874" s="53"/>
      <c r="C1874" s="53"/>
      <c r="D1874" s="53"/>
      <c r="E1874" s="240"/>
      <c r="F1874" s="241"/>
      <c r="G1874" s="53"/>
      <c r="H1874" s="53"/>
      <c r="I1874" s="53"/>
      <c r="J1874" s="53"/>
      <c r="K1874" s="53"/>
      <c r="L1874" s="53"/>
      <c r="M1874" s="53"/>
      <c r="N1874" s="53"/>
      <c r="O1874" s="53"/>
      <c r="P1874" s="53"/>
      <c r="Q1874" s="53"/>
      <c r="R1874" s="53"/>
      <c r="S1874" s="53"/>
      <c r="T1874" s="53"/>
      <c r="U1874" s="53"/>
      <c r="V1874" s="53"/>
    </row>
    <row r="1875">
      <c r="A1875" s="83"/>
      <c r="B1875" s="53"/>
      <c r="C1875" s="53"/>
      <c r="D1875" s="53"/>
      <c r="E1875" s="240"/>
      <c r="F1875" s="241"/>
      <c r="G1875" s="53"/>
      <c r="H1875" s="53"/>
      <c r="I1875" s="53"/>
      <c r="J1875" s="53"/>
      <c r="K1875" s="53"/>
      <c r="L1875" s="53"/>
      <c r="M1875" s="53"/>
      <c r="N1875" s="53"/>
      <c r="O1875" s="53"/>
      <c r="P1875" s="53"/>
      <c r="Q1875" s="53"/>
      <c r="R1875" s="53"/>
      <c r="S1875" s="53"/>
      <c r="T1875" s="53"/>
      <c r="U1875" s="53"/>
      <c r="V1875" s="53"/>
    </row>
    <row r="1876">
      <c r="A1876" s="83"/>
      <c r="B1876" s="53"/>
      <c r="C1876" s="53"/>
      <c r="D1876" s="53"/>
      <c r="E1876" s="240"/>
      <c r="F1876" s="241"/>
      <c r="G1876" s="53"/>
      <c r="H1876" s="53"/>
      <c r="I1876" s="53"/>
      <c r="J1876" s="53"/>
      <c r="K1876" s="53"/>
      <c r="L1876" s="53"/>
      <c r="M1876" s="53"/>
      <c r="N1876" s="53"/>
      <c r="O1876" s="53"/>
      <c r="P1876" s="53"/>
      <c r="Q1876" s="53"/>
      <c r="R1876" s="53"/>
      <c r="S1876" s="53"/>
      <c r="T1876" s="53"/>
      <c r="U1876" s="53"/>
      <c r="V1876" s="53"/>
    </row>
    <row r="1877">
      <c r="A1877" s="83"/>
      <c r="B1877" s="53"/>
      <c r="C1877" s="53"/>
      <c r="D1877" s="53"/>
      <c r="E1877" s="240"/>
      <c r="F1877" s="241"/>
      <c r="G1877" s="53"/>
      <c r="H1877" s="53"/>
      <c r="I1877" s="53"/>
      <c r="J1877" s="53"/>
      <c r="K1877" s="53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</row>
    <row r="1878">
      <c r="A1878" s="83"/>
      <c r="B1878" s="53"/>
      <c r="C1878" s="53"/>
      <c r="D1878" s="53"/>
      <c r="E1878" s="240"/>
      <c r="F1878" s="241"/>
      <c r="G1878" s="53"/>
      <c r="H1878" s="53"/>
      <c r="I1878" s="53"/>
      <c r="J1878" s="53"/>
      <c r="K1878" s="53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</row>
    <row r="1879">
      <c r="A1879" s="83"/>
      <c r="B1879" s="53"/>
      <c r="C1879" s="53"/>
      <c r="D1879" s="53"/>
      <c r="E1879" s="240"/>
      <c r="F1879" s="241"/>
      <c r="G1879" s="53"/>
      <c r="H1879" s="53"/>
      <c r="I1879" s="53"/>
      <c r="J1879" s="53"/>
      <c r="K1879" s="53"/>
      <c r="L1879" s="53"/>
      <c r="M1879" s="53"/>
      <c r="N1879" s="53"/>
      <c r="O1879" s="53"/>
      <c r="P1879" s="53"/>
      <c r="Q1879" s="53"/>
      <c r="R1879" s="53"/>
      <c r="S1879" s="53"/>
      <c r="T1879" s="53"/>
      <c r="U1879" s="53"/>
      <c r="V1879" s="53"/>
    </row>
    <row r="1880">
      <c r="A1880" s="83"/>
      <c r="B1880" s="53"/>
      <c r="C1880" s="53"/>
      <c r="D1880" s="53"/>
      <c r="E1880" s="240"/>
      <c r="F1880" s="241"/>
      <c r="G1880" s="53"/>
      <c r="H1880" s="53"/>
      <c r="I1880" s="53"/>
      <c r="J1880" s="53"/>
      <c r="K1880" s="53"/>
      <c r="L1880" s="53"/>
      <c r="M1880" s="53"/>
      <c r="N1880" s="53"/>
      <c r="O1880" s="53"/>
      <c r="P1880" s="53"/>
      <c r="Q1880" s="53"/>
      <c r="R1880" s="53"/>
      <c r="S1880" s="53"/>
      <c r="T1880" s="53"/>
      <c r="U1880" s="53"/>
      <c r="V1880" s="53"/>
    </row>
    <row r="1881">
      <c r="A1881" s="83"/>
      <c r="B1881" s="53"/>
      <c r="C1881" s="53"/>
      <c r="D1881" s="53"/>
      <c r="E1881" s="240"/>
      <c r="F1881" s="241"/>
      <c r="G1881" s="53"/>
      <c r="H1881" s="53"/>
      <c r="I1881" s="53"/>
      <c r="J1881" s="53"/>
      <c r="K1881" s="53"/>
      <c r="L1881" s="53"/>
      <c r="M1881" s="53"/>
      <c r="N1881" s="53"/>
      <c r="O1881" s="53"/>
      <c r="P1881" s="53"/>
      <c r="Q1881" s="53"/>
      <c r="R1881" s="53"/>
      <c r="S1881" s="53"/>
      <c r="T1881" s="53"/>
      <c r="U1881" s="53"/>
      <c r="V1881" s="53"/>
    </row>
    <row r="1882">
      <c r="A1882" s="83"/>
      <c r="B1882" s="53"/>
      <c r="C1882" s="53"/>
      <c r="D1882" s="53"/>
      <c r="E1882" s="240"/>
      <c r="F1882" s="241"/>
      <c r="G1882" s="53"/>
      <c r="H1882" s="53"/>
      <c r="I1882" s="53"/>
      <c r="J1882" s="53"/>
      <c r="K1882" s="53"/>
      <c r="L1882" s="53"/>
      <c r="M1882" s="53"/>
      <c r="N1882" s="53"/>
      <c r="O1882" s="53"/>
      <c r="P1882" s="53"/>
      <c r="Q1882" s="53"/>
      <c r="R1882" s="53"/>
      <c r="S1882" s="53"/>
      <c r="T1882" s="53"/>
      <c r="U1882" s="53"/>
      <c r="V1882" s="53"/>
    </row>
    <row r="1883">
      <c r="A1883" s="83"/>
      <c r="B1883" s="53"/>
      <c r="C1883" s="53"/>
      <c r="D1883" s="53"/>
      <c r="E1883" s="240"/>
      <c r="F1883" s="241"/>
      <c r="G1883" s="53"/>
      <c r="H1883" s="53"/>
      <c r="I1883" s="53"/>
      <c r="J1883" s="53"/>
      <c r="K1883" s="53"/>
      <c r="L1883" s="53"/>
      <c r="M1883" s="53"/>
      <c r="N1883" s="53"/>
      <c r="O1883" s="53"/>
      <c r="P1883" s="53"/>
      <c r="Q1883" s="53"/>
      <c r="R1883" s="53"/>
      <c r="S1883" s="53"/>
      <c r="T1883" s="53"/>
      <c r="U1883" s="53"/>
      <c r="V1883" s="53"/>
    </row>
    <row r="1884">
      <c r="A1884" s="83"/>
      <c r="B1884" s="53"/>
      <c r="C1884" s="53"/>
      <c r="D1884" s="53"/>
      <c r="E1884" s="240"/>
      <c r="F1884" s="241"/>
      <c r="G1884" s="53"/>
      <c r="H1884" s="53"/>
      <c r="I1884" s="53"/>
      <c r="J1884" s="53"/>
      <c r="K1884" s="53"/>
      <c r="L1884" s="53"/>
      <c r="M1884" s="53"/>
      <c r="N1884" s="53"/>
      <c r="O1884" s="53"/>
      <c r="P1884" s="53"/>
      <c r="Q1884" s="53"/>
      <c r="R1884" s="53"/>
      <c r="S1884" s="53"/>
      <c r="T1884" s="53"/>
      <c r="U1884" s="53"/>
      <c r="V1884" s="53"/>
    </row>
    <row r="1885">
      <c r="A1885" s="83"/>
      <c r="B1885" s="53"/>
      <c r="C1885" s="53"/>
      <c r="D1885" s="53"/>
      <c r="E1885" s="240"/>
      <c r="F1885" s="241"/>
      <c r="G1885" s="53"/>
      <c r="H1885" s="53"/>
      <c r="I1885" s="53"/>
      <c r="J1885" s="53"/>
      <c r="K1885" s="53"/>
      <c r="L1885" s="53"/>
      <c r="M1885" s="53"/>
      <c r="N1885" s="53"/>
      <c r="O1885" s="53"/>
      <c r="P1885" s="53"/>
      <c r="Q1885" s="53"/>
      <c r="R1885" s="53"/>
      <c r="S1885" s="53"/>
      <c r="T1885" s="53"/>
      <c r="U1885" s="53"/>
      <c r="V1885" s="53"/>
    </row>
    <row r="1886">
      <c r="A1886" s="83"/>
      <c r="B1886" s="53"/>
      <c r="C1886" s="53"/>
      <c r="D1886" s="53"/>
      <c r="E1886" s="240"/>
      <c r="F1886" s="241"/>
      <c r="G1886" s="53"/>
      <c r="H1886" s="53"/>
      <c r="I1886" s="53"/>
      <c r="J1886" s="53"/>
      <c r="K1886" s="53"/>
      <c r="L1886" s="53"/>
      <c r="M1886" s="53"/>
      <c r="N1886" s="53"/>
      <c r="O1886" s="53"/>
      <c r="P1886" s="53"/>
      <c r="Q1886" s="53"/>
      <c r="R1886" s="53"/>
      <c r="S1886" s="53"/>
      <c r="T1886" s="53"/>
      <c r="U1886" s="53"/>
      <c r="V1886" s="53"/>
    </row>
    <row r="1887">
      <c r="A1887" s="83"/>
      <c r="B1887" s="53"/>
      <c r="C1887" s="53"/>
      <c r="D1887" s="53"/>
      <c r="E1887" s="240"/>
      <c r="F1887" s="241"/>
      <c r="G1887" s="53"/>
      <c r="H1887" s="53"/>
      <c r="I1887" s="53"/>
      <c r="J1887" s="53"/>
      <c r="K1887" s="53"/>
      <c r="L1887" s="53"/>
      <c r="M1887" s="53"/>
      <c r="N1887" s="53"/>
      <c r="O1887" s="53"/>
      <c r="P1887" s="53"/>
      <c r="Q1887" s="53"/>
      <c r="R1887" s="53"/>
      <c r="S1887" s="53"/>
      <c r="T1887" s="53"/>
      <c r="U1887" s="53"/>
      <c r="V1887" s="53"/>
    </row>
    <row r="1888">
      <c r="A1888" s="83"/>
      <c r="B1888" s="53"/>
      <c r="C1888" s="53"/>
      <c r="D1888" s="53"/>
      <c r="E1888" s="240"/>
      <c r="F1888" s="241"/>
      <c r="G1888" s="53"/>
      <c r="H1888" s="53"/>
      <c r="I1888" s="53"/>
      <c r="J1888" s="53"/>
      <c r="K1888" s="53"/>
      <c r="L1888" s="53"/>
      <c r="M1888" s="53"/>
      <c r="N1888" s="53"/>
      <c r="O1888" s="53"/>
      <c r="P1888" s="53"/>
      <c r="Q1888" s="53"/>
      <c r="R1888" s="53"/>
      <c r="S1888" s="53"/>
      <c r="T1888" s="53"/>
      <c r="U1888" s="53"/>
      <c r="V1888" s="53"/>
    </row>
    <row r="1889">
      <c r="A1889" s="83"/>
      <c r="B1889" s="53"/>
      <c r="C1889" s="53"/>
      <c r="D1889" s="53"/>
      <c r="E1889" s="240"/>
      <c r="F1889" s="241"/>
      <c r="G1889" s="53"/>
      <c r="H1889" s="53"/>
      <c r="I1889" s="53"/>
      <c r="J1889" s="53"/>
      <c r="K1889" s="53"/>
      <c r="L1889" s="53"/>
      <c r="M1889" s="53"/>
      <c r="N1889" s="53"/>
      <c r="O1889" s="53"/>
      <c r="P1889" s="53"/>
      <c r="Q1889" s="53"/>
      <c r="R1889" s="53"/>
      <c r="S1889" s="53"/>
      <c r="T1889" s="53"/>
      <c r="U1889" s="53"/>
      <c r="V1889" s="53"/>
    </row>
    <row r="1890">
      <c r="A1890" s="83"/>
      <c r="B1890" s="53"/>
      <c r="C1890" s="53"/>
      <c r="D1890" s="53"/>
      <c r="E1890" s="240"/>
      <c r="F1890" s="241"/>
      <c r="G1890" s="53"/>
      <c r="H1890" s="53"/>
      <c r="I1890" s="53"/>
      <c r="J1890" s="53"/>
      <c r="K1890" s="53"/>
      <c r="L1890" s="53"/>
      <c r="M1890" s="53"/>
      <c r="N1890" s="53"/>
      <c r="O1890" s="53"/>
      <c r="P1890" s="53"/>
      <c r="Q1890" s="53"/>
      <c r="R1890" s="53"/>
      <c r="S1890" s="53"/>
      <c r="T1890" s="53"/>
      <c r="U1890" s="53"/>
      <c r="V1890" s="53"/>
    </row>
    <row r="1891">
      <c r="A1891" s="83"/>
      <c r="B1891" s="53"/>
      <c r="C1891" s="53"/>
      <c r="D1891" s="53"/>
      <c r="E1891" s="240"/>
      <c r="F1891" s="241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</row>
    <row r="1892">
      <c r="A1892" s="83"/>
      <c r="B1892" s="53"/>
      <c r="C1892" s="53"/>
      <c r="D1892" s="53"/>
      <c r="E1892" s="240"/>
      <c r="F1892" s="241"/>
      <c r="G1892" s="53"/>
      <c r="H1892" s="53"/>
      <c r="I1892" s="53"/>
      <c r="J1892" s="53"/>
      <c r="K1892" s="53"/>
      <c r="L1892" s="53"/>
      <c r="M1892" s="53"/>
      <c r="N1892" s="53"/>
      <c r="O1892" s="53"/>
      <c r="P1892" s="53"/>
      <c r="Q1892" s="53"/>
      <c r="R1892" s="53"/>
      <c r="S1892" s="53"/>
      <c r="T1892" s="53"/>
      <c r="U1892" s="53"/>
      <c r="V1892" s="53"/>
    </row>
    <row r="1893">
      <c r="A1893" s="83"/>
      <c r="B1893" s="53"/>
      <c r="C1893" s="53"/>
      <c r="D1893" s="53"/>
      <c r="E1893" s="240"/>
      <c r="F1893" s="241"/>
      <c r="G1893" s="53"/>
      <c r="H1893" s="53"/>
      <c r="I1893" s="53"/>
      <c r="J1893" s="53"/>
      <c r="K1893" s="53"/>
      <c r="L1893" s="53"/>
      <c r="M1893" s="53"/>
      <c r="N1893" s="53"/>
      <c r="O1893" s="53"/>
      <c r="P1893" s="53"/>
      <c r="Q1893" s="53"/>
      <c r="R1893" s="53"/>
      <c r="S1893" s="53"/>
      <c r="T1893" s="53"/>
      <c r="U1893" s="53"/>
      <c r="V1893" s="53"/>
    </row>
    <row r="1894">
      <c r="A1894" s="83"/>
      <c r="B1894" s="53"/>
      <c r="C1894" s="53"/>
      <c r="D1894" s="53"/>
      <c r="E1894" s="240"/>
      <c r="F1894" s="241"/>
      <c r="G1894" s="53"/>
      <c r="H1894" s="53"/>
      <c r="I1894" s="53"/>
      <c r="J1894" s="53"/>
      <c r="K1894" s="53"/>
      <c r="L1894" s="53"/>
      <c r="M1894" s="53"/>
      <c r="N1894" s="53"/>
      <c r="O1894" s="53"/>
      <c r="P1894" s="53"/>
      <c r="Q1894" s="53"/>
      <c r="R1894" s="53"/>
      <c r="S1894" s="53"/>
      <c r="T1894" s="53"/>
      <c r="U1894" s="53"/>
      <c r="V1894" s="53"/>
    </row>
    <row r="1895">
      <c r="A1895" s="83"/>
      <c r="B1895" s="53"/>
      <c r="C1895" s="53"/>
      <c r="D1895" s="53"/>
      <c r="E1895" s="240"/>
      <c r="F1895" s="241"/>
      <c r="G1895" s="53"/>
      <c r="H1895" s="53"/>
      <c r="I1895" s="53"/>
      <c r="J1895" s="53"/>
      <c r="K1895" s="53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</row>
    <row r="1896">
      <c r="A1896" s="83"/>
      <c r="B1896" s="53"/>
      <c r="C1896" s="53"/>
      <c r="D1896" s="53"/>
      <c r="E1896" s="240"/>
      <c r="F1896" s="241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</row>
    <row r="1897">
      <c r="A1897" s="83"/>
      <c r="B1897" s="53"/>
      <c r="C1897" s="53"/>
      <c r="D1897" s="53"/>
      <c r="E1897" s="240"/>
      <c r="F1897" s="241"/>
      <c r="G1897" s="53"/>
      <c r="H1897" s="53"/>
      <c r="I1897" s="53"/>
      <c r="J1897" s="53"/>
      <c r="K1897" s="53"/>
      <c r="L1897" s="53"/>
      <c r="M1897" s="53"/>
      <c r="N1897" s="53"/>
      <c r="O1897" s="53"/>
      <c r="P1897" s="53"/>
      <c r="Q1897" s="53"/>
      <c r="R1897" s="53"/>
      <c r="S1897" s="53"/>
      <c r="T1897" s="53"/>
      <c r="U1897" s="53"/>
      <c r="V1897" s="53"/>
    </row>
    <row r="1898">
      <c r="A1898" s="83"/>
      <c r="B1898" s="53"/>
      <c r="C1898" s="53"/>
      <c r="D1898" s="53"/>
      <c r="E1898" s="240"/>
      <c r="F1898" s="241"/>
      <c r="G1898" s="53"/>
      <c r="H1898" s="53"/>
      <c r="I1898" s="53"/>
      <c r="J1898" s="53"/>
      <c r="K1898" s="53"/>
      <c r="L1898" s="53"/>
      <c r="M1898" s="53"/>
      <c r="N1898" s="53"/>
      <c r="O1898" s="53"/>
      <c r="P1898" s="53"/>
      <c r="Q1898" s="53"/>
      <c r="R1898" s="53"/>
      <c r="S1898" s="53"/>
      <c r="T1898" s="53"/>
      <c r="U1898" s="53"/>
      <c r="V1898" s="53"/>
    </row>
    <row r="1899">
      <c r="A1899" s="83"/>
      <c r="B1899" s="53"/>
      <c r="C1899" s="53"/>
      <c r="D1899" s="53"/>
      <c r="E1899" s="240"/>
      <c r="F1899" s="241"/>
      <c r="G1899" s="53"/>
      <c r="H1899" s="53"/>
      <c r="I1899" s="53"/>
      <c r="J1899" s="53"/>
      <c r="K1899" s="53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</row>
    <row r="1900">
      <c r="A1900" s="83"/>
      <c r="B1900" s="53"/>
      <c r="C1900" s="53"/>
      <c r="D1900" s="53"/>
      <c r="E1900" s="240"/>
      <c r="F1900" s="241"/>
      <c r="G1900" s="53"/>
      <c r="H1900" s="53"/>
      <c r="I1900" s="53"/>
      <c r="J1900" s="53"/>
      <c r="K1900" s="53"/>
      <c r="L1900" s="53"/>
      <c r="M1900" s="53"/>
      <c r="N1900" s="53"/>
      <c r="O1900" s="53"/>
      <c r="P1900" s="53"/>
      <c r="Q1900" s="53"/>
      <c r="R1900" s="53"/>
      <c r="S1900" s="53"/>
      <c r="T1900" s="53"/>
      <c r="U1900" s="53"/>
      <c r="V1900" s="53"/>
    </row>
    <row r="1901">
      <c r="A1901" s="83"/>
      <c r="B1901" s="53"/>
      <c r="C1901" s="53"/>
      <c r="D1901" s="53"/>
      <c r="E1901" s="240"/>
      <c r="F1901" s="241"/>
      <c r="G1901" s="53"/>
      <c r="H1901" s="53"/>
      <c r="I1901" s="53"/>
      <c r="J1901" s="53"/>
      <c r="K1901" s="53"/>
      <c r="L1901" s="53"/>
      <c r="M1901" s="53"/>
      <c r="N1901" s="53"/>
      <c r="O1901" s="53"/>
      <c r="P1901" s="53"/>
      <c r="Q1901" s="53"/>
      <c r="R1901" s="53"/>
      <c r="S1901" s="53"/>
      <c r="T1901" s="53"/>
      <c r="U1901" s="53"/>
      <c r="V1901" s="53"/>
    </row>
    <row r="1902">
      <c r="A1902" s="83"/>
      <c r="B1902" s="53"/>
      <c r="C1902" s="53"/>
      <c r="D1902" s="53"/>
      <c r="E1902" s="240"/>
      <c r="F1902" s="241"/>
      <c r="G1902" s="53"/>
      <c r="H1902" s="53"/>
      <c r="I1902" s="53"/>
      <c r="J1902" s="53"/>
      <c r="K1902" s="53"/>
      <c r="L1902" s="53"/>
      <c r="M1902" s="53"/>
      <c r="N1902" s="53"/>
      <c r="O1902" s="53"/>
      <c r="P1902" s="53"/>
      <c r="Q1902" s="53"/>
      <c r="R1902" s="53"/>
      <c r="S1902" s="53"/>
      <c r="T1902" s="53"/>
      <c r="U1902" s="53"/>
      <c r="V1902" s="53"/>
    </row>
    <row r="1903">
      <c r="A1903" s="83"/>
      <c r="B1903" s="53"/>
      <c r="C1903" s="53"/>
      <c r="D1903" s="53"/>
      <c r="E1903" s="240"/>
      <c r="F1903" s="241"/>
      <c r="G1903" s="53"/>
      <c r="H1903" s="53"/>
      <c r="I1903" s="53"/>
      <c r="J1903" s="53"/>
      <c r="K1903" s="53"/>
      <c r="L1903" s="53"/>
      <c r="M1903" s="53"/>
      <c r="N1903" s="53"/>
      <c r="O1903" s="53"/>
      <c r="P1903" s="53"/>
      <c r="Q1903" s="53"/>
      <c r="R1903" s="53"/>
      <c r="S1903" s="53"/>
      <c r="T1903" s="53"/>
      <c r="U1903" s="53"/>
      <c r="V1903" s="53"/>
    </row>
    <row r="1904">
      <c r="A1904" s="83"/>
      <c r="B1904" s="53"/>
      <c r="C1904" s="53"/>
      <c r="D1904" s="53"/>
      <c r="E1904" s="240"/>
      <c r="F1904" s="241"/>
      <c r="G1904" s="53"/>
      <c r="H1904" s="53"/>
      <c r="I1904" s="53"/>
      <c r="J1904" s="53"/>
      <c r="K1904" s="53"/>
      <c r="L1904" s="53"/>
      <c r="M1904" s="53"/>
      <c r="N1904" s="53"/>
      <c r="O1904" s="53"/>
      <c r="P1904" s="53"/>
      <c r="Q1904" s="53"/>
      <c r="R1904" s="53"/>
      <c r="S1904" s="53"/>
      <c r="T1904" s="53"/>
      <c r="U1904" s="53"/>
      <c r="V1904" s="53"/>
    </row>
    <row r="1905">
      <c r="A1905" s="83"/>
      <c r="B1905" s="53"/>
      <c r="C1905" s="53"/>
      <c r="D1905" s="53"/>
      <c r="E1905" s="240"/>
      <c r="F1905" s="241"/>
      <c r="G1905" s="53"/>
      <c r="H1905" s="53"/>
      <c r="I1905" s="53"/>
      <c r="J1905" s="53"/>
      <c r="K1905" s="53"/>
      <c r="L1905" s="53"/>
      <c r="M1905" s="53"/>
      <c r="N1905" s="53"/>
      <c r="O1905" s="53"/>
      <c r="P1905" s="53"/>
      <c r="Q1905" s="53"/>
      <c r="R1905" s="53"/>
      <c r="S1905" s="53"/>
      <c r="T1905" s="53"/>
      <c r="U1905" s="53"/>
      <c r="V1905" s="53"/>
    </row>
    <row r="1906">
      <c r="A1906" s="83"/>
      <c r="B1906" s="53"/>
      <c r="C1906" s="53"/>
      <c r="D1906" s="53"/>
      <c r="E1906" s="240"/>
      <c r="F1906" s="241"/>
      <c r="G1906" s="53"/>
      <c r="H1906" s="53"/>
      <c r="I1906" s="53"/>
      <c r="J1906" s="53"/>
      <c r="K1906" s="53"/>
      <c r="L1906" s="53"/>
      <c r="M1906" s="53"/>
      <c r="N1906" s="53"/>
      <c r="O1906" s="53"/>
      <c r="P1906" s="53"/>
      <c r="Q1906" s="53"/>
      <c r="R1906" s="53"/>
      <c r="S1906" s="53"/>
      <c r="T1906" s="53"/>
      <c r="U1906" s="53"/>
      <c r="V1906" s="53"/>
    </row>
    <row r="1907">
      <c r="A1907" s="83"/>
      <c r="B1907" s="53"/>
      <c r="C1907" s="53"/>
      <c r="D1907" s="53"/>
      <c r="E1907" s="240"/>
      <c r="F1907" s="241"/>
      <c r="G1907" s="53"/>
      <c r="H1907" s="53"/>
      <c r="I1907" s="53"/>
      <c r="J1907" s="53"/>
      <c r="K1907" s="53"/>
      <c r="L1907" s="53"/>
      <c r="M1907" s="53"/>
      <c r="N1907" s="53"/>
      <c r="O1907" s="53"/>
      <c r="P1907" s="53"/>
      <c r="Q1907" s="53"/>
      <c r="R1907" s="53"/>
      <c r="S1907" s="53"/>
      <c r="T1907" s="53"/>
      <c r="U1907" s="53"/>
      <c r="V1907" s="53"/>
    </row>
    <row r="1908">
      <c r="A1908" s="83"/>
      <c r="B1908" s="53"/>
      <c r="C1908" s="53"/>
      <c r="D1908" s="53"/>
      <c r="E1908" s="240"/>
      <c r="F1908" s="241"/>
      <c r="G1908" s="53"/>
      <c r="H1908" s="53"/>
      <c r="I1908" s="53"/>
      <c r="J1908" s="53"/>
      <c r="K1908" s="53"/>
      <c r="L1908" s="53"/>
      <c r="M1908" s="53"/>
      <c r="N1908" s="53"/>
      <c r="O1908" s="53"/>
      <c r="P1908" s="53"/>
      <c r="Q1908" s="53"/>
      <c r="R1908" s="53"/>
      <c r="S1908" s="53"/>
      <c r="T1908" s="53"/>
      <c r="U1908" s="53"/>
      <c r="V1908" s="53"/>
    </row>
    <row r="1909">
      <c r="A1909" s="83"/>
      <c r="B1909" s="53"/>
      <c r="C1909" s="53"/>
      <c r="D1909" s="53"/>
      <c r="E1909" s="240"/>
      <c r="F1909" s="241"/>
      <c r="G1909" s="53"/>
      <c r="H1909" s="53"/>
      <c r="I1909" s="53"/>
      <c r="J1909" s="53"/>
      <c r="K1909" s="53"/>
      <c r="L1909" s="53"/>
      <c r="M1909" s="53"/>
      <c r="N1909" s="53"/>
      <c r="O1909" s="53"/>
      <c r="P1909" s="53"/>
      <c r="Q1909" s="53"/>
      <c r="R1909" s="53"/>
      <c r="S1909" s="53"/>
      <c r="T1909" s="53"/>
      <c r="U1909" s="53"/>
      <c r="V1909" s="53"/>
    </row>
    <row r="1910">
      <c r="A1910" s="83"/>
      <c r="B1910" s="53"/>
      <c r="C1910" s="53"/>
      <c r="D1910" s="53"/>
      <c r="E1910" s="240"/>
      <c r="F1910" s="241"/>
      <c r="G1910" s="53"/>
      <c r="H1910" s="53"/>
      <c r="I1910" s="53"/>
      <c r="J1910" s="53"/>
      <c r="K1910" s="53"/>
      <c r="L1910" s="53"/>
      <c r="M1910" s="53"/>
      <c r="N1910" s="53"/>
      <c r="O1910" s="53"/>
      <c r="P1910" s="53"/>
      <c r="Q1910" s="53"/>
      <c r="R1910" s="53"/>
      <c r="S1910" s="53"/>
      <c r="T1910" s="53"/>
      <c r="U1910" s="53"/>
      <c r="V1910" s="53"/>
    </row>
    <row r="1911">
      <c r="A1911" s="83"/>
      <c r="B1911" s="53"/>
      <c r="C1911" s="53"/>
      <c r="D1911" s="53"/>
      <c r="E1911" s="240"/>
      <c r="F1911" s="241"/>
      <c r="G1911" s="53"/>
      <c r="H1911" s="53"/>
      <c r="I1911" s="53"/>
      <c r="J1911" s="53"/>
      <c r="K1911" s="53"/>
      <c r="L1911" s="53"/>
      <c r="M1911" s="53"/>
      <c r="N1911" s="53"/>
      <c r="O1911" s="53"/>
      <c r="P1911" s="53"/>
      <c r="Q1911" s="53"/>
      <c r="R1911" s="53"/>
      <c r="S1911" s="53"/>
      <c r="T1911" s="53"/>
      <c r="U1911" s="53"/>
      <c r="V1911" s="53"/>
    </row>
    <row r="1912">
      <c r="A1912" s="83"/>
      <c r="B1912" s="53"/>
      <c r="C1912" s="53"/>
      <c r="D1912" s="53"/>
      <c r="E1912" s="240"/>
      <c r="F1912" s="241"/>
      <c r="G1912" s="53"/>
      <c r="H1912" s="53"/>
      <c r="I1912" s="53"/>
      <c r="J1912" s="53"/>
      <c r="K1912" s="53"/>
      <c r="L1912" s="53"/>
      <c r="M1912" s="53"/>
      <c r="N1912" s="53"/>
      <c r="O1912" s="53"/>
      <c r="P1912" s="53"/>
      <c r="Q1912" s="53"/>
      <c r="R1912" s="53"/>
      <c r="S1912" s="53"/>
      <c r="T1912" s="53"/>
      <c r="U1912" s="53"/>
      <c r="V1912" s="53"/>
    </row>
    <row r="1913">
      <c r="A1913" s="83"/>
      <c r="B1913" s="53"/>
      <c r="C1913" s="53"/>
      <c r="D1913" s="53"/>
      <c r="E1913" s="240"/>
      <c r="F1913" s="241"/>
      <c r="G1913" s="53"/>
      <c r="H1913" s="53"/>
      <c r="I1913" s="53"/>
      <c r="J1913" s="53"/>
      <c r="K1913" s="53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</row>
    <row r="1914">
      <c r="A1914" s="83"/>
      <c r="B1914" s="53"/>
      <c r="C1914" s="53"/>
      <c r="D1914" s="53"/>
      <c r="E1914" s="240"/>
      <c r="F1914" s="241"/>
      <c r="G1914" s="53"/>
      <c r="H1914" s="53"/>
      <c r="I1914" s="53"/>
      <c r="J1914" s="53"/>
      <c r="K1914" s="53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</row>
    <row r="1915">
      <c r="A1915" s="83"/>
      <c r="B1915" s="53"/>
      <c r="C1915" s="53"/>
      <c r="D1915" s="53"/>
      <c r="E1915" s="240"/>
      <c r="F1915" s="241"/>
      <c r="G1915" s="53"/>
      <c r="H1915" s="53"/>
      <c r="I1915" s="53"/>
      <c r="J1915" s="53"/>
      <c r="K1915" s="53"/>
      <c r="L1915" s="53"/>
      <c r="M1915" s="53"/>
      <c r="N1915" s="53"/>
      <c r="O1915" s="53"/>
      <c r="P1915" s="53"/>
      <c r="Q1915" s="53"/>
      <c r="R1915" s="53"/>
      <c r="S1915" s="53"/>
      <c r="T1915" s="53"/>
      <c r="U1915" s="53"/>
      <c r="V1915" s="53"/>
    </row>
    <row r="1916">
      <c r="A1916" s="83"/>
      <c r="B1916" s="53"/>
      <c r="C1916" s="53"/>
      <c r="D1916" s="53"/>
      <c r="E1916" s="240"/>
      <c r="F1916" s="241"/>
      <c r="G1916" s="53"/>
      <c r="H1916" s="53"/>
      <c r="I1916" s="53"/>
      <c r="J1916" s="53"/>
      <c r="K1916" s="53"/>
      <c r="L1916" s="53"/>
      <c r="M1916" s="53"/>
      <c r="N1916" s="53"/>
      <c r="O1916" s="53"/>
      <c r="P1916" s="53"/>
      <c r="Q1916" s="53"/>
      <c r="R1916" s="53"/>
      <c r="S1916" s="53"/>
      <c r="T1916" s="53"/>
      <c r="U1916" s="53"/>
      <c r="V1916" s="53"/>
    </row>
    <row r="1917">
      <c r="A1917" s="83"/>
      <c r="B1917" s="53"/>
      <c r="C1917" s="53"/>
      <c r="D1917" s="53"/>
      <c r="E1917" s="240"/>
      <c r="F1917" s="241"/>
      <c r="G1917" s="53"/>
      <c r="H1917" s="53"/>
      <c r="I1917" s="53"/>
      <c r="J1917" s="53"/>
      <c r="K1917" s="53"/>
      <c r="L1917" s="53"/>
      <c r="M1917" s="53"/>
      <c r="N1917" s="53"/>
      <c r="O1917" s="53"/>
      <c r="P1917" s="53"/>
      <c r="Q1917" s="53"/>
      <c r="R1917" s="53"/>
      <c r="S1917" s="53"/>
      <c r="T1917" s="53"/>
      <c r="U1917" s="53"/>
      <c r="V1917" s="53"/>
    </row>
    <row r="1918">
      <c r="A1918" s="83"/>
      <c r="B1918" s="53"/>
      <c r="C1918" s="53"/>
      <c r="D1918" s="53"/>
      <c r="E1918" s="240"/>
      <c r="F1918" s="241"/>
      <c r="G1918" s="53"/>
      <c r="H1918" s="53"/>
      <c r="I1918" s="53"/>
      <c r="J1918" s="53"/>
      <c r="K1918" s="53"/>
      <c r="L1918" s="53"/>
      <c r="M1918" s="53"/>
      <c r="N1918" s="53"/>
      <c r="O1918" s="53"/>
      <c r="P1918" s="53"/>
      <c r="Q1918" s="53"/>
      <c r="R1918" s="53"/>
      <c r="S1918" s="53"/>
      <c r="T1918" s="53"/>
      <c r="U1918" s="53"/>
      <c r="V1918" s="53"/>
    </row>
    <row r="1919">
      <c r="A1919" s="83"/>
      <c r="B1919" s="53"/>
      <c r="C1919" s="53"/>
      <c r="D1919" s="53"/>
      <c r="E1919" s="240"/>
      <c r="F1919" s="241"/>
      <c r="G1919" s="53"/>
      <c r="H1919" s="53"/>
      <c r="I1919" s="53"/>
      <c r="J1919" s="53"/>
      <c r="K1919" s="53"/>
      <c r="L1919" s="53"/>
      <c r="M1919" s="53"/>
      <c r="N1919" s="53"/>
      <c r="O1919" s="53"/>
      <c r="P1919" s="53"/>
      <c r="Q1919" s="53"/>
      <c r="R1919" s="53"/>
      <c r="S1919" s="53"/>
      <c r="T1919" s="53"/>
      <c r="U1919" s="53"/>
      <c r="V1919" s="53"/>
    </row>
    <row r="1920">
      <c r="A1920" s="83"/>
      <c r="B1920" s="53"/>
      <c r="C1920" s="53"/>
      <c r="D1920" s="53"/>
      <c r="E1920" s="240"/>
      <c r="F1920" s="241"/>
      <c r="G1920" s="53"/>
      <c r="H1920" s="53"/>
      <c r="I1920" s="53"/>
      <c r="J1920" s="53"/>
      <c r="K1920" s="53"/>
      <c r="L1920" s="53"/>
      <c r="M1920" s="53"/>
      <c r="N1920" s="53"/>
      <c r="O1920" s="53"/>
      <c r="P1920" s="53"/>
      <c r="Q1920" s="53"/>
      <c r="R1920" s="53"/>
      <c r="S1920" s="53"/>
      <c r="T1920" s="53"/>
      <c r="U1920" s="53"/>
      <c r="V1920" s="53"/>
    </row>
    <row r="1921">
      <c r="A1921" s="83"/>
      <c r="B1921" s="53"/>
      <c r="C1921" s="53"/>
      <c r="D1921" s="53"/>
      <c r="E1921" s="240"/>
      <c r="F1921" s="241"/>
      <c r="G1921" s="53"/>
      <c r="H1921" s="53"/>
      <c r="I1921" s="53"/>
      <c r="J1921" s="53"/>
      <c r="K1921" s="53"/>
      <c r="L1921" s="53"/>
      <c r="M1921" s="53"/>
      <c r="N1921" s="53"/>
      <c r="O1921" s="53"/>
      <c r="P1921" s="53"/>
      <c r="Q1921" s="53"/>
      <c r="R1921" s="53"/>
      <c r="S1921" s="53"/>
      <c r="T1921" s="53"/>
      <c r="U1921" s="53"/>
      <c r="V1921" s="53"/>
    </row>
    <row r="1922">
      <c r="A1922" s="83"/>
      <c r="B1922" s="53"/>
      <c r="C1922" s="53"/>
      <c r="D1922" s="53"/>
      <c r="E1922" s="240"/>
      <c r="F1922" s="241"/>
      <c r="G1922" s="53"/>
      <c r="H1922" s="53"/>
      <c r="I1922" s="53"/>
      <c r="J1922" s="53"/>
      <c r="K1922" s="53"/>
      <c r="L1922" s="53"/>
      <c r="M1922" s="53"/>
      <c r="N1922" s="53"/>
      <c r="O1922" s="53"/>
      <c r="P1922" s="53"/>
      <c r="Q1922" s="53"/>
      <c r="R1922" s="53"/>
      <c r="S1922" s="53"/>
      <c r="T1922" s="53"/>
      <c r="U1922" s="53"/>
      <c r="V1922" s="53"/>
    </row>
    <row r="1923">
      <c r="A1923" s="83"/>
      <c r="B1923" s="53"/>
      <c r="C1923" s="53"/>
      <c r="D1923" s="53"/>
      <c r="E1923" s="240"/>
      <c r="F1923" s="241"/>
      <c r="G1923" s="53"/>
      <c r="H1923" s="53"/>
      <c r="I1923" s="53"/>
      <c r="J1923" s="53"/>
      <c r="K1923" s="53"/>
      <c r="L1923" s="53"/>
      <c r="M1923" s="53"/>
      <c r="N1923" s="53"/>
      <c r="O1923" s="53"/>
      <c r="P1923" s="53"/>
      <c r="Q1923" s="53"/>
      <c r="R1923" s="53"/>
      <c r="S1923" s="53"/>
      <c r="T1923" s="53"/>
      <c r="U1923" s="53"/>
      <c r="V1923" s="53"/>
    </row>
    <row r="1924">
      <c r="A1924" s="83"/>
      <c r="B1924" s="53"/>
      <c r="C1924" s="53"/>
      <c r="D1924" s="53"/>
      <c r="E1924" s="240"/>
      <c r="F1924" s="241"/>
      <c r="G1924" s="53"/>
      <c r="H1924" s="53"/>
      <c r="I1924" s="53"/>
      <c r="J1924" s="53"/>
      <c r="K1924" s="53"/>
      <c r="L1924" s="53"/>
      <c r="M1924" s="53"/>
      <c r="N1924" s="53"/>
      <c r="O1924" s="53"/>
      <c r="P1924" s="53"/>
      <c r="Q1924" s="53"/>
      <c r="R1924" s="53"/>
      <c r="S1924" s="53"/>
      <c r="T1924" s="53"/>
      <c r="U1924" s="53"/>
      <c r="V1924" s="53"/>
    </row>
    <row r="1925">
      <c r="A1925" s="83"/>
      <c r="B1925" s="53"/>
      <c r="C1925" s="53"/>
      <c r="D1925" s="53"/>
      <c r="E1925" s="240"/>
      <c r="F1925" s="241"/>
      <c r="G1925" s="53"/>
      <c r="H1925" s="53"/>
      <c r="I1925" s="53"/>
      <c r="J1925" s="53"/>
      <c r="K1925" s="53"/>
      <c r="L1925" s="53"/>
      <c r="M1925" s="53"/>
      <c r="N1925" s="53"/>
      <c r="O1925" s="53"/>
      <c r="P1925" s="53"/>
      <c r="Q1925" s="53"/>
      <c r="R1925" s="53"/>
      <c r="S1925" s="53"/>
      <c r="T1925" s="53"/>
      <c r="U1925" s="53"/>
      <c r="V1925" s="53"/>
    </row>
    <row r="1926">
      <c r="A1926" s="83"/>
      <c r="B1926" s="53"/>
      <c r="C1926" s="53"/>
      <c r="D1926" s="53"/>
      <c r="E1926" s="240"/>
      <c r="F1926" s="241"/>
      <c r="G1926" s="53"/>
      <c r="H1926" s="53"/>
      <c r="I1926" s="53"/>
      <c r="J1926" s="53"/>
      <c r="K1926" s="53"/>
      <c r="L1926" s="53"/>
      <c r="M1926" s="53"/>
      <c r="N1926" s="53"/>
      <c r="O1926" s="53"/>
      <c r="P1926" s="53"/>
      <c r="Q1926" s="53"/>
      <c r="R1926" s="53"/>
      <c r="S1926" s="53"/>
      <c r="T1926" s="53"/>
      <c r="U1926" s="53"/>
      <c r="V1926" s="53"/>
    </row>
    <row r="1927">
      <c r="A1927" s="83"/>
      <c r="B1927" s="53"/>
      <c r="C1927" s="53"/>
      <c r="D1927" s="53"/>
      <c r="E1927" s="240"/>
      <c r="F1927" s="241"/>
      <c r="G1927" s="53"/>
      <c r="H1927" s="53"/>
      <c r="I1927" s="53"/>
      <c r="J1927" s="53"/>
      <c r="K1927" s="53"/>
      <c r="L1927" s="53"/>
      <c r="M1927" s="53"/>
      <c r="N1927" s="53"/>
      <c r="O1927" s="53"/>
      <c r="P1927" s="53"/>
      <c r="Q1927" s="53"/>
      <c r="R1927" s="53"/>
      <c r="S1927" s="53"/>
      <c r="T1927" s="53"/>
      <c r="U1927" s="53"/>
      <c r="V1927" s="53"/>
    </row>
    <row r="1928">
      <c r="A1928" s="83"/>
      <c r="B1928" s="53"/>
      <c r="C1928" s="53"/>
      <c r="D1928" s="53"/>
      <c r="E1928" s="240"/>
      <c r="F1928" s="241"/>
      <c r="G1928" s="53"/>
      <c r="H1928" s="53"/>
      <c r="I1928" s="53"/>
      <c r="J1928" s="53"/>
      <c r="K1928" s="53"/>
      <c r="L1928" s="53"/>
      <c r="M1928" s="53"/>
      <c r="N1928" s="53"/>
      <c r="O1928" s="53"/>
      <c r="P1928" s="53"/>
      <c r="Q1928" s="53"/>
      <c r="R1928" s="53"/>
      <c r="S1928" s="53"/>
      <c r="T1928" s="53"/>
      <c r="U1928" s="53"/>
      <c r="V1928" s="53"/>
    </row>
    <row r="1929">
      <c r="A1929" s="83"/>
      <c r="B1929" s="53"/>
      <c r="C1929" s="53"/>
      <c r="D1929" s="53"/>
      <c r="E1929" s="240"/>
      <c r="F1929" s="241"/>
      <c r="G1929" s="53"/>
      <c r="H1929" s="53"/>
      <c r="I1929" s="53"/>
      <c r="J1929" s="53"/>
      <c r="K1929" s="53"/>
      <c r="L1929" s="53"/>
      <c r="M1929" s="53"/>
      <c r="N1929" s="53"/>
      <c r="O1929" s="53"/>
      <c r="P1929" s="53"/>
      <c r="Q1929" s="53"/>
      <c r="R1929" s="53"/>
      <c r="S1929" s="53"/>
      <c r="T1929" s="53"/>
      <c r="U1929" s="53"/>
      <c r="V1929" s="53"/>
    </row>
    <row r="1930">
      <c r="A1930" s="83"/>
      <c r="B1930" s="53"/>
      <c r="C1930" s="53"/>
      <c r="D1930" s="53"/>
      <c r="E1930" s="240"/>
      <c r="F1930" s="241"/>
      <c r="G1930" s="53"/>
      <c r="H1930" s="53"/>
      <c r="I1930" s="53"/>
      <c r="J1930" s="53"/>
      <c r="K1930" s="53"/>
      <c r="L1930" s="53"/>
      <c r="M1930" s="53"/>
      <c r="N1930" s="53"/>
      <c r="O1930" s="53"/>
      <c r="P1930" s="53"/>
      <c r="Q1930" s="53"/>
      <c r="R1930" s="53"/>
      <c r="S1930" s="53"/>
      <c r="T1930" s="53"/>
      <c r="U1930" s="53"/>
      <c r="V1930" s="53"/>
    </row>
    <row r="1931">
      <c r="A1931" s="83"/>
      <c r="B1931" s="53"/>
      <c r="C1931" s="53"/>
      <c r="D1931" s="53"/>
      <c r="E1931" s="240"/>
      <c r="F1931" s="241"/>
      <c r="G1931" s="53"/>
      <c r="H1931" s="53"/>
      <c r="I1931" s="53"/>
      <c r="J1931" s="53"/>
      <c r="K1931" s="53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</row>
    <row r="1932">
      <c r="A1932" s="83"/>
      <c r="B1932" s="53"/>
      <c r="C1932" s="53"/>
      <c r="D1932" s="53"/>
      <c r="E1932" s="240"/>
      <c r="F1932" s="241"/>
      <c r="G1932" s="53"/>
      <c r="H1932" s="53"/>
      <c r="I1932" s="53"/>
      <c r="J1932" s="53"/>
      <c r="K1932" s="53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</row>
    <row r="1933">
      <c r="A1933" s="83"/>
      <c r="B1933" s="53"/>
      <c r="C1933" s="53"/>
      <c r="D1933" s="53"/>
      <c r="E1933" s="240"/>
      <c r="F1933" s="241"/>
      <c r="G1933" s="53"/>
      <c r="H1933" s="53"/>
      <c r="I1933" s="53"/>
      <c r="J1933" s="53"/>
      <c r="K1933" s="53"/>
      <c r="L1933" s="53"/>
      <c r="M1933" s="53"/>
      <c r="N1933" s="53"/>
      <c r="O1933" s="53"/>
      <c r="P1933" s="53"/>
      <c r="Q1933" s="53"/>
      <c r="R1933" s="53"/>
      <c r="S1933" s="53"/>
      <c r="T1933" s="53"/>
      <c r="U1933" s="53"/>
      <c r="V1933" s="53"/>
    </row>
    <row r="1934">
      <c r="A1934" s="83"/>
      <c r="B1934" s="53"/>
      <c r="C1934" s="53"/>
      <c r="D1934" s="53"/>
      <c r="E1934" s="240"/>
      <c r="F1934" s="241"/>
      <c r="G1934" s="53"/>
      <c r="H1934" s="53"/>
      <c r="I1934" s="53"/>
      <c r="J1934" s="53"/>
      <c r="K1934" s="53"/>
      <c r="L1934" s="53"/>
      <c r="M1934" s="53"/>
      <c r="N1934" s="53"/>
      <c r="O1934" s="53"/>
      <c r="P1934" s="53"/>
      <c r="Q1934" s="53"/>
      <c r="R1934" s="53"/>
      <c r="S1934" s="53"/>
      <c r="T1934" s="53"/>
      <c r="U1934" s="53"/>
      <c r="V1934" s="53"/>
    </row>
    <row r="1935">
      <c r="A1935" s="83"/>
      <c r="B1935" s="53"/>
      <c r="C1935" s="53"/>
      <c r="D1935" s="53"/>
      <c r="E1935" s="240"/>
      <c r="F1935" s="241"/>
      <c r="G1935" s="53"/>
      <c r="H1935" s="53"/>
      <c r="I1935" s="53"/>
      <c r="J1935" s="53"/>
      <c r="K1935" s="53"/>
      <c r="L1935" s="53"/>
      <c r="M1935" s="53"/>
      <c r="N1935" s="53"/>
      <c r="O1935" s="53"/>
      <c r="P1935" s="53"/>
      <c r="Q1935" s="53"/>
      <c r="R1935" s="53"/>
      <c r="S1935" s="53"/>
      <c r="T1935" s="53"/>
      <c r="U1935" s="53"/>
      <c r="V1935" s="53"/>
    </row>
    <row r="1936">
      <c r="A1936" s="83"/>
      <c r="B1936" s="53"/>
      <c r="C1936" s="53"/>
      <c r="D1936" s="53"/>
      <c r="E1936" s="240"/>
      <c r="F1936" s="241"/>
      <c r="G1936" s="53"/>
      <c r="H1936" s="53"/>
      <c r="I1936" s="53"/>
      <c r="J1936" s="53"/>
      <c r="K1936" s="53"/>
      <c r="L1936" s="53"/>
      <c r="M1936" s="53"/>
      <c r="N1936" s="53"/>
      <c r="O1936" s="53"/>
      <c r="P1936" s="53"/>
      <c r="Q1936" s="53"/>
      <c r="R1936" s="53"/>
      <c r="S1936" s="53"/>
      <c r="T1936" s="53"/>
      <c r="U1936" s="53"/>
      <c r="V1936" s="53"/>
    </row>
    <row r="1937">
      <c r="A1937" s="83"/>
      <c r="B1937" s="53"/>
      <c r="C1937" s="53"/>
      <c r="D1937" s="53"/>
      <c r="E1937" s="240"/>
      <c r="F1937" s="241"/>
      <c r="G1937" s="53"/>
      <c r="H1937" s="53"/>
      <c r="I1937" s="53"/>
      <c r="J1937" s="53"/>
      <c r="K1937" s="53"/>
      <c r="L1937" s="53"/>
      <c r="M1937" s="53"/>
      <c r="N1937" s="53"/>
      <c r="O1937" s="53"/>
      <c r="P1937" s="53"/>
      <c r="Q1937" s="53"/>
      <c r="R1937" s="53"/>
      <c r="S1937" s="53"/>
      <c r="T1937" s="53"/>
      <c r="U1937" s="53"/>
      <c r="V1937" s="53"/>
    </row>
    <row r="1938">
      <c r="A1938" s="83"/>
      <c r="B1938" s="53"/>
      <c r="C1938" s="53"/>
      <c r="D1938" s="53"/>
      <c r="E1938" s="240"/>
      <c r="F1938" s="241"/>
      <c r="G1938" s="53"/>
      <c r="H1938" s="53"/>
      <c r="I1938" s="53"/>
      <c r="J1938" s="53"/>
      <c r="K1938" s="53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</row>
    <row r="1939">
      <c r="A1939" s="83"/>
      <c r="B1939" s="53"/>
      <c r="C1939" s="53"/>
      <c r="D1939" s="53"/>
      <c r="E1939" s="240"/>
      <c r="F1939" s="241"/>
      <c r="G1939" s="53"/>
      <c r="H1939" s="53"/>
      <c r="I1939" s="53"/>
      <c r="J1939" s="53"/>
      <c r="K1939" s="53"/>
      <c r="L1939" s="53"/>
      <c r="M1939" s="53"/>
      <c r="N1939" s="53"/>
      <c r="O1939" s="53"/>
      <c r="P1939" s="53"/>
      <c r="Q1939" s="53"/>
      <c r="R1939" s="53"/>
      <c r="S1939" s="53"/>
      <c r="T1939" s="53"/>
      <c r="U1939" s="53"/>
      <c r="V1939" s="53"/>
    </row>
    <row r="1940">
      <c r="A1940" s="83"/>
      <c r="B1940" s="53"/>
      <c r="C1940" s="53"/>
      <c r="D1940" s="53"/>
      <c r="E1940" s="240"/>
      <c r="F1940" s="241"/>
      <c r="G1940" s="53"/>
      <c r="H1940" s="53"/>
      <c r="I1940" s="53"/>
      <c r="J1940" s="53"/>
      <c r="K1940" s="53"/>
      <c r="L1940" s="53"/>
      <c r="M1940" s="53"/>
      <c r="N1940" s="53"/>
      <c r="O1940" s="53"/>
      <c r="P1940" s="53"/>
      <c r="Q1940" s="53"/>
      <c r="R1940" s="53"/>
      <c r="S1940" s="53"/>
      <c r="T1940" s="53"/>
      <c r="U1940" s="53"/>
      <c r="V1940" s="53"/>
    </row>
    <row r="1941">
      <c r="A1941" s="83"/>
      <c r="B1941" s="53"/>
      <c r="C1941" s="53"/>
      <c r="D1941" s="53"/>
      <c r="E1941" s="240"/>
      <c r="F1941" s="241"/>
      <c r="G1941" s="53"/>
      <c r="H1941" s="53"/>
      <c r="I1941" s="53"/>
      <c r="J1941" s="53"/>
      <c r="K1941" s="53"/>
      <c r="L1941" s="53"/>
      <c r="M1941" s="53"/>
      <c r="N1941" s="53"/>
      <c r="O1941" s="53"/>
      <c r="P1941" s="53"/>
      <c r="Q1941" s="53"/>
      <c r="R1941" s="53"/>
      <c r="S1941" s="53"/>
      <c r="T1941" s="53"/>
      <c r="U1941" s="53"/>
      <c r="V1941" s="53"/>
    </row>
    <row r="1942">
      <c r="A1942" s="83"/>
      <c r="B1942" s="53"/>
      <c r="C1942" s="53"/>
      <c r="D1942" s="53"/>
      <c r="E1942" s="240"/>
      <c r="F1942" s="241"/>
      <c r="G1942" s="53"/>
      <c r="H1942" s="53"/>
      <c r="I1942" s="53"/>
      <c r="J1942" s="53"/>
      <c r="K1942" s="53"/>
      <c r="L1942" s="53"/>
      <c r="M1942" s="53"/>
      <c r="N1942" s="53"/>
      <c r="O1942" s="53"/>
      <c r="P1942" s="53"/>
      <c r="Q1942" s="53"/>
      <c r="R1942" s="53"/>
      <c r="S1942" s="53"/>
      <c r="T1942" s="53"/>
      <c r="U1942" s="53"/>
      <c r="V1942" s="53"/>
    </row>
    <row r="1943">
      <c r="A1943" s="83"/>
      <c r="B1943" s="53"/>
      <c r="C1943" s="53"/>
      <c r="D1943" s="53"/>
      <c r="E1943" s="240"/>
      <c r="F1943" s="241"/>
      <c r="G1943" s="53"/>
      <c r="H1943" s="53"/>
      <c r="I1943" s="53"/>
      <c r="J1943" s="53"/>
      <c r="K1943" s="53"/>
      <c r="L1943" s="53"/>
      <c r="M1943" s="53"/>
      <c r="N1943" s="53"/>
      <c r="O1943" s="53"/>
      <c r="P1943" s="53"/>
      <c r="Q1943" s="53"/>
      <c r="R1943" s="53"/>
      <c r="S1943" s="53"/>
      <c r="T1943" s="53"/>
      <c r="U1943" s="53"/>
      <c r="V1943" s="53"/>
    </row>
    <row r="1944">
      <c r="A1944" s="83"/>
      <c r="B1944" s="53"/>
      <c r="C1944" s="53"/>
      <c r="D1944" s="53"/>
      <c r="E1944" s="240"/>
      <c r="F1944" s="241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</row>
    <row r="1945">
      <c r="A1945" s="83"/>
      <c r="B1945" s="53"/>
      <c r="C1945" s="53"/>
      <c r="D1945" s="53"/>
      <c r="E1945" s="240"/>
      <c r="F1945" s="241"/>
      <c r="G1945" s="53"/>
      <c r="H1945" s="53"/>
      <c r="I1945" s="53"/>
      <c r="J1945" s="53"/>
      <c r="K1945" s="53"/>
      <c r="L1945" s="53"/>
      <c r="M1945" s="53"/>
      <c r="N1945" s="53"/>
      <c r="O1945" s="53"/>
      <c r="P1945" s="53"/>
      <c r="Q1945" s="53"/>
      <c r="R1945" s="53"/>
      <c r="S1945" s="53"/>
      <c r="T1945" s="53"/>
      <c r="U1945" s="53"/>
      <c r="V1945" s="53"/>
    </row>
    <row r="1946">
      <c r="A1946" s="83"/>
      <c r="B1946" s="53"/>
      <c r="C1946" s="53"/>
      <c r="D1946" s="53"/>
      <c r="E1946" s="240"/>
      <c r="F1946" s="241"/>
      <c r="G1946" s="53"/>
      <c r="H1946" s="53"/>
      <c r="I1946" s="53"/>
      <c r="J1946" s="53"/>
      <c r="K1946" s="53"/>
      <c r="L1946" s="53"/>
      <c r="M1946" s="53"/>
      <c r="N1946" s="53"/>
      <c r="O1946" s="53"/>
      <c r="P1946" s="53"/>
      <c r="Q1946" s="53"/>
      <c r="R1946" s="53"/>
      <c r="S1946" s="53"/>
      <c r="T1946" s="53"/>
      <c r="U1946" s="53"/>
      <c r="V1946" s="53"/>
    </row>
    <row r="1947">
      <c r="A1947" s="83"/>
      <c r="B1947" s="53"/>
      <c r="C1947" s="53"/>
      <c r="D1947" s="53"/>
      <c r="E1947" s="240"/>
      <c r="F1947" s="241"/>
      <c r="G1947" s="53"/>
      <c r="H1947" s="53"/>
      <c r="I1947" s="53"/>
      <c r="J1947" s="53"/>
      <c r="K1947" s="53"/>
      <c r="L1947" s="53"/>
      <c r="M1947" s="53"/>
      <c r="N1947" s="53"/>
      <c r="O1947" s="53"/>
      <c r="P1947" s="53"/>
      <c r="Q1947" s="53"/>
      <c r="R1947" s="53"/>
      <c r="S1947" s="53"/>
      <c r="T1947" s="53"/>
      <c r="U1947" s="53"/>
      <c r="V1947" s="53"/>
    </row>
    <row r="1948">
      <c r="A1948" s="83"/>
      <c r="B1948" s="53"/>
      <c r="C1948" s="53"/>
      <c r="D1948" s="53"/>
      <c r="E1948" s="240"/>
      <c r="F1948" s="241"/>
      <c r="G1948" s="53"/>
      <c r="H1948" s="53"/>
      <c r="I1948" s="53"/>
      <c r="J1948" s="53"/>
      <c r="K1948" s="53"/>
      <c r="L1948" s="53"/>
      <c r="M1948" s="53"/>
      <c r="N1948" s="53"/>
      <c r="O1948" s="53"/>
      <c r="P1948" s="53"/>
      <c r="Q1948" s="53"/>
      <c r="R1948" s="53"/>
      <c r="S1948" s="53"/>
      <c r="T1948" s="53"/>
      <c r="U1948" s="53"/>
      <c r="V1948" s="53"/>
    </row>
    <row r="1949">
      <c r="A1949" s="83"/>
      <c r="B1949" s="53"/>
      <c r="C1949" s="53"/>
      <c r="D1949" s="53"/>
      <c r="E1949" s="240"/>
      <c r="F1949" s="241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</row>
    <row r="1950">
      <c r="A1950" s="83"/>
      <c r="B1950" s="53"/>
      <c r="C1950" s="53"/>
      <c r="D1950" s="53"/>
      <c r="E1950" s="240"/>
      <c r="F1950" s="241"/>
      <c r="G1950" s="53"/>
      <c r="H1950" s="53"/>
      <c r="I1950" s="53"/>
      <c r="J1950" s="53"/>
      <c r="K1950" s="53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</row>
    <row r="1951">
      <c r="A1951" s="83"/>
      <c r="B1951" s="53"/>
      <c r="C1951" s="53"/>
      <c r="D1951" s="53"/>
      <c r="E1951" s="240"/>
      <c r="F1951" s="241"/>
      <c r="G1951" s="53"/>
      <c r="H1951" s="53"/>
      <c r="I1951" s="53"/>
      <c r="J1951" s="53"/>
      <c r="K1951" s="53"/>
      <c r="L1951" s="53"/>
      <c r="M1951" s="53"/>
      <c r="N1951" s="53"/>
      <c r="O1951" s="53"/>
      <c r="P1951" s="53"/>
      <c r="Q1951" s="53"/>
      <c r="R1951" s="53"/>
      <c r="S1951" s="53"/>
      <c r="T1951" s="53"/>
      <c r="U1951" s="53"/>
      <c r="V1951" s="53"/>
    </row>
    <row r="1952">
      <c r="A1952" s="83"/>
      <c r="B1952" s="53"/>
      <c r="C1952" s="53"/>
      <c r="D1952" s="53"/>
      <c r="E1952" s="240"/>
      <c r="F1952" s="241"/>
      <c r="G1952" s="53"/>
      <c r="H1952" s="53"/>
      <c r="I1952" s="53"/>
      <c r="J1952" s="53"/>
      <c r="K1952" s="53"/>
      <c r="L1952" s="53"/>
      <c r="M1952" s="53"/>
      <c r="N1952" s="53"/>
      <c r="O1952" s="53"/>
      <c r="P1952" s="53"/>
      <c r="Q1952" s="53"/>
      <c r="R1952" s="53"/>
      <c r="S1952" s="53"/>
      <c r="T1952" s="53"/>
      <c r="U1952" s="53"/>
      <c r="V1952" s="53"/>
    </row>
    <row r="1953">
      <c r="A1953" s="83"/>
      <c r="B1953" s="53"/>
      <c r="C1953" s="53"/>
      <c r="D1953" s="53"/>
      <c r="E1953" s="240"/>
      <c r="F1953" s="241"/>
      <c r="G1953" s="53"/>
      <c r="H1953" s="53"/>
      <c r="I1953" s="53"/>
      <c r="J1953" s="53"/>
      <c r="K1953" s="53"/>
      <c r="L1953" s="53"/>
      <c r="M1953" s="53"/>
      <c r="N1953" s="53"/>
      <c r="O1953" s="53"/>
      <c r="P1953" s="53"/>
      <c r="Q1953" s="53"/>
      <c r="R1953" s="53"/>
      <c r="S1953" s="53"/>
      <c r="T1953" s="53"/>
      <c r="U1953" s="53"/>
      <c r="V1953" s="53"/>
    </row>
    <row r="1954">
      <c r="A1954" s="83"/>
      <c r="B1954" s="53"/>
      <c r="C1954" s="53"/>
      <c r="D1954" s="53"/>
      <c r="E1954" s="240"/>
      <c r="F1954" s="241"/>
      <c r="G1954" s="53"/>
      <c r="H1954" s="53"/>
      <c r="I1954" s="53"/>
      <c r="J1954" s="53"/>
      <c r="K1954" s="53"/>
      <c r="L1954" s="53"/>
      <c r="M1954" s="53"/>
      <c r="N1954" s="53"/>
      <c r="O1954" s="53"/>
      <c r="P1954" s="53"/>
      <c r="Q1954" s="53"/>
      <c r="R1954" s="53"/>
      <c r="S1954" s="53"/>
      <c r="T1954" s="53"/>
      <c r="U1954" s="53"/>
      <c r="V1954" s="53"/>
    </row>
    <row r="1955">
      <c r="A1955" s="83"/>
      <c r="B1955" s="53"/>
      <c r="C1955" s="53"/>
      <c r="D1955" s="53"/>
      <c r="E1955" s="240"/>
      <c r="F1955" s="241"/>
      <c r="G1955" s="53"/>
      <c r="H1955" s="53"/>
      <c r="I1955" s="53"/>
      <c r="J1955" s="53"/>
      <c r="K1955" s="53"/>
      <c r="L1955" s="53"/>
      <c r="M1955" s="53"/>
      <c r="N1955" s="53"/>
      <c r="O1955" s="53"/>
      <c r="P1955" s="53"/>
      <c r="Q1955" s="53"/>
      <c r="R1955" s="53"/>
      <c r="S1955" s="53"/>
      <c r="T1955" s="53"/>
      <c r="U1955" s="53"/>
      <c r="V1955" s="53"/>
    </row>
    <row r="1956">
      <c r="A1956" s="83"/>
      <c r="B1956" s="53"/>
      <c r="C1956" s="53"/>
      <c r="D1956" s="53"/>
      <c r="E1956" s="240"/>
      <c r="F1956" s="241"/>
      <c r="G1956" s="53"/>
      <c r="H1956" s="53"/>
      <c r="I1956" s="53"/>
      <c r="J1956" s="53"/>
      <c r="K1956" s="53"/>
      <c r="L1956" s="53"/>
      <c r="M1956" s="53"/>
      <c r="N1956" s="53"/>
      <c r="O1956" s="53"/>
      <c r="P1956" s="53"/>
      <c r="Q1956" s="53"/>
      <c r="R1956" s="53"/>
      <c r="S1956" s="53"/>
      <c r="T1956" s="53"/>
      <c r="U1956" s="53"/>
      <c r="V1956" s="53"/>
    </row>
    <row r="1957">
      <c r="A1957" s="83"/>
      <c r="B1957" s="53"/>
      <c r="C1957" s="53"/>
      <c r="D1957" s="53"/>
      <c r="E1957" s="240"/>
      <c r="F1957" s="241"/>
      <c r="G1957" s="53"/>
      <c r="H1957" s="53"/>
      <c r="I1957" s="53"/>
      <c r="J1957" s="53"/>
      <c r="K1957" s="53"/>
      <c r="L1957" s="53"/>
      <c r="M1957" s="53"/>
      <c r="N1957" s="53"/>
      <c r="O1957" s="53"/>
      <c r="P1957" s="53"/>
      <c r="Q1957" s="53"/>
      <c r="R1957" s="53"/>
      <c r="S1957" s="53"/>
      <c r="T1957" s="53"/>
      <c r="U1957" s="53"/>
      <c r="V1957" s="53"/>
    </row>
    <row r="1958">
      <c r="A1958" s="83"/>
      <c r="B1958" s="53"/>
      <c r="C1958" s="53"/>
      <c r="D1958" s="53"/>
      <c r="E1958" s="240"/>
      <c r="F1958" s="241"/>
      <c r="G1958" s="53"/>
      <c r="H1958" s="53"/>
      <c r="I1958" s="53"/>
      <c r="J1958" s="53"/>
      <c r="K1958" s="53"/>
      <c r="L1958" s="53"/>
      <c r="M1958" s="53"/>
      <c r="N1958" s="53"/>
      <c r="O1958" s="53"/>
      <c r="P1958" s="53"/>
      <c r="Q1958" s="53"/>
      <c r="R1958" s="53"/>
      <c r="S1958" s="53"/>
      <c r="T1958" s="53"/>
      <c r="U1958" s="53"/>
      <c r="V1958" s="53"/>
    </row>
    <row r="1959">
      <c r="A1959" s="83"/>
      <c r="B1959" s="53"/>
      <c r="C1959" s="53"/>
      <c r="D1959" s="53"/>
      <c r="E1959" s="240"/>
      <c r="F1959" s="241"/>
      <c r="G1959" s="53"/>
      <c r="H1959" s="53"/>
      <c r="I1959" s="53"/>
      <c r="J1959" s="53"/>
      <c r="K1959" s="53"/>
      <c r="L1959" s="53"/>
      <c r="M1959" s="53"/>
      <c r="N1959" s="53"/>
      <c r="O1959" s="53"/>
      <c r="P1959" s="53"/>
      <c r="Q1959" s="53"/>
      <c r="R1959" s="53"/>
      <c r="S1959" s="53"/>
      <c r="T1959" s="53"/>
      <c r="U1959" s="53"/>
      <c r="V1959" s="53"/>
    </row>
    <row r="1960">
      <c r="A1960" s="83"/>
      <c r="B1960" s="53"/>
      <c r="C1960" s="53"/>
      <c r="D1960" s="53"/>
      <c r="E1960" s="240"/>
      <c r="F1960" s="241"/>
      <c r="G1960" s="53"/>
      <c r="H1960" s="53"/>
      <c r="I1960" s="53"/>
      <c r="J1960" s="53"/>
      <c r="K1960" s="53"/>
      <c r="L1960" s="53"/>
      <c r="M1960" s="53"/>
      <c r="N1960" s="53"/>
      <c r="O1960" s="53"/>
      <c r="P1960" s="53"/>
      <c r="Q1960" s="53"/>
      <c r="R1960" s="53"/>
      <c r="S1960" s="53"/>
      <c r="T1960" s="53"/>
      <c r="U1960" s="53"/>
      <c r="V1960" s="53"/>
    </row>
    <row r="1961">
      <c r="A1961" s="83"/>
      <c r="B1961" s="53"/>
      <c r="C1961" s="53"/>
      <c r="D1961" s="53"/>
      <c r="E1961" s="240"/>
      <c r="F1961" s="241"/>
      <c r="G1961" s="53"/>
      <c r="H1961" s="53"/>
      <c r="I1961" s="53"/>
      <c r="J1961" s="53"/>
      <c r="K1961" s="53"/>
      <c r="L1961" s="53"/>
      <c r="M1961" s="53"/>
      <c r="N1961" s="53"/>
      <c r="O1961" s="53"/>
      <c r="P1961" s="53"/>
      <c r="Q1961" s="53"/>
      <c r="R1961" s="53"/>
      <c r="S1961" s="53"/>
      <c r="T1961" s="53"/>
      <c r="U1961" s="53"/>
      <c r="V1961" s="53"/>
    </row>
    <row r="1962">
      <c r="A1962" s="83"/>
      <c r="B1962" s="53"/>
      <c r="C1962" s="53"/>
      <c r="D1962" s="53"/>
      <c r="E1962" s="240"/>
      <c r="F1962" s="241"/>
      <c r="G1962" s="53"/>
      <c r="H1962" s="53"/>
      <c r="I1962" s="53"/>
      <c r="J1962" s="53"/>
      <c r="K1962" s="53"/>
      <c r="L1962" s="53"/>
      <c r="M1962" s="53"/>
      <c r="N1962" s="53"/>
      <c r="O1962" s="53"/>
      <c r="P1962" s="53"/>
      <c r="Q1962" s="53"/>
      <c r="R1962" s="53"/>
      <c r="S1962" s="53"/>
      <c r="T1962" s="53"/>
      <c r="U1962" s="53"/>
      <c r="V1962" s="53"/>
    </row>
    <row r="1963">
      <c r="A1963" s="83"/>
      <c r="B1963" s="53"/>
      <c r="C1963" s="53"/>
      <c r="D1963" s="53"/>
      <c r="E1963" s="240"/>
      <c r="F1963" s="241"/>
      <c r="G1963" s="53"/>
      <c r="H1963" s="53"/>
      <c r="I1963" s="53"/>
      <c r="J1963" s="53"/>
      <c r="K1963" s="53"/>
      <c r="L1963" s="53"/>
      <c r="M1963" s="53"/>
      <c r="N1963" s="53"/>
      <c r="O1963" s="53"/>
      <c r="P1963" s="53"/>
      <c r="Q1963" s="53"/>
      <c r="R1963" s="53"/>
      <c r="S1963" s="53"/>
      <c r="T1963" s="53"/>
      <c r="U1963" s="53"/>
      <c r="V1963" s="53"/>
    </row>
    <row r="1964">
      <c r="A1964" s="83"/>
      <c r="B1964" s="53"/>
      <c r="C1964" s="53"/>
      <c r="D1964" s="53"/>
      <c r="E1964" s="240"/>
      <c r="F1964" s="241"/>
      <c r="G1964" s="53"/>
      <c r="H1964" s="53"/>
      <c r="I1964" s="53"/>
      <c r="J1964" s="53"/>
      <c r="K1964" s="53"/>
      <c r="L1964" s="53"/>
      <c r="M1964" s="53"/>
      <c r="N1964" s="53"/>
      <c r="O1964" s="53"/>
      <c r="P1964" s="53"/>
      <c r="Q1964" s="53"/>
      <c r="R1964" s="53"/>
      <c r="S1964" s="53"/>
      <c r="T1964" s="53"/>
      <c r="U1964" s="53"/>
      <c r="V1964" s="53"/>
    </row>
    <row r="1965">
      <c r="A1965" s="83"/>
      <c r="B1965" s="53"/>
      <c r="C1965" s="53"/>
      <c r="D1965" s="53"/>
      <c r="E1965" s="240"/>
      <c r="F1965" s="241"/>
      <c r="G1965" s="53"/>
      <c r="H1965" s="53"/>
      <c r="I1965" s="53"/>
      <c r="J1965" s="53"/>
      <c r="K1965" s="53"/>
      <c r="L1965" s="53"/>
      <c r="M1965" s="53"/>
      <c r="N1965" s="53"/>
      <c r="O1965" s="53"/>
      <c r="P1965" s="53"/>
      <c r="Q1965" s="53"/>
      <c r="R1965" s="53"/>
      <c r="S1965" s="53"/>
      <c r="T1965" s="53"/>
      <c r="U1965" s="53"/>
      <c r="V1965" s="53"/>
    </row>
    <row r="1966">
      <c r="A1966" s="83"/>
      <c r="B1966" s="53"/>
      <c r="C1966" s="53"/>
      <c r="D1966" s="53"/>
      <c r="E1966" s="240"/>
      <c r="F1966" s="241"/>
      <c r="G1966" s="53"/>
      <c r="H1966" s="53"/>
      <c r="I1966" s="53"/>
      <c r="J1966" s="53"/>
      <c r="K1966" s="53"/>
      <c r="L1966" s="53"/>
      <c r="M1966" s="53"/>
      <c r="N1966" s="53"/>
      <c r="O1966" s="53"/>
      <c r="P1966" s="53"/>
      <c r="Q1966" s="53"/>
      <c r="R1966" s="53"/>
      <c r="S1966" s="53"/>
      <c r="T1966" s="53"/>
      <c r="U1966" s="53"/>
      <c r="V1966" s="53"/>
    </row>
    <row r="1967">
      <c r="A1967" s="83"/>
      <c r="B1967" s="53"/>
      <c r="C1967" s="53"/>
      <c r="D1967" s="53"/>
      <c r="E1967" s="240"/>
      <c r="F1967" s="241"/>
      <c r="G1967" s="53"/>
      <c r="H1967" s="53"/>
      <c r="I1967" s="53"/>
      <c r="J1967" s="53"/>
      <c r="K1967" s="53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</row>
    <row r="1968">
      <c r="A1968" s="83"/>
      <c r="B1968" s="53"/>
      <c r="C1968" s="53"/>
      <c r="D1968" s="53"/>
      <c r="E1968" s="240"/>
      <c r="F1968" s="241"/>
      <c r="G1968" s="53"/>
      <c r="H1968" s="53"/>
      <c r="I1968" s="53"/>
      <c r="J1968" s="53"/>
      <c r="K1968" s="53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</row>
    <row r="1969">
      <c r="A1969" s="83"/>
      <c r="B1969" s="53"/>
      <c r="C1969" s="53"/>
      <c r="D1969" s="53"/>
      <c r="E1969" s="240"/>
      <c r="F1969" s="241"/>
      <c r="G1969" s="53"/>
      <c r="H1969" s="53"/>
      <c r="I1969" s="53"/>
      <c r="J1969" s="53"/>
      <c r="K1969" s="53"/>
      <c r="L1969" s="53"/>
      <c r="M1969" s="53"/>
      <c r="N1969" s="53"/>
      <c r="O1969" s="53"/>
      <c r="P1969" s="53"/>
      <c r="Q1969" s="53"/>
      <c r="R1969" s="53"/>
      <c r="S1969" s="53"/>
      <c r="T1969" s="53"/>
      <c r="U1969" s="53"/>
      <c r="V1969" s="53"/>
    </row>
    <row r="1970">
      <c r="A1970" s="83"/>
      <c r="B1970" s="53"/>
      <c r="C1970" s="53"/>
      <c r="D1970" s="53"/>
      <c r="E1970" s="240"/>
      <c r="F1970" s="241"/>
      <c r="G1970" s="53"/>
      <c r="H1970" s="53"/>
      <c r="I1970" s="53"/>
      <c r="J1970" s="53"/>
      <c r="K1970" s="53"/>
      <c r="L1970" s="53"/>
      <c r="M1970" s="53"/>
      <c r="N1970" s="53"/>
      <c r="O1970" s="53"/>
      <c r="P1970" s="53"/>
      <c r="Q1970" s="53"/>
      <c r="R1970" s="53"/>
      <c r="S1970" s="53"/>
      <c r="T1970" s="53"/>
      <c r="U1970" s="53"/>
      <c r="V1970" s="53"/>
    </row>
    <row r="1971">
      <c r="A1971" s="83"/>
      <c r="B1971" s="53"/>
      <c r="C1971" s="53"/>
      <c r="D1971" s="53"/>
      <c r="E1971" s="240"/>
      <c r="F1971" s="241"/>
      <c r="G1971" s="53"/>
      <c r="H1971" s="53"/>
      <c r="I1971" s="53"/>
      <c r="J1971" s="53"/>
      <c r="K1971" s="53"/>
      <c r="L1971" s="53"/>
      <c r="M1971" s="53"/>
      <c r="N1971" s="53"/>
      <c r="O1971" s="53"/>
      <c r="P1971" s="53"/>
      <c r="Q1971" s="53"/>
      <c r="R1971" s="53"/>
      <c r="S1971" s="53"/>
      <c r="T1971" s="53"/>
      <c r="U1971" s="53"/>
      <c r="V1971" s="53"/>
    </row>
    <row r="1972">
      <c r="A1972" s="83"/>
      <c r="B1972" s="53"/>
      <c r="C1972" s="53"/>
      <c r="D1972" s="53"/>
      <c r="E1972" s="240"/>
      <c r="F1972" s="241"/>
      <c r="G1972" s="53"/>
      <c r="H1972" s="53"/>
      <c r="I1972" s="53"/>
      <c r="J1972" s="53"/>
      <c r="K1972" s="53"/>
      <c r="L1972" s="53"/>
      <c r="M1972" s="53"/>
      <c r="N1972" s="53"/>
      <c r="O1972" s="53"/>
      <c r="P1972" s="53"/>
      <c r="Q1972" s="53"/>
      <c r="R1972" s="53"/>
      <c r="S1972" s="53"/>
      <c r="T1972" s="53"/>
      <c r="U1972" s="53"/>
      <c r="V1972" s="53"/>
    </row>
    <row r="1973">
      <c r="A1973" s="83"/>
      <c r="B1973" s="53"/>
      <c r="C1973" s="53"/>
      <c r="D1973" s="53"/>
      <c r="E1973" s="240"/>
      <c r="F1973" s="241"/>
      <c r="G1973" s="53"/>
      <c r="H1973" s="53"/>
      <c r="I1973" s="53"/>
      <c r="J1973" s="53"/>
      <c r="K1973" s="53"/>
      <c r="L1973" s="53"/>
      <c r="M1973" s="53"/>
      <c r="N1973" s="53"/>
      <c r="O1973" s="53"/>
      <c r="P1973" s="53"/>
      <c r="Q1973" s="53"/>
      <c r="R1973" s="53"/>
      <c r="S1973" s="53"/>
      <c r="T1973" s="53"/>
      <c r="U1973" s="53"/>
      <c r="V1973" s="53"/>
    </row>
    <row r="1974">
      <c r="A1974" s="83"/>
      <c r="B1974" s="53"/>
      <c r="C1974" s="53"/>
      <c r="D1974" s="53"/>
      <c r="E1974" s="240"/>
      <c r="F1974" s="241"/>
      <c r="G1974" s="53"/>
      <c r="H1974" s="53"/>
      <c r="I1974" s="53"/>
      <c r="J1974" s="53"/>
      <c r="K1974" s="53"/>
      <c r="L1974" s="53"/>
      <c r="M1974" s="53"/>
      <c r="N1974" s="53"/>
      <c r="O1974" s="53"/>
      <c r="P1974" s="53"/>
      <c r="Q1974" s="53"/>
      <c r="R1974" s="53"/>
      <c r="S1974" s="53"/>
      <c r="T1974" s="53"/>
      <c r="U1974" s="53"/>
      <c r="V1974" s="53"/>
    </row>
    <row r="1975">
      <c r="A1975" s="83"/>
      <c r="B1975" s="53"/>
      <c r="C1975" s="53"/>
      <c r="D1975" s="53"/>
      <c r="E1975" s="240"/>
      <c r="F1975" s="241"/>
      <c r="G1975" s="53"/>
      <c r="H1975" s="53"/>
      <c r="I1975" s="53"/>
      <c r="J1975" s="53"/>
      <c r="K1975" s="53"/>
      <c r="L1975" s="53"/>
      <c r="M1975" s="53"/>
      <c r="N1975" s="53"/>
      <c r="O1975" s="53"/>
      <c r="P1975" s="53"/>
      <c r="Q1975" s="53"/>
      <c r="R1975" s="53"/>
      <c r="S1975" s="53"/>
      <c r="T1975" s="53"/>
      <c r="U1975" s="53"/>
      <c r="V1975" s="53"/>
    </row>
    <row r="1976">
      <c r="A1976" s="83"/>
      <c r="B1976" s="53"/>
      <c r="C1976" s="53"/>
      <c r="D1976" s="53"/>
      <c r="E1976" s="240"/>
      <c r="F1976" s="241"/>
      <c r="G1976" s="53"/>
      <c r="H1976" s="53"/>
      <c r="I1976" s="53"/>
      <c r="J1976" s="53"/>
      <c r="K1976" s="53"/>
      <c r="L1976" s="53"/>
      <c r="M1976" s="53"/>
      <c r="N1976" s="53"/>
      <c r="O1976" s="53"/>
      <c r="P1976" s="53"/>
      <c r="Q1976" s="53"/>
      <c r="R1976" s="53"/>
      <c r="S1976" s="53"/>
      <c r="T1976" s="53"/>
      <c r="U1976" s="53"/>
      <c r="V1976" s="53"/>
    </row>
    <row r="1977">
      <c r="A1977" s="83"/>
      <c r="B1977" s="53"/>
      <c r="C1977" s="53"/>
      <c r="D1977" s="53"/>
      <c r="E1977" s="240"/>
      <c r="F1977" s="241"/>
      <c r="G1977" s="53"/>
      <c r="H1977" s="53"/>
      <c r="I1977" s="53"/>
      <c r="J1977" s="53"/>
      <c r="K1977" s="53"/>
      <c r="L1977" s="53"/>
      <c r="M1977" s="53"/>
      <c r="N1977" s="53"/>
      <c r="O1977" s="53"/>
      <c r="P1977" s="53"/>
      <c r="Q1977" s="53"/>
      <c r="R1977" s="53"/>
      <c r="S1977" s="53"/>
      <c r="T1977" s="53"/>
      <c r="U1977" s="53"/>
      <c r="V1977" s="53"/>
    </row>
    <row r="1978">
      <c r="A1978" s="83"/>
      <c r="B1978" s="53"/>
      <c r="C1978" s="53"/>
      <c r="D1978" s="53"/>
      <c r="E1978" s="240"/>
      <c r="F1978" s="241"/>
      <c r="G1978" s="53"/>
      <c r="H1978" s="53"/>
      <c r="I1978" s="53"/>
      <c r="J1978" s="53"/>
      <c r="K1978" s="53"/>
      <c r="L1978" s="53"/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</row>
    <row r="1979">
      <c r="A1979" s="83"/>
      <c r="B1979" s="53"/>
      <c r="C1979" s="53"/>
      <c r="D1979" s="53"/>
      <c r="E1979" s="240"/>
      <c r="F1979" s="241"/>
      <c r="G1979" s="53"/>
      <c r="H1979" s="53"/>
      <c r="I1979" s="53"/>
      <c r="J1979" s="53"/>
      <c r="K1979" s="53"/>
      <c r="L1979" s="53"/>
      <c r="M1979" s="53"/>
      <c r="N1979" s="53"/>
      <c r="O1979" s="53"/>
      <c r="P1979" s="53"/>
      <c r="Q1979" s="53"/>
      <c r="R1979" s="53"/>
      <c r="S1979" s="53"/>
      <c r="T1979" s="53"/>
      <c r="U1979" s="53"/>
      <c r="V1979" s="53"/>
    </row>
    <row r="1980">
      <c r="A1980" s="83"/>
      <c r="B1980" s="53"/>
      <c r="C1980" s="53"/>
      <c r="D1980" s="53"/>
      <c r="E1980" s="240"/>
      <c r="F1980" s="241"/>
      <c r="G1980" s="53"/>
      <c r="H1980" s="53"/>
      <c r="I1980" s="53"/>
      <c r="J1980" s="53"/>
      <c r="K1980" s="53"/>
      <c r="L1980" s="53"/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</row>
    <row r="1981">
      <c r="A1981" s="83"/>
      <c r="B1981" s="53"/>
      <c r="C1981" s="53"/>
      <c r="D1981" s="53"/>
      <c r="E1981" s="240"/>
      <c r="F1981" s="241"/>
      <c r="G1981" s="53"/>
      <c r="H1981" s="53"/>
      <c r="I1981" s="53"/>
      <c r="J1981" s="53"/>
      <c r="K1981" s="53"/>
      <c r="L1981" s="53"/>
      <c r="M1981" s="53"/>
      <c r="N1981" s="53"/>
      <c r="O1981" s="53"/>
      <c r="P1981" s="53"/>
      <c r="Q1981" s="53"/>
      <c r="R1981" s="53"/>
      <c r="S1981" s="53"/>
      <c r="T1981" s="53"/>
      <c r="U1981" s="53"/>
      <c r="V1981" s="53"/>
    </row>
    <row r="1982">
      <c r="A1982" s="83"/>
      <c r="B1982" s="53"/>
      <c r="C1982" s="53"/>
      <c r="D1982" s="53"/>
      <c r="E1982" s="240"/>
      <c r="F1982" s="241"/>
      <c r="G1982" s="53"/>
      <c r="H1982" s="53"/>
      <c r="I1982" s="53"/>
      <c r="J1982" s="53"/>
      <c r="K1982" s="53"/>
      <c r="L1982" s="53"/>
      <c r="M1982" s="53"/>
      <c r="N1982" s="53"/>
      <c r="O1982" s="53"/>
      <c r="P1982" s="53"/>
      <c r="Q1982" s="53"/>
      <c r="R1982" s="53"/>
      <c r="S1982" s="53"/>
      <c r="T1982" s="53"/>
      <c r="U1982" s="53"/>
      <c r="V1982" s="53"/>
    </row>
    <row r="1983">
      <c r="A1983" s="83"/>
      <c r="B1983" s="53"/>
      <c r="C1983" s="53"/>
      <c r="D1983" s="53"/>
      <c r="E1983" s="240"/>
      <c r="F1983" s="241"/>
      <c r="G1983" s="53"/>
      <c r="H1983" s="53"/>
      <c r="I1983" s="53"/>
      <c r="J1983" s="53"/>
      <c r="K1983" s="53"/>
      <c r="L1983" s="53"/>
      <c r="M1983" s="53"/>
      <c r="N1983" s="53"/>
      <c r="O1983" s="53"/>
      <c r="P1983" s="53"/>
      <c r="Q1983" s="53"/>
      <c r="R1983" s="53"/>
      <c r="S1983" s="53"/>
      <c r="T1983" s="53"/>
      <c r="U1983" s="53"/>
      <c r="V1983" s="53"/>
    </row>
    <row r="1984">
      <c r="A1984" s="83"/>
      <c r="B1984" s="53"/>
      <c r="C1984" s="53"/>
      <c r="D1984" s="53"/>
      <c r="E1984" s="240"/>
      <c r="F1984" s="241"/>
      <c r="G1984" s="53"/>
      <c r="H1984" s="53"/>
      <c r="I1984" s="53"/>
      <c r="J1984" s="53"/>
      <c r="K1984" s="53"/>
      <c r="L1984" s="53"/>
      <c r="M1984" s="53"/>
      <c r="N1984" s="53"/>
      <c r="O1984" s="53"/>
      <c r="P1984" s="53"/>
      <c r="Q1984" s="53"/>
      <c r="R1984" s="53"/>
      <c r="S1984" s="53"/>
      <c r="T1984" s="53"/>
      <c r="U1984" s="53"/>
      <c r="V1984" s="53"/>
    </row>
    <row r="1985">
      <c r="A1985" s="83"/>
      <c r="B1985" s="53"/>
      <c r="C1985" s="53"/>
      <c r="D1985" s="53"/>
      <c r="E1985" s="240"/>
      <c r="F1985" s="241"/>
      <c r="G1985" s="53"/>
      <c r="H1985" s="53"/>
      <c r="I1985" s="53"/>
      <c r="J1985" s="53"/>
      <c r="K1985" s="53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</row>
    <row r="1986">
      <c r="A1986" s="83"/>
      <c r="B1986" s="53"/>
      <c r="C1986" s="53"/>
      <c r="D1986" s="53"/>
      <c r="E1986" s="240"/>
      <c r="F1986" s="241"/>
      <c r="G1986" s="53"/>
      <c r="H1986" s="53"/>
      <c r="I1986" s="53"/>
      <c r="J1986" s="53"/>
      <c r="K1986" s="53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</row>
    <row r="1987">
      <c r="A1987" s="83"/>
      <c r="B1987" s="53"/>
      <c r="C1987" s="53"/>
      <c r="D1987" s="53"/>
      <c r="E1987" s="240"/>
      <c r="F1987" s="241"/>
      <c r="G1987" s="53"/>
      <c r="H1987" s="53"/>
      <c r="I1987" s="53"/>
      <c r="J1987" s="53"/>
      <c r="K1987" s="53"/>
      <c r="L1987" s="53"/>
      <c r="M1987" s="53"/>
      <c r="N1987" s="53"/>
      <c r="O1987" s="53"/>
      <c r="P1987" s="53"/>
      <c r="Q1987" s="53"/>
      <c r="R1987" s="53"/>
      <c r="S1987" s="53"/>
      <c r="T1987" s="53"/>
      <c r="U1987" s="53"/>
      <c r="V1987" s="53"/>
    </row>
    <row r="1988">
      <c r="A1988" s="83"/>
      <c r="B1988" s="53"/>
      <c r="C1988" s="53"/>
      <c r="D1988" s="53"/>
      <c r="E1988" s="240"/>
      <c r="F1988" s="241"/>
      <c r="G1988" s="53"/>
      <c r="H1988" s="53"/>
      <c r="I1988" s="53"/>
      <c r="J1988" s="53"/>
      <c r="K1988" s="53"/>
      <c r="L1988" s="53"/>
      <c r="M1988" s="53"/>
      <c r="N1988" s="53"/>
      <c r="O1988" s="53"/>
      <c r="P1988" s="53"/>
      <c r="Q1988" s="53"/>
      <c r="R1988" s="53"/>
      <c r="S1988" s="53"/>
      <c r="T1988" s="53"/>
      <c r="U1988" s="53"/>
      <c r="V1988" s="53"/>
    </row>
    <row r="1989">
      <c r="A1989" s="83"/>
      <c r="B1989" s="53"/>
      <c r="C1989" s="53"/>
      <c r="D1989" s="53"/>
      <c r="E1989" s="240"/>
      <c r="F1989" s="241"/>
      <c r="G1989" s="53"/>
      <c r="H1989" s="53"/>
      <c r="I1989" s="53"/>
      <c r="J1989" s="53"/>
      <c r="K1989" s="53"/>
      <c r="L1989" s="53"/>
      <c r="M1989" s="53"/>
      <c r="N1989" s="53"/>
      <c r="O1989" s="53"/>
      <c r="P1989" s="53"/>
      <c r="Q1989" s="53"/>
      <c r="R1989" s="53"/>
      <c r="S1989" s="53"/>
      <c r="T1989" s="53"/>
      <c r="U1989" s="53"/>
      <c r="V1989" s="53"/>
    </row>
    <row r="1990">
      <c r="A1990" s="83"/>
      <c r="B1990" s="53"/>
      <c r="C1990" s="53"/>
      <c r="D1990" s="53"/>
      <c r="E1990" s="240"/>
      <c r="F1990" s="241"/>
      <c r="G1990" s="53"/>
      <c r="H1990" s="53"/>
      <c r="I1990" s="53"/>
      <c r="J1990" s="53"/>
      <c r="K1990" s="53"/>
      <c r="L1990" s="53"/>
      <c r="M1990" s="53"/>
      <c r="N1990" s="53"/>
      <c r="O1990" s="53"/>
      <c r="P1990" s="53"/>
      <c r="Q1990" s="53"/>
      <c r="R1990" s="53"/>
      <c r="S1990" s="53"/>
      <c r="T1990" s="53"/>
      <c r="U1990" s="53"/>
      <c r="V1990" s="53"/>
    </row>
    <row r="1991">
      <c r="A1991" s="83"/>
      <c r="B1991" s="53"/>
      <c r="C1991" s="53"/>
      <c r="D1991" s="53"/>
      <c r="E1991" s="240"/>
      <c r="F1991" s="241"/>
      <c r="G1991" s="53"/>
      <c r="H1991" s="53"/>
      <c r="I1991" s="53"/>
      <c r="J1991" s="53"/>
      <c r="K1991" s="53"/>
      <c r="L1991" s="53"/>
      <c r="M1991" s="53"/>
      <c r="N1991" s="53"/>
      <c r="O1991" s="53"/>
      <c r="P1991" s="53"/>
      <c r="Q1991" s="53"/>
      <c r="R1991" s="53"/>
      <c r="S1991" s="53"/>
      <c r="T1991" s="53"/>
      <c r="U1991" s="53"/>
      <c r="V1991" s="53"/>
    </row>
    <row r="1992">
      <c r="A1992" s="83"/>
      <c r="B1992" s="53"/>
      <c r="C1992" s="53"/>
      <c r="D1992" s="53"/>
      <c r="E1992" s="240"/>
      <c r="F1992" s="241"/>
      <c r="G1992" s="53"/>
      <c r="H1992" s="53"/>
      <c r="I1992" s="53"/>
      <c r="J1992" s="53"/>
      <c r="K1992" s="53"/>
      <c r="L1992" s="53"/>
      <c r="M1992" s="53"/>
      <c r="N1992" s="53"/>
      <c r="O1992" s="53"/>
      <c r="P1992" s="53"/>
      <c r="Q1992" s="53"/>
      <c r="R1992" s="53"/>
      <c r="S1992" s="53"/>
      <c r="T1992" s="53"/>
      <c r="U1992" s="53"/>
      <c r="V1992" s="53"/>
    </row>
    <row r="1993">
      <c r="A1993" s="83"/>
      <c r="B1993" s="53"/>
      <c r="C1993" s="53"/>
      <c r="D1993" s="53"/>
      <c r="E1993" s="240"/>
      <c r="F1993" s="241"/>
      <c r="G1993" s="53"/>
      <c r="H1993" s="53"/>
      <c r="I1993" s="53"/>
      <c r="J1993" s="53"/>
      <c r="K1993" s="53"/>
      <c r="L1993" s="53"/>
      <c r="M1993" s="53"/>
      <c r="N1993" s="53"/>
      <c r="O1993" s="53"/>
      <c r="P1993" s="53"/>
      <c r="Q1993" s="53"/>
      <c r="R1993" s="53"/>
      <c r="S1993" s="53"/>
      <c r="T1993" s="53"/>
      <c r="U1993" s="53"/>
      <c r="V1993" s="53"/>
    </row>
    <row r="1994">
      <c r="A1994" s="83"/>
      <c r="B1994" s="53"/>
      <c r="C1994" s="53"/>
      <c r="D1994" s="53"/>
      <c r="E1994" s="240"/>
      <c r="F1994" s="241"/>
      <c r="G1994" s="53"/>
      <c r="H1994" s="53"/>
      <c r="I1994" s="53"/>
      <c r="J1994" s="53"/>
      <c r="K1994" s="53"/>
      <c r="L1994" s="53"/>
      <c r="M1994" s="53"/>
      <c r="N1994" s="53"/>
      <c r="O1994" s="53"/>
      <c r="P1994" s="53"/>
      <c r="Q1994" s="53"/>
      <c r="R1994" s="53"/>
      <c r="S1994" s="53"/>
      <c r="T1994" s="53"/>
      <c r="U1994" s="53"/>
      <c r="V1994" s="53"/>
    </row>
    <row r="1995">
      <c r="A1995" s="83"/>
      <c r="B1995" s="53"/>
      <c r="C1995" s="53"/>
      <c r="D1995" s="53"/>
      <c r="E1995" s="240"/>
      <c r="F1995" s="241"/>
      <c r="G1995" s="53"/>
      <c r="H1995" s="53"/>
      <c r="I1995" s="53"/>
      <c r="J1995" s="53"/>
      <c r="K1995" s="53"/>
      <c r="L1995" s="53"/>
      <c r="M1995" s="53"/>
      <c r="N1995" s="53"/>
      <c r="O1995" s="53"/>
      <c r="P1995" s="53"/>
      <c r="Q1995" s="53"/>
      <c r="R1995" s="53"/>
      <c r="S1995" s="53"/>
      <c r="T1995" s="53"/>
      <c r="U1995" s="53"/>
      <c r="V1995" s="53"/>
    </row>
    <row r="1996">
      <c r="A1996" s="83"/>
      <c r="B1996" s="53"/>
      <c r="C1996" s="53"/>
      <c r="D1996" s="53"/>
      <c r="E1996" s="240"/>
      <c r="F1996" s="241"/>
      <c r="G1996" s="53"/>
      <c r="H1996" s="53"/>
      <c r="I1996" s="53"/>
      <c r="J1996" s="53"/>
      <c r="K1996" s="53"/>
      <c r="L1996" s="53"/>
      <c r="M1996" s="53"/>
      <c r="N1996" s="53"/>
      <c r="O1996" s="53"/>
      <c r="P1996" s="53"/>
      <c r="Q1996" s="53"/>
      <c r="R1996" s="53"/>
      <c r="S1996" s="53"/>
      <c r="T1996" s="53"/>
      <c r="U1996" s="53"/>
      <c r="V1996" s="53"/>
    </row>
    <row r="1997">
      <c r="A1997" s="83"/>
      <c r="B1997" s="53"/>
      <c r="C1997" s="53"/>
      <c r="D1997" s="53"/>
      <c r="E1997" s="240"/>
      <c r="F1997" s="241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</row>
    <row r="1998">
      <c r="A1998" s="83"/>
      <c r="B1998" s="53"/>
      <c r="C1998" s="53"/>
      <c r="D1998" s="53"/>
      <c r="E1998" s="240"/>
      <c r="F1998" s="241"/>
      <c r="G1998" s="53"/>
      <c r="H1998" s="53"/>
      <c r="I1998" s="53"/>
      <c r="J1998" s="53"/>
      <c r="K1998" s="53"/>
      <c r="L1998" s="53"/>
      <c r="M1998" s="53"/>
      <c r="N1998" s="53"/>
      <c r="O1998" s="53"/>
      <c r="P1998" s="53"/>
      <c r="Q1998" s="53"/>
      <c r="R1998" s="53"/>
      <c r="S1998" s="53"/>
      <c r="T1998" s="53"/>
      <c r="U1998" s="53"/>
      <c r="V1998" s="53"/>
    </row>
    <row r="1999">
      <c r="A1999" s="83"/>
      <c r="B1999" s="53"/>
      <c r="C1999" s="53"/>
      <c r="D1999" s="53"/>
      <c r="E1999" s="240"/>
      <c r="F1999" s="241"/>
      <c r="G1999" s="53"/>
      <c r="H1999" s="53"/>
      <c r="I1999" s="53"/>
      <c r="J1999" s="53"/>
      <c r="K1999" s="53"/>
      <c r="L1999" s="53"/>
      <c r="M1999" s="53"/>
      <c r="N1999" s="53"/>
      <c r="O1999" s="53"/>
      <c r="P1999" s="53"/>
      <c r="Q1999" s="53"/>
      <c r="R1999" s="53"/>
      <c r="S1999" s="53"/>
      <c r="T1999" s="53"/>
      <c r="U1999" s="53"/>
      <c r="V1999" s="53"/>
    </row>
    <row r="2000">
      <c r="A2000" s="83"/>
      <c r="B2000" s="53"/>
      <c r="C2000" s="53"/>
      <c r="D2000" s="53"/>
      <c r="E2000" s="240"/>
      <c r="F2000" s="241"/>
      <c r="G2000" s="53"/>
      <c r="H2000" s="53"/>
      <c r="I2000" s="53"/>
      <c r="J2000" s="53"/>
      <c r="K2000" s="53"/>
      <c r="L2000" s="53"/>
      <c r="M2000" s="53"/>
      <c r="N2000" s="53"/>
      <c r="O2000" s="53"/>
      <c r="P2000" s="53"/>
      <c r="Q2000" s="53"/>
      <c r="R2000" s="53"/>
      <c r="S2000" s="53"/>
      <c r="T2000" s="53"/>
      <c r="U2000" s="53"/>
      <c r="V2000" s="53"/>
    </row>
    <row r="2001">
      <c r="A2001" s="83"/>
      <c r="B2001" s="53"/>
      <c r="C2001" s="53"/>
      <c r="D2001" s="53"/>
      <c r="E2001" s="240"/>
      <c r="F2001" s="241"/>
      <c r="G2001" s="53"/>
      <c r="H2001" s="53"/>
      <c r="I2001" s="53"/>
      <c r="J2001" s="53"/>
      <c r="K2001" s="53"/>
      <c r="L2001" s="53"/>
      <c r="M2001" s="53"/>
      <c r="N2001" s="53"/>
      <c r="O2001" s="53"/>
      <c r="P2001" s="53"/>
      <c r="Q2001" s="53"/>
      <c r="R2001" s="53"/>
      <c r="S2001" s="53"/>
      <c r="T2001" s="53"/>
      <c r="U2001" s="53"/>
      <c r="V2001" s="53"/>
    </row>
    <row r="2002">
      <c r="A2002" s="83"/>
      <c r="B2002" s="53"/>
      <c r="C2002" s="53"/>
      <c r="D2002" s="53"/>
      <c r="E2002" s="240"/>
      <c r="F2002" s="241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53"/>
      <c r="T2002" s="53"/>
      <c r="U2002" s="53"/>
      <c r="V2002" s="53"/>
    </row>
    <row r="2003">
      <c r="A2003" s="83"/>
      <c r="B2003" s="53"/>
      <c r="C2003" s="53"/>
      <c r="D2003" s="53"/>
      <c r="E2003" s="240"/>
      <c r="F2003" s="241"/>
      <c r="G2003" s="53"/>
      <c r="H2003" s="53"/>
      <c r="I2003" s="53"/>
      <c r="J2003" s="53"/>
      <c r="K2003" s="53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</row>
    <row r="2004">
      <c r="A2004" s="83"/>
      <c r="B2004" s="53"/>
      <c r="C2004" s="53"/>
      <c r="D2004" s="53"/>
      <c r="E2004" s="240"/>
      <c r="F2004" s="241"/>
      <c r="G2004" s="53"/>
      <c r="H2004" s="53"/>
      <c r="I2004" s="53"/>
      <c r="J2004" s="53"/>
      <c r="K2004" s="53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</row>
    <row r="2005">
      <c r="A2005" s="83"/>
      <c r="B2005" s="53"/>
      <c r="C2005" s="53"/>
      <c r="D2005" s="53"/>
      <c r="E2005" s="240"/>
      <c r="F2005" s="241"/>
      <c r="G2005" s="53"/>
      <c r="H2005" s="53"/>
      <c r="I2005" s="53"/>
      <c r="J2005" s="53"/>
      <c r="K2005" s="53"/>
      <c r="L2005" s="53"/>
      <c r="M2005" s="53"/>
      <c r="N2005" s="53"/>
      <c r="O2005" s="53"/>
      <c r="P2005" s="53"/>
      <c r="Q2005" s="53"/>
      <c r="R2005" s="53"/>
      <c r="S2005" s="53"/>
      <c r="T2005" s="53"/>
      <c r="U2005" s="53"/>
      <c r="V2005" s="53"/>
    </row>
    <row r="2006">
      <c r="A2006" s="83"/>
      <c r="B2006" s="53"/>
      <c r="C2006" s="53"/>
      <c r="D2006" s="53"/>
      <c r="E2006" s="240"/>
      <c r="F2006" s="241"/>
      <c r="G2006" s="53"/>
      <c r="H2006" s="53"/>
      <c r="I2006" s="53"/>
      <c r="J2006" s="53"/>
      <c r="K2006" s="53"/>
      <c r="L2006" s="53"/>
      <c r="M2006" s="53"/>
      <c r="N2006" s="53"/>
      <c r="O2006" s="53"/>
      <c r="P2006" s="53"/>
      <c r="Q2006" s="53"/>
      <c r="R2006" s="53"/>
      <c r="S2006" s="53"/>
      <c r="T2006" s="53"/>
      <c r="U2006" s="53"/>
      <c r="V2006" s="53"/>
    </row>
    <row r="2007">
      <c r="A2007" s="83"/>
      <c r="B2007" s="53"/>
      <c r="C2007" s="53"/>
      <c r="D2007" s="53"/>
      <c r="E2007" s="240"/>
      <c r="F2007" s="241"/>
      <c r="G2007" s="53"/>
      <c r="H2007" s="53"/>
      <c r="I2007" s="53"/>
      <c r="J2007" s="53"/>
      <c r="K2007" s="53"/>
      <c r="L2007" s="53"/>
      <c r="M2007" s="53"/>
      <c r="N2007" s="53"/>
      <c r="O2007" s="53"/>
      <c r="P2007" s="53"/>
      <c r="Q2007" s="53"/>
      <c r="R2007" s="53"/>
      <c r="S2007" s="53"/>
      <c r="T2007" s="53"/>
      <c r="U2007" s="53"/>
      <c r="V2007" s="53"/>
    </row>
    <row r="2008">
      <c r="A2008" s="83"/>
      <c r="B2008" s="53"/>
      <c r="C2008" s="53"/>
      <c r="D2008" s="53"/>
      <c r="E2008" s="240"/>
      <c r="F2008" s="241"/>
      <c r="G2008" s="53"/>
      <c r="H2008" s="53"/>
      <c r="I2008" s="53"/>
      <c r="J2008" s="53"/>
      <c r="K2008" s="53"/>
      <c r="L2008" s="53"/>
      <c r="M2008" s="53"/>
      <c r="N2008" s="53"/>
      <c r="O2008" s="53"/>
      <c r="P2008" s="53"/>
      <c r="Q2008" s="53"/>
      <c r="R2008" s="53"/>
      <c r="S2008" s="53"/>
      <c r="T2008" s="53"/>
      <c r="U2008" s="53"/>
      <c r="V2008" s="53"/>
    </row>
    <row r="2009">
      <c r="A2009" s="83"/>
      <c r="B2009" s="53"/>
      <c r="C2009" s="53"/>
      <c r="D2009" s="53"/>
      <c r="E2009" s="240"/>
      <c r="F2009" s="241"/>
      <c r="G2009" s="53"/>
      <c r="H2009" s="53"/>
      <c r="I2009" s="53"/>
      <c r="J2009" s="53"/>
      <c r="K2009" s="53"/>
      <c r="L2009" s="53"/>
      <c r="M2009" s="53"/>
      <c r="N2009" s="53"/>
      <c r="O2009" s="53"/>
      <c r="P2009" s="53"/>
      <c r="Q2009" s="53"/>
      <c r="R2009" s="53"/>
      <c r="S2009" s="53"/>
      <c r="T2009" s="53"/>
      <c r="U2009" s="53"/>
      <c r="V2009" s="53"/>
    </row>
    <row r="2010">
      <c r="A2010" s="83"/>
      <c r="B2010" s="53"/>
      <c r="C2010" s="53"/>
      <c r="D2010" s="53"/>
      <c r="E2010" s="240"/>
      <c r="F2010" s="241"/>
      <c r="G2010" s="53"/>
      <c r="H2010" s="53"/>
      <c r="I2010" s="53"/>
      <c r="J2010" s="53"/>
      <c r="K2010" s="53"/>
      <c r="L2010" s="53"/>
      <c r="M2010" s="53"/>
      <c r="N2010" s="53"/>
      <c r="O2010" s="53"/>
      <c r="P2010" s="53"/>
      <c r="Q2010" s="53"/>
      <c r="R2010" s="53"/>
      <c r="S2010" s="53"/>
      <c r="T2010" s="53"/>
      <c r="U2010" s="53"/>
      <c r="V2010" s="53"/>
    </row>
    <row r="2011">
      <c r="A2011" s="83"/>
      <c r="B2011" s="53"/>
      <c r="C2011" s="53"/>
      <c r="D2011" s="53"/>
      <c r="E2011" s="240"/>
      <c r="F2011" s="241"/>
      <c r="G2011" s="53"/>
      <c r="H2011" s="53"/>
      <c r="I2011" s="53"/>
      <c r="J2011" s="53"/>
      <c r="K2011" s="53"/>
      <c r="L2011" s="53"/>
      <c r="M2011" s="53"/>
      <c r="N2011" s="53"/>
      <c r="O2011" s="53"/>
      <c r="P2011" s="53"/>
      <c r="Q2011" s="53"/>
      <c r="R2011" s="53"/>
      <c r="S2011" s="53"/>
      <c r="T2011" s="53"/>
      <c r="U2011" s="53"/>
      <c r="V2011" s="53"/>
    </row>
    <row r="2012">
      <c r="A2012" s="83"/>
      <c r="B2012" s="53"/>
      <c r="C2012" s="53"/>
      <c r="D2012" s="53"/>
      <c r="E2012" s="240"/>
      <c r="F2012" s="241"/>
      <c r="G2012" s="53"/>
      <c r="H2012" s="53"/>
      <c r="I2012" s="53"/>
      <c r="J2012" s="53"/>
      <c r="K2012" s="53"/>
      <c r="L2012" s="53"/>
      <c r="M2012" s="53"/>
      <c r="N2012" s="53"/>
      <c r="O2012" s="53"/>
      <c r="P2012" s="53"/>
      <c r="Q2012" s="53"/>
      <c r="R2012" s="53"/>
      <c r="S2012" s="53"/>
      <c r="T2012" s="53"/>
      <c r="U2012" s="53"/>
      <c r="V2012" s="53"/>
    </row>
    <row r="2013">
      <c r="A2013" s="83"/>
      <c r="B2013" s="53"/>
      <c r="C2013" s="53"/>
      <c r="D2013" s="53"/>
      <c r="E2013" s="240"/>
      <c r="F2013" s="241"/>
      <c r="G2013" s="53"/>
      <c r="H2013" s="53"/>
      <c r="I2013" s="53"/>
      <c r="J2013" s="53"/>
      <c r="K2013" s="53"/>
      <c r="L2013" s="53"/>
      <c r="M2013" s="53"/>
      <c r="N2013" s="53"/>
      <c r="O2013" s="53"/>
      <c r="P2013" s="53"/>
      <c r="Q2013" s="53"/>
      <c r="R2013" s="53"/>
      <c r="S2013" s="53"/>
      <c r="T2013" s="53"/>
      <c r="U2013" s="53"/>
      <c r="V2013" s="53"/>
    </row>
    <row r="2014">
      <c r="A2014" s="83"/>
      <c r="B2014" s="53"/>
      <c r="C2014" s="53"/>
      <c r="D2014" s="53"/>
      <c r="E2014" s="240"/>
      <c r="F2014" s="241"/>
      <c r="G2014" s="53"/>
      <c r="H2014" s="53"/>
      <c r="I2014" s="53"/>
      <c r="J2014" s="53"/>
      <c r="K2014" s="53"/>
      <c r="L2014" s="53"/>
      <c r="M2014" s="53"/>
      <c r="N2014" s="53"/>
      <c r="O2014" s="53"/>
      <c r="P2014" s="53"/>
      <c r="Q2014" s="53"/>
      <c r="R2014" s="53"/>
      <c r="S2014" s="53"/>
      <c r="T2014" s="53"/>
      <c r="U2014" s="53"/>
      <c r="V2014" s="53"/>
    </row>
    <row r="2015">
      <c r="A2015" s="83"/>
      <c r="B2015" s="53"/>
      <c r="C2015" s="53"/>
      <c r="D2015" s="53"/>
      <c r="E2015" s="240"/>
      <c r="F2015" s="241"/>
      <c r="G2015" s="53"/>
      <c r="H2015" s="53"/>
      <c r="I2015" s="53"/>
      <c r="J2015" s="53"/>
      <c r="K2015" s="53"/>
      <c r="L2015" s="53"/>
      <c r="M2015" s="53"/>
      <c r="N2015" s="53"/>
      <c r="O2015" s="53"/>
      <c r="P2015" s="53"/>
      <c r="Q2015" s="53"/>
      <c r="R2015" s="53"/>
      <c r="S2015" s="53"/>
      <c r="T2015" s="53"/>
      <c r="U2015" s="53"/>
      <c r="V2015" s="53"/>
    </row>
    <row r="2016">
      <c r="A2016" s="83"/>
      <c r="B2016" s="53"/>
      <c r="C2016" s="53"/>
      <c r="D2016" s="53"/>
      <c r="E2016" s="240"/>
      <c r="F2016" s="241"/>
      <c r="G2016" s="53"/>
      <c r="H2016" s="53"/>
      <c r="I2016" s="53"/>
      <c r="J2016" s="53"/>
      <c r="K2016" s="53"/>
      <c r="L2016" s="53"/>
      <c r="M2016" s="53"/>
      <c r="N2016" s="53"/>
      <c r="O2016" s="53"/>
      <c r="P2016" s="53"/>
      <c r="Q2016" s="53"/>
      <c r="R2016" s="53"/>
      <c r="S2016" s="53"/>
      <c r="T2016" s="53"/>
      <c r="U2016" s="53"/>
      <c r="V2016" s="53"/>
    </row>
    <row r="2017">
      <c r="A2017" s="83"/>
      <c r="B2017" s="53"/>
      <c r="C2017" s="53"/>
      <c r="D2017" s="53"/>
      <c r="E2017" s="240"/>
      <c r="F2017" s="241"/>
      <c r="G2017" s="53"/>
      <c r="H2017" s="53"/>
      <c r="I2017" s="53"/>
      <c r="J2017" s="53"/>
      <c r="K2017" s="53"/>
      <c r="L2017" s="53"/>
      <c r="M2017" s="53"/>
      <c r="N2017" s="53"/>
      <c r="O2017" s="53"/>
      <c r="P2017" s="53"/>
      <c r="Q2017" s="53"/>
      <c r="R2017" s="53"/>
      <c r="S2017" s="53"/>
      <c r="T2017" s="53"/>
      <c r="U2017" s="53"/>
      <c r="V2017" s="53"/>
    </row>
    <row r="2018">
      <c r="A2018" s="83"/>
      <c r="B2018" s="53"/>
      <c r="C2018" s="53"/>
      <c r="D2018" s="53"/>
      <c r="E2018" s="240"/>
      <c r="F2018" s="241"/>
      <c r="G2018" s="53"/>
      <c r="H2018" s="53"/>
      <c r="I2018" s="53"/>
      <c r="J2018" s="53"/>
      <c r="K2018" s="53"/>
      <c r="L2018" s="53"/>
      <c r="M2018" s="53"/>
      <c r="N2018" s="53"/>
      <c r="O2018" s="53"/>
      <c r="P2018" s="53"/>
      <c r="Q2018" s="53"/>
      <c r="R2018" s="53"/>
      <c r="S2018" s="53"/>
      <c r="T2018" s="53"/>
      <c r="U2018" s="53"/>
      <c r="V2018" s="53"/>
    </row>
    <row r="2019">
      <c r="A2019" s="83"/>
      <c r="B2019" s="53"/>
      <c r="C2019" s="53"/>
      <c r="D2019" s="53"/>
      <c r="E2019" s="240"/>
      <c r="F2019" s="241"/>
      <c r="G2019" s="53"/>
      <c r="H2019" s="53"/>
      <c r="I2019" s="53"/>
      <c r="J2019" s="53"/>
      <c r="K2019" s="53"/>
      <c r="L2019" s="53"/>
      <c r="M2019" s="53"/>
      <c r="N2019" s="53"/>
      <c r="O2019" s="53"/>
      <c r="P2019" s="53"/>
      <c r="Q2019" s="53"/>
      <c r="R2019" s="53"/>
      <c r="S2019" s="53"/>
      <c r="T2019" s="53"/>
      <c r="U2019" s="53"/>
      <c r="V2019" s="53"/>
    </row>
    <row r="2020">
      <c r="A2020" s="83"/>
      <c r="B2020" s="53"/>
      <c r="C2020" s="53"/>
      <c r="D2020" s="53"/>
      <c r="E2020" s="240"/>
      <c r="F2020" s="241"/>
      <c r="G2020" s="53"/>
      <c r="H2020" s="53"/>
      <c r="I2020" s="53"/>
      <c r="J2020" s="53"/>
      <c r="K2020" s="53"/>
      <c r="L2020" s="53"/>
      <c r="M2020" s="53"/>
      <c r="N2020" s="53"/>
      <c r="O2020" s="53"/>
      <c r="P2020" s="53"/>
      <c r="Q2020" s="53"/>
      <c r="R2020" s="53"/>
      <c r="S2020" s="53"/>
      <c r="T2020" s="53"/>
      <c r="U2020" s="53"/>
      <c r="V2020" s="53"/>
    </row>
    <row r="2021">
      <c r="A2021" s="83"/>
      <c r="B2021" s="53"/>
      <c r="C2021" s="53"/>
      <c r="D2021" s="53"/>
      <c r="E2021" s="240"/>
      <c r="F2021" s="241"/>
      <c r="G2021" s="53"/>
      <c r="H2021" s="53"/>
      <c r="I2021" s="53"/>
      <c r="J2021" s="53"/>
      <c r="K2021" s="53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</row>
    <row r="2022">
      <c r="A2022" s="83"/>
      <c r="B2022" s="53"/>
      <c r="C2022" s="53"/>
      <c r="D2022" s="53"/>
      <c r="E2022" s="240"/>
      <c r="F2022" s="241"/>
      <c r="G2022" s="53"/>
      <c r="H2022" s="53"/>
      <c r="I2022" s="53"/>
      <c r="J2022" s="53"/>
      <c r="K2022" s="53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</row>
    <row r="2023">
      <c r="A2023" s="83"/>
      <c r="B2023" s="53"/>
      <c r="C2023" s="53"/>
      <c r="D2023" s="53"/>
      <c r="E2023" s="240"/>
      <c r="F2023" s="241"/>
      <c r="G2023" s="53"/>
      <c r="H2023" s="53"/>
      <c r="I2023" s="53"/>
      <c r="J2023" s="53"/>
      <c r="K2023" s="53"/>
      <c r="L2023" s="53"/>
      <c r="M2023" s="53"/>
      <c r="N2023" s="53"/>
      <c r="O2023" s="53"/>
      <c r="P2023" s="53"/>
      <c r="Q2023" s="53"/>
      <c r="R2023" s="53"/>
      <c r="S2023" s="53"/>
      <c r="T2023" s="53"/>
      <c r="U2023" s="53"/>
      <c r="V2023" s="53"/>
    </row>
    <row r="2024">
      <c r="A2024" s="83"/>
      <c r="B2024" s="53"/>
      <c r="C2024" s="53"/>
      <c r="D2024" s="53"/>
      <c r="E2024" s="240"/>
      <c r="F2024" s="241"/>
      <c r="G2024" s="53"/>
      <c r="H2024" s="53"/>
      <c r="I2024" s="53"/>
      <c r="J2024" s="53"/>
      <c r="K2024" s="53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</row>
    <row r="2025">
      <c r="A2025" s="83"/>
      <c r="B2025" s="53"/>
      <c r="C2025" s="53"/>
      <c r="D2025" s="53"/>
      <c r="E2025" s="240"/>
      <c r="F2025" s="241"/>
      <c r="G2025" s="53"/>
      <c r="H2025" s="53"/>
      <c r="I2025" s="53"/>
      <c r="J2025" s="53"/>
      <c r="K2025" s="53"/>
      <c r="L2025" s="53"/>
      <c r="M2025" s="53"/>
      <c r="N2025" s="53"/>
      <c r="O2025" s="53"/>
      <c r="P2025" s="53"/>
      <c r="Q2025" s="53"/>
      <c r="R2025" s="53"/>
      <c r="S2025" s="53"/>
      <c r="T2025" s="53"/>
      <c r="U2025" s="53"/>
      <c r="V2025" s="53"/>
    </row>
    <row r="2026">
      <c r="A2026" s="83"/>
      <c r="B2026" s="53"/>
      <c r="C2026" s="53"/>
      <c r="D2026" s="53"/>
      <c r="E2026" s="240"/>
      <c r="F2026" s="241"/>
      <c r="G2026" s="53"/>
      <c r="H2026" s="53"/>
      <c r="I2026" s="53"/>
      <c r="J2026" s="53"/>
      <c r="K2026" s="53"/>
      <c r="L2026" s="53"/>
      <c r="M2026" s="53"/>
      <c r="N2026" s="53"/>
      <c r="O2026" s="53"/>
      <c r="P2026" s="53"/>
      <c r="Q2026" s="53"/>
      <c r="R2026" s="53"/>
      <c r="S2026" s="53"/>
      <c r="T2026" s="53"/>
      <c r="U2026" s="53"/>
      <c r="V2026" s="53"/>
    </row>
    <row r="2027">
      <c r="A2027" s="83"/>
      <c r="B2027" s="53"/>
      <c r="C2027" s="53"/>
      <c r="D2027" s="53"/>
      <c r="E2027" s="240"/>
      <c r="F2027" s="241"/>
      <c r="G2027" s="53"/>
      <c r="H2027" s="53"/>
      <c r="I2027" s="53"/>
      <c r="J2027" s="53"/>
      <c r="K2027" s="53"/>
      <c r="L2027" s="53"/>
      <c r="M2027" s="53"/>
      <c r="N2027" s="53"/>
      <c r="O2027" s="53"/>
      <c r="P2027" s="53"/>
      <c r="Q2027" s="53"/>
      <c r="R2027" s="53"/>
      <c r="S2027" s="53"/>
      <c r="T2027" s="53"/>
      <c r="U2027" s="53"/>
      <c r="V2027" s="53"/>
    </row>
    <row r="2028">
      <c r="A2028" s="83"/>
      <c r="B2028" s="53"/>
      <c r="C2028" s="53"/>
      <c r="D2028" s="53"/>
      <c r="E2028" s="240"/>
      <c r="F2028" s="241"/>
      <c r="G2028" s="53"/>
      <c r="H2028" s="53"/>
      <c r="I2028" s="53"/>
      <c r="J2028" s="53"/>
      <c r="K2028" s="53"/>
      <c r="L2028" s="53"/>
      <c r="M2028" s="53"/>
      <c r="N2028" s="53"/>
      <c r="O2028" s="53"/>
      <c r="P2028" s="53"/>
      <c r="Q2028" s="53"/>
      <c r="R2028" s="53"/>
      <c r="S2028" s="53"/>
      <c r="T2028" s="53"/>
      <c r="U2028" s="53"/>
      <c r="V2028" s="53"/>
    </row>
    <row r="2029">
      <c r="A2029" s="83"/>
      <c r="B2029" s="53"/>
      <c r="C2029" s="53"/>
      <c r="D2029" s="53"/>
      <c r="E2029" s="240"/>
      <c r="F2029" s="241"/>
      <c r="G2029" s="53"/>
      <c r="H2029" s="53"/>
      <c r="I2029" s="53"/>
      <c r="J2029" s="53"/>
      <c r="K2029" s="53"/>
      <c r="L2029" s="53"/>
      <c r="M2029" s="53"/>
      <c r="N2029" s="53"/>
      <c r="O2029" s="53"/>
      <c r="P2029" s="53"/>
      <c r="Q2029" s="53"/>
      <c r="R2029" s="53"/>
      <c r="S2029" s="53"/>
      <c r="T2029" s="53"/>
      <c r="U2029" s="53"/>
      <c r="V2029" s="53"/>
    </row>
    <row r="2030">
      <c r="A2030" s="83"/>
      <c r="B2030" s="53"/>
      <c r="C2030" s="53"/>
      <c r="D2030" s="53"/>
      <c r="E2030" s="240"/>
      <c r="F2030" s="241"/>
      <c r="G2030" s="53"/>
      <c r="H2030" s="53"/>
      <c r="I2030" s="53"/>
      <c r="J2030" s="53"/>
      <c r="K2030" s="53"/>
      <c r="L2030" s="53"/>
      <c r="M2030" s="53"/>
      <c r="N2030" s="53"/>
      <c r="O2030" s="53"/>
      <c r="P2030" s="53"/>
      <c r="Q2030" s="53"/>
      <c r="R2030" s="53"/>
      <c r="S2030" s="53"/>
      <c r="T2030" s="53"/>
      <c r="U2030" s="53"/>
      <c r="V2030" s="53"/>
    </row>
    <row r="2031">
      <c r="A2031" s="83"/>
      <c r="B2031" s="53"/>
      <c r="C2031" s="53"/>
      <c r="D2031" s="53"/>
      <c r="E2031" s="240"/>
      <c r="F2031" s="241"/>
      <c r="G2031" s="53"/>
      <c r="H2031" s="53"/>
      <c r="I2031" s="53"/>
      <c r="J2031" s="53"/>
      <c r="K2031" s="53"/>
      <c r="L2031" s="53"/>
      <c r="M2031" s="53"/>
      <c r="N2031" s="53"/>
      <c r="O2031" s="53"/>
      <c r="P2031" s="53"/>
      <c r="Q2031" s="53"/>
      <c r="R2031" s="53"/>
      <c r="S2031" s="53"/>
      <c r="T2031" s="53"/>
      <c r="U2031" s="53"/>
      <c r="V2031" s="53"/>
    </row>
    <row r="2032">
      <c r="A2032" s="83"/>
      <c r="B2032" s="53"/>
      <c r="C2032" s="53"/>
      <c r="D2032" s="53"/>
      <c r="E2032" s="240"/>
      <c r="F2032" s="241"/>
      <c r="G2032" s="53"/>
      <c r="H2032" s="53"/>
      <c r="I2032" s="53"/>
      <c r="J2032" s="53"/>
      <c r="K2032" s="53"/>
      <c r="L2032" s="53"/>
      <c r="M2032" s="53"/>
      <c r="N2032" s="53"/>
      <c r="O2032" s="53"/>
      <c r="P2032" s="53"/>
      <c r="Q2032" s="53"/>
      <c r="R2032" s="53"/>
      <c r="S2032" s="53"/>
      <c r="T2032" s="53"/>
      <c r="U2032" s="53"/>
      <c r="V2032" s="53"/>
    </row>
    <row r="2033">
      <c r="A2033" s="83"/>
      <c r="B2033" s="53"/>
      <c r="C2033" s="53"/>
      <c r="D2033" s="53"/>
      <c r="E2033" s="240"/>
      <c r="F2033" s="241"/>
      <c r="G2033" s="53"/>
      <c r="H2033" s="53"/>
      <c r="I2033" s="53"/>
      <c r="J2033" s="53"/>
      <c r="K2033" s="53"/>
      <c r="L2033" s="53"/>
      <c r="M2033" s="53"/>
      <c r="N2033" s="53"/>
      <c r="O2033" s="53"/>
      <c r="P2033" s="53"/>
      <c r="Q2033" s="53"/>
      <c r="R2033" s="53"/>
      <c r="S2033" s="53"/>
      <c r="T2033" s="53"/>
      <c r="U2033" s="53"/>
      <c r="V2033" s="53"/>
    </row>
    <row r="2034">
      <c r="A2034" s="83"/>
      <c r="B2034" s="53"/>
      <c r="C2034" s="53"/>
      <c r="D2034" s="53"/>
      <c r="E2034" s="240"/>
      <c r="F2034" s="241"/>
      <c r="G2034" s="53"/>
      <c r="H2034" s="53"/>
      <c r="I2034" s="53"/>
      <c r="J2034" s="53"/>
      <c r="K2034" s="53"/>
      <c r="L2034" s="53"/>
      <c r="M2034" s="53"/>
      <c r="N2034" s="53"/>
      <c r="O2034" s="53"/>
      <c r="P2034" s="53"/>
      <c r="Q2034" s="53"/>
      <c r="R2034" s="53"/>
      <c r="S2034" s="53"/>
      <c r="T2034" s="53"/>
      <c r="U2034" s="53"/>
      <c r="V2034" s="53"/>
    </row>
    <row r="2035">
      <c r="A2035" s="83"/>
      <c r="B2035" s="53"/>
      <c r="C2035" s="53"/>
      <c r="D2035" s="53"/>
      <c r="E2035" s="240"/>
      <c r="F2035" s="241"/>
      <c r="G2035" s="53"/>
      <c r="H2035" s="53"/>
      <c r="I2035" s="53"/>
      <c r="J2035" s="53"/>
      <c r="K2035" s="53"/>
      <c r="L2035" s="53"/>
      <c r="M2035" s="53"/>
      <c r="N2035" s="53"/>
      <c r="O2035" s="53"/>
      <c r="P2035" s="53"/>
      <c r="Q2035" s="53"/>
      <c r="R2035" s="53"/>
      <c r="S2035" s="53"/>
      <c r="T2035" s="53"/>
      <c r="U2035" s="53"/>
      <c r="V2035" s="53"/>
    </row>
    <row r="2036">
      <c r="A2036" s="83"/>
      <c r="B2036" s="53"/>
      <c r="C2036" s="53"/>
      <c r="D2036" s="53"/>
      <c r="E2036" s="240"/>
      <c r="F2036" s="241"/>
      <c r="G2036" s="53"/>
      <c r="H2036" s="53"/>
      <c r="I2036" s="53"/>
      <c r="J2036" s="53"/>
      <c r="K2036" s="53"/>
      <c r="L2036" s="53"/>
      <c r="M2036" s="53"/>
      <c r="N2036" s="53"/>
      <c r="O2036" s="53"/>
      <c r="P2036" s="53"/>
      <c r="Q2036" s="53"/>
      <c r="R2036" s="53"/>
      <c r="S2036" s="53"/>
      <c r="T2036" s="53"/>
      <c r="U2036" s="53"/>
      <c r="V2036" s="53"/>
    </row>
    <row r="2037">
      <c r="A2037" s="83"/>
      <c r="B2037" s="53"/>
      <c r="C2037" s="53"/>
      <c r="D2037" s="53"/>
      <c r="E2037" s="240"/>
      <c r="F2037" s="241"/>
      <c r="G2037" s="53"/>
      <c r="H2037" s="53"/>
      <c r="I2037" s="53"/>
      <c r="J2037" s="53"/>
      <c r="K2037" s="53"/>
      <c r="L2037" s="53"/>
      <c r="M2037" s="53"/>
      <c r="N2037" s="53"/>
      <c r="O2037" s="53"/>
      <c r="P2037" s="53"/>
      <c r="Q2037" s="53"/>
      <c r="R2037" s="53"/>
      <c r="S2037" s="53"/>
      <c r="T2037" s="53"/>
      <c r="U2037" s="53"/>
      <c r="V2037" s="53"/>
    </row>
    <row r="2038">
      <c r="A2038" s="83"/>
      <c r="B2038" s="53"/>
      <c r="C2038" s="53"/>
      <c r="D2038" s="53"/>
      <c r="E2038" s="240"/>
      <c r="F2038" s="241"/>
      <c r="G2038" s="53"/>
      <c r="H2038" s="53"/>
      <c r="I2038" s="53"/>
      <c r="J2038" s="53"/>
      <c r="K2038" s="53"/>
      <c r="L2038" s="53"/>
      <c r="M2038" s="53"/>
      <c r="N2038" s="53"/>
      <c r="O2038" s="53"/>
      <c r="P2038" s="53"/>
      <c r="Q2038" s="53"/>
      <c r="R2038" s="53"/>
      <c r="S2038" s="53"/>
      <c r="T2038" s="53"/>
      <c r="U2038" s="53"/>
      <c r="V2038" s="53"/>
    </row>
    <row r="2039">
      <c r="A2039" s="83"/>
      <c r="B2039" s="53"/>
      <c r="C2039" s="53"/>
      <c r="D2039" s="53"/>
      <c r="E2039" s="240"/>
      <c r="F2039" s="241"/>
      <c r="G2039" s="53"/>
      <c r="H2039" s="53"/>
      <c r="I2039" s="53"/>
      <c r="J2039" s="53"/>
      <c r="K2039" s="53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</row>
    <row r="2040">
      <c r="A2040" s="83"/>
      <c r="B2040" s="53"/>
      <c r="C2040" s="53"/>
      <c r="D2040" s="53"/>
      <c r="E2040" s="240"/>
      <c r="F2040" s="241"/>
      <c r="G2040" s="53"/>
      <c r="H2040" s="53"/>
      <c r="I2040" s="53"/>
      <c r="J2040" s="53"/>
      <c r="K2040" s="53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</row>
    <row r="2041">
      <c r="A2041" s="83"/>
      <c r="B2041" s="53"/>
      <c r="C2041" s="53"/>
      <c r="D2041" s="53"/>
      <c r="E2041" s="240"/>
      <c r="F2041" s="241"/>
      <c r="G2041" s="53"/>
      <c r="H2041" s="53"/>
      <c r="I2041" s="53"/>
      <c r="J2041" s="53"/>
      <c r="K2041" s="53"/>
      <c r="L2041" s="53"/>
      <c r="M2041" s="53"/>
      <c r="N2041" s="53"/>
      <c r="O2041" s="53"/>
      <c r="P2041" s="53"/>
      <c r="Q2041" s="53"/>
      <c r="R2041" s="53"/>
      <c r="S2041" s="53"/>
      <c r="T2041" s="53"/>
      <c r="U2041" s="53"/>
      <c r="V2041" s="53"/>
    </row>
    <row r="2042">
      <c r="A2042" s="83"/>
      <c r="B2042" s="53"/>
      <c r="C2042" s="53"/>
      <c r="D2042" s="53"/>
      <c r="E2042" s="240"/>
      <c r="F2042" s="241"/>
      <c r="G2042" s="53"/>
      <c r="H2042" s="53"/>
      <c r="I2042" s="53"/>
      <c r="J2042" s="53"/>
      <c r="K2042" s="53"/>
      <c r="L2042" s="53"/>
      <c r="M2042" s="53"/>
      <c r="N2042" s="53"/>
      <c r="O2042" s="53"/>
      <c r="P2042" s="53"/>
      <c r="Q2042" s="53"/>
      <c r="R2042" s="53"/>
      <c r="S2042" s="53"/>
      <c r="T2042" s="53"/>
      <c r="U2042" s="53"/>
      <c r="V2042" s="53"/>
    </row>
    <row r="2043">
      <c r="A2043" s="83"/>
      <c r="B2043" s="53"/>
      <c r="C2043" s="53"/>
      <c r="D2043" s="53"/>
      <c r="E2043" s="240"/>
      <c r="F2043" s="241"/>
      <c r="G2043" s="53"/>
      <c r="H2043" s="53"/>
      <c r="I2043" s="53"/>
      <c r="J2043" s="53"/>
      <c r="K2043" s="53"/>
      <c r="L2043" s="53"/>
      <c r="M2043" s="53"/>
      <c r="N2043" s="53"/>
      <c r="O2043" s="53"/>
      <c r="P2043" s="53"/>
      <c r="Q2043" s="53"/>
      <c r="R2043" s="53"/>
      <c r="S2043" s="53"/>
      <c r="T2043" s="53"/>
      <c r="U2043" s="53"/>
      <c r="V2043" s="53"/>
    </row>
    <row r="2044">
      <c r="A2044" s="83"/>
      <c r="B2044" s="53"/>
      <c r="C2044" s="53"/>
      <c r="D2044" s="53"/>
      <c r="E2044" s="240"/>
      <c r="F2044" s="241"/>
      <c r="G2044" s="53"/>
      <c r="H2044" s="53"/>
      <c r="I2044" s="53"/>
      <c r="J2044" s="53"/>
      <c r="K2044" s="53"/>
      <c r="L2044" s="53"/>
      <c r="M2044" s="53"/>
      <c r="N2044" s="53"/>
      <c r="O2044" s="53"/>
      <c r="P2044" s="53"/>
      <c r="Q2044" s="53"/>
      <c r="R2044" s="53"/>
      <c r="S2044" s="53"/>
      <c r="T2044" s="53"/>
      <c r="U2044" s="53"/>
      <c r="V2044" s="53"/>
    </row>
    <row r="2045">
      <c r="A2045" s="83"/>
      <c r="B2045" s="53"/>
      <c r="C2045" s="53"/>
      <c r="D2045" s="53"/>
      <c r="E2045" s="240"/>
      <c r="F2045" s="241"/>
      <c r="G2045" s="53"/>
      <c r="H2045" s="53"/>
      <c r="I2045" s="53"/>
      <c r="J2045" s="53"/>
      <c r="K2045" s="53"/>
      <c r="L2045" s="53"/>
      <c r="M2045" s="53"/>
      <c r="N2045" s="53"/>
      <c r="O2045" s="53"/>
      <c r="P2045" s="53"/>
      <c r="Q2045" s="53"/>
      <c r="R2045" s="53"/>
      <c r="S2045" s="53"/>
      <c r="T2045" s="53"/>
      <c r="U2045" s="53"/>
      <c r="V2045" s="53"/>
    </row>
    <row r="2046">
      <c r="A2046" s="83"/>
      <c r="B2046" s="53"/>
      <c r="C2046" s="53"/>
      <c r="D2046" s="53"/>
      <c r="E2046" s="240"/>
      <c r="F2046" s="241"/>
      <c r="G2046" s="53"/>
      <c r="H2046" s="53"/>
      <c r="I2046" s="53"/>
      <c r="J2046" s="53"/>
      <c r="K2046" s="53"/>
      <c r="L2046" s="53"/>
      <c r="M2046" s="53"/>
      <c r="N2046" s="53"/>
      <c r="O2046" s="53"/>
      <c r="P2046" s="53"/>
      <c r="Q2046" s="53"/>
      <c r="R2046" s="53"/>
      <c r="S2046" s="53"/>
      <c r="T2046" s="53"/>
      <c r="U2046" s="53"/>
      <c r="V2046" s="53"/>
    </row>
    <row r="2047">
      <c r="A2047" s="83"/>
      <c r="B2047" s="53"/>
      <c r="C2047" s="53"/>
      <c r="D2047" s="53"/>
      <c r="E2047" s="240"/>
      <c r="F2047" s="241"/>
      <c r="G2047" s="53"/>
      <c r="H2047" s="53"/>
      <c r="I2047" s="53"/>
      <c r="J2047" s="53"/>
      <c r="K2047" s="53"/>
      <c r="L2047" s="53"/>
      <c r="M2047" s="53"/>
      <c r="N2047" s="53"/>
      <c r="O2047" s="53"/>
      <c r="P2047" s="53"/>
      <c r="Q2047" s="53"/>
      <c r="R2047" s="53"/>
      <c r="S2047" s="53"/>
      <c r="T2047" s="53"/>
      <c r="U2047" s="53"/>
      <c r="V2047" s="53"/>
    </row>
    <row r="2048">
      <c r="A2048" s="83"/>
      <c r="B2048" s="53"/>
      <c r="C2048" s="53"/>
      <c r="D2048" s="53"/>
      <c r="E2048" s="240"/>
      <c r="F2048" s="241"/>
      <c r="G2048" s="53"/>
      <c r="H2048" s="53"/>
      <c r="I2048" s="53"/>
      <c r="J2048" s="53"/>
      <c r="K2048" s="53"/>
      <c r="L2048" s="53"/>
      <c r="M2048" s="53"/>
      <c r="N2048" s="53"/>
      <c r="O2048" s="53"/>
      <c r="P2048" s="53"/>
      <c r="Q2048" s="53"/>
      <c r="R2048" s="53"/>
      <c r="S2048" s="53"/>
      <c r="T2048" s="53"/>
      <c r="U2048" s="53"/>
      <c r="V2048" s="53"/>
    </row>
    <row r="2049">
      <c r="A2049" s="83"/>
      <c r="B2049" s="53"/>
      <c r="C2049" s="53"/>
      <c r="D2049" s="53"/>
      <c r="E2049" s="240"/>
      <c r="F2049" s="241"/>
      <c r="G2049" s="53"/>
      <c r="H2049" s="53"/>
      <c r="I2049" s="53"/>
      <c r="J2049" s="53"/>
      <c r="K2049" s="53"/>
      <c r="L2049" s="53"/>
      <c r="M2049" s="53"/>
      <c r="N2049" s="53"/>
      <c r="O2049" s="53"/>
      <c r="P2049" s="53"/>
      <c r="Q2049" s="53"/>
      <c r="R2049" s="53"/>
      <c r="S2049" s="53"/>
      <c r="T2049" s="53"/>
      <c r="U2049" s="53"/>
      <c r="V2049" s="53"/>
    </row>
    <row r="2050">
      <c r="A2050" s="83"/>
      <c r="B2050" s="53"/>
      <c r="C2050" s="53"/>
      <c r="D2050" s="53"/>
      <c r="E2050" s="240"/>
      <c r="F2050" s="241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</row>
    <row r="2051">
      <c r="A2051" s="83"/>
      <c r="B2051" s="53"/>
      <c r="C2051" s="53"/>
      <c r="D2051" s="53"/>
      <c r="E2051" s="240"/>
      <c r="F2051" s="241"/>
      <c r="G2051" s="53"/>
      <c r="H2051" s="53"/>
      <c r="I2051" s="53"/>
      <c r="J2051" s="53"/>
      <c r="K2051" s="53"/>
      <c r="L2051" s="53"/>
      <c r="M2051" s="53"/>
      <c r="N2051" s="53"/>
      <c r="O2051" s="53"/>
      <c r="P2051" s="53"/>
      <c r="Q2051" s="53"/>
      <c r="R2051" s="53"/>
      <c r="S2051" s="53"/>
      <c r="T2051" s="53"/>
      <c r="U2051" s="53"/>
      <c r="V2051" s="53"/>
    </row>
    <row r="2052">
      <c r="A2052" s="83"/>
      <c r="B2052" s="53"/>
      <c r="C2052" s="53"/>
      <c r="D2052" s="53"/>
      <c r="E2052" s="240"/>
      <c r="F2052" s="241"/>
      <c r="G2052" s="53"/>
      <c r="H2052" s="53"/>
      <c r="I2052" s="53"/>
      <c r="J2052" s="53"/>
      <c r="K2052" s="53"/>
      <c r="L2052" s="53"/>
      <c r="M2052" s="53"/>
      <c r="N2052" s="53"/>
      <c r="O2052" s="53"/>
      <c r="P2052" s="53"/>
      <c r="Q2052" s="53"/>
      <c r="R2052" s="53"/>
      <c r="S2052" s="53"/>
      <c r="T2052" s="53"/>
      <c r="U2052" s="53"/>
      <c r="V2052" s="53"/>
    </row>
    <row r="2053">
      <c r="A2053" s="83"/>
      <c r="B2053" s="53"/>
      <c r="C2053" s="53"/>
      <c r="D2053" s="53"/>
      <c r="E2053" s="240"/>
      <c r="F2053" s="241"/>
      <c r="G2053" s="53"/>
      <c r="H2053" s="53"/>
      <c r="I2053" s="53"/>
      <c r="J2053" s="53"/>
      <c r="K2053" s="53"/>
      <c r="L2053" s="53"/>
      <c r="M2053" s="53"/>
      <c r="N2053" s="53"/>
      <c r="O2053" s="53"/>
      <c r="P2053" s="53"/>
      <c r="Q2053" s="53"/>
      <c r="R2053" s="53"/>
      <c r="S2053" s="53"/>
      <c r="T2053" s="53"/>
      <c r="U2053" s="53"/>
      <c r="V2053" s="53"/>
    </row>
    <row r="2054">
      <c r="A2054" s="83"/>
      <c r="B2054" s="53"/>
      <c r="C2054" s="53"/>
      <c r="D2054" s="53"/>
      <c r="E2054" s="240"/>
      <c r="F2054" s="241"/>
      <c r="G2054" s="53"/>
      <c r="H2054" s="53"/>
      <c r="I2054" s="53"/>
      <c r="J2054" s="53"/>
      <c r="K2054" s="53"/>
      <c r="L2054" s="53"/>
      <c r="M2054" s="53"/>
      <c r="N2054" s="53"/>
      <c r="O2054" s="53"/>
      <c r="P2054" s="53"/>
      <c r="Q2054" s="53"/>
      <c r="R2054" s="53"/>
      <c r="S2054" s="53"/>
      <c r="T2054" s="53"/>
      <c r="U2054" s="53"/>
      <c r="V2054" s="53"/>
    </row>
    <row r="2055">
      <c r="A2055" s="83"/>
      <c r="B2055" s="53"/>
      <c r="C2055" s="53"/>
      <c r="D2055" s="53"/>
      <c r="E2055" s="240"/>
      <c r="F2055" s="241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53"/>
      <c r="T2055" s="53"/>
      <c r="U2055" s="53"/>
      <c r="V2055" s="53"/>
    </row>
    <row r="2056">
      <c r="A2056" s="83"/>
      <c r="B2056" s="53"/>
      <c r="C2056" s="53"/>
      <c r="D2056" s="53"/>
      <c r="E2056" s="240"/>
      <c r="F2056" s="241"/>
      <c r="G2056" s="53"/>
      <c r="H2056" s="53"/>
      <c r="I2056" s="53"/>
      <c r="J2056" s="53"/>
      <c r="K2056" s="53"/>
      <c r="L2056" s="53"/>
      <c r="M2056" s="53"/>
      <c r="N2056" s="53"/>
      <c r="O2056" s="53"/>
      <c r="P2056" s="53"/>
      <c r="Q2056" s="53"/>
      <c r="R2056" s="53"/>
      <c r="S2056" s="53"/>
      <c r="T2056" s="53"/>
      <c r="U2056" s="53"/>
      <c r="V2056" s="53"/>
    </row>
    <row r="2057">
      <c r="A2057" s="83"/>
      <c r="B2057" s="53"/>
      <c r="C2057" s="53"/>
      <c r="D2057" s="53"/>
      <c r="E2057" s="240"/>
      <c r="F2057" s="241"/>
      <c r="G2057" s="53"/>
      <c r="H2057" s="53"/>
      <c r="I2057" s="53"/>
      <c r="J2057" s="53"/>
      <c r="K2057" s="53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</row>
    <row r="2058">
      <c r="A2058" s="83"/>
      <c r="B2058" s="53"/>
      <c r="C2058" s="53"/>
      <c r="D2058" s="53"/>
      <c r="E2058" s="240"/>
      <c r="F2058" s="241"/>
      <c r="G2058" s="53"/>
      <c r="H2058" s="53"/>
      <c r="I2058" s="53"/>
      <c r="J2058" s="53"/>
      <c r="K2058" s="53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</row>
    <row r="2059">
      <c r="A2059" s="83"/>
      <c r="B2059" s="53"/>
      <c r="C2059" s="53"/>
      <c r="D2059" s="53"/>
      <c r="E2059" s="240"/>
      <c r="F2059" s="241"/>
      <c r="G2059" s="53"/>
      <c r="H2059" s="53"/>
      <c r="I2059" s="53"/>
      <c r="J2059" s="53"/>
      <c r="K2059" s="53"/>
      <c r="L2059" s="53"/>
      <c r="M2059" s="53"/>
      <c r="N2059" s="53"/>
      <c r="O2059" s="53"/>
      <c r="P2059" s="53"/>
      <c r="Q2059" s="53"/>
      <c r="R2059" s="53"/>
      <c r="S2059" s="53"/>
      <c r="T2059" s="53"/>
      <c r="U2059" s="53"/>
      <c r="V2059" s="53"/>
    </row>
    <row r="2060">
      <c r="A2060" s="83"/>
      <c r="B2060" s="53"/>
      <c r="C2060" s="53"/>
      <c r="D2060" s="53"/>
      <c r="E2060" s="240"/>
      <c r="F2060" s="241"/>
      <c r="G2060" s="53"/>
      <c r="H2060" s="53"/>
      <c r="I2060" s="53"/>
      <c r="J2060" s="53"/>
      <c r="K2060" s="53"/>
      <c r="L2060" s="53"/>
      <c r="M2060" s="53"/>
      <c r="N2060" s="53"/>
      <c r="O2060" s="53"/>
      <c r="P2060" s="53"/>
      <c r="Q2060" s="53"/>
      <c r="R2060" s="53"/>
      <c r="S2060" s="53"/>
      <c r="T2060" s="53"/>
      <c r="U2060" s="53"/>
      <c r="V2060" s="53"/>
    </row>
    <row r="2061">
      <c r="A2061" s="83"/>
      <c r="B2061" s="53"/>
      <c r="C2061" s="53"/>
      <c r="D2061" s="53"/>
      <c r="E2061" s="240"/>
      <c r="F2061" s="241"/>
      <c r="G2061" s="53"/>
      <c r="H2061" s="53"/>
      <c r="I2061" s="53"/>
      <c r="J2061" s="53"/>
      <c r="K2061" s="53"/>
      <c r="L2061" s="53"/>
      <c r="M2061" s="53"/>
      <c r="N2061" s="53"/>
      <c r="O2061" s="53"/>
      <c r="P2061" s="53"/>
      <c r="Q2061" s="53"/>
      <c r="R2061" s="53"/>
      <c r="S2061" s="53"/>
      <c r="T2061" s="53"/>
      <c r="U2061" s="53"/>
      <c r="V2061" s="53"/>
    </row>
    <row r="2062">
      <c r="A2062" s="83"/>
      <c r="B2062" s="53"/>
      <c r="C2062" s="53"/>
      <c r="D2062" s="53"/>
      <c r="E2062" s="240"/>
      <c r="F2062" s="241"/>
      <c r="G2062" s="53"/>
      <c r="H2062" s="53"/>
      <c r="I2062" s="53"/>
      <c r="J2062" s="53"/>
      <c r="K2062" s="53"/>
      <c r="L2062" s="53"/>
      <c r="M2062" s="53"/>
      <c r="N2062" s="53"/>
      <c r="O2062" s="53"/>
      <c r="P2062" s="53"/>
      <c r="Q2062" s="53"/>
      <c r="R2062" s="53"/>
      <c r="S2062" s="53"/>
      <c r="T2062" s="53"/>
      <c r="U2062" s="53"/>
      <c r="V2062" s="53"/>
    </row>
    <row r="2063">
      <c r="A2063" s="83"/>
      <c r="B2063" s="53"/>
      <c r="C2063" s="53"/>
      <c r="D2063" s="53"/>
      <c r="E2063" s="240"/>
      <c r="F2063" s="241"/>
      <c r="G2063" s="53"/>
      <c r="H2063" s="53"/>
      <c r="I2063" s="53"/>
      <c r="J2063" s="53"/>
      <c r="K2063" s="53"/>
      <c r="L2063" s="53"/>
      <c r="M2063" s="53"/>
      <c r="N2063" s="53"/>
      <c r="O2063" s="53"/>
      <c r="P2063" s="53"/>
      <c r="Q2063" s="53"/>
      <c r="R2063" s="53"/>
      <c r="S2063" s="53"/>
      <c r="T2063" s="53"/>
      <c r="U2063" s="53"/>
      <c r="V2063" s="53"/>
    </row>
    <row r="2064">
      <c r="A2064" s="83"/>
      <c r="B2064" s="53"/>
      <c r="C2064" s="53"/>
      <c r="D2064" s="53"/>
      <c r="E2064" s="240"/>
      <c r="F2064" s="241"/>
      <c r="G2064" s="53"/>
      <c r="H2064" s="53"/>
      <c r="I2064" s="53"/>
      <c r="J2064" s="53"/>
      <c r="K2064" s="53"/>
      <c r="L2064" s="53"/>
      <c r="M2064" s="53"/>
      <c r="N2064" s="53"/>
      <c r="O2064" s="53"/>
      <c r="P2064" s="53"/>
      <c r="Q2064" s="53"/>
      <c r="R2064" s="53"/>
      <c r="S2064" s="53"/>
      <c r="T2064" s="53"/>
      <c r="U2064" s="53"/>
      <c r="V2064" s="53"/>
    </row>
    <row r="2065">
      <c r="A2065" s="83"/>
      <c r="B2065" s="53"/>
      <c r="C2065" s="53"/>
      <c r="D2065" s="53"/>
      <c r="E2065" s="240"/>
      <c r="F2065" s="241"/>
      <c r="G2065" s="53"/>
      <c r="H2065" s="53"/>
      <c r="I2065" s="53"/>
      <c r="J2065" s="53"/>
      <c r="K2065" s="53"/>
      <c r="L2065" s="53"/>
      <c r="M2065" s="53"/>
      <c r="N2065" s="53"/>
      <c r="O2065" s="53"/>
      <c r="P2065" s="53"/>
      <c r="Q2065" s="53"/>
      <c r="R2065" s="53"/>
      <c r="S2065" s="53"/>
      <c r="T2065" s="53"/>
      <c r="U2065" s="53"/>
      <c r="V2065" s="53"/>
    </row>
    <row r="2066">
      <c r="A2066" s="83"/>
      <c r="B2066" s="53"/>
      <c r="C2066" s="53"/>
      <c r="D2066" s="53"/>
      <c r="E2066" s="240"/>
      <c r="F2066" s="241"/>
      <c r="G2066" s="53"/>
      <c r="H2066" s="53"/>
      <c r="I2066" s="53"/>
      <c r="J2066" s="53"/>
      <c r="K2066" s="53"/>
      <c r="L2066" s="53"/>
      <c r="M2066" s="53"/>
      <c r="N2066" s="53"/>
      <c r="O2066" s="53"/>
      <c r="P2066" s="53"/>
      <c r="Q2066" s="53"/>
      <c r="R2066" s="53"/>
      <c r="S2066" s="53"/>
      <c r="T2066" s="53"/>
      <c r="U2066" s="53"/>
      <c r="V2066" s="53"/>
    </row>
    <row r="2067">
      <c r="A2067" s="83"/>
      <c r="B2067" s="53"/>
      <c r="C2067" s="53"/>
      <c r="D2067" s="53"/>
      <c r="E2067" s="240"/>
      <c r="F2067" s="241"/>
      <c r="G2067" s="53"/>
      <c r="H2067" s="53"/>
      <c r="I2067" s="53"/>
      <c r="J2067" s="53"/>
      <c r="K2067" s="53"/>
      <c r="L2067" s="53"/>
      <c r="M2067" s="53"/>
      <c r="N2067" s="53"/>
      <c r="O2067" s="53"/>
      <c r="P2067" s="53"/>
      <c r="Q2067" s="53"/>
      <c r="R2067" s="53"/>
      <c r="S2067" s="53"/>
      <c r="T2067" s="53"/>
      <c r="U2067" s="53"/>
      <c r="V2067" s="53"/>
    </row>
    <row r="2068">
      <c r="A2068" s="83"/>
      <c r="B2068" s="53"/>
      <c r="C2068" s="53"/>
      <c r="D2068" s="53"/>
      <c r="E2068" s="240"/>
      <c r="F2068" s="241"/>
      <c r="G2068" s="53"/>
      <c r="H2068" s="53"/>
      <c r="I2068" s="53"/>
      <c r="J2068" s="53"/>
      <c r="K2068" s="53"/>
      <c r="L2068" s="53"/>
      <c r="M2068" s="53"/>
      <c r="N2068" s="53"/>
      <c r="O2068" s="53"/>
      <c r="P2068" s="53"/>
      <c r="Q2068" s="53"/>
      <c r="R2068" s="53"/>
      <c r="S2068" s="53"/>
      <c r="T2068" s="53"/>
      <c r="U2068" s="53"/>
      <c r="V2068" s="53"/>
    </row>
    <row r="2069">
      <c r="A2069" s="83"/>
      <c r="B2069" s="53"/>
      <c r="C2069" s="53"/>
      <c r="D2069" s="53"/>
      <c r="E2069" s="240"/>
      <c r="F2069" s="241"/>
      <c r="G2069" s="53"/>
      <c r="H2069" s="53"/>
      <c r="I2069" s="53"/>
      <c r="J2069" s="53"/>
      <c r="K2069" s="53"/>
      <c r="L2069" s="53"/>
      <c r="M2069" s="53"/>
      <c r="N2069" s="53"/>
      <c r="O2069" s="53"/>
      <c r="P2069" s="53"/>
      <c r="Q2069" s="53"/>
      <c r="R2069" s="53"/>
      <c r="S2069" s="53"/>
      <c r="T2069" s="53"/>
      <c r="U2069" s="53"/>
      <c r="V2069" s="53"/>
    </row>
    <row r="2070">
      <c r="A2070" s="83"/>
      <c r="B2070" s="53"/>
      <c r="C2070" s="53"/>
      <c r="D2070" s="53"/>
      <c r="E2070" s="240"/>
      <c r="F2070" s="241"/>
      <c r="G2070" s="53"/>
      <c r="H2070" s="53"/>
      <c r="I2070" s="53"/>
      <c r="J2070" s="53"/>
      <c r="K2070" s="53"/>
      <c r="L2070" s="53"/>
      <c r="M2070" s="53"/>
      <c r="N2070" s="53"/>
      <c r="O2070" s="53"/>
      <c r="P2070" s="53"/>
      <c r="Q2070" s="53"/>
      <c r="R2070" s="53"/>
      <c r="S2070" s="53"/>
      <c r="T2070" s="53"/>
      <c r="U2070" s="53"/>
      <c r="V2070" s="53"/>
    </row>
    <row r="2071">
      <c r="A2071" s="83"/>
      <c r="B2071" s="53"/>
      <c r="C2071" s="53"/>
      <c r="D2071" s="53"/>
      <c r="E2071" s="240"/>
      <c r="F2071" s="241"/>
      <c r="G2071" s="53"/>
      <c r="H2071" s="53"/>
      <c r="I2071" s="53"/>
      <c r="J2071" s="53"/>
      <c r="K2071" s="53"/>
      <c r="L2071" s="53"/>
      <c r="M2071" s="53"/>
      <c r="N2071" s="53"/>
      <c r="O2071" s="53"/>
      <c r="P2071" s="53"/>
      <c r="Q2071" s="53"/>
      <c r="R2071" s="53"/>
      <c r="S2071" s="53"/>
      <c r="T2071" s="53"/>
      <c r="U2071" s="53"/>
      <c r="V2071" s="53"/>
    </row>
    <row r="2072">
      <c r="A2072" s="83"/>
      <c r="B2072" s="53"/>
      <c r="C2072" s="53"/>
      <c r="D2072" s="53"/>
      <c r="E2072" s="240"/>
      <c r="F2072" s="241"/>
      <c r="G2072" s="53"/>
      <c r="H2072" s="53"/>
      <c r="I2072" s="53"/>
      <c r="J2072" s="53"/>
      <c r="K2072" s="53"/>
      <c r="L2072" s="53"/>
      <c r="M2072" s="53"/>
      <c r="N2072" s="53"/>
      <c r="O2072" s="53"/>
      <c r="P2072" s="53"/>
      <c r="Q2072" s="53"/>
      <c r="R2072" s="53"/>
      <c r="S2072" s="53"/>
      <c r="T2072" s="53"/>
      <c r="U2072" s="53"/>
      <c r="V2072" s="53"/>
    </row>
    <row r="2073">
      <c r="A2073" s="83"/>
      <c r="B2073" s="53"/>
      <c r="C2073" s="53"/>
      <c r="D2073" s="53"/>
      <c r="E2073" s="240"/>
      <c r="F2073" s="241"/>
      <c r="G2073" s="53"/>
      <c r="H2073" s="53"/>
      <c r="I2073" s="53"/>
      <c r="J2073" s="53"/>
      <c r="K2073" s="53"/>
      <c r="L2073" s="53"/>
      <c r="M2073" s="53"/>
      <c r="N2073" s="53"/>
      <c r="O2073" s="53"/>
      <c r="P2073" s="53"/>
      <c r="Q2073" s="53"/>
      <c r="R2073" s="53"/>
      <c r="S2073" s="53"/>
      <c r="T2073" s="53"/>
      <c r="U2073" s="53"/>
      <c r="V2073" s="53"/>
    </row>
    <row r="2074">
      <c r="A2074" s="83"/>
      <c r="B2074" s="53"/>
      <c r="C2074" s="53"/>
      <c r="D2074" s="53"/>
      <c r="E2074" s="240"/>
      <c r="F2074" s="241"/>
      <c r="G2074" s="53"/>
      <c r="H2074" s="53"/>
      <c r="I2074" s="53"/>
      <c r="J2074" s="53"/>
      <c r="K2074" s="53"/>
      <c r="L2074" s="53"/>
      <c r="M2074" s="53"/>
      <c r="N2074" s="53"/>
      <c r="O2074" s="53"/>
      <c r="P2074" s="53"/>
      <c r="Q2074" s="53"/>
      <c r="R2074" s="53"/>
      <c r="S2074" s="53"/>
      <c r="T2074" s="53"/>
      <c r="U2074" s="53"/>
      <c r="V2074" s="53"/>
    </row>
    <row r="2075">
      <c r="A2075" s="83"/>
      <c r="B2075" s="53"/>
      <c r="C2075" s="53"/>
      <c r="D2075" s="53"/>
      <c r="E2075" s="240"/>
      <c r="F2075" s="241"/>
      <c r="G2075" s="53"/>
      <c r="H2075" s="53"/>
      <c r="I2075" s="53"/>
      <c r="J2075" s="53"/>
      <c r="K2075" s="53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</row>
    <row r="2076">
      <c r="A2076" s="83"/>
      <c r="B2076" s="53"/>
      <c r="C2076" s="53"/>
      <c r="D2076" s="53"/>
      <c r="E2076" s="240"/>
      <c r="F2076" s="241"/>
      <c r="G2076" s="53"/>
      <c r="H2076" s="53"/>
      <c r="I2076" s="53"/>
      <c r="J2076" s="53"/>
      <c r="K2076" s="53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</row>
    <row r="2077">
      <c r="A2077" s="83"/>
      <c r="B2077" s="53"/>
      <c r="C2077" s="53"/>
      <c r="D2077" s="53"/>
      <c r="E2077" s="240"/>
      <c r="F2077" s="241"/>
      <c r="G2077" s="53"/>
      <c r="H2077" s="53"/>
      <c r="I2077" s="53"/>
      <c r="J2077" s="53"/>
      <c r="K2077" s="53"/>
      <c r="L2077" s="53"/>
      <c r="M2077" s="53"/>
      <c r="N2077" s="53"/>
      <c r="O2077" s="53"/>
      <c r="P2077" s="53"/>
      <c r="Q2077" s="53"/>
      <c r="R2077" s="53"/>
      <c r="S2077" s="53"/>
      <c r="T2077" s="53"/>
      <c r="U2077" s="53"/>
      <c r="V2077" s="53"/>
    </row>
    <row r="2078">
      <c r="A2078" s="83"/>
      <c r="B2078" s="53"/>
      <c r="C2078" s="53"/>
      <c r="D2078" s="53"/>
      <c r="E2078" s="240"/>
      <c r="F2078" s="241"/>
      <c r="G2078" s="53"/>
      <c r="H2078" s="53"/>
      <c r="I2078" s="53"/>
      <c r="J2078" s="53"/>
      <c r="K2078" s="53"/>
      <c r="L2078" s="53"/>
      <c r="M2078" s="53"/>
      <c r="N2078" s="53"/>
      <c r="O2078" s="53"/>
      <c r="P2078" s="53"/>
      <c r="Q2078" s="53"/>
      <c r="R2078" s="53"/>
      <c r="S2078" s="53"/>
      <c r="T2078" s="53"/>
      <c r="U2078" s="53"/>
      <c r="V2078" s="53"/>
    </row>
    <row r="2079">
      <c r="A2079" s="83"/>
      <c r="B2079" s="53"/>
      <c r="C2079" s="53"/>
      <c r="D2079" s="53"/>
      <c r="E2079" s="240"/>
      <c r="F2079" s="241"/>
      <c r="G2079" s="53"/>
      <c r="H2079" s="53"/>
      <c r="I2079" s="53"/>
      <c r="J2079" s="53"/>
      <c r="K2079" s="53"/>
      <c r="L2079" s="53"/>
      <c r="M2079" s="53"/>
      <c r="N2079" s="53"/>
      <c r="O2079" s="53"/>
      <c r="P2079" s="53"/>
      <c r="Q2079" s="53"/>
      <c r="R2079" s="53"/>
      <c r="S2079" s="53"/>
      <c r="T2079" s="53"/>
      <c r="U2079" s="53"/>
      <c r="V2079" s="53"/>
    </row>
    <row r="2080">
      <c r="A2080" s="83"/>
      <c r="B2080" s="53"/>
      <c r="C2080" s="53"/>
      <c r="D2080" s="53"/>
      <c r="E2080" s="240"/>
      <c r="F2080" s="241"/>
      <c r="G2080" s="53"/>
      <c r="H2080" s="53"/>
      <c r="I2080" s="53"/>
      <c r="J2080" s="53"/>
      <c r="K2080" s="53"/>
      <c r="L2080" s="53"/>
      <c r="M2080" s="53"/>
      <c r="N2080" s="53"/>
      <c r="O2080" s="53"/>
      <c r="P2080" s="53"/>
      <c r="Q2080" s="53"/>
      <c r="R2080" s="53"/>
      <c r="S2080" s="53"/>
      <c r="T2080" s="53"/>
      <c r="U2080" s="53"/>
      <c r="V2080" s="53"/>
    </row>
    <row r="2081">
      <c r="A2081" s="83"/>
      <c r="B2081" s="53"/>
      <c r="C2081" s="53"/>
      <c r="D2081" s="53"/>
      <c r="E2081" s="240"/>
      <c r="F2081" s="241"/>
      <c r="G2081" s="53"/>
      <c r="H2081" s="53"/>
      <c r="I2081" s="53"/>
      <c r="J2081" s="53"/>
      <c r="K2081" s="53"/>
      <c r="L2081" s="53"/>
      <c r="M2081" s="53"/>
      <c r="N2081" s="53"/>
      <c r="O2081" s="53"/>
      <c r="P2081" s="53"/>
      <c r="Q2081" s="53"/>
      <c r="R2081" s="53"/>
      <c r="S2081" s="53"/>
      <c r="T2081" s="53"/>
      <c r="U2081" s="53"/>
      <c r="V2081" s="53"/>
    </row>
    <row r="2082">
      <c r="A2082" s="83"/>
      <c r="B2082" s="53"/>
      <c r="C2082" s="53"/>
      <c r="D2082" s="53"/>
      <c r="E2082" s="240"/>
      <c r="F2082" s="241"/>
      <c r="G2082" s="53"/>
      <c r="H2082" s="53"/>
      <c r="I2082" s="53"/>
      <c r="J2082" s="53"/>
      <c r="K2082" s="53"/>
      <c r="L2082" s="53"/>
      <c r="M2082" s="53"/>
      <c r="N2082" s="53"/>
      <c r="O2082" s="53"/>
      <c r="P2082" s="53"/>
      <c r="Q2082" s="53"/>
      <c r="R2082" s="53"/>
      <c r="S2082" s="53"/>
      <c r="T2082" s="53"/>
      <c r="U2082" s="53"/>
      <c r="V2082" s="53"/>
    </row>
    <row r="2083">
      <c r="A2083" s="83"/>
      <c r="B2083" s="53"/>
      <c r="C2083" s="53"/>
      <c r="D2083" s="53"/>
      <c r="E2083" s="240"/>
      <c r="F2083" s="241"/>
      <c r="G2083" s="53"/>
      <c r="H2083" s="53"/>
      <c r="I2083" s="53"/>
      <c r="J2083" s="53"/>
      <c r="K2083" s="53"/>
      <c r="L2083" s="53"/>
      <c r="M2083" s="53"/>
      <c r="N2083" s="53"/>
      <c r="O2083" s="53"/>
      <c r="P2083" s="53"/>
      <c r="Q2083" s="53"/>
      <c r="R2083" s="53"/>
      <c r="S2083" s="53"/>
      <c r="T2083" s="53"/>
      <c r="U2083" s="53"/>
      <c r="V2083" s="53"/>
    </row>
    <row r="2084">
      <c r="A2084" s="83"/>
      <c r="B2084" s="53"/>
      <c r="C2084" s="53"/>
      <c r="D2084" s="53"/>
      <c r="E2084" s="240"/>
      <c r="F2084" s="241"/>
      <c r="G2084" s="53"/>
      <c r="H2084" s="53"/>
      <c r="I2084" s="53"/>
      <c r="J2084" s="53"/>
      <c r="K2084" s="53"/>
      <c r="L2084" s="53"/>
      <c r="M2084" s="53"/>
      <c r="N2084" s="53"/>
      <c r="O2084" s="53"/>
      <c r="P2084" s="53"/>
      <c r="Q2084" s="53"/>
      <c r="R2084" s="53"/>
      <c r="S2084" s="53"/>
      <c r="T2084" s="53"/>
      <c r="U2084" s="53"/>
      <c r="V2084" s="53"/>
    </row>
    <row r="2085">
      <c r="A2085" s="83"/>
      <c r="B2085" s="53"/>
      <c r="C2085" s="53"/>
      <c r="D2085" s="53"/>
      <c r="E2085" s="240"/>
      <c r="F2085" s="241"/>
      <c r="G2085" s="53"/>
      <c r="H2085" s="53"/>
      <c r="I2085" s="53"/>
      <c r="J2085" s="53"/>
      <c r="K2085" s="53"/>
      <c r="L2085" s="53"/>
      <c r="M2085" s="53"/>
      <c r="N2085" s="53"/>
      <c r="O2085" s="53"/>
      <c r="P2085" s="53"/>
      <c r="Q2085" s="53"/>
      <c r="R2085" s="53"/>
      <c r="S2085" s="53"/>
      <c r="T2085" s="53"/>
      <c r="U2085" s="53"/>
      <c r="V2085" s="53"/>
    </row>
    <row r="2086">
      <c r="A2086" s="83"/>
      <c r="B2086" s="53"/>
      <c r="C2086" s="53"/>
      <c r="D2086" s="53"/>
      <c r="E2086" s="240"/>
      <c r="F2086" s="241"/>
      <c r="G2086" s="53"/>
      <c r="H2086" s="53"/>
      <c r="I2086" s="53"/>
      <c r="J2086" s="53"/>
      <c r="K2086" s="53"/>
      <c r="L2086" s="53"/>
      <c r="M2086" s="53"/>
      <c r="N2086" s="53"/>
      <c r="O2086" s="53"/>
      <c r="P2086" s="53"/>
      <c r="Q2086" s="53"/>
      <c r="R2086" s="53"/>
      <c r="S2086" s="53"/>
      <c r="T2086" s="53"/>
      <c r="U2086" s="53"/>
      <c r="V2086" s="53"/>
    </row>
    <row r="2087">
      <c r="A2087" s="83"/>
      <c r="B2087" s="53"/>
      <c r="C2087" s="53"/>
      <c r="D2087" s="53"/>
      <c r="E2087" s="240"/>
      <c r="F2087" s="241"/>
      <c r="G2087" s="53"/>
      <c r="H2087" s="53"/>
      <c r="I2087" s="53"/>
      <c r="J2087" s="53"/>
      <c r="K2087" s="53"/>
      <c r="L2087" s="53"/>
      <c r="M2087" s="53"/>
      <c r="N2087" s="53"/>
      <c r="O2087" s="53"/>
      <c r="P2087" s="53"/>
      <c r="Q2087" s="53"/>
      <c r="R2087" s="53"/>
      <c r="S2087" s="53"/>
      <c r="T2087" s="53"/>
      <c r="U2087" s="53"/>
      <c r="V2087" s="53"/>
    </row>
    <row r="2088">
      <c r="A2088" s="83"/>
      <c r="B2088" s="53"/>
      <c r="C2088" s="53"/>
      <c r="D2088" s="53"/>
      <c r="E2088" s="240"/>
      <c r="F2088" s="241"/>
      <c r="G2088" s="53"/>
      <c r="H2088" s="53"/>
      <c r="I2088" s="53"/>
      <c r="J2088" s="53"/>
      <c r="K2088" s="53"/>
      <c r="L2088" s="53"/>
      <c r="M2088" s="53"/>
      <c r="N2088" s="53"/>
      <c r="O2088" s="53"/>
      <c r="P2088" s="53"/>
      <c r="Q2088" s="53"/>
      <c r="R2088" s="53"/>
      <c r="S2088" s="53"/>
      <c r="T2088" s="53"/>
      <c r="U2088" s="53"/>
      <c r="V2088" s="53"/>
    </row>
    <row r="2089">
      <c r="A2089" s="83"/>
      <c r="B2089" s="53"/>
      <c r="C2089" s="53"/>
      <c r="D2089" s="53"/>
      <c r="E2089" s="240"/>
      <c r="F2089" s="241"/>
      <c r="G2089" s="53"/>
      <c r="H2089" s="53"/>
      <c r="I2089" s="53"/>
      <c r="J2089" s="53"/>
      <c r="K2089" s="53"/>
      <c r="L2089" s="53"/>
      <c r="M2089" s="53"/>
      <c r="N2089" s="53"/>
      <c r="O2089" s="53"/>
      <c r="P2089" s="53"/>
      <c r="Q2089" s="53"/>
      <c r="R2089" s="53"/>
      <c r="S2089" s="53"/>
      <c r="T2089" s="53"/>
      <c r="U2089" s="53"/>
      <c r="V2089" s="53"/>
    </row>
    <row r="2090">
      <c r="A2090" s="83"/>
      <c r="B2090" s="53"/>
      <c r="C2090" s="53"/>
      <c r="D2090" s="53"/>
      <c r="E2090" s="240"/>
      <c r="F2090" s="241"/>
      <c r="G2090" s="53"/>
      <c r="H2090" s="53"/>
      <c r="I2090" s="53"/>
      <c r="J2090" s="53"/>
      <c r="K2090" s="53"/>
      <c r="L2090" s="53"/>
      <c r="M2090" s="53"/>
      <c r="N2090" s="53"/>
      <c r="O2090" s="53"/>
      <c r="P2090" s="53"/>
      <c r="Q2090" s="53"/>
      <c r="R2090" s="53"/>
      <c r="S2090" s="53"/>
      <c r="T2090" s="53"/>
      <c r="U2090" s="53"/>
      <c r="V2090" s="53"/>
    </row>
    <row r="2091">
      <c r="A2091" s="83"/>
      <c r="B2091" s="53"/>
      <c r="C2091" s="53"/>
      <c r="D2091" s="53"/>
      <c r="E2091" s="240"/>
      <c r="F2091" s="241"/>
      <c r="G2091" s="53"/>
      <c r="H2091" s="53"/>
      <c r="I2091" s="53"/>
      <c r="J2091" s="53"/>
      <c r="K2091" s="53"/>
      <c r="L2091" s="53"/>
      <c r="M2091" s="53"/>
      <c r="N2091" s="53"/>
      <c r="O2091" s="53"/>
      <c r="P2091" s="53"/>
      <c r="Q2091" s="53"/>
      <c r="R2091" s="53"/>
      <c r="S2091" s="53"/>
      <c r="T2091" s="53"/>
      <c r="U2091" s="53"/>
      <c r="V2091" s="53"/>
    </row>
    <row r="2092">
      <c r="A2092" s="83"/>
      <c r="B2092" s="53"/>
      <c r="C2092" s="53"/>
      <c r="D2092" s="53"/>
      <c r="E2092" s="240"/>
      <c r="F2092" s="241"/>
      <c r="G2092" s="53"/>
      <c r="H2092" s="53"/>
      <c r="I2092" s="53"/>
      <c r="J2092" s="53"/>
      <c r="K2092" s="53"/>
      <c r="L2092" s="53"/>
      <c r="M2092" s="53"/>
      <c r="N2092" s="53"/>
      <c r="O2092" s="53"/>
      <c r="P2092" s="53"/>
      <c r="Q2092" s="53"/>
      <c r="R2092" s="53"/>
      <c r="S2092" s="53"/>
      <c r="T2092" s="53"/>
      <c r="U2092" s="53"/>
      <c r="V2092" s="53"/>
    </row>
    <row r="2093">
      <c r="A2093" s="83"/>
      <c r="B2093" s="53"/>
      <c r="C2093" s="53"/>
      <c r="D2093" s="53"/>
      <c r="E2093" s="240"/>
      <c r="F2093" s="241"/>
      <c r="G2093" s="53"/>
      <c r="H2093" s="53"/>
      <c r="I2093" s="53"/>
      <c r="J2093" s="53"/>
      <c r="K2093" s="53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</row>
    <row r="2094">
      <c r="A2094" s="83"/>
      <c r="B2094" s="53"/>
      <c r="C2094" s="53"/>
      <c r="D2094" s="53"/>
      <c r="E2094" s="240"/>
      <c r="F2094" s="241"/>
      <c r="G2094" s="53"/>
      <c r="H2094" s="53"/>
      <c r="I2094" s="53"/>
      <c r="J2094" s="53"/>
      <c r="K2094" s="53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</row>
    <row r="2095">
      <c r="A2095" s="83"/>
      <c r="B2095" s="53"/>
      <c r="C2095" s="53"/>
      <c r="D2095" s="53"/>
      <c r="E2095" s="240"/>
      <c r="F2095" s="241"/>
      <c r="G2095" s="53"/>
      <c r="H2095" s="53"/>
      <c r="I2095" s="53"/>
      <c r="J2095" s="53"/>
      <c r="K2095" s="53"/>
      <c r="L2095" s="53"/>
      <c r="M2095" s="53"/>
      <c r="N2095" s="53"/>
      <c r="O2095" s="53"/>
      <c r="P2095" s="53"/>
      <c r="Q2095" s="53"/>
      <c r="R2095" s="53"/>
      <c r="S2095" s="53"/>
      <c r="T2095" s="53"/>
      <c r="U2095" s="53"/>
      <c r="V2095" s="53"/>
    </row>
    <row r="2096">
      <c r="A2096" s="83"/>
      <c r="B2096" s="53"/>
      <c r="C2096" s="53"/>
      <c r="D2096" s="53"/>
      <c r="E2096" s="240"/>
      <c r="F2096" s="241"/>
      <c r="G2096" s="53"/>
      <c r="H2096" s="53"/>
      <c r="I2096" s="53"/>
      <c r="J2096" s="53"/>
      <c r="K2096" s="53"/>
      <c r="L2096" s="53"/>
      <c r="M2096" s="53"/>
      <c r="N2096" s="53"/>
      <c r="O2096" s="53"/>
      <c r="P2096" s="53"/>
      <c r="Q2096" s="53"/>
      <c r="R2096" s="53"/>
      <c r="S2096" s="53"/>
      <c r="T2096" s="53"/>
      <c r="U2096" s="53"/>
      <c r="V2096" s="53"/>
    </row>
    <row r="2097">
      <c r="A2097" s="83"/>
      <c r="B2097" s="53"/>
      <c r="C2097" s="53"/>
      <c r="D2097" s="53"/>
      <c r="E2097" s="240"/>
      <c r="F2097" s="241"/>
      <c r="G2097" s="53"/>
      <c r="H2097" s="53"/>
      <c r="I2097" s="53"/>
      <c r="J2097" s="53"/>
      <c r="K2097" s="53"/>
      <c r="L2097" s="53"/>
      <c r="M2097" s="53"/>
      <c r="N2097" s="53"/>
      <c r="O2097" s="53"/>
      <c r="P2097" s="53"/>
      <c r="Q2097" s="53"/>
      <c r="R2097" s="53"/>
      <c r="S2097" s="53"/>
      <c r="T2097" s="53"/>
      <c r="U2097" s="53"/>
      <c r="V2097" s="53"/>
    </row>
    <row r="2098">
      <c r="A2098" s="83"/>
      <c r="B2098" s="53"/>
      <c r="C2098" s="53"/>
      <c r="D2098" s="53"/>
      <c r="E2098" s="240"/>
      <c r="F2098" s="241"/>
      <c r="G2098" s="53"/>
      <c r="H2098" s="53"/>
      <c r="I2098" s="53"/>
      <c r="J2098" s="53"/>
      <c r="K2098" s="53"/>
      <c r="L2098" s="53"/>
      <c r="M2098" s="53"/>
      <c r="N2098" s="53"/>
      <c r="O2098" s="53"/>
      <c r="P2098" s="53"/>
      <c r="Q2098" s="53"/>
      <c r="R2098" s="53"/>
      <c r="S2098" s="53"/>
      <c r="T2098" s="53"/>
      <c r="U2098" s="53"/>
      <c r="V2098" s="53"/>
    </row>
    <row r="2099">
      <c r="A2099" s="83"/>
      <c r="B2099" s="53"/>
      <c r="C2099" s="53"/>
      <c r="D2099" s="53"/>
      <c r="E2099" s="240"/>
      <c r="F2099" s="241"/>
      <c r="G2099" s="53"/>
      <c r="H2099" s="53"/>
      <c r="I2099" s="53"/>
      <c r="J2099" s="53"/>
      <c r="K2099" s="53"/>
      <c r="L2099" s="53"/>
      <c r="M2099" s="53"/>
      <c r="N2099" s="53"/>
      <c r="O2099" s="53"/>
      <c r="P2099" s="53"/>
      <c r="Q2099" s="53"/>
      <c r="R2099" s="53"/>
      <c r="S2099" s="53"/>
      <c r="T2099" s="53"/>
      <c r="U2099" s="53"/>
      <c r="V2099" s="53"/>
    </row>
    <row r="2100">
      <c r="A2100" s="83"/>
      <c r="B2100" s="53"/>
      <c r="C2100" s="53"/>
      <c r="D2100" s="53"/>
      <c r="E2100" s="240"/>
      <c r="F2100" s="241"/>
      <c r="G2100" s="53"/>
      <c r="H2100" s="53"/>
      <c r="I2100" s="53"/>
      <c r="J2100" s="53"/>
      <c r="K2100" s="53"/>
      <c r="L2100" s="53"/>
      <c r="M2100" s="53"/>
      <c r="N2100" s="53"/>
      <c r="O2100" s="53"/>
      <c r="P2100" s="53"/>
      <c r="Q2100" s="53"/>
      <c r="R2100" s="53"/>
      <c r="S2100" s="53"/>
      <c r="T2100" s="53"/>
      <c r="U2100" s="53"/>
      <c r="V2100" s="53"/>
    </row>
    <row r="2101">
      <c r="A2101" s="83"/>
      <c r="B2101" s="53"/>
      <c r="C2101" s="53"/>
      <c r="D2101" s="53"/>
      <c r="E2101" s="240"/>
      <c r="F2101" s="241"/>
      <c r="G2101" s="53"/>
      <c r="H2101" s="53"/>
      <c r="I2101" s="53"/>
      <c r="J2101" s="53"/>
      <c r="K2101" s="53"/>
      <c r="L2101" s="53"/>
      <c r="M2101" s="53"/>
      <c r="N2101" s="53"/>
      <c r="O2101" s="53"/>
      <c r="P2101" s="53"/>
      <c r="Q2101" s="53"/>
      <c r="R2101" s="53"/>
      <c r="S2101" s="53"/>
      <c r="T2101" s="53"/>
      <c r="U2101" s="53"/>
      <c r="V2101" s="53"/>
    </row>
    <row r="2102">
      <c r="A2102" s="83"/>
      <c r="B2102" s="53"/>
      <c r="C2102" s="53"/>
      <c r="D2102" s="53"/>
      <c r="E2102" s="240"/>
      <c r="F2102" s="241"/>
      <c r="G2102" s="53"/>
      <c r="H2102" s="53"/>
      <c r="I2102" s="53"/>
      <c r="J2102" s="53"/>
      <c r="K2102" s="53"/>
      <c r="L2102" s="53"/>
      <c r="M2102" s="53"/>
      <c r="N2102" s="53"/>
      <c r="O2102" s="53"/>
      <c r="P2102" s="53"/>
      <c r="Q2102" s="53"/>
      <c r="R2102" s="53"/>
      <c r="S2102" s="53"/>
      <c r="T2102" s="53"/>
      <c r="U2102" s="53"/>
      <c r="V2102" s="53"/>
    </row>
    <row r="2103">
      <c r="A2103" s="83"/>
      <c r="B2103" s="53"/>
      <c r="C2103" s="53"/>
      <c r="D2103" s="53"/>
      <c r="E2103" s="240"/>
      <c r="F2103" s="241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</row>
    <row r="2104">
      <c r="A2104" s="83"/>
      <c r="B2104" s="53"/>
      <c r="C2104" s="53"/>
      <c r="D2104" s="53"/>
      <c r="E2104" s="240"/>
      <c r="F2104" s="241"/>
      <c r="G2104" s="53"/>
      <c r="H2104" s="53"/>
      <c r="I2104" s="53"/>
      <c r="J2104" s="53"/>
      <c r="K2104" s="53"/>
      <c r="L2104" s="53"/>
      <c r="M2104" s="53"/>
      <c r="N2104" s="53"/>
      <c r="O2104" s="53"/>
      <c r="P2104" s="53"/>
      <c r="Q2104" s="53"/>
      <c r="R2104" s="53"/>
      <c r="S2104" s="53"/>
      <c r="T2104" s="53"/>
      <c r="U2104" s="53"/>
      <c r="V2104" s="53"/>
    </row>
    <row r="2105">
      <c r="A2105" s="83"/>
      <c r="B2105" s="53"/>
      <c r="C2105" s="53"/>
      <c r="D2105" s="53"/>
      <c r="E2105" s="240"/>
      <c r="F2105" s="241"/>
      <c r="G2105" s="53"/>
      <c r="H2105" s="53"/>
      <c r="I2105" s="53"/>
      <c r="J2105" s="53"/>
      <c r="K2105" s="53"/>
      <c r="L2105" s="53"/>
      <c r="M2105" s="53"/>
      <c r="N2105" s="53"/>
      <c r="O2105" s="53"/>
      <c r="P2105" s="53"/>
      <c r="Q2105" s="53"/>
      <c r="R2105" s="53"/>
      <c r="S2105" s="53"/>
      <c r="T2105" s="53"/>
      <c r="U2105" s="53"/>
      <c r="V2105" s="53"/>
    </row>
    <row r="2106">
      <c r="A2106" s="83"/>
      <c r="B2106" s="53"/>
      <c r="C2106" s="53"/>
      <c r="D2106" s="53"/>
      <c r="E2106" s="240"/>
      <c r="F2106" s="241"/>
      <c r="G2106" s="53"/>
      <c r="H2106" s="53"/>
      <c r="I2106" s="53"/>
      <c r="J2106" s="53"/>
      <c r="K2106" s="53"/>
      <c r="L2106" s="53"/>
      <c r="M2106" s="53"/>
      <c r="N2106" s="53"/>
      <c r="O2106" s="53"/>
      <c r="P2106" s="53"/>
      <c r="Q2106" s="53"/>
      <c r="R2106" s="53"/>
      <c r="S2106" s="53"/>
      <c r="T2106" s="53"/>
      <c r="U2106" s="53"/>
      <c r="V2106" s="53"/>
    </row>
    <row r="2107">
      <c r="A2107" s="83"/>
      <c r="B2107" s="53"/>
      <c r="C2107" s="53"/>
      <c r="D2107" s="53"/>
      <c r="E2107" s="240"/>
      <c r="F2107" s="241"/>
      <c r="G2107" s="53"/>
      <c r="H2107" s="53"/>
      <c r="I2107" s="53"/>
      <c r="J2107" s="53"/>
      <c r="K2107" s="53"/>
      <c r="L2107" s="53"/>
      <c r="M2107" s="53"/>
      <c r="N2107" s="53"/>
      <c r="O2107" s="53"/>
      <c r="P2107" s="53"/>
      <c r="Q2107" s="53"/>
      <c r="R2107" s="53"/>
      <c r="S2107" s="53"/>
      <c r="T2107" s="53"/>
      <c r="U2107" s="53"/>
      <c r="V2107" s="53"/>
    </row>
    <row r="2108">
      <c r="A2108" s="83"/>
      <c r="B2108" s="53"/>
      <c r="C2108" s="53"/>
      <c r="D2108" s="53"/>
      <c r="E2108" s="240"/>
      <c r="F2108" s="241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53"/>
      <c r="T2108" s="53"/>
      <c r="U2108" s="53"/>
      <c r="V2108" s="53"/>
    </row>
    <row r="2109">
      <c r="A2109" s="83"/>
      <c r="B2109" s="53"/>
      <c r="C2109" s="53"/>
      <c r="D2109" s="53"/>
      <c r="E2109" s="240"/>
      <c r="F2109" s="241"/>
      <c r="G2109" s="53"/>
      <c r="H2109" s="53"/>
      <c r="I2109" s="53"/>
      <c r="J2109" s="53"/>
      <c r="K2109" s="53"/>
      <c r="L2109" s="53"/>
      <c r="M2109" s="53"/>
      <c r="N2109" s="53"/>
      <c r="O2109" s="53"/>
      <c r="P2109" s="53"/>
      <c r="Q2109" s="53"/>
      <c r="R2109" s="53"/>
      <c r="S2109" s="53"/>
      <c r="T2109" s="53"/>
      <c r="U2109" s="53"/>
      <c r="V2109" s="53"/>
    </row>
    <row r="2110">
      <c r="A2110" s="83"/>
      <c r="B2110" s="53"/>
      <c r="C2110" s="53"/>
      <c r="D2110" s="53"/>
      <c r="E2110" s="240"/>
      <c r="F2110" s="241"/>
      <c r="G2110" s="53"/>
      <c r="H2110" s="53"/>
      <c r="I2110" s="53"/>
      <c r="J2110" s="53"/>
      <c r="K2110" s="53"/>
      <c r="L2110" s="53"/>
      <c r="M2110" s="53"/>
      <c r="N2110" s="53"/>
      <c r="O2110" s="53"/>
      <c r="P2110" s="53"/>
      <c r="Q2110" s="53"/>
      <c r="R2110" s="53"/>
      <c r="S2110" s="53"/>
      <c r="T2110" s="53"/>
      <c r="U2110" s="53"/>
      <c r="V2110" s="53"/>
    </row>
    <row r="2111">
      <c r="A2111" s="83"/>
      <c r="B2111" s="53"/>
      <c r="C2111" s="53"/>
      <c r="D2111" s="53"/>
      <c r="E2111" s="240"/>
      <c r="F2111" s="241"/>
      <c r="G2111" s="53"/>
      <c r="H2111" s="53"/>
      <c r="I2111" s="53"/>
      <c r="J2111" s="53"/>
      <c r="K2111" s="53"/>
      <c r="L2111" s="53"/>
      <c r="M2111" s="53"/>
      <c r="N2111" s="53"/>
      <c r="O2111" s="53"/>
      <c r="P2111" s="53"/>
      <c r="Q2111" s="53"/>
      <c r="R2111" s="53"/>
      <c r="S2111" s="53"/>
      <c r="T2111" s="53"/>
      <c r="U2111" s="53"/>
      <c r="V2111" s="53"/>
    </row>
    <row r="2112">
      <c r="A2112" s="83"/>
      <c r="B2112" s="53"/>
      <c r="C2112" s="53"/>
      <c r="D2112" s="53"/>
      <c r="E2112" s="240"/>
      <c r="F2112" s="241"/>
      <c r="G2112" s="53"/>
      <c r="H2112" s="53"/>
      <c r="I2112" s="53"/>
      <c r="J2112" s="53"/>
      <c r="K2112" s="53"/>
      <c r="L2112" s="53"/>
      <c r="M2112" s="53"/>
      <c r="N2112" s="53"/>
      <c r="O2112" s="53"/>
      <c r="P2112" s="53"/>
      <c r="Q2112" s="53"/>
      <c r="R2112" s="53"/>
      <c r="S2112" s="53"/>
      <c r="T2112" s="53"/>
      <c r="U2112" s="53"/>
      <c r="V2112" s="53"/>
    </row>
    <row r="2113">
      <c r="A2113" s="83"/>
      <c r="B2113" s="53"/>
      <c r="C2113" s="53"/>
      <c r="D2113" s="53"/>
      <c r="E2113" s="240"/>
      <c r="F2113" s="241"/>
      <c r="G2113" s="53"/>
      <c r="H2113" s="53"/>
      <c r="I2113" s="53"/>
      <c r="J2113" s="53"/>
      <c r="K2113" s="53"/>
      <c r="L2113" s="53"/>
      <c r="M2113" s="53"/>
      <c r="N2113" s="53"/>
      <c r="O2113" s="53"/>
      <c r="P2113" s="53"/>
      <c r="Q2113" s="53"/>
      <c r="R2113" s="53"/>
      <c r="S2113" s="53"/>
      <c r="T2113" s="53"/>
      <c r="U2113" s="53"/>
      <c r="V2113" s="53"/>
    </row>
    <row r="2114">
      <c r="A2114" s="83"/>
      <c r="B2114" s="53"/>
      <c r="C2114" s="53"/>
      <c r="D2114" s="53"/>
      <c r="E2114" s="240"/>
      <c r="F2114" s="241"/>
      <c r="G2114" s="53"/>
      <c r="H2114" s="53"/>
      <c r="I2114" s="53"/>
      <c r="J2114" s="53"/>
      <c r="K2114" s="53"/>
      <c r="L2114" s="53"/>
      <c r="M2114" s="53"/>
      <c r="N2114" s="53"/>
      <c r="O2114" s="53"/>
      <c r="P2114" s="53"/>
      <c r="Q2114" s="53"/>
      <c r="R2114" s="53"/>
      <c r="S2114" s="53"/>
      <c r="T2114" s="53"/>
      <c r="U2114" s="53"/>
      <c r="V2114" s="53"/>
    </row>
    <row r="2115">
      <c r="A2115" s="83"/>
      <c r="B2115" s="53"/>
      <c r="C2115" s="53"/>
      <c r="D2115" s="53"/>
      <c r="E2115" s="240"/>
      <c r="F2115" s="241"/>
      <c r="G2115" s="53"/>
      <c r="H2115" s="53"/>
      <c r="I2115" s="53"/>
      <c r="J2115" s="53"/>
      <c r="K2115" s="53"/>
      <c r="L2115" s="53"/>
      <c r="M2115" s="53"/>
      <c r="N2115" s="53"/>
      <c r="O2115" s="53"/>
      <c r="P2115" s="53"/>
      <c r="Q2115" s="53"/>
      <c r="R2115" s="53"/>
      <c r="S2115" s="53"/>
      <c r="T2115" s="53"/>
      <c r="U2115" s="53"/>
      <c r="V2115" s="53"/>
    </row>
    <row r="2116">
      <c r="A2116" s="83"/>
      <c r="B2116" s="53"/>
      <c r="C2116" s="53"/>
      <c r="D2116" s="53"/>
      <c r="E2116" s="240"/>
      <c r="F2116" s="241"/>
      <c r="G2116" s="53"/>
      <c r="H2116" s="53"/>
      <c r="I2116" s="53"/>
      <c r="J2116" s="53"/>
      <c r="K2116" s="53"/>
      <c r="L2116" s="53"/>
      <c r="M2116" s="53"/>
      <c r="N2116" s="53"/>
      <c r="O2116" s="53"/>
      <c r="P2116" s="53"/>
      <c r="Q2116" s="53"/>
      <c r="R2116" s="53"/>
      <c r="S2116" s="53"/>
      <c r="T2116" s="53"/>
      <c r="U2116" s="53"/>
      <c r="V2116" s="53"/>
    </row>
    <row r="2117">
      <c r="A2117" s="83"/>
      <c r="B2117" s="53"/>
      <c r="C2117" s="53"/>
      <c r="D2117" s="53"/>
      <c r="E2117" s="240"/>
      <c r="F2117" s="241"/>
      <c r="G2117" s="53"/>
      <c r="H2117" s="53"/>
      <c r="I2117" s="53"/>
      <c r="J2117" s="53"/>
      <c r="K2117" s="53"/>
      <c r="L2117" s="53"/>
      <c r="M2117" s="53"/>
      <c r="N2117" s="53"/>
      <c r="O2117" s="53"/>
      <c r="P2117" s="53"/>
      <c r="Q2117" s="53"/>
      <c r="R2117" s="53"/>
      <c r="S2117" s="53"/>
      <c r="T2117" s="53"/>
      <c r="U2117" s="53"/>
      <c r="V2117" s="53"/>
    </row>
    <row r="2118">
      <c r="A2118" s="83"/>
      <c r="B2118" s="53"/>
      <c r="C2118" s="53"/>
      <c r="D2118" s="53"/>
      <c r="E2118" s="240"/>
      <c r="F2118" s="241"/>
      <c r="G2118" s="53"/>
      <c r="H2118" s="53"/>
      <c r="I2118" s="53"/>
      <c r="J2118" s="53"/>
      <c r="K2118" s="53"/>
      <c r="L2118" s="53"/>
      <c r="M2118" s="53"/>
      <c r="N2118" s="53"/>
      <c r="O2118" s="53"/>
      <c r="P2118" s="53"/>
      <c r="Q2118" s="53"/>
      <c r="R2118" s="53"/>
      <c r="S2118" s="53"/>
      <c r="T2118" s="53"/>
      <c r="U2118" s="53"/>
      <c r="V2118" s="53"/>
    </row>
    <row r="2119">
      <c r="A2119" s="83"/>
      <c r="B2119" s="53"/>
      <c r="C2119" s="53"/>
      <c r="D2119" s="53"/>
      <c r="E2119" s="240"/>
      <c r="F2119" s="241"/>
      <c r="G2119" s="53"/>
      <c r="H2119" s="53"/>
      <c r="I2119" s="53"/>
      <c r="J2119" s="53"/>
      <c r="K2119" s="53"/>
      <c r="L2119" s="53"/>
      <c r="M2119" s="53"/>
      <c r="N2119" s="53"/>
      <c r="O2119" s="53"/>
      <c r="P2119" s="53"/>
      <c r="Q2119" s="53"/>
      <c r="R2119" s="53"/>
      <c r="S2119" s="53"/>
      <c r="T2119" s="53"/>
      <c r="U2119" s="53"/>
      <c r="V2119" s="53"/>
    </row>
    <row r="2120">
      <c r="A2120" s="83"/>
      <c r="B2120" s="53"/>
      <c r="C2120" s="53"/>
      <c r="D2120" s="53"/>
      <c r="E2120" s="240"/>
      <c r="F2120" s="241"/>
      <c r="G2120" s="53"/>
      <c r="H2120" s="53"/>
      <c r="I2120" s="53"/>
      <c r="J2120" s="53"/>
      <c r="K2120" s="53"/>
      <c r="L2120" s="53"/>
      <c r="M2120" s="53"/>
      <c r="N2120" s="53"/>
      <c r="O2120" s="53"/>
      <c r="P2120" s="53"/>
      <c r="Q2120" s="53"/>
      <c r="R2120" s="53"/>
      <c r="S2120" s="53"/>
      <c r="T2120" s="53"/>
      <c r="U2120" s="53"/>
      <c r="V2120" s="53"/>
    </row>
    <row r="2121">
      <c r="A2121" s="83"/>
      <c r="B2121" s="53"/>
      <c r="C2121" s="53"/>
      <c r="D2121" s="53"/>
      <c r="E2121" s="240"/>
      <c r="F2121" s="241"/>
      <c r="G2121" s="53"/>
      <c r="H2121" s="53"/>
      <c r="I2121" s="53"/>
      <c r="J2121" s="53"/>
      <c r="K2121" s="53"/>
      <c r="L2121" s="53"/>
      <c r="M2121" s="53"/>
      <c r="N2121" s="53"/>
      <c r="O2121" s="53"/>
      <c r="P2121" s="53"/>
      <c r="Q2121" s="53"/>
      <c r="R2121" s="53"/>
      <c r="S2121" s="53"/>
      <c r="T2121" s="53"/>
      <c r="U2121" s="53"/>
      <c r="V2121" s="53"/>
    </row>
    <row r="2122">
      <c r="A2122" s="83"/>
      <c r="B2122" s="53"/>
      <c r="C2122" s="53"/>
      <c r="D2122" s="53"/>
      <c r="E2122" s="240"/>
      <c r="F2122" s="241"/>
      <c r="G2122" s="53"/>
      <c r="H2122" s="53"/>
      <c r="I2122" s="53"/>
      <c r="J2122" s="53"/>
      <c r="K2122" s="53"/>
      <c r="L2122" s="53"/>
      <c r="M2122" s="53"/>
      <c r="N2122" s="53"/>
      <c r="O2122" s="53"/>
      <c r="P2122" s="53"/>
      <c r="Q2122" s="53"/>
      <c r="R2122" s="53"/>
      <c r="S2122" s="53"/>
      <c r="T2122" s="53"/>
      <c r="U2122" s="53"/>
      <c r="V2122" s="53"/>
    </row>
    <row r="2123">
      <c r="A2123" s="83"/>
      <c r="B2123" s="53"/>
      <c r="C2123" s="53"/>
      <c r="D2123" s="53"/>
      <c r="E2123" s="240"/>
      <c r="F2123" s="241"/>
      <c r="G2123" s="53"/>
      <c r="H2123" s="53"/>
      <c r="I2123" s="53"/>
      <c r="J2123" s="53"/>
      <c r="K2123" s="53"/>
      <c r="L2123" s="53"/>
      <c r="M2123" s="53"/>
      <c r="N2123" s="53"/>
      <c r="O2123" s="53"/>
      <c r="P2123" s="53"/>
      <c r="Q2123" s="53"/>
      <c r="R2123" s="53"/>
      <c r="S2123" s="53"/>
      <c r="T2123" s="53"/>
      <c r="U2123" s="53"/>
      <c r="V2123" s="53"/>
    </row>
    <row r="2124">
      <c r="A2124" s="83"/>
      <c r="B2124" s="53"/>
      <c r="C2124" s="53"/>
      <c r="D2124" s="53"/>
      <c r="E2124" s="240"/>
      <c r="F2124" s="241"/>
      <c r="G2124" s="53"/>
      <c r="H2124" s="53"/>
      <c r="I2124" s="53"/>
      <c r="J2124" s="53"/>
      <c r="K2124" s="53"/>
      <c r="L2124" s="53"/>
      <c r="M2124" s="53"/>
      <c r="N2124" s="53"/>
      <c r="O2124" s="53"/>
      <c r="P2124" s="53"/>
      <c r="Q2124" s="53"/>
      <c r="R2124" s="53"/>
      <c r="S2124" s="53"/>
      <c r="T2124" s="53"/>
      <c r="U2124" s="53"/>
      <c r="V2124" s="53"/>
    </row>
    <row r="2125">
      <c r="A2125" s="83"/>
      <c r="B2125" s="53"/>
      <c r="C2125" s="53"/>
      <c r="D2125" s="53"/>
      <c r="E2125" s="240"/>
      <c r="F2125" s="241"/>
      <c r="G2125" s="53"/>
      <c r="H2125" s="53"/>
      <c r="I2125" s="53"/>
      <c r="J2125" s="53"/>
      <c r="K2125" s="53"/>
      <c r="L2125" s="53"/>
      <c r="M2125" s="53"/>
      <c r="N2125" s="53"/>
      <c r="O2125" s="53"/>
      <c r="P2125" s="53"/>
      <c r="Q2125" s="53"/>
      <c r="R2125" s="53"/>
      <c r="S2125" s="53"/>
      <c r="T2125" s="53"/>
      <c r="U2125" s="53"/>
      <c r="V2125" s="53"/>
    </row>
    <row r="2126">
      <c r="A2126" s="83"/>
      <c r="B2126" s="53"/>
      <c r="C2126" s="53"/>
      <c r="D2126" s="53"/>
      <c r="E2126" s="240"/>
      <c r="F2126" s="241"/>
      <c r="G2126" s="53"/>
      <c r="H2126" s="53"/>
      <c r="I2126" s="53"/>
      <c r="J2126" s="53"/>
      <c r="K2126" s="53"/>
      <c r="L2126" s="53"/>
      <c r="M2126" s="53"/>
      <c r="N2126" s="53"/>
      <c r="O2126" s="53"/>
      <c r="P2126" s="53"/>
      <c r="Q2126" s="53"/>
      <c r="R2126" s="53"/>
      <c r="S2126" s="53"/>
      <c r="T2126" s="53"/>
      <c r="U2126" s="53"/>
      <c r="V2126" s="53"/>
    </row>
    <row r="2127">
      <c r="A2127" s="83"/>
      <c r="B2127" s="53"/>
      <c r="C2127" s="53"/>
      <c r="D2127" s="53"/>
      <c r="E2127" s="240"/>
      <c r="F2127" s="241"/>
      <c r="G2127" s="53"/>
      <c r="H2127" s="53"/>
      <c r="I2127" s="53"/>
      <c r="J2127" s="53"/>
      <c r="K2127" s="53"/>
      <c r="L2127" s="53"/>
      <c r="M2127" s="53"/>
      <c r="N2127" s="53"/>
      <c r="O2127" s="53"/>
      <c r="P2127" s="53"/>
      <c r="Q2127" s="53"/>
      <c r="R2127" s="53"/>
      <c r="S2127" s="53"/>
      <c r="T2127" s="53"/>
      <c r="U2127" s="53"/>
      <c r="V2127" s="53"/>
    </row>
    <row r="2128">
      <c r="A2128" s="83"/>
      <c r="B2128" s="53"/>
      <c r="C2128" s="53"/>
      <c r="D2128" s="53"/>
      <c r="E2128" s="240"/>
      <c r="F2128" s="241"/>
      <c r="G2128" s="53"/>
      <c r="H2128" s="53"/>
      <c r="I2128" s="53"/>
      <c r="J2128" s="53"/>
      <c r="K2128" s="53"/>
      <c r="L2128" s="53"/>
      <c r="M2128" s="53"/>
      <c r="N2128" s="53"/>
      <c r="O2128" s="53"/>
      <c r="P2128" s="53"/>
      <c r="Q2128" s="53"/>
      <c r="R2128" s="53"/>
      <c r="S2128" s="53"/>
      <c r="T2128" s="53"/>
      <c r="U2128" s="53"/>
      <c r="V2128" s="53"/>
    </row>
    <row r="2129">
      <c r="A2129" s="83"/>
      <c r="B2129" s="53"/>
      <c r="C2129" s="53"/>
      <c r="D2129" s="53"/>
      <c r="E2129" s="240"/>
      <c r="F2129" s="241"/>
      <c r="G2129" s="53"/>
      <c r="H2129" s="53"/>
      <c r="I2129" s="53"/>
      <c r="J2129" s="53"/>
      <c r="K2129" s="53"/>
      <c r="L2129" s="53"/>
      <c r="M2129" s="53"/>
      <c r="N2129" s="53"/>
      <c r="O2129" s="53"/>
      <c r="P2129" s="53"/>
      <c r="Q2129" s="53"/>
      <c r="R2129" s="53"/>
      <c r="S2129" s="53"/>
      <c r="T2129" s="53"/>
      <c r="U2129" s="53"/>
      <c r="V2129" s="53"/>
    </row>
    <row r="2130">
      <c r="A2130" s="83"/>
      <c r="B2130" s="53"/>
      <c r="C2130" s="53"/>
      <c r="D2130" s="53"/>
      <c r="E2130" s="240"/>
      <c r="F2130" s="241"/>
      <c r="G2130" s="53"/>
      <c r="H2130" s="53"/>
      <c r="I2130" s="53"/>
      <c r="J2130" s="53"/>
      <c r="K2130" s="53"/>
      <c r="L2130" s="53"/>
      <c r="M2130" s="53"/>
      <c r="N2130" s="53"/>
      <c r="O2130" s="53"/>
      <c r="P2130" s="53"/>
      <c r="Q2130" s="53"/>
      <c r="R2130" s="53"/>
      <c r="S2130" s="53"/>
      <c r="T2130" s="53"/>
      <c r="U2130" s="53"/>
      <c r="V2130" s="53"/>
    </row>
    <row r="2131">
      <c r="A2131" s="83"/>
      <c r="B2131" s="53"/>
      <c r="C2131" s="53"/>
      <c r="D2131" s="53"/>
      <c r="E2131" s="240"/>
      <c r="F2131" s="241"/>
      <c r="G2131" s="53"/>
      <c r="H2131" s="53"/>
      <c r="I2131" s="53"/>
      <c r="J2131" s="53"/>
      <c r="K2131" s="53"/>
      <c r="L2131" s="53"/>
      <c r="M2131" s="53"/>
      <c r="N2131" s="53"/>
      <c r="O2131" s="53"/>
      <c r="P2131" s="53"/>
      <c r="Q2131" s="53"/>
      <c r="R2131" s="53"/>
      <c r="S2131" s="53"/>
      <c r="T2131" s="53"/>
      <c r="U2131" s="53"/>
      <c r="V2131" s="53"/>
    </row>
    <row r="2132">
      <c r="A2132" s="83"/>
      <c r="B2132" s="53"/>
      <c r="C2132" s="53"/>
      <c r="D2132" s="53"/>
      <c r="E2132" s="240"/>
      <c r="F2132" s="241"/>
      <c r="G2132" s="53"/>
      <c r="H2132" s="53"/>
      <c r="I2132" s="53"/>
      <c r="J2132" s="53"/>
      <c r="K2132" s="53"/>
      <c r="L2132" s="53"/>
      <c r="M2132" s="53"/>
      <c r="N2132" s="53"/>
      <c r="O2132" s="53"/>
      <c r="P2132" s="53"/>
      <c r="Q2132" s="53"/>
      <c r="R2132" s="53"/>
      <c r="S2132" s="53"/>
      <c r="T2132" s="53"/>
      <c r="U2132" s="53"/>
      <c r="V2132" s="53"/>
    </row>
    <row r="2133">
      <c r="A2133" s="83"/>
      <c r="B2133" s="53"/>
      <c r="C2133" s="53"/>
      <c r="D2133" s="53"/>
      <c r="E2133" s="240"/>
      <c r="F2133" s="241"/>
      <c r="G2133" s="53"/>
      <c r="H2133" s="53"/>
      <c r="I2133" s="53"/>
      <c r="J2133" s="53"/>
      <c r="K2133" s="53"/>
      <c r="L2133" s="53"/>
      <c r="M2133" s="53"/>
      <c r="N2133" s="53"/>
      <c r="O2133" s="53"/>
      <c r="P2133" s="53"/>
      <c r="Q2133" s="53"/>
      <c r="R2133" s="53"/>
      <c r="S2133" s="53"/>
      <c r="T2133" s="53"/>
      <c r="U2133" s="53"/>
      <c r="V2133" s="53"/>
    </row>
    <row r="2134">
      <c r="A2134" s="83"/>
      <c r="B2134" s="53"/>
      <c r="C2134" s="53"/>
      <c r="D2134" s="53"/>
      <c r="E2134" s="240"/>
      <c r="F2134" s="241"/>
      <c r="G2134" s="53"/>
      <c r="H2134" s="53"/>
      <c r="I2134" s="53"/>
      <c r="J2134" s="53"/>
      <c r="K2134" s="53"/>
      <c r="L2134" s="53"/>
      <c r="M2134" s="53"/>
      <c r="N2134" s="53"/>
      <c r="O2134" s="53"/>
      <c r="P2134" s="53"/>
      <c r="Q2134" s="53"/>
      <c r="R2134" s="53"/>
      <c r="S2134" s="53"/>
      <c r="T2134" s="53"/>
      <c r="U2134" s="53"/>
      <c r="V2134" s="53"/>
    </row>
    <row r="2135">
      <c r="A2135" s="83"/>
      <c r="B2135" s="53"/>
      <c r="C2135" s="53"/>
      <c r="D2135" s="53"/>
      <c r="E2135" s="240"/>
      <c r="F2135" s="241"/>
      <c r="G2135" s="53"/>
      <c r="H2135" s="53"/>
      <c r="I2135" s="53"/>
      <c r="J2135" s="53"/>
      <c r="K2135" s="53"/>
      <c r="L2135" s="53"/>
      <c r="M2135" s="53"/>
      <c r="N2135" s="53"/>
      <c r="O2135" s="53"/>
      <c r="P2135" s="53"/>
      <c r="Q2135" s="53"/>
      <c r="R2135" s="53"/>
      <c r="S2135" s="53"/>
      <c r="T2135" s="53"/>
      <c r="U2135" s="53"/>
      <c r="V2135" s="53"/>
    </row>
    <row r="2136">
      <c r="A2136" s="83"/>
      <c r="B2136" s="53"/>
      <c r="C2136" s="53"/>
      <c r="D2136" s="53"/>
      <c r="E2136" s="240"/>
      <c r="F2136" s="241"/>
      <c r="G2136" s="53"/>
      <c r="H2136" s="53"/>
      <c r="I2136" s="53"/>
      <c r="J2136" s="53"/>
      <c r="K2136" s="53"/>
      <c r="L2136" s="53"/>
      <c r="M2136" s="53"/>
      <c r="N2136" s="53"/>
      <c r="O2136" s="53"/>
      <c r="P2136" s="53"/>
      <c r="Q2136" s="53"/>
      <c r="R2136" s="53"/>
      <c r="S2136" s="53"/>
      <c r="T2136" s="53"/>
      <c r="U2136" s="53"/>
      <c r="V2136" s="53"/>
    </row>
    <row r="2137">
      <c r="A2137" s="83"/>
      <c r="B2137" s="53"/>
      <c r="C2137" s="53"/>
      <c r="D2137" s="53"/>
      <c r="E2137" s="240"/>
      <c r="F2137" s="241"/>
      <c r="G2137" s="53"/>
      <c r="H2137" s="53"/>
      <c r="I2137" s="53"/>
      <c r="J2137" s="53"/>
      <c r="K2137" s="53"/>
      <c r="L2137" s="53"/>
      <c r="M2137" s="53"/>
      <c r="N2137" s="53"/>
      <c r="O2137" s="53"/>
      <c r="P2137" s="53"/>
      <c r="Q2137" s="53"/>
      <c r="R2137" s="53"/>
      <c r="S2137" s="53"/>
      <c r="T2137" s="53"/>
      <c r="U2137" s="53"/>
      <c r="V2137" s="53"/>
    </row>
    <row r="2138">
      <c r="A2138" s="83"/>
      <c r="B2138" s="53"/>
      <c r="C2138" s="53"/>
      <c r="D2138" s="53"/>
      <c r="E2138" s="240"/>
      <c r="F2138" s="241"/>
      <c r="G2138" s="53"/>
      <c r="H2138" s="53"/>
      <c r="I2138" s="53"/>
      <c r="J2138" s="53"/>
      <c r="K2138" s="53"/>
      <c r="L2138" s="53"/>
      <c r="M2138" s="53"/>
      <c r="N2138" s="53"/>
      <c r="O2138" s="53"/>
      <c r="P2138" s="53"/>
      <c r="Q2138" s="53"/>
      <c r="R2138" s="53"/>
      <c r="S2138" s="53"/>
      <c r="T2138" s="53"/>
      <c r="U2138" s="53"/>
      <c r="V2138" s="53"/>
    </row>
    <row r="2139">
      <c r="A2139" s="83"/>
      <c r="B2139" s="53"/>
      <c r="C2139" s="53"/>
      <c r="D2139" s="53"/>
      <c r="E2139" s="240"/>
      <c r="F2139" s="241"/>
      <c r="G2139" s="53"/>
      <c r="H2139" s="53"/>
      <c r="I2139" s="53"/>
      <c r="J2139" s="53"/>
      <c r="K2139" s="53"/>
      <c r="L2139" s="53"/>
      <c r="M2139" s="53"/>
      <c r="N2139" s="53"/>
      <c r="O2139" s="53"/>
      <c r="P2139" s="53"/>
      <c r="Q2139" s="53"/>
      <c r="R2139" s="53"/>
      <c r="S2139" s="53"/>
      <c r="T2139" s="53"/>
      <c r="U2139" s="53"/>
      <c r="V2139" s="53"/>
    </row>
    <row r="2140">
      <c r="A2140" s="83"/>
      <c r="B2140" s="53"/>
      <c r="C2140" s="53"/>
      <c r="D2140" s="53"/>
      <c r="E2140" s="240"/>
      <c r="F2140" s="241"/>
      <c r="G2140" s="53"/>
      <c r="H2140" s="53"/>
      <c r="I2140" s="53"/>
      <c r="J2140" s="53"/>
      <c r="K2140" s="53"/>
      <c r="L2140" s="53"/>
      <c r="M2140" s="53"/>
      <c r="N2140" s="53"/>
      <c r="O2140" s="53"/>
      <c r="P2140" s="53"/>
      <c r="Q2140" s="53"/>
      <c r="R2140" s="53"/>
      <c r="S2140" s="53"/>
      <c r="T2140" s="53"/>
      <c r="U2140" s="53"/>
      <c r="V2140" s="53"/>
    </row>
    <row r="2141">
      <c r="A2141" s="83"/>
      <c r="B2141" s="53"/>
      <c r="C2141" s="53"/>
      <c r="D2141" s="53"/>
      <c r="E2141" s="240"/>
      <c r="F2141" s="241"/>
      <c r="G2141" s="53"/>
      <c r="H2141" s="53"/>
      <c r="I2141" s="53"/>
      <c r="J2141" s="53"/>
      <c r="K2141" s="53"/>
      <c r="L2141" s="53"/>
      <c r="M2141" s="53"/>
      <c r="N2141" s="53"/>
      <c r="O2141" s="53"/>
      <c r="P2141" s="53"/>
      <c r="Q2141" s="53"/>
      <c r="R2141" s="53"/>
      <c r="S2141" s="53"/>
      <c r="T2141" s="53"/>
      <c r="U2141" s="53"/>
      <c r="V2141" s="53"/>
    </row>
    <row r="2142">
      <c r="A2142" s="83"/>
      <c r="B2142" s="53"/>
      <c r="C2142" s="53"/>
      <c r="D2142" s="53"/>
      <c r="E2142" s="240"/>
      <c r="F2142" s="241"/>
      <c r="G2142" s="53"/>
      <c r="H2142" s="53"/>
      <c r="I2142" s="53"/>
      <c r="J2142" s="53"/>
      <c r="K2142" s="53"/>
      <c r="L2142" s="53"/>
      <c r="M2142" s="53"/>
      <c r="N2142" s="53"/>
      <c r="O2142" s="53"/>
      <c r="P2142" s="53"/>
      <c r="Q2142" s="53"/>
      <c r="R2142" s="53"/>
      <c r="S2142" s="53"/>
      <c r="T2142" s="53"/>
      <c r="U2142" s="53"/>
      <c r="V2142" s="53"/>
    </row>
    <row r="2143">
      <c r="A2143" s="83"/>
      <c r="B2143" s="53"/>
      <c r="C2143" s="53"/>
      <c r="D2143" s="53"/>
      <c r="E2143" s="240"/>
      <c r="F2143" s="241"/>
      <c r="G2143" s="53"/>
      <c r="H2143" s="53"/>
      <c r="I2143" s="53"/>
      <c r="J2143" s="53"/>
      <c r="K2143" s="53"/>
      <c r="L2143" s="53"/>
      <c r="M2143" s="53"/>
      <c r="N2143" s="53"/>
      <c r="O2143" s="53"/>
      <c r="P2143" s="53"/>
      <c r="Q2143" s="53"/>
      <c r="R2143" s="53"/>
      <c r="S2143" s="53"/>
      <c r="T2143" s="53"/>
      <c r="U2143" s="53"/>
      <c r="V2143" s="53"/>
    </row>
    <row r="2144">
      <c r="A2144" s="83"/>
      <c r="B2144" s="53"/>
      <c r="C2144" s="53"/>
      <c r="D2144" s="53"/>
      <c r="E2144" s="240"/>
      <c r="F2144" s="241"/>
      <c r="G2144" s="53"/>
      <c r="H2144" s="53"/>
      <c r="I2144" s="53"/>
      <c r="J2144" s="53"/>
      <c r="K2144" s="53"/>
      <c r="L2144" s="53"/>
      <c r="M2144" s="53"/>
      <c r="N2144" s="53"/>
      <c r="O2144" s="53"/>
      <c r="P2144" s="53"/>
      <c r="Q2144" s="53"/>
      <c r="R2144" s="53"/>
      <c r="S2144" s="53"/>
      <c r="T2144" s="53"/>
      <c r="U2144" s="53"/>
      <c r="V2144" s="53"/>
    </row>
    <row r="2145">
      <c r="A2145" s="83"/>
      <c r="B2145" s="53"/>
      <c r="C2145" s="53"/>
      <c r="D2145" s="53"/>
      <c r="E2145" s="240"/>
      <c r="F2145" s="241"/>
      <c r="G2145" s="53"/>
      <c r="H2145" s="53"/>
      <c r="I2145" s="53"/>
      <c r="J2145" s="53"/>
      <c r="K2145" s="53"/>
      <c r="L2145" s="53"/>
      <c r="M2145" s="53"/>
      <c r="N2145" s="53"/>
      <c r="O2145" s="53"/>
      <c r="P2145" s="53"/>
      <c r="Q2145" s="53"/>
      <c r="R2145" s="53"/>
      <c r="S2145" s="53"/>
      <c r="T2145" s="53"/>
      <c r="U2145" s="53"/>
      <c r="V2145" s="53"/>
    </row>
    <row r="2146">
      <c r="A2146" s="83"/>
      <c r="B2146" s="53"/>
      <c r="C2146" s="53"/>
      <c r="D2146" s="53"/>
      <c r="E2146" s="240"/>
      <c r="F2146" s="241"/>
      <c r="G2146" s="53"/>
      <c r="H2146" s="53"/>
      <c r="I2146" s="53"/>
      <c r="J2146" s="53"/>
      <c r="K2146" s="53"/>
      <c r="L2146" s="53"/>
      <c r="M2146" s="53"/>
      <c r="N2146" s="53"/>
      <c r="O2146" s="53"/>
      <c r="P2146" s="53"/>
      <c r="Q2146" s="53"/>
      <c r="R2146" s="53"/>
      <c r="S2146" s="53"/>
      <c r="T2146" s="53"/>
      <c r="U2146" s="53"/>
      <c r="V2146" s="53"/>
    </row>
    <row r="2147">
      <c r="A2147" s="83"/>
      <c r="B2147" s="53"/>
      <c r="C2147" s="53"/>
      <c r="D2147" s="53"/>
      <c r="E2147" s="240"/>
      <c r="F2147" s="241"/>
      <c r="G2147" s="53"/>
      <c r="H2147" s="53"/>
      <c r="I2147" s="53"/>
      <c r="J2147" s="53"/>
      <c r="K2147" s="53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</row>
    <row r="2148">
      <c r="A2148" s="83"/>
      <c r="B2148" s="53"/>
      <c r="C2148" s="53"/>
      <c r="D2148" s="53"/>
      <c r="E2148" s="240"/>
      <c r="F2148" s="241"/>
      <c r="G2148" s="53"/>
      <c r="H2148" s="53"/>
      <c r="I2148" s="53"/>
      <c r="J2148" s="53"/>
      <c r="K2148" s="53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</row>
    <row r="2149">
      <c r="A2149" s="83"/>
      <c r="B2149" s="53"/>
      <c r="C2149" s="53"/>
      <c r="D2149" s="53"/>
      <c r="E2149" s="240"/>
      <c r="F2149" s="241"/>
      <c r="G2149" s="53"/>
      <c r="H2149" s="53"/>
      <c r="I2149" s="53"/>
      <c r="J2149" s="53"/>
      <c r="K2149" s="53"/>
      <c r="L2149" s="53"/>
      <c r="M2149" s="53"/>
      <c r="N2149" s="53"/>
      <c r="O2149" s="53"/>
      <c r="P2149" s="53"/>
      <c r="Q2149" s="53"/>
      <c r="R2149" s="53"/>
      <c r="S2149" s="53"/>
      <c r="T2149" s="53"/>
      <c r="U2149" s="53"/>
      <c r="V2149" s="53"/>
    </row>
    <row r="2150">
      <c r="A2150" s="83"/>
      <c r="B2150" s="53"/>
      <c r="C2150" s="53"/>
      <c r="D2150" s="53"/>
      <c r="E2150" s="240"/>
      <c r="F2150" s="241"/>
      <c r="G2150" s="53"/>
      <c r="H2150" s="53"/>
      <c r="I2150" s="53"/>
      <c r="J2150" s="53"/>
      <c r="K2150" s="53"/>
      <c r="L2150" s="53"/>
      <c r="M2150" s="53"/>
      <c r="N2150" s="53"/>
      <c r="O2150" s="53"/>
      <c r="P2150" s="53"/>
      <c r="Q2150" s="53"/>
      <c r="R2150" s="53"/>
      <c r="S2150" s="53"/>
      <c r="T2150" s="53"/>
      <c r="U2150" s="53"/>
      <c r="V2150" s="53"/>
    </row>
    <row r="2151">
      <c r="A2151" s="83"/>
      <c r="B2151" s="53"/>
      <c r="C2151" s="53"/>
      <c r="D2151" s="53"/>
      <c r="E2151" s="240"/>
      <c r="F2151" s="241"/>
      <c r="G2151" s="53"/>
      <c r="H2151" s="53"/>
      <c r="I2151" s="53"/>
      <c r="J2151" s="53"/>
      <c r="K2151" s="53"/>
      <c r="L2151" s="53"/>
      <c r="M2151" s="53"/>
      <c r="N2151" s="53"/>
      <c r="O2151" s="53"/>
      <c r="P2151" s="53"/>
      <c r="Q2151" s="53"/>
      <c r="R2151" s="53"/>
      <c r="S2151" s="53"/>
      <c r="T2151" s="53"/>
      <c r="U2151" s="53"/>
      <c r="V2151" s="53"/>
    </row>
    <row r="2152">
      <c r="A2152" s="83"/>
      <c r="B2152" s="53"/>
      <c r="C2152" s="53"/>
      <c r="D2152" s="53"/>
      <c r="E2152" s="240"/>
      <c r="F2152" s="241"/>
      <c r="G2152" s="53"/>
      <c r="H2152" s="53"/>
      <c r="I2152" s="53"/>
      <c r="J2152" s="53"/>
      <c r="K2152" s="53"/>
      <c r="L2152" s="53"/>
      <c r="M2152" s="53"/>
      <c r="N2152" s="53"/>
      <c r="O2152" s="53"/>
      <c r="P2152" s="53"/>
      <c r="Q2152" s="53"/>
      <c r="R2152" s="53"/>
      <c r="S2152" s="53"/>
      <c r="T2152" s="53"/>
      <c r="U2152" s="53"/>
      <c r="V2152" s="53"/>
    </row>
    <row r="2153">
      <c r="A2153" s="83"/>
      <c r="B2153" s="53"/>
      <c r="C2153" s="53"/>
      <c r="D2153" s="53"/>
      <c r="E2153" s="240"/>
      <c r="F2153" s="241"/>
      <c r="G2153" s="53"/>
      <c r="H2153" s="53"/>
      <c r="I2153" s="53"/>
      <c r="J2153" s="53"/>
      <c r="K2153" s="53"/>
      <c r="L2153" s="53"/>
      <c r="M2153" s="53"/>
      <c r="N2153" s="53"/>
      <c r="O2153" s="53"/>
      <c r="P2153" s="53"/>
      <c r="Q2153" s="53"/>
      <c r="R2153" s="53"/>
      <c r="S2153" s="53"/>
      <c r="T2153" s="53"/>
      <c r="U2153" s="53"/>
      <c r="V2153" s="53"/>
    </row>
    <row r="2154">
      <c r="A2154" s="83"/>
      <c r="B2154" s="53"/>
      <c r="C2154" s="53"/>
      <c r="D2154" s="53"/>
      <c r="E2154" s="240"/>
      <c r="F2154" s="241"/>
      <c r="G2154" s="53"/>
      <c r="H2154" s="53"/>
      <c r="I2154" s="53"/>
      <c r="J2154" s="53"/>
      <c r="K2154" s="53"/>
      <c r="L2154" s="53"/>
      <c r="M2154" s="53"/>
      <c r="N2154" s="53"/>
      <c r="O2154" s="53"/>
      <c r="P2154" s="53"/>
      <c r="Q2154" s="53"/>
      <c r="R2154" s="53"/>
      <c r="S2154" s="53"/>
      <c r="T2154" s="53"/>
      <c r="U2154" s="53"/>
      <c r="V2154" s="53"/>
    </row>
    <row r="2155">
      <c r="A2155" s="83"/>
      <c r="B2155" s="53"/>
      <c r="C2155" s="53"/>
      <c r="D2155" s="53"/>
      <c r="E2155" s="240"/>
      <c r="F2155" s="241"/>
      <c r="G2155" s="53"/>
      <c r="H2155" s="53"/>
      <c r="I2155" s="53"/>
      <c r="J2155" s="53"/>
      <c r="K2155" s="53"/>
      <c r="L2155" s="53"/>
      <c r="M2155" s="53"/>
      <c r="N2155" s="53"/>
      <c r="O2155" s="53"/>
      <c r="P2155" s="53"/>
      <c r="Q2155" s="53"/>
      <c r="R2155" s="53"/>
      <c r="S2155" s="53"/>
      <c r="T2155" s="53"/>
      <c r="U2155" s="53"/>
      <c r="V2155" s="53"/>
    </row>
    <row r="2156">
      <c r="A2156" s="83"/>
      <c r="B2156" s="53"/>
      <c r="C2156" s="53"/>
      <c r="D2156" s="53"/>
      <c r="E2156" s="240"/>
      <c r="F2156" s="241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</row>
    <row r="2157">
      <c r="A2157" s="83"/>
      <c r="B2157" s="53"/>
      <c r="C2157" s="53"/>
      <c r="D2157" s="53"/>
      <c r="E2157" s="240"/>
      <c r="F2157" s="241"/>
      <c r="G2157" s="53"/>
      <c r="H2157" s="53"/>
      <c r="I2157" s="53"/>
      <c r="J2157" s="53"/>
      <c r="K2157" s="53"/>
      <c r="L2157" s="53"/>
      <c r="M2157" s="53"/>
      <c r="N2157" s="53"/>
      <c r="O2157" s="53"/>
      <c r="P2157" s="53"/>
      <c r="Q2157" s="53"/>
      <c r="R2157" s="53"/>
      <c r="S2157" s="53"/>
      <c r="T2157" s="53"/>
      <c r="U2157" s="53"/>
      <c r="V2157" s="53"/>
    </row>
    <row r="2158">
      <c r="A2158" s="83"/>
      <c r="B2158" s="53"/>
      <c r="C2158" s="53"/>
      <c r="D2158" s="53"/>
      <c r="E2158" s="240"/>
      <c r="F2158" s="241"/>
      <c r="G2158" s="53"/>
      <c r="H2158" s="53"/>
      <c r="I2158" s="53"/>
      <c r="J2158" s="53"/>
      <c r="K2158" s="53"/>
      <c r="L2158" s="53"/>
      <c r="M2158" s="53"/>
      <c r="N2158" s="53"/>
      <c r="O2158" s="53"/>
      <c r="P2158" s="53"/>
      <c r="Q2158" s="53"/>
      <c r="R2158" s="53"/>
      <c r="S2158" s="53"/>
      <c r="T2158" s="53"/>
      <c r="U2158" s="53"/>
      <c r="V2158" s="53"/>
    </row>
    <row r="2159">
      <c r="A2159" s="83"/>
      <c r="B2159" s="53"/>
      <c r="C2159" s="53"/>
      <c r="D2159" s="53"/>
      <c r="E2159" s="240"/>
      <c r="F2159" s="241"/>
      <c r="G2159" s="53"/>
      <c r="H2159" s="53"/>
      <c r="I2159" s="53"/>
      <c r="J2159" s="53"/>
      <c r="K2159" s="53"/>
      <c r="L2159" s="53"/>
      <c r="M2159" s="53"/>
      <c r="N2159" s="53"/>
      <c r="O2159" s="53"/>
      <c r="P2159" s="53"/>
      <c r="Q2159" s="53"/>
      <c r="R2159" s="53"/>
      <c r="S2159" s="53"/>
      <c r="T2159" s="53"/>
      <c r="U2159" s="53"/>
      <c r="V2159" s="53"/>
    </row>
    <row r="2160">
      <c r="A2160" s="83"/>
      <c r="B2160" s="53"/>
      <c r="C2160" s="53"/>
      <c r="D2160" s="53"/>
      <c r="E2160" s="240"/>
      <c r="F2160" s="241"/>
      <c r="G2160" s="53"/>
      <c r="H2160" s="53"/>
      <c r="I2160" s="53"/>
      <c r="J2160" s="53"/>
      <c r="K2160" s="53"/>
      <c r="L2160" s="53"/>
      <c r="M2160" s="53"/>
      <c r="N2160" s="53"/>
      <c r="O2160" s="53"/>
      <c r="P2160" s="53"/>
      <c r="Q2160" s="53"/>
      <c r="R2160" s="53"/>
      <c r="S2160" s="53"/>
      <c r="T2160" s="53"/>
      <c r="U2160" s="53"/>
      <c r="V2160" s="53"/>
    </row>
    <row r="2161">
      <c r="A2161" s="83"/>
      <c r="B2161" s="53"/>
      <c r="C2161" s="53"/>
      <c r="D2161" s="53"/>
      <c r="E2161" s="240"/>
      <c r="F2161" s="241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53"/>
      <c r="T2161" s="53"/>
      <c r="U2161" s="53"/>
      <c r="V2161" s="53"/>
    </row>
    <row r="2162">
      <c r="A2162" s="83"/>
      <c r="B2162" s="53"/>
      <c r="C2162" s="53"/>
      <c r="D2162" s="53"/>
      <c r="E2162" s="240"/>
      <c r="F2162" s="241"/>
      <c r="G2162" s="53"/>
      <c r="H2162" s="53"/>
      <c r="I2162" s="53"/>
      <c r="J2162" s="53"/>
      <c r="K2162" s="53"/>
      <c r="L2162" s="53"/>
      <c r="M2162" s="53"/>
      <c r="N2162" s="53"/>
      <c r="O2162" s="53"/>
      <c r="P2162" s="53"/>
      <c r="Q2162" s="53"/>
      <c r="R2162" s="53"/>
      <c r="S2162" s="53"/>
      <c r="T2162" s="53"/>
      <c r="U2162" s="53"/>
      <c r="V2162" s="53"/>
    </row>
    <row r="2163">
      <c r="A2163" s="83"/>
      <c r="B2163" s="53"/>
      <c r="C2163" s="53"/>
      <c r="D2163" s="53"/>
      <c r="E2163" s="240"/>
      <c r="F2163" s="241"/>
      <c r="G2163" s="53"/>
      <c r="H2163" s="53"/>
      <c r="I2163" s="53"/>
      <c r="J2163" s="53"/>
      <c r="K2163" s="53"/>
      <c r="L2163" s="53"/>
      <c r="M2163" s="53"/>
      <c r="N2163" s="53"/>
      <c r="O2163" s="53"/>
      <c r="P2163" s="53"/>
      <c r="Q2163" s="53"/>
      <c r="R2163" s="53"/>
      <c r="S2163" s="53"/>
      <c r="T2163" s="53"/>
      <c r="U2163" s="53"/>
      <c r="V2163" s="53"/>
    </row>
    <row r="2164">
      <c r="A2164" s="83"/>
      <c r="B2164" s="53"/>
      <c r="C2164" s="53"/>
      <c r="D2164" s="53"/>
      <c r="E2164" s="240"/>
      <c r="F2164" s="241"/>
      <c r="G2164" s="53"/>
      <c r="H2164" s="53"/>
      <c r="I2164" s="53"/>
      <c r="J2164" s="53"/>
      <c r="K2164" s="53"/>
      <c r="L2164" s="53"/>
      <c r="M2164" s="53"/>
      <c r="N2164" s="53"/>
      <c r="O2164" s="53"/>
      <c r="P2164" s="53"/>
      <c r="Q2164" s="53"/>
      <c r="R2164" s="53"/>
      <c r="S2164" s="53"/>
      <c r="T2164" s="53"/>
      <c r="U2164" s="53"/>
      <c r="V2164" s="53"/>
    </row>
    <row r="2165">
      <c r="A2165" s="83"/>
      <c r="B2165" s="53"/>
      <c r="C2165" s="53"/>
      <c r="D2165" s="53"/>
      <c r="E2165" s="240"/>
      <c r="F2165" s="241"/>
      <c r="G2165" s="53"/>
      <c r="H2165" s="53"/>
      <c r="I2165" s="53"/>
      <c r="J2165" s="53"/>
      <c r="K2165" s="53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</row>
    <row r="2166">
      <c r="A2166" s="83"/>
      <c r="B2166" s="53"/>
      <c r="C2166" s="53"/>
      <c r="D2166" s="53"/>
      <c r="E2166" s="240"/>
      <c r="F2166" s="241"/>
      <c r="G2166" s="53"/>
      <c r="H2166" s="53"/>
      <c r="I2166" s="53"/>
      <c r="J2166" s="53"/>
      <c r="K2166" s="53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</row>
    <row r="2167">
      <c r="A2167" s="83"/>
      <c r="B2167" s="53"/>
      <c r="C2167" s="53"/>
      <c r="D2167" s="53"/>
      <c r="E2167" s="240"/>
      <c r="F2167" s="241"/>
      <c r="G2167" s="53"/>
      <c r="H2167" s="53"/>
      <c r="I2167" s="53"/>
      <c r="J2167" s="53"/>
      <c r="K2167" s="53"/>
      <c r="L2167" s="53"/>
      <c r="M2167" s="53"/>
      <c r="N2167" s="53"/>
      <c r="O2167" s="53"/>
      <c r="P2167" s="53"/>
      <c r="Q2167" s="53"/>
      <c r="R2167" s="53"/>
      <c r="S2167" s="53"/>
      <c r="T2167" s="53"/>
      <c r="U2167" s="53"/>
      <c r="V2167" s="53"/>
    </row>
    <row r="2168">
      <c r="A2168" s="83"/>
      <c r="B2168" s="53"/>
      <c r="C2168" s="53"/>
      <c r="D2168" s="53"/>
      <c r="E2168" s="240"/>
      <c r="F2168" s="241"/>
      <c r="G2168" s="53"/>
      <c r="H2168" s="53"/>
      <c r="I2168" s="53"/>
      <c r="J2168" s="53"/>
      <c r="K2168" s="53"/>
      <c r="L2168" s="53"/>
      <c r="M2168" s="53"/>
      <c r="N2168" s="53"/>
      <c r="O2168" s="53"/>
      <c r="P2168" s="53"/>
      <c r="Q2168" s="53"/>
      <c r="R2168" s="53"/>
      <c r="S2168" s="53"/>
      <c r="T2168" s="53"/>
      <c r="U2168" s="53"/>
      <c r="V2168" s="53"/>
    </row>
    <row r="2169">
      <c r="A2169" s="83"/>
      <c r="B2169" s="53"/>
      <c r="C2169" s="53"/>
      <c r="D2169" s="53"/>
      <c r="E2169" s="240"/>
      <c r="F2169" s="241"/>
      <c r="G2169" s="53"/>
      <c r="H2169" s="53"/>
      <c r="I2169" s="53"/>
      <c r="J2169" s="53"/>
      <c r="K2169" s="53"/>
      <c r="L2169" s="53"/>
      <c r="M2169" s="53"/>
      <c r="N2169" s="53"/>
      <c r="O2169" s="53"/>
      <c r="P2169" s="53"/>
      <c r="Q2169" s="53"/>
      <c r="R2169" s="53"/>
      <c r="S2169" s="53"/>
      <c r="T2169" s="53"/>
      <c r="U2169" s="53"/>
      <c r="V2169" s="53"/>
    </row>
    <row r="2170">
      <c r="A2170" s="83"/>
      <c r="B2170" s="53"/>
      <c r="C2170" s="53"/>
      <c r="D2170" s="53"/>
      <c r="E2170" s="240"/>
      <c r="F2170" s="241"/>
      <c r="G2170" s="53"/>
      <c r="H2170" s="53"/>
      <c r="I2170" s="53"/>
      <c r="J2170" s="53"/>
      <c r="K2170" s="53"/>
      <c r="L2170" s="53"/>
      <c r="M2170" s="53"/>
      <c r="N2170" s="53"/>
      <c r="O2170" s="53"/>
      <c r="P2170" s="53"/>
      <c r="Q2170" s="53"/>
      <c r="R2170" s="53"/>
      <c r="S2170" s="53"/>
      <c r="T2170" s="53"/>
      <c r="U2170" s="53"/>
      <c r="V2170" s="53"/>
    </row>
    <row r="2171">
      <c r="A2171" s="83"/>
      <c r="B2171" s="53"/>
      <c r="C2171" s="53"/>
      <c r="D2171" s="53"/>
      <c r="E2171" s="240"/>
      <c r="F2171" s="241"/>
      <c r="G2171" s="53"/>
      <c r="H2171" s="53"/>
      <c r="I2171" s="53"/>
      <c r="J2171" s="53"/>
      <c r="K2171" s="53"/>
      <c r="L2171" s="53"/>
      <c r="M2171" s="53"/>
      <c r="N2171" s="53"/>
      <c r="O2171" s="53"/>
      <c r="P2171" s="53"/>
      <c r="Q2171" s="53"/>
      <c r="R2171" s="53"/>
      <c r="S2171" s="53"/>
      <c r="T2171" s="53"/>
      <c r="U2171" s="53"/>
      <c r="V2171" s="53"/>
    </row>
    <row r="2172">
      <c r="A2172" s="83"/>
      <c r="B2172" s="53"/>
      <c r="C2172" s="53"/>
      <c r="D2172" s="53"/>
      <c r="E2172" s="240"/>
      <c r="F2172" s="241"/>
      <c r="G2172" s="53"/>
      <c r="H2172" s="53"/>
      <c r="I2172" s="53"/>
      <c r="J2172" s="53"/>
      <c r="K2172" s="53"/>
      <c r="L2172" s="53"/>
      <c r="M2172" s="53"/>
      <c r="N2172" s="53"/>
      <c r="O2172" s="53"/>
      <c r="P2172" s="53"/>
      <c r="Q2172" s="53"/>
      <c r="R2172" s="53"/>
      <c r="S2172" s="53"/>
      <c r="T2172" s="53"/>
      <c r="U2172" s="53"/>
      <c r="V2172" s="53"/>
    </row>
    <row r="2173">
      <c r="A2173" s="83"/>
      <c r="B2173" s="53"/>
      <c r="C2173" s="53"/>
      <c r="D2173" s="53"/>
      <c r="E2173" s="240"/>
      <c r="F2173" s="241"/>
      <c r="G2173" s="53"/>
      <c r="H2173" s="53"/>
      <c r="I2173" s="53"/>
      <c r="J2173" s="53"/>
      <c r="K2173" s="53"/>
      <c r="L2173" s="53"/>
      <c r="M2173" s="53"/>
      <c r="N2173" s="53"/>
      <c r="O2173" s="53"/>
      <c r="P2173" s="53"/>
      <c r="Q2173" s="53"/>
      <c r="R2173" s="53"/>
      <c r="S2173" s="53"/>
      <c r="T2173" s="53"/>
      <c r="U2173" s="53"/>
      <c r="V2173" s="53"/>
    </row>
    <row r="2174">
      <c r="A2174" s="83"/>
      <c r="B2174" s="53"/>
      <c r="C2174" s="53"/>
      <c r="D2174" s="53"/>
      <c r="E2174" s="240"/>
      <c r="F2174" s="241"/>
      <c r="G2174" s="53"/>
      <c r="H2174" s="53"/>
      <c r="I2174" s="53"/>
      <c r="J2174" s="53"/>
      <c r="K2174" s="53"/>
      <c r="L2174" s="53"/>
      <c r="M2174" s="53"/>
      <c r="N2174" s="53"/>
      <c r="O2174" s="53"/>
      <c r="P2174" s="53"/>
      <c r="Q2174" s="53"/>
      <c r="R2174" s="53"/>
      <c r="S2174" s="53"/>
      <c r="T2174" s="53"/>
      <c r="U2174" s="53"/>
      <c r="V2174" s="53"/>
    </row>
    <row r="2175">
      <c r="A2175" s="83"/>
      <c r="B2175" s="53"/>
      <c r="C2175" s="53"/>
      <c r="D2175" s="53"/>
      <c r="E2175" s="240"/>
      <c r="F2175" s="241"/>
      <c r="G2175" s="53"/>
      <c r="H2175" s="53"/>
      <c r="I2175" s="53"/>
      <c r="J2175" s="53"/>
      <c r="K2175" s="53"/>
      <c r="L2175" s="53"/>
      <c r="M2175" s="53"/>
      <c r="N2175" s="53"/>
      <c r="O2175" s="53"/>
      <c r="P2175" s="53"/>
      <c r="Q2175" s="53"/>
      <c r="R2175" s="53"/>
      <c r="S2175" s="53"/>
      <c r="T2175" s="53"/>
      <c r="U2175" s="53"/>
      <c r="V2175" s="53"/>
    </row>
    <row r="2176">
      <c r="A2176" s="83"/>
      <c r="B2176" s="53"/>
      <c r="C2176" s="53"/>
      <c r="D2176" s="53"/>
      <c r="E2176" s="240"/>
      <c r="F2176" s="241"/>
      <c r="G2176" s="53"/>
      <c r="H2176" s="53"/>
      <c r="I2176" s="53"/>
      <c r="J2176" s="53"/>
      <c r="K2176" s="53"/>
      <c r="L2176" s="53"/>
      <c r="M2176" s="53"/>
      <c r="N2176" s="53"/>
      <c r="O2176" s="53"/>
      <c r="P2176" s="53"/>
      <c r="Q2176" s="53"/>
      <c r="R2176" s="53"/>
      <c r="S2176" s="53"/>
      <c r="T2176" s="53"/>
      <c r="U2176" s="53"/>
      <c r="V2176" s="53"/>
    </row>
    <row r="2177">
      <c r="A2177" s="83"/>
      <c r="B2177" s="53"/>
      <c r="C2177" s="53"/>
      <c r="D2177" s="53"/>
      <c r="E2177" s="240"/>
      <c r="F2177" s="241"/>
      <c r="G2177" s="53"/>
      <c r="H2177" s="53"/>
      <c r="I2177" s="53"/>
      <c r="J2177" s="53"/>
      <c r="K2177" s="53"/>
      <c r="L2177" s="53"/>
      <c r="M2177" s="53"/>
      <c r="N2177" s="53"/>
      <c r="O2177" s="53"/>
      <c r="P2177" s="53"/>
      <c r="Q2177" s="53"/>
      <c r="R2177" s="53"/>
      <c r="S2177" s="53"/>
      <c r="T2177" s="53"/>
      <c r="U2177" s="53"/>
      <c r="V2177" s="53"/>
    </row>
    <row r="2178">
      <c r="A2178" s="83"/>
      <c r="B2178" s="53"/>
      <c r="C2178" s="53"/>
      <c r="D2178" s="53"/>
      <c r="E2178" s="240"/>
      <c r="F2178" s="241"/>
      <c r="G2178" s="53"/>
      <c r="H2178" s="53"/>
      <c r="I2178" s="53"/>
      <c r="J2178" s="53"/>
      <c r="K2178" s="53"/>
      <c r="L2178" s="53"/>
      <c r="M2178" s="53"/>
      <c r="N2178" s="53"/>
      <c r="O2178" s="53"/>
      <c r="P2178" s="53"/>
      <c r="Q2178" s="53"/>
      <c r="R2178" s="53"/>
      <c r="S2178" s="53"/>
      <c r="T2178" s="53"/>
      <c r="U2178" s="53"/>
      <c r="V2178" s="53"/>
    </row>
    <row r="2179">
      <c r="A2179" s="83"/>
      <c r="B2179" s="53"/>
      <c r="C2179" s="53"/>
      <c r="D2179" s="53"/>
      <c r="E2179" s="240"/>
      <c r="F2179" s="241"/>
      <c r="G2179" s="53"/>
      <c r="H2179" s="53"/>
      <c r="I2179" s="53"/>
      <c r="J2179" s="53"/>
      <c r="K2179" s="53"/>
      <c r="L2179" s="53"/>
      <c r="M2179" s="53"/>
      <c r="N2179" s="53"/>
      <c r="O2179" s="53"/>
      <c r="P2179" s="53"/>
      <c r="Q2179" s="53"/>
      <c r="R2179" s="53"/>
      <c r="S2179" s="53"/>
      <c r="T2179" s="53"/>
      <c r="U2179" s="53"/>
      <c r="V2179" s="53"/>
    </row>
    <row r="2180">
      <c r="A2180" s="83"/>
      <c r="B2180" s="53"/>
      <c r="C2180" s="53"/>
      <c r="D2180" s="53"/>
      <c r="E2180" s="240"/>
      <c r="F2180" s="241"/>
      <c r="G2180" s="53"/>
      <c r="H2180" s="53"/>
      <c r="I2180" s="53"/>
      <c r="J2180" s="53"/>
      <c r="K2180" s="53"/>
      <c r="L2180" s="53"/>
      <c r="M2180" s="53"/>
      <c r="N2180" s="53"/>
      <c r="O2180" s="53"/>
      <c r="P2180" s="53"/>
      <c r="Q2180" s="53"/>
      <c r="R2180" s="53"/>
      <c r="S2180" s="53"/>
      <c r="T2180" s="53"/>
      <c r="U2180" s="53"/>
      <c r="V2180" s="53"/>
    </row>
    <row r="2181">
      <c r="A2181" s="83"/>
      <c r="B2181" s="53"/>
      <c r="C2181" s="53"/>
      <c r="D2181" s="53"/>
      <c r="E2181" s="240"/>
      <c r="F2181" s="241"/>
      <c r="G2181" s="53"/>
      <c r="H2181" s="53"/>
      <c r="I2181" s="53"/>
      <c r="J2181" s="53"/>
      <c r="K2181" s="53"/>
      <c r="L2181" s="53"/>
      <c r="M2181" s="53"/>
      <c r="N2181" s="53"/>
      <c r="O2181" s="53"/>
      <c r="P2181" s="53"/>
      <c r="Q2181" s="53"/>
      <c r="R2181" s="53"/>
      <c r="S2181" s="53"/>
      <c r="T2181" s="53"/>
      <c r="U2181" s="53"/>
      <c r="V2181" s="53"/>
    </row>
    <row r="2182">
      <c r="A2182" s="83"/>
      <c r="B2182" s="53"/>
      <c r="C2182" s="53"/>
      <c r="D2182" s="53"/>
      <c r="E2182" s="240"/>
      <c r="F2182" s="241"/>
      <c r="G2182" s="53"/>
      <c r="H2182" s="53"/>
      <c r="I2182" s="53"/>
      <c r="J2182" s="53"/>
      <c r="K2182" s="53"/>
      <c r="L2182" s="53"/>
      <c r="M2182" s="53"/>
      <c r="N2182" s="53"/>
      <c r="O2182" s="53"/>
      <c r="P2182" s="53"/>
      <c r="Q2182" s="53"/>
      <c r="R2182" s="53"/>
      <c r="S2182" s="53"/>
      <c r="T2182" s="53"/>
      <c r="U2182" s="53"/>
      <c r="V2182" s="53"/>
    </row>
    <row r="2183">
      <c r="A2183" s="83"/>
      <c r="B2183" s="53"/>
      <c r="C2183" s="53"/>
      <c r="D2183" s="53"/>
      <c r="E2183" s="240"/>
      <c r="F2183" s="241"/>
      <c r="G2183" s="53"/>
      <c r="H2183" s="53"/>
      <c r="I2183" s="53"/>
      <c r="J2183" s="53"/>
      <c r="K2183" s="53"/>
      <c r="L2183" s="53"/>
      <c r="M2183" s="53"/>
      <c r="N2183" s="53"/>
      <c r="O2183" s="53"/>
      <c r="P2183" s="53"/>
      <c r="Q2183" s="53"/>
      <c r="R2183" s="53"/>
      <c r="S2183" s="53"/>
      <c r="T2183" s="53"/>
      <c r="U2183" s="53"/>
      <c r="V2183" s="53"/>
    </row>
    <row r="2184">
      <c r="A2184" s="83"/>
      <c r="B2184" s="53"/>
      <c r="C2184" s="53"/>
      <c r="D2184" s="53"/>
      <c r="E2184" s="240"/>
      <c r="F2184" s="241"/>
      <c r="G2184" s="53"/>
      <c r="H2184" s="53"/>
      <c r="I2184" s="53"/>
      <c r="J2184" s="53"/>
      <c r="K2184" s="53"/>
      <c r="L2184" s="53"/>
      <c r="M2184" s="53"/>
      <c r="N2184" s="53"/>
      <c r="O2184" s="53"/>
      <c r="P2184" s="53"/>
      <c r="Q2184" s="53"/>
      <c r="R2184" s="53"/>
      <c r="S2184" s="53"/>
      <c r="T2184" s="53"/>
      <c r="U2184" s="53"/>
      <c r="V2184" s="53"/>
    </row>
    <row r="2185">
      <c r="A2185" s="83"/>
      <c r="B2185" s="53"/>
      <c r="C2185" s="53"/>
      <c r="D2185" s="53"/>
      <c r="E2185" s="240"/>
      <c r="F2185" s="241"/>
      <c r="G2185" s="53"/>
      <c r="H2185" s="53"/>
      <c r="I2185" s="53"/>
      <c r="J2185" s="53"/>
      <c r="K2185" s="53"/>
      <c r="L2185" s="53"/>
      <c r="M2185" s="53"/>
      <c r="N2185" s="53"/>
      <c r="O2185" s="53"/>
      <c r="P2185" s="53"/>
      <c r="Q2185" s="53"/>
      <c r="R2185" s="53"/>
      <c r="S2185" s="53"/>
      <c r="T2185" s="53"/>
      <c r="U2185" s="53"/>
      <c r="V2185" s="53"/>
    </row>
    <row r="2186">
      <c r="A2186" s="83"/>
      <c r="B2186" s="53"/>
      <c r="C2186" s="53"/>
      <c r="D2186" s="53"/>
      <c r="E2186" s="240"/>
      <c r="F2186" s="241"/>
      <c r="G2186" s="53"/>
      <c r="H2186" s="53"/>
      <c r="I2186" s="53"/>
      <c r="J2186" s="53"/>
      <c r="K2186" s="53"/>
      <c r="L2186" s="53"/>
      <c r="M2186" s="53"/>
      <c r="N2186" s="53"/>
      <c r="O2186" s="53"/>
      <c r="P2186" s="53"/>
      <c r="Q2186" s="53"/>
      <c r="R2186" s="53"/>
      <c r="S2186" s="53"/>
      <c r="T2186" s="53"/>
      <c r="U2186" s="53"/>
      <c r="V2186" s="53"/>
    </row>
    <row r="2187">
      <c r="A2187" s="83"/>
      <c r="B2187" s="53"/>
      <c r="C2187" s="53"/>
      <c r="D2187" s="53"/>
      <c r="E2187" s="240"/>
      <c r="F2187" s="241"/>
      <c r="G2187" s="53"/>
      <c r="H2187" s="53"/>
      <c r="I2187" s="53"/>
      <c r="J2187" s="53"/>
      <c r="K2187" s="53"/>
      <c r="L2187" s="53"/>
      <c r="M2187" s="53"/>
      <c r="N2187" s="53"/>
      <c r="O2187" s="53"/>
      <c r="P2187" s="53"/>
      <c r="Q2187" s="53"/>
      <c r="R2187" s="53"/>
      <c r="S2187" s="53"/>
      <c r="T2187" s="53"/>
      <c r="U2187" s="53"/>
      <c r="V2187" s="53"/>
    </row>
    <row r="2188">
      <c r="A2188" s="83"/>
      <c r="B2188" s="53"/>
      <c r="C2188" s="53"/>
      <c r="D2188" s="53"/>
      <c r="E2188" s="240"/>
      <c r="F2188" s="241"/>
      <c r="G2188" s="53"/>
      <c r="H2188" s="53"/>
      <c r="I2188" s="53"/>
      <c r="J2188" s="53"/>
      <c r="K2188" s="53"/>
      <c r="L2188" s="53"/>
      <c r="M2188" s="53"/>
      <c r="N2188" s="53"/>
      <c r="O2188" s="53"/>
      <c r="P2188" s="53"/>
      <c r="Q2188" s="53"/>
      <c r="R2188" s="53"/>
      <c r="S2188" s="53"/>
      <c r="T2188" s="53"/>
      <c r="U2188" s="53"/>
      <c r="V2188" s="53"/>
    </row>
    <row r="2189">
      <c r="A2189" s="83"/>
      <c r="B2189" s="53"/>
      <c r="C2189" s="53"/>
      <c r="D2189" s="53"/>
      <c r="E2189" s="240"/>
      <c r="F2189" s="241"/>
      <c r="G2189" s="53"/>
      <c r="H2189" s="53"/>
      <c r="I2189" s="53"/>
      <c r="J2189" s="53"/>
      <c r="K2189" s="53"/>
      <c r="L2189" s="53"/>
      <c r="M2189" s="53"/>
      <c r="N2189" s="53"/>
      <c r="O2189" s="53"/>
      <c r="P2189" s="53"/>
      <c r="Q2189" s="53"/>
      <c r="R2189" s="53"/>
      <c r="S2189" s="53"/>
      <c r="T2189" s="53"/>
      <c r="U2189" s="53"/>
      <c r="V2189" s="53"/>
    </row>
    <row r="2190">
      <c r="A2190" s="83"/>
      <c r="B2190" s="53"/>
      <c r="C2190" s="53"/>
      <c r="D2190" s="53"/>
      <c r="E2190" s="240"/>
      <c r="F2190" s="241"/>
      <c r="G2190" s="53"/>
      <c r="H2190" s="53"/>
      <c r="I2190" s="53"/>
      <c r="J2190" s="53"/>
      <c r="K2190" s="53"/>
      <c r="L2190" s="53"/>
      <c r="M2190" s="53"/>
      <c r="N2190" s="53"/>
      <c r="O2190" s="53"/>
      <c r="P2190" s="53"/>
      <c r="Q2190" s="53"/>
      <c r="R2190" s="53"/>
      <c r="S2190" s="53"/>
      <c r="T2190" s="53"/>
      <c r="U2190" s="53"/>
      <c r="V2190" s="53"/>
    </row>
    <row r="2191">
      <c r="A2191" s="83"/>
      <c r="B2191" s="53"/>
      <c r="C2191" s="53"/>
      <c r="D2191" s="53"/>
      <c r="E2191" s="240"/>
      <c r="F2191" s="241"/>
      <c r="G2191" s="53"/>
      <c r="H2191" s="53"/>
      <c r="I2191" s="53"/>
      <c r="J2191" s="53"/>
      <c r="K2191" s="53"/>
      <c r="L2191" s="53"/>
      <c r="M2191" s="53"/>
      <c r="N2191" s="53"/>
      <c r="O2191" s="53"/>
      <c r="P2191" s="53"/>
      <c r="Q2191" s="53"/>
      <c r="R2191" s="53"/>
      <c r="S2191" s="53"/>
      <c r="T2191" s="53"/>
      <c r="U2191" s="53"/>
      <c r="V2191" s="53"/>
    </row>
    <row r="2192">
      <c r="A2192" s="83"/>
      <c r="B2192" s="53"/>
      <c r="C2192" s="53"/>
      <c r="D2192" s="53"/>
      <c r="E2192" s="240"/>
      <c r="F2192" s="241"/>
      <c r="G2192" s="53"/>
      <c r="H2192" s="53"/>
      <c r="I2192" s="53"/>
      <c r="J2192" s="53"/>
      <c r="K2192" s="53"/>
      <c r="L2192" s="53"/>
      <c r="M2192" s="53"/>
      <c r="N2192" s="53"/>
      <c r="O2192" s="53"/>
      <c r="P2192" s="53"/>
      <c r="Q2192" s="53"/>
      <c r="R2192" s="53"/>
      <c r="S2192" s="53"/>
      <c r="T2192" s="53"/>
      <c r="U2192" s="53"/>
      <c r="V2192" s="53"/>
    </row>
    <row r="2193">
      <c r="A2193" s="83"/>
      <c r="B2193" s="53"/>
      <c r="C2193" s="53"/>
      <c r="D2193" s="53"/>
      <c r="E2193" s="240"/>
      <c r="F2193" s="241"/>
      <c r="G2193" s="53"/>
      <c r="H2193" s="53"/>
      <c r="I2193" s="53"/>
      <c r="J2193" s="53"/>
      <c r="K2193" s="53"/>
      <c r="L2193" s="53"/>
      <c r="M2193" s="53"/>
      <c r="N2193" s="53"/>
      <c r="O2193" s="53"/>
      <c r="P2193" s="53"/>
      <c r="Q2193" s="53"/>
      <c r="R2193" s="53"/>
      <c r="S2193" s="53"/>
      <c r="T2193" s="53"/>
      <c r="U2193" s="53"/>
      <c r="V2193" s="53"/>
    </row>
    <row r="2194">
      <c r="A2194" s="83"/>
      <c r="B2194" s="53"/>
      <c r="C2194" s="53"/>
      <c r="D2194" s="53"/>
      <c r="E2194" s="240"/>
      <c r="F2194" s="241"/>
      <c r="G2194" s="53"/>
      <c r="H2194" s="53"/>
      <c r="I2194" s="53"/>
      <c r="J2194" s="53"/>
      <c r="K2194" s="53"/>
      <c r="L2194" s="53"/>
      <c r="M2194" s="53"/>
      <c r="N2194" s="53"/>
      <c r="O2194" s="53"/>
      <c r="P2194" s="53"/>
      <c r="Q2194" s="53"/>
      <c r="R2194" s="53"/>
      <c r="S2194" s="53"/>
      <c r="T2194" s="53"/>
      <c r="U2194" s="53"/>
      <c r="V2194" s="53"/>
    </row>
    <row r="2195">
      <c r="A2195" s="83"/>
      <c r="B2195" s="53"/>
      <c r="C2195" s="53"/>
      <c r="D2195" s="53"/>
      <c r="E2195" s="240"/>
      <c r="F2195" s="241"/>
      <c r="G2195" s="53"/>
      <c r="H2195" s="53"/>
      <c r="I2195" s="53"/>
      <c r="J2195" s="53"/>
      <c r="K2195" s="53"/>
      <c r="L2195" s="53"/>
      <c r="M2195" s="53"/>
      <c r="N2195" s="53"/>
      <c r="O2195" s="53"/>
      <c r="P2195" s="53"/>
      <c r="Q2195" s="53"/>
      <c r="R2195" s="53"/>
      <c r="S2195" s="53"/>
      <c r="T2195" s="53"/>
      <c r="U2195" s="53"/>
      <c r="V2195" s="53"/>
    </row>
    <row r="2196">
      <c r="A2196" s="83"/>
      <c r="B2196" s="53"/>
      <c r="C2196" s="53"/>
      <c r="D2196" s="53"/>
      <c r="E2196" s="240"/>
      <c r="F2196" s="241"/>
      <c r="G2196" s="53"/>
      <c r="H2196" s="53"/>
      <c r="I2196" s="53"/>
      <c r="J2196" s="53"/>
      <c r="K2196" s="53"/>
      <c r="L2196" s="53"/>
      <c r="M2196" s="53"/>
      <c r="N2196" s="53"/>
      <c r="O2196" s="53"/>
      <c r="P2196" s="53"/>
      <c r="Q2196" s="53"/>
      <c r="R2196" s="53"/>
      <c r="S2196" s="53"/>
      <c r="T2196" s="53"/>
      <c r="U2196" s="53"/>
      <c r="V2196" s="53"/>
    </row>
    <row r="2197">
      <c r="A2197" s="83"/>
      <c r="B2197" s="53"/>
      <c r="C2197" s="53"/>
      <c r="D2197" s="53"/>
      <c r="E2197" s="240"/>
      <c r="F2197" s="241"/>
      <c r="G2197" s="53"/>
      <c r="H2197" s="53"/>
      <c r="I2197" s="53"/>
      <c r="J2197" s="53"/>
      <c r="K2197" s="53"/>
      <c r="L2197" s="53"/>
      <c r="M2197" s="53"/>
      <c r="N2197" s="53"/>
      <c r="O2197" s="53"/>
      <c r="P2197" s="53"/>
      <c r="Q2197" s="53"/>
      <c r="R2197" s="53"/>
      <c r="S2197" s="53"/>
      <c r="T2197" s="53"/>
      <c r="U2197" s="53"/>
      <c r="V2197" s="53"/>
    </row>
    <row r="2198">
      <c r="A2198" s="83"/>
      <c r="B2198" s="53"/>
      <c r="C2198" s="53"/>
      <c r="D2198" s="53"/>
      <c r="E2198" s="240"/>
      <c r="F2198" s="241"/>
      <c r="G2198" s="53"/>
      <c r="H2198" s="53"/>
      <c r="I2198" s="53"/>
      <c r="J2198" s="53"/>
      <c r="K2198" s="53"/>
      <c r="L2198" s="53"/>
      <c r="M2198" s="53"/>
      <c r="N2198" s="53"/>
      <c r="O2198" s="53"/>
      <c r="P2198" s="53"/>
      <c r="Q2198" s="53"/>
      <c r="R2198" s="53"/>
      <c r="S2198" s="53"/>
      <c r="T2198" s="53"/>
      <c r="U2198" s="53"/>
      <c r="V2198" s="53"/>
    </row>
    <row r="2199">
      <c r="A2199" s="83"/>
      <c r="B2199" s="53"/>
      <c r="C2199" s="53"/>
      <c r="D2199" s="53"/>
      <c r="E2199" s="240"/>
      <c r="F2199" s="241"/>
      <c r="G2199" s="53"/>
      <c r="H2199" s="53"/>
      <c r="I2199" s="53"/>
      <c r="J2199" s="53"/>
      <c r="K2199" s="53"/>
      <c r="L2199" s="53"/>
      <c r="M2199" s="53"/>
      <c r="N2199" s="53"/>
      <c r="O2199" s="53"/>
      <c r="P2199" s="53"/>
      <c r="Q2199" s="53"/>
      <c r="R2199" s="53"/>
      <c r="S2199" s="53"/>
      <c r="T2199" s="53"/>
      <c r="U2199" s="53"/>
      <c r="V2199" s="53"/>
    </row>
    <row r="2200">
      <c r="A2200" s="83"/>
      <c r="B2200" s="53"/>
      <c r="C2200" s="53"/>
      <c r="D2200" s="53"/>
      <c r="E2200" s="240"/>
      <c r="F2200" s="241"/>
      <c r="G2200" s="53"/>
      <c r="H2200" s="53"/>
      <c r="I2200" s="53"/>
      <c r="J2200" s="53"/>
      <c r="K2200" s="53"/>
      <c r="L2200" s="53"/>
      <c r="M2200" s="53"/>
      <c r="N2200" s="53"/>
      <c r="O2200" s="53"/>
      <c r="P2200" s="53"/>
      <c r="Q2200" s="53"/>
      <c r="R2200" s="53"/>
      <c r="S2200" s="53"/>
      <c r="T2200" s="53"/>
      <c r="U2200" s="53"/>
      <c r="V2200" s="53"/>
    </row>
    <row r="2201">
      <c r="A2201" s="83"/>
      <c r="B2201" s="53"/>
      <c r="C2201" s="53"/>
      <c r="D2201" s="53"/>
      <c r="E2201" s="240"/>
      <c r="F2201" s="241"/>
      <c r="G2201" s="53"/>
      <c r="H2201" s="53"/>
      <c r="I2201" s="53"/>
      <c r="J2201" s="53"/>
      <c r="K2201" s="53"/>
      <c r="L2201" s="53"/>
      <c r="M2201" s="53"/>
      <c r="N2201" s="53"/>
      <c r="O2201" s="53"/>
      <c r="P2201" s="53"/>
      <c r="Q2201" s="53"/>
      <c r="R2201" s="53"/>
      <c r="S2201" s="53"/>
      <c r="T2201" s="53"/>
      <c r="U2201" s="53"/>
      <c r="V2201" s="53"/>
    </row>
    <row r="2202">
      <c r="A2202" s="83"/>
      <c r="B2202" s="53"/>
      <c r="C2202" s="53"/>
      <c r="D2202" s="53"/>
      <c r="E2202" s="240"/>
      <c r="F2202" s="241"/>
      <c r="G2202" s="53"/>
      <c r="H2202" s="53"/>
      <c r="I2202" s="53"/>
      <c r="J2202" s="53"/>
      <c r="K2202" s="53"/>
      <c r="L2202" s="53"/>
      <c r="M2202" s="53"/>
      <c r="N2202" s="53"/>
      <c r="O2202" s="53"/>
      <c r="P2202" s="53"/>
      <c r="Q2202" s="53"/>
      <c r="R2202" s="53"/>
      <c r="S2202" s="53"/>
      <c r="T2202" s="53"/>
      <c r="U2202" s="53"/>
      <c r="V2202" s="53"/>
    </row>
    <row r="2203">
      <c r="A2203" s="83"/>
      <c r="B2203" s="53"/>
      <c r="C2203" s="53"/>
      <c r="D2203" s="53"/>
      <c r="E2203" s="240"/>
      <c r="F2203" s="241"/>
      <c r="G2203" s="53"/>
      <c r="H2203" s="53"/>
      <c r="I2203" s="53"/>
      <c r="J2203" s="53"/>
      <c r="K2203" s="53"/>
      <c r="L2203" s="53"/>
      <c r="M2203" s="53"/>
      <c r="N2203" s="53"/>
      <c r="O2203" s="53"/>
      <c r="P2203" s="53"/>
      <c r="Q2203" s="53"/>
      <c r="R2203" s="53"/>
      <c r="S2203" s="53"/>
      <c r="T2203" s="53"/>
      <c r="U2203" s="53"/>
      <c r="V2203" s="53"/>
    </row>
    <row r="2204">
      <c r="A2204" s="83"/>
      <c r="B2204" s="53"/>
      <c r="C2204" s="53"/>
      <c r="D2204" s="53"/>
      <c r="E2204" s="240"/>
      <c r="F2204" s="241"/>
      <c r="G2204" s="53"/>
      <c r="H2204" s="53"/>
      <c r="I2204" s="53"/>
      <c r="J2204" s="53"/>
      <c r="K2204" s="53"/>
      <c r="L2204" s="53"/>
      <c r="M2204" s="53"/>
      <c r="N2204" s="53"/>
      <c r="O2204" s="53"/>
      <c r="P2204" s="53"/>
      <c r="Q2204" s="53"/>
      <c r="R2204" s="53"/>
      <c r="S2204" s="53"/>
      <c r="T2204" s="53"/>
      <c r="U2204" s="53"/>
      <c r="V2204" s="53"/>
    </row>
    <row r="2205">
      <c r="A2205" s="83"/>
      <c r="B2205" s="53"/>
      <c r="C2205" s="53"/>
      <c r="D2205" s="53"/>
      <c r="E2205" s="240"/>
      <c r="F2205" s="241"/>
      <c r="G2205" s="53"/>
      <c r="H2205" s="53"/>
      <c r="I2205" s="53"/>
      <c r="J2205" s="53"/>
      <c r="K2205" s="53"/>
      <c r="L2205" s="53"/>
      <c r="M2205" s="53"/>
      <c r="N2205" s="53"/>
      <c r="O2205" s="53"/>
      <c r="P2205" s="53"/>
      <c r="Q2205" s="53"/>
      <c r="R2205" s="53"/>
      <c r="S2205" s="53"/>
      <c r="T2205" s="53"/>
      <c r="U2205" s="53"/>
      <c r="V2205" s="53"/>
    </row>
    <row r="2206">
      <c r="A2206" s="83"/>
      <c r="B2206" s="53"/>
      <c r="C2206" s="53"/>
      <c r="D2206" s="53"/>
      <c r="E2206" s="240"/>
      <c r="F2206" s="241"/>
      <c r="G2206" s="53"/>
      <c r="H2206" s="53"/>
      <c r="I2206" s="53"/>
      <c r="J2206" s="53"/>
      <c r="K2206" s="53"/>
      <c r="L2206" s="53"/>
      <c r="M2206" s="53"/>
      <c r="N2206" s="53"/>
      <c r="O2206" s="53"/>
      <c r="P2206" s="53"/>
      <c r="Q2206" s="53"/>
      <c r="R2206" s="53"/>
      <c r="S2206" s="53"/>
      <c r="T2206" s="53"/>
      <c r="U2206" s="53"/>
      <c r="V2206" s="53"/>
    </row>
    <row r="2207">
      <c r="A2207" s="83"/>
      <c r="B2207" s="53"/>
      <c r="C2207" s="53"/>
      <c r="D2207" s="53"/>
      <c r="E2207" s="240"/>
      <c r="F2207" s="241"/>
      <c r="G2207" s="53"/>
      <c r="H2207" s="53"/>
      <c r="I2207" s="53"/>
      <c r="J2207" s="53"/>
      <c r="K2207" s="53"/>
      <c r="L2207" s="53"/>
      <c r="M2207" s="53"/>
      <c r="N2207" s="53"/>
      <c r="O2207" s="53"/>
      <c r="P2207" s="53"/>
      <c r="Q2207" s="53"/>
      <c r="R2207" s="53"/>
      <c r="S2207" s="53"/>
      <c r="T2207" s="53"/>
      <c r="U2207" s="53"/>
      <c r="V2207" s="53"/>
    </row>
    <row r="2208">
      <c r="A2208" s="83"/>
      <c r="B2208" s="53"/>
      <c r="C2208" s="53"/>
      <c r="D2208" s="53"/>
      <c r="E2208" s="240"/>
      <c r="F2208" s="241"/>
      <c r="G2208" s="53"/>
      <c r="H2208" s="53"/>
      <c r="I2208" s="53"/>
      <c r="J2208" s="53"/>
      <c r="K2208" s="53"/>
      <c r="L2208" s="53"/>
      <c r="M2208" s="53"/>
      <c r="N2208" s="53"/>
      <c r="O2208" s="53"/>
      <c r="P2208" s="53"/>
      <c r="Q2208" s="53"/>
      <c r="R2208" s="53"/>
      <c r="S2208" s="53"/>
      <c r="T2208" s="53"/>
      <c r="U2208" s="53"/>
      <c r="V2208" s="53"/>
    </row>
    <row r="2209">
      <c r="A2209" s="83"/>
      <c r="B2209" s="53"/>
      <c r="C2209" s="53"/>
      <c r="D2209" s="53"/>
      <c r="E2209" s="240"/>
      <c r="F2209" s="241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</row>
    <row r="2210">
      <c r="A2210" s="83"/>
      <c r="B2210" s="53"/>
      <c r="C2210" s="53"/>
      <c r="D2210" s="53"/>
      <c r="E2210" s="240"/>
      <c r="F2210" s="241"/>
      <c r="G2210" s="53"/>
      <c r="H2210" s="53"/>
      <c r="I2210" s="53"/>
      <c r="J2210" s="53"/>
      <c r="K2210" s="53"/>
      <c r="L2210" s="53"/>
      <c r="M2210" s="53"/>
      <c r="N2210" s="53"/>
      <c r="O2210" s="53"/>
      <c r="P2210" s="53"/>
      <c r="Q2210" s="53"/>
      <c r="R2210" s="53"/>
      <c r="S2210" s="53"/>
      <c r="T2210" s="53"/>
      <c r="U2210" s="53"/>
      <c r="V2210" s="53"/>
    </row>
    <row r="2211">
      <c r="A2211" s="83"/>
      <c r="B2211" s="53"/>
      <c r="C2211" s="53"/>
      <c r="D2211" s="53"/>
      <c r="E2211" s="240"/>
      <c r="F2211" s="241"/>
      <c r="G2211" s="53"/>
      <c r="H2211" s="53"/>
      <c r="I2211" s="53"/>
      <c r="J2211" s="53"/>
      <c r="K2211" s="53"/>
      <c r="L2211" s="53"/>
      <c r="M2211" s="53"/>
      <c r="N2211" s="53"/>
      <c r="O2211" s="53"/>
      <c r="P2211" s="53"/>
      <c r="Q2211" s="53"/>
      <c r="R2211" s="53"/>
      <c r="S2211" s="53"/>
      <c r="T2211" s="53"/>
      <c r="U2211" s="53"/>
      <c r="V2211" s="53"/>
    </row>
    <row r="2212">
      <c r="A2212" s="83"/>
      <c r="B2212" s="53"/>
      <c r="C2212" s="53"/>
      <c r="D2212" s="53"/>
      <c r="E2212" s="240"/>
      <c r="F2212" s="241"/>
      <c r="G2212" s="53"/>
      <c r="H2212" s="53"/>
      <c r="I2212" s="53"/>
      <c r="J2212" s="53"/>
      <c r="K2212" s="53"/>
      <c r="L2212" s="53"/>
      <c r="M2212" s="53"/>
      <c r="N2212" s="53"/>
      <c r="O2212" s="53"/>
      <c r="P2212" s="53"/>
      <c r="Q2212" s="53"/>
      <c r="R2212" s="53"/>
      <c r="S2212" s="53"/>
      <c r="T2212" s="53"/>
      <c r="U2212" s="53"/>
      <c r="V2212" s="53"/>
    </row>
    <row r="2213">
      <c r="A2213" s="83"/>
      <c r="B2213" s="53"/>
      <c r="C2213" s="53"/>
      <c r="D2213" s="53"/>
      <c r="E2213" s="240"/>
      <c r="F2213" s="241"/>
      <c r="G2213" s="53"/>
      <c r="H2213" s="53"/>
      <c r="I2213" s="53"/>
      <c r="J2213" s="53"/>
      <c r="K2213" s="53"/>
      <c r="L2213" s="53"/>
      <c r="M2213" s="53"/>
      <c r="N2213" s="53"/>
      <c r="O2213" s="53"/>
      <c r="P2213" s="53"/>
      <c r="Q2213" s="53"/>
      <c r="R2213" s="53"/>
      <c r="S2213" s="53"/>
      <c r="T2213" s="53"/>
      <c r="U2213" s="53"/>
      <c r="V2213" s="53"/>
    </row>
    <row r="2214">
      <c r="A2214" s="83"/>
      <c r="B2214" s="53"/>
      <c r="C2214" s="53"/>
      <c r="D2214" s="53"/>
      <c r="E2214" s="240"/>
      <c r="F2214" s="241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53"/>
      <c r="T2214" s="53"/>
      <c r="U2214" s="53"/>
      <c r="V2214" s="53"/>
    </row>
    <row r="2215">
      <c r="A2215" s="83"/>
      <c r="B2215" s="53"/>
      <c r="C2215" s="53"/>
      <c r="D2215" s="53"/>
      <c r="E2215" s="240"/>
      <c r="F2215" s="241"/>
      <c r="G2215" s="53"/>
      <c r="H2215" s="53"/>
      <c r="I2215" s="53"/>
      <c r="J2215" s="53"/>
      <c r="K2215" s="53"/>
      <c r="L2215" s="53"/>
      <c r="M2215" s="53"/>
      <c r="N2215" s="53"/>
      <c r="O2215" s="53"/>
      <c r="P2215" s="53"/>
      <c r="Q2215" s="53"/>
      <c r="R2215" s="53"/>
      <c r="S2215" s="53"/>
      <c r="T2215" s="53"/>
      <c r="U2215" s="53"/>
      <c r="V2215" s="53"/>
    </row>
    <row r="2216">
      <c r="A2216" s="83"/>
      <c r="B2216" s="53"/>
      <c r="C2216" s="53"/>
      <c r="D2216" s="53"/>
      <c r="E2216" s="240"/>
      <c r="F2216" s="241"/>
      <c r="G2216" s="53"/>
      <c r="H2216" s="53"/>
      <c r="I2216" s="53"/>
      <c r="J2216" s="53"/>
      <c r="K2216" s="53"/>
      <c r="L2216" s="53"/>
      <c r="M2216" s="53"/>
      <c r="N2216" s="53"/>
      <c r="O2216" s="53"/>
      <c r="P2216" s="53"/>
      <c r="Q2216" s="53"/>
      <c r="R2216" s="53"/>
      <c r="S2216" s="53"/>
      <c r="T2216" s="53"/>
      <c r="U2216" s="53"/>
      <c r="V2216" s="53"/>
    </row>
    <row r="2217">
      <c r="A2217" s="83"/>
      <c r="B2217" s="53"/>
      <c r="C2217" s="53"/>
      <c r="D2217" s="53"/>
      <c r="E2217" s="240"/>
      <c r="F2217" s="241"/>
      <c r="G2217" s="53"/>
      <c r="H2217" s="53"/>
      <c r="I2217" s="53"/>
      <c r="J2217" s="53"/>
      <c r="K2217" s="53"/>
      <c r="L2217" s="53"/>
      <c r="M2217" s="53"/>
      <c r="N2217" s="53"/>
      <c r="O2217" s="53"/>
      <c r="P2217" s="53"/>
      <c r="Q2217" s="53"/>
      <c r="R2217" s="53"/>
      <c r="S2217" s="53"/>
      <c r="T2217" s="53"/>
      <c r="U2217" s="53"/>
      <c r="V2217" s="53"/>
    </row>
    <row r="2218">
      <c r="A2218" s="83"/>
      <c r="B2218" s="53"/>
      <c r="C2218" s="53"/>
      <c r="D2218" s="53"/>
      <c r="E2218" s="240"/>
      <c r="F2218" s="241"/>
      <c r="G2218" s="53"/>
      <c r="H2218" s="53"/>
      <c r="I2218" s="53"/>
      <c r="J2218" s="53"/>
      <c r="K2218" s="53"/>
      <c r="L2218" s="53"/>
      <c r="M2218" s="53"/>
      <c r="N2218" s="53"/>
      <c r="O2218" s="53"/>
      <c r="P2218" s="53"/>
      <c r="Q2218" s="53"/>
      <c r="R2218" s="53"/>
      <c r="S2218" s="53"/>
      <c r="T2218" s="53"/>
      <c r="U2218" s="53"/>
      <c r="V2218" s="53"/>
    </row>
    <row r="2219">
      <c r="A2219" s="83"/>
      <c r="B2219" s="53"/>
      <c r="C2219" s="53"/>
      <c r="D2219" s="53"/>
      <c r="E2219" s="240"/>
      <c r="F2219" s="241"/>
      <c r="G2219" s="53"/>
      <c r="H2219" s="53"/>
      <c r="I2219" s="53"/>
      <c r="J2219" s="53"/>
      <c r="K2219" s="53"/>
      <c r="L2219" s="53"/>
      <c r="M2219" s="53"/>
      <c r="N2219" s="53"/>
      <c r="O2219" s="53"/>
      <c r="P2219" s="53"/>
      <c r="Q2219" s="53"/>
      <c r="R2219" s="53"/>
      <c r="S2219" s="53"/>
      <c r="T2219" s="53"/>
      <c r="U2219" s="53"/>
      <c r="V2219" s="53"/>
    </row>
    <row r="2220">
      <c r="A2220" s="83"/>
      <c r="B2220" s="53"/>
      <c r="C2220" s="53"/>
      <c r="D2220" s="53"/>
      <c r="E2220" s="240"/>
      <c r="F2220" s="241"/>
      <c r="G2220" s="53"/>
      <c r="H2220" s="53"/>
      <c r="I2220" s="53"/>
      <c r="J2220" s="53"/>
      <c r="K2220" s="53"/>
      <c r="L2220" s="53"/>
      <c r="M2220" s="53"/>
      <c r="N2220" s="53"/>
      <c r="O2220" s="53"/>
      <c r="P2220" s="53"/>
      <c r="Q2220" s="53"/>
      <c r="R2220" s="53"/>
      <c r="S2220" s="53"/>
      <c r="T2220" s="53"/>
      <c r="U2220" s="53"/>
      <c r="V2220" s="53"/>
    </row>
    <row r="2221">
      <c r="A2221" s="83"/>
      <c r="B2221" s="53"/>
      <c r="C2221" s="53"/>
      <c r="D2221" s="53"/>
      <c r="E2221" s="240"/>
      <c r="F2221" s="241"/>
      <c r="G2221" s="53"/>
      <c r="H2221" s="53"/>
      <c r="I2221" s="53"/>
      <c r="J2221" s="53"/>
      <c r="K2221" s="53"/>
      <c r="L2221" s="53"/>
      <c r="M2221" s="53"/>
      <c r="N2221" s="53"/>
      <c r="O2221" s="53"/>
      <c r="P2221" s="53"/>
      <c r="Q2221" s="53"/>
      <c r="R2221" s="53"/>
      <c r="S2221" s="53"/>
      <c r="T2221" s="53"/>
      <c r="U2221" s="53"/>
      <c r="V2221" s="53"/>
    </row>
    <row r="2222">
      <c r="A2222" s="83"/>
      <c r="B2222" s="53"/>
      <c r="C2222" s="53"/>
      <c r="D2222" s="53"/>
      <c r="E2222" s="240"/>
      <c r="F2222" s="241"/>
      <c r="G2222" s="53"/>
      <c r="H2222" s="53"/>
      <c r="I2222" s="53"/>
      <c r="J2222" s="53"/>
      <c r="K2222" s="53"/>
      <c r="L2222" s="53"/>
      <c r="M2222" s="53"/>
      <c r="N2222" s="53"/>
      <c r="O2222" s="53"/>
      <c r="P2222" s="53"/>
      <c r="Q2222" s="53"/>
      <c r="R2222" s="53"/>
      <c r="S2222" s="53"/>
      <c r="T2222" s="53"/>
      <c r="U2222" s="53"/>
      <c r="V2222" s="53"/>
    </row>
    <row r="2223">
      <c r="A2223" s="83"/>
      <c r="B2223" s="53"/>
      <c r="C2223" s="53"/>
      <c r="D2223" s="53"/>
      <c r="E2223" s="240"/>
      <c r="F2223" s="241"/>
      <c r="G2223" s="53"/>
      <c r="H2223" s="53"/>
      <c r="I2223" s="53"/>
      <c r="J2223" s="53"/>
      <c r="K2223" s="53"/>
      <c r="L2223" s="53"/>
      <c r="M2223" s="53"/>
      <c r="N2223" s="53"/>
      <c r="O2223" s="53"/>
      <c r="P2223" s="53"/>
      <c r="Q2223" s="53"/>
      <c r="R2223" s="53"/>
      <c r="S2223" s="53"/>
      <c r="T2223" s="53"/>
      <c r="U2223" s="53"/>
      <c r="V2223" s="53"/>
    </row>
    <row r="2224">
      <c r="A2224" s="83"/>
      <c r="B2224" s="53"/>
      <c r="C2224" s="53"/>
      <c r="D2224" s="53"/>
      <c r="E2224" s="240"/>
      <c r="F2224" s="241"/>
      <c r="G2224" s="53"/>
      <c r="H2224" s="53"/>
      <c r="I2224" s="53"/>
      <c r="J2224" s="53"/>
      <c r="K2224" s="53"/>
      <c r="L2224" s="53"/>
      <c r="M2224" s="53"/>
      <c r="N2224" s="53"/>
      <c r="O2224" s="53"/>
      <c r="P2224" s="53"/>
      <c r="Q2224" s="53"/>
      <c r="R2224" s="53"/>
      <c r="S2224" s="53"/>
      <c r="T2224" s="53"/>
      <c r="U2224" s="53"/>
      <c r="V2224" s="53"/>
    </row>
    <row r="2225">
      <c r="A2225" s="83"/>
      <c r="B2225" s="53"/>
      <c r="C2225" s="53"/>
      <c r="D2225" s="53"/>
      <c r="E2225" s="240"/>
      <c r="F2225" s="241"/>
      <c r="G2225" s="53"/>
      <c r="H2225" s="53"/>
      <c r="I2225" s="53"/>
      <c r="J2225" s="53"/>
      <c r="K2225" s="53"/>
      <c r="L2225" s="53"/>
      <c r="M2225" s="53"/>
      <c r="N2225" s="53"/>
      <c r="O2225" s="53"/>
      <c r="P2225" s="53"/>
      <c r="Q2225" s="53"/>
      <c r="R2225" s="53"/>
      <c r="S2225" s="53"/>
      <c r="T2225" s="53"/>
      <c r="U2225" s="53"/>
      <c r="V2225" s="53"/>
    </row>
    <row r="2226">
      <c r="A2226" s="83"/>
      <c r="B2226" s="53"/>
      <c r="C2226" s="53"/>
      <c r="D2226" s="53"/>
      <c r="E2226" s="240"/>
      <c r="F2226" s="241"/>
      <c r="G2226" s="53"/>
      <c r="H2226" s="53"/>
      <c r="I2226" s="53"/>
      <c r="J2226" s="53"/>
      <c r="K2226" s="53"/>
      <c r="L2226" s="53"/>
      <c r="M2226" s="53"/>
      <c r="N2226" s="53"/>
      <c r="O2226" s="53"/>
      <c r="P2226" s="53"/>
      <c r="Q2226" s="53"/>
      <c r="R2226" s="53"/>
      <c r="S2226" s="53"/>
      <c r="T2226" s="53"/>
      <c r="U2226" s="53"/>
      <c r="V2226" s="53"/>
    </row>
    <row r="2227">
      <c r="A2227" s="83"/>
      <c r="B2227" s="53"/>
      <c r="C2227" s="53"/>
      <c r="D2227" s="53"/>
      <c r="E2227" s="240"/>
      <c r="F2227" s="241"/>
      <c r="G2227" s="53"/>
      <c r="H2227" s="53"/>
      <c r="I2227" s="53"/>
      <c r="J2227" s="53"/>
      <c r="K2227" s="53"/>
      <c r="L2227" s="53"/>
      <c r="M2227" s="53"/>
      <c r="N2227" s="53"/>
      <c r="O2227" s="53"/>
      <c r="P2227" s="53"/>
      <c r="Q2227" s="53"/>
      <c r="R2227" s="53"/>
      <c r="S2227" s="53"/>
      <c r="T2227" s="53"/>
      <c r="U2227" s="53"/>
      <c r="V2227" s="53"/>
    </row>
    <row r="2228">
      <c r="A2228" s="83"/>
      <c r="B2228" s="53"/>
      <c r="C2228" s="53"/>
      <c r="D2228" s="53"/>
      <c r="E2228" s="240"/>
      <c r="F2228" s="241"/>
      <c r="G2228" s="53"/>
      <c r="H2228" s="53"/>
      <c r="I2228" s="53"/>
      <c r="J2228" s="53"/>
      <c r="K2228" s="53"/>
      <c r="L2228" s="53"/>
      <c r="M2228" s="53"/>
      <c r="N2228" s="53"/>
      <c r="O2228" s="53"/>
      <c r="P2228" s="53"/>
      <c r="Q2228" s="53"/>
      <c r="R2228" s="53"/>
      <c r="S2228" s="53"/>
      <c r="T2228" s="53"/>
      <c r="U2228" s="53"/>
      <c r="V2228" s="53"/>
    </row>
    <row r="2229">
      <c r="A2229" s="83"/>
      <c r="B2229" s="53"/>
      <c r="C2229" s="53"/>
      <c r="D2229" s="53"/>
      <c r="E2229" s="240"/>
      <c r="F2229" s="241"/>
      <c r="G2229" s="53"/>
      <c r="H2229" s="53"/>
      <c r="I2229" s="53"/>
      <c r="J2229" s="53"/>
      <c r="K2229" s="53"/>
      <c r="L2229" s="53"/>
      <c r="M2229" s="53"/>
      <c r="N2229" s="53"/>
      <c r="O2229" s="53"/>
      <c r="P2229" s="53"/>
      <c r="Q2229" s="53"/>
      <c r="R2229" s="53"/>
      <c r="S2229" s="53"/>
      <c r="T2229" s="53"/>
      <c r="U2229" s="53"/>
      <c r="V2229" s="53"/>
    </row>
    <row r="2230">
      <c r="A2230" s="83"/>
      <c r="B2230" s="53"/>
      <c r="C2230" s="53"/>
      <c r="D2230" s="53"/>
      <c r="E2230" s="240"/>
      <c r="F2230" s="241"/>
      <c r="G2230" s="53"/>
      <c r="H2230" s="53"/>
      <c r="I2230" s="53"/>
      <c r="J2230" s="53"/>
      <c r="K2230" s="53"/>
      <c r="L2230" s="53"/>
      <c r="M2230" s="53"/>
      <c r="N2230" s="53"/>
      <c r="O2230" s="53"/>
      <c r="P2230" s="53"/>
      <c r="Q2230" s="53"/>
      <c r="R2230" s="53"/>
      <c r="S2230" s="53"/>
      <c r="T2230" s="53"/>
      <c r="U2230" s="53"/>
      <c r="V2230" s="53"/>
    </row>
    <row r="2231">
      <c r="A2231" s="83"/>
      <c r="B2231" s="53"/>
      <c r="C2231" s="53"/>
      <c r="D2231" s="53"/>
      <c r="E2231" s="240"/>
      <c r="F2231" s="241"/>
      <c r="G2231" s="53"/>
      <c r="H2231" s="53"/>
      <c r="I2231" s="53"/>
      <c r="J2231" s="53"/>
      <c r="K2231" s="53"/>
      <c r="L2231" s="53"/>
      <c r="M2231" s="53"/>
      <c r="N2231" s="53"/>
      <c r="O2231" s="53"/>
      <c r="P2231" s="53"/>
      <c r="Q2231" s="53"/>
      <c r="R2231" s="53"/>
      <c r="S2231" s="53"/>
      <c r="T2231" s="53"/>
      <c r="U2231" s="53"/>
      <c r="V2231" s="53"/>
    </row>
    <row r="2232">
      <c r="A2232" s="83"/>
      <c r="B2232" s="53"/>
      <c r="C2232" s="53"/>
      <c r="D2232" s="53"/>
      <c r="E2232" s="240"/>
      <c r="F2232" s="241"/>
      <c r="G2232" s="53"/>
      <c r="H2232" s="53"/>
      <c r="I2232" s="53"/>
      <c r="J2232" s="53"/>
      <c r="K2232" s="53"/>
      <c r="L2232" s="53"/>
      <c r="M2232" s="53"/>
      <c r="N2232" s="53"/>
      <c r="O2232" s="53"/>
      <c r="P2232" s="53"/>
      <c r="Q2232" s="53"/>
      <c r="R2232" s="53"/>
      <c r="S2232" s="53"/>
      <c r="T2232" s="53"/>
      <c r="U2232" s="53"/>
      <c r="V2232" s="53"/>
    </row>
    <row r="2233">
      <c r="A2233" s="83"/>
      <c r="B2233" s="53"/>
      <c r="C2233" s="53"/>
      <c r="D2233" s="53"/>
      <c r="E2233" s="240"/>
      <c r="F2233" s="241"/>
      <c r="G2233" s="53"/>
      <c r="H2233" s="53"/>
      <c r="I2233" s="53"/>
      <c r="J2233" s="53"/>
      <c r="K2233" s="53"/>
      <c r="L2233" s="53"/>
      <c r="M2233" s="53"/>
      <c r="N2233" s="53"/>
      <c r="O2233" s="53"/>
      <c r="P2233" s="53"/>
      <c r="Q2233" s="53"/>
      <c r="R2233" s="53"/>
      <c r="S2233" s="53"/>
      <c r="T2233" s="53"/>
      <c r="U2233" s="53"/>
      <c r="V2233" s="53"/>
    </row>
    <row r="2234">
      <c r="A2234" s="83"/>
      <c r="B2234" s="53"/>
      <c r="C2234" s="53"/>
      <c r="D2234" s="53"/>
      <c r="E2234" s="240"/>
      <c r="F2234" s="241"/>
      <c r="G2234" s="53"/>
      <c r="H2234" s="53"/>
      <c r="I2234" s="53"/>
      <c r="J2234" s="53"/>
      <c r="K2234" s="53"/>
      <c r="L2234" s="53"/>
      <c r="M2234" s="53"/>
      <c r="N2234" s="53"/>
      <c r="O2234" s="53"/>
      <c r="P2234" s="53"/>
      <c r="Q2234" s="53"/>
      <c r="R2234" s="53"/>
      <c r="S2234" s="53"/>
      <c r="T2234" s="53"/>
      <c r="U2234" s="53"/>
      <c r="V2234" s="53"/>
    </row>
    <row r="2235">
      <c r="A2235" s="83"/>
      <c r="B2235" s="53"/>
      <c r="C2235" s="53"/>
      <c r="D2235" s="53"/>
      <c r="E2235" s="240"/>
      <c r="F2235" s="241"/>
      <c r="G2235" s="53"/>
      <c r="H2235" s="53"/>
      <c r="I2235" s="53"/>
      <c r="J2235" s="53"/>
      <c r="K2235" s="53"/>
      <c r="L2235" s="53"/>
      <c r="M2235" s="53"/>
      <c r="N2235" s="53"/>
      <c r="O2235" s="53"/>
      <c r="P2235" s="53"/>
      <c r="Q2235" s="53"/>
      <c r="R2235" s="53"/>
      <c r="S2235" s="53"/>
      <c r="T2235" s="53"/>
      <c r="U2235" s="53"/>
      <c r="V2235" s="53"/>
    </row>
    <row r="2236">
      <c r="A2236" s="83"/>
      <c r="B2236" s="53"/>
      <c r="C2236" s="53"/>
      <c r="D2236" s="53"/>
      <c r="E2236" s="240"/>
      <c r="F2236" s="241"/>
      <c r="G2236" s="53"/>
      <c r="H2236" s="53"/>
      <c r="I2236" s="53"/>
      <c r="J2236" s="53"/>
      <c r="K2236" s="53"/>
      <c r="L2236" s="53"/>
      <c r="M2236" s="53"/>
      <c r="N2236" s="53"/>
      <c r="O2236" s="53"/>
      <c r="P2236" s="53"/>
      <c r="Q2236" s="53"/>
      <c r="R2236" s="53"/>
      <c r="S2236" s="53"/>
      <c r="T2236" s="53"/>
      <c r="U2236" s="53"/>
      <c r="V2236" s="53"/>
    </row>
    <row r="2237">
      <c r="A2237" s="83"/>
      <c r="B2237" s="53"/>
      <c r="C2237" s="53"/>
      <c r="D2237" s="53"/>
      <c r="E2237" s="240"/>
      <c r="F2237" s="241"/>
      <c r="G2237" s="53"/>
      <c r="H2237" s="53"/>
      <c r="I2237" s="53"/>
      <c r="J2237" s="53"/>
      <c r="K2237" s="53"/>
      <c r="L2237" s="53"/>
      <c r="M2237" s="53"/>
      <c r="N2237" s="53"/>
      <c r="O2237" s="53"/>
      <c r="P2237" s="53"/>
      <c r="Q2237" s="53"/>
      <c r="R2237" s="53"/>
      <c r="S2237" s="53"/>
      <c r="T2237" s="53"/>
      <c r="U2237" s="53"/>
      <c r="V2237" s="53"/>
    </row>
    <row r="2238">
      <c r="A2238" s="83"/>
      <c r="B2238" s="53"/>
      <c r="C2238" s="53"/>
      <c r="D2238" s="53"/>
      <c r="E2238" s="240"/>
      <c r="F2238" s="241"/>
      <c r="G2238" s="53"/>
      <c r="H2238" s="53"/>
      <c r="I2238" s="53"/>
      <c r="J2238" s="53"/>
      <c r="K2238" s="53"/>
      <c r="L2238" s="53"/>
      <c r="M2238" s="53"/>
      <c r="N2238" s="53"/>
      <c r="O2238" s="53"/>
      <c r="P2238" s="53"/>
      <c r="Q2238" s="53"/>
      <c r="R2238" s="53"/>
      <c r="S2238" s="53"/>
      <c r="T2238" s="53"/>
      <c r="U2238" s="53"/>
      <c r="V2238" s="53"/>
    </row>
    <row r="2239">
      <c r="A2239" s="83"/>
      <c r="B2239" s="53"/>
      <c r="C2239" s="53"/>
      <c r="D2239" s="53"/>
      <c r="E2239" s="240"/>
      <c r="F2239" s="241"/>
      <c r="G2239" s="53"/>
      <c r="H2239" s="53"/>
      <c r="I2239" s="53"/>
      <c r="J2239" s="53"/>
      <c r="K2239" s="53"/>
      <c r="L2239" s="53"/>
      <c r="M2239" s="53"/>
      <c r="N2239" s="53"/>
      <c r="O2239" s="53"/>
      <c r="P2239" s="53"/>
      <c r="Q2239" s="53"/>
      <c r="R2239" s="53"/>
      <c r="S2239" s="53"/>
      <c r="T2239" s="53"/>
      <c r="U2239" s="53"/>
      <c r="V2239" s="53"/>
    </row>
    <row r="2240">
      <c r="A2240" s="83"/>
      <c r="B2240" s="53"/>
      <c r="C2240" s="53"/>
      <c r="D2240" s="53"/>
      <c r="E2240" s="240"/>
      <c r="F2240" s="241"/>
      <c r="G2240" s="53"/>
      <c r="H2240" s="53"/>
      <c r="I2240" s="53"/>
      <c r="J2240" s="53"/>
      <c r="K2240" s="53"/>
      <c r="L2240" s="53"/>
      <c r="M2240" s="53"/>
      <c r="N2240" s="53"/>
      <c r="O2240" s="53"/>
      <c r="P2240" s="53"/>
      <c r="Q2240" s="53"/>
      <c r="R2240" s="53"/>
      <c r="S2240" s="53"/>
      <c r="T2240" s="53"/>
      <c r="U2240" s="53"/>
      <c r="V2240" s="53"/>
    </row>
    <row r="2241">
      <c r="A2241" s="83"/>
      <c r="B2241" s="53"/>
      <c r="C2241" s="53"/>
      <c r="D2241" s="53"/>
      <c r="E2241" s="240"/>
      <c r="F2241" s="241"/>
      <c r="G2241" s="53"/>
      <c r="H2241" s="53"/>
      <c r="I2241" s="53"/>
      <c r="J2241" s="53"/>
      <c r="K2241" s="53"/>
      <c r="L2241" s="53"/>
      <c r="M2241" s="53"/>
      <c r="N2241" s="53"/>
      <c r="O2241" s="53"/>
      <c r="P2241" s="53"/>
      <c r="Q2241" s="53"/>
      <c r="R2241" s="53"/>
      <c r="S2241" s="53"/>
      <c r="T2241" s="53"/>
      <c r="U2241" s="53"/>
      <c r="V2241" s="53"/>
    </row>
    <row r="2242">
      <c r="A2242" s="83"/>
      <c r="B2242" s="53"/>
      <c r="C2242" s="53"/>
      <c r="D2242" s="53"/>
      <c r="E2242" s="240"/>
      <c r="F2242" s="241"/>
      <c r="G2242" s="53"/>
      <c r="H2242" s="53"/>
      <c r="I2242" s="53"/>
      <c r="J2242" s="53"/>
      <c r="K2242" s="53"/>
      <c r="L2242" s="53"/>
      <c r="M2242" s="53"/>
      <c r="N2242" s="53"/>
      <c r="O2242" s="53"/>
      <c r="P2242" s="53"/>
      <c r="Q2242" s="53"/>
      <c r="R2242" s="53"/>
      <c r="S2242" s="53"/>
      <c r="T2242" s="53"/>
      <c r="U2242" s="53"/>
      <c r="V2242" s="53"/>
    </row>
    <row r="2243">
      <c r="A2243" s="83"/>
      <c r="B2243" s="53"/>
      <c r="C2243" s="53"/>
      <c r="D2243" s="53"/>
      <c r="E2243" s="240"/>
      <c r="F2243" s="241"/>
      <c r="G2243" s="53"/>
      <c r="H2243" s="53"/>
      <c r="I2243" s="53"/>
      <c r="J2243" s="53"/>
      <c r="K2243" s="53"/>
      <c r="L2243" s="53"/>
      <c r="M2243" s="53"/>
      <c r="N2243" s="53"/>
      <c r="O2243" s="53"/>
      <c r="P2243" s="53"/>
      <c r="Q2243" s="53"/>
      <c r="R2243" s="53"/>
      <c r="S2243" s="53"/>
      <c r="T2243" s="53"/>
      <c r="U2243" s="53"/>
      <c r="V2243" s="53"/>
    </row>
    <row r="2244">
      <c r="A2244" s="83"/>
      <c r="B2244" s="53"/>
      <c r="C2244" s="53"/>
      <c r="D2244" s="53"/>
      <c r="E2244" s="240"/>
      <c r="F2244" s="241"/>
      <c r="G2244" s="53"/>
      <c r="H2244" s="53"/>
      <c r="I2244" s="53"/>
      <c r="J2244" s="53"/>
      <c r="K2244" s="53"/>
      <c r="L2244" s="53"/>
      <c r="M2244" s="53"/>
      <c r="N2244" s="53"/>
      <c r="O2244" s="53"/>
      <c r="P2244" s="53"/>
      <c r="Q2244" s="53"/>
      <c r="R2244" s="53"/>
      <c r="S2244" s="53"/>
      <c r="T2244" s="53"/>
      <c r="U2244" s="53"/>
      <c r="V2244" s="53"/>
    </row>
    <row r="2245">
      <c r="A2245" s="83"/>
      <c r="B2245" s="53"/>
      <c r="C2245" s="53"/>
      <c r="D2245" s="53"/>
      <c r="E2245" s="240"/>
      <c r="F2245" s="241"/>
      <c r="G2245" s="53"/>
      <c r="H2245" s="53"/>
      <c r="I2245" s="53"/>
      <c r="J2245" s="53"/>
      <c r="K2245" s="53"/>
      <c r="L2245" s="53"/>
      <c r="M2245" s="53"/>
      <c r="N2245" s="53"/>
      <c r="O2245" s="53"/>
      <c r="P2245" s="53"/>
      <c r="Q2245" s="53"/>
      <c r="R2245" s="53"/>
      <c r="S2245" s="53"/>
      <c r="T2245" s="53"/>
      <c r="U2245" s="53"/>
      <c r="V2245" s="53"/>
    </row>
    <row r="2246">
      <c r="A2246" s="83"/>
      <c r="B2246" s="53"/>
      <c r="C2246" s="53"/>
      <c r="D2246" s="53"/>
      <c r="E2246" s="240"/>
      <c r="F2246" s="241"/>
      <c r="G2246" s="53"/>
      <c r="H2246" s="53"/>
      <c r="I2246" s="53"/>
      <c r="J2246" s="53"/>
      <c r="K2246" s="53"/>
      <c r="L2246" s="53"/>
      <c r="M2246" s="53"/>
      <c r="N2246" s="53"/>
      <c r="O2246" s="53"/>
      <c r="P2246" s="53"/>
      <c r="Q2246" s="53"/>
      <c r="R2246" s="53"/>
      <c r="S2246" s="53"/>
      <c r="T2246" s="53"/>
      <c r="U2246" s="53"/>
      <c r="V2246" s="53"/>
    </row>
    <row r="2247">
      <c r="A2247" s="83"/>
      <c r="B2247" s="53"/>
      <c r="C2247" s="53"/>
      <c r="D2247" s="53"/>
      <c r="E2247" s="240"/>
      <c r="F2247" s="241"/>
      <c r="G2247" s="53"/>
      <c r="H2247" s="53"/>
      <c r="I2247" s="53"/>
      <c r="J2247" s="53"/>
      <c r="K2247" s="53"/>
      <c r="L2247" s="53"/>
      <c r="M2247" s="53"/>
      <c r="N2247" s="53"/>
      <c r="O2247" s="53"/>
      <c r="P2247" s="53"/>
      <c r="Q2247" s="53"/>
      <c r="R2247" s="53"/>
      <c r="S2247" s="53"/>
      <c r="T2247" s="53"/>
      <c r="U2247" s="53"/>
      <c r="V2247" s="53"/>
    </row>
    <row r="2248">
      <c r="A2248" s="83"/>
      <c r="B2248" s="53"/>
      <c r="C2248" s="53"/>
      <c r="D2248" s="53"/>
      <c r="E2248" s="240"/>
      <c r="F2248" s="241"/>
      <c r="G2248" s="53"/>
      <c r="H2248" s="53"/>
      <c r="I2248" s="53"/>
      <c r="J2248" s="53"/>
      <c r="K2248" s="53"/>
      <c r="L2248" s="53"/>
      <c r="M2248" s="53"/>
      <c r="N2248" s="53"/>
      <c r="O2248" s="53"/>
      <c r="P2248" s="53"/>
      <c r="Q2248" s="53"/>
      <c r="R2248" s="53"/>
      <c r="S2248" s="53"/>
      <c r="T2248" s="53"/>
      <c r="U2248" s="53"/>
      <c r="V2248" s="53"/>
    </row>
    <row r="2249">
      <c r="A2249" s="83"/>
      <c r="B2249" s="53"/>
      <c r="C2249" s="53"/>
      <c r="D2249" s="53"/>
      <c r="E2249" s="240"/>
      <c r="F2249" s="241"/>
      <c r="G2249" s="53"/>
      <c r="H2249" s="53"/>
      <c r="I2249" s="53"/>
      <c r="J2249" s="53"/>
      <c r="K2249" s="53"/>
      <c r="L2249" s="53"/>
      <c r="M2249" s="53"/>
      <c r="N2249" s="53"/>
      <c r="O2249" s="53"/>
      <c r="P2249" s="53"/>
      <c r="Q2249" s="53"/>
      <c r="R2249" s="53"/>
      <c r="S2249" s="53"/>
      <c r="T2249" s="53"/>
      <c r="U2249" s="53"/>
      <c r="V2249" s="53"/>
    </row>
    <row r="2250">
      <c r="A2250" s="83"/>
      <c r="B2250" s="53"/>
      <c r="C2250" s="53"/>
      <c r="D2250" s="53"/>
      <c r="E2250" s="240"/>
      <c r="F2250" s="241"/>
      <c r="G2250" s="53"/>
      <c r="H2250" s="53"/>
      <c r="I2250" s="53"/>
      <c r="J2250" s="53"/>
      <c r="K2250" s="53"/>
      <c r="L2250" s="53"/>
      <c r="M2250" s="53"/>
      <c r="N2250" s="53"/>
      <c r="O2250" s="53"/>
      <c r="P2250" s="53"/>
      <c r="Q2250" s="53"/>
      <c r="R2250" s="53"/>
      <c r="S2250" s="53"/>
      <c r="T2250" s="53"/>
      <c r="U2250" s="53"/>
      <c r="V2250" s="53"/>
    </row>
    <row r="2251">
      <c r="A2251" s="83"/>
      <c r="B2251" s="53"/>
      <c r="C2251" s="53"/>
      <c r="D2251" s="53"/>
      <c r="E2251" s="240"/>
      <c r="F2251" s="241"/>
      <c r="G2251" s="53"/>
      <c r="H2251" s="53"/>
      <c r="I2251" s="53"/>
      <c r="J2251" s="53"/>
      <c r="K2251" s="53"/>
      <c r="L2251" s="53"/>
      <c r="M2251" s="53"/>
      <c r="N2251" s="53"/>
      <c r="O2251" s="53"/>
      <c r="P2251" s="53"/>
      <c r="Q2251" s="53"/>
      <c r="R2251" s="53"/>
      <c r="S2251" s="53"/>
      <c r="T2251" s="53"/>
      <c r="U2251" s="53"/>
      <c r="V2251" s="53"/>
    </row>
    <row r="2252">
      <c r="A2252" s="83"/>
      <c r="B2252" s="53"/>
      <c r="C2252" s="53"/>
      <c r="D2252" s="53"/>
      <c r="E2252" s="240"/>
      <c r="F2252" s="241"/>
      <c r="G2252" s="53"/>
      <c r="H2252" s="53"/>
      <c r="I2252" s="53"/>
      <c r="J2252" s="53"/>
      <c r="K2252" s="53"/>
      <c r="L2252" s="53"/>
      <c r="M2252" s="53"/>
      <c r="N2252" s="53"/>
      <c r="O2252" s="53"/>
      <c r="P2252" s="53"/>
      <c r="Q2252" s="53"/>
      <c r="R2252" s="53"/>
      <c r="S2252" s="53"/>
      <c r="T2252" s="53"/>
      <c r="U2252" s="53"/>
      <c r="V2252" s="53"/>
    </row>
    <row r="2253">
      <c r="A2253" s="83"/>
      <c r="B2253" s="53"/>
      <c r="C2253" s="53"/>
      <c r="D2253" s="53"/>
      <c r="E2253" s="240"/>
      <c r="F2253" s="241"/>
      <c r="G2253" s="53"/>
      <c r="H2253" s="53"/>
      <c r="I2253" s="53"/>
      <c r="J2253" s="53"/>
      <c r="K2253" s="53"/>
      <c r="L2253" s="53"/>
      <c r="M2253" s="53"/>
      <c r="N2253" s="53"/>
      <c r="O2253" s="53"/>
      <c r="P2253" s="53"/>
      <c r="Q2253" s="53"/>
      <c r="R2253" s="53"/>
      <c r="S2253" s="53"/>
      <c r="T2253" s="53"/>
      <c r="U2253" s="53"/>
      <c r="V2253" s="53"/>
    </row>
    <row r="2254">
      <c r="A2254" s="83"/>
      <c r="B2254" s="53"/>
      <c r="C2254" s="53"/>
      <c r="D2254" s="53"/>
      <c r="E2254" s="240"/>
      <c r="F2254" s="241"/>
      <c r="G2254" s="53"/>
      <c r="H2254" s="53"/>
      <c r="I2254" s="53"/>
      <c r="J2254" s="53"/>
      <c r="K2254" s="53"/>
      <c r="L2254" s="53"/>
      <c r="M2254" s="53"/>
      <c r="N2254" s="53"/>
      <c r="O2254" s="53"/>
      <c r="P2254" s="53"/>
      <c r="Q2254" s="53"/>
      <c r="R2254" s="53"/>
      <c r="S2254" s="53"/>
      <c r="T2254" s="53"/>
      <c r="U2254" s="53"/>
      <c r="V2254" s="53"/>
    </row>
    <row r="2255">
      <c r="A2255" s="83"/>
      <c r="B2255" s="53"/>
      <c r="C2255" s="53"/>
      <c r="D2255" s="53"/>
      <c r="E2255" s="240"/>
      <c r="F2255" s="241"/>
      <c r="G2255" s="53"/>
      <c r="H2255" s="53"/>
      <c r="I2255" s="53"/>
      <c r="J2255" s="53"/>
      <c r="K2255" s="53"/>
      <c r="L2255" s="53"/>
      <c r="M2255" s="53"/>
      <c r="N2255" s="53"/>
      <c r="O2255" s="53"/>
      <c r="P2255" s="53"/>
      <c r="Q2255" s="53"/>
      <c r="R2255" s="53"/>
      <c r="S2255" s="53"/>
      <c r="T2255" s="53"/>
      <c r="U2255" s="53"/>
      <c r="V2255" s="53"/>
    </row>
    <row r="2256">
      <c r="A2256" s="83"/>
      <c r="B2256" s="53"/>
      <c r="C2256" s="53"/>
      <c r="D2256" s="53"/>
      <c r="E2256" s="240"/>
      <c r="F2256" s="241"/>
      <c r="G2256" s="53"/>
      <c r="H2256" s="53"/>
      <c r="I2256" s="53"/>
      <c r="J2256" s="53"/>
      <c r="K2256" s="53"/>
      <c r="L2256" s="53"/>
      <c r="M2256" s="53"/>
      <c r="N2256" s="53"/>
      <c r="O2256" s="53"/>
      <c r="P2256" s="53"/>
      <c r="Q2256" s="53"/>
      <c r="R2256" s="53"/>
      <c r="S2256" s="53"/>
      <c r="T2256" s="53"/>
      <c r="U2256" s="53"/>
      <c r="V2256" s="53"/>
    </row>
    <row r="2257">
      <c r="A2257" s="83"/>
      <c r="B2257" s="53"/>
      <c r="C2257" s="53"/>
      <c r="D2257" s="53"/>
      <c r="E2257" s="240"/>
      <c r="F2257" s="241"/>
      <c r="G2257" s="53"/>
      <c r="H2257" s="53"/>
      <c r="I2257" s="53"/>
      <c r="J2257" s="53"/>
      <c r="K2257" s="53"/>
      <c r="L2257" s="53"/>
      <c r="M2257" s="53"/>
      <c r="N2257" s="53"/>
      <c r="O2257" s="53"/>
      <c r="P2257" s="53"/>
      <c r="Q2257" s="53"/>
      <c r="R2257" s="53"/>
      <c r="S2257" s="53"/>
      <c r="T2257" s="53"/>
      <c r="U2257" s="53"/>
      <c r="V2257" s="53"/>
    </row>
    <row r="2258">
      <c r="A2258" s="83"/>
      <c r="B2258" s="53"/>
      <c r="C2258" s="53"/>
      <c r="D2258" s="53"/>
      <c r="E2258" s="240"/>
      <c r="F2258" s="241"/>
      <c r="G2258" s="53"/>
      <c r="H2258" s="53"/>
      <c r="I2258" s="53"/>
      <c r="J2258" s="53"/>
      <c r="K2258" s="53"/>
      <c r="L2258" s="53"/>
      <c r="M2258" s="53"/>
      <c r="N2258" s="53"/>
      <c r="O2258" s="53"/>
      <c r="P2258" s="53"/>
      <c r="Q2258" s="53"/>
      <c r="R2258" s="53"/>
      <c r="S2258" s="53"/>
      <c r="T2258" s="53"/>
      <c r="U2258" s="53"/>
      <c r="V2258" s="53"/>
    </row>
    <row r="2259">
      <c r="A2259" s="83"/>
      <c r="B2259" s="53"/>
      <c r="C2259" s="53"/>
      <c r="D2259" s="53"/>
      <c r="E2259" s="240"/>
      <c r="F2259" s="241"/>
      <c r="G2259" s="53"/>
      <c r="H2259" s="53"/>
      <c r="I2259" s="53"/>
      <c r="J2259" s="53"/>
      <c r="K2259" s="53"/>
      <c r="L2259" s="53"/>
      <c r="M2259" s="53"/>
      <c r="N2259" s="53"/>
      <c r="O2259" s="53"/>
      <c r="P2259" s="53"/>
      <c r="Q2259" s="53"/>
      <c r="R2259" s="53"/>
      <c r="S2259" s="53"/>
      <c r="T2259" s="53"/>
      <c r="U2259" s="53"/>
      <c r="V2259" s="53"/>
    </row>
    <row r="2260">
      <c r="A2260" s="83"/>
      <c r="B2260" s="53"/>
      <c r="C2260" s="53"/>
      <c r="D2260" s="53"/>
      <c r="E2260" s="240"/>
      <c r="F2260" s="241"/>
      <c r="G2260" s="53"/>
      <c r="H2260" s="53"/>
      <c r="I2260" s="53"/>
      <c r="J2260" s="53"/>
      <c r="K2260" s="53"/>
      <c r="L2260" s="53"/>
      <c r="M2260" s="53"/>
      <c r="N2260" s="53"/>
      <c r="O2260" s="53"/>
      <c r="P2260" s="53"/>
      <c r="Q2260" s="53"/>
      <c r="R2260" s="53"/>
      <c r="S2260" s="53"/>
      <c r="T2260" s="53"/>
      <c r="U2260" s="53"/>
      <c r="V2260" s="53"/>
    </row>
    <row r="2261">
      <c r="A2261" s="83"/>
      <c r="B2261" s="53"/>
      <c r="C2261" s="53"/>
      <c r="D2261" s="53"/>
      <c r="E2261" s="240"/>
      <c r="F2261" s="241"/>
      <c r="G2261" s="53"/>
      <c r="H2261" s="53"/>
      <c r="I2261" s="53"/>
      <c r="J2261" s="53"/>
      <c r="K2261" s="53"/>
      <c r="L2261" s="53"/>
      <c r="M2261" s="53"/>
      <c r="N2261" s="53"/>
      <c r="O2261" s="53"/>
      <c r="P2261" s="53"/>
      <c r="Q2261" s="53"/>
      <c r="R2261" s="53"/>
      <c r="S2261" s="53"/>
      <c r="T2261" s="53"/>
      <c r="U2261" s="53"/>
      <c r="V2261" s="53"/>
    </row>
    <row r="2262">
      <c r="A2262" s="83"/>
      <c r="B2262" s="53"/>
      <c r="C2262" s="53"/>
      <c r="D2262" s="53"/>
      <c r="E2262" s="240"/>
      <c r="F2262" s="241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</row>
    <row r="2263">
      <c r="A2263" s="83"/>
      <c r="B2263" s="53"/>
      <c r="C2263" s="53"/>
      <c r="D2263" s="53"/>
      <c r="E2263" s="240"/>
      <c r="F2263" s="241"/>
      <c r="G2263" s="53"/>
      <c r="H2263" s="53"/>
      <c r="I2263" s="53"/>
      <c r="J2263" s="53"/>
      <c r="K2263" s="53"/>
      <c r="L2263" s="53"/>
      <c r="M2263" s="53"/>
      <c r="N2263" s="53"/>
      <c r="O2263" s="53"/>
      <c r="P2263" s="53"/>
      <c r="Q2263" s="53"/>
      <c r="R2263" s="53"/>
      <c r="S2263" s="53"/>
      <c r="T2263" s="53"/>
      <c r="U2263" s="53"/>
      <c r="V2263" s="53"/>
    </row>
    <row r="2264">
      <c r="A2264" s="83"/>
      <c r="B2264" s="53"/>
      <c r="C2264" s="53"/>
      <c r="D2264" s="53"/>
      <c r="E2264" s="240"/>
      <c r="F2264" s="241"/>
      <c r="G2264" s="53"/>
      <c r="H2264" s="53"/>
      <c r="I2264" s="53"/>
      <c r="J2264" s="53"/>
      <c r="K2264" s="53"/>
      <c r="L2264" s="53"/>
      <c r="M2264" s="53"/>
      <c r="N2264" s="53"/>
      <c r="O2264" s="53"/>
      <c r="P2264" s="53"/>
      <c r="Q2264" s="53"/>
      <c r="R2264" s="53"/>
      <c r="S2264" s="53"/>
      <c r="T2264" s="53"/>
      <c r="U2264" s="53"/>
      <c r="V2264" s="53"/>
    </row>
    <row r="2265">
      <c r="A2265" s="83"/>
      <c r="B2265" s="53"/>
      <c r="C2265" s="53"/>
      <c r="D2265" s="53"/>
      <c r="E2265" s="240"/>
      <c r="F2265" s="241"/>
      <c r="G2265" s="53"/>
      <c r="H2265" s="53"/>
      <c r="I2265" s="53"/>
      <c r="J2265" s="53"/>
      <c r="K2265" s="53"/>
      <c r="L2265" s="53"/>
      <c r="M2265" s="53"/>
      <c r="N2265" s="53"/>
      <c r="O2265" s="53"/>
      <c r="P2265" s="53"/>
      <c r="Q2265" s="53"/>
      <c r="R2265" s="53"/>
      <c r="S2265" s="53"/>
      <c r="T2265" s="53"/>
      <c r="U2265" s="53"/>
      <c r="V2265" s="53"/>
    </row>
    <row r="2266">
      <c r="A2266" s="83"/>
      <c r="B2266" s="53"/>
      <c r="C2266" s="53"/>
      <c r="D2266" s="53"/>
      <c r="E2266" s="240"/>
      <c r="F2266" s="241"/>
      <c r="G2266" s="53"/>
      <c r="H2266" s="53"/>
      <c r="I2266" s="53"/>
      <c r="J2266" s="53"/>
      <c r="K2266" s="53"/>
      <c r="L2266" s="53"/>
      <c r="M2266" s="53"/>
      <c r="N2266" s="53"/>
      <c r="O2266" s="53"/>
      <c r="P2266" s="53"/>
      <c r="Q2266" s="53"/>
      <c r="R2266" s="53"/>
      <c r="S2266" s="53"/>
      <c r="T2266" s="53"/>
      <c r="U2266" s="53"/>
      <c r="V2266" s="53"/>
    </row>
    <row r="2267">
      <c r="A2267" s="83"/>
      <c r="B2267" s="53"/>
      <c r="C2267" s="53"/>
      <c r="D2267" s="53"/>
      <c r="E2267" s="240"/>
      <c r="F2267" s="241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53"/>
      <c r="T2267" s="53"/>
      <c r="U2267" s="53"/>
      <c r="V2267" s="53"/>
    </row>
    <row r="2268">
      <c r="A2268" s="83"/>
      <c r="B2268" s="53"/>
      <c r="C2268" s="53"/>
      <c r="D2268" s="53"/>
      <c r="E2268" s="240"/>
      <c r="F2268" s="241"/>
      <c r="G2268" s="53"/>
      <c r="H2268" s="53"/>
      <c r="I2268" s="53"/>
      <c r="J2268" s="53"/>
      <c r="K2268" s="53"/>
      <c r="L2268" s="53"/>
      <c r="M2268" s="53"/>
      <c r="N2268" s="53"/>
      <c r="O2268" s="53"/>
      <c r="P2268" s="53"/>
      <c r="Q2268" s="53"/>
      <c r="R2268" s="53"/>
      <c r="S2268" s="53"/>
      <c r="T2268" s="53"/>
      <c r="U2268" s="53"/>
      <c r="V2268" s="53"/>
    </row>
    <row r="2269">
      <c r="A2269" s="83"/>
      <c r="B2269" s="53"/>
      <c r="C2269" s="53"/>
      <c r="D2269" s="53"/>
      <c r="E2269" s="240"/>
      <c r="F2269" s="241"/>
      <c r="G2269" s="53"/>
      <c r="H2269" s="53"/>
      <c r="I2269" s="53"/>
      <c r="J2269" s="53"/>
      <c r="K2269" s="53"/>
      <c r="L2269" s="53"/>
      <c r="M2269" s="53"/>
      <c r="N2269" s="53"/>
      <c r="O2269" s="53"/>
      <c r="P2269" s="53"/>
      <c r="Q2269" s="53"/>
      <c r="R2269" s="53"/>
      <c r="S2269" s="53"/>
      <c r="T2269" s="53"/>
      <c r="U2269" s="53"/>
      <c r="V2269" s="53"/>
    </row>
    <row r="2270">
      <c r="A2270" s="83"/>
      <c r="B2270" s="53"/>
      <c r="C2270" s="53"/>
      <c r="D2270" s="53"/>
      <c r="E2270" s="240"/>
      <c r="F2270" s="241"/>
      <c r="G2270" s="53"/>
      <c r="H2270" s="53"/>
      <c r="I2270" s="53"/>
      <c r="J2270" s="53"/>
      <c r="K2270" s="53"/>
      <c r="L2270" s="53"/>
      <c r="M2270" s="53"/>
      <c r="N2270" s="53"/>
      <c r="O2270" s="53"/>
      <c r="P2270" s="53"/>
      <c r="Q2270" s="53"/>
      <c r="R2270" s="53"/>
      <c r="S2270" s="53"/>
      <c r="T2270" s="53"/>
      <c r="U2270" s="53"/>
      <c r="V2270" s="53"/>
    </row>
    <row r="2271">
      <c r="A2271" s="83"/>
      <c r="B2271" s="53"/>
      <c r="C2271" s="53"/>
      <c r="D2271" s="53"/>
      <c r="E2271" s="240"/>
      <c r="F2271" s="241"/>
      <c r="G2271" s="53"/>
      <c r="H2271" s="53"/>
      <c r="I2271" s="53"/>
      <c r="J2271" s="53"/>
      <c r="K2271" s="53"/>
      <c r="L2271" s="53"/>
      <c r="M2271" s="53"/>
      <c r="N2271" s="53"/>
      <c r="O2271" s="53"/>
      <c r="P2271" s="53"/>
      <c r="Q2271" s="53"/>
      <c r="R2271" s="53"/>
      <c r="S2271" s="53"/>
      <c r="T2271" s="53"/>
      <c r="U2271" s="53"/>
      <c r="V2271" s="53"/>
    </row>
    <row r="2272">
      <c r="A2272" s="83"/>
      <c r="B2272" s="53"/>
      <c r="C2272" s="53"/>
      <c r="D2272" s="53"/>
      <c r="E2272" s="240"/>
      <c r="F2272" s="241"/>
      <c r="G2272" s="53"/>
      <c r="H2272" s="53"/>
      <c r="I2272" s="53"/>
      <c r="J2272" s="53"/>
      <c r="K2272" s="53"/>
      <c r="L2272" s="53"/>
      <c r="M2272" s="53"/>
      <c r="N2272" s="53"/>
      <c r="O2272" s="53"/>
      <c r="P2272" s="53"/>
      <c r="Q2272" s="53"/>
      <c r="R2272" s="53"/>
      <c r="S2272" s="53"/>
      <c r="T2272" s="53"/>
      <c r="U2272" s="53"/>
      <c r="V2272" s="53"/>
    </row>
    <row r="2273">
      <c r="A2273" s="83"/>
      <c r="B2273" s="53"/>
      <c r="C2273" s="53"/>
      <c r="D2273" s="53"/>
      <c r="E2273" s="240"/>
      <c r="F2273" s="241"/>
      <c r="G2273" s="53"/>
      <c r="H2273" s="53"/>
      <c r="I2273" s="53"/>
      <c r="J2273" s="53"/>
      <c r="K2273" s="53"/>
      <c r="L2273" s="53"/>
      <c r="M2273" s="53"/>
      <c r="N2273" s="53"/>
      <c r="O2273" s="53"/>
      <c r="P2273" s="53"/>
      <c r="Q2273" s="53"/>
      <c r="R2273" s="53"/>
      <c r="S2273" s="53"/>
      <c r="T2273" s="53"/>
      <c r="U2273" s="53"/>
      <c r="V2273" s="53"/>
    </row>
    <row r="2274">
      <c r="A2274" s="83"/>
      <c r="B2274" s="53"/>
      <c r="C2274" s="53"/>
      <c r="D2274" s="53"/>
      <c r="E2274" s="240"/>
      <c r="F2274" s="241"/>
      <c r="G2274" s="53"/>
      <c r="H2274" s="53"/>
      <c r="I2274" s="53"/>
      <c r="J2274" s="53"/>
      <c r="K2274" s="53"/>
      <c r="L2274" s="53"/>
      <c r="M2274" s="53"/>
      <c r="N2274" s="53"/>
      <c r="O2274" s="53"/>
      <c r="P2274" s="53"/>
      <c r="Q2274" s="53"/>
      <c r="R2274" s="53"/>
      <c r="S2274" s="53"/>
      <c r="T2274" s="53"/>
      <c r="U2274" s="53"/>
      <c r="V2274" s="53"/>
    </row>
    <row r="2275">
      <c r="A2275" s="83"/>
      <c r="B2275" s="53"/>
      <c r="C2275" s="53"/>
      <c r="D2275" s="53"/>
      <c r="E2275" s="240"/>
      <c r="F2275" s="241"/>
      <c r="G2275" s="53"/>
      <c r="H2275" s="53"/>
      <c r="I2275" s="53"/>
      <c r="J2275" s="53"/>
      <c r="K2275" s="53"/>
      <c r="L2275" s="53"/>
      <c r="M2275" s="53"/>
      <c r="N2275" s="53"/>
      <c r="O2275" s="53"/>
      <c r="P2275" s="53"/>
      <c r="Q2275" s="53"/>
      <c r="R2275" s="53"/>
      <c r="S2275" s="53"/>
      <c r="T2275" s="53"/>
      <c r="U2275" s="53"/>
      <c r="V2275" s="53"/>
    </row>
    <row r="2276">
      <c r="A2276" s="83"/>
      <c r="B2276" s="53"/>
      <c r="C2276" s="53"/>
      <c r="D2276" s="53"/>
      <c r="E2276" s="240"/>
      <c r="F2276" s="241"/>
      <c r="G2276" s="53"/>
      <c r="H2276" s="53"/>
      <c r="I2276" s="53"/>
      <c r="J2276" s="53"/>
      <c r="K2276" s="53"/>
      <c r="L2276" s="53"/>
      <c r="M2276" s="53"/>
      <c r="N2276" s="53"/>
      <c r="O2276" s="53"/>
      <c r="P2276" s="53"/>
      <c r="Q2276" s="53"/>
      <c r="R2276" s="53"/>
      <c r="S2276" s="53"/>
      <c r="T2276" s="53"/>
      <c r="U2276" s="53"/>
      <c r="V2276" s="53"/>
    </row>
    <row r="2277">
      <c r="A2277" s="83"/>
      <c r="B2277" s="53"/>
      <c r="C2277" s="53"/>
      <c r="D2277" s="53"/>
      <c r="E2277" s="240"/>
      <c r="F2277" s="241"/>
      <c r="G2277" s="53"/>
      <c r="H2277" s="53"/>
      <c r="I2277" s="53"/>
      <c r="J2277" s="53"/>
      <c r="K2277" s="53"/>
      <c r="L2277" s="53"/>
      <c r="M2277" s="53"/>
      <c r="N2277" s="53"/>
      <c r="O2277" s="53"/>
      <c r="P2277" s="53"/>
      <c r="Q2277" s="53"/>
      <c r="R2277" s="53"/>
      <c r="S2277" s="53"/>
      <c r="T2277" s="53"/>
      <c r="U2277" s="53"/>
      <c r="V2277" s="53"/>
    </row>
    <row r="2278">
      <c r="A2278" s="83"/>
      <c r="B2278" s="53"/>
      <c r="C2278" s="53"/>
      <c r="D2278" s="53"/>
      <c r="E2278" s="240"/>
      <c r="F2278" s="241"/>
      <c r="G2278" s="53"/>
      <c r="H2278" s="53"/>
      <c r="I2278" s="53"/>
      <c r="J2278" s="53"/>
      <c r="K2278" s="53"/>
      <c r="L2278" s="53"/>
      <c r="M2278" s="53"/>
      <c r="N2278" s="53"/>
      <c r="O2278" s="53"/>
      <c r="P2278" s="53"/>
      <c r="Q2278" s="53"/>
      <c r="R2278" s="53"/>
      <c r="S2278" s="53"/>
      <c r="T2278" s="53"/>
      <c r="U2278" s="53"/>
      <c r="V2278" s="53"/>
    </row>
    <row r="2279">
      <c r="A2279" s="83"/>
      <c r="B2279" s="53"/>
      <c r="C2279" s="53"/>
      <c r="D2279" s="53"/>
      <c r="E2279" s="240"/>
      <c r="F2279" s="241"/>
      <c r="G2279" s="53"/>
      <c r="H2279" s="53"/>
      <c r="I2279" s="53"/>
      <c r="J2279" s="53"/>
      <c r="K2279" s="53"/>
      <c r="L2279" s="53"/>
      <c r="M2279" s="53"/>
      <c r="N2279" s="53"/>
      <c r="O2279" s="53"/>
      <c r="P2279" s="53"/>
      <c r="Q2279" s="53"/>
      <c r="R2279" s="53"/>
      <c r="S2279" s="53"/>
      <c r="T2279" s="53"/>
      <c r="U2279" s="53"/>
      <c r="V2279" s="53"/>
    </row>
    <row r="2280">
      <c r="A2280" s="83"/>
      <c r="B2280" s="53"/>
      <c r="C2280" s="53"/>
      <c r="D2280" s="53"/>
      <c r="E2280" s="240"/>
      <c r="F2280" s="241"/>
      <c r="G2280" s="53"/>
      <c r="H2280" s="53"/>
      <c r="I2280" s="53"/>
      <c r="J2280" s="53"/>
      <c r="K2280" s="53"/>
      <c r="L2280" s="53"/>
      <c r="M2280" s="53"/>
      <c r="N2280" s="53"/>
      <c r="O2280" s="53"/>
      <c r="P2280" s="53"/>
      <c r="Q2280" s="53"/>
      <c r="R2280" s="53"/>
      <c r="S2280" s="53"/>
      <c r="T2280" s="53"/>
      <c r="U2280" s="53"/>
      <c r="V2280" s="53"/>
    </row>
    <row r="2281">
      <c r="A2281" s="83"/>
      <c r="B2281" s="53"/>
      <c r="C2281" s="53"/>
      <c r="D2281" s="53"/>
      <c r="E2281" s="240"/>
      <c r="F2281" s="241"/>
      <c r="G2281" s="53"/>
      <c r="H2281" s="53"/>
      <c r="I2281" s="53"/>
      <c r="J2281" s="53"/>
      <c r="K2281" s="53"/>
      <c r="L2281" s="53"/>
      <c r="M2281" s="53"/>
      <c r="N2281" s="53"/>
      <c r="O2281" s="53"/>
      <c r="P2281" s="53"/>
      <c r="Q2281" s="53"/>
      <c r="R2281" s="53"/>
      <c r="S2281" s="53"/>
      <c r="T2281" s="53"/>
      <c r="U2281" s="53"/>
      <c r="V2281" s="53"/>
    </row>
    <row r="2282">
      <c r="A2282" s="83"/>
      <c r="B2282" s="53"/>
      <c r="C2282" s="53"/>
      <c r="D2282" s="53"/>
      <c r="E2282" s="240"/>
      <c r="F2282" s="241"/>
      <c r="G2282" s="53"/>
      <c r="H2282" s="53"/>
      <c r="I2282" s="53"/>
      <c r="J2282" s="53"/>
      <c r="K2282" s="53"/>
      <c r="L2282" s="53"/>
      <c r="M2282" s="53"/>
      <c r="N2282" s="53"/>
      <c r="O2282" s="53"/>
      <c r="P2282" s="53"/>
      <c r="Q2282" s="53"/>
      <c r="R2282" s="53"/>
      <c r="S2282" s="53"/>
      <c r="T2282" s="53"/>
      <c r="U2282" s="53"/>
      <c r="V2282" s="53"/>
    </row>
    <row r="2283">
      <c r="A2283" s="83"/>
      <c r="B2283" s="53"/>
      <c r="C2283" s="53"/>
      <c r="D2283" s="53"/>
      <c r="E2283" s="240"/>
      <c r="F2283" s="241"/>
      <c r="G2283" s="53"/>
      <c r="H2283" s="53"/>
      <c r="I2283" s="53"/>
      <c r="J2283" s="53"/>
      <c r="K2283" s="53"/>
      <c r="L2283" s="53"/>
      <c r="M2283" s="53"/>
      <c r="N2283" s="53"/>
      <c r="O2283" s="53"/>
      <c r="P2283" s="53"/>
      <c r="Q2283" s="53"/>
      <c r="R2283" s="53"/>
      <c r="S2283" s="53"/>
      <c r="T2283" s="53"/>
      <c r="U2283" s="53"/>
      <c r="V2283" s="53"/>
    </row>
    <row r="2284">
      <c r="A2284" s="83"/>
      <c r="B2284" s="53"/>
      <c r="C2284" s="53"/>
      <c r="D2284" s="53"/>
      <c r="E2284" s="240"/>
      <c r="F2284" s="241"/>
      <c r="G2284" s="53"/>
      <c r="H2284" s="53"/>
      <c r="I2284" s="53"/>
      <c r="J2284" s="53"/>
      <c r="K2284" s="53"/>
      <c r="L2284" s="53"/>
      <c r="M2284" s="53"/>
      <c r="N2284" s="53"/>
      <c r="O2284" s="53"/>
      <c r="P2284" s="53"/>
      <c r="Q2284" s="53"/>
      <c r="R2284" s="53"/>
      <c r="S2284" s="53"/>
      <c r="T2284" s="53"/>
      <c r="U2284" s="53"/>
      <c r="V2284" s="53"/>
    </row>
    <row r="2285">
      <c r="A2285" s="83"/>
      <c r="B2285" s="53"/>
      <c r="C2285" s="53"/>
      <c r="D2285" s="53"/>
      <c r="E2285" s="240"/>
      <c r="F2285" s="241"/>
      <c r="G2285" s="53"/>
      <c r="H2285" s="53"/>
      <c r="I2285" s="53"/>
      <c r="J2285" s="53"/>
      <c r="K2285" s="53"/>
      <c r="L2285" s="53"/>
      <c r="M2285" s="53"/>
      <c r="N2285" s="53"/>
      <c r="O2285" s="53"/>
      <c r="P2285" s="53"/>
      <c r="Q2285" s="53"/>
      <c r="R2285" s="53"/>
      <c r="S2285" s="53"/>
      <c r="T2285" s="53"/>
      <c r="U2285" s="53"/>
      <c r="V2285" s="53"/>
    </row>
    <row r="2286">
      <c r="A2286" s="83"/>
      <c r="B2286" s="53"/>
      <c r="C2286" s="53"/>
      <c r="D2286" s="53"/>
      <c r="E2286" s="240"/>
      <c r="F2286" s="241"/>
      <c r="G2286" s="53"/>
      <c r="H2286" s="53"/>
      <c r="I2286" s="53"/>
      <c r="J2286" s="53"/>
      <c r="K2286" s="53"/>
      <c r="L2286" s="53"/>
      <c r="M2286" s="53"/>
      <c r="N2286" s="53"/>
      <c r="O2286" s="53"/>
      <c r="P2286" s="53"/>
      <c r="Q2286" s="53"/>
      <c r="R2286" s="53"/>
      <c r="S2286" s="53"/>
      <c r="T2286" s="53"/>
      <c r="U2286" s="53"/>
      <c r="V2286" s="53"/>
    </row>
    <row r="2287">
      <c r="A2287" s="83"/>
      <c r="B2287" s="53"/>
      <c r="C2287" s="53"/>
      <c r="D2287" s="53"/>
      <c r="E2287" s="240"/>
      <c r="F2287" s="241"/>
      <c r="G2287" s="53"/>
      <c r="H2287" s="53"/>
      <c r="I2287" s="53"/>
      <c r="J2287" s="53"/>
      <c r="K2287" s="53"/>
      <c r="L2287" s="53"/>
      <c r="M2287" s="53"/>
      <c r="N2287" s="53"/>
      <c r="O2287" s="53"/>
      <c r="P2287" s="53"/>
      <c r="Q2287" s="53"/>
      <c r="R2287" s="53"/>
      <c r="S2287" s="53"/>
      <c r="T2287" s="53"/>
      <c r="U2287" s="53"/>
      <c r="V2287" s="53"/>
    </row>
    <row r="2288">
      <c r="A2288" s="83"/>
      <c r="B2288" s="53"/>
      <c r="C2288" s="53"/>
      <c r="D2288" s="53"/>
      <c r="E2288" s="240"/>
      <c r="F2288" s="241"/>
      <c r="G2288" s="53"/>
      <c r="H2288" s="53"/>
      <c r="I2288" s="53"/>
      <c r="J2288" s="53"/>
      <c r="K2288" s="53"/>
      <c r="L2288" s="53"/>
      <c r="M2288" s="53"/>
      <c r="N2288" s="53"/>
      <c r="O2288" s="53"/>
      <c r="P2288" s="53"/>
      <c r="Q2288" s="53"/>
      <c r="R2288" s="53"/>
      <c r="S2288" s="53"/>
      <c r="T2288" s="53"/>
      <c r="U2288" s="53"/>
      <c r="V2288" s="53"/>
    </row>
    <row r="2289">
      <c r="A2289" s="83"/>
      <c r="B2289" s="53"/>
      <c r="C2289" s="53"/>
      <c r="D2289" s="53"/>
      <c r="E2289" s="240"/>
      <c r="F2289" s="241"/>
      <c r="G2289" s="53"/>
      <c r="H2289" s="53"/>
      <c r="I2289" s="53"/>
      <c r="J2289" s="53"/>
      <c r="K2289" s="53"/>
      <c r="L2289" s="53"/>
      <c r="M2289" s="53"/>
      <c r="N2289" s="53"/>
      <c r="O2289" s="53"/>
      <c r="P2289" s="53"/>
      <c r="Q2289" s="53"/>
      <c r="R2289" s="53"/>
      <c r="S2289" s="53"/>
      <c r="T2289" s="53"/>
      <c r="U2289" s="53"/>
      <c r="V2289" s="53"/>
    </row>
    <row r="2290">
      <c r="A2290" s="83"/>
      <c r="B2290" s="53"/>
      <c r="C2290" s="53"/>
      <c r="D2290" s="53"/>
      <c r="E2290" s="240"/>
      <c r="F2290" s="241"/>
      <c r="G2290" s="53"/>
      <c r="H2290" s="53"/>
      <c r="I2290" s="53"/>
      <c r="J2290" s="53"/>
      <c r="K2290" s="53"/>
      <c r="L2290" s="53"/>
      <c r="M2290" s="53"/>
      <c r="N2290" s="53"/>
      <c r="O2290" s="53"/>
      <c r="P2290" s="53"/>
      <c r="Q2290" s="53"/>
      <c r="R2290" s="53"/>
      <c r="S2290" s="53"/>
      <c r="T2290" s="53"/>
      <c r="U2290" s="53"/>
      <c r="V2290" s="53"/>
    </row>
    <row r="2291">
      <c r="A2291" s="83"/>
      <c r="B2291" s="53"/>
      <c r="C2291" s="53"/>
      <c r="D2291" s="53"/>
      <c r="E2291" s="240"/>
      <c r="F2291" s="241"/>
      <c r="G2291" s="53"/>
      <c r="H2291" s="53"/>
      <c r="I2291" s="53"/>
      <c r="J2291" s="53"/>
      <c r="K2291" s="53"/>
      <c r="L2291" s="53"/>
      <c r="M2291" s="53"/>
      <c r="N2291" s="53"/>
      <c r="O2291" s="53"/>
      <c r="P2291" s="53"/>
      <c r="Q2291" s="53"/>
      <c r="R2291" s="53"/>
      <c r="S2291" s="53"/>
      <c r="T2291" s="53"/>
      <c r="U2291" s="53"/>
      <c r="V2291" s="53"/>
    </row>
    <row r="2292">
      <c r="A2292" s="83"/>
      <c r="B2292" s="53"/>
      <c r="C2292" s="53"/>
      <c r="D2292" s="53"/>
      <c r="E2292" s="240"/>
      <c r="F2292" s="241"/>
      <c r="G2292" s="53"/>
      <c r="H2292" s="53"/>
      <c r="I2292" s="53"/>
      <c r="J2292" s="53"/>
      <c r="K2292" s="53"/>
      <c r="L2292" s="53"/>
      <c r="M2292" s="53"/>
      <c r="N2292" s="53"/>
      <c r="O2292" s="53"/>
      <c r="P2292" s="53"/>
      <c r="Q2292" s="53"/>
      <c r="R2292" s="53"/>
      <c r="S2292" s="53"/>
      <c r="T2292" s="53"/>
      <c r="U2292" s="53"/>
      <c r="V2292" s="53"/>
    </row>
    <row r="2293">
      <c r="A2293" s="83"/>
      <c r="B2293" s="53"/>
      <c r="C2293" s="53"/>
      <c r="D2293" s="53"/>
      <c r="E2293" s="240"/>
      <c r="F2293" s="241"/>
      <c r="G2293" s="53"/>
      <c r="H2293" s="53"/>
      <c r="I2293" s="53"/>
      <c r="J2293" s="53"/>
      <c r="K2293" s="53"/>
      <c r="L2293" s="53"/>
      <c r="M2293" s="53"/>
      <c r="N2293" s="53"/>
      <c r="O2293" s="53"/>
      <c r="P2293" s="53"/>
      <c r="Q2293" s="53"/>
      <c r="R2293" s="53"/>
      <c r="S2293" s="53"/>
      <c r="T2293" s="53"/>
      <c r="U2293" s="53"/>
      <c r="V2293" s="53"/>
    </row>
    <row r="2294">
      <c r="A2294" s="83"/>
      <c r="B2294" s="53"/>
      <c r="C2294" s="53"/>
      <c r="D2294" s="53"/>
      <c r="E2294" s="240"/>
      <c r="F2294" s="241"/>
      <c r="G2294" s="53"/>
      <c r="H2294" s="53"/>
      <c r="I2294" s="53"/>
      <c r="J2294" s="53"/>
      <c r="K2294" s="53"/>
      <c r="L2294" s="53"/>
      <c r="M2294" s="53"/>
      <c r="N2294" s="53"/>
      <c r="O2294" s="53"/>
      <c r="P2294" s="53"/>
      <c r="Q2294" s="53"/>
      <c r="R2294" s="53"/>
      <c r="S2294" s="53"/>
      <c r="T2294" s="53"/>
      <c r="U2294" s="53"/>
      <c r="V2294" s="53"/>
    </row>
    <row r="2295">
      <c r="A2295" s="83"/>
      <c r="B2295" s="53"/>
      <c r="C2295" s="53"/>
      <c r="D2295" s="53"/>
      <c r="E2295" s="240"/>
      <c r="F2295" s="241"/>
      <c r="G2295" s="53"/>
      <c r="H2295" s="53"/>
      <c r="I2295" s="53"/>
      <c r="J2295" s="53"/>
      <c r="K2295" s="53"/>
      <c r="L2295" s="53"/>
      <c r="M2295" s="53"/>
      <c r="N2295" s="53"/>
      <c r="O2295" s="53"/>
      <c r="P2295" s="53"/>
      <c r="Q2295" s="53"/>
      <c r="R2295" s="53"/>
      <c r="S2295" s="53"/>
      <c r="T2295" s="53"/>
      <c r="U2295" s="53"/>
      <c r="V2295" s="53"/>
    </row>
    <row r="2296">
      <c r="A2296" s="83"/>
      <c r="B2296" s="53"/>
      <c r="C2296" s="53"/>
      <c r="D2296" s="53"/>
      <c r="E2296" s="240"/>
      <c r="F2296" s="241"/>
      <c r="G2296" s="53"/>
      <c r="H2296" s="53"/>
      <c r="I2296" s="53"/>
      <c r="J2296" s="53"/>
      <c r="K2296" s="53"/>
      <c r="L2296" s="53"/>
      <c r="M2296" s="53"/>
      <c r="N2296" s="53"/>
      <c r="O2296" s="53"/>
      <c r="P2296" s="53"/>
      <c r="Q2296" s="53"/>
      <c r="R2296" s="53"/>
      <c r="S2296" s="53"/>
      <c r="T2296" s="53"/>
      <c r="U2296" s="53"/>
      <c r="V2296" s="53"/>
    </row>
    <row r="2297">
      <c r="A2297" s="83"/>
      <c r="B2297" s="53"/>
      <c r="C2297" s="53"/>
      <c r="D2297" s="53"/>
      <c r="E2297" s="240"/>
      <c r="F2297" s="241"/>
      <c r="G2297" s="53"/>
      <c r="H2297" s="53"/>
      <c r="I2297" s="53"/>
      <c r="J2297" s="53"/>
      <c r="K2297" s="53"/>
      <c r="L2297" s="53"/>
      <c r="M2297" s="53"/>
      <c r="N2297" s="53"/>
      <c r="O2297" s="53"/>
      <c r="P2297" s="53"/>
      <c r="Q2297" s="53"/>
      <c r="R2297" s="53"/>
      <c r="S2297" s="53"/>
      <c r="T2297" s="53"/>
      <c r="U2297" s="53"/>
      <c r="V2297" s="53"/>
    </row>
    <row r="2298">
      <c r="A2298" s="83"/>
      <c r="B2298" s="53"/>
      <c r="C2298" s="53"/>
      <c r="D2298" s="53"/>
      <c r="E2298" s="240"/>
      <c r="F2298" s="241"/>
      <c r="G2298" s="53"/>
      <c r="H2298" s="53"/>
      <c r="I2298" s="53"/>
      <c r="J2298" s="53"/>
      <c r="K2298" s="53"/>
      <c r="L2298" s="53"/>
      <c r="M2298" s="53"/>
      <c r="N2298" s="53"/>
      <c r="O2298" s="53"/>
      <c r="P2298" s="53"/>
      <c r="Q2298" s="53"/>
      <c r="R2298" s="53"/>
      <c r="S2298" s="53"/>
      <c r="T2298" s="53"/>
      <c r="U2298" s="53"/>
      <c r="V2298" s="53"/>
    </row>
    <row r="2299">
      <c r="A2299" s="83"/>
      <c r="B2299" s="53"/>
      <c r="C2299" s="53"/>
      <c r="D2299" s="53"/>
      <c r="E2299" s="240"/>
      <c r="F2299" s="241"/>
      <c r="G2299" s="53"/>
      <c r="H2299" s="53"/>
      <c r="I2299" s="53"/>
      <c r="J2299" s="53"/>
      <c r="K2299" s="53"/>
      <c r="L2299" s="53"/>
      <c r="M2299" s="53"/>
      <c r="N2299" s="53"/>
      <c r="O2299" s="53"/>
      <c r="P2299" s="53"/>
      <c r="Q2299" s="53"/>
      <c r="R2299" s="53"/>
      <c r="S2299" s="53"/>
      <c r="T2299" s="53"/>
      <c r="U2299" s="53"/>
      <c r="V2299" s="53"/>
    </row>
    <row r="2300">
      <c r="A2300" s="83"/>
      <c r="B2300" s="53"/>
      <c r="C2300" s="53"/>
      <c r="D2300" s="53"/>
      <c r="E2300" s="240"/>
      <c r="F2300" s="241"/>
      <c r="G2300" s="53"/>
      <c r="H2300" s="53"/>
      <c r="I2300" s="53"/>
      <c r="J2300" s="53"/>
      <c r="K2300" s="53"/>
      <c r="L2300" s="53"/>
      <c r="M2300" s="53"/>
      <c r="N2300" s="53"/>
      <c r="O2300" s="53"/>
      <c r="P2300" s="53"/>
      <c r="Q2300" s="53"/>
      <c r="R2300" s="53"/>
      <c r="S2300" s="53"/>
      <c r="T2300" s="53"/>
      <c r="U2300" s="53"/>
      <c r="V2300" s="53"/>
    </row>
    <row r="2301">
      <c r="A2301" s="83"/>
      <c r="B2301" s="53"/>
      <c r="C2301" s="53"/>
      <c r="D2301" s="53"/>
      <c r="E2301" s="240"/>
      <c r="F2301" s="241"/>
      <c r="G2301" s="53"/>
      <c r="H2301" s="53"/>
      <c r="I2301" s="53"/>
      <c r="J2301" s="53"/>
      <c r="K2301" s="53"/>
      <c r="L2301" s="53"/>
      <c r="M2301" s="53"/>
      <c r="N2301" s="53"/>
      <c r="O2301" s="53"/>
      <c r="P2301" s="53"/>
      <c r="Q2301" s="53"/>
      <c r="R2301" s="53"/>
      <c r="S2301" s="53"/>
      <c r="T2301" s="53"/>
      <c r="U2301" s="53"/>
      <c r="V2301" s="53"/>
    </row>
    <row r="2302">
      <c r="A2302" s="83"/>
      <c r="B2302" s="53"/>
      <c r="C2302" s="53"/>
      <c r="D2302" s="53"/>
      <c r="E2302" s="240"/>
      <c r="F2302" s="241"/>
      <c r="G2302" s="53"/>
      <c r="H2302" s="53"/>
      <c r="I2302" s="53"/>
      <c r="J2302" s="53"/>
      <c r="K2302" s="53"/>
      <c r="L2302" s="53"/>
      <c r="M2302" s="53"/>
      <c r="N2302" s="53"/>
      <c r="O2302" s="53"/>
      <c r="P2302" s="53"/>
      <c r="Q2302" s="53"/>
      <c r="R2302" s="53"/>
      <c r="S2302" s="53"/>
      <c r="T2302" s="53"/>
      <c r="U2302" s="53"/>
      <c r="V2302" s="53"/>
    </row>
    <row r="2303">
      <c r="A2303" s="83"/>
      <c r="B2303" s="53"/>
      <c r="C2303" s="53"/>
      <c r="D2303" s="53"/>
      <c r="E2303" s="240"/>
      <c r="F2303" s="241"/>
      <c r="G2303" s="53"/>
      <c r="H2303" s="53"/>
      <c r="I2303" s="53"/>
      <c r="J2303" s="53"/>
      <c r="K2303" s="53"/>
      <c r="L2303" s="53"/>
      <c r="M2303" s="53"/>
      <c r="N2303" s="53"/>
      <c r="O2303" s="53"/>
      <c r="P2303" s="53"/>
      <c r="Q2303" s="53"/>
      <c r="R2303" s="53"/>
      <c r="S2303" s="53"/>
      <c r="T2303" s="53"/>
      <c r="U2303" s="53"/>
      <c r="V2303" s="53"/>
    </row>
    <row r="2304">
      <c r="A2304" s="83"/>
      <c r="B2304" s="53"/>
      <c r="C2304" s="53"/>
      <c r="D2304" s="53"/>
      <c r="E2304" s="240"/>
      <c r="F2304" s="241"/>
      <c r="G2304" s="53"/>
      <c r="H2304" s="53"/>
      <c r="I2304" s="53"/>
      <c r="J2304" s="53"/>
      <c r="K2304" s="53"/>
      <c r="L2304" s="53"/>
      <c r="M2304" s="53"/>
      <c r="N2304" s="53"/>
      <c r="O2304" s="53"/>
      <c r="P2304" s="53"/>
      <c r="Q2304" s="53"/>
      <c r="R2304" s="53"/>
      <c r="S2304" s="53"/>
      <c r="T2304" s="53"/>
      <c r="U2304" s="53"/>
      <c r="V2304" s="53"/>
    </row>
    <row r="2305">
      <c r="A2305" s="83"/>
      <c r="B2305" s="53"/>
      <c r="C2305" s="53"/>
      <c r="D2305" s="53"/>
      <c r="E2305" s="240"/>
      <c r="F2305" s="241"/>
      <c r="G2305" s="53"/>
      <c r="H2305" s="53"/>
      <c r="I2305" s="53"/>
      <c r="J2305" s="53"/>
      <c r="K2305" s="53"/>
      <c r="L2305" s="53"/>
      <c r="M2305" s="53"/>
      <c r="N2305" s="53"/>
      <c r="O2305" s="53"/>
      <c r="P2305" s="53"/>
      <c r="Q2305" s="53"/>
      <c r="R2305" s="53"/>
      <c r="S2305" s="53"/>
      <c r="T2305" s="53"/>
      <c r="U2305" s="53"/>
      <c r="V2305" s="53"/>
    </row>
    <row r="2306">
      <c r="A2306" s="83"/>
      <c r="B2306" s="53"/>
      <c r="C2306" s="53"/>
      <c r="D2306" s="53"/>
      <c r="E2306" s="240"/>
      <c r="F2306" s="241"/>
      <c r="G2306" s="53"/>
      <c r="H2306" s="53"/>
      <c r="I2306" s="53"/>
      <c r="J2306" s="53"/>
      <c r="K2306" s="53"/>
      <c r="L2306" s="53"/>
      <c r="M2306" s="53"/>
      <c r="N2306" s="53"/>
      <c r="O2306" s="53"/>
      <c r="P2306" s="53"/>
      <c r="Q2306" s="53"/>
      <c r="R2306" s="53"/>
      <c r="S2306" s="53"/>
      <c r="T2306" s="53"/>
      <c r="U2306" s="53"/>
      <c r="V2306" s="53"/>
    </row>
    <row r="2307">
      <c r="A2307" s="83"/>
      <c r="B2307" s="53"/>
      <c r="C2307" s="53"/>
      <c r="D2307" s="53"/>
      <c r="E2307" s="240"/>
      <c r="F2307" s="241"/>
      <c r="G2307" s="53"/>
      <c r="H2307" s="53"/>
      <c r="I2307" s="53"/>
      <c r="J2307" s="53"/>
      <c r="K2307" s="53"/>
      <c r="L2307" s="53"/>
      <c r="M2307" s="53"/>
      <c r="N2307" s="53"/>
      <c r="O2307" s="53"/>
      <c r="P2307" s="53"/>
      <c r="Q2307" s="53"/>
      <c r="R2307" s="53"/>
      <c r="S2307" s="53"/>
      <c r="T2307" s="53"/>
      <c r="U2307" s="53"/>
      <c r="V2307" s="53"/>
    </row>
    <row r="2308">
      <c r="A2308" s="83"/>
      <c r="B2308" s="53"/>
      <c r="C2308" s="53"/>
      <c r="D2308" s="53"/>
      <c r="E2308" s="240"/>
      <c r="F2308" s="241"/>
      <c r="G2308" s="53"/>
      <c r="H2308" s="53"/>
      <c r="I2308" s="53"/>
      <c r="J2308" s="53"/>
      <c r="K2308" s="53"/>
      <c r="L2308" s="53"/>
      <c r="M2308" s="53"/>
      <c r="N2308" s="53"/>
      <c r="O2308" s="53"/>
      <c r="P2308" s="53"/>
      <c r="Q2308" s="53"/>
      <c r="R2308" s="53"/>
      <c r="S2308" s="53"/>
      <c r="T2308" s="53"/>
      <c r="U2308" s="53"/>
      <c r="V2308" s="53"/>
    </row>
    <row r="2309">
      <c r="A2309" s="83"/>
      <c r="B2309" s="53"/>
      <c r="C2309" s="53"/>
      <c r="D2309" s="53"/>
      <c r="E2309" s="240"/>
      <c r="F2309" s="241"/>
      <c r="G2309" s="53"/>
      <c r="H2309" s="53"/>
      <c r="I2309" s="53"/>
      <c r="J2309" s="53"/>
      <c r="K2309" s="53"/>
      <c r="L2309" s="53"/>
      <c r="M2309" s="53"/>
      <c r="N2309" s="53"/>
      <c r="O2309" s="53"/>
      <c r="P2309" s="53"/>
      <c r="Q2309" s="53"/>
      <c r="R2309" s="53"/>
      <c r="S2309" s="53"/>
      <c r="T2309" s="53"/>
      <c r="U2309" s="53"/>
      <c r="V2309" s="53"/>
    </row>
    <row r="2310">
      <c r="A2310" s="83"/>
      <c r="B2310" s="53"/>
      <c r="C2310" s="53"/>
      <c r="D2310" s="53"/>
      <c r="E2310" s="240"/>
      <c r="F2310" s="241"/>
      <c r="G2310" s="53"/>
      <c r="H2310" s="53"/>
      <c r="I2310" s="53"/>
      <c r="J2310" s="53"/>
      <c r="K2310" s="53"/>
      <c r="L2310" s="53"/>
      <c r="M2310" s="53"/>
      <c r="N2310" s="53"/>
      <c r="O2310" s="53"/>
      <c r="P2310" s="53"/>
      <c r="Q2310" s="53"/>
      <c r="R2310" s="53"/>
      <c r="S2310" s="53"/>
      <c r="T2310" s="53"/>
      <c r="U2310" s="53"/>
      <c r="V2310" s="53"/>
    </row>
    <row r="2311">
      <c r="A2311" s="83"/>
      <c r="B2311" s="53"/>
      <c r="C2311" s="53"/>
      <c r="D2311" s="53"/>
      <c r="E2311" s="240"/>
      <c r="F2311" s="241"/>
      <c r="G2311" s="53"/>
      <c r="H2311" s="53"/>
      <c r="I2311" s="53"/>
      <c r="J2311" s="53"/>
      <c r="K2311" s="53"/>
      <c r="L2311" s="53"/>
      <c r="M2311" s="53"/>
      <c r="N2311" s="53"/>
      <c r="O2311" s="53"/>
      <c r="P2311" s="53"/>
      <c r="Q2311" s="53"/>
      <c r="R2311" s="53"/>
      <c r="S2311" s="53"/>
      <c r="T2311" s="53"/>
      <c r="U2311" s="53"/>
      <c r="V2311" s="53"/>
    </row>
    <row r="2312">
      <c r="A2312" s="83"/>
      <c r="B2312" s="53"/>
      <c r="C2312" s="53"/>
      <c r="D2312" s="53"/>
      <c r="E2312" s="240"/>
      <c r="F2312" s="241"/>
      <c r="G2312" s="53"/>
      <c r="H2312" s="53"/>
      <c r="I2312" s="53"/>
      <c r="J2312" s="53"/>
      <c r="K2312" s="53"/>
      <c r="L2312" s="53"/>
      <c r="M2312" s="53"/>
      <c r="N2312" s="53"/>
      <c r="O2312" s="53"/>
      <c r="P2312" s="53"/>
      <c r="Q2312" s="53"/>
      <c r="R2312" s="53"/>
      <c r="S2312" s="53"/>
      <c r="T2312" s="53"/>
      <c r="U2312" s="53"/>
      <c r="V2312" s="53"/>
    </row>
    <row r="2313">
      <c r="A2313" s="83"/>
      <c r="B2313" s="53"/>
      <c r="C2313" s="53"/>
      <c r="D2313" s="53"/>
      <c r="E2313" s="240"/>
      <c r="F2313" s="241"/>
      <c r="G2313" s="53"/>
      <c r="H2313" s="53"/>
      <c r="I2313" s="53"/>
      <c r="J2313" s="53"/>
      <c r="K2313" s="53"/>
      <c r="L2313" s="53"/>
      <c r="M2313" s="53"/>
      <c r="N2313" s="53"/>
      <c r="O2313" s="53"/>
      <c r="P2313" s="53"/>
      <c r="Q2313" s="53"/>
      <c r="R2313" s="53"/>
      <c r="S2313" s="53"/>
      <c r="T2313" s="53"/>
      <c r="U2313" s="53"/>
      <c r="V2313" s="53"/>
    </row>
    <row r="2314">
      <c r="A2314" s="83"/>
      <c r="B2314" s="53"/>
      <c r="C2314" s="53"/>
      <c r="D2314" s="53"/>
      <c r="E2314" s="240"/>
      <c r="F2314" s="241"/>
      <c r="G2314" s="53"/>
      <c r="H2314" s="53"/>
      <c r="I2314" s="53"/>
      <c r="J2314" s="53"/>
      <c r="K2314" s="53"/>
      <c r="L2314" s="53"/>
      <c r="M2314" s="53"/>
      <c r="N2314" s="53"/>
      <c r="O2314" s="53"/>
      <c r="P2314" s="53"/>
      <c r="Q2314" s="53"/>
      <c r="R2314" s="53"/>
      <c r="S2314" s="53"/>
      <c r="T2314" s="53"/>
      <c r="U2314" s="53"/>
      <c r="V2314" s="53"/>
    </row>
    <row r="2315">
      <c r="A2315" s="83"/>
      <c r="B2315" s="53"/>
      <c r="C2315" s="53"/>
      <c r="D2315" s="53"/>
      <c r="E2315" s="240"/>
      <c r="F2315" s="241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</row>
    <row r="2316">
      <c r="A2316" s="83"/>
      <c r="B2316" s="53"/>
      <c r="C2316" s="53"/>
      <c r="D2316" s="53"/>
      <c r="E2316" s="240"/>
      <c r="F2316" s="241"/>
      <c r="G2316" s="53"/>
      <c r="H2316" s="53"/>
      <c r="I2316" s="53"/>
      <c r="J2316" s="53"/>
      <c r="K2316" s="53"/>
      <c r="L2316" s="53"/>
      <c r="M2316" s="53"/>
      <c r="N2316" s="53"/>
      <c r="O2316" s="53"/>
      <c r="P2316" s="53"/>
      <c r="Q2316" s="53"/>
      <c r="R2316" s="53"/>
      <c r="S2316" s="53"/>
      <c r="T2316" s="53"/>
      <c r="U2316" s="53"/>
      <c r="V2316" s="53"/>
    </row>
    <row r="2317">
      <c r="A2317" s="83"/>
      <c r="B2317" s="53"/>
      <c r="C2317" s="53"/>
      <c r="D2317" s="53"/>
      <c r="E2317" s="240"/>
      <c r="F2317" s="241"/>
      <c r="G2317" s="53"/>
      <c r="H2317" s="53"/>
      <c r="I2317" s="53"/>
      <c r="J2317" s="53"/>
      <c r="K2317" s="53"/>
      <c r="L2317" s="53"/>
      <c r="M2317" s="53"/>
      <c r="N2317" s="53"/>
      <c r="O2317" s="53"/>
      <c r="P2317" s="53"/>
      <c r="Q2317" s="53"/>
      <c r="R2317" s="53"/>
      <c r="S2317" s="53"/>
      <c r="T2317" s="53"/>
      <c r="U2317" s="53"/>
      <c r="V2317" s="53"/>
    </row>
    <row r="2318">
      <c r="A2318" s="83"/>
      <c r="B2318" s="53"/>
      <c r="C2318" s="53"/>
      <c r="D2318" s="53"/>
      <c r="E2318" s="240"/>
      <c r="F2318" s="241"/>
      <c r="G2318" s="53"/>
      <c r="H2318" s="53"/>
      <c r="I2318" s="53"/>
      <c r="J2318" s="53"/>
      <c r="K2318" s="53"/>
      <c r="L2318" s="53"/>
      <c r="M2318" s="53"/>
      <c r="N2318" s="53"/>
      <c r="O2318" s="53"/>
      <c r="P2318" s="53"/>
      <c r="Q2318" s="53"/>
      <c r="R2318" s="53"/>
      <c r="S2318" s="53"/>
      <c r="T2318" s="53"/>
      <c r="U2318" s="53"/>
      <c r="V2318" s="53"/>
    </row>
    <row r="2319">
      <c r="A2319" s="83"/>
      <c r="B2319" s="53"/>
      <c r="C2319" s="53"/>
      <c r="D2319" s="53"/>
      <c r="E2319" s="240"/>
      <c r="F2319" s="241"/>
      <c r="G2319" s="53"/>
      <c r="H2319" s="53"/>
      <c r="I2319" s="53"/>
      <c r="J2319" s="53"/>
      <c r="K2319" s="53"/>
      <c r="L2319" s="53"/>
      <c r="M2319" s="53"/>
      <c r="N2319" s="53"/>
      <c r="O2319" s="53"/>
      <c r="P2319" s="53"/>
      <c r="Q2319" s="53"/>
      <c r="R2319" s="53"/>
      <c r="S2319" s="53"/>
      <c r="T2319" s="53"/>
      <c r="U2319" s="53"/>
      <c r="V2319" s="53"/>
    </row>
    <row r="2320">
      <c r="A2320" s="83"/>
      <c r="B2320" s="53"/>
      <c r="C2320" s="53"/>
      <c r="D2320" s="53"/>
      <c r="E2320" s="240"/>
      <c r="F2320" s="241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53"/>
      <c r="T2320" s="53"/>
      <c r="U2320" s="53"/>
      <c r="V2320" s="53"/>
    </row>
    <row r="2321">
      <c r="A2321" s="83"/>
      <c r="B2321" s="53"/>
      <c r="C2321" s="53"/>
      <c r="D2321" s="53"/>
      <c r="E2321" s="240"/>
      <c r="F2321" s="241"/>
      <c r="G2321" s="53"/>
      <c r="H2321" s="53"/>
      <c r="I2321" s="53"/>
      <c r="J2321" s="53"/>
      <c r="K2321" s="53"/>
      <c r="L2321" s="53"/>
      <c r="M2321" s="53"/>
      <c r="N2321" s="53"/>
      <c r="O2321" s="53"/>
      <c r="P2321" s="53"/>
      <c r="Q2321" s="53"/>
      <c r="R2321" s="53"/>
      <c r="S2321" s="53"/>
      <c r="T2321" s="53"/>
      <c r="U2321" s="53"/>
      <c r="V2321" s="53"/>
    </row>
    <row r="2322">
      <c r="A2322" s="83"/>
      <c r="B2322" s="53"/>
      <c r="C2322" s="53"/>
      <c r="D2322" s="53"/>
      <c r="E2322" s="240"/>
      <c r="F2322" s="241"/>
      <c r="G2322" s="53"/>
      <c r="H2322" s="53"/>
      <c r="I2322" s="53"/>
      <c r="J2322" s="53"/>
      <c r="K2322" s="53"/>
      <c r="L2322" s="53"/>
      <c r="M2322" s="53"/>
      <c r="N2322" s="53"/>
      <c r="O2322" s="53"/>
      <c r="P2322" s="53"/>
      <c r="Q2322" s="53"/>
      <c r="R2322" s="53"/>
      <c r="S2322" s="53"/>
      <c r="T2322" s="53"/>
      <c r="U2322" s="53"/>
      <c r="V2322" s="53"/>
    </row>
    <row r="2323">
      <c r="A2323" s="83"/>
      <c r="B2323" s="53"/>
      <c r="C2323" s="53"/>
      <c r="D2323" s="53"/>
      <c r="E2323" s="240"/>
      <c r="F2323" s="241"/>
      <c r="G2323" s="53"/>
      <c r="H2323" s="53"/>
      <c r="I2323" s="53"/>
      <c r="J2323" s="53"/>
      <c r="K2323" s="53"/>
      <c r="L2323" s="53"/>
      <c r="M2323" s="53"/>
      <c r="N2323" s="53"/>
      <c r="O2323" s="53"/>
      <c r="P2323" s="53"/>
      <c r="Q2323" s="53"/>
      <c r="R2323" s="53"/>
      <c r="S2323" s="53"/>
      <c r="T2323" s="53"/>
      <c r="U2323" s="53"/>
      <c r="V2323" s="53"/>
    </row>
    <row r="2324">
      <c r="A2324" s="83"/>
      <c r="B2324" s="53"/>
      <c r="C2324" s="53"/>
      <c r="D2324" s="53"/>
      <c r="E2324" s="240"/>
      <c r="F2324" s="241"/>
      <c r="G2324" s="53"/>
      <c r="H2324" s="53"/>
      <c r="I2324" s="53"/>
      <c r="J2324" s="53"/>
      <c r="K2324" s="53"/>
      <c r="L2324" s="53"/>
      <c r="M2324" s="53"/>
      <c r="N2324" s="53"/>
      <c r="O2324" s="53"/>
      <c r="P2324" s="53"/>
      <c r="Q2324" s="53"/>
      <c r="R2324" s="53"/>
      <c r="S2324" s="53"/>
      <c r="T2324" s="53"/>
      <c r="U2324" s="53"/>
      <c r="V2324" s="53"/>
    </row>
    <row r="2325">
      <c r="A2325" s="83"/>
      <c r="B2325" s="53"/>
      <c r="C2325" s="53"/>
      <c r="D2325" s="53"/>
      <c r="E2325" s="240"/>
      <c r="F2325" s="241"/>
      <c r="G2325" s="53"/>
      <c r="H2325" s="53"/>
      <c r="I2325" s="53"/>
      <c r="J2325" s="53"/>
      <c r="K2325" s="53"/>
      <c r="L2325" s="53"/>
      <c r="M2325" s="53"/>
      <c r="N2325" s="53"/>
      <c r="O2325" s="53"/>
      <c r="P2325" s="53"/>
      <c r="Q2325" s="53"/>
      <c r="R2325" s="53"/>
      <c r="S2325" s="53"/>
      <c r="T2325" s="53"/>
      <c r="U2325" s="53"/>
      <c r="V2325" s="53"/>
    </row>
    <row r="2326">
      <c r="A2326" s="83"/>
      <c r="B2326" s="53"/>
      <c r="C2326" s="53"/>
      <c r="D2326" s="53"/>
      <c r="E2326" s="240"/>
      <c r="F2326" s="241"/>
      <c r="G2326" s="53"/>
      <c r="H2326" s="53"/>
      <c r="I2326" s="53"/>
      <c r="J2326" s="53"/>
      <c r="K2326" s="53"/>
      <c r="L2326" s="53"/>
      <c r="M2326" s="53"/>
      <c r="N2326" s="53"/>
      <c r="O2326" s="53"/>
      <c r="P2326" s="53"/>
      <c r="Q2326" s="53"/>
      <c r="R2326" s="53"/>
      <c r="S2326" s="53"/>
      <c r="T2326" s="53"/>
      <c r="U2326" s="53"/>
      <c r="V2326" s="53"/>
    </row>
    <row r="2327">
      <c r="A2327" s="83"/>
      <c r="B2327" s="53"/>
      <c r="C2327" s="53"/>
      <c r="D2327" s="53"/>
      <c r="E2327" s="240"/>
      <c r="F2327" s="241"/>
      <c r="G2327" s="53"/>
      <c r="H2327" s="53"/>
      <c r="I2327" s="53"/>
      <c r="J2327" s="53"/>
      <c r="K2327" s="53"/>
      <c r="L2327" s="53"/>
      <c r="M2327" s="53"/>
      <c r="N2327" s="53"/>
      <c r="O2327" s="53"/>
      <c r="P2327" s="53"/>
      <c r="Q2327" s="53"/>
      <c r="R2327" s="53"/>
      <c r="S2327" s="53"/>
      <c r="T2327" s="53"/>
      <c r="U2327" s="53"/>
      <c r="V2327" s="53"/>
    </row>
    <row r="2328">
      <c r="A2328" s="83"/>
      <c r="B2328" s="53"/>
      <c r="C2328" s="53"/>
      <c r="D2328" s="53"/>
      <c r="E2328" s="240"/>
      <c r="F2328" s="241"/>
      <c r="G2328" s="53"/>
      <c r="H2328" s="53"/>
      <c r="I2328" s="53"/>
      <c r="J2328" s="53"/>
      <c r="K2328" s="53"/>
      <c r="L2328" s="53"/>
      <c r="M2328" s="53"/>
      <c r="N2328" s="53"/>
      <c r="O2328" s="53"/>
      <c r="P2328" s="53"/>
      <c r="Q2328" s="53"/>
      <c r="R2328" s="53"/>
      <c r="S2328" s="53"/>
      <c r="T2328" s="53"/>
      <c r="U2328" s="53"/>
      <c r="V2328" s="53"/>
    </row>
    <row r="2329">
      <c r="A2329" s="83"/>
      <c r="B2329" s="53"/>
      <c r="C2329" s="53"/>
      <c r="D2329" s="53"/>
      <c r="E2329" s="240"/>
      <c r="F2329" s="241"/>
      <c r="G2329" s="53"/>
      <c r="H2329" s="53"/>
      <c r="I2329" s="53"/>
      <c r="J2329" s="53"/>
      <c r="K2329" s="53"/>
      <c r="L2329" s="53"/>
      <c r="M2329" s="53"/>
      <c r="N2329" s="53"/>
      <c r="O2329" s="53"/>
      <c r="P2329" s="53"/>
      <c r="Q2329" s="53"/>
      <c r="R2329" s="53"/>
      <c r="S2329" s="53"/>
      <c r="T2329" s="53"/>
      <c r="U2329" s="53"/>
      <c r="V2329" s="53"/>
    </row>
    <row r="2330">
      <c r="A2330" s="83"/>
      <c r="B2330" s="53"/>
      <c r="C2330" s="53"/>
      <c r="D2330" s="53"/>
      <c r="E2330" s="240"/>
      <c r="F2330" s="241"/>
      <c r="G2330" s="53"/>
      <c r="H2330" s="53"/>
      <c r="I2330" s="53"/>
      <c r="J2330" s="53"/>
      <c r="K2330" s="53"/>
      <c r="L2330" s="53"/>
      <c r="M2330" s="53"/>
      <c r="N2330" s="53"/>
      <c r="O2330" s="53"/>
      <c r="P2330" s="53"/>
      <c r="Q2330" s="53"/>
      <c r="R2330" s="53"/>
      <c r="S2330" s="53"/>
      <c r="T2330" s="53"/>
      <c r="U2330" s="53"/>
      <c r="V2330" s="53"/>
    </row>
    <row r="2331">
      <c r="A2331" s="83"/>
      <c r="B2331" s="53"/>
      <c r="C2331" s="53"/>
      <c r="D2331" s="53"/>
      <c r="E2331" s="240"/>
      <c r="F2331" s="241"/>
      <c r="G2331" s="53"/>
      <c r="H2331" s="53"/>
      <c r="I2331" s="53"/>
      <c r="J2331" s="53"/>
      <c r="K2331" s="53"/>
      <c r="L2331" s="53"/>
      <c r="M2331" s="53"/>
      <c r="N2331" s="53"/>
      <c r="O2331" s="53"/>
      <c r="P2331" s="53"/>
      <c r="Q2331" s="53"/>
      <c r="R2331" s="53"/>
      <c r="S2331" s="53"/>
      <c r="T2331" s="53"/>
      <c r="U2331" s="53"/>
      <c r="V2331" s="53"/>
    </row>
    <row r="2332">
      <c r="A2332" s="83"/>
      <c r="B2332" s="53"/>
      <c r="C2332" s="53"/>
      <c r="D2332" s="53"/>
      <c r="E2332" s="240"/>
      <c r="F2332" s="241"/>
      <c r="G2332" s="53"/>
      <c r="H2332" s="53"/>
      <c r="I2332" s="53"/>
      <c r="J2332" s="53"/>
      <c r="K2332" s="53"/>
      <c r="L2332" s="53"/>
      <c r="M2332" s="53"/>
      <c r="N2332" s="53"/>
      <c r="O2332" s="53"/>
      <c r="P2332" s="53"/>
      <c r="Q2332" s="53"/>
      <c r="R2332" s="53"/>
      <c r="S2332" s="53"/>
      <c r="T2332" s="53"/>
      <c r="U2332" s="53"/>
      <c r="V2332" s="53"/>
    </row>
    <row r="2333">
      <c r="A2333" s="83"/>
      <c r="B2333" s="53"/>
      <c r="C2333" s="53"/>
      <c r="D2333" s="53"/>
      <c r="E2333" s="240"/>
      <c r="F2333" s="241"/>
      <c r="G2333" s="53"/>
      <c r="H2333" s="53"/>
      <c r="I2333" s="53"/>
      <c r="J2333" s="53"/>
      <c r="K2333" s="53"/>
      <c r="L2333" s="53"/>
      <c r="M2333" s="53"/>
      <c r="N2333" s="53"/>
      <c r="O2333" s="53"/>
      <c r="P2333" s="53"/>
      <c r="Q2333" s="53"/>
      <c r="R2333" s="53"/>
      <c r="S2333" s="53"/>
      <c r="T2333" s="53"/>
      <c r="U2333" s="53"/>
      <c r="V2333" s="53"/>
    </row>
    <row r="2334">
      <c r="A2334" s="83"/>
      <c r="B2334" s="53"/>
      <c r="C2334" s="53"/>
      <c r="D2334" s="53"/>
      <c r="E2334" s="240"/>
      <c r="F2334" s="241"/>
      <c r="G2334" s="53"/>
      <c r="H2334" s="53"/>
      <c r="I2334" s="53"/>
      <c r="J2334" s="53"/>
      <c r="K2334" s="53"/>
      <c r="L2334" s="53"/>
      <c r="M2334" s="53"/>
      <c r="N2334" s="53"/>
      <c r="O2334" s="53"/>
      <c r="P2334" s="53"/>
      <c r="Q2334" s="53"/>
      <c r="R2334" s="53"/>
      <c r="S2334" s="53"/>
      <c r="T2334" s="53"/>
      <c r="U2334" s="53"/>
      <c r="V2334" s="53"/>
    </row>
    <row r="2335">
      <c r="A2335" s="83"/>
      <c r="B2335" s="53"/>
      <c r="C2335" s="53"/>
      <c r="D2335" s="53"/>
      <c r="E2335" s="240"/>
      <c r="F2335" s="241"/>
      <c r="G2335" s="53"/>
      <c r="H2335" s="53"/>
      <c r="I2335" s="53"/>
      <c r="J2335" s="53"/>
      <c r="K2335" s="53"/>
      <c r="L2335" s="53"/>
      <c r="M2335" s="53"/>
      <c r="N2335" s="53"/>
      <c r="O2335" s="53"/>
      <c r="P2335" s="53"/>
      <c r="Q2335" s="53"/>
      <c r="R2335" s="53"/>
      <c r="S2335" s="53"/>
      <c r="T2335" s="53"/>
      <c r="U2335" s="53"/>
      <c r="V2335" s="53"/>
    </row>
    <row r="2336">
      <c r="A2336" s="83"/>
      <c r="B2336" s="53"/>
      <c r="C2336" s="53"/>
      <c r="D2336" s="53"/>
      <c r="E2336" s="240"/>
      <c r="F2336" s="241"/>
      <c r="G2336" s="53"/>
      <c r="H2336" s="53"/>
      <c r="I2336" s="53"/>
      <c r="J2336" s="53"/>
      <c r="K2336" s="53"/>
      <c r="L2336" s="53"/>
      <c r="M2336" s="53"/>
      <c r="N2336" s="53"/>
      <c r="O2336" s="53"/>
      <c r="P2336" s="53"/>
      <c r="Q2336" s="53"/>
      <c r="R2336" s="53"/>
      <c r="S2336" s="53"/>
      <c r="T2336" s="53"/>
      <c r="U2336" s="53"/>
      <c r="V2336" s="53"/>
    </row>
    <row r="2337">
      <c r="A2337" s="83"/>
      <c r="B2337" s="53"/>
      <c r="C2337" s="53"/>
      <c r="D2337" s="53"/>
      <c r="E2337" s="240"/>
      <c r="F2337" s="241"/>
      <c r="G2337" s="53"/>
      <c r="H2337" s="53"/>
      <c r="I2337" s="53"/>
      <c r="J2337" s="53"/>
      <c r="K2337" s="53"/>
      <c r="L2337" s="53"/>
      <c r="M2337" s="53"/>
      <c r="N2337" s="53"/>
      <c r="O2337" s="53"/>
      <c r="P2337" s="53"/>
      <c r="Q2337" s="53"/>
      <c r="R2337" s="53"/>
      <c r="S2337" s="53"/>
      <c r="T2337" s="53"/>
      <c r="U2337" s="53"/>
      <c r="V2337" s="53"/>
    </row>
    <row r="2338">
      <c r="A2338" s="83"/>
      <c r="B2338" s="53"/>
      <c r="C2338" s="53"/>
      <c r="D2338" s="53"/>
      <c r="E2338" s="240"/>
      <c r="F2338" s="241"/>
      <c r="G2338" s="53"/>
      <c r="H2338" s="53"/>
      <c r="I2338" s="53"/>
      <c r="J2338" s="53"/>
      <c r="K2338" s="53"/>
      <c r="L2338" s="53"/>
      <c r="M2338" s="53"/>
      <c r="N2338" s="53"/>
      <c r="O2338" s="53"/>
      <c r="P2338" s="53"/>
      <c r="Q2338" s="53"/>
      <c r="R2338" s="53"/>
      <c r="S2338" s="53"/>
      <c r="T2338" s="53"/>
      <c r="U2338" s="53"/>
      <c r="V2338" s="53"/>
    </row>
    <row r="2339">
      <c r="A2339" s="83"/>
      <c r="B2339" s="53"/>
      <c r="C2339" s="53"/>
      <c r="D2339" s="53"/>
      <c r="E2339" s="240"/>
      <c r="F2339" s="241"/>
      <c r="G2339" s="53"/>
      <c r="H2339" s="53"/>
      <c r="I2339" s="53"/>
      <c r="J2339" s="53"/>
      <c r="K2339" s="53"/>
      <c r="L2339" s="53"/>
      <c r="M2339" s="53"/>
      <c r="N2339" s="53"/>
      <c r="O2339" s="53"/>
      <c r="P2339" s="53"/>
      <c r="Q2339" s="53"/>
      <c r="R2339" s="53"/>
      <c r="S2339" s="53"/>
      <c r="T2339" s="53"/>
      <c r="U2339" s="53"/>
      <c r="V2339" s="53"/>
    </row>
    <row r="2340">
      <c r="A2340" s="83"/>
      <c r="B2340" s="53"/>
      <c r="C2340" s="53"/>
      <c r="D2340" s="53"/>
      <c r="E2340" s="240"/>
      <c r="F2340" s="241"/>
      <c r="G2340" s="53"/>
      <c r="H2340" s="53"/>
      <c r="I2340" s="53"/>
      <c r="J2340" s="53"/>
      <c r="K2340" s="53"/>
      <c r="L2340" s="53"/>
      <c r="M2340" s="53"/>
      <c r="N2340" s="53"/>
      <c r="O2340" s="53"/>
      <c r="P2340" s="53"/>
      <c r="Q2340" s="53"/>
      <c r="R2340" s="53"/>
      <c r="S2340" s="53"/>
      <c r="T2340" s="53"/>
      <c r="U2340" s="53"/>
      <c r="V2340" s="53"/>
    </row>
    <row r="2341">
      <c r="A2341" s="83"/>
      <c r="B2341" s="53"/>
      <c r="C2341" s="53"/>
      <c r="D2341" s="53"/>
      <c r="E2341" s="240"/>
      <c r="F2341" s="241"/>
      <c r="G2341" s="53"/>
      <c r="H2341" s="53"/>
      <c r="I2341" s="53"/>
      <c r="J2341" s="53"/>
      <c r="K2341" s="53"/>
      <c r="L2341" s="53"/>
      <c r="M2341" s="53"/>
      <c r="N2341" s="53"/>
      <c r="O2341" s="53"/>
      <c r="P2341" s="53"/>
      <c r="Q2341" s="53"/>
      <c r="R2341" s="53"/>
      <c r="S2341" s="53"/>
      <c r="T2341" s="53"/>
      <c r="U2341" s="53"/>
      <c r="V2341" s="53"/>
    </row>
    <row r="2342">
      <c r="A2342" s="83"/>
      <c r="B2342" s="53"/>
      <c r="C2342" s="53"/>
      <c r="D2342" s="53"/>
      <c r="E2342" s="240"/>
      <c r="F2342" s="241"/>
      <c r="G2342" s="53"/>
      <c r="H2342" s="53"/>
      <c r="I2342" s="53"/>
      <c r="J2342" s="53"/>
      <c r="K2342" s="53"/>
      <c r="L2342" s="53"/>
      <c r="M2342" s="53"/>
      <c r="N2342" s="53"/>
      <c r="O2342" s="53"/>
      <c r="P2342" s="53"/>
      <c r="Q2342" s="53"/>
      <c r="R2342" s="53"/>
      <c r="S2342" s="53"/>
      <c r="T2342" s="53"/>
      <c r="U2342" s="53"/>
      <c r="V2342" s="53"/>
    </row>
    <row r="2343">
      <c r="A2343" s="83"/>
      <c r="B2343" s="53"/>
      <c r="C2343" s="53"/>
      <c r="D2343" s="53"/>
      <c r="E2343" s="240"/>
      <c r="F2343" s="241"/>
      <c r="G2343" s="53"/>
      <c r="H2343" s="53"/>
      <c r="I2343" s="53"/>
      <c r="J2343" s="53"/>
      <c r="K2343" s="53"/>
      <c r="L2343" s="53"/>
      <c r="M2343" s="53"/>
      <c r="N2343" s="53"/>
      <c r="O2343" s="53"/>
      <c r="P2343" s="53"/>
      <c r="Q2343" s="53"/>
      <c r="R2343" s="53"/>
      <c r="S2343" s="53"/>
      <c r="T2343" s="53"/>
      <c r="U2343" s="53"/>
      <c r="V2343" s="53"/>
    </row>
    <row r="2344">
      <c r="A2344" s="83"/>
      <c r="B2344" s="53"/>
      <c r="C2344" s="53"/>
      <c r="D2344" s="53"/>
      <c r="E2344" s="240"/>
      <c r="F2344" s="241"/>
      <c r="G2344" s="53"/>
      <c r="H2344" s="53"/>
      <c r="I2344" s="53"/>
      <c r="J2344" s="53"/>
      <c r="K2344" s="53"/>
      <c r="L2344" s="53"/>
      <c r="M2344" s="53"/>
      <c r="N2344" s="53"/>
      <c r="O2344" s="53"/>
      <c r="P2344" s="53"/>
      <c r="Q2344" s="53"/>
      <c r="R2344" s="53"/>
      <c r="S2344" s="53"/>
      <c r="T2344" s="53"/>
      <c r="U2344" s="53"/>
      <c r="V2344" s="53"/>
    </row>
    <row r="2345">
      <c r="A2345" s="83"/>
      <c r="B2345" s="53"/>
      <c r="C2345" s="53"/>
      <c r="D2345" s="53"/>
      <c r="E2345" s="240"/>
      <c r="F2345" s="241"/>
      <c r="G2345" s="53"/>
      <c r="H2345" s="53"/>
      <c r="I2345" s="53"/>
      <c r="J2345" s="53"/>
      <c r="K2345" s="53"/>
      <c r="L2345" s="53"/>
      <c r="M2345" s="53"/>
      <c r="N2345" s="53"/>
      <c r="O2345" s="53"/>
      <c r="P2345" s="53"/>
      <c r="Q2345" s="53"/>
      <c r="R2345" s="53"/>
      <c r="S2345" s="53"/>
      <c r="T2345" s="53"/>
      <c r="U2345" s="53"/>
      <c r="V2345" s="53"/>
    </row>
    <row r="2346">
      <c r="A2346" s="83"/>
      <c r="B2346" s="53"/>
      <c r="C2346" s="53"/>
      <c r="D2346" s="53"/>
      <c r="E2346" s="240"/>
      <c r="F2346" s="241"/>
      <c r="G2346" s="53"/>
      <c r="H2346" s="53"/>
      <c r="I2346" s="53"/>
      <c r="J2346" s="53"/>
      <c r="K2346" s="53"/>
      <c r="L2346" s="53"/>
      <c r="M2346" s="53"/>
      <c r="N2346" s="53"/>
      <c r="O2346" s="53"/>
      <c r="P2346" s="53"/>
      <c r="Q2346" s="53"/>
      <c r="R2346" s="53"/>
      <c r="S2346" s="53"/>
      <c r="T2346" s="53"/>
      <c r="U2346" s="53"/>
      <c r="V2346" s="53"/>
    </row>
    <row r="2347">
      <c r="A2347" s="83"/>
      <c r="B2347" s="53"/>
      <c r="C2347" s="53"/>
      <c r="D2347" s="53"/>
      <c r="E2347" s="240"/>
      <c r="F2347" s="241"/>
      <c r="G2347" s="53"/>
      <c r="H2347" s="53"/>
      <c r="I2347" s="53"/>
      <c r="J2347" s="53"/>
      <c r="K2347" s="53"/>
      <c r="L2347" s="53"/>
      <c r="M2347" s="53"/>
      <c r="N2347" s="53"/>
      <c r="O2347" s="53"/>
      <c r="P2347" s="53"/>
      <c r="Q2347" s="53"/>
      <c r="R2347" s="53"/>
      <c r="S2347" s="53"/>
      <c r="T2347" s="53"/>
      <c r="U2347" s="53"/>
      <c r="V2347" s="53"/>
    </row>
    <row r="2348">
      <c r="A2348" s="83"/>
      <c r="B2348" s="53"/>
      <c r="C2348" s="53"/>
      <c r="D2348" s="53"/>
      <c r="E2348" s="240"/>
      <c r="F2348" s="241"/>
      <c r="G2348" s="53"/>
      <c r="H2348" s="53"/>
      <c r="I2348" s="53"/>
      <c r="J2348" s="53"/>
      <c r="K2348" s="53"/>
      <c r="L2348" s="53"/>
      <c r="M2348" s="53"/>
      <c r="N2348" s="53"/>
      <c r="O2348" s="53"/>
      <c r="P2348" s="53"/>
      <c r="Q2348" s="53"/>
      <c r="R2348" s="53"/>
      <c r="S2348" s="53"/>
      <c r="T2348" s="53"/>
      <c r="U2348" s="53"/>
      <c r="V2348" s="53"/>
    </row>
    <row r="2349">
      <c r="A2349" s="83"/>
      <c r="B2349" s="53"/>
      <c r="C2349" s="53"/>
      <c r="D2349" s="53"/>
      <c r="E2349" s="240"/>
      <c r="F2349" s="241"/>
      <c r="G2349" s="53"/>
      <c r="H2349" s="53"/>
      <c r="I2349" s="53"/>
      <c r="J2349" s="53"/>
      <c r="K2349" s="53"/>
      <c r="L2349" s="53"/>
      <c r="M2349" s="53"/>
      <c r="N2349" s="53"/>
      <c r="O2349" s="53"/>
      <c r="P2349" s="53"/>
      <c r="Q2349" s="53"/>
      <c r="R2349" s="53"/>
      <c r="S2349" s="53"/>
      <c r="T2349" s="53"/>
      <c r="U2349" s="53"/>
      <c r="V2349" s="53"/>
    </row>
    <row r="2350">
      <c r="A2350" s="83"/>
      <c r="B2350" s="53"/>
      <c r="C2350" s="53"/>
      <c r="D2350" s="53"/>
      <c r="E2350" s="240"/>
      <c r="F2350" s="241"/>
      <c r="G2350" s="53"/>
      <c r="H2350" s="53"/>
      <c r="I2350" s="53"/>
      <c r="J2350" s="53"/>
      <c r="K2350" s="53"/>
      <c r="L2350" s="53"/>
      <c r="M2350" s="53"/>
      <c r="N2350" s="53"/>
      <c r="O2350" s="53"/>
      <c r="P2350" s="53"/>
      <c r="Q2350" s="53"/>
      <c r="R2350" s="53"/>
      <c r="S2350" s="53"/>
      <c r="T2350" s="53"/>
      <c r="U2350" s="53"/>
      <c r="V2350" s="53"/>
    </row>
    <row r="2351">
      <c r="A2351" s="83"/>
      <c r="B2351" s="53"/>
      <c r="C2351" s="53"/>
      <c r="D2351" s="53"/>
      <c r="E2351" s="240"/>
      <c r="F2351" s="241"/>
      <c r="G2351" s="53"/>
      <c r="H2351" s="53"/>
      <c r="I2351" s="53"/>
      <c r="J2351" s="53"/>
      <c r="K2351" s="53"/>
      <c r="L2351" s="53"/>
      <c r="M2351" s="53"/>
      <c r="N2351" s="53"/>
      <c r="O2351" s="53"/>
      <c r="P2351" s="53"/>
      <c r="Q2351" s="53"/>
      <c r="R2351" s="53"/>
      <c r="S2351" s="53"/>
      <c r="T2351" s="53"/>
      <c r="U2351" s="53"/>
      <c r="V2351" s="53"/>
    </row>
    <row r="2352">
      <c r="A2352" s="83"/>
      <c r="B2352" s="53"/>
      <c r="C2352" s="53"/>
      <c r="D2352" s="53"/>
      <c r="E2352" s="240"/>
      <c r="F2352" s="241"/>
      <c r="G2352" s="53"/>
      <c r="H2352" s="53"/>
      <c r="I2352" s="53"/>
      <c r="J2352" s="53"/>
      <c r="K2352" s="53"/>
      <c r="L2352" s="53"/>
      <c r="M2352" s="53"/>
      <c r="N2352" s="53"/>
      <c r="O2352" s="53"/>
      <c r="P2352" s="53"/>
      <c r="Q2352" s="53"/>
      <c r="R2352" s="53"/>
      <c r="S2352" s="53"/>
      <c r="T2352" s="53"/>
      <c r="U2352" s="53"/>
      <c r="V2352" s="53"/>
    </row>
    <row r="2353">
      <c r="A2353" s="83"/>
      <c r="B2353" s="53"/>
      <c r="C2353" s="53"/>
      <c r="D2353" s="53"/>
      <c r="E2353" s="240"/>
      <c r="F2353" s="241"/>
      <c r="G2353" s="53"/>
      <c r="H2353" s="53"/>
      <c r="I2353" s="53"/>
      <c r="J2353" s="53"/>
      <c r="K2353" s="53"/>
      <c r="L2353" s="53"/>
      <c r="M2353" s="53"/>
      <c r="N2353" s="53"/>
      <c r="O2353" s="53"/>
      <c r="P2353" s="53"/>
      <c r="Q2353" s="53"/>
      <c r="R2353" s="53"/>
      <c r="S2353" s="53"/>
      <c r="T2353" s="53"/>
      <c r="U2353" s="53"/>
      <c r="V2353" s="53"/>
    </row>
    <row r="2354">
      <c r="A2354" s="83"/>
      <c r="B2354" s="53"/>
      <c r="C2354" s="53"/>
      <c r="D2354" s="53"/>
      <c r="E2354" s="240"/>
      <c r="F2354" s="241"/>
      <c r="G2354" s="53"/>
      <c r="H2354" s="53"/>
      <c r="I2354" s="53"/>
      <c r="J2354" s="53"/>
      <c r="K2354" s="53"/>
      <c r="L2354" s="53"/>
      <c r="M2354" s="53"/>
      <c r="N2354" s="53"/>
      <c r="O2354" s="53"/>
      <c r="P2354" s="53"/>
      <c r="Q2354" s="53"/>
      <c r="R2354" s="53"/>
      <c r="S2354" s="53"/>
      <c r="T2354" s="53"/>
      <c r="U2354" s="53"/>
      <c r="V2354" s="53"/>
    </row>
    <row r="2355">
      <c r="A2355" s="83"/>
      <c r="B2355" s="53"/>
      <c r="C2355" s="53"/>
      <c r="D2355" s="53"/>
      <c r="E2355" s="240"/>
      <c r="F2355" s="241"/>
      <c r="G2355" s="53"/>
      <c r="H2355" s="53"/>
      <c r="I2355" s="53"/>
      <c r="J2355" s="53"/>
      <c r="K2355" s="53"/>
      <c r="L2355" s="53"/>
      <c r="M2355" s="53"/>
      <c r="N2355" s="53"/>
      <c r="O2355" s="53"/>
      <c r="P2355" s="53"/>
      <c r="Q2355" s="53"/>
      <c r="R2355" s="53"/>
      <c r="S2355" s="53"/>
      <c r="T2355" s="53"/>
      <c r="U2355" s="53"/>
      <c r="V2355" s="53"/>
    </row>
    <row r="2356">
      <c r="A2356" s="83"/>
      <c r="B2356" s="53"/>
      <c r="C2356" s="53"/>
      <c r="D2356" s="53"/>
      <c r="E2356" s="240"/>
      <c r="F2356" s="241"/>
      <c r="G2356" s="53"/>
      <c r="H2356" s="53"/>
      <c r="I2356" s="53"/>
      <c r="J2356" s="53"/>
      <c r="K2356" s="53"/>
      <c r="L2356" s="53"/>
      <c r="M2356" s="53"/>
      <c r="N2356" s="53"/>
      <c r="O2356" s="53"/>
      <c r="P2356" s="53"/>
      <c r="Q2356" s="53"/>
      <c r="R2356" s="53"/>
      <c r="S2356" s="53"/>
      <c r="T2356" s="53"/>
      <c r="U2356" s="53"/>
      <c r="V2356" s="53"/>
    </row>
    <row r="2357">
      <c r="A2357" s="83"/>
      <c r="B2357" s="53"/>
      <c r="C2357" s="53"/>
      <c r="D2357" s="53"/>
      <c r="E2357" s="240"/>
      <c r="F2357" s="241"/>
      <c r="G2357" s="53"/>
      <c r="H2357" s="53"/>
      <c r="I2357" s="53"/>
      <c r="J2357" s="53"/>
      <c r="K2357" s="53"/>
      <c r="L2357" s="53"/>
      <c r="M2357" s="53"/>
      <c r="N2357" s="53"/>
      <c r="O2357" s="53"/>
      <c r="P2357" s="53"/>
      <c r="Q2357" s="53"/>
      <c r="R2357" s="53"/>
      <c r="S2357" s="53"/>
      <c r="T2357" s="53"/>
      <c r="U2357" s="53"/>
      <c r="V2357" s="53"/>
    </row>
    <row r="2358">
      <c r="A2358" s="83"/>
      <c r="B2358" s="53"/>
      <c r="C2358" s="53"/>
      <c r="D2358" s="53"/>
      <c r="E2358" s="240"/>
      <c r="F2358" s="241"/>
      <c r="G2358" s="53"/>
      <c r="H2358" s="53"/>
      <c r="I2358" s="53"/>
      <c r="J2358" s="53"/>
      <c r="K2358" s="53"/>
      <c r="L2358" s="53"/>
      <c r="M2358" s="53"/>
      <c r="N2358" s="53"/>
      <c r="O2358" s="53"/>
      <c r="P2358" s="53"/>
      <c r="Q2358" s="53"/>
      <c r="R2358" s="53"/>
      <c r="S2358" s="53"/>
      <c r="T2358" s="53"/>
      <c r="U2358" s="53"/>
      <c r="V2358" s="53"/>
    </row>
    <row r="2359">
      <c r="A2359" s="83"/>
      <c r="B2359" s="53"/>
      <c r="C2359" s="53"/>
      <c r="D2359" s="53"/>
      <c r="E2359" s="240"/>
      <c r="F2359" s="241"/>
      <c r="G2359" s="53"/>
      <c r="H2359" s="53"/>
      <c r="I2359" s="53"/>
      <c r="J2359" s="53"/>
      <c r="K2359" s="53"/>
      <c r="L2359" s="53"/>
      <c r="M2359" s="53"/>
      <c r="N2359" s="53"/>
      <c r="O2359" s="53"/>
      <c r="P2359" s="53"/>
      <c r="Q2359" s="53"/>
      <c r="R2359" s="53"/>
      <c r="S2359" s="53"/>
      <c r="T2359" s="53"/>
      <c r="U2359" s="53"/>
      <c r="V2359" s="53"/>
    </row>
    <row r="2360">
      <c r="A2360" s="83"/>
      <c r="B2360" s="53"/>
      <c r="C2360" s="53"/>
      <c r="D2360" s="53"/>
      <c r="E2360" s="240"/>
      <c r="F2360" s="241"/>
      <c r="G2360" s="53"/>
      <c r="H2360" s="53"/>
      <c r="I2360" s="53"/>
      <c r="J2360" s="53"/>
      <c r="K2360" s="53"/>
      <c r="L2360" s="53"/>
      <c r="M2360" s="53"/>
      <c r="N2360" s="53"/>
      <c r="O2360" s="53"/>
      <c r="P2360" s="53"/>
      <c r="Q2360" s="53"/>
      <c r="R2360" s="53"/>
      <c r="S2360" s="53"/>
      <c r="T2360" s="53"/>
      <c r="U2360" s="53"/>
      <c r="V2360" s="53"/>
    </row>
    <row r="2361">
      <c r="A2361" s="83"/>
      <c r="B2361" s="53"/>
      <c r="C2361" s="53"/>
      <c r="D2361" s="53"/>
      <c r="E2361" s="240"/>
      <c r="F2361" s="241"/>
      <c r="G2361" s="53"/>
      <c r="H2361" s="53"/>
      <c r="I2361" s="53"/>
      <c r="J2361" s="53"/>
      <c r="K2361" s="53"/>
      <c r="L2361" s="53"/>
      <c r="M2361" s="53"/>
      <c r="N2361" s="53"/>
      <c r="O2361" s="53"/>
      <c r="P2361" s="53"/>
      <c r="Q2361" s="53"/>
      <c r="R2361" s="53"/>
      <c r="S2361" s="53"/>
      <c r="T2361" s="53"/>
      <c r="U2361" s="53"/>
      <c r="V2361" s="53"/>
    </row>
    <row r="2362">
      <c r="A2362" s="83"/>
      <c r="B2362" s="53"/>
      <c r="C2362" s="53"/>
      <c r="D2362" s="53"/>
      <c r="E2362" s="240"/>
      <c r="F2362" s="241"/>
      <c r="G2362" s="53"/>
      <c r="H2362" s="53"/>
      <c r="I2362" s="53"/>
      <c r="J2362" s="53"/>
      <c r="K2362" s="53"/>
      <c r="L2362" s="53"/>
      <c r="M2362" s="53"/>
      <c r="N2362" s="53"/>
      <c r="O2362" s="53"/>
      <c r="P2362" s="53"/>
      <c r="Q2362" s="53"/>
      <c r="R2362" s="53"/>
      <c r="S2362" s="53"/>
      <c r="T2362" s="53"/>
      <c r="U2362" s="53"/>
      <c r="V2362" s="53"/>
    </row>
    <row r="2363">
      <c r="A2363" s="83"/>
      <c r="B2363" s="53"/>
      <c r="C2363" s="53"/>
      <c r="D2363" s="53"/>
      <c r="E2363" s="240"/>
      <c r="F2363" s="241"/>
      <c r="G2363" s="53"/>
      <c r="H2363" s="53"/>
      <c r="I2363" s="53"/>
      <c r="J2363" s="53"/>
      <c r="K2363" s="53"/>
      <c r="L2363" s="53"/>
      <c r="M2363" s="53"/>
      <c r="N2363" s="53"/>
      <c r="O2363" s="53"/>
      <c r="P2363" s="53"/>
      <c r="Q2363" s="53"/>
      <c r="R2363" s="53"/>
      <c r="S2363" s="53"/>
      <c r="T2363" s="53"/>
      <c r="U2363" s="53"/>
      <c r="V2363" s="53"/>
    </row>
    <row r="2364">
      <c r="A2364" s="83"/>
      <c r="B2364" s="53"/>
      <c r="C2364" s="53"/>
      <c r="D2364" s="53"/>
      <c r="E2364" s="240"/>
      <c r="F2364" s="241"/>
      <c r="G2364" s="53"/>
      <c r="H2364" s="53"/>
      <c r="I2364" s="53"/>
      <c r="J2364" s="53"/>
      <c r="K2364" s="53"/>
      <c r="L2364" s="53"/>
      <c r="M2364" s="53"/>
      <c r="N2364" s="53"/>
      <c r="O2364" s="53"/>
      <c r="P2364" s="53"/>
      <c r="Q2364" s="53"/>
      <c r="R2364" s="53"/>
      <c r="S2364" s="53"/>
      <c r="T2364" s="53"/>
      <c r="U2364" s="53"/>
      <c r="V2364" s="53"/>
    </row>
    <row r="2365">
      <c r="A2365" s="83"/>
      <c r="B2365" s="53"/>
      <c r="C2365" s="53"/>
      <c r="D2365" s="53"/>
      <c r="E2365" s="240"/>
      <c r="F2365" s="241"/>
      <c r="G2365" s="53"/>
      <c r="H2365" s="53"/>
      <c r="I2365" s="53"/>
      <c r="J2365" s="53"/>
      <c r="K2365" s="53"/>
      <c r="L2365" s="53"/>
      <c r="M2365" s="53"/>
      <c r="N2365" s="53"/>
      <c r="O2365" s="53"/>
      <c r="P2365" s="53"/>
      <c r="Q2365" s="53"/>
      <c r="R2365" s="53"/>
      <c r="S2365" s="53"/>
      <c r="T2365" s="53"/>
      <c r="U2365" s="53"/>
      <c r="V2365" s="53"/>
    </row>
    <row r="2366">
      <c r="A2366" s="83"/>
      <c r="B2366" s="53"/>
      <c r="C2366" s="53"/>
      <c r="D2366" s="53"/>
      <c r="E2366" s="240"/>
      <c r="F2366" s="241"/>
      <c r="G2366" s="53"/>
      <c r="H2366" s="53"/>
      <c r="I2366" s="53"/>
      <c r="J2366" s="53"/>
      <c r="K2366" s="53"/>
      <c r="L2366" s="53"/>
      <c r="M2366" s="53"/>
      <c r="N2366" s="53"/>
      <c r="O2366" s="53"/>
      <c r="P2366" s="53"/>
      <c r="Q2366" s="53"/>
      <c r="R2366" s="53"/>
      <c r="S2366" s="53"/>
      <c r="T2366" s="53"/>
      <c r="U2366" s="53"/>
      <c r="V2366" s="53"/>
    </row>
    <row r="2367">
      <c r="A2367" s="83"/>
      <c r="B2367" s="53"/>
      <c r="C2367" s="53"/>
      <c r="D2367" s="53"/>
      <c r="E2367" s="240"/>
      <c r="F2367" s="241"/>
      <c r="G2367" s="53"/>
      <c r="H2367" s="53"/>
      <c r="I2367" s="53"/>
      <c r="J2367" s="53"/>
      <c r="K2367" s="53"/>
      <c r="L2367" s="53"/>
      <c r="M2367" s="53"/>
      <c r="N2367" s="53"/>
      <c r="O2367" s="53"/>
      <c r="P2367" s="53"/>
      <c r="Q2367" s="53"/>
      <c r="R2367" s="53"/>
      <c r="S2367" s="53"/>
      <c r="T2367" s="53"/>
      <c r="U2367" s="53"/>
      <c r="V2367" s="53"/>
    </row>
    <row r="2368">
      <c r="A2368" s="83"/>
      <c r="B2368" s="53"/>
      <c r="C2368" s="53"/>
      <c r="D2368" s="53"/>
      <c r="E2368" s="240"/>
      <c r="F2368" s="241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</row>
    <row r="2369">
      <c r="A2369" s="83"/>
      <c r="B2369" s="53"/>
      <c r="C2369" s="53"/>
      <c r="D2369" s="53"/>
      <c r="E2369" s="240"/>
      <c r="F2369" s="241"/>
      <c r="G2369" s="53"/>
      <c r="H2369" s="53"/>
      <c r="I2369" s="53"/>
      <c r="J2369" s="53"/>
      <c r="K2369" s="53"/>
      <c r="L2369" s="53"/>
      <c r="M2369" s="53"/>
      <c r="N2369" s="53"/>
      <c r="O2369" s="53"/>
      <c r="P2369" s="53"/>
      <c r="Q2369" s="53"/>
      <c r="R2369" s="53"/>
      <c r="S2369" s="53"/>
      <c r="T2369" s="53"/>
      <c r="U2369" s="53"/>
      <c r="V2369" s="53"/>
    </row>
    <row r="2370">
      <c r="A2370" s="83"/>
      <c r="B2370" s="53"/>
      <c r="C2370" s="53"/>
      <c r="D2370" s="53"/>
      <c r="E2370" s="240"/>
      <c r="F2370" s="241"/>
      <c r="G2370" s="53"/>
      <c r="H2370" s="53"/>
      <c r="I2370" s="53"/>
      <c r="J2370" s="53"/>
      <c r="K2370" s="53"/>
      <c r="L2370" s="53"/>
      <c r="M2370" s="53"/>
      <c r="N2370" s="53"/>
      <c r="O2370" s="53"/>
      <c r="P2370" s="53"/>
      <c r="Q2370" s="53"/>
      <c r="R2370" s="53"/>
      <c r="S2370" s="53"/>
      <c r="T2370" s="53"/>
      <c r="U2370" s="53"/>
      <c r="V2370" s="53"/>
    </row>
    <row r="2371">
      <c r="A2371" s="83"/>
      <c r="B2371" s="53"/>
      <c r="C2371" s="53"/>
      <c r="D2371" s="53"/>
      <c r="E2371" s="240"/>
      <c r="F2371" s="241"/>
      <c r="G2371" s="53"/>
      <c r="H2371" s="53"/>
      <c r="I2371" s="53"/>
      <c r="J2371" s="53"/>
      <c r="K2371" s="53"/>
      <c r="L2371" s="53"/>
      <c r="M2371" s="53"/>
      <c r="N2371" s="53"/>
      <c r="O2371" s="53"/>
      <c r="P2371" s="53"/>
      <c r="Q2371" s="53"/>
      <c r="R2371" s="53"/>
      <c r="S2371" s="53"/>
      <c r="T2371" s="53"/>
      <c r="U2371" s="53"/>
      <c r="V2371" s="53"/>
    </row>
    <row r="2372">
      <c r="A2372" s="83"/>
      <c r="B2372" s="53"/>
      <c r="C2372" s="53"/>
      <c r="D2372" s="53"/>
      <c r="E2372" s="240"/>
      <c r="F2372" s="241"/>
      <c r="G2372" s="53"/>
      <c r="H2372" s="53"/>
      <c r="I2372" s="53"/>
      <c r="J2372" s="53"/>
      <c r="K2372" s="53"/>
      <c r="L2372" s="53"/>
      <c r="M2372" s="53"/>
      <c r="N2372" s="53"/>
      <c r="O2372" s="53"/>
      <c r="P2372" s="53"/>
      <c r="Q2372" s="53"/>
      <c r="R2372" s="53"/>
      <c r="S2372" s="53"/>
      <c r="T2372" s="53"/>
      <c r="U2372" s="53"/>
      <c r="V2372" s="53"/>
    </row>
    <row r="2373">
      <c r="A2373" s="83"/>
      <c r="B2373" s="53"/>
      <c r="C2373" s="53"/>
      <c r="D2373" s="53"/>
      <c r="E2373" s="240"/>
      <c r="F2373" s="241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53"/>
      <c r="T2373" s="53"/>
      <c r="U2373" s="53"/>
      <c r="V2373" s="53"/>
    </row>
    <row r="2374">
      <c r="A2374" s="83"/>
      <c r="B2374" s="53"/>
      <c r="C2374" s="53"/>
      <c r="D2374" s="53"/>
      <c r="E2374" s="240"/>
      <c r="F2374" s="241"/>
      <c r="G2374" s="53"/>
      <c r="H2374" s="53"/>
      <c r="I2374" s="53"/>
      <c r="J2374" s="53"/>
      <c r="K2374" s="53"/>
      <c r="L2374" s="53"/>
      <c r="M2374" s="53"/>
      <c r="N2374" s="53"/>
      <c r="O2374" s="53"/>
      <c r="P2374" s="53"/>
      <c r="Q2374" s="53"/>
      <c r="R2374" s="53"/>
      <c r="S2374" s="53"/>
      <c r="T2374" s="53"/>
      <c r="U2374" s="53"/>
      <c r="V2374" s="53"/>
    </row>
    <row r="2375">
      <c r="A2375" s="83"/>
      <c r="B2375" s="53"/>
      <c r="C2375" s="53"/>
      <c r="D2375" s="53"/>
      <c r="E2375" s="240"/>
      <c r="F2375" s="241"/>
      <c r="G2375" s="53"/>
      <c r="H2375" s="53"/>
      <c r="I2375" s="53"/>
      <c r="J2375" s="53"/>
      <c r="K2375" s="53"/>
      <c r="L2375" s="53"/>
      <c r="M2375" s="53"/>
      <c r="N2375" s="53"/>
      <c r="O2375" s="53"/>
      <c r="P2375" s="53"/>
      <c r="Q2375" s="53"/>
      <c r="R2375" s="53"/>
      <c r="S2375" s="53"/>
      <c r="T2375" s="53"/>
      <c r="U2375" s="53"/>
      <c r="V2375" s="53"/>
    </row>
    <row r="2376">
      <c r="A2376" s="83"/>
      <c r="B2376" s="53"/>
      <c r="C2376" s="53"/>
      <c r="D2376" s="53"/>
      <c r="E2376" s="240"/>
      <c r="F2376" s="241"/>
      <c r="G2376" s="53"/>
      <c r="H2376" s="53"/>
      <c r="I2376" s="53"/>
      <c r="J2376" s="53"/>
      <c r="K2376" s="53"/>
      <c r="L2376" s="53"/>
      <c r="M2376" s="53"/>
      <c r="N2376" s="53"/>
      <c r="O2376" s="53"/>
      <c r="P2376" s="53"/>
      <c r="Q2376" s="53"/>
      <c r="R2376" s="53"/>
      <c r="S2376" s="53"/>
      <c r="T2376" s="53"/>
      <c r="U2376" s="53"/>
      <c r="V2376" s="53"/>
    </row>
    <row r="2377">
      <c r="A2377" s="83"/>
      <c r="B2377" s="53"/>
      <c r="C2377" s="53"/>
      <c r="D2377" s="53"/>
      <c r="E2377" s="240"/>
      <c r="F2377" s="241"/>
      <c r="G2377" s="53"/>
      <c r="H2377" s="53"/>
      <c r="I2377" s="53"/>
      <c r="J2377" s="53"/>
      <c r="K2377" s="53"/>
      <c r="L2377" s="53"/>
      <c r="M2377" s="53"/>
      <c r="N2377" s="53"/>
      <c r="O2377" s="53"/>
      <c r="P2377" s="53"/>
      <c r="Q2377" s="53"/>
      <c r="R2377" s="53"/>
      <c r="S2377" s="53"/>
      <c r="T2377" s="53"/>
      <c r="U2377" s="53"/>
      <c r="V2377" s="53"/>
    </row>
    <row r="2378">
      <c r="A2378" s="83"/>
      <c r="B2378" s="53"/>
      <c r="C2378" s="53"/>
      <c r="D2378" s="53"/>
      <c r="E2378" s="240"/>
      <c r="F2378" s="241"/>
      <c r="G2378" s="53"/>
      <c r="H2378" s="53"/>
      <c r="I2378" s="53"/>
      <c r="J2378" s="53"/>
      <c r="K2378" s="53"/>
      <c r="L2378" s="53"/>
      <c r="M2378" s="53"/>
      <c r="N2378" s="53"/>
      <c r="O2378" s="53"/>
      <c r="P2378" s="53"/>
      <c r="Q2378" s="53"/>
      <c r="R2378" s="53"/>
      <c r="S2378" s="53"/>
      <c r="T2378" s="53"/>
      <c r="U2378" s="53"/>
      <c r="V2378" s="53"/>
    </row>
    <row r="2379">
      <c r="A2379" s="83"/>
      <c r="B2379" s="53"/>
      <c r="C2379" s="53"/>
      <c r="D2379" s="53"/>
      <c r="E2379" s="240"/>
      <c r="F2379" s="241"/>
      <c r="G2379" s="53"/>
      <c r="H2379" s="53"/>
      <c r="I2379" s="53"/>
      <c r="J2379" s="53"/>
      <c r="K2379" s="53"/>
      <c r="L2379" s="53"/>
      <c r="M2379" s="53"/>
      <c r="N2379" s="53"/>
      <c r="O2379" s="53"/>
      <c r="P2379" s="53"/>
      <c r="Q2379" s="53"/>
      <c r="R2379" s="53"/>
      <c r="S2379" s="53"/>
      <c r="T2379" s="53"/>
      <c r="U2379" s="53"/>
      <c r="V2379" s="53"/>
    </row>
    <row r="2380">
      <c r="A2380" s="83"/>
      <c r="B2380" s="53"/>
      <c r="C2380" s="53"/>
      <c r="D2380" s="53"/>
      <c r="E2380" s="240"/>
      <c r="F2380" s="241"/>
      <c r="G2380" s="53"/>
      <c r="H2380" s="53"/>
      <c r="I2380" s="53"/>
      <c r="J2380" s="53"/>
      <c r="K2380" s="53"/>
      <c r="L2380" s="53"/>
      <c r="M2380" s="53"/>
      <c r="N2380" s="53"/>
      <c r="O2380" s="53"/>
      <c r="P2380" s="53"/>
      <c r="Q2380" s="53"/>
      <c r="R2380" s="53"/>
      <c r="S2380" s="53"/>
      <c r="T2380" s="53"/>
      <c r="U2380" s="53"/>
      <c r="V2380" s="53"/>
    </row>
    <row r="2381">
      <c r="A2381" s="83"/>
      <c r="B2381" s="53"/>
      <c r="C2381" s="53"/>
      <c r="D2381" s="53"/>
      <c r="E2381" s="240"/>
      <c r="F2381" s="241"/>
      <c r="G2381" s="53"/>
      <c r="H2381" s="53"/>
      <c r="I2381" s="53"/>
      <c r="J2381" s="53"/>
      <c r="K2381" s="53"/>
      <c r="L2381" s="53"/>
      <c r="M2381" s="53"/>
      <c r="N2381" s="53"/>
      <c r="O2381" s="53"/>
      <c r="P2381" s="53"/>
      <c r="Q2381" s="53"/>
      <c r="R2381" s="53"/>
      <c r="S2381" s="53"/>
      <c r="T2381" s="53"/>
      <c r="U2381" s="53"/>
      <c r="V2381" s="53"/>
    </row>
    <row r="2382">
      <c r="A2382" s="83"/>
      <c r="B2382" s="53"/>
      <c r="C2382" s="53"/>
      <c r="D2382" s="53"/>
      <c r="E2382" s="240"/>
      <c r="F2382" s="241"/>
      <c r="G2382" s="53"/>
      <c r="H2382" s="53"/>
      <c r="I2382" s="53"/>
      <c r="J2382" s="53"/>
      <c r="K2382" s="53"/>
      <c r="L2382" s="53"/>
      <c r="M2382" s="53"/>
      <c r="N2382" s="53"/>
      <c r="O2382" s="53"/>
      <c r="P2382" s="53"/>
      <c r="Q2382" s="53"/>
      <c r="R2382" s="53"/>
      <c r="S2382" s="53"/>
      <c r="T2382" s="53"/>
      <c r="U2382" s="53"/>
      <c r="V2382" s="53"/>
    </row>
    <row r="2383">
      <c r="A2383" s="83"/>
      <c r="B2383" s="53"/>
      <c r="C2383" s="53"/>
      <c r="D2383" s="53"/>
      <c r="E2383" s="240"/>
      <c r="F2383" s="241"/>
      <c r="G2383" s="53"/>
      <c r="H2383" s="53"/>
      <c r="I2383" s="53"/>
      <c r="J2383" s="53"/>
      <c r="K2383" s="53"/>
      <c r="L2383" s="53"/>
      <c r="M2383" s="53"/>
      <c r="N2383" s="53"/>
      <c r="O2383" s="53"/>
      <c r="P2383" s="53"/>
      <c r="Q2383" s="53"/>
      <c r="R2383" s="53"/>
      <c r="S2383" s="53"/>
      <c r="T2383" s="53"/>
      <c r="U2383" s="53"/>
      <c r="V2383" s="53"/>
    </row>
    <row r="2384">
      <c r="A2384" s="83"/>
      <c r="B2384" s="53"/>
      <c r="C2384" s="53"/>
      <c r="D2384" s="53"/>
      <c r="E2384" s="240"/>
      <c r="F2384" s="241"/>
      <c r="G2384" s="53"/>
      <c r="H2384" s="53"/>
      <c r="I2384" s="53"/>
      <c r="J2384" s="53"/>
      <c r="K2384" s="53"/>
      <c r="L2384" s="53"/>
      <c r="M2384" s="53"/>
      <c r="N2384" s="53"/>
      <c r="O2384" s="53"/>
      <c r="P2384" s="53"/>
      <c r="Q2384" s="53"/>
      <c r="R2384" s="53"/>
      <c r="S2384" s="53"/>
      <c r="T2384" s="53"/>
      <c r="U2384" s="53"/>
      <c r="V2384" s="53"/>
    </row>
    <row r="2385">
      <c r="A2385" s="83"/>
      <c r="B2385" s="53"/>
      <c r="C2385" s="53"/>
      <c r="D2385" s="53"/>
      <c r="E2385" s="240"/>
      <c r="F2385" s="241"/>
      <c r="G2385" s="53"/>
      <c r="H2385" s="53"/>
      <c r="I2385" s="53"/>
      <c r="J2385" s="53"/>
      <c r="K2385" s="53"/>
      <c r="L2385" s="53"/>
      <c r="M2385" s="53"/>
      <c r="N2385" s="53"/>
      <c r="O2385" s="53"/>
      <c r="P2385" s="53"/>
      <c r="Q2385" s="53"/>
      <c r="R2385" s="53"/>
      <c r="S2385" s="53"/>
      <c r="T2385" s="53"/>
      <c r="U2385" s="53"/>
      <c r="V2385" s="53"/>
    </row>
    <row r="2386">
      <c r="A2386" s="83"/>
      <c r="B2386" s="53"/>
      <c r="C2386" s="53"/>
      <c r="D2386" s="53"/>
      <c r="E2386" s="240"/>
      <c r="F2386" s="241"/>
      <c r="G2386" s="53"/>
      <c r="H2386" s="53"/>
      <c r="I2386" s="53"/>
      <c r="J2386" s="53"/>
      <c r="K2386" s="53"/>
      <c r="L2386" s="53"/>
      <c r="M2386" s="53"/>
      <c r="N2386" s="53"/>
      <c r="O2386" s="53"/>
      <c r="P2386" s="53"/>
      <c r="Q2386" s="53"/>
      <c r="R2386" s="53"/>
      <c r="S2386" s="53"/>
      <c r="T2386" s="53"/>
      <c r="U2386" s="53"/>
      <c r="V2386" s="53"/>
    </row>
    <row r="2387">
      <c r="A2387" s="83"/>
      <c r="B2387" s="53"/>
      <c r="C2387" s="53"/>
      <c r="D2387" s="53"/>
      <c r="E2387" s="240"/>
      <c r="F2387" s="241"/>
      <c r="G2387" s="53"/>
      <c r="H2387" s="53"/>
      <c r="I2387" s="53"/>
      <c r="J2387" s="53"/>
      <c r="K2387" s="53"/>
      <c r="L2387" s="53"/>
      <c r="M2387" s="53"/>
      <c r="N2387" s="53"/>
      <c r="O2387" s="53"/>
      <c r="P2387" s="53"/>
      <c r="Q2387" s="53"/>
      <c r="R2387" s="53"/>
      <c r="S2387" s="53"/>
      <c r="T2387" s="53"/>
      <c r="U2387" s="53"/>
      <c r="V2387" s="53"/>
    </row>
    <row r="2388">
      <c r="A2388" s="83"/>
      <c r="B2388" s="53"/>
      <c r="C2388" s="53"/>
      <c r="D2388" s="53"/>
      <c r="E2388" s="240"/>
      <c r="F2388" s="241"/>
      <c r="G2388" s="53"/>
      <c r="H2388" s="53"/>
      <c r="I2388" s="53"/>
      <c r="J2388" s="53"/>
      <c r="K2388" s="53"/>
      <c r="L2388" s="53"/>
      <c r="M2388" s="53"/>
      <c r="N2388" s="53"/>
      <c r="O2388" s="53"/>
      <c r="P2388" s="53"/>
      <c r="Q2388" s="53"/>
      <c r="R2388" s="53"/>
      <c r="S2388" s="53"/>
      <c r="T2388" s="53"/>
      <c r="U2388" s="53"/>
      <c r="V2388" s="53"/>
    </row>
    <row r="2389">
      <c r="A2389" s="83"/>
      <c r="B2389" s="53"/>
      <c r="C2389" s="53"/>
      <c r="D2389" s="53"/>
      <c r="E2389" s="240"/>
      <c r="F2389" s="241"/>
      <c r="G2389" s="53"/>
      <c r="H2389" s="53"/>
      <c r="I2389" s="53"/>
      <c r="J2389" s="53"/>
      <c r="K2389" s="53"/>
      <c r="L2389" s="53"/>
      <c r="M2389" s="53"/>
      <c r="N2389" s="53"/>
      <c r="O2389" s="53"/>
      <c r="P2389" s="53"/>
      <c r="Q2389" s="53"/>
      <c r="R2389" s="53"/>
      <c r="S2389" s="53"/>
      <c r="T2389" s="53"/>
      <c r="U2389" s="53"/>
      <c r="V2389" s="53"/>
    </row>
    <row r="2390">
      <c r="A2390" s="83"/>
      <c r="B2390" s="53"/>
      <c r="C2390" s="53"/>
      <c r="D2390" s="53"/>
      <c r="E2390" s="240"/>
      <c r="F2390" s="241"/>
      <c r="G2390" s="53"/>
      <c r="H2390" s="53"/>
      <c r="I2390" s="53"/>
      <c r="J2390" s="53"/>
      <c r="K2390" s="53"/>
      <c r="L2390" s="53"/>
      <c r="M2390" s="53"/>
      <c r="N2390" s="53"/>
      <c r="O2390" s="53"/>
      <c r="P2390" s="53"/>
      <c r="Q2390" s="53"/>
      <c r="R2390" s="53"/>
      <c r="S2390" s="53"/>
      <c r="T2390" s="53"/>
      <c r="U2390" s="53"/>
      <c r="V2390" s="53"/>
    </row>
    <row r="2391">
      <c r="A2391" s="83"/>
      <c r="B2391" s="53"/>
      <c r="C2391" s="53"/>
      <c r="D2391" s="53"/>
      <c r="E2391" s="240"/>
      <c r="F2391" s="241"/>
      <c r="G2391" s="53"/>
      <c r="H2391" s="53"/>
      <c r="I2391" s="53"/>
      <c r="J2391" s="53"/>
      <c r="K2391" s="53"/>
      <c r="L2391" s="53"/>
      <c r="M2391" s="53"/>
      <c r="N2391" s="53"/>
      <c r="O2391" s="53"/>
      <c r="P2391" s="53"/>
      <c r="Q2391" s="53"/>
      <c r="R2391" s="53"/>
      <c r="S2391" s="53"/>
      <c r="T2391" s="53"/>
      <c r="U2391" s="53"/>
      <c r="V2391" s="53"/>
    </row>
    <row r="2392">
      <c r="A2392" s="83"/>
      <c r="B2392" s="53"/>
      <c r="C2392" s="53"/>
      <c r="D2392" s="53"/>
      <c r="E2392" s="240"/>
      <c r="F2392" s="241"/>
      <c r="G2392" s="53"/>
      <c r="H2392" s="53"/>
      <c r="I2392" s="53"/>
      <c r="J2392" s="53"/>
      <c r="K2392" s="53"/>
      <c r="L2392" s="53"/>
      <c r="M2392" s="53"/>
      <c r="N2392" s="53"/>
      <c r="O2392" s="53"/>
      <c r="P2392" s="53"/>
      <c r="Q2392" s="53"/>
      <c r="R2392" s="53"/>
      <c r="S2392" s="53"/>
      <c r="T2392" s="53"/>
      <c r="U2392" s="53"/>
      <c r="V2392" s="53"/>
    </row>
    <row r="2393">
      <c r="A2393" s="83"/>
      <c r="B2393" s="53"/>
      <c r="C2393" s="53"/>
      <c r="D2393" s="53"/>
      <c r="E2393" s="240"/>
      <c r="F2393" s="241"/>
      <c r="G2393" s="53"/>
      <c r="H2393" s="53"/>
      <c r="I2393" s="53"/>
      <c r="J2393" s="53"/>
      <c r="K2393" s="53"/>
      <c r="L2393" s="53"/>
      <c r="M2393" s="53"/>
      <c r="N2393" s="53"/>
      <c r="O2393" s="53"/>
      <c r="P2393" s="53"/>
      <c r="Q2393" s="53"/>
      <c r="R2393" s="53"/>
      <c r="S2393" s="53"/>
      <c r="T2393" s="53"/>
      <c r="U2393" s="53"/>
      <c r="V2393" s="53"/>
    </row>
    <row r="2394">
      <c r="A2394" s="83"/>
      <c r="B2394" s="53"/>
      <c r="C2394" s="53"/>
      <c r="D2394" s="53"/>
      <c r="E2394" s="240"/>
      <c r="F2394" s="241"/>
      <c r="G2394" s="53"/>
      <c r="H2394" s="53"/>
      <c r="I2394" s="53"/>
      <c r="J2394" s="53"/>
      <c r="K2394" s="53"/>
      <c r="L2394" s="53"/>
      <c r="M2394" s="53"/>
      <c r="N2394" s="53"/>
      <c r="O2394" s="53"/>
      <c r="P2394" s="53"/>
      <c r="Q2394" s="53"/>
      <c r="R2394" s="53"/>
      <c r="S2394" s="53"/>
      <c r="T2394" s="53"/>
      <c r="U2394" s="53"/>
      <c r="V2394" s="53"/>
    </row>
    <row r="2395">
      <c r="A2395" s="83"/>
      <c r="B2395" s="53"/>
      <c r="C2395" s="53"/>
      <c r="D2395" s="53"/>
      <c r="E2395" s="240"/>
      <c r="F2395" s="241"/>
      <c r="G2395" s="53"/>
      <c r="H2395" s="53"/>
      <c r="I2395" s="53"/>
      <c r="J2395" s="53"/>
      <c r="K2395" s="53"/>
      <c r="L2395" s="53"/>
      <c r="M2395" s="53"/>
      <c r="N2395" s="53"/>
      <c r="O2395" s="53"/>
      <c r="P2395" s="53"/>
      <c r="Q2395" s="53"/>
      <c r="R2395" s="53"/>
      <c r="S2395" s="53"/>
      <c r="T2395" s="53"/>
      <c r="U2395" s="53"/>
      <c r="V2395" s="53"/>
    </row>
    <row r="2396">
      <c r="A2396" s="83"/>
      <c r="B2396" s="53"/>
      <c r="C2396" s="53"/>
      <c r="D2396" s="53"/>
      <c r="E2396" s="240"/>
      <c r="F2396" s="241"/>
      <c r="G2396" s="53"/>
      <c r="H2396" s="53"/>
      <c r="I2396" s="53"/>
      <c r="J2396" s="53"/>
      <c r="K2396" s="53"/>
      <c r="L2396" s="53"/>
      <c r="M2396" s="53"/>
      <c r="N2396" s="53"/>
      <c r="O2396" s="53"/>
      <c r="P2396" s="53"/>
      <c r="Q2396" s="53"/>
      <c r="R2396" s="53"/>
      <c r="S2396" s="53"/>
      <c r="T2396" s="53"/>
      <c r="U2396" s="53"/>
      <c r="V2396" s="53"/>
    </row>
    <row r="2397">
      <c r="A2397" s="83"/>
      <c r="B2397" s="53"/>
      <c r="C2397" s="53"/>
      <c r="D2397" s="53"/>
      <c r="E2397" s="240"/>
      <c r="F2397" s="241"/>
      <c r="G2397" s="53"/>
      <c r="H2397" s="53"/>
      <c r="I2397" s="53"/>
      <c r="J2397" s="53"/>
      <c r="K2397" s="53"/>
      <c r="L2397" s="53"/>
      <c r="M2397" s="53"/>
      <c r="N2397" s="53"/>
      <c r="O2397" s="53"/>
      <c r="P2397" s="53"/>
      <c r="Q2397" s="53"/>
      <c r="R2397" s="53"/>
      <c r="S2397" s="53"/>
      <c r="T2397" s="53"/>
      <c r="U2397" s="53"/>
      <c r="V2397" s="53"/>
    </row>
    <row r="2398">
      <c r="A2398" s="83"/>
      <c r="B2398" s="53"/>
      <c r="C2398" s="53"/>
      <c r="D2398" s="53"/>
      <c r="E2398" s="240"/>
      <c r="F2398" s="241"/>
      <c r="G2398" s="53"/>
      <c r="H2398" s="53"/>
      <c r="I2398" s="53"/>
      <c r="J2398" s="53"/>
      <c r="K2398" s="53"/>
      <c r="L2398" s="53"/>
      <c r="M2398" s="53"/>
      <c r="N2398" s="53"/>
      <c r="O2398" s="53"/>
      <c r="P2398" s="53"/>
      <c r="Q2398" s="53"/>
      <c r="R2398" s="53"/>
      <c r="S2398" s="53"/>
      <c r="T2398" s="53"/>
      <c r="U2398" s="53"/>
      <c r="V2398" s="53"/>
    </row>
    <row r="2399">
      <c r="A2399" s="83"/>
      <c r="B2399" s="53"/>
      <c r="C2399" s="53"/>
      <c r="D2399" s="53"/>
      <c r="E2399" s="240"/>
      <c r="F2399" s="241"/>
      <c r="G2399" s="53"/>
      <c r="H2399" s="53"/>
      <c r="I2399" s="53"/>
      <c r="J2399" s="53"/>
      <c r="K2399" s="53"/>
      <c r="L2399" s="53"/>
      <c r="M2399" s="53"/>
      <c r="N2399" s="53"/>
      <c r="O2399" s="53"/>
      <c r="P2399" s="53"/>
      <c r="Q2399" s="53"/>
      <c r="R2399" s="53"/>
      <c r="S2399" s="53"/>
      <c r="T2399" s="53"/>
      <c r="U2399" s="53"/>
      <c r="V2399" s="53"/>
    </row>
    <row r="2400">
      <c r="A2400" s="83"/>
      <c r="B2400" s="53"/>
      <c r="C2400" s="53"/>
      <c r="D2400" s="53"/>
      <c r="E2400" s="240"/>
      <c r="F2400" s="241"/>
      <c r="G2400" s="53"/>
      <c r="H2400" s="53"/>
      <c r="I2400" s="53"/>
      <c r="J2400" s="53"/>
      <c r="K2400" s="53"/>
      <c r="L2400" s="53"/>
      <c r="M2400" s="53"/>
      <c r="N2400" s="53"/>
      <c r="O2400" s="53"/>
      <c r="P2400" s="53"/>
      <c r="Q2400" s="53"/>
      <c r="R2400" s="53"/>
      <c r="S2400" s="53"/>
      <c r="T2400" s="53"/>
      <c r="U2400" s="53"/>
      <c r="V2400" s="53"/>
    </row>
    <row r="2401">
      <c r="A2401" s="83"/>
      <c r="B2401" s="53"/>
      <c r="C2401" s="53"/>
      <c r="D2401" s="53"/>
      <c r="E2401" s="240"/>
      <c r="F2401" s="241"/>
      <c r="G2401" s="53"/>
      <c r="H2401" s="53"/>
      <c r="I2401" s="53"/>
      <c r="J2401" s="53"/>
      <c r="K2401" s="53"/>
      <c r="L2401" s="53"/>
      <c r="M2401" s="53"/>
      <c r="N2401" s="53"/>
      <c r="O2401" s="53"/>
      <c r="P2401" s="53"/>
      <c r="Q2401" s="53"/>
      <c r="R2401" s="53"/>
      <c r="S2401" s="53"/>
      <c r="T2401" s="53"/>
      <c r="U2401" s="53"/>
      <c r="V2401" s="53"/>
    </row>
    <row r="2402">
      <c r="A2402" s="83"/>
      <c r="B2402" s="53"/>
      <c r="C2402" s="53"/>
      <c r="D2402" s="53"/>
      <c r="E2402" s="240"/>
      <c r="F2402" s="241"/>
      <c r="G2402" s="53"/>
      <c r="H2402" s="53"/>
      <c r="I2402" s="53"/>
      <c r="J2402" s="53"/>
      <c r="K2402" s="53"/>
      <c r="L2402" s="53"/>
      <c r="M2402" s="53"/>
      <c r="N2402" s="53"/>
      <c r="O2402" s="53"/>
      <c r="P2402" s="53"/>
      <c r="Q2402" s="53"/>
      <c r="R2402" s="53"/>
      <c r="S2402" s="53"/>
      <c r="T2402" s="53"/>
      <c r="U2402" s="53"/>
      <c r="V2402" s="53"/>
    </row>
    <row r="2403">
      <c r="A2403" s="83"/>
      <c r="B2403" s="53"/>
      <c r="C2403" s="53"/>
      <c r="D2403" s="53"/>
      <c r="E2403" s="240"/>
      <c r="F2403" s="241"/>
      <c r="G2403" s="53"/>
      <c r="H2403" s="53"/>
      <c r="I2403" s="53"/>
      <c r="J2403" s="53"/>
      <c r="K2403" s="53"/>
      <c r="L2403" s="53"/>
      <c r="M2403" s="53"/>
      <c r="N2403" s="53"/>
      <c r="O2403" s="53"/>
      <c r="P2403" s="53"/>
      <c r="Q2403" s="53"/>
      <c r="R2403" s="53"/>
      <c r="S2403" s="53"/>
      <c r="T2403" s="53"/>
      <c r="U2403" s="53"/>
      <c r="V2403" s="53"/>
    </row>
    <row r="2404">
      <c r="A2404" s="83"/>
      <c r="B2404" s="53"/>
      <c r="C2404" s="53"/>
      <c r="D2404" s="53"/>
      <c r="E2404" s="240"/>
      <c r="F2404" s="241"/>
      <c r="G2404" s="53"/>
      <c r="H2404" s="53"/>
      <c r="I2404" s="53"/>
      <c r="J2404" s="53"/>
      <c r="K2404" s="53"/>
      <c r="L2404" s="53"/>
      <c r="M2404" s="53"/>
      <c r="N2404" s="53"/>
      <c r="O2404" s="53"/>
      <c r="P2404" s="53"/>
      <c r="Q2404" s="53"/>
      <c r="R2404" s="53"/>
      <c r="S2404" s="53"/>
      <c r="T2404" s="53"/>
      <c r="U2404" s="53"/>
      <c r="V2404" s="53"/>
    </row>
    <row r="2405">
      <c r="A2405" s="83"/>
      <c r="B2405" s="53"/>
      <c r="C2405" s="53"/>
      <c r="D2405" s="53"/>
      <c r="E2405" s="240"/>
      <c r="F2405" s="241"/>
      <c r="G2405" s="53"/>
      <c r="H2405" s="53"/>
      <c r="I2405" s="53"/>
      <c r="J2405" s="53"/>
      <c r="K2405" s="53"/>
      <c r="L2405" s="53"/>
      <c r="M2405" s="53"/>
      <c r="N2405" s="53"/>
      <c r="O2405" s="53"/>
      <c r="P2405" s="53"/>
      <c r="Q2405" s="53"/>
      <c r="R2405" s="53"/>
      <c r="S2405" s="53"/>
      <c r="T2405" s="53"/>
      <c r="U2405" s="53"/>
      <c r="V2405" s="53"/>
    </row>
    <row r="2406">
      <c r="A2406" s="83"/>
      <c r="B2406" s="53"/>
      <c r="C2406" s="53"/>
      <c r="D2406" s="53"/>
      <c r="E2406" s="240"/>
      <c r="F2406" s="241"/>
      <c r="G2406" s="53"/>
      <c r="H2406" s="53"/>
      <c r="I2406" s="53"/>
      <c r="J2406" s="53"/>
      <c r="K2406" s="53"/>
      <c r="L2406" s="53"/>
      <c r="M2406" s="53"/>
      <c r="N2406" s="53"/>
      <c r="O2406" s="53"/>
      <c r="P2406" s="53"/>
      <c r="Q2406" s="53"/>
      <c r="R2406" s="53"/>
      <c r="S2406" s="53"/>
      <c r="T2406" s="53"/>
      <c r="U2406" s="53"/>
      <c r="V2406" s="53"/>
    </row>
    <row r="2407">
      <c r="A2407" s="83"/>
      <c r="B2407" s="53"/>
      <c r="C2407" s="53"/>
      <c r="D2407" s="53"/>
      <c r="E2407" s="240"/>
      <c r="F2407" s="241"/>
      <c r="G2407" s="53"/>
      <c r="H2407" s="53"/>
      <c r="I2407" s="53"/>
      <c r="J2407" s="53"/>
      <c r="K2407" s="53"/>
      <c r="L2407" s="53"/>
      <c r="M2407" s="53"/>
      <c r="N2407" s="53"/>
      <c r="O2407" s="53"/>
      <c r="P2407" s="53"/>
      <c r="Q2407" s="53"/>
      <c r="R2407" s="53"/>
      <c r="S2407" s="53"/>
      <c r="T2407" s="53"/>
      <c r="U2407" s="53"/>
      <c r="V2407" s="53"/>
    </row>
    <row r="2408">
      <c r="A2408" s="83"/>
      <c r="B2408" s="53"/>
      <c r="C2408" s="53"/>
      <c r="D2408" s="53"/>
      <c r="E2408" s="240"/>
      <c r="F2408" s="241"/>
      <c r="G2408" s="53"/>
      <c r="H2408" s="53"/>
      <c r="I2408" s="53"/>
      <c r="J2408" s="53"/>
      <c r="K2408" s="53"/>
      <c r="L2408" s="53"/>
      <c r="M2408" s="53"/>
      <c r="N2408" s="53"/>
      <c r="O2408" s="53"/>
      <c r="P2408" s="53"/>
      <c r="Q2408" s="53"/>
      <c r="R2408" s="53"/>
      <c r="S2408" s="53"/>
      <c r="T2408" s="53"/>
      <c r="U2408" s="53"/>
      <c r="V2408" s="53"/>
    </row>
    <row r="2409">
      <c r="A2409" s="83"/>
      <c r="B2409" s="53"/>
      <c r="C2409" s="53"/>
      <c r="D2409" s="53"/>
      <c r="E2409" s="240"/>
      <c r="F2409" s="241"/>
      <c r="G2409" s="53"/>
      <c r="H2409" s="53"/>
      <c r="I2409" s="53"/>
      <c r="J2409" s="53"/>
      <c r="K2409" s="53"/>
      <c r="L2409" s="53"/>
      <c r="M2409" s="53"/>
      <c r="N2409" s="53"/>
      <c r="O2409" s="53"/>
      <c r="P2409" s="53"/>
      <c r="Q2409" s="53"/>
      <c r="R2409" s="53"/>
      <c r="S2409" s="53"/>
      <c r="T2409" s="53"/>
      <c r="U2409" s="53"/>
      <c r="V2409" s="53"/>
    </row>
    <row r="2410">
      <c r="A2410" s="83"/>
      <c r="B2410" s="53"/>
      <c r="C2410" s="53"/>
      <c r="D2410" s="53"/>
      <c r="E2410" s="240"/>
      <c r="F2410" s="241"/>
      <c r="G2410" s="53"/>
      <c r="H2410" s="53"/>
      <c r="I2410" s="53"/>
      <c r="J2410" s="53"/>
      <c r="K2410" s="53"/>
      <c r="L2410" s="53"/>
      <c r="M2410" s="53"/>
      <c r="N2410" s="53"/>
      <c r="O2410" s="53"/>
      <c r="P2410" s="53"/>
      <c r="Q2410" s="53"/>
      <c r="R2410" s="53"/>
      <c r="S2410" s="53"/>
      <c r="T2410" s="53"/>
      <c r="U2410" s="53"/>
      <c r="V2410" s="53"/>
    </row>
    <row r="2411">
      <c r="A2411" s="83"/>
      <c r="B2411" s="53"/>
      <c r="C2411" s="53"/>
      <c r="D2411" s="53"/>
      <c r="E2411" s="240"/>
      <c r="F2411" s="241"/>
      <c r="G2411" s="53"/>
      <c r="H2411" s="53"/>
      <c r="I2411" s="53"/>
      <c r="J2411" s="53"/>
      <c r="K2411" s="53"/>
      <c r="L2411" s="53"/>
      <c r="M2411" s="53"/>
      <c r="N2411" s="53"/>
      <c r="O2411" s="53"/>
      <c r="P2411" s="53"/>
      <c r="Q2411" s="53"/>
      <c r="R2411" s="53"/>
      <c r="S2411" s="53"/>
      <c r="T2411" s="53"/>
      <c r="U2411" s="53"/>
      <c r="V2411" s="53"/>
    </row>
    <row r="2412">
      <c r="A2412" s="83"/>
      <c r="B2412" s="53"/>
      <c r="C2412" s="53"/>
      <c r="D2412" s="53"/>
      <c r="E2412" s="240"/>
      <c r="F2412" s="241"/>
      <c r="G2412" s="53"/>
      <c r="H2412" s="53"/>
      <c r="I2412" s="53"/>
      <c r="J2412" s="53"/>
      <c r="K2412" s="53"/>
      <c r="L2412" s="53"/>
      <c r="M2412" s="53"/>
      <c r="N2412" s="53"/>
      <c r="O2412" s="53"/>
      <c r="P2412" s="53"/>
      <c r="Q2412" s="53"/>
      <c r="R2412" s="53"/>
      <c r="S2412" s="53"/>
      <c r="T2412" s="53"/>
      <c r="U2412" s="53"/>
      <c r="V2412" s="53"/>
    </row>
    <row r="2413">
      <c r="A2413" s="83"/>
      <c r="B2413" s="53"/>
      <c r="C2413" s="53"/>
      <c r="D2413" s="53"/>
      <c r="E2413" s="240"/>
      <c r="F2413" s="241"/>
      <c r="G2413" s="53"/>
      <c r="H2413" s="53"/>
      <c r="I2413" s="53"/>
      <c r="J2413" s="53"/>
      <c r="K2413" s="53"/>
      <c r="L2413" s="53"/>
      <c r="M2413" s="53"/>
      <c r="N2413" s="53"/>
      <c r="O2413" s="53"/>
      <c r="P2413" s="53"/>
      <c r="Q2413" s="53"/>
      <c r="R2413" s="53"/>
      <c r="S2413" s="53"/>
      <c r="T2413" s="53"/>
      <c r="U2413" s="53"/>
      <c r="V2413" s="53"/>
    </row>
    <row r="2414">
      <c r="A2414" s="83"/>
      <c r="B2414" s="53"/>
      <c r="C2414" s="53"/>
      <c r="D2414" s="53"/>
      <c r="E2414" s="240"/>
      <c r="F2414" s="241"/>
      <c r="G2414" s="53"/>
      <c r="H2414" s="53"/>
      <c r="I2414" s="53"/>
      <c r="J2414" s="53"/>
      <c r="K2414" s="53"/>
      <c r="L2414" s="53"/>
      <c r="M2414" s="53"/>
      <c r="N2414" s="53"/>
      <c r="O2414" s="53"/>
      <c r="P2414" s="53"/>
      <c r="Q2414" s="53"/>
      <c r="R2414" s="53"/>
      <c r="S2414" s="53"/>
      <c r="T2414" s="53"/>
      <c r="U2414" s="53"/>
      <c r="V2414" s="53"/>
    </row>
    <row r="2415">
      <c r="A2415" s="83"/>
      <c r="B2415" s="53"/>
      <c r="C2415" s="53"/>
      <c r="D2415" s="53"/>
      <c r="E2415" s="240"/>
      <c r="F2415" s="241"/>
      <c r="G2415" s="53"/>
      <c r="H2415" s="53"/>
      <c r="I2415" s="53"/>
      <c r="J2415" s="53"/>
      <c r="K2415" s="53"/>
      <c r="L2415" s="53"/>
      <c r="M2415" s="53"/>
      <c r="N2415" s="53"/>
      <c r="O2415" s="53"/>
      <c r="P2415" s="53"/>
      <c r="Q2415" s="53"/>
      <c r="R2415" s="53"/>
      <c r="S2415" s="53"/>
      <c r="T2415" s="53"/>
      <c r="U2415" s="53"/>
      <c r="V2415" s="53"/>
    </row>
    <row r="2416">
      <c r="A2416" s="83"/>
      <c r="B2416" s="53"/>
      <c r="C2416" s="53"/>
      <c r="D2416" s="53"/>
      <c r="E2416" s="240"/>
      <c r="F2416" s="241"/>
      <c r="G2416" s="53"/>
      <c r="H2416" s="53"/>
      <c r="I2416" s="53"/>
      <c r="J2416" s="53"/>
      <c r="K2416" s="53"/>
      <c r="L2416" s="53"/>
      <c r="M2416" s="53"/>
      <c r="N2416" s="53"/>
      <c r="O2416" s="53"/>
      <c r="P2416" s="53"/>
      <c r="Q2416" s="53"/>
      <c r="R2416" s="53"/>
      <c r="S2416" s="53"/>
      <c r="T2416" s="53"/>
      <c r="U2416" s="53"/>
      <c r="V2416" s="53"/>
    </row>
    <row r="2417">
      <c r="A2417" s="83"/>
      <c r="B2417" s="53"/>
      <c r="C2417" s="53"/>
      <c r="D2417" s="53"/>
      <c r="E2417" s="240"/>
      <c r="F2417" s="241"/>
      <c r="G2417" s="53"/>
      <c r="H2417" s="53"/>
      <c r="I2417" s="53"/>
      <c r="J2417" s="53"/>
      <c r="K2417" s="53"/>
      <c r="L2417" s="53"/>
      <c r="M2417" s="53"/>
      <c r="N2417" s="53"/>
      <c r="O2417" s="53"/>
      <c r="P2417" s="53"/>
      <c r="Q2417" s="53"/>
      <c r="R2417" s="53"/>
      <c r="S2417" s="53"/>
      <c r="T2417" s="53"/>
      <c r="U2417" s="53"/>
      <c r="V2417" s="53"/>
    </row>
    <row r="2418">
      <c r="A2418" s="83"/>
      <c r="B2418" s="53"/>
      <c r="C2418" s="53"/>
      <c r="D2418" s="53"/>
      <c r="E2418" s="240"/>
      <c r="F2418" s="241"/>
      <c r="G2418" s="53"/>
      <c r="H2418" s="53"/>
      <c r="I2418" s="53"/>
      <c r="J2418" s="53"/>
      <c r="K2418" s="53"/>
      <c r="L2418" s="53"/>
      <c r="M2418" s="53"/>
      <c r="N2418" s="53"/>
      <c r="O2418" s="53"/>
      <c r="P2418" s="53"/>
      <c r="Q2418" s="53"/>
      <c r="R2418" s="53"/>
      <c r="S2418" s="53"/>
      <c r="T2418" s="53"/>
      <c r="U2418" s="53"/>
      <c r="V2418" s="53"/>
    </row>
    <row r="2419">
      <c r="A2419" s="83"/>
      <c r="B2419" s="53"/>
      <c r="C2419" s="53"/>
      <c r="D2419" s="53"/>
      <c r="E2419" s="240"/>
      <c r="F2419" s="241"/>
      <c r="G2419" s="53"/>
      <c r="H2419" s="53"/>
      <c r="I2419" s="53"/>
      <c r="J2419" s="53"/>
      <c r="K2419" s="53"/>
      <c r="L2419" s="53"/>
      <c r="M2419" s="53"/>
      <c r="N2419" s="53"/>
      <c r="O2419" s="53"/>
      <c r="P2419" s="53"/>
      <c r="Q2419" s="53"/>
      <c r="R2419" s="53"/>
      <c r="S2419" s="53"/>
      <c r="T2419" s="53"/>
      <c r="U2419" s="53"/>
      <c r="V2419" s="53"/>
    </row>
    <row r="2420">
      <c r="A2420" s="83"/>
      <c r="B2420" s="53"/>
      <c r="C2420" s="53"/>
      <c r="D2420" s="53"/>
      <c r="E2420" s="240"/>
      <c r="F2420" s="241"/>
      <c r="G2420" s="53"/>
      <c r="H2420" s="53"/>
      <c r="I2420" s="53"/>
      <c r="J2420" s="53"/>
      <c r="K2420" s="53"/>
      <c r="L2420" s="53"/>
      <c r="M2420" s="53"/>
      <c r="N2420" s="53"/>
      <c r="O2420" s="53"/>
      <c r="P2420" s="53"/>
      <c r="Q2420" s="53"/>
      <c r="R2420" s="53"/>
      <c r="S2420" s="53"/>
      <c r="T2420" s="53"/>
      <c r="U2420" s="53"/>
      <c r="V2420" s="53"/>
    </row>
    <row r="2421">
      <c r="A2421" s="83"/>
      <c r="B2421" s="53"/>
      <c r="C2421" s="53"/>
      <c r="D2421" s="53"/>
      <c r="E2421" s="240"/>
      <c r="F2421" s="241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</row>
    <row r="2422">
      <c r="A2422" s="83"/>
      <c r="B2422" s="53"/>
      <c r="C2422" s="53"/>
      <c r="D2422" s="53"/>
      <c r="E2422" s="240"/>
      <c r="F2422" s="241"/>
      <c r="G2422" s="53"/>
      <c r="H2422" s="53"/>
      <c r="I2422" s="53"/>
      <c r="J2422" s="53"/>
      <c r="K2422" s="53"/>
      <c r="L2422" s="53"/>
      <c r="M2422" s="53"/>
      <c r="N2422" s="53"/>
      <c r="O2422" s="53"/>
      <c r="P2422" s="53"/>
      <c r="Q2422" s="53"/>
      <c r="R2422" s="53"/>
      <c r="S2422" s="53"/>
      <c r="T2422" s="53"/>
      <c r="U2422" s="53"/>
      <c r="V2422" s="53"/>
    </row>
    <row r="2423">
      <c r="A2423" s="83"/>
      <c r="B2423" s="53"/>
      <c r="C2423" s="53"/>
      <c r="D2423" s="53"/>
      <c r="E2423" s="240"/>
      <c r="F2423" s="241"/>
      <c r="G2423" s="53"/>
      <c r="H2423" s="53"/>
      <c r="I2423" s="53"/>
      <c r="J2423" s="53"/>
      <c r="K2423" s="53"/>
      <c r="L2423" s="53"/>
      <c r="M2423" s="53"/>
      <c r="N2423" s="53"/>
      <c r="O2423" s="53"/>
      <c r="P2423" s="53"/>
      <c r="Q2423" s="53"/>
      <c r="R2423" s="53"/>
      <c r="S2423" s="53"/>
      <c r="T2423" s="53"/>
      <c r="U2423" s="53"/>
      <c r="V2423" s="53"/>
    </row>
    <row r="2424">
      <c r="A2424" s="83"/>
      <c r="B2424" s="53"/>
      <c r="C2424" s="53"/>
      <c r="D2424" s="53"/>
      <c r="E2424" s="240"/>
      <c r="F2424" s="241"/>
      <c r="G2424" s="53"/>
      <c r="H2424" s="53"/>
      <c r="I2424" s="53"/>
      <c r="J2424" s="53"/>
      <c r="K2424" s="53"/>
      <c r="L2424" s="53"/>
      <c r="M2424" s="53"/>
      <c r="N2424" s="53"/>
      <c r="O2424" s="53"/>
      <c r="P2424" s="53"/>
      <c r="Q2424" s="53"/>
      <c r="R2424" s="53"/>
      <c r="S2424" s="53"/>
      <c r="T2424" s="53"/>
      <c r="U2424" s="53"/>
      <c r="V2424" s="53"/>
    </row>
    <row r="2425">
      <c r="A2425" s="83"/>
      <c r="B2425" s="53"/>
      <c r="C2425" s="53"/>
      <c r="D2425" s="53"/>
      <c r="E2425" s="240"/>
      <c r="F2425" s="241"/>
      <c r="G2425" s="53"/>
      <c r="H2425" s="53"/>
      <c r="I2425" s="53"/>
      <c r="J2425" s="53"/>
      <c r="K2425" s="53"/>
      <c r="L2425" s="53"/>
      <c r="M2425" s="53"/>
      <c r="N2425" s="53"/>
      <c r="O2425" s="53"/>
      <c r="P2425" s="53"/>
      <c r="Q2425" s="53"/>
      <c r="R2425" s="53"/>
      <c r="S2425" s="53"/>
      <c r="T2425" s="53"/>
      <c r="U2425" s="53"/>
      <c r="V2425" s="53"/>
    </row>
    <row r="2426">
      <c r="A2426" s="83"/>
      <c r="B2426" s="53"/>
      <c r="C2426" s="53"/>
      <c r="D2426" s="53"/>
      <c r="E2426" s="240"/>
      <c r="F2426" s="241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53"/>
      <c r="T2426" s="53"/>
      <c r="U2426" s="53"/>
      <c r="V2426" s="53"/>
    </row>
    <row r="2427">
      <c r="A2427" s="83"/>
      <c r="B2427" s="53"/>
      <c r="C2427" s="53"/>
      <c r="D2427" s="53"/>
      <c r="E2427" s="240"/>
      <c r="F2427" s="241"/>
      <c r="G2427" s="53"/>
      <c r="H2427" s="53"/>
      <c r="I2427" s="53"/>
      <c r="J2427" s="53"/>
      <c r="K2427" s="53"/>
      <c r="L2427" s="53"/>
      <c r="M2427" s="53"/>
      <c r="N2427" s="53"/>
      <c r="O2427" s="53"/>
      <c r="P2427" s="53"/>
      <c r="Q2427" s="53"/>
      <c r="R2427" s="53"/>
      <c r="S2427" s="53"/>
      <c r="T2427" s="53"/>
      <c r="U2427" s="53"/>
      <c r="V2427" s="53"/>
    </row>
    <row r="2428">
      <c r="A2428" s="83"/>
      <c r="B2428" s="53"/>
      <c r="C2428" s="53"/>
      <c r="D2428" s="53"/>
      <c r="E2428" s="240"/>
      <c r="F2428" s="241"/>
      <c r="G2428" s="53"/>
      <c r="H2428" s="53"/>
      <c r="I2428" s="53"/>
      <c r="J2428" s="53"/>
      <c r="K2428" s="53"/>
      <c r="L2428" s="53"/>
      <c r="M2428" s="53"/>
      <c r="N2428" s="53"/>
      <c r="O2428" s="53"/>
      <c r="P2428" s="53"/>
      <c r="Q2428" s="53"/>
      <c r="R2428" s="53"/>
      <c r="S2428" s="53"/>
      <c r="T2428" s="53"/>
      <c r="U2428" s="53"/>
      <c r="V2428" s="53"/>
    </row>
    <row r="2429">
      <c r="A2429" s="83"/>
      <c r="B2429" s="53"/>
      <c r="C2429" s="53"/>
      <c r="D2429" s="53"/>
      <c r="E2429" s="240"/>
      <c r="F2429" s="241"/>
      <c r="G2429" s="53"/>
      <c r="H2429" s="53"/>
      <c r="I2429" s="53"/>
      <c r="J2429" s="53"/>
      <c r="K2429" s="53"/>
      <c r="L2429" s="53"/>
      <c r="M2429" s="53"/>
      <c r="N2429" s="53"/>
      <c r="O2429" s="53"/>
      <c r="P2429" s="53"/>
      <c r="Q2429" s="53"/>
      <c r="R2429" s="53"/>
      <c r="S2429" s="53"/>
      <c r="T2429" s="53"/>
      <c r="U2429" s="53"/>
      <c r="V2429" s="53"/>
    </row>
    <row r="2430">
      <c r="A2430" s="83"/>
      <c r="B2430" s="53"/>
      <c r="C2430" s="53"/>
      <c r="D2430" s="53"/>
      <c r="E2430" s="240"/>
      <c r="F2430" s="241"/>
      <c r="G2430" s="53"/>
      <c r="H2430" s="53"/>
      <c r="I2430" s="53"/>
      <c r="J2430" s="53"/>
      <c r="K2430" s="53"/>
      <c r="L2430" s="53"/>
      <c r="M2430" s="53"/>
      <c r="N2430" s="53"/>
      <c r="O2430" s="53"/>
      <c r="P2430" s="53"/>
      <c r="Q2430" s="53"/>
      <c r="R2430" s="53"/>
      <c r="S2430" s="53"/>
      <c r="T2430" s="53"/>
      <c r="U2430" s="53"/>
      <c r="V2430" s="53"/>
    </row>
    <row r="2431">
      <c r="A2431" s="83"/>
      <c r="B2431" s="53"/>
      <c r="C2431" s="53"/>
      <c r="D2431" s="53"/>
      <c r="E2431" s="240"/>
      <c r="F2431" s="241"/>
      <c r="G2431" s="53"/>
      <c r="H2431" s="53"/>
      <c r="I2431" s="53"/>
      <c r="J2431" s="53"/>
      <c r="K2431" s="53"/>
      <c r="L2431" s="53"/>
      <c r="M2431" s="53"/>
      <c r="N2431" s="53"/>
      <c r="O2431" s="53"/>
      <c r="P2431" s="53"/>
      <c r="Q2431" s="53"/>
      <c r="R2431" s="53"/>
      <c r="S2431" s="53"/>
      <c r="T2431" s="53"/>
      <c r="U2431" s="53"/>
      <c r="V2431" s="53"/>
    </row>
    <row r="2432">
      <c r="A2432" s="83"/>
      <c r="B2432" s="53"/>
      <c r="C2432" s="53"/>
      <c r="D2432" s="53"/>
      <c r="E2432" s="240"/>
      <c r="F2432" s="241"/>
      <c r="G2432" s="53"/>
      <c r="H2432" s="53"/>
      <c r="I2432" s="53"/>
      <c r="J2432" s="53"/>
      <c r="K2432" s="53"/>
      <c r="L2432" s="53"/>
      <c r="M2432" s="53"/>
      <c r="N2432" s="53"/>
      <c r="O2432" s="53"/>
      <c r="P2432" s="53"/>
      <c r="Q2432" s="53"/>
      <c r="R2432" s="53"/>
      <c r="S2432" s="53"/>
      <c r="T2432" s="53"/>
      <c r="U2432" s="53"/>
      <c r="V2432" s="53"/>
    </row>
    <row r="2433">
      <c r="A2433" s="83"/>
      <c r="B2433" s="53"/>
      <c r="C2433" s="53"/>
      <c r="D2433" s="53"/>
      <c r="E2433" s="240"/>
      <c r="F2433" s="241"/>
      <c r="G2433" s="53"/>
      <c r="H2433" s="53"/>
      <c r="I2433" s="53"/>
      <c r="J2433" s="53"/>
      <c r="K2433" s="53"/>
      <c r="L2433" s="53"/>
      <c r="M2433" s="53"/>
      <c r="N2433" s="53"/>
      <c r="O2433" s="53"/>
      <c r="P2433" s="53"/>
      <c r="Q2433" s="53"/>
      <c r="R2433" s="53"/>
      <c r="S2433" s="53"/>
      <c r="T2433" s="53"/>
      <c r="U2433" s="53"/>
      <c r="V2433" s="53"/>
    </row>
    <row r="2434">
      <c r="A2434" s="83"/>
      <c r="B2434" s="53"/>
      <c r="C2434" s="53"/>
      <c r="D2434" s="53"/>
      <c r="E2434" s="240"/>
      <c r="F2434" s="241"/>
      <c r="G2434" s="53"/>
      <c r="H2434" s="53"/>
      <c r="I2434" s="53"/>
      <c r="J2434" s="53"/>
      <c r="K2434" s="53"/>
      <c r="L2434" s="53"/>
      <c r="M2434" s="53"/>
      <c r="N2434" s="53"/>
      <c r="O2434" s="53"/>
      <c r="P2434" s="53"/>
      <c r="Q2434" s="53"/>
      <c r="R2434" s="53"/>
      <c r="S2434" s="53"/>
      <c r="T2434" s="53"/>
      <c r="U2434" s="53"/>
      <c r="V2434" s="53"/>
    </row>
    <row r="2435">
      <c r="A2435" s="83"/>
      <c r="B2435" s="53"/>
      <c r="C2435" s="53"/>
      <c r="D2435" s="53"/>
      <c r="E2435" s="240"/>
      <c r="F2435" s="241"/>
      <c r="G2435" s="53"/>
      <c r="H2435" s="53"/>
      <c r="I2435" s="53"/>
      <c r="J2435" s="53"/>
      <c r="K2435" s="53"/>
      <c r="L2435" s="53"/>
      <c r="M2435" s="53"/>
      <c r="N2435" s="53"/>
      <c r="O2435" s="53"/>
      <c r="P2435" s="53"/>
      <c r="Q2435" s="53"/>
      <c r="R2435" s="53"/>
      <c r="S2435" s="53"/>
      <c r="T2435" s="53"/>
      <c r="U2435" s="53"/>
      <c r="V2435" s="53"/>
    </row>
    <row r="2436">
      <c r="A2436" s="83"/>
      <c r="B2436" s="53"/>
      <c r="C2436" s="53"/>
      <c r="D2436" s="53"/>
      <c r="E2436" s="240"/>
      <c r="F2436" s="241"/>
      <c r="G2436" s="53"/>
      <c r="H2436" s="53"/>
      <c r="I2436" s="53"/>
      <c r="J2436" s="53"/>
      <c r="K2436" s="53"/>
      <c r="L2436" s="53"/>
      <c r="M2436" s="53"/>
      <c r="N2436" s="53"/>
      <c r="O2436" s="53"/>
      <c r="P2436" s="53"/>
      <c r="Q2436" s="53"/>
      <c r="R2436" s="53"/>
      <c r="S2436" s="53"/>
      <c r="T2436" s="53"/>
      <c r="U2436" s="53"/>
      <c r="V2436" s="53"/>
    </row>
    <row r="2437">
      <c r="A2437" s="83"/>
      <c r="B2437" s="53"/>
      <c r="C2437" s="53"/>
      <c r="D2437" s="53"/>
      <c r="E2437" s="240"/>
      <c r="F2437" s="241"/>
      <c r="G2437" s="53"/>
      <c r="H2437" s="53"/>
      <c r="I2437" s="53"/>
      <c r="J2437" s="53"/>
      <c r="K2437" s="53"/>
      <c r="L2437" s="53"/>
      <c r="M2437" s="53"/>
      <c r="N2437" s="53"/>
      <c r="O2437" s="53"/>
      <c r="P2437" s="53"/>
      <c r="Q2437" s="53"/>
      <c r="R2437" s="53"/>
      <c r="S2437" s="53"/>
      <c r="T2437" s="53"/>
      <c r="U2437" s="53"/>
      <c r="V2437" s="53"/>
    </row>
    <row r="2438">
      <c r="A2438" s="83"/>
      <c r="B2438" s="53"/>
      <c r="C2438" s="53"/>
      <c r="D2438" s="53"/>
      <c r="E2438" s="240"/>
      <c r="F2438" s="241"/>
      <c r="G2438" s="53"/>
      <c r="H2438" s="53"/>
      <c r="I2438" s="53"/>
      <c r="J2438" s="53"/>
      <c r="K2438" s="53"/>
      <c r="L2438" s="53"/>
      <c r="M2438" s="53"/>
      <c r="N2438" s="53"/>
      <c r="O2438" s="53"/>
      <c r="P2438" s="53"/>
      <c r="Q2438" s="53"/>
      <c r="R2438" s="53"/>
      <c r="S2438" s="53"/>
      <c r="T2438" s="53"/>
      <c r="U2438" s="53"/>
      <c r="V2438" s="53"/>
    </row>
    <row r="2439">
      <c r="A2439" s="83"/>
      <c r="B2439" s="53"/>
      <c r="C2439" s="53"/>
      <c r="D2439" s="53"/>
      <c r="E2439" s="240"/>
      <c r="F2439" s="241"/>
      <c r="G2439" s="53"/>
      <c r="H2439" s="53"/>
      <c r="I2439" s="53"/>
      <c r="J2439" s="53"/>
      <c r="K2439" s="53"/>
      <c r="L2439" s="53"/>
      <c r="M2439" s="53"/>
      <c r="N2439" s="53"/>
      <c r="O2439" s="53"/>
      <c r="P2439" s="53"/>
      <c r="Q2439" s="53"/>
      <c r="R2439" s="53"/>
      <c r="S2439" s="53"/>
      <c r="T2439" s="53"/>
      <c r="U2439" s="53"/>
      <c r="V2439" s="53"/>
    </row>
    <row r="2440">
      <c r="A2440" s="83"/>
      <c r="B2440" s="53"/>
      <c r="C2440" s="53"/>
      <c r="D2440" s="53"/>
      <c r="E2440" s="240"/>
      <c r="F2440" s="241"/>
      <c r="G2440" s="53"/>
      <c r="H2440" s="53"/>
      <c r="I2440" s="53"/>
      <c r="J2440" s="53"/>
      <c r="K2440" s="53"/>
      <c r="L2440" s="53"/>
      <c r="M2440" s="53"/>
      <c r="N2440" s="53"/>
      <c r="O2440" s="53"/>
      <c r="P2440" s="53"/>
      <c r="Q2440" s="53"/>
      <c r="R2440" s="53"/>
      <c r="S2440" s="53"/>
      <c r="T2440" s="53"/>
      <c r="U2440" s="53"/>
      <c r="V2440" s="53"/>
    </row>
    <row r="2441">
      <c r="A2441" s="83"/>
      <c r="B2441" s="53"/>
      <c r="C2441" s="53"/>
      <c r="D2441" s="53"/>
      <c r="E2441" s="240"/>
      <c r="F2441" s="241"/>
      <c r="G2441" s="53"/>
      <c r="H2441" s="53"/>
      <c r="I2441" s="53"/>
      <c r="J2441" s="53"/>
      <c r="K2441" s="53"/>
      <c r="L2441" s="53"/>
      <c r="M2441" s="53"/>
      <c r="N2441" s="53"/>
      <c r="O2441" s="53"/>
      <c r="P2441" s="53"/>
      <c r="Q2441" s="53"/>
      <c r="R2441" s="53"/>
      <c r="S2441" s="53"/>
      <c r="T2441" s="53"/>
      <c r="U2441" s="53"/>
      <c r="V2441" s="53"/>
    </row>
    <row r="2442">
      <c r="A2442" s="83"/>
      <c r="B2442" s="53"/>
      <c r="C2442" s="53"/>
      <c r="D2442" s="53"/>
      <c r="E2442" s="240"/>
      <c r="F2442" s="241"/>
      <c r="G2442" s="53"/>
      <c r="H2442" s="53"/>
      <c r="I2442" s="53"/>
      <c r="J2442" s="53"/>
      <c r="K2442" s="53"/>
      <c r="L2442" s="53"/>
      <c r="M2442" s="53"/>
      <c r="N2442" s="53"/>
      <c r="O2442" s="53"/>
      <c r="P2442" s="53"/>
      <c r="Q2442" s="53"/>
      <c r="R2442" s="53"/>
      <c r="S2442" s="53"/>
      <c r="T2442" s="53"/>
      <c r="U2442" s="53"/>
      <c r="V2442" s="53"/>
    </row>
    <row r="2443">
      <c r="A2443" s="83"/>
      <c r="B2443" s="53"/>
      <c r="C2443" s="53"/>
      <c r="D2443" s="53"/>
      <c r="E2443" s="240"/>
      <c r="F2443" s="241"/>
      <c r="G2443" s="53"/>
      <c r="H2443" s="53"/>
      <c r="I2443" s="53"/>
      <c r="J2443" s="53"/>
      <c r="K2443" s="53"/>
      <c r="L2443" s="53"/>
      <c r="M2443" s="53"/>
      <c r="N2443" s="53"/>
      <c r="O2443" s="53"/>
      <c r="P2443" s="53"/>
      <c r="Q2443" s="53"/>
      <c r="R2443" s="53"/>
      <c r="S2443" s="53"/>
      <c r="T2443" s="53"/>
      <c r="U2443" s="53"/>
      <c r="V2443" s="53"/>
    </row>
    <row r="2444">
      <c r="A2444" s="83"/>
      <c r="B2444" s="53"/>
      <c r="C2444" s="53"/>
      <c r="D2444" s="53"/>
      <c r="E2444" s="240"/>
      <c r="F2444" s="241"/>
      <c r="G2444" s="53"/>
      <c r="H2444" s="53"/>
      <c r="I2444" s="53"/>
      <c r="J2444" s="53"/>
      <c r="K2444" s="53"/>
      <c r="L2444" s="53"/>
      <c r="M2444" s="53"/>
      <c r="N2444" s="53"/>
      <c r="O2444" s="53"/>
      <c r="P2444" s="53"/>
      <c r="Q2444" s="53"/>
      <c r="R2444" s="53"/>
      <c r="S2444" s="53"/>
      <c r="T2444" s="53"/>
      <c r="U2444" s="53"/>
      <c r="V2444" s="53"/>
    </row>
    <row r="2445">
      <c r="A2445" s="83"/>
      <c r="B2445" s="53"/>
      <c r="C2445" s="53"/>
      <c r="D2445" s="53"/>
      <c r="E2445" s="240"/>
      <c r="F2445" s="241"/>
      <c r="G2445" s="53"/>
      <c r="H2445" s="53"/>
      <c r="I2445" s="53"/>
      <c r="J2445" s="53"/>
      <c r="K2445" s="53"/>
      <c r="L2445" s="53"/>
      <c r="M2445" s="53"/>
      <c r="N2445" s="53"/>
      <c r="O2445" s="53"/>
      <c r="P2445" s="53"/>
      <c r="Q2445" s="53"/>
      <c r="R2445" s="53"/>
      <c r="S2445" s="53"/>
      <c r="T2445" s="53"/>
      <c r="U2445" s="53"/>
      <c r="V2445" s="53"/>
    </row>
    <row r="2446">
      <c r="A2446" s="83"/>
      <c r="B2446" s="53"/>
      <c r="C2446" s="53"/>
      <c r="D2446" s="53"/>
      <c r="E2446" s="240"/>
      <c r="F2446" s="241"/>
      <c r="G2446" s="53"/>
      <c r="H2446" s="53"/>
      <c r="I2446" s="53"/>
      <c r="J2446" s="53"/>
      <c r="K2446" s="53"/>
      <c r="L2446" s="53"/>
      <c r="M2446" s="53"/>
      <c r="N2446" s="53"/>
      <c r="O2446" s="53"/>
      <c r="P2446" s="53"/>
      <c r="Q2446" s="53"/>
      <c r="R2446" s="53"/>
      <c r="S2446" s="53"/>
      <c r="T2446" s="53"/>
      <c r="U2446" s="53"/>
      <c r="V2446" s="53"/>
    </row>
    <row r="2447">
      <c r="A2447" s="83"/>
      <c r="B2447" s="53"/>
      <c r="C2447" s="53"/>
      <c r="D2447" s="53"/>
      <c r="E2447" s="240"/>
      <c r="F2447" s="241"/>
      <c r="G2447" s="53"/>
      <c r="H2447" s="53"/>
      <c r="I2447" s="53"/>
      <c r="J2447" s="53"/>
      <c r="K2447" s="53"/>
      <c r="L2447" s="53"/>
      <c r="M2447" s="53"/>
      <c r="N2447" s="53"/>
      <c r="O2447" s="53"/>
      <c r="P2447" s="53"/>
      <c r="Q2447" s="53"/>
      <c r="R2447" s="53"/>
      <c r="S2447" s="53"/>
      <c r="T2447" s="53"/>
      <c r="U2447" s="53"/>
      <c r="V2447" s="53"/>
    </row>
    <row r="2448">
      <c r="A2448" s="83"/>
      <c r="B2448" s="53"/>
      <c r="C2448" s="53"/>
      <c r="D2448" s="53"/>
      <c r="E2448" s="240"/>
      <c r="F2448" s="241"/>
      <c r="G2448" s="53"/>
      <c r="H2448" s="53"/>
      <c r="I2448" s="53"/>
      <c r="J2448" s="53"/>
      <c r="K2448" s="53"/>
      <c r="L2448" s="53"/>
      <c r="M2448" s="53"/>
      <c r="N2448" s="53"/>
      <c r="O2448" s="53"/>
      <c r="P2448" s="53"/>
      <c r="Q2448" s="53"/>
      <c r="R2448" s="53"/>
      <c r="S2448" s="53"/>
      <c r="T2448" s="53"/>
      <c r="U2448" s="53"/>
      <c r="V2448" s="53"/>
    </row>
    <row r="2449">
      <c r="A2449" s="83"/>
      <c r="B2449" s="53"/>
      <c r="C2449" s="53"/>
      <c r="D2449" s="53"/>
      <c r="E2449" s="240"/>
      <c r="F2449" s="241"/>
      <c r="G2449" s="53"/>
      <c r="H2449" s="53"/>
      <c r="I2449" s="53"/>
      <c r="J2449" s="53"/>
      <c r="K2449" s="53"/>
      <c r="L2449" s="53"/>
      <c r="M2449" s="53"/>
      <c r="N2449" s="53"/>
      <c r="O2449" s="53"/>
      <c r="P2449" s="53"/>
      <c r="Q2449" s="53"/>
      <c r="R2449" s="53"/>
      <c r="S2449" s="53"/>
      <c r="T2449" s="53"/>
      <c r="U2449" s="53"/>
      <c r="V2449" s="53"/>
    </row>
    <row r="2450">
      <c r="A2450" s="83"/>
      <c r="B2450" s="53"/>
      <c r="C2450" s="53"/>
      <c r="D2450" s="53"/>
      <c r="E2450" s="240"/>
      <c r="F2450" s="241"/>
      <c r="G2450" s="53"/>
      <c r="H2450" s="53"/>
      <c r="I2450" s="53"/>
      <c r="J2450" s="53"/>
      <c r="K2450" s="53"/>
      <c r="L2450" s="53"/>
      <c r="M2450" s="53"/>
      <c r="N2450" s="53"/>
      <c r="O2450" s="53"/>
      <c r="P2450" s="53"/>
      <c r="Q2450" s="53"/>
      <c r="R2450" s="53"/>
      <c r="S2450" s="53"/>
      <c r="T2450" s="53"/>
      <c r="U2450" s="53"/>
      <c r="V2450" s="53"/>
    </row>
    <row r="2451">
      <c r="A2451" s="83"/>
      <c r="B2451" s="53"/>
      <c r="C2451" s="53"/>
      <c r="D2451" s="53"/>
      <c r="E2451" s="240"/>
      <c r="F2451" s="241"/>
      <c r="G2451" s="53"/>
      <c r="H2451" s="53"/>
      <c r="I2451" s="53"/>
      <c r="J2451" s="53"/>
      <c r="K2451" s="53"/>
      <c r="L2451" s="53"/>
      <c r="M2451" s="53"/>
      <c r="N2451" s="53"/>
      <c r="O2451" s="53"/>
      <c r="P2451" s="53"/>
      <c r="Q2451" s="53"/>
      <c r="R2451" s="53"/>
      <c r="S2451" s="53"/>
      <c r="T2451" s="53"/>
      <c r="U2451" s="53"/>
      <c r="V2451" s="53"/>
    </row>
    <row r="2452">
      <c r="A2452" s="83"/>
      <c r="B2452" s="53"/>
      <c r="C2452" s="53"/>
      <c r="D2452" s="53"/>
      <c r="E2452" s="240"/>
      <c r="F2452" s="241"/>
      <c r="G2452" s="53"/>
      <c r="H2452" s="53"/>
      <c r="I2452" s="53"/>
      <c r="J2452" s="53"/>
      <c r="K2452" s="53"/>
      <c r="L2452" s="53"/>
      <c r="M2452" s="53"/>
      <c r="N2452" s="53"/>
      <c r="O2452" s="53"/>
      <c r="P2452" s="53"/>
      <c r="Q2452" s="53"/>
      <c r="R2452" s="53"/>
      <c r="S2452" s="53"/>
      <c r="T2452" s="53"/>
      <c r="U2452" s="53"/>
      <c r="V2452" s="53"/>
    </row>
    <row r="2453">
      <c r="A2453" s="83"/>
      <c r="B2453" s="53"/>
      <c r="C2453" s="53"/>
      <c r="D2453" s="53"/>
      <c r="E2453" s="240"/>
      <c r="F2453" s="241"/>
      <c r="G2453" s="53"/>
      <c r="H2453" s="53"/>
      <c r="I2453" s="53"/>
      <c r="J2453" s="53"/>
      <c r="K2453" s="53"/>
      <c r="L2453" s="53"/>
      <c r="M2453" s="53"/>
      <c r="N2453" s="53"/>
      <c r="O2453" s="53"/>
      <c r="P2453" s="53"/>
      <c r="Q2453" s="53"/>
      <c r="R2453" s="53"/>
      <c r="S2453" s="53"/>
      <c r="T2453" s="53"/>
      <c r="U2453" s="53"/>
      <c r="V2453" s="53"/>
    </row>
    <row r="2454">
      <c r="A2454" s="83"/>
      <c r="B2454" s="53"/>
      <c r="C2454" s="53"/>
      <c r="D2454" s="53"/>
      <c r="E2454" s="240"/>
      <c r="F2454" s="241"/>
      <c r="G2454" s="53"/>
      <c r="H2454" s="53"/>
      <c r="I2454" s="53"/>
      <c r="J2454" s="53"/>
      <c r="K2454" s="53"/>
      <c r="L2454" s="53"/>
      <c r="M2454" s="53"/>
      <c r="N2454" s="53"/>
      <c r="O2454" s="53"/>
      <c r="P2454" s="53"/>
      <c r="Q2454" s="53"/>
      <c r="R2454" s="53"/>
      <c r="S2454" s="53"/>
      <c r="T2454" s="53"/>
      <c r="U2454" s="53"/>
      <c r="V2454" s="53"/>
    </row>
    <row r="2455">
      <c r="A2455" s="83"/>
      <c r="B2455" s="53"/>
      <c r="C2455" s="53"/>
      <c r="D2455" s="53"/>
      <c r="E2455" s="240"/>
      <c r="F2455" s="241"/>
      <c r="G2455" s="53"/>
      <c r="H2455" s="53"/>
      <c r="I2455" s="53"/>
      <c r="J2455" s="53"/>
      <c r="K2455" s="53"/>
      <c r="L2455" s="53"/>
      <c r="M2455" s="53"/>
      <c r="N2455" s="53"/>
      <c r="O2455" s="53"/>
      <c r="P2455" s="53"/>
      <c r="Q2455" s="53"/>
      <c r="R2455" s="53"/>
      <c r="S2455" s="53"/>
      <c r="T2455" s="53"/>
      <c r="U2455" s="53"/>
      <c r="V2455" s="53"/>
    </row>
    <row r="2456">
      <c r="A2456" s="83"/>
      <c r="B2456" s="53"/>
      <c r="C2456" s="53"/>
      <c r="D2456" s="53"/>
      <c r="E2456" s="240"/>
      <c r="F2456" s="241"/>
      <c r="G2456" s="53"/>
      <c r="H2456" s="53"/>
      <c r="I2456" s="53"/>
      <c r="J2456" s="53"/>
      <c r="K2456" s="53"/>
      <c r="L2456" s="53"/>
      <c r="M2456" s="53"/>
      <c r="N2456" s="53"/>
      <c r="O2456" s="53"/>
      <c r="P2456" s="53"/>
      <c r="Q2456" s="53"/>
      <c r="R2456" s="53"/>
      <c r="S2456" s="53"/>
      <c r="T2456" s="53"/>
      <c r="U2456" s="53"/>
      <c r="V2456" s="53"/>
    </row>
    <row r="2457">
      <c r="A2457" s="83"/>
      <c r="B2457" s="53"/>
      <c r="C2457" s="53"/>
      <c r="D2457" s="53"/>
      <c r="E2457" s="240"/>
      <c r="F2457" s="241"/>
      <c r="G2457" s="53"/>
      <c r="H2457" s="53"/>
      <c r="I2457" s="53"/>
      <c r="J2457" s="53"/>
      <c r="K2457" s="53"/>
      <c r="L2457" s="53"/>
      <c r="M2457" s="53"/>
      <c r="N2457" s="53"/>
      <c r="O2457" s="53"/>
      <c r="P2457" s="53"/>
      <c r="Q2457" s="53"/>
      <c r="R2457" s="53"/>
      <c r="S2457" s="53"/>
      <c r="T2457" s="53"/>
      <c r="U2457" s="53"/>
      <c r="V2457" s="53"/>
    </row>
    <row r="2458">
      <c r="A2458" s="83"/>
      <c r="B2458" s="53"/>
      <c r="C2458" s="53"/>
      <c r="D2458" s="53"/>
      <c r="E2458" s="240"/>
      <c r="F2458" s="241"/>
      <c r="G2458" s="53"/>
      <c r="H2458" s="53"/>
      <c r="I2458" s="53"/>
      <c r="J2458" s="53"/>
      <c r="K2458" s="53"/>
      <c r="L2458" s="53"/>
      <c r="M2458" s="53"/>
      <c r="N2458" s="53"/>
      <c r="O2458" s="53"/>
      <c r="P2458" s="53"/>
      <c r="Q2458" s="53"/>
      <c r="R2458" s="53"/>
      <c r="S2458" s="53"/>
      <c r="T2458" s="53"/>
      <c r="U2458" s="53"/>
      <c r="V2458" s="53"/>
    </row>
    <row r="2459">
      <c r="A2459" s="83"/>
      <c r="B2459" s="53"/>
      <c r="C2459" s="53"/>
      <c r="D2459" s="53"/>
      <c r="E2459" s="240"/>
      <c r="F2459" s="241"/>
      <c r="G2459" s="53"/>
      <c r="H2459" s="53"/>
      <c r="I2459" s="53"/>
      <c r="J2459" s="53"/>
      <c r="K2459" s="53"/>
      <c r="L2459" s="53"/>
      <c r="M2459" s="53"/>
      <c r="N2459" s="53"/>
      <c r="O2459" s="53"/>
      <c r="P2459" s="53"/>
      <c r="Q2459" s="53"/>
      <c r="R2459" s="53"/>
      <c r="S2459" s="53"/>
      <c r="T2459" s="53"/>
      <c r="U2459" s="53"/>
      <c r="V2459" s="53"/>
    </row>
    <row r="2460">
      <c r="A2460" s="83"/>
      <c r="B2460" s="53"/>
      <c r="C2460" s="53"/>
      <c r="D2460" s="53"/>
      <c r="E2460" s="240"/>
      <c r="F2460" s="241"/>
      <c r="G2460" s="53"/>
      <c r="H2460" s="53"/>
      <c r="I2460" s="53"/>
      <c r="J2460" s="53"/>
      <c r="K2460" s="53"/>
      <c r="L2460" s="53"/>
      <c r="M2460" s="53"/>
      <c r="N2460" s="53"/>
      <c r="O2460" s="53"/>
      <c r="P2460" s="53"/>
      <c r="Q2460" s="53"/>
      <c r="R2460" s="53"/>
      <c r="S2460" s="53"/>
      <c r="T2460" s="53"/>
      <c r="U2460" s="53"/>
      <c r="V2460" s="53"/>
    </row>
    <row r="2461">
      <c r="A2461" s="83"/>
      <c r="B2461" s="53"/>
      <c r="C2461" s="53"/>
      <c r="D2461" s="53"/>
      <c r="E2461" s="240"/>
      <c r="F2461" s="241"/>
      <c r="G2461" s="53"/>
      <c r="H2461" s="53"/>
      <c r="I2461" s="53"/>
      <c r="J2461" s="53"/>
      <c r="K2461" s="53"/>
      <c r="L2461" s="53"/>
      <c r="M2461" s="53"/>
      <c r="N2461" s="53"/>
      <c r="O2461" s="53"/>
      <c r="P2461" s="53"/>
      <c r="Q2461" s="53"/>
      <c r="R2461" s="53"/>
      <c r="S2461" s="53"/>
      <c r="T2461" s="53"/>
      <c r="U2461" s="53"/>
      <c r="V2461" s="53"/>
    </row>
    <row r="2462">
      <c r="A2462" s="83"/>
      <c r="B2462" s="53"/>
      <c r="C2462" s="53"/>
      <c r="D2462" s="53"/>
      <c r="E2462" s="240"/>
      <c r="F2462" s="241"/>
      <c r="G2462" s="53"/>
      <c r="H2462" s="53"/>
      <c r="I2462" s="53"/>
      <c r="J2462" s="53"/>
      <c r="K2462" s="53"/>
      <c r="L2462" s="53"/>
      <c r="M2462" s="53"/>
      <c r="N2462" s="53"/>
      <c r="O2462" s="53"/>
      <c r="P2462" s="53"/>
      <c r="Q2462" s="53"/>
      <c r="R2462" s="53"/>
      <c r="S2462" s="53"/>
      <c r="T2462" s="53"/>
      <c r="U2462" s="53"/>
      <c r="V2462" s="53"/>
    </row>
    <row r="2463">
      <c r="A2463" s="83"/>
      <c r="B2463" s="53"/>
      <c r="C2463" s="53"/>
      <c r="D2463" s="53"/>
      <c r="E2463" s="240"/>
      <c r="F2463" s="241"/>
      <c r="G2463" s="53"/>
      <c r="H2463" s="53"/>
      <c r="I2463" s="53"/>
      <c r="J2463" s="53"/>
      <c r="K2463" s="53"/>
      <c r="L2463" s="53"/>
      <c r="M2463" s="53"/>
      <c r="N2463" s="53"/>
      <c r="O2463" s="53"/>
      <c r="P2463" s="53"/>
      <c r="Q2463" s="53"/>
      <c r="R2463" s="53"/>
      <c r="S2463" s="53"/>
      <c r="T2463" s="53"/>
      <c r="U2463" s="53"/>
      <c r="V2463" s="53"/>
    </row>
    <row r="2464">
      <c r="A2464" s="83"/>
      <c r="B2464" s="53"/>
      <c r="C2464" s="53"/>
      <c r="D2464" s="53"/>
      <c r="E2464" s="240"/>
      <c r="F2464" s="241"/>
      <c r="G2464" s="53"/>
      <c r="H2464" s="53"/>
      <c r="I2464" s="53"/>
      <c r="J2464" s="53"/>
      <c r="K2464" s="53"/>
      <c r="L2464" s="53"/>
      <c r="M2464" s="53"/>
      <c r="N2464" s="53"/>
      <c r="O2464" s="53"/>
      <c r="P2464" s="53"/>
      <c r="Q2464" s="53"/>
      <c r="R2464" s="53"/>
      <c r="S2464" s="53"/>
      <c r="T2464" s="53"/>
      <c r="U2464" s="53"/>
      <c r="V2464" s="53"/>
    </row>
    <row r="2465">
      <c r="A2465" s="83"/>
      <c r="B2465" s="53"/>
      <c r="C2465" s="53"/>
      <c r="D2465" s="53"/>
      <c r="E2465" s="240"/>
      <c r="F2465" s="241"/>
      <c r="G2465" s="53"/>
      <c r="H2465" s="53"/>
      <c r="I2465" s="53"/>
      <c r="J2465" s="53"/>
      <c r="K2465" s="53"/>
      <c r="L2465" s="53"/>
      <c r="M2465" s="53"/>
      <c r="N2465" s="53"/>
      <c r="O2465" s="53"/>
      <c r="P2465" s="53"/>
      <c r="Q2465" s="53"/>
      <c r="R2465" s="53"/>
      <c r="S2465" s="53"/>
      <c r="T2465" s="53"/>
      <c r="U2465" s="53"/>
      <c r="V2465" s="53"/>
    </row>
    <row r="2466">
      <c r="A2466" s="83"/>
      <c r="B2466" s="53"/>
      <c r="C2466" s="53"/>
      <c r="D2466" s="53"/>
      <c r="E2466" s="240"/>
      <c r="F2466" s="241"/>
      <c r="G2466" s="53"/>
      <c r="H2466" s="53"/>
      <c r="I2466" s="53"/>
      <c r="J2466" s="53"/>
      <c r="K2466" s="53"/>
      <c r="L2466" s="53"/>
      <c r="M2466" s="53"/>
      <c r="N2466" s="53"/>
      <c r="O2466" s="53"/>
      <c r="P2466" s="53"/>
      <c r="Q2466" s="53"/>
      <c r="R2466" s="53"/>
      <c r="S2466" s="53"/>
      <c r="T2466" s="53"/>
      <c r="U2466" s="53"/>
      <c r="V2466" s="53"/>
    </row>
    <row r="2467">
      <c r="A2467" s="83"/>
      <c r="B2467" s="53"/>
      <c r="C2467" s="53"/>
      <c r="D2467" s="53"/>
      <c r="E2467" s="240"/>
      <c r="F2467" s="241"/>
      <c r="G2467" s="53"/>
      <c r="H2467" s="53"/>
      <c r="I2467" s="53"/>
      <c r="J2467" s="53"/>
      <c r="K2467" s="53"/>
      <c r="L2467" s="53"/>
      <c r="M2467" s="53"/>
      <c r="N2467" s="53"/>
      <c r="O2467" s="53"/>
      <c r="P2467" s="53"/>
      <c r="Q2467" s="53"/>
      <c r="R2467" s="53"/>
      <c r="S2467" s="53"/>
      <c r="T2467" s="53"/>
      <c r="U2467" s="53"/>
      <c r="V2467" s="53"/>
    </row>
    <row r="2468">
      <c r="A2468" s="83"/>
      <c r="B2468" s="53"/>
      <c r="C2468" s="53"/>
      <c r="D2468" s="53"/>
      <c r="E2468" s="240"/>
      <c r="F2468" s="241"/>
      <c r="G2468" s="53"/>
      <c r="H2468" s="53"/>
      <c r="I2468" s="53"/>
      <c r="J2468" s="53"/>
      <c r="K2468" s="53"/>
      <c r="L2468" s="53"/>
      <c r="M2468" s="53"/>
      <c r="N2468" s="53"/>
      <c r="O2468" s="53"/>
      <c r="P2468" s="53"/>
      <c r="Q2468" s="53"/>
      <c r="R2468" s="53"/>
      <c r="S2468" s="53"/>
      <c r="T2468" s="53"/>
      <c r="U2468" s="53"/>
      <c r="V2468" s="53"/>
    </row>
    <row r="2469">
      <c r="A2469" s="83"/>
      <c r="B2469" s="53"/>
      <c r="C2469" s="53"/>
      <c r="D2469" s="53"/>
      <c r="E2469" s="240"/>
      <c r="F2469" s="241"/>
      <c r="G2469" s="53"/>
      <c r="H2469" s="53"/>
      <c r="I2469" s="53"/>
      <c r="J2469" s="53"/>
      <c r="K2469" s="53"/>
      <c r="L2469" s="53"/>
      <c r="M2469" s="53"/>
      <c r="N2469" s="53"/>
      <c r="O2469" s="53"/>
      <c r="P2469" s="53"/>
      <c r="Q2469" s="53"/>
      <c r="R2469" s="53"/>
      <c r="S2469" s="53"/>
      <c r="T2469" s="53"/>
      <c r="U2469" s="53"/>
      <c r="V2469" s="53"/>
    </row>
    <row r="2470">
      <c r="A2470" s="83"/>
      <c r="B2470" s="53"/>
      <c r="C2470" s="53"/>
      <c r="D2470" s="53"/>
      <c r="E2470" s="240"/>
      <c r="F2470" s="241"/>
      <c r="G2470" s="53"/>
      <c r="H2470" s="53"/>
      <c r="I2470" s="53"/>
      <c r="J2470" s="53"/>
      <c r="K2470" s="53"/>
      <c r="L2470" s="53"/>
      <c r="M2470" s="53"/>
      <c r="N2470" s="53"/>
      <c r="O2470" s="53"/>
      <c r="P2470" s="53"/>
      <c r="Q2470" s="53"/>
      <c r="R2470" s="53"/>
      <c r="S2470" s="53"/>
      <c r="T2470" s="53"/>
      <c r="U2470" s="53"/>
      <c r="V2470" s="53"/>
    </row>
    <row r="2471">
      <c r="A2471" s="83"/>
      <c r="B2471" s="53"/>
      <c r="C2471" s="53"/>
      <c r="D2471" s="53"/>
      <c r="E2471" s="240"/>
      <c r="F2471" s="241"/>
      <c r="G2471" s="53"/>
      <c r="H2471" s="53"/>
      <c r="I2471" s="53"/>
      <c r="J2471" s="53"/>
      <c r="K2471" s="53"/>
      <c r="L2471" s="53"/>
      <c r="M2471" s="53"/>
      <c r="N2471" s="53"/>
      <c r="O2471" s="53"/>
      <c r="P2471" s="53"/>
      <c r="Q2471" s="53"/>
      <c r="R2471" s="53"/>
      <c r="S2471" s="53"/>
      <c r="T2471" s="53"/>
      <c r="U2471" s="53"/>
      <c r="V2471" s="53"/>
    </row>
    <row r="2472">
      <c r="A2472" s="83"/>
      <c r="B2472" s="53"/>
      <c r="C2472" s="53"/>
      <c r="D2472" s="53"/>
      <c r="E2472" s="240"/>
      <c r="F2472" s="241"/>
      <c r="G2472" s="53"/>
      <c r="H2472" s="53"/>
      <c r="I2472" s="53"/>
      <c r="J2472" s="53"/>
      <c r="K2472" s="53"/>
      <c r="L2472" s="53"/>
      <c r="M2472" s="53"/>
      <c r="N2472" s="53"/>
      <c r="O2472" s="53"/>
      <c r="P2472" s="53"/>
      <c r="Q2472" s="53"/>
      <c r="R2472" s="53"/>
      <c r="S2472" s="53"/>
      <c r="T2472" s="53"/>
      <c r="U2472" s="53"/>
      <c r="V2472" s="53"/>
    </row>
    <row r="2473">
      <c r="A2473" s="83"/>
      <c r="B2473" s="53"/>
      <c r="C2473" s="53"/>
      <c r="D2473" s="53"/>
      <c r="E2473" s="240"/>
      <c r="F2473" s="241"/>
      <c r="G2473" s="53"/>
      <c r="H2473" s="53"/>
      <c r="I2473" s="53"/>
      <c r="J2473" s="53"/>
      <c r="K2473" s="53"/>
      <c r="L2473" s="53"/>
      <c r="M2473" s="53"/>
      <c r="N2473" s="53"/>
      <c r="O2473" s="53"/>
      <c r="P2473" s="53"/>
      <c r="Q2473" s="53"/>
      <c r="R2473" s="53"/>
      <c r="S2473" s="53"/>
      <c r="T2473" s="53"/>
      <c r="U2473" s="53"/>
      <c r="V2473" s="53"/>
    </row>
    <row r="2474">
      <c r="A2474" s="83"/>
      <c r="B2474" s="53"/>
      <c r="C2474" s="53"/>
      <c r="D2474" s="53"/>
      <c r="E2474" s="240"/>
      <c r="F2474" s="241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</row>
    <row r="2475">
      <c r="A2475" s="83"/>
      <c r="B2475" s="53"/>
      <c r="C2475" s="53"/>
      <c r="D2475" s="53"/>
      <c r="E2475" s="240"/>
      <c r="F2475" s="241"/>
      <c r="G2475" s="53"/>
      <c r="H2475" s="53"/>
      <c r="I2475" s="53"/>
      <c r="J2475" s="53"/>
      <c r="K2475" s="53"/>
      <c r="L2475" s="53"/>
      <c r="M2475" s="53"/>
      <c r="N2475" s="53"/>
      <c r="O2475" s="53"/>
      <c r="P2475" s="53"/>
      <c r="Q2475" s="53"/>
      <c r="R2475" s="53"/>
      <c r="S2475" s="53"/>
      <c r="T2475" s="53"/>
      <c r="U2475" s="53"/>
      <c r="V2475" s="53"/>
    </row>
    <row r="2476">
      <c r="A2476" s="83"/>
      <c r="B2476" s="53"/>
      <c r="C2476" s="53"/>
      <c r="D2476" s="53"/>
      <c r="E2476" s="240"/>
      <c r="F2476" s="241"/>
      <c r="G2476" s="53"/>
      <c r="H2476" s="53"/>
      <c r="I2476" s="53"/>
      <c r="J2476" s="53"/>
      <c r="K2476" s="53"/>
      <c r="L2476" s="53"/>
      <c r="M2476" s="53"/>
      <c r="N2476" s="53"/>
      <c r="O2476" s="53"/>
      <c r="P2476" s="53"/>
      <c r="Q2476" s="53"/>
      <c r="R2476" s="53"/>
      <c r="S2476" s="53"/>
      <c r="T2476" s="53"/>
      <c r="U2476" s="53"/>
      <c r="V2476" s="53"/>
    </row>
    <row r="2477">
      <c r="A2477" s="83"/>
      <c r="B2477" s="53"/>
      <c r="C2477" s="53"/>
      <c r="D2477" s="53"/>
      <c r="E2477" s="240"/>
      <c r="F2477" s="241"/>
      <c r="G2477" s="53"/>
      <c r="H2477" s="53"/>
      <c r="I2477" s="53"/>
      <c r="J2477" s="53"/>
      <c r="K2477" s="53"/>
      <c r="L2477" s="53"/>
      <c r="M2477" s="53"/>
      <c r="N2477" s="53"/>
      <c r="O2477" s="53"/>
      <c r="P2477" s="53"/>
      <c r="Q2477" s="53"/>
      <c r="R2477" s="53"/>
      <c r="S2477" s="53"/>
      <c r="T2477" s="53"/>
      <c r="U2477" s="53"/>
      <c r="V2477" s="53"/>
    </row>
    <row r="2478">
      <c r="A2478" s="83"/>
      <c r="B2478" s="53"/>
      <c r="C2478" s="53"/>
      <c r="D2478" s="53"/>
      <c r="E2478" s="240"/>
      <c r="F2478" s="241"/>
      <c r="G2478" s="53"/>
      <c r="H2478" s="53"/>
      <c r="I2478" s="53"/>
      <c r="J2478" s="53"/>
      <c r="K2478" s="53"/>
      <c r="L2478" s="53"/>
      <c r="M2478" s="53"/>
      <c r="N2478" s="53"/>
      <c r="O2478" s="53"/>
      <c r="P2478" s="53"/>
      <c r="Q2478" s="53"/>
      <c r="R2478" s="53"/>
      <c r="S2478" s="53"/>
      <c r="T2478" s="53"/>
      <c r="U2478" s="53"/>
      <c r="V2478" s="53"/>
    </row>
    <row r="2479">
      <c r="A2479" s="83"/>
      <c r="B2479" s="53"/>
      <c r="C2479" s="53"/>
      <c r="D2479" s="53"/>
      <c r="E2479" s="240"/>
      <c r="F2479" s="241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53"/>
      <c r="T2479" s="53"/>
      <c r="U2479" s="53"/>
      <c r="V2479" s="53"/>
    </row>
    <row r="2480">
      <c r="A2480" s="83"/>
      <c r="B2480" s="53"/>
      <c r="C2480" s="53"/>
      <c r="D2480" s="53"/>
      <c r="E2480" s="240"/>
      <c r="F2480" s="241"/>
      <c r="G2480" s="53"/>
      <c r="H2480" s="53"/>
      <c r="I2480" s="53"/>
      <c r="J2480" s="53"/>
      <c r="K2480" s="53"/>
      <c r="L2480" s="53"/>
      <c r="M2480" s="53"/>
      <c r="N2480" s="53"/>
      <c r="O2480" s="53"/>
      <c r="P2480" s="53"/>
      <c r="Q2480" s="53"/>
      <c r="R2480" s="53"/>
      <c r="S2480" s="53"/>
      <c r="T2480" s="53"/>
      <c r="U2480" s="53"/>
      <c r="V2480" s="53"/>
    </row>
    <row r="2481">
      <c r="A2481" s="83"/>
      <c r="B2481" s="53"/>
      <c r="C2481" s="53"/>
      <c r="D2481" s="53"/>
      <c r="E2481" s="240"/>
      <c r="F2481" s="241"/>
      <c r="G2481" s="53"/>
      <c r="H2481" s="53"/>
      <c r="I2481" s="53"/>
      <c r="J2481" s="53"/>
      <c r="K2481" s="53"/>
      <c r="L2481" s="53"/>
      <c r="M2481" s="53"/>
      <c r="N2481" s="53"/>
      <c r="O2481" s="53"/>
      <c r="P2481" s="53"/>
      <c r="Q2481" s="53"/>
      <c r="R2481" s="53"/>
      <c r="S2481" s="53"/>
      <c r="T2481" s="53"/>
      <c r="U2481" s="53"/>
      <c r="V2481" s="53"/>
    </row>
    <row r="2482">
      <c r="A2482" s="83"/>
      <c r="B2482" s="53"/>
      <c r="C2482" s="53"/>
      <c r="D2482" s="53"/>
      <c r="E2482" s="240"/>
      <c r="F2482" s="241"/>
      <c r="G2482" s="53"/>
      <c r="H2482" s="53"/>
      <c r="I2482" s="53"/>
      <c r="J2482" s="53"/>
      <c r="K2482" s="53"/>
      <c r="L2482" s="53"/>
      <c r="M2482" s="53"/>
      <c r="N2482" s="53"/>
      <c r="O2482" s="53"/>
      <c r="P2482" s="53"/>
      <c r="Q2482" s="53"/>
      <c r="R2482" s="53"/>
      <c r="S2482" s="53"/>
      <c r="T2482" s="53"/>
      <c r="U2482" s="53"/>
      <c r="V2482" s="53"/>
    </row>
    <row r="2483">
      <c r="A2483" s="83"/>
      <c r="B2483" s="53"/>
      <c r="C2483" s="53"/>
      <c r="D2483" s="53"/>
      <c r="E2483" s="240"/>
      <c r="F2483" s="241"/>
      <c r="G2483" s="53"/>
      <c r="H2483" s="53"/>
      <c r="I2483" s="53"/>
      <c r="J2483" s="53"/>
      <c r="K2483" s="53"/>
      <c r="L2483" s="53"/>
      <c r="M2483" s="53"/>
      <c r="N2483" s="53"/>
      <c r="O2483" s="53"/>
      <c r="P2483" s="53"/>
      <c r="Q2483" s="53"/>
      <c r="R2483" s="53"/>
      <c r="S2483" s="53"/>
      <c r="T2483" s="53"/>
      <c r="U2483" s="53"/>
      <c r="V2483" s="53"/>
    </row>
    <row r="2484">
      <c r="A2484" s="83"/>
      <c r="B2484" s="53"/>
      <c r="C2484" s="53"/>
      <c r="D2484" s="53"/>
      <c r="E2484" s="240"/>
      <c r="F2484" s="241"/>
      <c r="G2484" s="53"/>
      <c r="H2484" s="53"/>
      <c r="I2484" s="53"/>
      <c r="J2484" s="53"/>
      <c r="K2484" s="53"/>
      <c r="L2484" s="53"/>
      <c r="M2484" s="53"/>
      <c r="N2484" s="53"/>
      <c r="O2484" s="53"/>
      <c r="P2484" s="53"/>
      <c r="Q2484" s="53"/>
      <c r="R2484" s="53"/>
      <c r="S2484" s="53"/>
      <c r="T2484" s="53"/>
      <c r="U2484" s="53"/>
      <c r="V2484" s="53"/>
    </row>
    <row r="2485">
      <c r="A2485" s="83"/>
      <c r="B2485" s="53"/>
      <c r="C2485" s="53"/>
      <c r="D2485" s="53"/>
      <c r="E2485" s="240"/>
      <c r="F2485" s="241"/>
      <c r="G2485" s="53"/>
      <c r="H2485" s="53"/>
      <c r="I2485" s="53"/>
      <c r="J2485" s="53"/>
      <c r="K2485" s="53"/>
      <c r="L2485" s="53"/>
      <c r="M2485" s="53"/>
      <c r="N2485" s="53"/>
      <c r="O2485" s="53"/>
      <c r="P2485" s="53"/>
      <c r="Q2485" s="53"/>
      <c r="R2485" s="53"/>
      <c r="S2485" s="53"/>
      <c r="T2485" s="53"/>
      <c r="U2485" s="53"/>
      <c r="V2485" s="53"/>
    </row>
    <row r="2486">
      <c r="A2486" s="83"/>
      <c r="B2486" s="53"/>
      <c r="C2486" s="53"/>
      <c r="D2486" s="53"/>
      <c r="E2486" s="240"/>
      <c r="F2486" s="241"/>
      <c r="G2486" s="53"/>
      <c r="H2486" s="53"/>
      <c r="I2486" s="53"/>
      <c r="J2486" s="53"/>
      <c r="K2486" s="53"/>
      <c r="L2486" s="53"/>
      <c r="M2486" s="53"/>
      <c r="N2486" s="53"/>
      <c r="O2486" s="53"/>
      <c r="P2486" s="53"/>
      <c r="Q2486" s="53"/>
      <c r="R2486" s="53"/>
      <c r="S2486" s="53"/>
      <c r="T2486" s="53"/>
      <c r="U2486" s="53"/>
      <c r="V2486" s="53"/>
    </row>
    <row r="2487">
      <c r="A2487" s="83"/>
      <c r="B2487" s="53"/>
      <c r="C2487" s="53"/>
      <c r="D2487" s="53"/>
      <c r="E2487" s="240"/>
      <c r="F2487" s="241"/>
      <c r="G2487" s="53"/>
      <c r="H2487" s="53"/>
      <c r="I2487" s="53"/>
      <c r="J2487" s="53"/>
      <c r="K2487" s="53"/>
      <c r="L2487" s="53"/>
      <c r="M2487" s="53"/>
      <c r="N2487" s="53"/>
      <c r="O2487" s="53"/>
      <c r="P2487" s="53"/>
      <c r="Q2487" s="53"/>
      <c r="R2487" s="53"/>
      <c r="S2487" s="53"/>
      <c r="T2487" s="53"/>
      <c r="U2487" s="53"/>
      <c r="V2487" s="53"/>
    </row>
    <row r="2488">
      <c r="A2488" s="83"/>
      <c r="B2488" s="53"/>
      <c r="C2488" s="53"/>
      <c r="D2488" s="53"/>
      <c r="E2488" s="240"/>
      <c r="F2488" s="241"/>
      <c r="G2488" s="53"/>
      <c r="H2488" s="53"/>
      <c r="I2488" s="53"/>
      <c r="J2488" s="53"/>
      <c r="K2488" s="53"/>
      <c r="L2488" s="53"/>
      <c r="M2488" s="53"/>
      <c r="N2488" s="53"/>
      <c r="O2488" s="53"/>
      <c r="P2488" s="53"/>
      <c r="Q2488" s="53"/>
      <c r="R2488" s="53"/>
      <c r="S2488" s="53"/>
      <c r="T2488" s="53"/>
      <c r="U2488" s="53"/>
      <c r="V2488" s="53"/>
    </row>
    <row r="2489">
      <c r="A2489" s="83"/>
      <c r="B2489" s="53"/>
      <c r="C2489" s="53"/>
      <c r="D2489" s="53"/>
      <c r="E2489" s="240"/>
      <c r="F2489" s="241"/>
      <c r="G2489" s="53"/>
      <c r="H2489" s="53"/>
      <c r="I2489" s="53"/>
      <c r="J2489" s="53"/>
      <c r="K2489" s="53"/>
      <c r="L2489" s="53"/>
      <c r="M2489" s="53"/>
      <c r="N2489" s="53"/>
      <c r="O2489" s="53"/>
      <c r="P2489" s="53"/>
      <c r="Q2489" s="53"/>
      <c r="R2489" s="53"/>
      <c r="S2489" s="53"/>
      <c r="T2489" s="53"/>
      <c r="U2489" s="53"/>
      <c r="V2489" s="53"/>
    </row>
    <row r="2490">
      <c r="A2490" s="83"/>
      <c r="B2490" s="53"/>
      <c r="C2490" s="53"/>
      <c r="D2490" s="53"/>
      <c r="E2490" s="240"/>
      <c r="F2490" s="241"/>
      <c r="G2490" s="53"/>
      <c r="H2490" s="53"/>
      <c r="I2490" s="53"/>
      <c r="J2490" s="53"/>
      <c r="K2490" s="53"/>
      <c r="L2490" s="53"/>
      <c r="M2490" s="53"/>
      <c r="N2490" s="53"/>
      <c r="O2490" s="53"/>
      <c r="P2490" s="53"/>
      <c r="Q2490" s="53"/>
      <c r="R2490" s="53"/>
      <c r="S2490" s="53"/>
      <c r="T2490" s="53"/>
      <c r="U2490" s="53"/>
      <c r="V2490" s="53"/>
    </row>
    <row r="2491">
      <c r="A2491" s="83"/>
      <c r="B2491" s="53"/>
      <c r="C2491" s="53"/>
      <c r="D2491" s="53"/>
      <c r="E2491" s="240"/>
      <c r="F2491" s="241"/>
      <c r="G2491" s="53"/>
      <c r="H2491" s="53"/>
      <c r="I2491" s="53"/>
      <c r="J2491" s="53"/>
      <c r="K2491" s="53"/>
      <c r="L2491" s="53"/>
      <c r="M2491" s="53"/>
      <c r="N2491" s="53"/>
      <c r="O2491" s="53"/>
      <c r="P2491" s="53"/>
      <c r="Q2491" s="53"/>
      <c r="R2491" s="53"/>
      <c r="S2491" s="53"/>
      <c r="T2491" s="53"/>
      <c r="U2491" s="53"/>
      <c r="V2491" s="53"/>
    </row>
    <row r="2492">
      <c r="A2492" s="83"/>
      <c r="B2492" s="53"/>
      <c r="C2492" s="53"/>
      <c r="D2492" s="53"/>
      <c r="E2492" s="240"/>
      <c r="F2492" s="241"/>
      <c r="G2492" s="53"/>
      <c r="H2492" s="53"/>
      <c r="I2492" s="53"/>
      <c r="J2492" s="53"/>
      <c r="K2492" s="53"/>
      <c r="L2492" s="53"/>
      <c r="M2492" s="53"/>
      <c r="N2492" s="53"/>
      <c r="O2492" s="53"/>
      <c r="P2492" s="53"/>
      <c r="Q2492" s="53"/>
      <c r="R2492" s="53"/>
      <c r="S2492" s="53"/>
      <c r="T2492" s="53"/>
      <c r="U2492" s="53"/>
      <c r="V2492" s="53"/>
    </row>
    <row r="2493">
      <c r="A2493" s="83"/>
      <c r="B2493" s="53"/>
      <c r="C2493" s="53"/>
      <c r="D2493" s="53"/>
      <c r="E2493" s="240"/>
      <c r="F2493" s="241"/>
      <c r="G2493" s="53"/>
      <c r="H2493" s="53"/>
      <c r="I2493" s="53"/>
      <c r="J2493" s="53"/>
      <c r="K2493" s="53"/>
      <c r="L2493" s="53"/>
      <c r="M2493" s="53"/>
      <c r="N2493" s="53"/>
      <c r="O2493" s="53"/>
      <c r="P2493" s="53"/>
      <c r="Q2493" s="53"/>
      <c r="R2493" s="53"/>
      <c r="S2493" s="53"/>
      <c r="T2493" s="53"/>
      <c r="U2493" s="53"/>
      <c r="V2493" s="53"/>
    </row>
    <row r="2494">
      <c r="A2494" s="83"/>
      <c r="B2494" s="53"/>
      <c r="C2494" s="53"/>
      <c r="D2494" s="53"/>
      <c r="E2494" s="240"/>
      <c r="F2494" s="241"/>
      <c r="G2494" s="53"/>
      <c r="H2494" s="53"/>
      <c r="I2494" s="53"/>
      <c r="J2494" s="53"/>
      <c r="K2494" s="53"/>
      <c r="L2494" s="53"/>
      <c r="M2494" s="53"/>
      <c r="N2494" s="53"/>
      <c r="O2494" s="53"/>
      <c r="P2494" s="53"/>
      <c r="Q2494" s="53"/>
      <c r="R2494" s="53"/>
      <c r="S2494" s="53"/>
      <c r="T2494" s="53"/>
      <c r="U2494" s="53"/>
      <c r="V2494" s="53"/>
    </row>
    <row r="2495">
      <c r="A2495" s="83"/>
      <c r="B2495" s="53"/>
      <c r="C2495" s="53"/>
      <c r="D2495" s="53"/>
      <c r="E2495" s="240"/>
      <c r="F2495" s="241"/>
      <c r="G2495" s="53"/>
      <c r="H2495" s="53"/>
      <c r="I2495" s="53"/>
      <c r="J2495" s="53"/>
      <c r="K2495" s="53"/>
      <c r="L2495" s="53"/>
      <c r="M2495" s="53"/>
      <c r="N2495" s="53"/>
      <c r="O2495" s="53"/>
      <c r="P2495" s="53"/>
      <c r="Q2495" s="53"/>
      <c r="R2495" s="53"/>
      <c r="S2495" s="53"/>
      <c r="T2495" s="53"/>
      <c r="U2495" s="53"/>
      <c r="V2495" s="53"/>
    </row>
    <row r="2496">
      <c r="A2496" s="83"/>
      <c r="B2496" s="53"/>
      <c r="C2496" s="53"/>
      <c r="D2496" s="53"/>
      <c r="E2496" s="240"/>
      <c r="F2496" s="241"/>
      <c r="G2496" s="53"/>
      <c r="H2496" s="53"/>
      <c r="I2496" s="53"/>
      <c r="J2496" s="53"/>
      <c r="K2496" s="53"/>
      <c r="L2496" s="53"/>
      <c r="M2496" s="53"/>
      <c r="N2496" s="53"/>
      <c r="O2496" s="53"/>
      <c r="P2496" s="53"/>
      <c r="Q2496" s="53"/>
      <c r="R2496" s="53"/>
      <c r="S2496" s="53"/>
      <c r="T2496" s="53"/>
      <c r="U2496" s="53"/>
      <c r="V2496" s="53"/>
    </row>
    <row r="2497">
      <c r="A2497" s="83"/>
      <c r="B2497" s="53"/>
      <c r="C2497" s="53"/>
      <c r="D2497" s="53"/>
      <c r="E2497" s="240"/>
      <c r="F2497" s="241"/>
      <c r="G2497" s="53"/>
      <c r="H2497" s="53"/>
      <c r="I2497" s="53"/>
      <c r="J2497" s="53"/>
      <c r="K2497" s="53"/>
      <c r="L2497" s="53"/>
      <c r="M2497" s="53"/>
      <c r="N2497" s="53"/>
      <c r="O2497" s="53"/>
      <c r="P2497" s="53"/>
      <c r="Q2497" s="53"/>
      <c r="R2497" s="53"/>
      <c r="S2497" s="53"/>
      <c r="T2497" s="53"/>
      <c r="U2497" s="53"/>
      <c r="V2497" s="53"/>
    </row>
    <row r="2498">
      <c r="A2498" s="83"/>
      <c r="B2498" s="53"/>
      <c r="C2498" s="53"/>
      <c r="D2498" s="53"/>
      <c r="E2498" s="240"/>
      <c r="F2498" s="241"/>
      <c r="G2498" s="53"/>
      <c r="H2498" s="53"/>
      <c r="I2498" s="53"/>
      <c r="J2498" s="53"/>
      <c r="K2498" s="53"/>
      <c r="L2498" s="53"/>
      <c r="M2498" s="53"/>
      <c r="N2498" s="53"/>
      <c r="O2498" s="53"/>
      <c r="P2498" s="53"/>
      <c r="Q2498" s="53"/>
      <c r="R2498" s="53"/>
      <c r="S2498" s="53"/>
      <c r="T2498" s="53"/>
      <c r="U2498" s="53"/>
      <c r="V2498" s="53"/>
    </row>
    <row r="2499">
      <c r="A2499" s="83"/>
      <c r="B2499" s="53"/>
      <c r="C2499" s="53"/>
      <c r="D2499" s="53"/>
      <c r="E2499" s="240"/>
      <c r="F2499" s="241"/>
      <c r="G2499" s="53"/>
      <c r="H2499" s="53"/>
      <c r="I2499" s="53"/>
      <c r="J2499" s="53"/>
      <c r="K2499" s="53"/>
      <c r="L2499" s="53"/>
      <c r="M2499" s="53"/>
      <c r="N2499" s="53"/>
      <c r="O2499" s="53"/>
      <c r="P2499" s="53"/>
      <c r="Q2499" s="53"/>
      <c r="R2499" s="53"/>
      <c r="S2499" s="53"/>
      <c r="T2499" s="53"/>
      <c r="U2499" s="53"/>
      <c r="V2499" s="53"/>
    </row>
    <row r="2500">
      <c r="A2500" s="83"/>
      <c r="B2500" s="53"/>
      <c r="C2500" s="53"/>
      <c r="D2500" s="53"/>
      <c r="E2500" s="240"/>
      <c r="F2500" s="241"/>
      <c r="G2500" s="53"/>
      <c r="H2500" s="53"/>
      <c r="I2500" s="53"/>
      <c r="J2500" s="53"/>
      <c r="K2500" s="53"/>
      <c r="L2500" s="53"/>
      <c r="M2500" s="53"/>
      <c r="N2500" s="53"/>
      <c r="O2500" s="53"/>
      <c r="P2500" s="53"/>
      <c r="Q2500" s="53"/>
      <c r="R2500" s="53"/>
      <c r="S2500" s="53"/>
      <c r="T2500" s="53"/>
      <c r="U2500" s="53"/>
      <c r="V2500" s="53"/>
    </row>
    <row r="2501">
      <c r="A2501" s="83"/>
      <c r="B2501" s="53"/>
      <c r="C2501" s="53"/>
      <c r="D2501" s="53"/>
      <c r="E2501" s="240"/>
      <c r="F2501" s="241"/>
      <c r="G2501" s="53"/>
      <c r="H2501" s="53"/>
      <c r="I2501" s="53"/>
      <c r="J2501" s="53"/>
      <c r="K2501" s="53"/>
      <c r="L2501" s="53"/>
      <c r="M2501" s="53"/>
      <c r="N2501" s="53"/>
      <c r="O2501" s="53"/>
      <c r="P2501" s="53"/>
      <c r="Q2501" s="53"/>
      <c r="R2501" s="53"/>
      <c r="S2501" s="53"/>
      <c r="T2501" s="53"/>
      <c r="U2501" s="53"/>
      <c r="V2501" s="53"/>
    </row>
    <row r="2502">
      <c r="A2502" s="83"/>
      <c r="B2502" s="53"/>
      <c r="C2502" s="53"/>
      <c r="D2502" s="53"/>
      <c r="E2502" s="240"/>
      <c r="F2502" s="241"/>
      <c r="G2502" s="53"/>
      <c r="H2502" s="53"/>
      <c r="I2502" s="53"/>
      <c r="J2502" s="53"/>
      <c r="K2502" s="53"/>
      <c r="L2502" s="53"/>
      <c r="M2502" s="53"/>
      <c r="N2502" s="53"/>
      <c r="O2502" s="53"/>
      <c r="P2502" s="53"/>
      <c r="Q2502" s="53"/>
      <c r="R2502" s="53"/>
      <c r="S2502" s="53"/>
      <c r="T2502" s="53"/>
      <c r="U2502" s="53"/>
      <c r="V2502" s="53"/>
    </row>
    <row r="2503">
      <c r="A2503" s="83"/>
      <c r="B2503" s="53"/>
      <c r="C2503" s="53"/>
      <c r="D2503" s="53"/>
      <c r="E2503" s="240"/>
      <c r="F2503" s="241"/>
      <c r="G2503" s="53"/>
      <c r="H2503" s="53"/>
      <c r="I2503" s="53"/>
      <c r="J2503" s="53"/>
      <c r="K2503" s="53"/>
      <c r="L2503" s="53"/>
      <c r="M2503" s="53"/>
      <c r="N2503" s="53"/>
      <c r="O2503" s="53"/>
      <c r="P2503" s="53"/>
      <c r="Q2503" s="53"/>
      <c r="R2503" s="53"/>
      <c r="S2503" s="53"/>
      <c r="T2503" s="53"/>
      <c r="U2503" s="53"/>
      <c r="V2503" s="53"/>
    </row>
    <row r="2504">
      <c r="A2504" s="83"/>
      <c r="B2504" s="53"/>
      <c r="C2504" s="53"/>
      <c r="D2504" s="53"/>
      <c r="E2504" s="240"/>
      <c r="F2504" s="241"/>
      <c r="G2504" s="53"/>
      <c r="H2504" s="53"/>
      <c r="I2504" s="53"/>
      <c r="J2504" s="53"/>
      <c r="K2504" s="53"/>
      <c r="L2504" s="53"/>
      <c r="M2504" s="53"/>
      <c r="N2504" s="53"/>
      <c r="O2504" s="53"/>
      <c r="P2504" s="53"/>
      <c r="Q2504" s="53"/>
      <c r="R2504" s="53"/>
      <c r="S2504" s="53"/>
      <c r="T2504" s="53"/>
      <c r="U2504" s="53"/>
      <c r="V2504" s="53"/>
    </row>
    <row r="2505">
      <c r="A2505" s="83"/>
      <c r="B2505" s="53"/>
      <c r="C2505" s="53"/>
      <c r="D2505" s="53"/>
      <c r="E2505" s="240"/>
      <c r="F2505" s="241"/>
      <c r="G2505" s="53"/>
      <c r="H2505" s="53"/>
      <c r="I2505" s="53"/>
      <c r="J2505" s="53"/>
      <c r="K2505" s="53"/>
      <c r="L2505" s="53"/>
      <c r="M2505" s="53"/>
      <c r="N2505" s="53"/>
      <c r="O2505" s="53"/>
      <c r="P2505" s="53"/>
      <c r="Q2505" s="53"/>
      <c r="R2505" s="53"/>
      <c r="S2505" s="53"/>
      <c r="T2505" s="53"/>
      <c r="U2505" s="53"/>
      <c r="V2505" s="53"/>
    </row>
    <row r="2506">
      <c r="A2506" s="83"/>
      <c r="B2506" s="53"/>
      <c r="C2506" s="53"/>
      <c r="D2506" s="53"/>
      <c r="E2506" s="240"/>
      <c r="F2506" s="241"/>
      <c r="G2506" s="53"/>
      <c r="H2506" s="53"/>
      <c r="I2506" s="53"/>
      <c r="J2506" s="53"/>
      <c r="K2506" s="53"/>
      <c r="L2506" s="53"/>
      <c r="M2506" s="53"/>
      <c r="N2506" s="53"/>
      <c r="O2506" s="53"/>
      <c r="P2506" s="53"/>
      <c r="Q2506" s="53"/>
      <c r="R2506" s="53"/>
      <c r="S2506" s="53"/>
      <c r="T2506" s="53"/>
      <c r="U2506" s="53"/>
      <c r="V2506" s="53"/>
    </row>
    <row r="2507">
      <c r="A2507" s="83"/>
      <c r="B2507" s="53"/>
      <c r="C2507" s="53"/>
      <c r="D2507" s="53"/>
      <c r="E2507" s="240"/>
      <c r="F2507" s="241"/>
      <c r="G2507" s="53"/>
      <c r="H2507" s="53"/>
      <c r="I2507" s="53"/>
      <c r="J2507" s="53"/>
      <c r="K2507" s="53"/>
      <c r="L2507" s="53"/>
      <c r="M2507" s="53"/>
      <c r="N2507" s="53"/>
      <c r="O2507" s="53"/>
      <c r="P2507" s="53"/>
      <c r="Q2507" s="53"/>
      <c r="R2507" s="53"/>
      <c r="S2507" s="53"/>
      <c r="T2507" s="53"/>
      <c r="U2507" s="53"/>
      <c r="V2507" s="53"/>
    </row>
    <row r="2508">
      <c r="A2508" s="83"/>
      <c r="B2508" s="53"/>
      <c r="C2508" s="53"/>
      <c r="D2508" s="53"/>
      <c r="E2508" s="240"/>
      <c r="F2508" s="241"/>
      <c r="G2508" s="53"/>
      <c r="H2508" s="53"/>
      <c r="I2508" s="53"/>
      <c r="J2508" s="53"/>
      <c r="K2508" s="53"/>
      <c r="L2508" s="53"/>
      <c r="M2508" s="53"/>
      <c r="N2508" s="53"/>
      <c r="O2508" s="53"/>
      <c r="P2508" s="53"/>
      <c r="Q2508" s="53"/>
      <c r="R2508" s="53"/>
      <c r="S2508" s="53"/>
      <c r="T2508" s="53"/>
      <c r="U2508" s="53"/>
      <c r="V2508" s="53"/>
    </row>
    <row r="2509">
      <c r="A2509" s="83"/>
      <c r="B2509" s="53"/>
      <c r="C2509" s="53"/>
      <c r="D2509" s="53"/>
      <c r="E2509" s="240"/>
      <c r="F2509" s="241"/>
      <c r="G2509" s="53"/>
      <c r="H2509" s="53"/>
      <c r="I2509" s="53"/>
      <c r="J2509" s="53"/>
      <c r="K2509" s="53"/>
      <c r="L2509" s="53"/>
      <c r="M2509" s="53"/>
      <c r="N2509" s="53"/>
      <c r="O2509" s="53"/>
      <c r="P2509" s="53"/>
      <c r="Q2509" s="53"/>
      <c r="R2509" s="53"/>
      <c r="S2509" s="53"/>
      <c r="T2509" s="53"/>
      <c r="U2509" s="53"/>
      <c r="V2509" s="53"/>
    </row>
    <row r="2510">
      <c r="A2510" s="83"/>
      <c r="B2510" s="53"/>
      <c r="C2510" s="53"/>
      <c r="D2510" s="53"/>
      <c r="E2510" s="240"/>
      <c r="F2510" s="241"/>
      <c r="G2510" s="53"/>
      <c r="H2510" s="53"/>
      <c r="I2510" s="53"/>
      <c r="J2510" s="53"/>
      <c r="K2510" s="53"/>
      <c r="L2510" s="53"/>
      <c r="M2510" s="53"/>
      <c r="N2510" s="53"/>
      <c r="O2510" s="53"/>
      <c r="P2510" s="53"/>
      <c r="Q2510" s="53"/>
      <c r="R2510" s="53"/>
      <c r="S2510" s="53"/>
      <c r="T2510" s="53"/>
      <c r="U2510" s="53"/>
      <c r="V2510" s="53"/>
    </row>
    <row r="2511">
      <c r="A2511" s="83"/>
      <c r="B2511" s="53"/>
      <c r="C2511" s="53"/>
      <c r="D2511" s="53"/>
      <c r="E2511" s="240"/>
      <c r="F2511" s="241"/>
      <c r="G2511" s="53"/>
      <c r="H2511" s="53"/>
      <c r="I2511" s="53"/>
      <c r="J2511" s="53"/>
      <c r="K2511" s="53"/>
      <c r="L2511" s="53"/>
      <c r="M2511" s="53"/>
      <c r="N2511" s="53"/>
      <c r="O2511" s="53"/>
      <c r="P2511" s="53"/>
      <c r="Q2511" s="53"/>
      <c r="R2511" s="53"/>
      <c r="S2511" s="53"/>
      <c r="T2511" s="53"/>
      <c r="U2511" s="53"/>
      <c r="V2511" s="53"/>
    </row>
    <row r="2512">
      <c r="A2512" s="83"/>
      <c r="B2512" s="53"/>
      <c r="C2512" s="53"/>
      <c r="D2512" s="53"/>
      <c r="E2512" s="240"/>
      <c r="F2512" s="241"/>
      <c r="G2512" s="53"/>
      <c r="H2512" s="53"/>
      <c r="I2512" s="53"/>
      <c r="J2512" s="53"/>
      <c r="K2512" s="53"/>
      <c r="L2512" s="53"/>
      <c r="M2512" s="53"/>
      <c r="N2512" s="53"/>
      <c r="O2512" s="53"/>
      <c r="P2512" s="53"/>
      <c r="Q2512" s="53"/>
      <c r="R2512" s="53"/>
      <c r="S2512" s="53"/>
      <c r="T2512" s="53"/>
      <c r="U2512" s="53"/>
      <c r="V2512" s="53"/>
    </row>
    <row r="2513">
      <c r="A2513" s="83"/>
      <c r="B2513" s="53"/>
      <c r="C2513" s="53"/>
      <c r="D2513" s="53"/>
      <c r="E2513" s="240"/>
      <c r="F2513" s="241"/>
      <c r="G2513" s="53"/>
      <c r="H2513" s="53"/>
      <c r="I2513" s="53"/>
      <c r="J2513" s="53"/>
      <c r="K2513" s="53"/>
      <c r="L2513" s="53"/>
      <c r="M2513" s="53"/>
      <c r="N2513" s="53"/>
      <c r="O2513" s="53"/>
      <c r="P2513" s="53"/>
      <c r="Q2513" s="53"/>
      <c r="R2513" s="53"/>
      <c r="S2513" s="53"/>
      <c r="T2513" s="53"/>
      <c r="U2513" s="53"/>
      <c r="V2513" s="53"/>
    </row>
    <row r="2514">
      <c r="A2514" s="83"/>
      <c r="B2514" s="53"/>
      <c r="C2514" s="53"/>
      <c r="D2514" s="53"/>
      <c r="E2514" s="240"/>
      <c r="F2514" s="241"/>
      <c r="G2514" s="53"/>
      <c r="H2514" s="53"/>
      <c r="I2514" s="53"/>
      <c r="J2514" s="53"/>
      <c r="K2514" s="53"/>
      <c r="L2514" s="53"/>
      <c r="M2514" s="53"/>
      <c r="N2514" s="53"/>
      <c r="O2514" s="53"/>
      <c r="P2514" s="53"/>
      <c r="Q2514" s="53"/>
      <c r="R2514" s="53"/>
      <c r="S2514" s="53"/>
      <c r="T2514" s="53"/>
      <c r="U2514" s="53"/>
      <c r="V2514" s="53"/>
    </row>
    <row r="2515">
      <c r="A2515" s="83"/>
      <c r="B2515" s="53"/>
      <c r="C2515" s="53"/>
      <c r="D2515" s="53"/>
      <c r="E2515" s="240"/>
      <c r="F2515" s="241"/>
      <c r="G2515" s="53"/>
      <c r="H2515" s="53"/>
      <c r="I2515" s="53"/>
      <c r="J2515" s="53"/>
      <c r="K2515" s="53"/>
      <c r="L2515" s="53"/>
      <c r="M2515" s="53"/>
      <c r="N2515" s="53"/>
      <c r="O2515" s="53"/>
      <c r="P2515" s="53"/>
      <c r="Q2515" s="53"/>
      <c r="R2515" s="53"/>
      <c r="S2515" s="53"/>
      <c r="T2515" s="53"/>
      <c r="U2515" s="53"/>
      <c r="V2515" s="53"/>
    </row>
    <row r="2516">
      <c r="A2516" s="83"/>
      <c r="B2516" s="53"/>
      <c r="C2516" s="53"/>
      <c r="D2516" s="53"/>
      <c r="E2516" s="240"/>
      <c r="F2516" s="241"/>
      <c r="G2516" s="53"/>
      <c r="H2516" s="53"/>
      <c r="I2516" s="53"/>
      <c r="J2516" s="53"/>
      <c r="K2516" s="53"/>
      <c r="L2516" s="53"/>
      <c r="M2516" s="53"/>
      <c r="N2516" s="53"/>
      <c r="O2516" s="53"/>
      <c r="P2516" s="53"/>
      <c r="Q2516" s="53"/>
      <c r="R2516" s="53"/>
      <c r="S2516" s="53"/>
      <c r="T2516" s="53"/>
      <c r="U2516" s="53"/>
      <c r="V2516" s="53"/>
    </row>
    <row r="2517">
      <c r="A2517" s="83"/>
      <c r="B2517" s="53"/>
      <c r="C2517" s="53"/>
      <c r="D2517" s="53"/>
      <c r="E2517" s="240"/>
      <c r="F2517" s="241"/>
      <c r="G2517" s="53"/>
      <c r="H2517" s="53"/>
      <c r="I2517" s="53"/>
      <c r="J2517" s="53"/>
      <c r="K2517" s="53"/>
      <c r="L2517" s="53"/>
      <c r="M2517" s="53"/>
      <c r="N2517" s="53"/>
      <c r="O2517" s="53"/>
      <c r="P2517" s="53"/>
      <c r="Q2517" s="53"/>
      <c r="R2517" s="53"/>
      <c r="S2517" s="53"/>
      <c r="T2517" s="53"/>
      <c r="U2517" s="53"/>
      <c r="V2517" s="53"/>
    </row>
    <row r="2518">
      <c r="A2518" s="83"/>
      <c r="B2518" s="53"/>
      <c r="C2518" s="53"/>
      <c r="D2518" s="53"/>
      <c r="E2518" s="240"/>
      <c r="F2518" s="241"/>
      <c r="G2518" s="53"/>
      <c r="H2518" s="53"/>
      <c r="I2518" s="53"/>
      <c r="J2518" s="53"/>
      <c r="K2518" s="53"/>
      <c r="L2518" s="53"/>
      <c r="M2518" s="53"/>
      <c r="N2518" s="53"/>
      <c r="O2518" s="53"/>
      <c r="P2518" s="53"/>
      <c r="Q2518" s="53"/>
      <c r="R2518" s="53"/>
      <c r="S2518" s="53"/>
      <c r="T2518" s="53"/>
      <c r="U2518" s="53"/>
      <c r="V2518" s="53"/>
    </row>
    <row r="2519">
      <c r="A2519" s="83"/>
      <c r="B2519" s="53"/>
      <c r="C2519" s="53"/>
      <c r="D2519" s="53"/>
      <c r="E2519" s="240"/>
      <c r="F2519" s="241"/>
      <c r="G2519" s="53"/>
      <c r="H2519" s="53"/>
      <c r="I2519" s="53"/>
      <c r="J2519" s="53"/>
      <c r="K2519" s="53"/>
      <c r="L2519" s="53"/>
      <c r="M2519" s="53"/>
      <c r="N2519" s="53"/>
      <c r="O2519" s="53"/>
      <c r="P2519" s="53"/>
      <c r="Q2519" s="53"/>
      <c r="R2519" s="53"/>
      <c r="S2519" s="53"/>
      <c r="T2519" s="53"/>
      <c r="U2519" s="53"/>
      <c r="V2519" s="53"/>
    </row>
    <row r="2520">
      <c r="A2520" s="83"/>
      <c r="B2520" s="53"/>
      <c r="C2520" s="53"/>
      <c r="D2520" s="53"/>
      <c r="E2520" s="240"/>
      <c r="F2520" s="241"/>
      <c r="G2520" s="53"/>
      <c r="H2520" s="53"/>
      <c r="I2520" s="53"/>
      <c r="J2520" s="53"/>
      <c r="K2520" s="53"/>
      <c r="L2520" s="53"/>
      <c r="M2520" s="53"/>
      <c r="N2520" s="53"/>
      <c r="O2520" s="53"/>
      <c r="P2520" s="53"/>
      <c r="Q2520" s="53"/>
      <c r="R2520" s="53"/>
      <c r="S2520" s="53"/>
      <c r="T2520" s="53"/>
      <c r="U2520" s="53"/>
      <c r="V2520" s="53"/>
    </row>
    <row r="2521">
      <c r="A2521" s="83"/>
      <c r="B2521" s="53"/>
      <c r="C2521" s="53"/>
      <c r="D2521" s="53"/>
      <c r="E2521" s="240"/>
      <c r="F2521" s="241"/>
      <c r="G2521" s="53"/>
      <c r="H2521" s="53"/>
      <c r="I2521" s="53"/>
      <c r="J2521" s="53"/>
      <c r="K2521" s="53"/>
      <c r="L2521" s="53"/>
      <c r="M2521" s="53"/>
      <c r="N2521" s="53"/>
      <c r="O2521" s="53"/>
      <c r="P2521" s="53"/>
      <c r="Q2521" s="53"/>
      <c r="R2521" s="53"/>
      <c r="S2521" s="53"/>
      <c r="T2521" s="53"/>
      <c r="U2521" s="53"/>
      <c r="V2521" s="53"/>
    </row>
    <row r="2522">
      <c r="A2522" s="83"/>
      <c r="B2522" s="53"/>
      <c r="C2522" s="53"/>
      <c r="D2522" s="53"/>
      <c r="E2522" s="240"/>
      <c r="F2522" s="241"/>
      <c r="G2522" s="53"/>
      <c r="H2522" s="53"/>
      <c r="I2522" s="53"/>
      <c r="J2522" s="53"/>
      <c r="K2522" s="53"/>
      <c r="L2522" s="53"/>
      <c r="M2522" s="53"/>
      <c r="N2522" s="53"/>
      <c r="O2522" s="53"/>
      <c r="P2522" s="53"/>
      <c r="Q2522" s="53"/>
      <c r="R2522" s="53"/>
      <c r="S2522" s="53"/>
      <c r="T2522" s="53"/>
      <c r="U2522" s="53"/>
      <c r="V2522" s="53"/>
    </row>
    <row r="2523">
      <c r="A2523" s="83"/>
      <c r="B2523" s="53"/>
      <c r="C2523" s="53"/>
      <c r="D2523" s="53"/>
      <c r="E2523" s="240"/>
      <c r="F2523" s="241"/>
      <c r="G2523" s="53"/>
      <c r="H2523" s="53"/>
      <c r="I2523" s="53"/>
      <c r="J2523" s="53"/>
      <c r="K2523" s="53"/>
      <c r="L2523" s="53"/>
      <c r="M2523" s="53"/>
      <c r="N2523" s="53"/>
      <c r="O2523" s="53"/>
      <c r="P2523" s="53"/>
      <c r="Q2523" s="53"/>
      <c r="R2523" s="53"/>
      <c r="S2523" s="53"/>
      <c r="T2523" s="53"/>
      <c r="U2523" s="53"/>
      <c r="V2523" s="53"/>
    </row>
    <row r="2524">
      <c r="A2524" s="83"/>
      <c r="B2524" s="53"/>
      <c r="C2524" s="53"/>
      <c r="D2524" s="53"/>
      <c r="E2524" s="240"/>
      <c r="F2524" s="241"/>
      <c r="G2524" s="53"/>
      <c r="H2524" s="53"/>
      <c r="I2524" s="53"/>
      <c r="J2524" s="53"/>
      <c r="K2524" s="53"/>
      <c r="L2524" s="53"/>
      <c r="M2524" s="53"/>
      <c r="N2524" s="53"/>
      <c r="O2524" s="53"/>
      <c r="P2524" s="53"/>
      <c r="Q2524" s="53"/>
      <c r="R2524" s="53"/>
      <c r="S2524" s="53"/>
      <c r="T2524" s="53"/>
      <c r="U2524" s="53"/>
      <c r="V2524" s="53"/>
    </row>
    <row r="2525">
      <c r="A2525" s="83"/>
      <c r="B2525" s="53"/>
      <c r="C2525" s="53"/>
      <c r="D2525" s="53"/>
      <c r="E2525" s="240"/>
      <c r="F2525" s="241"/>
      <c r="G2525" s="53"/>
      <c r="H2525" s="53"/>
      <c r="I2525" s="53"/>
      <c r="J2525" s="53"/>
      <c r="K2525" s="53"/>
      <c r="L2525" s="53"/>
      <c r="M2525" s="53"/>
      <c r="N2525" s="53"/>
      <c r="O2525" s="53"/>
      <c r="P2525" s="53"/>
      <c r="Q2525" s="53"/>
      <c r="R2525" s="53"/>
      <c r="S2525" s="53"/>
      <c r="T2525" s="53"/>
      <c r="U2525" s="53"/>
      <c r="V2525" s="53"/>
    </row>
    <row r="2526">
      <c r="A2526" s="83"/>
      <c r="B2526" s="53"/>
      <c r="C2526" s="53"/>
      <c r="D2526" s="53"/>
      <c r="E2526" s="240"/>
      <c r="F2526" s="241"/>
      <c r="G2526" s="53"/>
      <c r="H2526" s="53"/>
      <c r="I2526" s="53"/>
      <c r="J2526" s="53"/>
      <c r="K2526" s="53"/>
      <c r="L2526" s="53"/>
      <c r="M2526" s="53"/>
      <c r="N2526" s="53"/>
      <c r="O2526" s="53"/>
      <c r="P2526" s="53"/>
      <c r="Q2526" s="53"/>
      <c r="R2526" s="53"/>
      <c r="S2526" s="53"/>
      <c r="T2526" s="53"/>
      <c r="U2526" s="53"/>
      <c r="V2526" s="53"/>
    </row>
    <row r="2527">
      <c r="A2527" s="83"/>
      <c r="B2527" s="53"/>
      <c r="C2527" s="53"/>
      <c r="D2527" s="53"/>
      <c r="E2527" s="240"/>
      <c r="F2527" s="241"/>
      <c r="G2527" s="53"/>
      <c r="H2527" s="53"/>
      <c r="I2527" s="53"/>
      <c r="J2527" s="53"/>
      <c r="K2527" s="53"/>
      <c r="L2527" s="53"/>
      <c r="M2527" s="53"/>
      <c r="N2527" s="53"/>
      <c r="O2527" s="53"/>
      <c r="P2527" s="53"/>
      <c r="Q2527" s="53"/>
      <c r="R2527" s="53"/>
      <c r="S2527" s="53"/>
      <c r="T2527" s="53"/>
      <c r="U2527" s="53"/>
      <c r="V2527" s="53"/>
    </row>
    <row r="2528">
      <c r="A2528" s="83"/>
      <c r="B2528" s="53"/>
      <c r="C2528" s="53"/>
      <c r="D2528" s="53"/>
      <c r="E2528" s="240"/>
      <c r="F2528" s="241"/>
      <c r="G2528" s="53"/>
      <c r="H2528" s="53"/>
      <c r="I2528" s="53"/>
      <c r="J2528" s="53"/>
      <c r="K2528" s="53"/>
      <c r="L2528" s="53"/>
      <c r="M2528" s="53"/>
      <c r="N2528" s="53"/>
      <c r="O2528" s="53"/>
      <c r="P2528" s="53"/>
      <c r="Q2528" s="53"/>
      <c r="R2528" s="53"/>
      <c r="S2528" s="53"/>
      <c r="T2528" s="53"/>
      <c r="U2528" s="53"/>
      <c r="V2528" s="53"/>
    </row>
    <row r="2529">
      <c r="A2529" s="83"/>
      <c r="B2529" s="53"/>
      <c r="C2529" s="53"/>
      <c r="D2529" s="53"/>
      <c r="E2529" s="240"/>
      <c r="F2529" s="241"/>
      <c r="G2529" s="53"/>
      <c r="H2529" s="53"/>
      <c r="I2529" s="53"/>
      <c r="J2529" s="53"/>
      <c r="K2529" s="53"/>
      <c r="L2529" s="53"/>
      <c r="M2529" s="53"/>
      <c r="N2529" s="53"/>
      <c r="O2529" s="53"/>
      <c r="P2529" s="53"/>
      <c r="Q2529" s="53"/>
      <c r="R2529" s="53"/>
      <c r="S2529" s="53"/>
      <c r="T2529" s="53"/>
      <c r="U2529" s="53"/>
      <c r="V2529" s="53"/>
    </row>
    <row r="2530">
      <c r="A2530" s="83"/>
      <c r="B2530" s="53"/>
      <c r="C2530" s="53"/>
      <c r="D2530" s="53"/>
      <c r="E2530" s="240"/>
      <c r="F2530" s="241"/>
      <c r="G2530" s="53"/>
      <c r="H2530" s="53"/>
      <c r="I2530" s="53"/>
      <c r="J2530" s="53"/>
      <c r="K2530" s="53"/>
      <c r="L2530" s="53"/>
      <c r="M2530" s="53"/>
      <c r="N2530" s="53"/>
      <c r="O2530" s="53"/>
      <c r="P2530" s="53"/>
      <c r="Q2530" s="53"/>
      <c r="R2530" s="53"/>
      <c r="S2530" s="53"/>
      <c r="T2530" s="53"/>
      <c r="U2530" s="53"/>
      <c r="V2530" s="53"/>
    </row>
    <row r="2531">
      <c r="A2531" s="83"/>
      <c r="B2531" s="53"/>
      <c r="C2531" s="53"/>
      <c r="D2531" s="53"/>
      <c r="E2531" s="240"/>
      <c r="F2531" s="241"/>
      <c r="G2531" s="53"/>
      <c r="H2531" s="53"/>
      <c r="I2531" s="53"/>
      <c r="J2531" s="53"/>
      <c r="K2531" s="53"/>
      <c r="L2531" s="53"/>
      <c r="M2531" s="53"/>
      <c r="N2531" s="53"/>
      <c r="O2531" s="53"/>
      <c r="P2531" s="53"/>
      <c r="Q2531" s="53"/>
      <c r="R2531" s="53"/>
      <c r="S2531" s="53"/>
      <c r="T2531" s="53"/>
      <c r="U2531" s="53"/>
      <c r="V2531" s="53"/>
    </row>
    <row r="2532">
      <c r="A2532" s="83"/>
      <c r="B2532" s="53"/>
      <c r="C2532" s="53"/>
      <c r="D2532" s="53"/>
      <c r="E2532" s="240"/>
      <c r="F2532" s="241"/>
      <c r="G2532" s="53"/>
      <c r="H2532" s="53"/>
      <c r="I2532" s="53"/>
      <c r="J2532" s="53"/>
      <c r="K2532" s="53"/>
      <c r="L2532" s="53"/>
      <c r="M2532" s="53"/>
      <c r="N2532" s="53"/>
      <c r="O2532" s="53"/>
      <c r="P2532" s="53"/>
      <c r="Q2532" s="53"/>
      <c r="R2532" s="53"/>
      <c r="S2532" s="53"/>
      <c r="T2532" s="53"/>
      <c r="U2532" s="53"/>
      <c r="V2532" s="53"/>
    </row>
    <row r="2533">
      <c r="A2533" s="83"/>
      <c r="B2533" s="53"/>
      <c r="C2533" s="53"/>
      <c r="D2533" s="53"/>
      <c r="E2533" s="240"/>
      <c r="F2533" s="241"/>
      <c r="G2533" s="53"/>
      <c r="H2533" s="53"/>
      <c r="I2533" s="53"/>
      <c r="J2533" s="53"/>
      <c r="K2533" s="53"/>
      <c r="L2533" s="53"/>
      <c r="M2533" s="53"/>
      <c r="N2533" s="53"/>
      <c r="O2533" s="53"/>
      <c r="P2533" s="53"/>
      <c r="Q2533" s="53"/>
      <c r="R2533" s="53"/>
      <c r="S2533" s="53"/>
      <c r="T2533" s="53"/>
      <c r="U2533" s="53"/>
      <c r="V2533" s="53"/>
    </row>
    <row r="2534">
      <c r="A2534" s="83"/>
      <c r="B2534" s="53"/>
      <c r="C2534" s="53"/>
      <c r="D2534" s="53"/>
      <c r="E2534" s="240"/>
      <c r="F2534" s="241"/>
      <c r="G2534" s="53"/>
      <c r="H2534" s="53"/>
      <c r="I2534" s="53"/>
      <c r="J2534" s="53"/>
      <c r="K2534" s="53"/>
      <c r="L2534" s="53"/>
      <c r="M2534" s="53"/>
      <c r="N2534" s="53"/>
      <c r="O2534" s="53"/>
      <c r="P2534" s="53"/>
      <c r="Q2534" s="53"/>
      <c r="R2534" s="53"/>
      <c r="S2534" s="53"/>
      <c r="T2534" s="53"/>
      <c r="U2534" s="53"/>
      <c r="V2534" s="53"/>
    </row>
    <row r="2535">
      <c r="A2535" s="83"/>
      <c r="B2535" s="53"/>
      <c r="C2535" s="53"/>
      <c r="D2535" s="53"/>
      <c r="E2535" s="240"/>
      <c r="F2535" s="241"/>
      <c r="G2535" s="53"/>
      <c r="H2535" s="53"/>
      <c r="I2535" s="53"/>
      <c r="J2535" s="53"/>
      <c r="K2535" s="53"/>
      <c r="L2535" s="53"/>
      <c r="M2535" s="53"/>
      <c r="N2535" s="53"/>
      <c r="O2535" s="53"/>
      <c r="P2535" s="53"/>
      <c r="Q2535" s="53"/>
      <c r="R2535" s="53"/>
      <c r="S2535" s="53"/>
      <c r="T2535" s="53"/>
      <c r="U2535" s="53"/>
      <c r="V2535" s="53"/>
    </row>
    <row r="2536">
      <c r="A2536" s="83"/>
      <c r="B2536" s="53"/>
      <c r="C2536" s="53"/>
      <c r="D2536" s="53"/>
      <c r="E2536" s="240"/>
      <c r="F2536" s="241"/>
      <c r="G2536" s="53"/>
      <c r="H2536" s="53"/>
      <c r="I2536" s="53"/>
      <c r="J2536" s="53"/>
      <c r="K2536" s="53"/>
      <c r="L2536" s="53"/>
      <c r="M2536" s="53"/>
      <c r="N2536" s="53"/>
      <c r="O2536" s="53"/>
      <c r="P2536" s="53"/>
      <c r="Q2536" s="53"/>
      <c r="R2536" s="53"/>
      <c r="S2536" s="53"/>
      <c r="T2536" s="53"/>
      <c r="U2536" s="53"/>
      <c r="V2536" s="53"/>
    </row>
    <row r="2537">
      <c r="A2537" s="83"/>
      <c r="B2537" s="53"/>
      <c r="C2537" s="53"/>
      <c r="D2537" s="53"/>
      <c r="E2537" s="240"/>
      <c r="F2537" s="241"/>
      <c r="G2537" s="53"/>
      <c r="H2537" s="53"/>
      <c r="I2537" s="53"/>
      <c r="J2537" s="53"/>
      <c r="K2537" s="53"/>
      <c r="L2537" s="53"/>
      <c r="M2537" s="53"/>
      <c r="N2537" s="53"/>
      <c r="O2537" s="53"/>
      <c r="P2537" s="53"/>
      <c r="Q2537" s="53"/>
      <c r="R2537" s="53"/>
      <c r="S2537" s="53"/>
      <c r="T2537" s="53"/>
      <c r="U2537" s="53"/>
      <c r="V2537" s="53"/>
    </row>
    <row r="2538">
      <c r="A2538" s="83"/>
      <c r="B2538" s="53"/>
      <c r="C2538" s="53"/>
      <c r="D2538" s="53"/>
      <c r="E2538" s="240"/>
      <c r="F2538" s="241"/>
      <c r="G2538" s="53"/>
      <c r="H2538" s="53"/>
      <c r="I2538" s="53"/>
      <c r="J2538" s="53"/>
      <c r="K2538" s="53"/>
      <c r="L2538" s="53"/>
      <c r="M2538" s="53"/>
      <c r="N2538" s="53"/>
      <c r="O2538" s="53"/>
      <c r="P2538" s="53"/>
      <c r="Q2538" s="53"/>
      <c r="R2538" s="53"/>
      <c r="S2538" s="53"/>
      <c r="T2538" s="53"/>
      <c r="U2538" s="53"/>
      <c r="V2538" s="53"/>
    </row>
    <row r="2539">
      <c r="A2539" s="83"/>
      <c r="B2539" s="53"/>
      <c r="C2539" s="53"/>
      <c r="D2539" s="53"/>
      <c r="E2539" s="240"/>
      <c r="F2539" s="241"/>
      <c r="G2539" s="53"/>
      <c r="H2539" s="53"/>
      <c r="I2539" s="53"/>
      <c r="J2539" s="53"/>
      <c r="K2539" s="53"/>
      <c r="L2539" s="53"/>
      <c r="M2539" s="53"/>
      <c r="N2539" s="53"/>
      <c r="O2539" s="53"/>
      <c r="P2539" s="53"/>
      <c r="Q2539" s="53"/>
      <c r="R2539" s="53"/>
      <c r="S2539" s="53"/>
      <c r="T2539" s="53"/>
      <c r="U2539" s="53"/>
      <c r="V2539" s="53"/>
    </row>
    <row r="2540">
      <c r="A2540" s="83"/>
      <c r="B2540" s="53"/>
      <c r="C2540" s="53"/>
      <c r="D2540" s="53"/>
      <c r="E2540" s="240"/>
      <c r="F2540" s="241"/>
      <c r="G2540" s="53"/>
      <c r="H2540" s="53"/>
      <c r="I2540" s="53"/>
      <c r="J2540" s="53"/>
      <c r="K2540" s="53"/>
      <c r="L2540" s="53"/>
      <c r="M2540" s="53"/>
      <c r="N2540" s="53"/>
      <c r="O2540" s="53"/>
      <c r="P2540" s="53"/>
      <c r="Q2540" s="53"/>
      <c r="R2540" s="53"/>
      <c r="S2540" s="53"/>
      <c r="T2540" s="53"/>
      <c r="U2540" s="53"/>
      <c r="V2540" s="53"/>
    </row>
    <row r="2541">
      <c r="A2541" s="83"/>
      <c r="B2541" s="53"/>
      <c r="C2541" s="53"/>
      <c r="D2541" s="53"/>
      <c r="E2541" s="240"/>
      <c r="F2541" s="241"/>
      <c r="G2541" s="53"/>
      <c r="H2541" s="53"/>
      <c r="I2541" s="53"/>
      <c r="J2541" s="53"/>
      <c r="K2541" s="53"/>
      <c r="L2541" s="53"/>
      <c r="M2541" s="53"/>
      <c r="N2541" s="53"/>
      <c r="O2541" s="53"/>
      <c r="P2541" s="53"/>
      <c r="Q2541" s="53"/>
      <c r="R2541" s="53"/>
      <c r="S2541" s="53"/>
      <c r="T2541" s="53"/>
      <c r="U2541" s="53"/>
      <c r="V2541" s="53"/>
    </row>
    <row r="2542">
      <c r="A2542" s="83"/>
      <c r="B2542" s="53"/>
      <c r="C2542" s="53"/>
      <c r="D2542" s="53"/>
      <c r="E2542" s="240"/>
      <c r="F2542" s="241"/>
      <c r="G2542" s="53"/>
      <c r="H2542" s="53"/>
      <c r="I2542" s="53"/>
      <c r="J2542" s="53"/>
      <c r="K2542" s="53"/>
      <c r="L2542" s="53"/>
      <c r="M2542" s="53"/>
      <c r="N2542" s="53"/>
      <c r="O2542" s="53"/>
      <c r="P2542" s="53"/>
      <c r="Q2542" s="53"/>
      <c r="R2542" s="53"/>
      <c r="S2542" s="53"/>
      <c r="T2542" s="53"/>
      <c r="U2542" s="53"/>
      <c r="V2542" s="53"/>
    </row>
    <row r="2543">
      <c r="A2543" s="83"/>
      <c r="B2543" s="53"/>
      <c r="C2543" s="53"/>
      <c r="D2543" s="53"/>
      <c r="E2543" s="240"/>
      <c r="F2543" s="241"/>
      <c r="G2543" s="53"/>
      <c r="H2543" s="53"/>
      <c r="I2543" s="53"/>
      <c r="J2543" s="53"/>
      <c r="K2543" s="53"/>
      <c r="L2543" s="53"/>
      <c r="M2543" s="53"/>
      <c r="N2543" s="53"/>
      <c r="O2543" s="53"/>
      <c r="P2543" s="53"/>
      <c r="Q2543" s="53"/>
      <c r="R2543" s="53"/>
      <c r="S2543" s="53"/>
      <c r="T2543" s="53"/>
      <c r="U2543" s="53"/>
      <c r="V2543" s="53"/>
    </row>
    <row r="2544">
      <c r="A2544" s="83"/>
      <c r="B2544" s="53"/>
      <c r="C2544" s="53"/>
      <c r="D2544" s="53"/>
      <c r="E2544" s="240"/>
      <c r="F2544" s="241"/>
      <c r="G2544" s="53"/>
      <c r="H2544" s="53"/>
      <c r="I2544" s="53"/>
      <c r="J2544" s="53"/>
      <c r="K2544" s="53"/>
      <c r="L2544" s="53"/>
      <c r="M2544" s="53"/>
      <c r="N2544" s="53"/>
      <c r="O2544" s="53"/>
      <c r="P2544" s="53"/>
      <c r="Q2544" s="53"/>
      <c r="R2544" s="53"/>
      <c r="S2544" s="53"/>
      <c r="T2544" s="53"/>
      <c r="U2544" s="53"/>
      <c r="V2544" s="53"/>
    </row>
    <row r="2545">
      <c r="A2545" s="83"/>
      <c r="B2545" s="53"/>
      <c r="C2545" s="53"/>
      <c r="D2545" s="53"/>
      <c r="E2545" s="240"/>
      <c r="F2545" s="241"/>
      <c r="G2545" s="53"/>
      <c r="H2545" s="53"/>
      <c r="I2545" s="53"/>
      <c r="J2545" s="53"/>
      <c r="K2545" s="53"/>
      <c r="L2545" s="53"/>
      <c r="M2545" s="53"/>
      <c r="N2545" s="53"/>
      <c r="O2545" s="53"/>
      <c r="P2545" s="53"/>
      <c r="Q2545" s="53"/>
      <c r="R2545" s="53"/>
      <c r="S2545" s="53"/>
      <c r="T2545" s="53"/>
      <c r="U2545" s="53"/>
      <c r="V2545" s="53"/>
    </row>
    <row r="2546">
      <c r="A2546" s="83"/>
      <c r="B2546" s="53"/>
      <c r="C2546" s="53"/>
      <c r="D2546" s="53"/>
      <c r="E2546" s="240"/>
      <c r="F2546" s="241"/>
      <c r="G2546" s="53"/>
      <c r="H2546" s="53"/>
      <c r="I2546" s="53"/>
      <c r="J2546" s="53"/>
      <c r="K2546" s="53"/>
      <c r="L2546" s="53"/>
      <c r="M2546" s="53"/>
      <c r="N2546" s="53"/>
      <c r="O2546" s="53"/>
      <c r="P2546" s="53"/>
      <c r="Q2546" s="53"/>
      <c r="R2546" s="53"/>
      <c r="S2546" s="53"/>
      <c r="T2546" s="53"/>
      <c r="U2546" s="53"/>
      <c r="V2546" s="53"/>
    </row>
    <row r="2547">
      <c r="A2547" s="83"/>
      <c r="B2547" s="53"/>
      <c r="C2547" s="53"/>
      <c r="D2547" s="53"/>
      <c r="E2547" s="240"/>
      <c r="F2547" s="241"/>
      <c r="G2547" s="53"/>
      <c r="H2547" s="53"/>
      <c r="I2547" s="53"/>
      <c r="J2547" s="53"/>
      <c r="K2547" s="53"/>
      <c r="L2547" s="53"/>
      <c r="M2547" s="53"/>
      <c r="N2547" s="53"/>
      <c r="O2547" s="53"/>
      <c r="P2547" s="53"/>
      <c r="Q2547" s="53"/>
      <c r="R2547" s="53"/>
      <c r="S2547" s="53"/>
      <c r="T2547" s="53"/>
      <c r="U2547" s="53"/>
      <c r="V2547" s="53"/>
    </row>
    <row r="2548">
      <c r="A2548" s="83"/>
      <c r="B2548" s="53"/>
      <c r="C2548" s="53"/>
      <c r="D2548" s="53"/>
      <c r="E2548" s="240"/>
      <c r="F2548" s="241"/>
      <c r="G2548" s="53"/>
      <c r="H2548" s="53"/>
      <c r="I2548" s="53"/>
      <c r="J2548" s="53"/>
      <c r="K2548" s="53"/>
      <c r="L2548" s="53"/>
      <c r="M2548" s="53"/>
      <c r="N2548" s="53"/>
      <c r="O2548" s="53"/>
      <c r="P2548" s="53"/>
      <c r="Q2548" s="53"/>
      <c r="R2548" s="53"/>
      <c r="S2548" s="53"/>
      <c r="T2548" s="53"/>
      <c r="U2548" s="53"/>
      <c r="V2548" s="53"/>
    </row>
    <row r="2549">
      <c r="A2549" s="83"/>
      <c r="B2549" s="53"/>
      <c r="C2549" s="53"/>
      <c r="D2549" s="53"/>
      <c r="E2549" s="240"/>
      <c r="F2549" s="241"/>
      <c r="G2549" s="53"/>
      <c r="H2549" s="53"/>
      <c r="I2549" s="53"/>
      <c r="J2549" s="53"/>
      <c r="K2549" s="53"/>
      <c r="L2549" s="53"/>
      <c r="M2549" s="53"/>
      <c r="N2549" s="53"/>
      <c r="O2549" s="53"/>
      <c r="P2549" s="53"/>
      <c r="Q2549" s="53"/>
      <c r="R2549" s="53"/>
      <c r="S2549" s="53"/>
      <c r="T2549" s="53"/>
      <c r="U2549" s="53"/>
      <c r="V2549" s="53"/>
    </row>
    <row r="2550">
      <c r="A2550" s="83"/>
      <c r="B2550" s="53"/>
      <c r="C2550" s="53"/>
      <c r="D2550" s="53"/>
      <c r="E2550" s="240"/>
      <c r="F2550" s="241"/>
      <c r="G2550" s="53"/>
      <c r="H2550" s="53"/>
      <c r="I2550" s="53"/>
      <c r="J2550" s="53"/>
      <c r="K2550" s="53"/>
      <c r="L2550" s="53"/>
      <c r="M2550" s="53"/>
      <c r="N2550" s="53"/>
      <c r="O2550" s="53"/>
      <c r="P2550" s="53"/>
      <c r="Q2550" s="53"/>
      <c r="R2550" s="53"/>
      <c r="S2550" s="53"/>
      <c r="T2550" s="53"/>
      <c r="U2550" s="53"/>
      <c r="V2550" s="53"/>
    </row>
    <row r="2551">
      <c r="A2551" s="83"/>
      <c r="B2551" s="53"/>
      <c r="C2551" s="53"/>
      <c r="D2551" s="53"/>
      <c r="E2551" s="240"/>
      <c r="F2551" s="241"/>
      <c r="G2551" s="53"/>
      <c r="H2551" s="53"/>
      <c r="I2551" s="53"/>
      <c r="J2551" s="53"/>
      <c r="K2551" s="53"/>
      <c r="L2551" s="53"/>
      <c r="M2551" s="53"/>
      <c r="N2551" s="53"/>
      <c r="O2551" s="53"/>
      <c r="P2551" s="53"/>
      <c r="Q2551" s="53"/>
      <c r="R2551" s="53"/>
      <c r="S2551" s="53"/>
      <c r="T2551" s="53"/>
      <c r="U2551" s="53"/>
      <c r="V2551" s="53"/>
    </row>
    <row r="2552">
      <c r="A2552" s="83"/>
      <c r="B2552" s="53"/>
      <c r="C2552" s="53"/>
      <c r="D2552" s="53"/>
      <c r="E2552" s="240"/>
      <c r="F2552" s="241"/>
      <c r="G2552" s="53"/>
      <c r="H2552" s="53"/>
      <c r="I2552" s="53"/>
      <c r="J2552" s="53"/>
      <c r="K2552" s="53"/>
      <c r="L2552" s="53"/>
      <c r="M2552" s="53"/>
      <c r="N2552" s="53"/>
      <c r="O2552" s="53"/>
      <c r="P2552" s="53"/>
      <c r="Q2552" s="53"/>
      <c r="R2552" s="53"/>
      <c r="S2552" s="53"/>
      <c r="T2552" s="53"/>
      <c r="U2552" s="53"/>
      <c r="V2552" s="53"/>
    </row>
    <row r="2553">
      <c r="A2553" s="83"/>
      <c r="B2553" s="53"/>
      <c r="C2553" s="53"/>
      <c r="D2553" s="53"/>
      <c r="E2553" s="240"/>
      <c r="F2553" s="241"/>
      <c r="G2553" s="53"/>
      <c r="H2553" s="53"/>
      <c r="I2553" s="53"/>
      <c r="J2553" s="53"/>
      <c r="K2553" s="53"/>
      <c r="L2553" s="53"/>
      <c r="M2553" s="53"/>
      <c r="N2553" s="53"/>
      <c r="O2553" s="53"/>
      <c r="P2553" s="53"/>
      <c r="Q2553" s="53"/>
      <c r="R2553" s="53"/>
      <c r="S2553" s="53"/>
      <c r="T2553" s="53"/>
      <c r="U2553" s="53"/>
      <c r="V2553" s="53"/>
    </row>
    <row r="2554">
      <c r="A2554" s="83"/>
      <c r="B2554" s="53"/>
      <c r="C2554" s="53"/>
      <c r="D2554" s="53"/>
      <c r="E2554" s="240"/>
      <c r="F2554" s="241"/>
      <c r="G2554" s="53"/>
      <c r="H2554" s="53"/>
      <c r="I2554" s="53"/>
      <c r="J2554" s="53"/>
      <c r="K2554" s="53"/>
      <c r="L2554" s="53"/>
      <c r="M2554" s="53"/>
      <c r="N2554" s="53"/>
      <c r="O2554" s="53"/>
      <c r="P2554" s="53"/>
      <c r="Q2554" s="53"/>
      <c r="R2554" s="53"/>
      <c r="S2554" s="53"/>
      <c r="T2554" s="53"/>
      <c r="U2554" s="53"/>
      <c r="V2554" s="53"/>
    </row>
    <row r="2555">
      <c r="A2555" s="83"/>
      <c r="B2555" s="53"/>
      <c r="C2555" s="53"/>
      <c r="D2555" s="53"/>
      <c r="E2555" s="240"/>
      <c r="F2555" s="241"/>
      <c r="G2555" s="53"/>
      <c r="H2555" s="53"/>
      <c r="I2555" s="53"/>
      <c r="J2555" s="53"/>
      <c r="K2555" s="53"/>
      <c r="L2555" s="53"/>
      <c r="M2555" s="53"/>
      <c r="N2555" s="53"/>
      <c r="O2555" s="53"/>
      <c r="P2555" s="53"/>
      <c r="Q2555" s="53"/>
      <c r="R2555" s="53"/>
      <c r="S2555" s="53"/>
      <c r="T2555" s="53"/>
      <c r="U2555" s="53"/>
      <c r="V2555" s="53"/>
    </row>
    <row r="2556">
      <c r="A2556" s="83"/>
      <c r="B2556" s="53"/>
      <c r="C2556" s="53"/>
      <c r="D2556" s="53"/>
      <c r="E2556" s="240"/>
      <c r="F2556" s="241"/>
      <c r="G2556" s="53"/>
      <c r="H2556" s="53"/>
      <c r="I2556" s="53"/>
      <c r="J2556" s="53"/>
      <c r="K2556" s="53"/>
      <c r="L2556" s="53"/>
      <c r="M2556" s="53"/>
      <c r="N2556" s="53"/>
      <c r="O2556" s="53"/>
      <c r="P2556" s="53"/>
      <c r="Q2556" s="53"/>
      <c r="R2556" s="53"/>
      <c r="S2556" s="53"/>
      <c r="T2556" s="53"/>
      <c r="U2556" s="53"/>
      <c r="V2556" s="53"/>
    </row>
    <row r="2557">
      <c r="A2557" s="83"/>
      <c r="B2557" s="53"/>
      <c r="C2557" s="53"/>
      <c r="D2557" s="53"/>
      <c r="E2557" s="240"/>
      <c r="F2557" s="241"/>
      <c r="G2557" s="53"/>
      <c r="H2557" s="53"/>
      <c r="I2557" s="53"/>
      <c r="J2557" s="53"/>
      <c r="K2557" s="53"/>
      <c r="L2557" s="53"/>
      <c r="M2557" s="53"/>
      <c r="N2557" s="53"/>
      <c r="O2557" s="53"/>
      <c r="P2557" s="53"/>
      <c r="Q2557" s="53"/>
      <c r="R2557" s="53"/>
      <c r="S2557" s="53"/>
      <c r="T2557" s="53"/>
      <c r="U2557" s="53"/>
      <c r="V2557" s="53"/>
    </row>
    <row r="2558">
      <c r="A2558" s="83"/>
      <c r="B2558" s="53"/>
      <c r="C2558" s="53"/>
      <c r="D2558" s="53"/>
      <c r="E2558" s="240"/>
      <c r="F2558" s="241"/>
      <c r="G2558" s="53"/>
      <c r="H2558" s="53"/>
      <c r="I2558" s="53"/>
      <c r="J2558" s="53"/>
      <c r="K2558" s="53"/>
      <c r="L2558" s="53"/>
      <c r="M2558" s="53"/>
      <c r="N2558" s="53"/>
      <c r="O2558" s="53"/>
      <c r="P2558" s="53"/>
      <c r="Q2558" s="53"/>
      <c r="R2558" s="53"/>
      <c r="S2558" s="53"/>
      <c r="T2558" s="53"/>
      <c r="U2558" s="53"/>
      <c r="V2558" s="53"/>
    </row>
    <row r="2559">
      <c r="A2559" s="83"/>
      <c r="B2559" s="53"/>
      <c r="C2559" s="53"/>
      <c r="D2559" s="53"/>
      <c r="E2559" s="240"/>
      <c r="F2559" s="241"/>
      <c r="G2559" s="53"/>
      <c r="H2559" s="53"/>
      <c r="I2559" s="53"/>
      <c r="J2559" s="53"/>
      <c r="K2559" s="53"/>
      <c r="L2559" s="53"/>
      <c r="M2559" s="53"/>
      <c r="N2559" s="53"/>
      <c r="O2559" s="53"/>
      <c r="P2559" s="53"/>
      <c r="Q2559" s="53"/>
      <c r="R2559" s="53"/>
      <c r="S2559" s="53"/>
      <c r="T2559" s="53"/>
      <c r="U2559" s="53"/>
      <c r="V2559" s="53"/>
    </row>
    <row r="2560">
      <c r="A2560" s="83"/>
      <c r="B2560" s="53"/>
      <c r="C2560" s="53"/>
      <c r="D2560" s="53"/>
      <c r="E2560" s="240"/>
      <c r="F2560" s="241"/>
      <c r="G2560" s="53"/>
      <c r="H2560" s="53"/>
      <c r="I2560" s="53"/>
      <c r="J2560" s="53"/>
      <c r="K2560" s="53"/>
      <c r="L2560" s="53"/>
      <c r="M2560" s="53"/>
      <c r="N2560" s="53"/>
      <c r="O2560" s="53"/>
      <c r="P2560" s="53"/>
      <c r="Q2560" s="53"/>
      <c r="R2560" s="53"/>
      <c r="S2560" s="53"/>
      <c r="T2560" s="53"/>
      <c r="U2560" s="53"/>
      <c r="V2560" s="53"/>
    </row>
    <row r="2561">
      <c r="A2561" s="83"/>
      <c r="B2561" s="53"/>
      <c r="C2561" s="53"/>
      <c r="D2561" s="53"/>
      <c r="E2561" s="240"/>
      <c r="F2561" s="241"/>
      <c r="G2561" s="53"/>
      <c r="H2561" s="53"/>
      <c r="I2561" s="53"/>
      <c r="J2561" s="53"/>
      <c r="K2561" s="53"/>
      <c r="L2561" s="53"/>
      <c r="M2561" s="53"/>
      <c r="N2561" s="53"/>
      <c r="O2561" s="53"/>
      <c r="P2561" s="53"/>
      <c r="Q2561" s="53"/>
      <c r="R2561" s="53"/>
      <c r="S2561" s="53"/>
      <c r="T2561" s="53"/>
      <c r="U2561" s="53"/>
      <c r="V2561" s="53"/>
    </row>
    <row r="2562">
      <c r="A2562" s="83"/>
      <c r="B2562" s="53"/>
      <c r="C2562" s="53"/>
      <c r="D2562" s="53"/>
      <c r="E2562" s="240"/>
      <c r="F2562" s="241"/>
      <c r="G2562" s="53"/>
      <c r="H2562" s="53"/>
      <c r="I2562" s="53"/>
      <c r="J2562" s="53"/>
      <c r="K2562" s="53"/>
      <c r="L2562" s="53"/>
      <c r="M2562" s="53"/>
      <c r="N2562" s="53"/>
      <c r="O2562" s="53"/>
      <c r="P2562" s="53"/>
      <c r="Q2562" s="53"/>
      <c r="R2562" s="53"/>
      <c r="S2562" s="53"/>
      <c r="T2562" s="53"/>
      <c r="U2562" s="53"/>
      <c r="V2562" s="53"/>
    </row>
    <row r="2563">
      <c r="A2563" s="83"/>
      <c r="B2563" s="53"/>
      <c r="C2563" s="53"/>
      <c r="D2563" s="53"/>
      <c r="E2563" s="240"/>
      <c r="F2563" s="241"/>
      <c r="G2563" s="53"/>
      <c r="H2563" s="53"/>
      <c r="I2563" s="53"/>
      <c r="J2563" s="53"/>
      <c r="K2563" s="53"/>
      <c r="L2563" s="53"/>
      <c r="M2563" s="53"/>
      <c r="N2563" s="53"/>
      <c r="O2563" s="53"/>
      <c r="P2563" s="53"/>
      <c r="Q2563" s="53"/>
      <c r="R2563" s="53"/>
      <c r="S2563" s="53"/>
      <c r="T2563" s="53"/>
      <c r="U2563" s="53"/>
      <c r="V2563" s="53"/>
    </row>
    <row r="2564">
      <c r="A2564" s="83"/>
      <c r="B2564" s="53"/>
      <c r="C2564" s="53"/>
      <c r="D2564" s="53"/>
      <c r="E2564" s="240"/>
      <c r="F2564" s="241"/>
      <c r="G2564" s="53"/>
      <c r="H2564" s="53"/>
      <c r="I2564" s="53"/>
      <c r="J2564" s="53"/>
      <c r="K2564" s="53"/>
      <c r="L2564" s="53"/>
      <c r="M2564" s="53"/>
      <c r="N2564" s="53"/>
      <c r="O2564" s="53"/>
      <c r="P2564" s="53"/>
      <c r="Q2564" s="53"/>
      <c r="R2564" s="53"/>
      <c r="S2564" s="53"/>
      <c r="T2564" s="53"/>
      <c r="U2564" s="53"/>
      <c r="V2564" s="53"/>
    </row>
    <row r="2565">
      <c r="A2565" s="83"/>
      <c r="B2565" s="53"/>
      <c r="C2565" s="53"/>
      <c r="D2565" s="53"/>
      <c r="E2565" s="240"/>
      <c r="F2565" s="241"/>
      <c r="G2565" s="53"/>
      <c r="H2565" s="53"/>
      <c r="I2565" s="53"/>
      <c r="J2565" s="53"/>
      <c r="K2565" s="53"/>
      <c r="L2565" s="53"/>
      <c r="M2565" s="53"/>
      <c r="N2565" s="53"/>
      <c r="O2565" s="53"/>
      <c r="P2565" s="53"/>
      <c r="Q2565" s="53"/>
      <c r="R2565" s="53"/>
      <c r="S2565" s="53"/>
      <c r="T2565" s="53"/>
      <c r="U2565" s="53"/>
      <c r="V2565" s="53"/>
    </row>
    <row r="2566">
      <c r="A2566" s="83"/>
      <c r="B2566" s="53"/>
      <c r="C2566" s="53"/>
      <c r="D2566" s="53"/>
      <c r="E2566" s="240"/>
      <c r="F2566" s="241"/>
      <c r="G2566" s="53"/>
      <c r="H2566" s="53"/>
      <c r="I2566" s="53"/>
      <c r="J2566" s="53"/>
      <c r="K2566" s="53"/>
      <c r="L2566" s="53"/>
      <c r="M2566" s="53"/>
      <c r="N2566" s="53"/>
      <c r="O2566" s="53"/>
      <c r="P2566" s="53"/>
      <c r="Q2566" s="53"/>
      <c r="R2566" s="53"/>
      <c r="S2566" s="53"/>
      <c r="T2566" s="53"/>
      <c r="U2566" s="53"/>
      <c r="V2566" s="53"/>
    </row>
    <row r="2567">
      <c r="A2567" s="83"/>
      <c r="B2567" s="53"/>
      <c r="C2567" s="53"/>
      <c r="D2567" s="53"/>
      <c r="E2567" s="240"/>
      <c r="F2567" s="241"/>
      <c r="G2567" s="53"/>
      <c r="H2567" s="53"/>
      <c r="I2567" s="53"/>
      <c r="J2567" s="53"/>
      <c r="K2567" s="53"/>
      <c r="L2567" s="53"/>
      <c r="M2567" s="53"/>
      <c r="N2567" s="53"/>
      <c r="O2567" s="53"/>
      <c r="P2567" s="53"/>
      <c r="Q2567" s="53"/>
      <c r="R2567" s="53"/>
      <c r="S2567" s="53"/>
      <c r="T2567" s="53"/>
      <c r="U2567" s="53"/>
      <c r="V2567" s="53"/>
    </row>
    <row r="2568">
      <c r="A2568" s="83"/>
      <c r="B2568" s="53"/>
      <c r="C2568" s="53"/>
      <c r="D2568" s="53"/>
      <c r="E2568" s="240"/>
      <c r="F2568" s="241"/>
      <c r="G2568" s="53"/>
      <c r="H2568" s="53"/>
      <c r="I2568" s="53"/>
      <c r="J2568" s="53"/>
      <c r="K2568" s="53"/>
      <c r="L2568" s="53"/>
      <c r="M2568" s="53"/>
      <c r="N2568" s="53"/>
      <c r="O2568" s="53"/>
      <c r="P2568" s="53"/>
      <c r="Q2568" s="53"/>
      <c r="R2568" s="53"/>
      <c r="S2568" s="53"/>
      <c r="T2568" s="53"/>
      <c r="U2568" s="53"/>
      <c r="V2568" s="53"/>
    </row>
    <row r="2569">
      <c r="A2569" s="83"/>
      <c r="B2569" s="53"/>
      <c r="C2569" s="53"/>
      <c r="D2569" s="53"/>
      <c r="E2569" s="240"/>
      <c r="F2569" s="241"/>
      <c r="G2569" s="53"/>
      <c r="H2569" s="53"/>
      <c r="I2569" s="53"/>
      <c r="J2569" s="53"/>
      <c r="K2569" s="53"/>
      <c r="L2569" s="53"/>
      <c r="M2569" s="53"/>
      <c r="N2569" s="53"/>
      <c r="O2569" s="53"/>
      <c r="P2569" s="53"/>
      <c r="Q2569" s="53"/>
      <c r="R2569" s="53"/>
      <c r="S2569" s="53"/>
      <c r="T2569" s="53"/>
      <c r="U2569" s="53"/>
      <c r="V2569" s="53"/>
    </row>
    <row r="2570">
      <c r="A2570" s="83"/>
      <c r="B2570" s="53"/>
      <c r="C2570" s="53"/>
      <c r="D2570" s="53"/>
      <c r="E2570" s="240"/>
      <c r="F2570" s="241"/>
      <c r="G2570" s="53"/>
      <c r="H2570" s="53"/>
      <c r="I2570" s="53"/>
      <c r="J2570" s="53"/>
      <c r="K2570" s="53"/>
      <c r="L2570" s="53"/>
      <c r="M2570" s="53"/>
      <c r="N2570" s="53"/>
      <c r="O2570" s="53"/>
      <c r="P2570" s="53"/>
      <c r="Q2570" s="53"/>
      <c r="R2570" s="53"/>
      <c r="S2570" s="53"/>
      <c r="T2570" s="53"/>
      <c r="U2570" s="53"/>
      <c r="V2570" s="53"/>
    </row>
    <row r="2571">
      <c r="A2571" s="83"/>
      <c r="B2571" s="53"/>
      <c r="C2571" s="53"/>
      <c r="D2571" s="53"/>
      <c r="E2571" s="240"/>
      <c r="F2571" s="241"/>
      <c r="G2571" s="53"/>
      <c r="H2571" s="53"/>
      <c r="I2571" s="53"/>
      <c r="J2571" s="53"/>
      <c r="K2571" s="53"/>
      <c r="L2571" s="53"/>
      <c r="M2571" s="53"/>
      <c r="N2571" s="53"/>
      <c r="O2571" s="53"/>
      <c r="P2571" s="53"/>
      <c r="Q2571" s="53"/>
      <c r="R2571" s="53"/>
      <c r="S2571" s="53"/>
      <c r="T2571" s="53"/>
      <c r="U2571" s="53"/>
      <c r="V2571" s="53"/>
    </row>
    <row r="2572">
      <c r="A2572" s="83"/>
      <c r="B2572" s="53"/>
      <c r="C2572" s="53"/>
      <c r="D2572" s="53"/>
      <c r="E2572" s="240"/>
      <c r="F2572" s="241"/>
      <c r="G2572" s="53"/>
      <c r="H2572" s="53"/>
      <c r="I2572" s="53"/>
      <c r="J2572" s="53"/>
      <c r="K2572" s="53"/>
      <c r="L2572" s="53"/>
      <c r="M2572" s="53"/>
      <c r="N2572" s="53"/>
      <c r="O2572" s="53"/>
      <c r="P2572" s="53"/>
      <c r="Q2572" s="53"/>
      <c r="R2572" s="53"/>
      <c r="S2572" s="53"/>
      <c r="T2572" s="53"/>
      <c r="U2572" s="53"/>
      <c r="V2572" s="53"/>
    </row>
    <row r="2573">
      <c r="A2573" s="83"/>
      <c r="B2573" s="53"/>
      <c r="C2573" s="53"/>
      <c r="D2573" s="53"/>
      <c r="E2573" s="240"/>
      <c r="F2573" s="241"/>
      <c r="G2573" s="53"/>
      <c r="H2573" s="53"/>
      <c r="I2573" s="53"/>
      <c r="J2573" s="53"/>
      <c r="K2573" s="53"/>
      <c r="L2573" s="53"/>
      <c r="M2573" s="53"/>
      <c r="N2573" s="53"/>
      <c r="O2573" s="53"/>
      <c r="P2573" s="53"/>
      <c r="Q2573" s="53"/>
      <c r="R2573" s="53"/>
      <c r="S2573" s="53"/>
      <c r="T2573" s="53"/>
      <c r="U2573" s="53"/>
      <c r="V2573" s="53"/>
    </row>
    <row r="2574">
      <c r="A2574" s="83"/>
      <c r="B2574" s="53"/>
      <c r="C2574" s="53"/>
      <c r="D2574" s="53"/>
      <c r="E2574" s="240"/>
      <c r="F2574" s="241"/>
      <c r="G2574" s="53"/>
      <c r="H2574" s="53"/>
      <c r="I2574" s="53"/>
      <c r="J2574" s="53"/>
      <c r="K2574" s="53"/>
      <c r="L2574" s="53"/>
      <c r="M2574" s="53"/>
      <c r="N2574" s="53"/>
      <c r="O2574" s="53"/>
      <c r="P2574" s="53"/>
      <c r="Q2574" s="53"/>
      <c r="R2574" s="53"/>
      <c r="S2574" s="53"/>
      <c r="T2574" s="53"/>
      <c r="U2574" s="53"/>
      <c r="V2574" s="53"/>
    </row>
    <row r="2575">
      <c r="A2575" s="83"/>
      <c r="B2575" s="53"/>
      <c r="C2575" s="53"/>
      <c r="D2575" s="53"/>
      <c r="E2575" s="240"/>
      <c r="F2575" s="241"/>
      <c r="G2575" s="53"/>
      <c r="H2575" s="53"/>
      <c r="I2575" s="53"/>
      <c r="J2575" s="53"/>
      <c r="K2575" s="53"/>
      <c r="L2575" s="53"/>
      <c r="M2575" s="53"/>
      <c r="N2575" s="53"/>
      <c r="O2575" s="53"/>
      <c r="P2575" s="53"/>
      <c r="Q2575" s="53"/>
      <c r="R2575" s="53"/>
      <c r="S2575" s="53"/>
      <c r="T2575" s="53"/>
      <c r="U2575" s="53"/>
      <c r="V2575" s="53"/>
    </row>
    <row r="2576">
      <c r="A2576" s="83"/>
      <c r="B2576" s="53"/>
      <c r="C2576" s="53"/>
      <c r="D2576" s="53"/>
      <c r="E2576" s="240"/>
      <c r="F2576" s="241"/>
      <c r="G2576" s="53"/>
      <c r="H2576" s="53"/>
      <c r="I2576" s="53"/>
      <c r="J2576" s="53"/>
      <c r="K2576" s="53"/>
      <c r="L2576" s="53"/>
      <c r="M2576" s="53"/>
      <c r="N2576" s="53"/>
      <c r="O2576" s="53"/>
      <c r="P2576" s="53"/>
      <c r="Q2576" s="53"/>
      <c r="R2576" s="53"/>
      <c r="S2576" s="53"/>
      <c r="T2576" s="53"/>
      <c r="U2576" s="53"/>
      <c r="V2576" s="53"/>
    </row>
    <row r="2577">
      <c r="A2577" s="83"/>
      <c r="B2577" s="53"/>
      <c r="C2577" s="53"/>
      <c r="D2577" s="53"/>
      <c r="E2577" s="240"/>
      <c r="F2577" s="241"/>
      <c r="G2577" s="53"/>
      <c r="H2577" s="53"/>
      <c r="I2577" s="53"/>
      <c r="J2577" s="53"/>
      <c r="K2577" s="53"/>
      <c r="L2577" s="53"/>
      <c r="M2577" s="53"/>
      <c r="N2577" s="53"/>
      <c r="O2577" s="53"/>
      <c r="P2577" s="53"/>
      <c r="Q2577" s="53"/>
      <c r="R2577" s="53"/>
      <c r="S2577" s="53"/>
      <c r="T2577" s="53"/>
      <c r="U2577" s="53"/>
      <c r="V2577" s="53"/>
    </row>
    <row r="2578">
      <c r="A2578" s="83"/>
      <c r="B2578" s="53"/>
      <c r="C2578" s="53"/>
      <c r="D2578" s="53"/>
      <c r="E2578" s="240"/>
      <c r="F2578" s="241"/>
      <c r="G2578" s="53"/>
      <c r="H2578" s="53"/>
      <c r="I2578" s="53"/>
      <c r="J2578" s="53"/>
      <c r="K2578" s="53"/>
      <c r="L2578" s="53"/>
      <c r="M2578" s="53"/>
      <c r="N2578" s="53"/>
      <c r="O2578" s="53"/>
      <c r="P2578" s="53"/>
      <c r="Q2578" s="53"/>
      <c r="R2578" s="53"/>
      <c r="S2578" s="53"/>
      <c r="T2578" s="53"/>
      <c r="U2578" s="53"/>
      <c r="V2578" s="53"/>
    </row>
    <row r="2579">
      <c r="A2579" s="83"/>
      <c r="B2579" s="53"/>
      <c r="C2579" s="53"/>
      <c r="D2579" s="53"/>
      <c r="E2579" s="240"/>
      <c r="F2579" s="241"/>
      <c r="G2579" s="53"/>
      <c r="H2579" s="53"/>
      <c r="I2579" s="53"/>
      <c r="J2579" s="53"/>
      <c r="K2579" s="53"/>
      <c r="L2579" s="53"/>
      <c r="M2579" s="53"/>
      <c r="N2579" s="53"/>
      <c r="O2579" s="53"/>
      <c r="P2579" s="53"/>
      <c r="Q2579" s="53"/>
      <c r="R2579" s="53"/>
      <c r="S2579" s="53"/>
      <c r="T2579" s="53"/>
      <c r="U2579" s="53"/>
      <c r="V2579" s="53"/>
    </row>
    <row r="2580">
      <c r="A2580" s="83"/>
      <c r="B2580" s="53"/>
      <c r="C2580" s="53"/>
      <c r="D2580" s="53"/>
      <c r="E2580" s="240"/>
      <c r="F2580" s="241"/>
      <c r="G2580" s="53"/>
      <c r="H2580" s="53"/>
      <c r="I2580" s="53"/>
      <c r="J2580" s="53"/>
      <c r="K2580" s="53"/>
      <c r="L2580" s="53"/>
      <c r="M2580" s="53"/>
      <c r="N2580" s="53"/>
      <c r="O2580" s="53"/>
      <c r="P2580" s="53"/>
      <c r="Q2580" s="53"/>
      <c r="R2580" s="53"/>
      <c r="S2580" s="53"/>
      <c r="T2580" s="53"/>
      <c r="U2580" s="53"/>
      <c r="V2580" s="53"/>
    </row>
    <row r="2581">
      <c r="A2581" s="83"/>
      <c r="B2581" s="53"/>
      <c r="C2581" s="53"/>
      <c r="D2581" s="53"/>
      <c r="E2581" s="240"/>
      <c r="F2581" s="241"/>
      <c r="G2581" s="53"/>
      <c r="H2581" s="53"/>
      <c r="I2581" s="53"/>
      <c r="J2581" s="53"/>
      <c r="K2581" s="53"/>
      <c r="L2581" s="53"/>
      <c r="M2581" s="53"/>
      <c r="N2581" s="53"/>
      <c r="O2581" s="53"/>
      <c r="P2581" s="53"/>
      <c r="Q2581" s="53"/>
      <c r="R2581" s="53"/>
      <c r="S2581" s="53"/>
      <c r="T2581" s="53"/>
      <c r="U2581" s="53"/>
      <c r="V2581" s="53"/>
    </row>
    <row r="2582">
      <c r="A2582" s="83"/>
      <c r="B2582" s="53"/>
      <c r="C2582" s="53"/>
      <c r="D2582" s="53"/>
      <c r="E2582" s="240"/>
      <c r="F2582" s="241"/>
      <c r="G2582" s="53"/>
      <c r="H2582" s="53"/>
      <c r="I2582" s="53"/>
      <c r="J2582" s="53"/>
      <c r="K2582" s="53"/>
      <c r="L2582" s="53"/>
      <c r="M2582" s="53"/>
      <c r="N2582" s="53"/>
      <c r="O2582" s="53"/>
      <c r="P2582" s="53"/>
      <c r="Q2582" s="53"/>
      <c r="R2582" s="53"/>
      <c r="S2582" s="53"/>
      <c r="T2582" s="53"/>
      <c r="U2582" s="53"/>
      <c r="V2582" s="53"/>
    </row>
    <row r="2583">
      <c r="A2583" s="83"/>
      <c r="B2583" s="53"/>
      <c r="C2583" s="53"/>
      <c r="D2583" s="53"/>
      <c r="E2583" s="240"/>
      <c r="F2583" s="241"/>
      <c r="G2583" s="53"/>
      <c r="H2583" s="53"/>
      <c r="I2583" s="53"/>
      <c r="J2583" s="53"/>
      <c r="K2583" s="53"/>
      <c r="L2583" s="53"/>
      <c r="M2583" s="53"/>
      <c r="N2583" s="53"/>
      <c r="O2583" s="53"/>
      <c r="P2583" s="53"/>
      <c r="Q2583" s="53"/>
      <c r="R2583" s="53"/>
      <c r="S2583" s="53"/>
      <c r="T2583" s="53"/>
      <c r="U2583" s="53"/>
      <c r="V2583" s="53"/>
    </row>
    <row r="2584">
      <c r="A2584" s="83"/>
      <c r="B2584" s="53"/>
      <c r="C2584" s="53"/>
      <c r="D2584" s="53"/>
      <c r="E2584" s="240"/>
      <c r="F2584" s="241"/>
      <c r="G2584" s="53"/>
      <c r="H2584" s="53"/>
      <c r="I2584" s="53"/>
      <c r="J2584" s="53"/>
      <c r="K2584" s="53"/>
      <c r="L2584" s="53"/>
      <c r="M2584" s="53"/>
      <c r="N2584" s="53"/>
      <c r="O2584" s="53"/>
      <c r="P2584" s="53"/>
      <c r="Q2584" s="53"/>
      <c r="R2584" s="53"/>
      <c r="S2584" s="53"/>
      <c r="T2584" s="53"/>
      <c r="U2584" s="53"/>
      <c r="V2584" s="53"/>
    </row>
    <row r="2585">
      <c r="A2585" s="83"/>
      <c r="B2585" s="53"/>
      <c r="C2585" s="53"/>
      <c r="D2585" s="53"/>
      <c r="E2585" s="240"/>
      <c r="F2585" s="241"/>
      <c r="G2585" s="53"/>
      <c r="H2585" s="53"/>
      <c r="I2585" s="53"/>
      <c r="J2585" s="53"/>
      <c r="K2585" s="53"/>
      <c r="L2585" s="53"/>
      <c r="M2585" s="53"/>
      <c r="N2585" s="53"/>
      <c r="O2585" s="53"/>
      <c r="P2585" s="53"/>
      <c r="Q2585" s="53"/>
      <c r="R2585" s="53"/>
      <c r="S2585" s="53"/>
      <c r="T2585" s="53"/>
      <c r="U2585" s="53"/>
      <c r="V2585" s="53"/>
    </row>
    <row r="2586">
      <c r="A2586" s="83"/>
      <c r="B2586" s="53"/>
      <c r="C2586" s="53"/>
      <c r="D2586" s="53"/>
      <c r="E2586" s="240"/>
      <c r="F2586" s="241"/>
      <c r="G2586" s="53"/>
      <c r="H2586" s="53"/>
      <c r="I2586" s="53"/>
      <c r="J2586" s="53"/>
      <c r="K2586" s="53"/>
      <c r="L2586" s="53"/>
      <c r="M2586" s="53"/>
      <c r="N2586" s="53"/>
      <c r="O2586" s="53"/>
      <c r="P2586" s="53"/>
      <c r="Q2586" s="53"/>
      <c r="R2586" s="53"/>
      <c r="S2586" s="53"/>
      <c r="T2586" s="53"/>
      <c r="U2586" s="53"/>
      <c r="V2586" s="53"/>
    </row>
    <row r="2587">
      <c r="A2587" s="83"/>
      <c r="B2587" s="53"/>
      <c r="C2587" s="53"/>
      <c r="D2587" s="53"/>
      <c r="E2587" s="240"/>
      <c r="F2587" s="241"/>
      <c r="G2587" s="53"/>
      <c r="H2587" s="53"/>
      <c r="I2587" s="53"/>
      <c r="J2587" s="53"/>
      <c r="K2587" s="53"/>
      <c r="L2587" s="53"/>
      <c r="M2587" s="53"/>
      <c r="N2587" s="53"/>
      <c r="O2587" s="53"/>
      <c r="P2587" s="53"/>
      <c r="Q2587" s="53"/>
      <c r="R2587" s="53"/>
      <c r="S2587" s="53"/>
      <c r="T2587" s="53"/>
      <c r="U2587" s="53"/>
      <c r="V2587" s="53"/>
    </row>
    <row r="2588">
      <c r="A2588" s="83"/>
      <c r="B2588" s="53"/>
      <c r="C2588" s="53"/>
      <c r="D2588" s="53"/>
      <c r="E2588" s="240"/>
      <c r="F2588" s="241"/>
      <c r="G2588" s="53"/>
      <c r="H2588" s="53"/>
      <c r="I2588" s="53"/>
      <c r="J2588" s="53"/>
      <c r="K2588" s="53"/>
      <c r="L2588" s="53"/>
      <c r="M2588" s="53"/>
      <c r="N2588" s="53"/>
      <c r="O2588" s="53"/>
      <c r="P2588" s="53"/>
      <c r="Q2588" s="53"/>
      <c r="R2588" s="53"/>
      <c r="S2588" s="53"/>
      <c r="T2588" s="53"/>
      <c r="U2588" s="53"/>
      <c r="V2588" s="53"/>
    </row>
    <row r="2589">
      <c r="A2589" s="83"/>
      <c r="B2589" s="53"/>
      <c r="C2589" s="53"/>
      <c r="D2589" s="53"/>
      <c r="E2589" s="240"/>
      <c r="F2589" s="241"/>
      <c r="G2589" s="53"/>
      <c r="H2589" s="53"/>
      <c r="I2589" s="53"/>
      <c r="J2589" s="53"/>
      <c r="K2589" s="53"/>
      <c r="L2589" s="53"/>
      <c r="M2589" s="53"/>
      <c r="N2589" s="53"/>
      <c r="O2589" s="53"/>
      <c r="P2589" s="53"/>
      <c r="Q2589" s="53"/>
      <c r="R2589" s="53"/>
      <c r="S2589" s="53"/>
      <c r="T2589" s="53"/>
      <c r="U2589" s="53"/>
      <c r="V2589" s="53"/>
    </row>
    <row r="2590">
      <c r="A2590" s="83"/>
      <c r="B2590" s="53"/>
      <c r="C2590" s="53"/>
      <c r="D2590" s="53"/>
      <c r="E2590" s="240"/>
      <c r="F2590" s="241"/>
      <c r="G2590" s="53"/>
      <c r="H2590" s="53"/>
      <c r="I2590" s="53"/>
      <c r="J2590" s="53"/>
      <c r="K2590" s="53"/>
      <c r="L2590" s="53"/>
      <c r="M2590" s="53"/>
      <c r="N2590" s="53"/>
      <c r="O2590" s="53"/>
      <c r="P2590" s="53"/>
      <c r="Q2590" s="53"/>
      <c r="R2590" s="53"/>
      <c r="S2590" s="53"/>
      <c r="T2590" s="53"/>
      <c r="U2590" s="53"/>
      <c r="V2590" s="53"/>
    </row>
    <row r="2591">
      <c r="A2591" s="83"/>
      <c r="B2591" s="53"/>
      <c r="C2591" s="53"/>
      <c r="D2591" s="53"/>
      <c r="E2591" s="240"/>
      <c r="F2591" s="241"/>
      <c r="G2591" s="53"/>
      <c r="H2591" s="53"/>
      <c r="I2591" s="53"/>
      <c r="J2591" s="53"/>
      <c r="K2591" s="53"/>
      <c r="L2591" s="53"/>
      <c r="M2591" s="53"/>
      <c r="N2591" s="53"/>
      <c r="O2591" s="53"/>
      <c r="P2591" s="53"/>
      <c r="Q2591" s="53"/>
      <c r="R2591" s="53"/>
      <c r="S2591" s="53"/>
      <c r="T2591" s="53"/>
      <c r="U2591" s="53"/>
      <c r="V2591" s="53"/>
    </row>
    <row r="2592">
      <c r="A2592" s="83"/>
      <c r="B2592" s="53"/>
      <c r="C2592" s="53"/>
      <c r="D2592" s="53"/>
      <c r="E2592" s="240"/>
      <c r="F2592" s="241"/>
      <c r="G2592" s="53"/>
      <c r="H2592" s="53"/>
      <c r="I2592" s="53"/>
      <c r="J2592" s="53"/>
      <c r="K2592" s="53"/>
      <c r="L2592" s="53"/>
      <c r="M2592" s="53"/>
      <c r="N2592" s="53"/>
      <c r="O2592" s="53"/>
      <c r="P2592" s="53"/>
      <c r="Q2592" s="53"/>
      <c r="R2592" s="53"/>
      <c r="S2592" s="53"/>
      <c r="T2592" s="53"/>
      <c r="U2592" s="53"/>
      <c r="V2592" s="53"/>
    </row>
    <row r="2593">
      <c r="A2593" s="83"/>
      <c r="B2593" s="53"/>
      <c r="C2593" s="53"/>
      <c r="D2593" s="53"/>
      <c r="E2593" s="240"/>
      <c r="F2593" s="241"/>
      <c r="G2593" s="53"/>
      <c r="H2593" s="53"/>
      <c r="I2593" s="53"/>
      <c r="J2593" s="53"/>
      <c r="K2593" s="53"/>
      <c r="L2593" s="53"/>
      <c r="M2593" s="53"/>
      <c r="N2593" s="53"/>
      <c r="O2593" s="53"/>
      <c r="P2593" s="53"/>
      <c r="Q2593" s="53"/>
      <c r="R2593" s="53"/>
      <c r="S2593" s="53"/>
      <c r="T2593" s="53"/>
      <c r="U2593" s="53"/>
      <c r="V2593" s="53"/>
    </row>
    <row r="2594">
      <c r="A2594" s="83"/>
      <c r="B2594" s="53"/>
      <c r="C2594" s="53"/>
      <c r="D2594" s="53"/>
      <c r="E2594" s="240"/>
      <c r="F2594" s="241"/>
      <c r="G2594" s="53"/>
      <c r="H2594" s="53"/>
      <c r="I2594" s="53"/>
      <c r="J2594" s="53"/>
      <c r="K2594" s="53"/>
      <c r="L2594" s="53"/>
      <c r="M2594" s="53"/>
      <c r="N2594" s="53"/>
      <c r="O2594" s="53"/>
      <c r="P2594" s="53"/>
      <c r="Q2594" s="53"/>
      <c r="R2594" s="53"/>
      <c r="S2594" s="53"/>
      <c r="T2594" s="53"/>
      <c r="U2594" s="53"/>
      <c r="V2594" s="53"/>
    </row>
    <row r="2595">
      <c r="A2595" s="83"/>
      <c r="B2595" s="53"/>
      <c r="C2595" s="53"/>
      <c r="D2595" s="53"/>
      <c r="E2595" s="240"/>
      <c r="F2595" s="241"/>
      <c r="G2595" s="53"/>
      <c r="H2595" s="53"/>
      <c r="I2595" s="53"/>
      <c r="J2595" s="53"/>
      <c r="K2595" s="53"/>
      <c r="L2595" s="53"/>
      <c r="M2595" s="53"/>
      <c r="N2595" s="53"/>
      <c r="O2595" s="53"/>
      <c r="P2595" s="53"/>
      <c r="Q2595" s="53"/>
      <c r="R2595" s="53"/>
      <c r="S2595" s="53"/>
      <c r="T2595" s="53"/>
      <c r="U2595" s="53"/>
      <c r="V2595" s="53"/>
    </row>
    <row r="2596">
      <c r="A2596" s="83"/>
      <c r="B2596" s="53"/>
      <c r="C2596" s="53"/>
      <c r="D2596" s="53"/>
      <c r="E2596" s="240"/>
      <c r="F2596" s="241"/>
      <c r="G2596" s="53"/>
      <c r="H2596" s="53"/>
      <c r="I2596" s="53"/>
      <c r="J2596" s="53"/>
      <c r="K2596" s="53"/>
      <c r="L2596" s="53"/>
      <c r="M2596" s="53"/>
      <c r="N2596" s="53"/>
      <c r="O2596" s="53"/>
      <c r="P2596" s="53"/>
      <c r="Q2596" s="53"/>
      <c r="R2596" s="53"/>
      <c r="S2596" s="53"/>
      <c r="T2596" s="53"/>
      <c r="U2596" s="53"/>
      <c r="V2596" s="53"/>
    </row>
    <row r="2597">
      <c r="A2597" s="83"/>
      <c r="B2597" s="53"/>
      <c r="C2597" s="53"/>
      <c r="D2597" s="53"/>
      <c r="E2597" s="240"/>
      <c r="F2597" s="241"/>
      <c r="G2597" s="53"/>
      <c r="H2597" s="53"/>
      <c r="I2597" s="53"/>
      <c r="J2597" s="53"/>
      <c r="K2597" s="53"/>
      <c r="L2597" s="53"/>
      <c r="M2597" s="53"/>
      <c r="N2597" s="53"/>
      <c r="O2597" s="53"/>
      <c r="P2597" s="53"/>
      <c r="Q2597" s="53"/>
      <c r="R2597" s="53"/>
      <c r="S2597" s="53"/>
      <c r="T2597" s="53"/>
      <c r="U2597" s="53"/>
      <c r="V2597" s="53"/>
    </row>
    <row r="2598">
      <c r="A2598" s="83"/>
      <c r="B2598" s="53"/>
      <c r="C2598" s="53"/>
      <c r="D2598" s="53"/>
      <c r="E2598" s="240"/>
      <c r="F2598" s="241"/>
      <c r="G2598" s="53"/>
      <c r="H2598" s="53"/>
      <c r="I2598" s="53"/>
      <c r="J2598" s="53"/>
      <c r="K2598" s="53"/>
      <c r="L2598" s="53"/>
      <c r="M2598" s="53"/>
      <c r="N2598" s="53"/>
      <c r="O2598" s="53"/>
      <c r="P2598" s="53"/>
      <c r="Q2598" s="53"/>
      <c r="R2598" s="53"/>
      <c r="S2598" s="53"/>
      <c r="T2598" s="53"/>
      <c r="U2598" s="53"/>
      <c r="V2598" s="53"/>
    </row>
    <row r="2599">
      <c r="A2599" s="83"/>
      <c r="B2599" s="53"/>
      <c r="C2599" s="53"/>
      <c r="D2599" s="53"/>
      <c r="E2599" s="240"/>
      <c r="F2599" s="241"/>
      <c r="G2599" s="53"/>
      <c r="H2599" s="53"/>
      <c r="I2599" s="53"/>
      <c r="J2599" s="53"/>
      <c r="K2599" s="53"/>
      <c r="L2599" s="53"/>
      <c r="M2599" s="53"/>
      <c r="N2599" s="53"/>
      <c r="O2599" s="53"/>
      <c r="P2599" s="53"/>
      <c r="Q2599" s="53"/>
      <c r="R2599" s="53"/>
      <c r="S2599" s="53"/>
      <c r="T2599" s="53"/>
      <c r="U2599" s="53"/>
      <c r="V2599" s="53"/>
    </row>
    <row r="2600">
      <c r="A2600" s="83"/>
      <c r="B2600" s="53"/>
      <c r="C2600" s="53"/>
      <c r="D2600" s="53"/>
      <c r="E2600" s="240"/>
      <c r="F2600" s="241"/>
      <c r="G2600" s="53"/>
      <c r="H2600" s="53"/>
      <c r="I2600" s="53"/>
      <c r="J2600" s="53"/>
      <c r="K2600" s="53"/>
      <c r="L2600" s="53"/>
      <c r="M2600" s="53"/>
      <c r="N2600" s="53"/>
      <c r="O2600" s="53"/>
      <c r="P2600" s="53"/>
      <c r="Q2600" s="53"/>
      <c r="R2600" s="53"/>
      <c r="S2600" s="53"/>
      <c r="T2600" s="53"/>
      <c r="U2600" s="53"/>
      <c r="V2600" s="53"/>
    </row>
    <row r="2601">
      <c r="A2601" s="83"/>
      <c r="B2601" s="53"/>
      <c r="C2601" s="53"/>
      <c r="D2601" s="53"/>
      <c r="E2601" s="240"/>
      <c r="F2601" s="241"/>
      <c r="G2601" s="53"/>
      <c r="H2601" s="53"/>
      <c r="I2601" s="53"/>
      <c r="J2601" s="53"/>
      <c r="K2601" s="53"/>
      <c r="L2601" s="53"/>
      <c r="M2601" s="53"/>
      <c r="N2601" s="53"/>
      <c r="O2601" s="53"/>
      <c r="P2601" s="53"/>
      <c r="Q2601" s="53"/>
      <c r="R2601" s="53"/>
      <c r="S2601" s="53"/>
      <c r="T2601" s="53"/>
      <c r="U2601" s="53"/>
      <c r="V2601" s="53"/>
    </row>
    <row r="2602">
      <c r="A2602" s="83"/>
      <c r="B2602" s="53"/>
      <c r="C2602" s="53"/>
      <c r="D2602" s="53"/>
      <c r="E2602" s="240"/>
      <c r="F2602" s="241"/>
      <c r="G2602" s="53"/>
      <c r="H2602" s="53"/>
      <c r="I2602" s="53"/>
      <c r="J2602" s="53"/>
      <c r="K2602" s="53"/>
      <c r="L2602" s="53"/>
      <c r="M2602" s="53"/>
      <c r="N2602" s="53"/>
      <c r="O2602" s="53"/>
      <c r="P2602" s="53"/>
      <c r="Q2602" s="53"/>
      <c r="R2602" s="53"/>
      <c r="S2602" s="53"/>
      <c r="T2602" s="53"/>
      <c r="U2602" s="53"/>
      <c r="V2602" s="53"/>
    </row>
    <row r="2603">
      <c r="A2603" s="83"/>
      <c r="B2603" s="53"/>
      <c r="C2603" s="53"/>
      <c r="D2603" s="53"/>
      <c r="E2603" s="240"/>
      <c r="F2603" s="241"/>
      <c r="G2603" s="53"/>
      <c r="H2603" s="53"/>
      <c r="I2603" s="53"/>
      <c r="J2603" s="53"/>
      <c r="K2603" s="53"/>
      <c r="L2603" s="53"/>
      <c r="M2603" s="53"/>
      <c r="N2603" s="53"/>
      <c r="O2603" s="53"/>
      <c r="P2603" s="53"/>
      <c r="Q2603" s="53"/>
      <c r="R2603" s="53"/>
      <c r="S2603" s="53"/>
      <c r="T2603" s="53"/>
      <c r="U2603" s="53"/>
      <c r="V2603" s="53"/>
    </row>
    <row r="2604">
      <c r="A2604" s="83"/>
      <c r="B2604" s="53"/>
      <c r="C2604" s="53"/>
      <c r="D2604" s="53"/>
      <c r="E2604" s="240"/>
      <c r="F2604" s="241"/>
      <c r="G2604" s="53"/>
      <c r="H2604" s="53"/>
      <c r="I2604" s="53"/>
      <c r="J2604" s="53"/>
      <c r="K2604" s="53"/>
      <c r="L2604" s="53"/>
      <c r="M2604" s="53"/>
      <c r="N2604" s="53"/>
      <c r="O2604" s="53"/>
      <c r="P2604" s="53"/>
      <c r="Q2604" s="53"/>
      <c r="R2604" s="53"/>
      <c r="S2604" s="53"/>
      <c r="T2604" s="53"/>
      <c r="U2604" s="53"/>
      <c r="V2604" s="53"/>
    </row>
    <row r="2605">
      <c r="A2605" s="83"/>
      <c r="B2605" s="53"/>
      <c r="C2605" s="53"/>
      <c r="D2605" s="53"/>
      <c r="E2605" s="240"/>
      <c r="F2605" s="241"/>
      <c r="G2605" s="53"/>
      <c r="H2605" s="53"/>
      <c r="I2605" s="53"/>
      <c r="J2605" s="53"/>
      <c r="K2605" s="53"/>
      <c r="L2605" s="53"/>
      <c r="M2605" s="53"/>
      <c r="N2605" s="53"/>
      <c r="O2605" s="53"/>
      <c r="P2605" s="53"/>
      <c r="Q2605" s="53"/>
      <c r="R2605" s="53"/>
      <c r="S2605" s="53"/>
      <c r="T2605" s="53"/>
      <c r="U2605" s="53"/>
      <c r="V2605" s="53"/>
    </row>
    <row r="2606">
      <c r="A2606" s="83"/>
      <c r="B2606" s="53"/>
      <c r="C2606" s="53"/>
      <c r="D2606" s="53"/>
      <c r="E2606" s="240"/>
      <c r="F2606" s="241"/>
      <c r="G2606" s="53"/>
      <c r="H2606" s="53"/>
      <c r="I2606" s="53"/>
      <c r="J2606" s="53"/>
      <c r="K2606" s="53"/>
      <c r="L2606" s="53"/>
      <c r="M2606" s="53"/>
      <c r="N2606" s="53"/>
      <c r="O2606" s="53"/>
      <c r="P2606" s="53"/>
      <c r="Q2606" s="53"/>
      <c r="R2606" s="53"/>
      <c r="S2606" s="53"/>
      <c r="T2606" s="53"/>
      <c r="U2606" s="53"/>
      <c r="V2606" s="53"/>
    </row>
    <row r="2607">
      <c r="A2607" s="83"/>
      <c r="B2607" s="53"/>
      <c r="C2607" s="53"/>
      <c r="D2607" s="53"/>
      <c r="E2607" s="240"/>
      <c r="F2607" s="241"/>
      <c r="G2607" s="53"/>
      <c r="H2607" s="53"/>
      <c r="I2607" s="53"/>
      <c r="J2607" s="53"/>
      <c r="K2607" s="53"/>
      <c r="L2607" s="53"/>
      <c r="M2607" s="53"/>
      <c r="N2607" s="53"/>
      <c r="O2607" s="53"/>
      <c r="P2607" s="53"/>
      <c r="Q2607" s="53"/>
      <c r="R2607" s="53"/>
      <c r="S2607" s="53"/>
      <c r="T2607" s="53"/>
      <c r="U2607" s="53"/>
      <c r="V2607" s="53"/>
    </row>
    <row r="2608">
      <c r="A2608" s="83"/>
      <c r="B2608" s="53"/>
      <c r="C2608" s="53"/>
      <c r="D2608" s="53"/>
      <c r="E2608" s="240"/>
      <c r="F2608" s="241"/>
      <c r="G2608" s="53"/>
      <c r="H2608" s="53"/>
      <c r="I2608" s="53"/>
      <c r="J2608" s="53"/>
      <c r="K2608" s="53"/>
      <c r="L2608" s="53"/>
      <c r="M2608" s="53"/>
      <c r="N2608" s="53"/>
      <c r="O2608" s="53"/>
      <c r="P2608" s="53"/>
      <c r="Q2608" s="53"/>
      <c r="R2608" s="53"/>
      <c r="S2608" s="53"/>
      <c r="T2608" s="53"/>
      <c r="U2608" s="53"/>
      <c r="V2608" s="53"/>
    </row>
    <row r="2609">
      <c r="A2609" s="83"/>
      <c r="B2609" s="53"/>
      <c r="C2609" s="53"/>
      <c r="D2609" s="53"/>
      <c r="E2609" s="240"/>
      <c r="F2609" s="241"/>
      <c r="G2609" s="53"/>
      <c r="H2609" s="53"/>
      <c r="I2609" s="53"/>
      <c r="J2609" s="53"/>
      <c r="K2609" s="53"/>
      <c r="L2609" s="53"/>
      <c r="M2609" s="53"/>
      <c r="N2609" s="53"/>
      <c r="O2609" s="53"/>
      <c r="P2609" s="53"/>
      <c r="Q2609" s="53"/>
      <c r="R2609" s="53"/>
      <c r="S2609" s="53"/>
      <c r="T2609" s="53"/>
      <c r="U2609" s="53"/>
      <c r="V2609" s="53"/>
    </row>
    <row r="2610">
      <c r="A2610" s="83"/>
      <c r="B2610" s="53"/>
      <c r="C2610" s="53"/>
      <c r="D2610" s="53"/>
      <c r="E2610" s="240"/>
      <c r="F2610" s="241"/>
      <c r="G2610" s="53"/>
      <c r="H2610" s="53"/>
      <c r="I2610" s="53"/>
      <c r="J2610" s="53"/>
      <c r="K2610" s="53"/>
      <c r="L2610" s="53"/>
      <c r="M2610" s="53"/>
      <c r="N2610" s="53"/>
      <c r="O2610" s="53"/>
      <c r="P2610" s="53"/>
      <c r="Q2610" s="53"/>
      <c r="R2610" s="53"/>
      <c r="S2610" s="53"/>
      <c r="T2610" s="53"/>
      <c r="U2610" s="53"/>
      <c r="V2610" s="53"/>
    </row>
    <row r="2611">
      <c r="A2611" s="83"/>
      <c r="B2611" s="53"/>
      <c r="C2611" s="53"/>
      <c r="D2611" s="53"/>
      <c r="E2611" s="240"/>
      <c r="F2611" s="241"/>
      <c r="G2611" s="53"/>
      <c r="H2611" s="53"/>
      <c r="I2611" s="53"/>
      <c r="J2611" s="53"/>
      <c r="K2611" s="53"/>
      <c r="L2611" s="53"/>
      <c r="M2611" s="53"/>
      <c r="N2611" s="53"/>
      <c r="O2611" s="53"/>
      <c r="P2611" s="53"/>
      <c r="Q2611" s="53"/>
      <c r="R2611" s="53"/>
      <c r="S2611" s="53"/>
      <c r="T2611" s="53"/>
      <c r="U2611" s="53"/>
      <c r="V2611" s="53"/>
    </row>
    <row r="2612">
      <c r="A2612" s="83"/>
      <c r="B2612" s="53"/>
      <c r="C2612" s="53"/>
      <c r="D2612" s="53"/>
      <c r="E2612" s="240"/>
      <c r="F2612" s="241"/>
      <c r="G2612" s="53"/>
      <c r="H2612" s="53"/>
      <c r="I2612" s="53"/>
      <c r="J2612" s="53"/>
      <c r="K2612" s="53"/>
      <c r="L2612" s="53"/>
      <c r="M2612" s="53"/>
      <c r="N2612" s="53"/>
      <c r="O2612" s="53"/>
      <c r="P2612" s="53"/>
      <c r="Q2612" s="53"/>
      <c r="R2612" s="53"/>
      <c r="S2612" s="53"/>
      <c r="T2612" s="53"/>
      <c r="U2612" s="53"/>
      <c r="V2612" s="53"/>
    </row>
    <row r="2613">
      <c r="A2613" s="83"/>
      <c r="B2613" s="53"/>
      <c r="C2613" s="53"/>
      <c r="D2613" s="53"/>
      <c r="E2613" s="240"/>
      <c r="F2613" s="241"/>
      <c r="G2613" s="53"/>
      <c r="H2613" s="53"/>
      <c r="I2613" s="53"/>
      <c r="J2613" s="53"/>
      <c r="K2613" s="53"/>
      <c r="L2613" s="53"/>
      <c r="M2613" s="53"/>
      <c r="N2613" s="53"/>
      <c r="O2613" s="53"/>
      <c r="P2613" s="53"/>
      <c r="Q2613" s="53"/>
      <c r="R2613" s="53"/>
      <c r="S2613" s="53"/>
      <c r="T2613" s="53"/>
      <c r="U2613" s="53"/>
      <c r="V2613" s="53"/>
    </row>
    <row r="2614">
      <c r="A2614" s="83"/>
      <c r="B2614" s="53"/>
      <c r="C2614" s="53"/>
      <c r="D2614" s="53"/>
      <c r="E2614" s="240"/>
      <c r="F2614" s="241"/>
      <c r="G2614" s="53"/>
      <c r="H2614" s="53"/>
      <c r="I2614" s="53"/>
      <c r="J2614" s="53"/>
      <c r="K2614" s="53"/>
      <c r="L2614" s="53"/>
      <c r="M2614" s="53"/>
      <c r="N2614" s="53"/>
      <c r="O2614" s="53"/>
      <c r="P2614" s="53"/>
      <c r="Q2614" s="53"/>
      <c r="R2614" s="53"/>
      <c r="S2614" s="53"/>
      <c r="T2614" s="53"/>
      <c r="U2614" s="53"/>
      <c r="V2614" s="53"/>
    </row>
    <row r="2615">
      <c r="A2615" s="83"/>
      <c r="B2615" s="53"/>
      <c r="C2615" s="53"/>
      <c r="D2615" s="53"/>
      <c r="E2615" s="240"/>
      <c r="F2615" s="241"/>
      <c r="G2615" s="53"/>
      <c r="H2615" s="53"/>
      <c r="I2615" s="53"/>
      <c r="J2615" s="53"/>
      <c r="K2615" s="53"/>
      <c r="L2615" s="53"/>
      <c r="M2615" s="53"/>
      <c r="N2615" s="53"/>
      <c r="O2615" s="53"/>
      <c r="P2615" s="53"/>
      <c r="Q2615" s="53"/>
      <c r="R2615" s="53"/>
      <c r="S2615" s="53"/>
      <c r="T2615" s="53"/>
      <c r="U2615" s="53"/>
      <c r="V2615" s="53"/>
    </row>
    <row r="2616">
      <c r="A2616" s="83"/>
      <c r="B2616" s="53"/>
      <c r="C2616" s="53"/>
      <c r="D2616" s="53"/>
      <c r="E2616" s="240"/>
      <c r="F2616" s="241"/>
      <c r="G2616" s="53"/>
      <c r="H2616" s="53"/>
      <c r="I2616" s="53"/>
      <c r="J2616" s="53"/>
      <c r="K2616" s="53"/>
      <c r="L2616" s="53"/>
      <c r="M2616" s="53"/>
      <c r="N2616" s="53"/>
      <c r="O2616" s="53"/>
      <c r="P2616" s="53"/>
      <c r="Q2616" s="53"/>
      <c r="R2616" s="53"/>
      <c r="S2616" s="53"/>
      <c r="T2616" s="53"/>
      <c r="U2616" s="53"/>
      <c r="V2616" s="53"/>
    </row>
    <row r="2617">
      <c r="A2617" s="83"/>
      <c r="B2617" s="53"/>
      <c r="C2617" s="53"/>
      <c r="D2617" s="53"/>
      <c r="E2617" s="240"/>
      <c r="F2617" s="241"/>
      <c r="G2617" s="53"/>
      <c r="H2617" s="53"/>
      <c r="I2617" s="53"/>
      <c r="J2617" s="53"/>
      <c r="K2617" s="53"/>
      <c r="L2617" s="53"/>
      <c r="M2617" s="53"/>
      <c r="N2617" s="53"/>
      <c r="O2617" s="53"/>
      <c r="P2617" s="53"/>
      <c r="Q2617" s="53"/>
      <c r="R2617" s="53"/>
      <c r="S2617" s="53"/>
      <c r="T2617" s="53"/>
      <c r="U2617" s="53"/>
      <c r="V2617" s="53"/>
    </row>
    <row r="2618">
      <c r="A2618" s="83"/>
      <c r="B2618" s="53"/>
      <c r="C2618" s="53"/>
      <c r="D2618" s="53"/>
      <c r="E2618" s="240"/>
      <c r="F2618" s="241"/>
      <c r="G2618" s="53"/>
      <c r="H2618" s="53"/>
      <c r="I2618" s="53"/>
      <c r="J2618" s="53"/>
      <c r="K2618" s="53"/>
      <c r="L2618" s="53"/>
      <c r="M2618" s="53"/>
      <c r="N2618" s="53"/>
      <c r="O2618" s="53"/>
      <c r="P2618" s="53"/>
      <c r="Q2618" s="53"/>
      <c r="R2618" s="53"/>
      <c r="S2618" s="53"/>
      <c r="T2618" s="53"/>
      <c r="U2618" s="53"/>
      <c r="V2618" s="53"/>
    </row>
    <row r="2619">
      <c r="A2619" s="83"/>
      <c r="B2619" s="53"/>
      <c r="C2619" s="53"/>
      <c r="D2619" s="53"/>
      <c r="E2619" s="240"/>
      <c r="F2619" s="241"/>
      <c r="G2619" s="53"/>
      <c r="H2619" s="53"/>
      <c r="I2619" s="53"/>
      <c r="J2619" s="53"/>
      <c r="K2619" s="53"/>
      <c r="L2619" s="53"/>
      <c r="M2619" s="53"/>
      <c r="N2619" s="53"/>
      <c r="O2619" s="53"/>
      <c r="P2619" s="53"/>
      <c r="Q2619" s="53"/>
      <c r="R2619" s="53"/>
      <c r="S2619" s="53"/>
      <c r="T2619" s="53"/>
      <c r="U2619" s="53"/>
      <c r="V2619" s="53"/>
    </row>
    <row r="2620">
      <c r="A2620" s="83"/>
      <c r="B2620" s="53"/>
      <c r="C2620" s="53"/>
      <c r="D2620" s="53"/>
      <c r="E2620" s="240"/>
      <c r="F2620" s="241"/>
      <c r="G2620" s="53"/>
      <c r="H2620" s="53"/>
      <c r="I2620" s="53"/>
      <c r="J2620" s="53"/>
      <c r="K2620" s="53"/>
      <c r="L2620" s="53"/>
      <c r="M2620" s="53"/>
      <c r="N2620" s="53"/>
      <c r="O2620" s="53"/>
      <c r="P2620" s="53"/>
      <c r="Q2620" s="53"/>
      <c r="R2620" s="53"/>
      <c r="S2620" s="53"/>
      <c r="T2620" s="53"/>
      <c r="U2620" s="53"/>
      <c r="V2620" s="53"/>
    </row>
    <row r="2621">
      <c r="A2621" s="83"/>
      <c r="B2621" s="53"/>
      <c r="C2621" s="53"/>
      <c r="D2621" s="53"/>
      <c r="E2621" s="240"/>
      <c r="F2621" s="241"/>
      <c r="G2621" s="53"/>
      <c r="H2621" s="53"/>
      <c r="I2621" s="53"/>
      <c r="J2621" s="53"/>
      <c r="K2621" s="53"/>
      <c r="L2621" s="53"/>
      <c r="M2621" s="53"/>
      <c r="N2621" s="53"/>
      <c r="O2621" s="53"/>
      <c r="P2621" s="53"/>
      <c r="Q2621" s="53"/>
      <c r="R2621" s="53"/>
      <c r="S2621" s="53"/>
      <c r="T2621" s="53"/>
      <c r="U2621" s="53"/>
      <c r="V2621" s="53"/>
    </row>
    <row r="2622">
      <c r="A2622" s="83"/>
      <c r="B2622" s="53"/>
      <c r="C2622" s="53"/>
      <c r="D2622" s="53"/>
      <c r="E2622" s="240"/>
      <c r="F2622" s="241"/>
      <c r="G2622" s="53"/>
      <c r="H2622" s="53"/>
      <c r="I2622" s="53"/>
      <c r="J2622" s="53"/>
      <c r="K2622" s="53"/>
      <c r="L2622" s="53"/>
      <c r="M2622" s="53"/>
      <c r="N2622" s="53"/>
      <c r="O2622" s="53"/>
      <c r="P2622" s="53"/>
      <c r="Q2622" s="53"/>
      <c r="R2622" s="53"/>
      <c r="S2622" s="53"/>
      <c r="T2622" s="53"/>
      <c r="U2622" s="53"/>
      <c r="V2622" s="53"/>
    </row>
    <row r="2623">
      <c r="A2623" s="83"/>
      <c r="B2623" s="53"/>
      <c r="C2623" s="53"/>
      <c r="D2623" s="53"/>
      <c r="E2623" s="240"/>
      <c r="F2623" s="241"/>
      <c r="G2623" s="53"/>
      <c r="H2623" s="53"/>
      <c r="I2623" s="53"/>
      <c r="J2623" s="53"/>
      <c r="K2623" s="53"/>
      <c r="L2623" s="53"/>
      <c r="M2623" s="53"/>
      <c r="N2623" s="53"/>
      <c r="O2623" s="53"/>
      <c r="P2623" s="53"/>
      <c r="Q2623" s="53"/>
      <c r="R2623" s="53"/>
      <c r="S2623" s="53"/>
      <c r="T2623" s="53"/>
      <c r="U2623" s="53"/>
      <c r="V2623" s="53"/>
    </row>
    <row r="2624">
      <c r="A2624" s="83"/>
      <c r="B2624" s="53"/>
      <c r="C2624" s="53"/>
      <c r="D2624" s="53"/>
      <c r="E2624" s="240"/>
      <c r="F2624" s="241"/>
      <c r="G2624" s="53"/>
      <c r="H2624" s="53"/>
      <c r="I2624" s="53"/>
      <c r="J2624" s="53"/>
      <c r="K2624" s="53"/>
      <c r="L2624" s="53"/>
      <c r="M2624" s="53"/>
      <c r="N2624" s="53"/>
      <c r="O2624" s="53"/>
      <c r="P2624" s="53"/>
      <c r="Q2624" s="53"/>
      <c r="R2624" s="53"/>
      <c r="S2624" s="53"/>
      <c r="T2624" s="53"/>
      <c r="U2624" s="53"/>
      <c r="V2624" s="53"/>
    </row>
    <row r="2625">
      <c r="A2625" s="83"/>
      <c r="B2625" s="53"/>
      <c r="C2625" s="53"/>
      <c r="D2625" s="53"/>
      <c r="E2625" s="240"/>
      <c r="F2625" s="241"/>
      <c r="G2625" s="53"/>
      <c r="H2625" s="53"/>
      <c r="I2625" s="53"/>
      <c r="J2625" s="53"/>
      <c r="K2625" s="53"/>
      <c r="L2625" s="53"/>
      <c r="M2625" s="53"/>
      <c r="N2625" s="53"/>
      <c r="O2625" s="53"/>
      <c r="P2625" s="53"/>
      <c r="Q2625" s="53"/>
      <c r="R2625" s="53"/>
      <c r="S2625" s="53"/>
      <c r="T2625" s="53"/>
      <c r="U2625" s="53"/>
      <c r="V2625" s="53"/>
    </row>
    <row r="2626">
      <c r="A2626" s="83"/>
      <c r="B2626" s="53"/>
      <c r="C2626" s="53"/>
      <c r="D2626" s="53"/>
      <c r="E2626" s="240"/>
      <c r="F2626" s="241"/>
      <c r="G2626" s="53"/>
      <c r="H2626" s="53"/>
      <c r="I2626" s="53"/>
      <c r="J2626" s="53"/>
      <c r="K2626" s="53"/>
      <c r="L2626" s="53"/>
      <c r="M2626" s="53"/>
      <c r="N2626" s="53"/>
      <c r="O2626" s="53"/>
      <c r="P2626" s="53"/>
      <c r="Q2626" s="53"/>
      <c r="R2626" s="53"/>
      <c r="S2626" s="53"/>
      <c r="T2626" s="53"/>
      <c r="U2626" s="53"/>
      <c r="V2626" s="53"/>
    </row>
    <row r="2627">
      <c r="A2627" s="83"/>
      <c r="B2627" s="53"/>
      <c r="C2627" s="53"/>
      <c r="D2627" s="53"/>
      <c r="E2627" s="240"/>
      <c r="F2627" s="241"/>
      <c r="G2627" s="53"/>
      <c r="H2627" s="53"/>
      <c r="I2627" s="53"/>
      <c r="J2627" s="53"/>
      <c r="K2627" s="53"/>
      <c r="L2627" s="53"/>
      <c r="M2627" s="53"/>
      <c r="N2627" s="53"/>
      <c r="O2627" s="53"/>
      <c r="P2627" s="53"/>
      <c r="Q2627" s="53"/>
      <c r="R2627" s="53"/>
      <c r="S2627" s="53"/>
      <c r="T2627" s="53"/>
      <c r="U2627" s="53"/>
      <c r="V2627" s="53"/>
    </row>
    <row r="2628">
      <c r="A2628" s="83"/>
      <c r="B2628" s="53"/>
      <c r="C2628" s="53"/>
      <c r="D2628" s="53"/>
      <c r="E2628" s="240"/>
      <c r="F2628" s="241"/>
      <c r="G2628" s="53"/>
      <c r="H2628" s="53"/>
      <c r="I2628" s="53"/>
      <c r="J2628" s="53"/>
      <c r="K2628" s="53"/>
      <c r="L2628" s="53"/>
      <c r="M2628" s="53"/>
      <c r="N2628" s="53"/>
      <c r="O2628" s="53"/>
      <c r="P2628" s="53"/>
      <c r="Q2628" s="53"/>
      <c r="R2628" s="53"/>
      <c r="S2628" s="53"/>
      <c r="T2628" s="53"/>
      <c r="U2628" s="53"/>
      <c r="V2628" s="53"/>
    </row>
    <row r="2629">
      <c r="A2629" s="83"/>
      <c r="B2629" s="53"/>
      <c r="C2629" s="53"/>
      <c r="D2629" s="53"/>
      <c r="E2629" s="240"/>
      <c r="F2629" s="241"/>
      <c r="G2629" s="53"/>
      <c r="H2629" s="53"/>
      <c r="I2629" s="53"/>
      <c r="J2629" s="53"/>
      <c r="K2629" s="53"/>
      <c r="L2629" s="53"/>
      <c r="M2629" s="53"/>
      <c r="N2629" s="53"/>
      <c r="O2629" s="53"/>
      <c r="P2629" s="53"/>
      <c r="Q2629" s="53"/>
      <c r="R2629" s="53"/>
      <c r="S2629" s="53"/>
      <c r="T2629" s="53"/>
      <c r="U2629" s="53"/>
      <c r="V2629" s="53"/>
    </row>
    <row r="2630">
      <c r="A2630" s="83"/>
      <c r="B2630" s="53"/>
      <c r="C2630" s="53"/>
      <c r="D2630" s="53"/>
      <c r="E2630" s="240"/>
      <c r="F2630" s="241"/>
      <c r="G2630" s="53"/>
      <c r="H2630" s="53"/>
      <c r="I2630" s="53"/>
      <c r="J2630" s="53"/>
      <c r="K2630" s="53"/>
      <c r="L2630" s="53"/>
      <c r="M2630" s="53"/>
      <c r="N2630" s="53"/>
      <c r="O2630" s="53"/>
      <c r="P2630" s="53"/>
      <c r="Q2630" s="53"/>
      <c r="R2630" s="53"/>
      <c r="S2630" s="53"/>
      <c r="T2630" s="53"/>
      <c r="U2630" s="53"/>
      <c r="V2630" s="53"/>
    </row>
    <row r="2631">
      <c r="A2631" s="83"/>
      <c r="B2631" s="53"/>
      <c r="C2631" s="53"/>
      <c r="D2631" s="53"/>
      <c r="E2631" s="240"/>
      <c r="F2631" s="241"/>
      <c r="G2631" s="53"/>
      <c r="H2631" s="53"/>
      <c r="I2631" s="53"/>
      <c r="J2631" s="53"/>
      <c r="K2631" s="53"/>
      <c r="L2631" s="53"/>
      <c r="M2631" s="53"/>
      <c r="N2631" s="53"/>
      <c r="O2631" s="53"/>
      <c r="P2631" s="53"/>
      <c r="Q2631" s="53"/>
      <c r="R2631" s="53"/>
      <c r="S2631" s="53"/>
      <c r="T2631" s="53"/>
      <c r="U2631" s="53"/>
      <c r="V2631" s="53"/>
    </row>
    <row r="2632">
      <c r="A2632" s="83"/>
      <c r="B2632" s="53"/>
      <c r="C2632" s="53"/>
      <c r="D2632" s="53"/>
      <c r="E2632" s="240"/>
      <c r="F2632" s="241"/>
      <c r="G2632" s="53"/>
      <c r="H2632" s="53"/>
      <c r="I2632" s="53"/>
      <c r="J2632" s="53"/>
      <c r="K2632" s="53"/>
      <c r="L2632" s="53"/>
      <c r="M2632" s="53"/>
      <c r="N2632" s="53"/>
      <c r="O2632" s="53"/>
      <c r="P2632" s="53"/>
      <c r="Q2632" s="53"/>
      <c r="R2632" s="53"/>
      <c r="S2632" s="53"/>
      <c r="T2632" s="53"/>
      <c r="U2632" s="53"/>
      <c r="V2632" s="53"/>
    </row>
    <row r="2633">
      <c r="A2633" s="83"/>
      <c r="B2633" s="53"/>
      <c r="C2633" s="53"/>
      <c r="D2633" s="53"/>
      <c r="E2633" s="240"/>
      <c r="F2633" s="241"/>
      <c r="G2633" s="53"/>
      <c r="H2633" s="53"/>
      <c r="I2633" s="53"/>
      <c r="J2633" s="53"/>
      <c r="K2633" s="53"/>
      <c r="L2633" s="53"/>
      <c r="M2633" s="53"/>
      <c r="N2633" s="53"/>
      <c r="O2633" s="53"/>
      <c r="P2633" s="53"/>
      <c r="Q2633" s="53"/>
      <c r="R2633" s="53"/>
      <c r="S2633" s="53"/>
      <c r="T2633" s="53"/>
      <c r="U2633" s="53"/>
      <c r="V2633" s="53"/>
    </row>
    <row r="2634">
      <c r="A2634" s="83"/>
      <c r="B2634" s="53"/>
      <c r="C2634" s="53"/>
      <c r="D2634" s="53"/>
      <c r="E2634" s="240"/>
      <c r="F2634" s="241"/>
      <c r="G2634" s="53"/>
      <c r="H2634" s="53"/>
      <c r="I2634" s="53"/>
      <c r="J2634" s="53"/>
      <c r="K2634" s="53"/>
      <c r="L2634" s="53"/>
      <c r="M2634" s="53"/>
      <c r="N2634" s="53"/>
      <c r="O2634" s="53"/>
      <c r="P2634" s="53"/>
      <c r="Q2634" s="53"/>
      <c r="R2634" s="53"/>
      <c r="S2634" s="53"/>
      <c r="T2634" s="53"/>
      <c r="U2634" s="53"/>
      <c r="V2634" s="53"/>
    </row>
    <row r="2635">
      <c r="A2635" s="83"/>
      <c r="B2635" s="53"/>
      <c r="C2635" s="53"/>
      <c r="D2635" s="53"/>
      <c r="E2635" s="240"/>
      <c r="F2635" s="241"/>
      <c r="G2635" s="53"/>
      <c r="H2635" s="53"/>
      <c r="I2635" s="53"/>
      <c r="J2635" s="53"/>
      <c r="K2635" s="53"/>
      <c r="L2635" s="53"/>
      <c r="M2635" s="53"/>
      <c r="N2635" s="53"/>
      <c r="O2635" s="53"/>
      <c r="P2635" s="53"/>
      <c r="Q2635" s="53"/>
      <c r="R2635" s="53"/>
      <c r="S2635" s="53"/>
      <c r="T2635" s="53"/>
      <c r="U2635" s="53"/>
      <c r="V2635" s="53"/>
    </row>
    <row r="2636">
      <c r="A2636" s="83"/>
      <c r="B2636" s="53"/>
      <c r="C2636" s="53"/>
      <c r="D2636" s="53"/>
      <c r="E2636" s="240"/>
      <c r="F2636" s="241"/>
      <c r="G2636" s="53"/>
      <c r="H2636" s="53"/>
      <c r="I2636" s="53"/>
      <c r="J2636" s="53"/>
      <c r="K2636" s="53"/>
      <c r="L2636" s="53"/>
      <c r="M2636" s="53"/>
      <c r="N2636" s="53"/>
      <c r="O2636" s="53"/>
      <c r="P2636" s="53"/>
      <c r="Q2636" s="53"/>
      <c r="R2636" s="53"/>
      <c r="S2636" s="53"/>
      <c r="T2636" s="53"/>
      <c r="U2636" s="53"/>
      <c r="V2636" s="53"/>
    </row>
    <row r="2637">
      <c r="A2637" s="83"/>
      <c r="B2637" s="53"/>
      <c r="C2637" s="53"/>
      <c r="D2637" s="53"/>
      <c r="E2637" s="240"/>
      <c r="F2637" s="241"/>
      <c r="G2637" s="53"/>
      <c r="H2637" s="53"/>
      <c r="I2637" s="53"/>
      <c r="J2637" s="53"/>
      <c r="K2637" s="53"/>
      <c r="L2637" s="53"/>
      <c r="M2637" s="53"/>
      <c r="N2637" s="53"/>
      <c r="O2637" s="53"/>
      <c r="P2637" s="53"/>
      <c r="Q2637" s="53"/>
      <c r="R2637" s="53"/>
      <c r="S2637" s="53"/>
      <c r="T2637" s="53"/>
      <c r="U2637" s="53"/>
      <c r="V2637" s="53"/>
    </row>
    <row r="2638">
      <c r="A2638" s="83"/>
      <c r="B2638" s="53"/>
      <c r="C2638" s="53"/>
      <c r="D2638" s="53"/>
      <c r="E2638" s="240"/>
      <c r="F2638" s="241"/>
      <c r="G2638" s="53"/>
      <c r="H2638" s="53"/>
      <c r="I2638" s="53"/>
      <c r="J2638" s="53"/>
      <c r="K2638" s="53"/>
      <c r="L2638" s="53"/>
      <c r="M2638" s="53"/>
      <c r="N2638" s="53"/>
      <c r="O2638" s="53"/>
      <c r="P2638" s="53"/>
      <c r="Q2638" s="53"/>
      <c r="R2638" s="53"/>
      <c r="S2638" s="53"/>
      <c r="T2638" s="53"/>
      <c r="U2638" s="53"/>
      <c r="V2638" s="53"/>
    </row>
    <row r="2639">
      <c r="A2639" s="83"/>
      <c r="B2639" s="53"/>
      <c r="C2639" s="53"/>
      <c r="D2639" s="53"/>
      <c r="E2639" s="240"/>
      <c r="F2639" s="241"/>
      <c r="G2639" s="53"/>
      <c r="H2639" s="53"/>
      <c r="I2639" s="53"/>
      <c r="J2639" s="53"/>
      <c r="K2639" s="53"/>
      <c r="L2639" s="53"/>
      <c r="M2639" s="53"/>
      <c r="N2639" s="53"/>
      <c r="O2639" s="53"/>
      <c r="P2639" s="53"/>
      <c r="Q2639" s="53"/>
      <c r="R2639" s="53"/>
      <c r="S2639" s="53"/>
      <c r="T2639" s="53"/>
      <c r="U2639" s="53"/>
      <c r="V2639" s="53"/>
    </row>
    <row r="2640">
      <c r="A2640" s="83"/>
      <c r="B2640" s="53"/>
      <c r="C2640" s="53"/>
      <c r="D2640" s="53"/>
      <c r="E2640" s="240"/>
      <c r="F2640" s="241"/>
      <c r="G2640" s="53"/>
      <c r="H2640" s="53"/>
      <c r="I2640" s="53"/>
      <c r="J2640" s="53"/>
      <c r="K2640" s="53"/>
      <c r="L2640" s="53"/>
      <c r="M2640" s="53"/>
      <c r="N2640" s="53"/>
      <c r="O2640" s="53"/>
      <c r="P2640" s="53"/>
      <c r="Q2640" s="53"/>
      <c r="R2640" s="53"/>
      <c r="S2640" s="53"/>
      <c r="T2640" s="53"/>
      <c r="U2640" s="53"/>
      <c r="V2640" s="53"/>
    </row>
    <row r="2641">
      <c r="A2641" s="83"/>
      <c r="B2641" s="53"/>
      <c r="C2641" s="53"/>
      <c r="D2641" s="53"/>
      <c r="E2641" s="240"/>
      <c r="F2641" s="241"/>
      <c r="G2641" s="53"/>
      <c r="H2641" s="53"/>
      <c r="I2641" s="53"/>
      <c r="J2641" s="53"/>
      <c r="K2641" s="53"/>
      <c r="L2641" s="53"/>
      <c r="M2641" s="53"/>
      <c r="N2641" s="53"/>
      <c r="O2641" s="53"/>
      <c r="P2641" s="53"/>
      <c r="Q2641" s="53"/>
      <c r="R2641" s="53"/>
      <c r="S2641" s="53"/>
      <c r="T2641" s="53"/>
      <c r="U2641" s="53"/>
      <c r="V2641" s="53"/>
    </row>
    <row r="2642">
      <c r="A2642" s="83"/>
      <c r="B2642" s="53"/>
      <c r="C2642" s="53"/>
      <c r="D2642" s="53"/>
      <c r="E2642" s="240"/>
      <c r="F2642" s="241"/>
      <c r="G2642" s="53"/>
      <c r="H2642" s="53"/>
      <c r="I2642" s="53"/>
      <c r="J2642" s="53"/>
      <c r="K2642" s="53"/>
      <c r="L2642" s="53"/>
      <c r="M2642" s="53"/>
      <c r="N2642" s="53"/>
      <c r="O2642" s="53"/>
      <c r="P2642" s="53"/>
      <c r="Q2642" s="53"/>
      <c r="R2642" s="53"/>
      <c r="S2642" s="53"/>
      <c r="T2642" s="53"/>
      <c r="U2642" s="53"/>
      <c r="V2642" s="53"/>
    </row>
    <row r="2643">
      <c r="A2643" s="83"/>
      <c r="B2643" s="53"/>
      <c r="C2643" s="53"/>
      <c r="D2643" s="53"/>
      <c r="E2643" s="240"/>
      <c r="F2643" s="241"/>
      <c r="G2643" s="53"/>
      <c r="H2643" s="53"/>
      <c r="I2643" s="53"/>
      <c r="J2643" s="53"/>
      <c r="K2643" s="53"/>
      <c r="L2643" s="53"/>
      <c r="M2643" s="53"/>
      <c r="N2643" s="53"/>
      <c r="O2643" s="53"/>
      <c r="P2643" s="53"/>
      <c r="Q2643" s="53"/>
      <c r="R2643" s="53"/>
      <c r="S2643" s="53"/>
      <c r="T2643" s="53"/>
      <c r="U2643" s="53"/>
      <c r="V2643" s="53"/>
    </row>
    <row r="2644">
      <c r="A2644" s="83"/>
      <c r="B2644" s="53"/>
      <c r="C2644" s="53"/>
      <c r="D2644" s="53"/>
      <c r="E2644" s="240"/>
      <c r="F2644" s="241"/>
      <c r="G2644" s="53"/>
      <c r="H2644" s="53"/>
      <c r="I2644" s="53"/>
      <c r="J2644" s="53"/>
      <c r="K2644" s="53"/>
      <c r="L2644" s="53"/>
      <c r="M2644" s="53"/>
      <c r="N2644" s="53"/>
      <c r="O2644" s="53"/>
      <c r="P2644" s="53"/>
      <c r="Q2644" s="53"/>
      <c r="R2644" s="53"/>
      <c r="S2644" s="53"/>
      <c r="T2644" s="53"/>
      <c r="U2644" s="53"/>
      <c r="V2644" s="53"/>
    </row>
    <row r="2645">
      <c r="A2645" s="83"/>
      <c r="B2645" s="53"/>
      <c r="C2645" s="53"/>
      <c r="D2645" s="53"/>
      <c r="E2645" s="240"/>
      <c r="F2645" s="241"/>
      <c r="G2645" s="53"/>
      <c r="H2645" s="53"/>
      <c r="I2645" s="53"/>
      <c r="J2645" s="53"/>
      <c r="K2645" s="53"/>
      <c r="L2645" s="53"/>
      <c r="M2645" s="53"/>
      <c r="N2645" s="53"/>
      <c r="O2645" s="53"/>
      <c r="P2645" s="53"/>
      <c r="Q2645" s="53"/>
      <c r="R2645" s="53"/>
      <c r="S2645" s="53"/>
      <c r="T2645" s="53"/>
      <c r="U2645" s="53"/>
      <c r="V2645" s="53"/>
    </row>
    <row r="2646">
      <c r="A2646" s="83"/>
      <c r="B2646" s="53"/>
      <c r="C2646" s="53"/>
      <c r="D2646" s="53"/>
      <c r="E2646" s="240"/>
      <c r="F2646" s="241"/>
      <c r="G2646" s="53"/>
      <c r="H2646" s="53"/>
      <c r="I2646" s="53"/>
      <c r="J2646" s="53"/>
      <c r="K2646" s="53"/>
      <c r="L2646" s="53"/>
      <c r="M2646" s="53"/>
      <c r="N2646" s="53"/>
      <c r="O2646" s="53"/>
      <c r="P2646" s="53"/>
      <c r="Q2646" s="53"/>
      <c r="R2646" s="53"/>
      <c r="S2646" s="53"/>
      <c r="T2646" s="53"/>
      <c r="U2646" s="53"/>
      <c r="V2646" s="53"/>
    </row>
    <row r="2647">
      <c r="A2647" s="83"/>
      <c r="B2647" s="53"/>
      <c r="C2647" s="53"/>
      <c r="D2647" s="53"/>
      <c r="E2647" s="240"/>
      <c r="F2647" s="241"/>
      <c r="G2647" s="53"/>
      <c r="H2647" s="53"/>
      <c r="I2647" s="53"/>
      <c r="J2647" s="53"/>
      <c r="K2647" s="53"/>
      <c r="L2647" s="53"/>
      <c r="M2647" s="53"/>
      <c r="N2647" s="53"/>
      <c r="O2647" s="53"/>
      <c r="P2647" s="53"/>
      <c r="Q2647" s="53"/>
      <c r="R2647" s="53"/>
      <c r="S2647" s="53"/>
      <c r="T2647" s="53"/>
      <c r="U2647" s="53"/>
      <c r="V2647" s="53"/>
    </row>
    <row r="2648">
      <c r="A2648" s="83"/>
      <c r="B2648" s="53"/>
      <c r="C2648" s="53"/>
      <c r="D2648" s="53"/>
      <c r="E2648" s="240"/>
      <c r="F2648" s="241"/>
      <c r="G2648" s="53"/>
      <c r="H2648" s="53"/>
      <c r="I2648" s="53"/>
      <c r="J2648" s="53"/>
      <c r="K2648" s="53"/>
      <c r="L2648" s="53"/>
      <c r="M2648" s="53"/>
      <c r="N2648" s="53"/>
      <c r="O2648" s="53"/>
      <c r="P2648" s="53"/>
      <c r="Q2648" s="53"/>
      <c r="R2648" s="53"/>
      <c r="S2648" s="53"/>
      <c r="T2648" s="53"/>
      <c r="U2648" s="53"/>
      <c r="V2648" s="53"/>
    </row>
    <row r="2649">
      <c r="A2649" s="83"/>
      <c r="B2649" s="53"/>
      <c r="C2649" s="53"/>
      <c r="D2649" s="53"/>
      <c r="E2649" s="240"/>
      <c r="F2649" s="241"/>
      <c r="G2649" s="53"/>
      <c r="H2649" s="53"/>
      <c r="I2649" s="53"/>
      <c r="J2649" s="53"/>
      <c r="K2649" s="53"/>
      <c r="L2649" s="53"/>
      <c r="M2649" s="53"/>
      <c r="N2649" s="53"/>
      <c r="O2649" s="53"/>
      <c r="P2649" s="53"/>
      <c r="Q2649" s="53"/>
      <c r="R2649" s="53"/>
      <c r="S2649" s="53"/>
      <c r="T2649" s="53"/>
      <c r="U2649" s="53"/>
      <c r="V2649" s="53"/>
    </row>
    <row r="2650">
      <c r="A2650" s="83"/>
      <c r="B2650" s="53"/>
      <c r="C2650" s="53"/>
      <c r="D2650" s="53"/>
      <c r="E2650" s="240"/>
      <c r="F2650" s="241"/>
      <c r="G2650" s="53"/>
      <c r="H2650" s="53"/>
      <c r="I2650" s="53"/>
      <c r="J2650" s="53"/>
      <c r="K2650" s="53"/>
      <c r="L2650" s="53"/>
      <c r="M2650" s="53"/>
      <c r="N2650" s="53"/>
      <c r="O2650" s="53"/>
      <c r="P2650" s="53"/>
      <c r="Q2650" s="53"/>
      <c r="R2650" s="53"/>
      <c r="S2650" s="53"/>
      <c r="T2650" s="53"/>
      <c r="U2650" s="53"/>
      <c r="V2650" s="53"/>
    </row>
    <row r="2651">
      <c r="A2651" s="83"/>
      <c r="B2651" s="53"/>
      <c r="C2651" s="53"/>
      <c r="D2651" s="53"/>
      <c r="E2651" s="240"/>
      <c r="F2651" s="241"/>
      <c r="G2651" s="53"/>
      <c r="H2651" s="53"/>
      <c r="I2651" s="53"/>
      <c r="J2651" s="53"/>
      <c r="K2651" s="53"/>
      <c r="L2651" s="53"/>
      <c r="M2651" s="53"/>
      <c r="N2651" s="53"/>
      <c r="O2651" s="53"/>
      <c r="P2651" s="53"/>
      <c r="Q2651" s="53"/>
      <c r="R2651" s="53"/>
      <c r="S2651" s="53"/>
      <c r="T2651" s="53"/>
      <c r="U2651" s="53"/>
      <c r="V2651" s="53"/>
    </row>
    <row r="2652">
      <c r="A2652" s="83"/>
      <c r="B2652" s="53"/>
      <c r="C2652" s="53"/>
      <c r="D2652" s="53"/>
      <c r="E2652" s="240"/>
      <c r="F2652" s="241"/>
      <c r="G2652" s="53"/>
      <c r="H2652" s="53"/>
      <c r="I2652" s="53"/>
      <c r="J2652" s="53"/>
      <c r="K2652" s="53"/>
      <c r="L2652" s="53"/>
      <c r="M2652" s="53"/>
      <c r="N2652" s="53"/>
      <c r="O2652" s="53"/>
      <c r="P2652" s="53"/>
      <c r="Q2652" s="53"/>
      <c r="R2652" s="53"/>
      <c r="S2652" s="53"/>
      <c r="T2652" s="53"/>
      <c r="U2652" s="53"/>
      <c r="V2652" s="53"/>
    </row>
    <row r="2653">
      <c r="A2653" s="83"/>
      <c r="B2653" s="53"/>
      <c r="C2653" s="53"/>
      <c r="D2653" s="53"/>
      <c r="E2653" s="240"/>
      <c r="F2653" s="241"/>
      <c r="G2653" s="53"/>
      <c r="H2653" s="53"/>
      <c r="I2653" s="53"/>
      <c r="J2653" s="53"/>
      <c r="K2653" s="53"/>
      <c r="L2653" s="53"/>
      <c r="M2653" s="53"/>
      <c r="N2653" s="53"/>
      <c r="O2653" s="53"/>
      <c r="P2653" s="53"/>
      <c r="Q2653" s="53"/>
      <c r="R2653" s="53"/>
      <c r="S2653" s="53"/>
      <c r="T2653" s="53"/>
      <c r="U2653" s="53"/>
      <c r="V2653" s="53"/>
    </row>
    <row r="2654">
      <c r="A2654" s="83"/>
      <c r="B2654" s="53"/>
      <c r="C2654" s="53"/>
      <c r="D2654" s="53"/>
      <c r="E2654" s="240"/>
      <c r="F2654" s="241"/>
      <c r="G2654" s="53"/>
      <c r="H2654" s="53"/>
      <c r="I2654" s="53"/>
      <c r="J2654" s="53"/>
      <c r="K2654" s="53"/>
      <c r="L2654" s="53"/>
      <c r="M2654" s="53"/>
      <c r="N2654" s="53"/>
      <c r="O2654" s="53"/>
      <c r="P2654" s="53"/>
      <c r="Q2654" s="53"/>
      <c r="R2654" s="53"/>
      <c r="S2654" s="53"/>
      <c r="T2654" s="53"/>
      <c r="U2654" s="53"/>
      <c r="V2654" s="53"/>
    </row>
    <row r="2655">
      <c r="A2655" s="83"/>
      <c r="B2655" s="53"/>
      <c r="C2655" s="53"/>
      <c r="D2655" s="53"/>
      <c r="E2655" s="240"/>
      <c r="F2655" s="241"/>
      <c r="G2655" s="53"/>
      <c r="H2655" s="53"/>
      <c r="I2655" s="53"/>
      <c r="J2655" s="53"/>
      <c r="K2655" s="53"/>
      <c r="L2655" s="53"/>
      <c r="M2655" s="53"/>
      <c r="N2655" s="53"/>
      <c r="O2655" s="53"/>
      <c r="P2655" s="53"/>
      <c r="Q2655" s="53"/>
      <c r="R2655" s="53"/>
      <c r="S2655" s="53"/>
      <c r="T2655" s="53"/>
      <c r="U2655" s="53"/>
      <c r="V2655" s="53"/>
    </row>
    <row r="2656">
      <c r="A2656" s="83"/>
      <c r="B2656" s="53"/>
      <c r="C2656" s="53"/>
      <c r="D2656" s="53"/>
      <c r="E2656" s="240"/>
      <c r="F2656" s="241"/>
      <c r="G2656" s="53"/>
      <c r="H2656" s="53"/>
      <c r="I2656" s="53"/>
      <c r="J2656" s="53"/>
      <c r="K2656" s="53"/>
      <c r="L2656" s="53"/>
      <c r="M2656" s="53"/>
      <c r="N2656" s="53"/>
      <c r="O2656" s="53"/>
      <c r="P2656" s="53"/>
      <c r="Q2656" s="53"/>
      <c r="R2656" s="53"/>
      <c r="S2656" s="53"/>
      <c r="T2656" s="53"/>
      <c r="U2656" s="53"/>
      <c r="V2656" s="53"/>
    </row>
    <row r="2657">
      <c r="A2657" s="83"/>
      <c r="B2657" s="53"/>
      <c r="C2657" s="53"/>
      <c r="D2657" s="53"/>
      <c r="E2657" s="240"/>
      <c r="F2657" s="241"/>
      <c r="G2657" s="53"/>
      <c r="H2657" s="53"/>
      <c r="I2657" s="53"/>
      <c r="J2657" s="53"/>
      <c r="K2657" s="53"/>
      <c r="L2657" s="53"/>
      <c r="M2657" s="53"/>
      <c r="N2657" s="53"/>
      <c r="O2657" s="53"/>
      <c r="P2657" s="53"/>
      <c r="Q2657" s="53"/>
      <c r="R2657" s="53"/>
      <c r="S2657" s="53"/>
      <c r="T2657" s="53"/>
      <c r="U2657" s="53"/>
      <c r="V2657" s="53"/>
    </row>
    <row r="2658">
      <c r="A2658" s="83"/>
      <c r="B2658" s="53"/>
      <c r="C2658" s="53"/>
      <c r="D2658" s="53"/>
      <c r="E2658" s="240"/>
      <c r="F2658" s="241"/>
      <c r="G2658" s="53"/>
      <c r="H2658" s="53"/>
      <c r="I2658" s="53"/>
      <c r="J2658" s="53"/>
      <c r="K2658" s="53"/>
      <c r="L2658" s="53"/>
      <c r="M2658" s="53"/>
      <c r="N2658" s="53"/>
      <c r="O2658" s="53"/>
      <c r="P2658" s="53"/>
      <c r="Q2658" s="53"/>
      <c r="R2658" s="53"/>
      <c r="S2658" s="53"/>
      <c r="T2658" s="53"/>
      <c r="U2658" s="53"/>
      <c r="V2658" s="53"/>
    </row>
    <row r="2659">
      <c r="A2659" s="83"/>
      <c r="B2659" s="53"/>
      <c r="C2659" s="53"/>
      <c r="D2659" s="53"/>
      <c r="E2659" s="240"/>
      <c r="F2659" s="241"/>
      <c r="G2659" s="53"/>
      <c r="H2659" s="53"/>
      <c r="I2659" s="53"/>
      <c r="J2659" s="53"/>
      <c r="K2659" s="53"/>
      <c r="L2659" s="53"/>
      <c r="M2659" s="53"/>
      <c r="N2659" s="53"/>
      <c r="O2659" s="53"/>
      <c r="P2659" s="53"/>
      <c r="Q2659" s="53"/>
      <c r="R2659" s="53"/>
      <c r="S2659" s="53"/>
      <c r="T2659" s="53"/>
      <c r="U2659" s="53"/>
      <c r="V2659" s="53"/>
    </row>
    <row r="2660">
      <c r="A2660" s="83"/>
      <c r="B2660" s="53"/>
      <c r="C2660" s="53"/>
      <c r="D2660" s="53"/>
      <c r="E2660" s="240"/>
      <c r="F2660" s="241"/>
      <c r="G2660" s="53"/>
      <c r="H2660" s="53"/>
      <c r="I2660" s="53"/>
      <c r="J2660" s="53"/>
      <c r="K2660" s="53"/>
      <c r="L2660" s="53"/>
      <c r="M2660" s="53"/>
      <c r="N2660" s="53"/>
      <c r="O2660" s="53"/>
      <c r="P2660" s="53"/>
      <c r="Q2660" s="53"/>
      <c r="R2660" s="53"/>
      <c r="S2660" s="53"/>
      <c r="T2660" s="53"/>
      <c r="U2660" s="53"/>
      <c r="V2660" s="53"/>
    </row>
  </sheetData>
  <mergeCells count="2">
    <mergeCell ref="D23:F23"/>
    <mergeCell ref="G23:I23"/>
  </mergeCells>
  <conditionalFormatting sqref="D2:D8 D67:D217">
    <cfRule type="cellIs" dxfId="3" priority="1" operator="lessThan">
      <formula>7</formula>
    </cfRule>
  </conditionalFormatting>
  <conditionalFormatting sqref="D2:D8 D67:D217">
    <cfRule type="cellIs" dxfId="4" priority="2" operator="lessThan">
      <formula>9</formula>
    </cfRule>
  </conditionalFormatting>
  <conditionalFormatting sqref="D2:D8 D67:D217">
    <cfRule type="cellIs" dxfId="1" priority="3" operator="greaterThanOrEqual">
      <formula>10</formula>
    </cfRule>
  </conditionalFormatting>
  <conditionalFormatting sqref="E2:E8 E10 E25:E27 H25:H27 E30:E37 H30:H37 E67:E217">
    <cfRule type="cellIs" dxfId="4" priority="4" operator="lessThanOrEqual">
      <formula>80</formula>
    </cfRule>
  </conditionalFormatting>
  <conditionalFormatting sqref="E2:E8 E10 E25:E27 H25:H27 E30:E37 H30:H37 E67:E217">
    <cfRule type="cellIs" dxfId="3" priority="5" operator="lessThan">
      <formula>70</formula>
    </cfRule>
  </conditionalFormatting>
  <conditionalFormatting sqref="D10">
    <cfRule type="notContainsBlanks" dxfId="1" priority="6">
      <formula>LEN(TRIM(D10))&gt;0</formula>
    </cfRule>
  </conditionalFormatting>
  <conditionalFormatting sqref="C40:G67">
    <cfRule type="containsText" dxfId="1" priority="7" operator="containsText" text="Last">
      <formula>NOT(ISERROR(SEARCH(("Last"),(C40))))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4" max="4" width="6.38"/>
  </cols>
  <sheetData>
    <row r="1">
      <c r="C1" s="41" t="s">
        <v>6</v>
      </c>
      <c r="G1" s="41" t="s">
        <v>7</v>
      </c>
      <c r="I1" s="41" t="s">
        <v>8</v>
      </c>
    </row>
    <row r="2">
      <c r="A2" s="42">
        <f>'Synthèse Vente Nuitée'!A2</f>
        <v>46249</v>
      </c>
      <c r="B2" s="43">
        <f>'Synthèse Vente Nuitée'!D2</f>
        <v>11</v>
      </c>
      <c r="C2" s="43">
        <f t="shared" ref="C2:C148" si="1">AVERAGE(B2:B8)</f>
        <v>7.714285714</v>
      </c>
      <c r="D2" s="44">
        <f>'Synthèse Vente Nuitée'!E2</f>
        <v>144.5</v>
      </c>
      <c r="E2" s="44">
        <f t="shared" ref="E2:E148" si="2">AVERAGE(D2:D8)</f>
        <v>145.6571429</v>
      </c>
      <c r="F2" s="43">
        <f>'Synthèse Vente Nuitée'!G2</f>
        <v>11</v>
      </c>
      <c r="G2" s="43">
        <f t="shared" ref="G2:G148" si="3">AVERAGE(F2:F8)</f>
        <v>11.42857143</v>
      </c>
      <c r="H2" s="43">
        <f>'Synthèse Vente Nuitée'!H2</f>
        <v>0</v>
      </c>
      <c r="I2" s="43">
        <f t="shared" ref="I2:I148" si="4">AVERAGE(H2:H8)</f>
        <v>3.714285714</v>
      </c>
    </row>
    <row r="3">
      <c r="A3" s="42">
        <f>'Synthèse Vente Nuitée'!A3</f>
        <v>46248</v>
      </c>
      <c r="B3" s="43">
        <f>'Synthèse Vente Nuitée'!D3</f>
        <v>20</v>
      </c>
      <c r="C3" s="43">
        <f t="shared" si="1"/>
        <v>9</v>
      </c>
      <c r="D3" s="44">
        <f>'Synthèse Vente Nuitée'!E3</f>
        <v>117.9</v>
      </c>
      <c r="E3" s="44">
        <f t="shared" si="2"/>
        <v>152.2</v>
      </c>
      <c r="F3" s="43">
        <f>'Synthèse Vente Nuitée'!G3</f>
        <v>20</v>
      </c>
      <c r="G3" s="43">
        <f t="shared" si="3"/>
        <v>15.28571429</v>
      </c>
      <c r="H3" s="43">
        <f>'Synthèse Vente Nuitée'!H3</f>
        <v>0</v>
      </c>
      <c r="I3" s="43">
        <f t="shared" si="4"/>
        <v>6.285714286</v>
      </c>
    </row>
    <row r="4">
      <c r="A4" s="42">
        <f>'Synthèse Vente Nuitée'!A4</f>
        <v>46247</v>
      </c>
      <c r="B4" s="43">
        <f>'Synthèse Vente Nuitée'!D4</f>
        <v>7</v>
      </c>
      <c r="C4" s="43">
        <f t="shared" si="1"/>
        <v>7.142857143</v>
      </c>
      <c r="D4" s="44">
        <f>'Synthèse Vente Nuitée'!E4</f>
        <v>229.8</v>
      </c>
      <c r="E4" s="44">
        <f t="shared" si="2"/>
        <v>149.4</v>
      </c>
      <c r="F4" s="43">
        <f>'Synthèse Vente Nuitée'!G4</f>
        <v>7</v>
      </c>
      <c r="G4" s="43">
        <f t="shared" si="3"/>
        <v>13.42857143</v>
      </c>
      <c r="H4" s="43">
        <f>'Synthèse Vente Nuitée'!H4</f>
        <v>0</v>
      </c>
      <c r="I4" s="43">
        <f t="shared" si="4"/>
        <v>6.285714286</v>
      </c>
    </row>
    <row r="5">
      <c r="A5" s="42">
        <f>'Synthèse Vente Nuitée'!A5</f>
        <v>46246</v>
      </c>
      <c r="B5" s="43">
        <f>'Synthèse Vente Nuitée'!D5</f>
        <v>1</v>
      </c>
      <c r="C5" s="43">
        <f t="shared" si="1"/>
        <v>7</v>
      </c>
      <c r="D5" s="44">
        <f>'Synthèse Vente Nuitée'!E5</f>
        <v>89.5</v>
      </c>
      <c r="E5" s="44">
        <f t="shared" si="2"/>
        <v>133.7571429</v>
      </c>
      <c r="F5" s="43">
        <f>'Synthèse Vente Nuitée'!G5</f>
        <v>1</v>
      </c>
      <c r="G5" s="43">
        <f t="shared" si="3"/>
        <v>14.28571429</v>
      </c>
      <c r="H5" s="43">
        <f>'Synthèse Vente Nuitée'!H5</f>
        <v>0</v>
      </c>
      <c r="I5" s="43">
        <f t="shared" si="4"/>
        <v>7.285714286</v>
      </c>
    </row>
    <row r="6">
      <c r="A6" s="42">
        <f>'Synthèse Vente Nuitée'!A6</f>
        <v>46245</v>
      </c>
      <c r="B6" s="43">
        <f>'Synthèse Vente Nuitée'!D6</f>
        <v>12</v>
      </c>
      <c r="C6" s="43">
        <f t="shared" si="1"/>
        <v>7.571428571</v>
      </c>
      <c r="D6" s="44">
        <f>'Synthèse Vente Nuitée'!E6</f>
        <v>106.3</v>
      </c>
      <c r="E6" s="44">
        <f t="shared" si="2"/>
        <v>138.2285714</v>
      </c>
      <c r="F6" s="43">
        <f>'Synthèse Vente Nuitée'!G6</f>
        <v>12</v>
      </c>
      <c r="G6" s="43">
        <f t="shared" si="3"/>
        <v>15.42857143</v>
      </c>
      <c r="H6" s="43">
        <f>'Synthèse Vente Nuitée'!H6</f>
        <v>0</v>
      </c>
      <c r="I6" s="43">
        <f t="shared" si="4"/>
        <v>7.857142857</v>
      </c>
    </row>
    <row r="7">
      <c r="A7" s="42">
        <f>'Synthèse Vente Nuitée'!A7</f>
        <v>46244</v>
      </c>
      <c r="B7" s="43">
        <f>'Synthèse Vente Nuitée'!D7</f>
        <v>0</v>
      </c>
      <c r="C7" s="43">
        <f t="shared" si="1"/>
        <v>6.142857143</v>
      </c>
      <c r="D7" s="44">
        <f>'Synthèse Vente Nuitée'!E7</f>
        <v>120</v>
      </c>
      <c r="E7" s="44">
        <f t="shared" si="2"/>
        <v>148.3285714</v>
      </c>
      <c r="F7" s="43">
        <f>'Synthèse Vente Nuitée'!G7</f>
        <v>14</v>
      </c>
      <c r="G7" s="43">
        <f t="shared" si="3"/>
        <v>14.85714286</v>
      </c>
      <c r="H7" s="43">
        <f>'Synthèse Vente Nuitée'!H7</f>
        <v>14</v>
      </c>
      <c r="I7" s="43">
        <f t="shared" si="4"/>
        <v>8.714285714</v>
      </c>
    </row>
    <row r="8">
      <c r="A8" s="42">
        <f>'Synthèse Vente Nuitée'!A8</f>
        <v>46243</v>
      </c>
      <c r="B8" s="43">
        <f>'Synthèse Vente Nuitée'!D8</f>
        <v>3</v>
      </c>
      <c r="C8" s="43">
        <f t="shared" si="1"/>
        <v>6.714285714</v>
      </c>
      <c r="D8" s="44">
        <f>'Synthèse Vente Nuitée'!E8</f>
        <v>211.6</v>
      </c>
      <c r="E8" s="44">
        <f t="shared" si="2"/>
        <v>151.3285714</v>
      </c>
      <c r="F8" s="43">
        <f>'Synthèse Vente Nuitée'!G8</f>
        <v>15</v>
      </c>
      <c r="G8" s="43">
        <f t="shared" si="3"/>
        <v>14.57142857</v>
      </c>
      <c r="H8" s="43">
        <f>'Synthèse Vente Nuitée'!H8</f>
        <v>12</v>
      </c>
      <c r="I8" s="43">
        <f t="shared" si="4"/>
        <v>7.857142857</v>
      </c>
    </row>
    <row r="9">
      <c r="A9" s="42">
        <f>'Synthèse Vente Nuitée'!A78</f>
        <v>46242</v>
      </c>
      <c r="B9" s="43">
        <f>'Synthèse Vente Nuitée'!D78</f>
        <v>20</v>
      </c>
      <c r="C9" s="43">
        <f t="shared" si="1"/>
        <v>7.571428571</v>
      </c>
      <c r="D9" s="44">
        <f>'Synthèse Vente Nuitée'!E78</f>
        <v>190.3</v>
      </c>
      <c r="E9" s="44">
        <f t="shared" si="2"/>
        <v>138.2142857</v>
      </c>
      <c r="F9" s="43">
        <f>'Synthèse Vente Nuitée'!G78</f>
        <v>38</v>
      </c>
      <c r="G9" s="43">
        <f t="shared" si="3"/>
        <v>14.71428571</v>
      </c>
      <c r="H9" s="43">
        <f>'Synthèse Vente Nuitée'!H78</f>
        <v>18</v>
      </c>
      <c r="I9" s="43">
        <f t="shared" si="4"/>
        <v>7.142857143</v>
      </c>
    </row>
    <row r="10">
      <c r="A10" s="42">
        <f>'Synthèse Vente Nuitée'!A79</f>
        <v>46241</v>
      </c>
      <c r="B10" s="43">
        <f>'Synthèse Vente Nuitée'!D79</f>
        <v>7</v>
      </c>
      <c r="C10" s="43">
        <f t="shared" si="1"/>
        <v>5</v>
      </c>
      <c r="D10" s="44">
        <f>'Synthèse Vente Nuitée'!E79</f>
        <v>98.3</v>
      </c>
      <c r="E10" s="44">
        <f t="shared" si="2"/>
        <v>124.2571429</v>
      </c>
      <c r="F10" s="43">
        <f>'Synthèse Vente Nuitée'!G79</f>
        <v>7</v>
      </c>
      <c r="G10" s="43">
        <f t="shared" si="3"/>
        <v>9.571428571</v>
      </c>
      <c r="H10" s="43">
        <f>'Synthèse Vente Nuitée'!H79</f>
        <v>0</v>
      </c>
      <c r="I10" s="43">
        <f t="shared" si="4"/>
        <v>4.571428571</v>
      </c>
    </row>
    <row r="11">
      <c r="A11" s="42">
        <f>'Synthèse Vente Nuitée'!A80</f>
        <v>46240</v>
      </c>
      <c r="B11" s="43">
        <f>'Synthèse Vente Nuitée'!D80</f>
        <v>6</v>
      </c>
      <c r="C11" s="43">
        <f t="shared" si="1"/>
        <v>5.571428571</v>
      </c>
      <c r="D11" s="44">
        <f>'Synthèse Vente Nuitée'!E80</f>
        <v>120.3</v>
      </c>
      <c r="E11" s="44">
        <f t="shared" si="2"/>
        <v>126.1714286</v>
      </c>
      <c r="F11" s="43">
        <f>'Synthèse Vente Nuitée'!G80</f>
        <v>13</v>
      </c>
      <c r="G11" s="43">
        <f t="shared" si="3"/>
        <v>10.14285714</v>
      </c>
      <c r="H11" s="43">
        <f>'Synthèse Vente Nuitée'!H80</f>
        <v>7</v>
      </c>
      <c r="I11" s="43">
        <f t="shared" si="4"/>
        <v>4.571428571</v>
      </c>
    </row>
    <row r="12">
      <c r="A12" s="42">
        <f>'Synthèse Vente Nuitée'!A81</f>
        <v>46239</v>
      </c>
      <c r="B12" s="43">
        <f>'Synthèse Vente Nuitée'!D81</f>
        <v>5</v>
      </c>
      <c r="C12" s="43">
        <f t="shared" si="1"/>
        <v>4.857142857</v>
      </c>
      <c r="D12" s="44">
        <f>'Synthèse Vente Nuitée'!E81</f>
        <v>120.8</v>
      </c>
      <c r="E12" s="44">
        <f t="shared" si="2"/>
        <v>124.0428571</v>
      </c>
      <c r="F12" s="43">
        <f>'Synthèse Vente Nuitée'!G81</f>
        <v>9</v>
      </c>
      <c r="G12" s="43">
        <f t="shared" si="3"/>
        <v>9.285714286</v>
      </c>
      <c r="H12" s="43">
        <f>'Synthèse Vente Nuitée'!H81</f>
        <v>4</v>
      </c>
      <c r="I12" s="43">
        <f t="shared" si="4"/>
        <v>4.428571429</v>
      </c>
    </row>
    <row r="13">
      <c r="A13" s="42">
        <f>'Synthèse Vente Nuitée'!A82</f>
        <v>46238</v>
      </c>
      <c r="B13" s="43">
        <f>'Synthèse Vente Nuitée'!D82</f>
        <v>2</v>
      </c>
      <c r="C13" s="43">
        <f t="shared" si="1"/>
        <v>7.857142857</v>
      </c>
      <c r="D13" s="44">
        <f>'Synthèse Vente Nuitée'!E82</f>
        <v>177</v>
      </c>
      <c r="E13" s="44">
        <f t="shared" si="2"/>
        <v>134.0285714</v>
      </c>
      <c r="F13" s="43">
        <f>'Synthèse Vente Nuitée'!G82</f>
        <v>8</v>
      </c>
      <c r="G13" s="43">
        <f t="shared" si="3"/>
        <v>14.42857143</v>
      </c>
      <c r="H13" s="43">
        <f>'Synthèse Vente Nuitée'!H82</f>
        <v>6</v>
      </c>
      <c r="I13" s="43">
        <f t="shared" si="4"/>
        <v>6.571428571</v>
      </c>
    </row>
    <row r="14">
      <c r="A14" s="42">
        <f>'Synthèse Vente Nuitée'!A83</f>
        <v>46237</v>
      </c>
      <c r="B14" s="43">
        <f>'Synthèse Vente Nuitée'!D83</f>
        <v>4</v>
      </c>
      <c r="C14" s="43">
        <f t="shared" si="1"/>
        <v>12</v>
      </c>
      <c r="D14" s="44">
        <f>'Synthèse Vente Nuitée'!E83</f>
        <v>141</v>
      </c>
      <c r="E14" s="44">
        <f t="shared" si="2"/>
        <v>123.3714286</v>
      </c>
      <c r="F14" s="43">
        <f>'Synthèse Vente Nuitée'!G83</f>
        <v>12</v>
      </c>
      <c r="G14" s="43">
        <f t="shared" si="3"/>
        <v>22.85714286</v>
      </c>
      <c r="H14" s="43">
        <f>'Synthèse Vente Nuitée'!H83</f>
        <v>8</v>
      </c>
      <c r="I14" s="43">
        <f t="shared" si="4"/>
        <v>10.85714286</v>
      </c>
    </row>
    <row r="15">
      <c r="A15" s="42">
        <f>'Synthèse Vente Nuitée'!A84</f>
        <v>46236</v>
      </c>
      <c r="B15" s="43">
        <f>'Synthèse Vente Nuitée'!D84</f>
        <v>9</v>
      </c>
      <c r="C15" s="43">
        <f t="shared" si="1"/>
        <v>12.14285714</v>
      </c>
      <c r="D15" s="44">
        <f>'Synthèse Vente Nuitée'!E84</f>
        <v>119.8</v>
      </c>
      <c r="E15" s="44">
        <f t="shared" si="2"/>
        <v>120.2428571</v>
      </c>
      <c r="F15" s="43">
        <f>'Synthèse Vente Nuitée'!G84</f>
        <v>16</v>
      </c>
      <c r="G15" s="43">
        <f t="shared" si="3"/>
        <v>22.28571429</v>
      </c>
      <c r="H15" s="43">
        <f>'Synthèse Vente Nuitée'!H84</f>
        <v>7</v>
      </c>
      <c r="I15" s="43">
        <f t="shared" si="4"/>
        <v>10.14285714</v>
      </c>
    </row>
    <row r="16">
      <c r="A16" s="42">
        <f>'Synthèse Vente Nuitée'!A85</f>
        <v>46235</v>
      </c>
      <c r="B16" s="43">
        <f>'Synthèse Vente Nuitée'!D85</f>
        <v>2</v>
      </c>
      <c r="C16" s="43">
        <f t="shared" si="1"/>
        <v>13.71428571</v>
      </c>
      <c r="D16" s="44">
        <f>'Synthèse Vente Nuitée'!E85</f>
        <v>92.6</v>
      </c>
      <c r="E16" s="44">
        <f t="shared" si="2"/>
        <v>119</v>
      </c>
      <c r="F16" s="43">
        <f>'Synthèse Vente Nuitée'!G85</f>
        <v>2</v>
      </c>
      <c r="G16" s="43">
        <f t="shared" si="3"/>
        <v>22.85714286</v>
      </c>
      <c r="H16" s="43">
        <f>'Synthèse Vente Nuitée'!H85</f>
        <v>0</v>
      </c>
      <c r="I16" s="43">
        <f t="shared" si="4"/>
        <v>9.142857143</v>
      </c>
    </row>
    <row r="17">
      <c r="A17" s="42">
        <f>'Synthèse Vente Nuitée'!A86</f>
        <v>46234</v>
      </c>
      <c r="B17" s="43">
        <f>'Synthèse Vente Nuitée'!D86</f>
        <v>11</v>
      </c>
      <c r="C17" s="43">
        <f t="shared" si="1"/>
        <v>15.28571429</v>
      </c>
      <c r="D17" s="44">
        <f>'Synthèse Vente Nuitée'!E86</f>
        <v>111.7</v>
      </c>
      <c r="E17" s="44">
        <f t="shared" si="2"/>
        <v>127.4285714</v>
      </c>
      <c r="F17" s="43">
        <f>'Synthèse Vente Nuitée'!G86</f>
        <v>11</v>
      </c>
      <c r="G17" s="43">
        <f t="shared" si="3"/>
        <v>25.57142857</v>
      </c>
      <c r="H17" s="43">
        <f>'Synthèse Vente Nuitée'!H86</f>
        <v>0</v>
      </c>
      <c r="I17" s="43">
        <f t="shared" si="4"/>
        <v>10.28571429</v>
      </c>
    </row>
    <row r="18">
      <c r="A18" s="42">
        <f>'Synthèse Vente Nuitée'!A87</f>
        <v>46233</v>
      </c>
      <c r="B18" s="43">
        <f>'Synthèse Vente Nuitée'!D87</f>
        <v>1</v>
      </c>
      <c r="C18" s="43">
        <f t="shared" si="1"/>
        <v>15.71428571</v>
      </c>
      <c r="D18" s="44">
        <f>'Synthèse Vente Nuitée'!E87</f>
        <v>105.4</v>
      </c>
      <c r="E18" s="44">
        <f t="shared" si="2"/>
        <v>134.1</v>
      </c>
      <c r="F18" s="43">
        <f>'Synthèse Vente Nuitée'!G87</f>
        <v>7</v>
      </c>
      <c r="G18" s="43">
        <f t="shared" si="3"/>
        <v>26</v>
      </c>
      <c r="H18" s="43">
        <f>'Synthèse Vente Nuitée'!H87</f>
        <v>6</v>
      </c>
      <c r="I18" s="43">
        <f t="shared" si="4"/>
        <v>10.28571429</v>
      </c>
    </row>
    <row r="19">
      <c r="A19" s="42">
        <f>'Synthèse Vente Nuitée'!A88</f>
        <v>46232</v>
      </c>
      <c r="B19" s="43">
        <f>'Synthèse Vente Nuitée'!D88</f>
        <v>26</v>
      </c>
      <c r="C19" s="43">
        <f t="shared" si="1"/>
        <v>17.57142857</v>
      </c>
      <c r="D19" s="44">
        <f>'Synthèse Vente Nuitée'!E88</f>
        <v>190.7</v>
      </c>
      <c r="E19" s="44">
        <f t="shared" si="2"/>
        <v>140.7571429</v>
      </c>
      <c r="F19" s="43">
        <f>'Synthèse Vente Nuitée'!G88</f>
        <v>45</v>
      </c>
      <c r="G19" s="43">
        <f t="shared" si="3"/>
        <v>27</v>
      </c>
      <c r="H19" s="43">
        <f>'Synthèse Vente Nuitée'!H88</f>
        <v>19</v>
      </c>
      <c r="I19" s="43">
        <f t="shared" si="4"/>
        <v>9.428571429</v>
      </c>
    </row>
    <row r="20">
      <c r="A20" s="42">
        <f>'Synthèse Vente Nuitée'!A89</f>
        <v>46231</v>
      </c>
      <c r="B20" s="43">
        <f>'Synthèse Vente Nuitée'!D89</f>
        <v>31</v>
      </c>
      <c r="C20" s="43">
        <f t="shared" si="1"/>
        <v>14.57142857</v>
      </c>
      <c r="D20" s="44">
        <f>'Synthèse Vente Nuitée'!E89</f>
        <v>102.4</v>
      </c>
      <c r="E20" s="44">
        <f t="shared" si="2"/>
        <v>126.7571429</v>
      </c>
      <c r="F20" s="43">
        <f>'Synthèse Vente Nuitée'!G89</f>
        <v>67</v>
      </c>
      <c r="G20" s="43">
        <f t="shared" si="3"/>
        <v>21.28571429</v>
      </c>
      <c r="H20" s="43">
        <f>'Synthèse Vente Nuitée'!H89</f>
        <v>36</v>
      </c>
      <c r="I20" s="43">
        <f t="shared" si="4"/>
        <v>6.714285714</v>
      </c>
    </row>
    <row r="21">
      <c r="A21" s="42">
        <f>'Synthèse Vente Nuitée'!A90</f>
        <v>46230</v>
      </c>
      <c r="B21" s="43">
        <f>'Synthèse Vente Nuitée'!D90</f>
        <v>5</v>
      </c>
      <c r="C21" s="43">
        <f t="shared" si="1"/>
        <v>10</v>
      </c>
      <c r="D21" s="44">
        <f>'Synthèse Vente Nuitée'!E90</f>
        <v>119.1</v>
      </c>
      <c r="E21" s="44">
        <f t="shared" si="2"/>
        <v>126.8285714</v>
      </c>
      <c r="F21" s="43">
        <f>'Synthèse Vente Nuitée'!G90</f>
        <v>8</v>
      </c>
      <c r="G21" s="43">
        <f t="shared" si="3"/>
        <v>13.28571429</v>
      </c>
      <c r="H21" s="43">
        <f>'Synthèse Vente Nuitée'!H90</f>
        <v>3</v>
      </c>
      <c r="I21" s="43">
        <f t="shared" si="4"/>
        <v>3.285714286</v>
      </c>
    </row>
    <row r="22">
      <c r="A22" s="42">
        <f>'Synthèse Vente Nuitée'!A91</f>
        <v>46229</v>
      </c>
      <c r="B22" s="43">
        <f>'Synthèse Vente Nuitée'!D91</f>
        <v>20</v>
      </c>
      <c r="C22" s="43">
        <f t="shared" si="1"/>
        <v>8.142857143</v>
      </c>
      <c r="D22" s="44">
        <f>'Synthèse Vente Nuitée'!E91</f>
        <v>111.1</v>
      </c>
      <c r="E22" s="44">
        <f t="shared" si="2"/>
        <v>127.2142857</v>
      </c>
      <c r="F22" s="43">
        <f>'Synthèse Vente Nuitée'!G91</f>
        <v>20</v>
      </c>
      <c r="G22" s="43">
        <f t="shared" si="3"/>
        <v>14.42857143</v>
      </c>
      <c r="H22" s="43">
        <f>'Synthèse Vente Nuitée'!H91</f>
        <v>0</v>
      </c>
      <c r="I22" s="43">
        <f t="shared" si="4"/>
        <v>6.285714286</v>
      </c>
    </row>
    <row r="23">
      <c r="A23" s="42">
        <f>'Synthèse Vente Nuitée'!A92</f>
        <v>46228</v>
      </c>
      <c r="B23" s="43">
        <f>'Synthèse Vente Nuitée'!D92</f>
        <v>13</v>
      </c>
      <c r="C23" s="43">
        <f t="shared" si="1"/>
        <v>6.714285714</v>
      </c>
      <c r="D23" s="44">
        <f>'Synthèse Vente Nuitée'!E92</f>
        <v>151.6</v>
      </c>
      <c r="E23" s="44">
        <f t="shared" si="2"/>
        <v>126.3142857</v>
      </c>
      <c r="F23" s="43">
        <f>'Synthèse Vente Nuitée'!G92</f>
        <v>21</v>
      </c>
      <c r="G23" s="43">
        <f t="shared" si="3"/>
        <v>13</v>
      </c>
      <c r="H23" s="43">
        <f>'Synthèse Vente Nuitée'!H92</f>
        <v>8</v>
      </c>
      <c r="I23" s="43">
        <f t="shared" si="4"/>
        <v>6.285714286</v>
      </c>
    </row>
    <row r="24">
      <c r="A24" s="42">
        <f>'Synthèse Vente Nuitée'!A93</f>
        <v>46227</v>
      </c>
      <c r="B24" s="43">
        <f>'Synthèse Vente Nuitée'!D93</f>
        <v>14</v>
      </c>
      <c r="C24" s="43">
        <f t="shared" si="1"/>
        <v>6.714285714</v>
      </c>
      <c r="D24" s="44">
        <f>'Synthèse Vente Nuitée'!E93</f>
        <v>158.4</v>
      </c>
      <c r="E24" s="44">
        <f t="shared" si="2"/>
        <v>126.5857143</v>
      </c>
      <c r="F24" s="43">
        <f>'Synthèse Vente Nuitée'!G93</f>
        <v>14</v>
      </c>
      <c r="G24" s="43">
        <f t="shared" si="3"/>
        <v>12.28571429</v>
      </c>
      <c r="H24" s="43">
        <f>'Synthèse Vente Nuitée'!H93</f>
        <v>0</v>
      </c>
      <c r="I24" s="43">
        <f t="shared" si="4"/>
        <v>5.571428571</v>
      </c>
    </row>
    <row r="25">
      <c r="A25" s="42">
        <f>'Synthèse Vente Nuitée'!A94</f>
        <v>46226</v>
      </c>
      <c r="B25" s="43">
        <f>'Synthèse Vente Nuitée'!D94</f>
        <v>14</v>
      </c>
      <c r="C25" s="43">
        <f t="shared" si="1"/>
        <v>6.285714286</v>
      </c>
      <c r="D25" s="44">
        <f>'Synthèse Vente Nuitée'!E94</f>
        <v>152</v>
      </c>
      <c r="E25" s="44">
        <f t="shared" si="2"/>
        <v>115.4</v>
      </c>
      <c r="F25" s="43">
        <f>'Synthèse Vente Nuitée'!G94</f>
        <v>14</v>
      </c>
      <c r="G25" s="43">
        <f t="shared" si="3"/>
        <v>11.85714286</v>
      </c>
      <c r="H25" s="43">
        <f>'Synthèse Vente Nuitée'!H94</f>
        <v>0</v>
      </c>
      <c r="I25" s="43">
        <f t="shared" si="4"/>
        <v>5.571428571</v>
      </c>
    </row>
    <row r="26">
      <c r="A26" s="42">
        <f>'Synthèse Vente Nuitée'!A95</f>
        <v>46225</v>
      </c>
      <c r="B26" s="43">
        <f>'Synthèse Vente Nuitée'!D95</f>
        <v>5</v>
      </c>
      <c r="C26" s="43">
        <f t="shared" si="1"/>
        <v>5.285714286</v>
      </c>
      <c r="D26" s="44">
        <f>'Synthèse Vente Nuitée'!E95</f>
        <v>92.7</v>
      </c>
      <c r="E26" s="44">
        <f t="shared" si="2"/>
        <v>99.44285714</v>
      </c>
      <c r="F26" s="43">
        <f>'Synthèse Vente Nuitée'!G95</f>
        <v>5</v>
      </c>
      <c r="G26" s="43">
        <f t="shared" si="3"/>
        <v>11.14285714</v>
      </c>
      <c r="H26" s="43">
        <f>'Synthèse Vente Nuitée'!H95</f>
        <v>0</v>
      </c>
      <c r="I26" s="43">
        <f t="shared" si="4"/>
        <v>5.857142857</v>
      </c>
    </row>
    <row r="27">
      <c r="A27" s="42">
        <f>'Synthèse Vente Nuitée'!A96</f>
        <v>46224</v>
      </c>
      <c r="B27" s="43">
        <f>'Synthèse Vente Nuitée'!D96</f>
        <v>-1</v>
      </c>
      <c r="C27" s="43">
        <f t="shared" si="1"/>
        <v>6.428571429</v>
      </c>
      <c r="D27" s="44">
        <f>'Synthèse Vente Nuitée'!E96</f>
        <v>102.9</v>
      </c>
      <c r="E27" s="44">
        <f t="shared" si="2"/>
        <v>110.2571429</v>
      </c>
      <c r="F27" s="43">
        <f>'Synthèse Vente Nuitée'!G96</f>
        <v>11</v>
      </c>
      <c r="G27" s="43">
        <f t="shared" si="3"/>
        <v>13.57142857</v>
      </c>
      <c r="H27" s="43">
        <f>'Synthèse Vente Nuitée'!H96</f>
        <v>12</v>
      </c>
      <c r="I27" s="43">
        <f t="shared" si="4"/>
        <v>7.142857143</v>
      </c>
    </row>
    <row r="28">
      <c r="A28" s="42">
        <f>'Synthèse Vente Nuitée'!A97</f>
        <v>46223</v>
      </c>
      <c r="B28" s="43">
        <f>'Synthèse Vente Nuitée'!D97</f>
        <v>-8</v>
      </c>
      <c r="C28" s="43">
        <f t="shared" si="1"/>
        <v>8.142857143</v>
      </c>
      <c r="D28" s="44">
        <f>'Synthèse Vente Nuitée'!E97</f>
        <v>121.8</v>
      </c>
      <c r="E28" s="44">
        <f t="shared" si="2"/>
        <v>113.9142857</v>
      </c>
      <c r="F28" s="43">
        <f>'Synthèse Vente Nuitée'!G97</f>
        <v>16</v>
      </c>
      <c r="G28" s="43">
        <f t="shared" si="3"/>
        <v>13.57142857</v>
      </c>
      <c r="H28" s="43">
        <f>'Synthèse Vente Nuitée'!H97</f>
        <v>24</v>
      </c>
      <c r="I28" s="43">
        <f t="shared" si="4"/>
        <v>5.428571429</v>
      </c>
    </row>
    <row r="29">
      <c r="A29" s="42">
        <f>'Synthèse Vente Nuitée'!A98</f>
        <v>46222</v>
      </c>
      <c r="B29" s="43">
        <f>'Synthèse Vente Nuitée'!D98</f>
        <v>10</v>
      </c>
      <c r="C29" s="43">
        <f t="shared" si="1"/>
        <v>12.28571429</v>
      </c>
      <c r="D29" s="44">
        <f>'Synthèse Vente Nuitée'!E98</f>
        <v>104.8</v>
      </c>
      <c r="E29" s="44">
        <f t="shared" si="2"/>
        <v>126.7285714</v>
      </c>
      <c r="F29" s="43">
        <f>'Synthèse Vente Nuitée'!G98</f>
        <v>10</v>
      </c>
      <c r="G29" s="43">
        <f t="shared" si="3"/>
        <v>14.71428571</v>
      </c>
      <c r="H29" s="43">
        <f>'Synthèse Vente Nuitée'!H98</f>
        <v>0</v>
      </c>
      <c r="I29" s="43">
        <f t="shared" si="4"/>
        <v>2.428571429</v>
      </c>
    </row>
    <row r="30">
      <c r="A30" s="42">
        <f>'Synthèse Vente Nuitée'!A99</f>
        <v>46221</v>
      </c>
      <c r="B30" s="43">
        <f>'Synthèse Vente Nuitée'!D99</f>
        <v>13</v>
      </c>
      <c r="C30" s="43">
        <f t="shared" si="1"/>
        <v>14.28571429</v>
      </c>
      <c r="D30" s="44">
        <f>'Synthèse Vente Nuitée'!E99</f>
        <v>153.5</v>
      </c>
      <c r="E30" s="44">
        <f t="shared" si="2"/>
        <v>123.5714286</v>
      </c>
      <c r="F30" s="43">
        <f>'Synthèse Vente Nuitée'!G99</f>
        <v>16</v>
      </c>
      <c r="G30" s="43">
        <f t="shared" si="3"/>
        <v>17.14285714</v>
      </c>
      <c r="H30" s="43">
        <f>'Synthèse Vente Nuitée'!H99</f>
        <v>3</v>
      </c>
      <c r="I30" s="43">
        <f t="shared" si="4"/>
        <v>2.857142857</v>
      </c>
    </row>
    <row r="31">
      <c r="A31" s="42">
        <f>'Synthèse Vente Nuitée'!A100</f>
        <v>46220</v>
      </c>
      <c r="B31" s="43">
        <f>'Synthèse Vente Nuitée'!D100</f>
        <v>11</v>
      </c>
      <c r="C31" s="43">
        <f t="shared" si="1"/>
        <v>14.57142857</v>
      </c>
      <c r="D31" s="44">
        <f>'Synthèse Vente Nuitée'!E100</f>
        <v>80.1</v>
      </c>
      <c r="E31" s="44">
        <f t="shared" si="2"/>
        <v>115.6428571</v>
      </c>
      <c r="F31" s="43">
        <f>'Synthèse Vente Nuitée'!G100</f>
        <v>11</v>
      </c>
      <c r="G31" s="43">
        <f t="shared" si="3"/>
        <v>17</v>
      </c>
      <c r="H31" s="43">
        <f>'Synthèse Vente Nuitée'!H100</f>
        <v>0</v>
      </c>
      <c r="I31" s="43">
        <f t="shared" si="4"/>
        <v>2.428571429</v>
      </c>
    </row>
    <row r="32">
      <c r="A32" s="42">
        <f>'Synthèse Vente Nuitée'!A101</f>
        <v>46219</v>
      </c>
      <c r="B32" s="43">
        <f>'Synthèse Vente Nuitée'!D101</f>
        <v>7</v>
      </c>
      <c r="C32" s="43">
        <f t="shared" si="1"/>
        <v>15.14285714</v>
      </c>
      <c r="D32" s="44">
        <f>'Synthèse Vente Nuitée'!E101</f>
        <v>40.3</v>
      </c>
      <c r="E32" s="44">
        <f t="shared" si="2"/>
        <v>120.9714286</v>
      </c>
      <c r="F32" s="43">
        <f>'Synthèse Vente Nuitée'!G101</f>
        <v>9</v>
      </c>
      <c r="G32" s="43">
        <f t="shared" si="3"/>
        <v>18.42857143</v>
      </c>
      <c r="H32" s="43">
        <f>'Synthèse Vente Nuitée'!H101</f>
        <v>2</v>
      </c>
      <c r="I32" s="43">
        <f t="shared" si="4"/>
        <v>3.285714286</v>
      </c>
    </row>
    <row r="33">
      <c r="A33" s="42">
        <f>'Synthèse Vente Nuitée'!A102</f>
        <v>46218</v>
      </c>
      <c r="B33" s="43">
        <f>'Synthèse Vente Nuitée'!D102</f>
        <v>13</v>
      </c>
      <c r="C33" s="43">
        <f t="shared" si="1"/>
        <v>15.28571429</v>
      </c>
      <c r="D33" s="44">
        <f>'Synthèse Vente Nuitée'!E102</f>
        <v>168.4</v>
      </c>
      <c r="E33" s="44">
        <f t="shared" si="2"/>
        <v>145.3285714</v>
      </c>
      <c r="F33" s="43">
        <f>'Synthèse Vente Nuitée'!G102</f>
        <v>22</v>
      </c>
      <c r="G33" s="43">
        <f t="shared" si="3"/>
        <v>18.28571429</v>
      </c>
      <c r="H33" s="43">
        <f>'Synthèse Vente Nuitée'!H102</f>
        <v>9</v>
      </c>
      <c r="I33" s="43">
        <f t="shared" si="4"/>
        <v>3</v>
      </c>
    </row>
    <row r="34">
      <c r="A34" s="42">
        <f>'Synthèse Vente Nuitée'!A103</f>
        <v>46217</v>
      </c>
      <c r="B34" s="43">
        <f>'Synthèse Vente Nuitée'!D103</f>
        <v>11</v>
      </c>
      <c r="C34" s="43">
        <f t="shared" si="1"/>
        <v>17</v>
      </c>
      <c r="D34" s="44">
        <f>'Synthèse Vente Nuitée'!E103</f>
        <v>128.5</v>
      </c>
      <c r="E34" s="44">
        <f t="shared" si="2"/>
        <v>149.2857143</v>
      </c>
      <c r="F34" s="43">
        <f>'Synthèse Vente Nuitée'!G103</f>
        <v>11</v>
      </c>
      <c r="G34" s="43">
        <f t="shared" si="3"/>
        <v>18.71428571</v>
      </c>
      <c r="H34" s="43">
        <f>'Synthèse Vente Nuitée'!H103</f>
        <v>0</v>
      </c>
      <c r="I34" s="43">
        <f t="shared" si="4"/>
        <v>1.714285714</v>
      </c>
    </row>
    <row r="35">
      <c r="A35" s="42">
        <f>'Synthèse Vente Nuitée'!A104</f>
        <v>46216</v>
      </c>
      <c r="B35" s="43">
        <f>'Synthèse Vente Nuitée'!D104</f>
        <v>21</v>
      </c>
      <c r="C35" s="43">
        <f t="shared" si="1"/>
        <v>16.14285714</v>
      </c>
      <c r="D35" s="44">
        <f>'Synthèse Vente Nuitée'!E104</f>
        <v>211.5</v>
      </c>
      <c r="E35" s="44">
        <f t="shared" si="2"/>
        <v>153.5</v>
      </c>
      <c r="F35" s="43">
        <f>'Synthèse Vente Nuitée'!G104</f>
        <v>24</v>
      </c>
      <c r="G35" s="43">
        <f t="shared" si="3"/>
        <v>17.85714286</v>
      </c>
      <c r="H35" s="43">
        <f>'Synthèse Vente Nuitée'!H104</f>
        <v>3</v>
      </c>
      <c r="I35" s="43">
        <f t="shared" si="4"/>
        <v>1.714285714</v>
      </c>
    </row>
    <row r="36">
      <c r="A36" s="42">
        <f>'Synthèse Vente Nuitée'!A105</f>
        <v>46215</v>
      </c>
      <c r="B36" s="43">
        <f>'Synthèse Vente Nuitée'!D105</f>
        <v>24</v>
      </c>
      <c r="C36" s="43">
        <f t="shared" si="1"/>
        <v>11</v>
      </c>
      <c r="D36" s="44">
        <f>'Synthèse Vente Nuitée'!E105</f>
        <v>82.7</v>
      </c>
      <c r="E36" s="44">
        <f t="shared" si="2"/>
        <v>132.9571429</v>
      </c>
      <c r="F36" s="43">
        <f>'Synthèse Vente Nuitée'!G105</f>
        <v>27</v>
      </c>
      <c r="G36" s="43">
        <f t="shared" si="3"/>
        <v>16</v>
      </c>
      <c r="H36" s="43">
        <f>'Synthèse Vente Nuitée'!H105</f>
        <v>3</v>
      </c>
      <c r="I36" s="43">
        <f t="shared" si="4"/>
        <v>5</v>
      </c>
    </row>
    <row r="37">
      <c r="A37" s="42">
        <f>'Synthèse Vente Nuitée'!A106</f>
        <v>46214</v>
      </c>
      <c r="B37" s="43">
        <f>'Synthèse Vente Nuitée'!D106</f>
        <v>15</v>
      </c>
      <c r="C37" s="43">
        <f t="shared" si="1"/>
        <v>8.428571429</v>
      </c>
      <c r="D37" s="44">
        <f>'Synthèse Vente Nuitée'!E106</f>
        <v>98</v>
      </c>
      <c r="E37" s="44">
        <f t="shared" si="2"/>
        <v>155.2142857</v>
      </c>
      <c r="F37" s="43">
        <f>'Synthèse Vente Nuitée'!G106</f>
        <v>15</v>
      </c>
      <c r="G37" s="43">
        <f t="shared" si="3"/>
        <v>13.14285714</v>
      </c>
      <c r="H37" s="43">
        <f>'Synthèse Vente Nuitée'!H106</f>
        <v>0</v>
      </c>
      <c r="I37" s="43">
        <f t="shared" si="4"/>
        <v>4.714285714</v>
      </c>
    </row>
    <row r="38">
      <c r="A38" s="42">
        <f>'Synthèse Vente Nuitée'!A107</f>
        <v>46213</v>
      </c>
      <c r="B38" s="43">
        <f>'Synthèse Vente Nuitée'!D107</f>
        <v>15</v>
      </c>
      <c r="C38" s="43">
        <f t="shared" si="1"/>
        <v>6.714285714</v>
      </c>
      <c r="D38" s="44">
        <f>'Synthèse Vente Nuitée'!E107</f>
        <v>117.4</v>
      </c>
      <c r="E38" s="44">
        <f t="shared" si="2"/>
        <v>171.3571429</v>
      </c>
      <c r="F38" s="43">
        <f>'Synthèse Vente Nuitée'!G107</f>
        <v>21</v>
      </c>
      <c r="G38" s="43">
        <f t="shared" si="3"/>
        <v>11.42857143</v>
      </c>
      <c r="H38" s="43">
        <f>'Synthèse Vente Nuitée'!H107</f>
        <v>6</v>
      </c>
      <c r="I38" s="43">
        <f t="shared" si="4"/>
        <v>4.714285714</v>
      </c>
    </row>
    <row r="39">
      <c r="A39" s="42">
        <f>'Synthèse Vente Nuitée'!A108</f>
        <v>46212</v>
      </c>
      <c r="B39" s="43">
        <f>'Synthèse Vente Nuitée'!D108</f>
        <v>8</v>
      </c>
      <c r="C39" s="43">
        <f t="shared" si="1"/>
        <v>5.285714286</v>
      </c>
      <c r="D39" s="44">
        <f>'Synthèse Vente Nuitée'!E108</f>
        <v>210.8</v>
      </c>
      <c r="E39" s="44">
        <f t="shared" si="2"/>
        <v>172.3</v>
      </c>
      <c r="F39" s="43">
        <f>'Synthèse Vente Nuitée'!G108</f>
        <v>8</v>
      </c>
      <c r="G39" s="43">
        <f t="shared" si="3"/>
        <v>9.142857143</v>
      </c>
      <c r="H39" s="43">
        <f>'Synthèse Vente Nuitée'!H108</f>
        <v>0</v>
      </c>
      <c r="I39" s="43">
        <f t="shared" si="4"/>
        <v>3.857142857</v>
      </c>
    </row>
    <row r="40">
      <c r="A40" s="42">
        <f>'Synthèse Vente Nuitée'!A109</f>
        <v>46211</v>
      </c>
      <c r="B40" s="43">
        <f>'Synthèse Vente Nuitée'!D109</f>
        <v>25</v>
      </c>
      <c r="C40" s="43">
        <f t="shared" si="1"/>
        <v>5.714285714</v>
      </c>
      <c r="D40" s="44">
        <f>'Synthèse Vente Nuitée'!E109</f>
        <v>196.1</v>
      </c>
      <c r="E40" s="44">
        <f t="shared" si="2"/>
        <v>161.4714286</v>
      </c>
      <c r="F40" s="43">
        <f>'Synthèse Vente Nuitée'!G109</f>
        <v>25</v>
      </c>
      <c r="G40" s="43">
        <f t="shared" si="3"/>
        <v>9.571428571</v>
      </c>
      <c r="H40" s="43">
        <f>'Synthèse Vente Nuitée'!H109</f>
        <v>0</v>
      </c>
      <c r="I40" s="43">
        <f t="shared" si="4"/>
        <v>3.857142857</v>
      </c>
    </row>
    <row r="41">
      <c r="A41" s="42">
        <f>'Synthèse Vente Nuitée'!A110</f>
        <v>46210</v>
      </c>
      <c r="B41" s="43">
        <f>'Synthèse Vente Nuitée'!D110</f>
        <v>5</v>
      </c>
      <c r="C41" s="43">
        <f t="shared" si="1"/>
        <v>3.857142857</v>
      </c>
      <c r="D41" s="44">
        <f>'Synthèse Vente Nuitée'!E110</f>
        <v>158</v>
      </c>
      <c r="E41" s="44">
        <f t="shared" si="2"/>
        <v>150.4285714</v>
      </c>
      <c r="F41" s="43">
        <f>'Synthèse Vente Nuitée'!G110</f>
        <v>5</v>
      </c>
      <c r="G41" s="43">
        <f t="shared" si="3"/>
        <v>7.714285714</v>
      </c>
      <c r="H41" s="43">
        <f>'Synthèse Vente Nuitée'!H110</f>
        <v>0</v>
      </c>
      <c r="I41" s="43">
        <f t="shared" si="4"/>
        <v>3.857142857</v>
      </c>
    </row>
    <row r="42">
      <c r="A42" s="42">
        <f>'Synthèse Vente Nuitée'!A111</f>
        <v>46209</v>
      </c>
      <c r="B42" s="43">
        <f>'Synthèse Vente Nuitée'!D111</f>
        <v>-15</v>
      </c>
      <c r="C42" s="43">
        <f t="shared" si="1"/>
        <v>3.285714286</v>
      </c>
      <c r="D42" s="44">
        <f>'Synthèse Vente Nuitée'!E111</f>
        <v>67.7</v>
      </c>
      <c r="E42" s="44">
        <f t="shared" si="2"/>
        <v>152.9857143</v>
      </c>
      <c r="F42" s="43">
        <f>'Synthèse Vente Nuitée'!G111</f>
        <v>11</v>
      </c>
      <c r="G42" s="43">
        <f t="shared" si="3"/>
        <v>8</v>
      </c>
      <c r="H42" s="43">
        <f>'Synthèse Vente Nuitée'!H111</f>
        <v>26</v>
      </c>
      <c r="I42" s="43">
        <f t="shared" si="4"/>
        <v>4.714285714</v>
      </c>
    </row>
    <row r="43">
      <c r="A43" s="42">
        <f>'Synthèse Vente Nuitée'!A112</f>
        <v>46208</v>
      </c>
      <c r="B43" s="43">
        <f>'Synthèse Vente Nuitée'!D112</f>
        <v>6</v>
      </c>
      <c r="C43" s="43">
        <f t="shared" si="1"/>
        <v>6.428571429</v>
      </c>
      <c r="D43" s="44">
        <f>'Synthèse Vente Nuitée'!E112</f>
        <v>238.5</v>
      </c>
      <c r="E43" s="44">
        <f t="shared" si="2"/>
        <v>175.0571429</v>
      </c>
      <c r="F43" s="43">
        <f>'Synthèse Vente Nuitée'!G112</f>
        <v>7</v>
      </c>
      <c r="G43" s="43">
        <f t="shared" si="3"/>
        <v>8.857142857</v>
      </c>
      <c r="H43" s="43">
        <f>'Synthèse Vente Nuitée'!H112</f>
        <v>1</v>
      </c>
      <c r="I43" s="43">
        <f t="shared" si="4"/>
        <v>2.428571429</v>
      </c>
    </row>
    <row r="44">
      <c r="A44" s="42">
        <f>'Synthèse Vente Nuitée'!A113</f>
        <v>46207</v>
      </c>
      <c r="B44" s="43">
        <f>'Synthèse Vente Nuitée'!D113</f>
        <v>3</v>
      </c>
      <c r="C44" s="43">
        <f t="shared" si="1"/>
        <v>5.571428571</v>
      </c>
      <c r="D44" s="44">
        <f>'Synthèse Vente Nuitée'!E113</f>
        <v>211</v>
      </c>
      <c r="E44" s="44">
        <f t="shared" si="2"/>
        <v>164.4833333</v>
      </c>
      <c r="F44" s="43">
        <f>'Synthèse Vente Nuitée'!G113</f>
        <v>3</v>
      </c>
      <c r="G44" s="43">
        <f t="shared" si="3"/>
        <v>7.857142857</v>
      </c>
      <c r="H44" s="43">
        <f>'Synthèse Vente Nuitée'!H113</f>
        <v>0</v>
      </c>
      <c r="I44" s="43">
        <f t="shared" si="4"/>
        <v>2.285714286</v>
      </c>
    </row>
    <row r="45">
      <c r="A45" s="42">
        <f>'Synthèse Vente Nuitée'!A114</f>
        <v>46206</v>
      </c>
      <c r="B45" s="43">
        <f>'Synthèse Vente Nuitée'!D114</f>
        <v>5</v>
      </c>
      <c r="C45" s="43">
        <f t="shared" si="1"/>
        <v>5.571428571</v>
      </c>
      <c r="D45" s="44">
        <f>'Synthèse Vente Nuitée'!E114</f>
        <v>124</v>
      </c>
      <c r="E45" s="44">
        <f t="shared" si="2"/>
        <v>151.8833333</v>
      </c>
      <c r="F45" s="43">
        <f>'Synthèse Vente Nuitée'!G114</f>
        <v>5</v>
      </c>
      <c r="G45" s="43">
        <f t="shared" si="3"/>
        <v>8.285714286</v>
      </c>
      <c r="H45" s="43">
        <f>'Synthèse Vente Nuitée'!H114</f>
        <v>0</v>
      </c>
      <c r="I45" s="43">
        <f t="shared" si="4"/>
        <v>2.714285714</v>
      </c>
    </row>
    <row r="46">
      <c r="A46" s="42">
        <f>'Synthèse Vente Nuitée'!A115</f>
        <v>46205</v>
      </c>
      <c r="B46" s="43">
        <f>'Synthèse Vente Nuitée'!D115</f>
        <v>11</v>
      </c>
      <c r="C46" s="43">
        <f t="shared" si="1"/>
        <v>4.857142857</v>
      </c>
      <c r="D46" s="44">
        <f>'Synthèse Vente Nuitée'!E115</f>
        <v>135</v>
      </c>
      <c r="E46" s="44">
        <f t="shared" si="2"/>
        <v>157.46</v>
      </c>
      <c r="F46" s="43">
        <f>'Synthèse Vente Nuitée'!G115</f>
        <v>11</v>
      </c>
      <c r="G46" s="43">
        <f t="shared" si="3"/>
        <v>7.571428571</v>
      </c>
      <c r="H46" s="43">
        <f>'Synthèse Vente Nuitée'!H115</f>
        <v>0</v>
      </c>
      <c r="I46" s="43">
        <f t="shared" si="4"/>
        <v>2.714285714</v>
      </c>
    </row>
    <row r="47">
      <c r="A47" s="42">
        <f>'Synthèse Vente Nuitée'!A116</f>
        <v>46204</v>
      </c>
      <c r="B47" s="43">
        <f>'Synthèse Vente Nuitée'!D116</f>
        <v>12</v>
      </c>
      <c r="C47" s="43">
        <f t="shared" si="1"/>
        <v>6.571428571</v>
      </c>
      <c r="D47" s="44">
        <f>'Synthèse Vente Nuitée'!E116</f>
        <v>118.8</v>
      </c>
      <c r="E47" s="44">
        <f t="shared" si="2"/>
        <v>166.06</v>
      </c>
      <c r="F47" s="43">
        <f>'Synthèse Vente Nuitée'!G116</f>
        <v>12</v>
      </c>
      <c r="G47" s="43">
        <f t="shared" si="3"/>
        <v>9.285714286</v>
      </c>
      <c r="H47" s="43">
        <f>'Synthèse Vente Nuitée'!H116</f>
        <v>0</v>
      </c>
      <c r="I47" s="43">
        <f t="shared" si="4"/>
        <v>2.714285714</v>
      </c>
    </row>
    <row r="48">
      <c r="A48" s="42">
        <f>'Synthèse Vente Nuitée'!A117</f>
        <v>46203</v>
      </c>
      <c r="B48" s="43">
        <f>'Synthèse Vente Nuitée'!D117</f>
        <v>1</v>
      </c>
      <c r="C48" s="43">
        <f t="shared" si="1"/>
        <v>5</v>
      </c>
      <c r="D48" s="44">
        <f>'Synthèse Vente Nuitée'!E117</f>
        <v>175.9</v>
      </c>
      <c r="E48" s="44">
        <f t="shared" si="2"/>
        <v>183.92</v>
      </c>
      <c r="F48" s="43">
        <f>'Synthèse Vente Nuitée'!G117</f>
        <v>7</v>
      </c>
      <c r="G48" s="43">
        <f t="shared" si="3"/>
        <v>7.714285714</v>
      </c>
      <c r="H48" s="43">
        <f>'Synthèse Vente Nuitée'!H117</f>
        <v>6</v>
      </c>
      <c r="I48" s="43">
        <f t="shared" si="4"/>
        <v>2.714285714</v>
      </c>
    </row>
    <row r="49">
      <c r="A49" s="42">
        <f>'Synthèse Vente Nuitée'!A118</f>
        <v>46202</v>
      </c>
      <c r="B49" s="43">
        <f>'Synthèse Vente Nuitée'!D118</f>
        <v>7</v>
      </c>
      <c r="C49" s="43">
        <f t="shared" si="1"/>
        <v>4.285714286</v>
      </c>
      <c r="D49" s="44">
        <f>'Synthèse Vente Nuitée'!E118</f>
        <v>222.2</v>
      </c>
      <c r="E49" s="44">
        <f t="shared" si="2"/>
        <v>170.32</v>
      </c>
      <c r="F49" s="43">
        <f>'Synthèse Vente Nuitée'!G118</f>
        <v>17</v>
      </c>
      <c r="G49" s="43">
        <f t="shared" si="3"/>
        <v>6.857142857</v>
      </c>
      <c r="H49" s="43">
        <f>'Synthèse Vente Nuitée'!H118</f>
        <v>10</v>
      </c>
      <c r="I49" s="43">
        <f t="shared" si="4"/>
        <v>2.571428571</v>
      </c>
    </row>
    <row r="50">
      <c r="A50" s="42">
        <f>'Synthèse Vente Nuitée'!A119</f>
        <v>46201</v>
      </c>
      <c r="B50" s="43">
        <f>'Synthèse Vente Nuitée'!D119</f>
        <v>0</v>
      </c>
      <c r="C50" s="43">
        <f t="shared" si="1"/>
        <v>4.571428571</v>
      </c>
      <c r="D50" s="44" t="str">
        <f>'Synthèse Vente Nuitée'!E119</f>
        <v>-</v>
      </c>
      <c r="E50" s="44">
        <f t="shared" si="2"/>
        <v>157.56</v>
      </c>
      <c r="F50" s="43">
        <f>'Synthèse Vente Nuitée'!G119</f>
        <v>0</v>
      </c>
      <c r="G50" s="43">
        <f t="shared" si="3"/>
        <v>5.714285714</v>
      </c>
      <c r="H50" s="43">
        <f>'Synthèse Vente Nuitée'!H119</f>
        <v>0</v>
      </c>
      <c r="I50" s="43">
        <f t="shared" si="4"/>
        <v>1.142857143</v>
      </c>
    </row>
    <row r="51">
      <c r="A51" s="42">
        <f>'Synthèse Vente Nuitée'!A120</f>
        <v>46200</v>
      </c>
      <c r="B51" s="43">
        <f>'Synthèse Vente Nuitée'!D120</f>
        <v>3</v>
      </c>
      <c r="C51" s="43">
        <f t="shared" si="1"/>
        <v>4.857142857</v>
      </c>
      <c r="D51" s="44">
        <f>'Synthèse Vente Nuitée'!E120</f>
        <v>135.4</v>
      </c>
      <c r="E51" s="44">
        <f t="shared" si="2"/>
        <v>151.35</v>
      </c>
      <c r="F51" s="43">
        <f>'Synthèse Vente Nuitée'!G120</f>
        <v>6</v>
      </c>
      <c r="G51" s="43">
        <f t="shared" si="3"/>
        <v>6.285714286</v>
      </c>
      <c r="H51" s="43">
        <f>'Synthèse Vente Nuitée'!H120</f>
        <v>3</v>
      </c>
      <c r="I51" s="43">
        <f t="shared" si="4"/>
        <v>1.428571429</v>
      </c>
    </row>
    <row r="52">
      <c r="A52" s="42">
        <f>'Synthèse Vente Nuitée'!A121</f>
        <v>46199</v>
      </c>
      <c r="B52" s="43">
        <f>'Synthèse Vente Nuitée'!D121</f>
        <v>0</v>
      </c>
      <c r="C52" s="43">
        <f t="shared" si="1"/>
        <v>4.142857143</v>
      </c>
      <c r="D52" s="44" t="str">
        <f>'Synthèse Vente Nuitée'!E121</f>
        <v>-</v>
      </c>
      <c r="E52" s="44">
        <f t="shared" si="2"/>
        <v>154.1833333</v>
      </c>
      <c r="F52" s="43">
        <f>'Synthèse Vente Nuitée'!G121</f>
        <v>0</v>
      </c>
      <c r="G52" s="43">
        <f t="shared" si="3"/>
        <v>6.428571429</v>
      </c>
      <c r="H52" s="43">
        <f>'Synthèse Vente Nuitée'!H121</f>
        <v>0</v>
      </c>
      <c r="I52" s="43">
        <f t="shared" si="4"/>
        <v>2.285714286</v>
      </c>
    </row>
    <row r="53">
      <c r="A53" s="42">
        <f>'Synthèse Vente Nuitée'!A122</f>
        <v>46198</v>
      </c>
      <c r="B53" s="43">
        <f>'Synthèse Vente Nuitée'!D122</f>
        <v>23</v>
      </c>
      <c r="C53" s="43">
        <f t="shared" si="1"/>
        <v>4.142857143</v>
      </c>
      <c r="D53" s="44">
        <f>'Synthèse Vente Nuitée'!E122</f>
        <v>178</v>
      </c>
      <c r="E53" s="44">
        <f t="shared" si="2"/>
        <v>154.1833333</v>
      </c>
      <c r="F53" s="43">
        <f>'Synthèse Vente Nuitée'!G122</f>
        <v>23</v>
      </c>
      <c r="G53" s="43">
        <f t="shared" si="3"/>
        <v>6.428571429</v>
      </c>
      <c r="H53" s="43">
        <f>'Synthèse Vente Nuitée'!H122</f>
        <v>0</v>
      </c>
      <c r="I53" s="43">
        <f t="shared" si="4"/>
        <v>2.285714286</v>
      </c>
    </row>
    <row r="54">
      <c r="A54" s="42">
        <f>'Synthèse Vente Nuitée'!A123</f>
        <v>46197</v>
      </c>
      <c r="B54" s="43">
        <f>'Synthèse Vente Nuitée'!D123</f>
        <v>1</v>
      </c>
      <c r="C54" s="43">
        <f t="shared" si="1"/>
        <v>1</v>
      </c>
      <c r="D54" s="44">
        <f>'Synthèse Vente Nuitée'!E123</f>
        <v>208.1</v>
      </c>
      <c r="E54" s="44">
        <f t="shared" si="2"/>
        <v>144.3333333</v>
      </c>
      <c r="F54" s="43">
        <f>'Synthèse Vente Nuitée'!G123</f>
        <v>1</v>
      </c>
      <c r="G54" s="43">
        <f t="shared" si="3"/>
        <v>3.714285714</v>
      </c>
      <c r="H54" s="43">
        <f>'Synthèse Vente Nuitée'!H123</f>
        <v>0</v>
      </c>
      <c r="I54" s="43">
        <f t="shared" si="4"/>
        <v>2.714285714</v>
      </c>
    </row>
    <row r="55">
      <c r="A55" s="42">
        <f>'Synthèse Vente Nuitée'!A124</f>
        <v>46196</v>
      </c>
      <c r="B55" s="43">
        <f>'Synthèse Vente Nuitée'!D124</f>
        <v>-4</v>
      </c>
      <c r="C55" s="43">
        <f t="shared" si="1"/>
        <v>2.142857143</v>
      </c>
      <c r="D55" s="44">
        <f>'Synthèse Vente Nuitée'!E124</f>
        <v>107.9</v>
      </c>
      <c r="E55" s="44">
        <f t="shared" si="2"/>
        <v>147.25</v>
      </c>
      <c r="F55" s="43">
        <f>'Synthèse Vente Nuitée'!G124</f>
        <v>1</v>
      </c>
      <c r="G55" s="43">
        <f t="shared" si="3"/>
        <v>4.857142857</v>
      </c>
      <c r="H55" s="43">
        <f>'Synthèse Vente Nuitée'!H124</f>
        <v>5</v>
      </c>
      <c r="I55" s="43">
        <f t="shared" si="4"/>
        <v>2.714285714</v>
      </c>
    </row>
    <row r="56">
      <c r="A56" s="42">
        <f>'Synthèse Vente Nuitée'!A125</f>
        <v>46195</v>
      </c>
      <c r="B56" s="43">
        <f>'Synthèse Vente Nuitée'!D125</f>
        <v>9</v>
      </c>
      <c r="C56" s="43">
        <f t="shared" si="1"/>
        <v>4.857142857</v>
      </c>
      <c r="D56" s="44">
        <f>'Synthèse Vente Nuitée'!E125</f>
        <v>158.4</v>
      </c>
      <c r="E56" s="44">
        <f t="shared" si="2"/>
        <v>155.5833333</v>
      </c>
      <c r="F56" s="43">
        <f>'Synthèse Vente Nuitée'!G125</f>
        <v>9</v>
      </c>
      <c r="G56" s="43">
        <f t="shared" si="3"/>
        <v>6.857142857</v>
      </c>
      <c r="H56" s="43">
        <f>'Synthèse Vente Nuitée'!H125</f>
        <v>0</v>
      </c>
      <c r="I56" s="43">
        <f t="shared" si="4"/>
        <v>2</v>
      </c>
    </row>
    <row r="57">
      <c r="A57" s="42">
        <f>'Synthèse Vente Nuitée'!A126</f>
        <v>46194</v>
      </c>
      <c r="B57" s="43">
        <f>'Synthèse Vente Nuitée'!D126</f>
        <v>2</v>
      </c>
      <c r="C57" s="43">
        <f t="shared" si="1"/>
        <v>3.571428571</v>
      </c>
      <c r="D57" s="44">
        <f>'Synthèse Vente Nuitée'!E126</f>
        <v>120.3</v>
      </c>
      <c r="E57" s="44">
        <f t="shared" si="2"/>
        <v>155.02</v>
      </c>
      <c r="F57" s="43">
        <f>'Synthèse Vente Nuitée'!G126</f>
        <v>4</v>
      </c>
      <c r="G57" s="43">
        <f t="shared" si="3"/>
        <v>5.571428571</v>
      </c>
      <c r="H57" s="43">
        <f>'Synthèse Vente Nuitée'!H126</f>
        <v>2</v>
      </c>
      <c r="I57" s="43">
        <f t="shared" si="4"/>
        <v>2</v>
      </c>
    </row>
    <row r="58">
      <c r="A58" s="42">
        <f>'Synthèse Vente Nuitée'!A127</f>
        <v>46193</v>
      </c>
      <c r="B58" s="43">
        <f>'Synthèse Vente Nuitée'!D127</f>
        <v>-2</v>
      </c>
      <c r="C58" s="43">
        <f t="shared" si="1"/>
        <v>4.285714286</v>
      </c>
      <c r="D58" s="44">
        <f>'Synthèse Vente Nuitée'!E127</f>
        <v>152.4</v>
      </c>
      <c r="E58" s="44">
        <f t="shared" si="2"/>
        <v>166.7</v>
      </c>
      <c r="F58" s="43">
        <f>'Synthèse Vente Nuitée'!G127</f>
        <v>7</v>
      </c>
      <c r="G58" s="43">
        <f t="shared" si="3"/>
        <v>6</v>
      </c>
      <c r="H58" s="43">
        <f>'Synthèse Vente Nuitée'!H127</f>
        <v>9</v>
      </c>
      <c r="I58" s="43">
        <f t="shared" si="4"/>
        <v>1.714285714</v>
      </c>
    </row>
    <row r="59">
      <c r="A59" s="42">
        <f>'Synthèse Vente Nuitée'!A128</f>
        <v>46192</v>
      </c>
      <c r="B59" s="43">
        <f>'Synthèse Vente Nuitée'!D128</f>
        <v>0</v>
      </c>
      <c r="C59" s="43">
        <f t="shared" si="1"/>
        <v>4.571428571</v>
      </c>
      <c r="D59" s="44" t="str">
        <f>'Synthèse Vente Nuitée'!E128</f>
        <v>-</v>
      </c>
      <c r="E59" s="44">
        <f t="shared" si="2"/>
        <v>170.275</v>
      </c>
      <c r="F59" s="43">
        <f>'Synthèse Vente Nuitée'!G128</f>
        <v>0</v>
      </c>
      <c r="G59" s="43">
        <f t="shared" si="3"/>
        <v>5.571428571</v>
      </c>
      <c r="H59" s="43">
        <f>'Synthèse Vente Nuitée'!H128</f>
        <v>0</v>
      </c>
      <c r="I59" s="43">
        <f t="shared" si="4"/>
        <v>1</v>
      </c>
    </row>
    <row r="60">
      <c r="A60" s="42">
        <f>'Synthèse Vente Nuitée'!A129</f>
        <v>46191</v>
      </c>
      <c r="B60" s="43">
        <f>'Synthèse Vente Nuitée'!D129</f>
        <v>1</v>
      </c>
      <c r="C60" s="43">
        <f t="shared" si="1"/>
        <v>5.571428571</v>
      </c>
      <c r="D60" s="44">
        <f>'Synthèse Vente Nuitée'!E129</f>
        <v>118.9</v>
      </c>
      <c r="E60" s="44">
        <f t="shared" si="2"/>
        <v>160.06</v>
      </c>
      <c r="F60" s="43">
        <f>'Synthèse Vente Nuitée'!G129</f>
        <v>4</v>
      </c>
      <c r="G60" s="43">
        <f t="shared" si="3"/>
        <v>6.571428571</v>
      </c>
      <c r="H60" s="43">
        <f>'Synthèse Vente Nuitée'!H129</f>
        <v>3</v>
      </c>
      <c r="I60" s="43">
        <f t="shared" si="4"/>
        <v>1</v>
      </c>
    </row>
    <row r="61">
      <c r="A61" s="42">
        <f>'Synthèse Vente Nuitée'!A130</f>
        <v>46190</v>
      </c>
      <c r="B61" s="43">
        <f>'Synthèse Vente Nuitée'!D130</f>
        <v>9</v>
      </c>
      <c r="C61" s="43">
        <f t="shared" si="1"/>
        <v>6.285714286</v>
      </c>
      <c r="D61" s="44">
        <f>'Synthèse Vente Nuitée'!E130</f>
        <v>225.6</v>
      </c>
      <c r="E61" s="44">
        <f t="shared" si="2"/>
        <v>164.66</v>
      </c>
      <c r="F61" s="43">
        <f>'Synthèse Vente Nuitée'!G130</f>
        <v>9</v>
      </c>
      <c r="G61" s="43">
        <f t="shared" si="3"/>
        <v>7.142857143</v>
      </c>
      <c r="H61" s="43">
        <f>'Synthèse Vente Nuitée'!H130</f>
        <v>0</v>
      </c>
      <c r="I61" s="43">
        <f t="shared" si="4"/>
        <v>0.8571428571</v>
      </c>
    </row>
    <row r="62">
      <c r="A62" s="42">
        <f>'Synthèse Vente Nuitée'!A131</f>
        <v>46189</v>
      </c>
      <c r="B62" s="43">
        <f>'Synthèse Vente Nuitée'!D131</f>
        <v>15</v>
      </c>
      <c r="C62" s="43">
        <f t="shared" si="1"/>
        <v>7.142857143</v>
      </c>
      <c r="D62" s="44">
        <f>'Synthèse Vente Nuitée'!E131</f>
        <v>157.9</v>
      </c>
      <c r="E62" s="44">
        <f t="shared" si="2"/>
        <v>146.9</v>
      </c>
      <c r="F62" s="43">
        <f>'Synthèse Vente Nuitée'!G131</f>
        <v>15</v>
      </c>
      <c r="G62" s="43">
        <f t="shared" si="3"/>
        <v>8.857142857</v>
      </c>
      <c r="H62" s="43">
        <f>'Synthèse Vente Nuitée'!H131</f>
        <v>0</v>
      </c>
      <c r="I62" s="43">
        <f t="shared" si="4"/>
        <v>1.714285714</v>
      </c>
    </row>
    <row r="63">
      <c r="A63" s="42">
        <f>'Synthèse Vente Nuitée'!A132</f>
        <v>46188</v>
      </c>
      <c r="B63" s="43">
        <f>'Synthèse Vente Nuitée'!D132</f>
        <v>0</v>
      </c>
      <c r="C63" s="43">
        <f t="shared" si="1"/>
        <v>6.714285714</v>
      </c>
      <c r="D63" s="44" t="str">
        <f>'Synthèse Vente Nuitée'!E132</f>
        <v>-</v>
      </c>
      <c r="E63" s="44">
        <f t="shared" si="2"/>
        <v>139.24</v>
      </c>
      <c r="F63" s="43">
        <f>'Synthèse Vente Nuitée'!G132</f>
        <v>0</v>
      </c>
      <c r="G63" s="43">
        <f t="shared" si="3"/>
        <v>9.142857143</v>
      </c>
      <c r="H63" s="43">
        <f>'Synthèse Vente Nuitée'!H132</f>
        <v>0</v>
      </c>
      <c r="I63" s="43">
        <f t="shared" si="4"/>
        <v>2.428571429</v>
      </c>
    </row>
    <row r="64">
      <c r="A64" s="42">
        <f>'Synthèse Vente Nuitée'!A133</f>
        <v>46187</v>
      </c>
      <c r="B64" s="43">
        <f>'Synthèse Vente Nuitée'!D133</f>
        <v>7</v>
      </c>
      <c r="C64" s="43">
        <f t="shared" si="1"/>
        <v>6.285714286</v>
      </c>
      <c r="D64" s="44">
        <f>'Synthèse Vente Nuitée'!E133</f>
        <v>178.7</v>
      </c>
      <c r="E64" s="44">
        <f t="shared" si="2"/>
        <v>139.85</v>
      </c>
      <c r="F64" s="43">
        <f>'Synthèse Vente Nuitée'!G133</f>
        <v>7</v>
      </c>
      <c r="G64" s="43">
        <f t="shared" si="3"/>
        <v>9.714285714</v>
      </c>
      <c r="H64" s="43">
        <f>'Synthèse Vente Nuitée'!H133</f>
        <v>0</v>
      </c>
      <c r="I64" s="43">
        <f t="shared" si="4"/>
        <v>3.428571429</v>
      </c>
    </row>
    <row r="65">
      <c r="A65" s="42">
        <f>'Synthèse Vente Nuitée'!A134</f>
        <v>46186</v>
      </c>
      <c r="B65" s="43">
        <f>'Synthèse Vente Nuitée'!D134</f>
        <v>0</v>
      </c>
      <c r="C65" s="43">
        <f t="shared" si="1"/>
        <v>6.428571429</v>
      </c>
      <c r="D65" s="44" t="str">
        <f>'Synthèse Vente Nuitée'!E134</f>
        <v>-</v>
      </c>
      <c r="E65" s="44">
        <f t="shared" si="2"/>
        <v>156.3166667</v>
      </c>
      <c r="F65" s="43">
        <f>'Synthèse Vente Nuitée'!G134</f>
        <v>4</v>
      </c>
      <c r="G65" s="43">
        <f t="shared" si="3"/>
        <v>10.28571429</v>
      </c>
      <c r="H65" s="43">
        <f>'Synthèse Vente Nuitée'!H134</f>
        <v>4</v>
      </c>
      <c r="I65" s="43">
        <f t="shared" si="4"/>
        <v>3.857142857</v>
      </c>
    </row>
    <row r="66">
      <c r="A66" s="42">
        <f>'Synthèse Vente Nuitée'!A135</f>
        <v>46185</v>
      </c>
      <c r="B66" s="43">
        <f>'Synthèse Vente Nuitée'!D135</f>
        <v>7</v>
      </c>
      <c r="C66" s="43">
        <f t="shared" si="1"/>
        <v>7.857142857</v>
      </c>
      <c r="D66" s="44">
        <f>'Synthèse Vente Nuitée'!E135</f>
        <v>119.2</v>
      </c>
      <c r="E66" s="44">
        <f t="shared" si="2"/>
        <v>153.3142857</v>
      </c>
      <c r="F66" s="43">
        <f>'Synthèse Vente Nuitée'!G135</f>
        <v>7</v>
      </c>
      <c r="G66" s="43">
        <f t="shared" si="3"/>
        <v>11.14285714</v>
      </c>
      <c r="H66" s="43">
        <f>'Synthèse Vente Nuitée'!H135</f>
        <v>0</v>
      </c>
      <c r="I66" s="43">
        <f t="shared" si="4"/>
        <v>4.285714286</v>
      </c>
    </row>
    <row r="67">
      <c r="A67" s="42">
        <f>'Synthèse Vente Nuitée'!A136</f>
        <v>46184</v>
      </c>
      <c r="B67" s="43">
        <f>'Synthèse Vente Nuitée'!D136</f>
        <v>6</v>
      </c>
      <c r="C67" s="43">
        <f t="shared" si="1"/>
        <v>7.857142857</v>
      </c>
      <c r="D67" s="44">
        <f>'Synthèse Vente Nuitée'!E136</f>
        <v>141.9</v>
      </c>
      <c r="E67" s="44">
        <f t="shared" si="2"/>
        <v>153.6142857</v>
      </c>
      <c r="F67" s="43">
        <f>'Synthèse Vente Nuitée'!G136</f>
        <v>8</v>
      </c>
      <c r="G67" s="43">
        <f t="shared" si="3"/>
        <v>11.14285714</v>
      </c>
      <c r="H67" s="43">
        <f>'Synthèse Vente Nuitée'!H136</f>
        <v>2</v>
      </c>
      <c r="I67" s="43">
        <f t="shared" si="4"/>
        <v>4.285714286</v>
      </c>
    </row>
    <row r="68">
      <c r="A68" s="42">
        <f>'Synthèse Vente Nuitée'!A137</f>
        <v>46183</v>
      </c>
      <c r="B68" s="43">
        <f>'Synthèse Vente Nuitée'!D137</f>
        <v>15</v>
      </c>
      <c r="C68" s="43">
        <f t="shared" si="1"/>
        <v>8.428571429</v>
      </c>
      <c r="D68" s="44">
        <f>'Synthèse Vente Nuitée'!E137</f>
        <v>136.8</v>
      </c>
      <c r="E68" s="44">
        <f t="shared" si="2"/>
        <v>152</v>
      </c>
      <c r="F68" s="43">
        <f>'Synthèse Vente Nuitée'!G137</f>
        <v>21</v>
      </c>
      <c r="G68" s="43">
        <f t="shared" si="3"/>
        <v>11.42857143</v>
      </c>
      <c r="H68" s="43">
        <f>'Synthèse Vente Nuitée'!H137</f>
        <v>6</v>
      </c>
      <c r="I68" s="43">
        <f t="shared" si="4"/>
        <v>4</v>
      </c>
    </row>
    <row r="69">
      <c r="A69" s="42">
        <f>'Synthèse Vente Nuitée'!A138</f>
        <v>46182</v>
      </c>
      <c r="B69" s="43">
        <f>'Synthèse Vente Nuitée'!D138</f>
        <v>12</v>
      </c>
      <c r="C69" s="43">
        <f t="shared" si="1"/>
        <v>6.285714286</v>
      </c>
      <c r="D69" s="44">
        <f>'Synthèse Vente Nuitée'!E138</f>
        <v>119.6</v>
      </c>
      <c r="E69" s="44">
        <f t="shared" si="2"/>
        <v>154.5333333</v>
      </c>
      <c r="F69" s="43">
        <f>'Synthèse Vente Nuitée'!G138</f>
        <v>17</v>
      </c>
      <c r="G69" s="43">
        <f t="shared" si="3"/>
        <v>8.428571429</v>
      </c>
      <c r="H69" s="43">
        <f>'Synthèse Vente Nuitée'!H138</f>
        <v>5</v>
      </c>
      <c r="I69" s="43">
        <f t="shared" si="4"/>
        <v>4</v>
      </c>
    </row>
    <row r="70">
      <c r="A70" s="42">
        <f>'Synthèse Vente Nuitée'!A139</f>
        <v>46181</v>
      </c>
      <c r="B70" s="43">
        <f>'Synthèse Vente Nuitée'!D139</f>
        <v>-3</v>
      </c>
      <c r="C70" s="43">
        <f t="shared" si="1"/>
        <v>4.857142857</v>
      </c>
      <c r="D70" s="44">
        <f>'Synthèse Vente Nuitée'!E139</f>
        <v>142.9</v>
      </c>
      <c r="E70" s="44">
        <f t="shared" si="2"/>
        <v>155</v>
      </c>
      <c r="F70" s="43">
        <f>'Synthèse Vente Nuitée'!G139</f>
        <v>4</v>
      </c>
      <c r="G70" s="43">
        <f t="shared" si="3"/>
        <v>7.142857143</v>
      </c>
      <c r="H70" s="43">
        <f>'Synthèse Vente Nuitée'!H139</f>
        <v>7</v>
      </c>
      <c r="I70" s="43">
        <f t="shared" si="4"/>
        <v>6</v>
      </c>
    </row>
    <row r="71">
      <c r="A71" s="42">
        <f>'Synthèse Vente Nuitée'!A140</f>
        <v>46180</v>
      </c>
      <c r="B71" s="43">
        <f>'Synthèse Vente Nuitée'!D140</f>
        <v>8</v>
      </c>
      <c r="C71" s="43">
        <f t="shared" si="1"/>
        <v>5.428571429</v>
      </c>
      <c r="D71" s="44">
        <f>'Synthèse Vente Nuitée'!E140</f>
        <v>277.5</v>
      </c>
      <c r="E71" s="44">
        <f t="shared" si="2"/>
        <v>146.45</v>
      </c>
      <c r="F71" s="43">
        <f>'Synthèse Vente Nuitée'!G140</f>
        <v>11</v>
      </c>
      <c r="G71" s="43">
        <f t="shared" si="3"/>
        <v>7.428571429</v>
      </c>
      <c r="H71" s="43">
        <f>'Synthèse Vente Nuitée'!H140</f>
        <v>3</v>
      </c>
      <c r="I71" s="43">
        <f t="shared" si="4"/>
        <v>10.14285714</v>
      </c>
    </row>
    <row r="72">
      <c r="A72" s="42">
        <f>'Synthèse Vente Nuitée'!A141</f>
        <v>46179</v>
      </c>
      <c r="B72" s="43">
        <f>'Synthèse Vente Nuitée'!D141</f>
        <v>10</v>
      </c>
      <c r="C72" s="43">
        <f t="shared" si="1"/>
        <v>4.571428571</v>
      </c>
      <c r="D72" s="44">
        <f>'Synthèse Vente Nuitée'!E141</f>
        <v>135.3</v>
      </c>
      <c r="E72" s="44">
        <f t="shared" si="2"/>
        <v>121.75</v>
      </c>
      <c r="F72" s="43">
        <f>'Synthèse Vente Nuitée'!G141</f>
        <v>10</v>
      </c>
      <c r="G72" s="43">
        <f t="shared" si="3"/>
        <v>6.428571429</v>
      </c>
      <c r="H72" s="43">
        <f>'Synthèse Vente Nuitée'!H84</f>
        <v>7</v>
      </c>
      <c r="I72" s="43">
        <f t="shared" si="4"/>
        <v>10.14285714</v>
      </c>
    </row>
    <row r="73">
      <c r="A73" s="42">
        <f>'Synthèse Vente Nuitée'!A142</f>
        <v>46178</v>
      </c>
      <c r="B73" s="43">
        <f>'Synthèse Vente Nuitée'!D142</f>
        <v>7</v>
      </c>
      <c r="C73" s="43">
        <f t="shared" si="1"/>
        <v>3.285714286</v>
      </c>
      <c r="D73" s="44">
        <f>'Synthèse Vente Nuitée'!E142</f>
        <v>121.3</v>
      </c>
      <c r="E73" s="44">
        <f t="shared" si="2"/>
        <v>117.5833333</v>
      </c>
      <c r="F73" s="43">
        <f>'Synthèse Vente Nuitée'!G142</f>
        <v>7</v>
      </c>
      <c r="G73" s="43">
        <f t="shared" si="3"/>
        <v>6.142857143</v>
      </c>
      <c r="H73" s="43">
        <f>'Synthèse Vente Nuitée'!H85</f>
        <v>0</v>
      </c>
      <c r="I73" s="43">
        <f t="shared" si="4"/>
        <v>9.142857143</v>
      </c>
    </row>
    <row r="74">
      <c r="A74" s="42">
        <f>'Synthèse Vente Nuitée'!A143</f>
        <v>46177</v>
      </c>
      <c r="B74" s="43">
        <f>'Synthèse Vente Nuitée'!D143</f>
        <v>10</v>
      </c>
      <c r="C74" s="43">
        <f t="shared" si="1"/>
        <v>4.571428571</v>
      </c>
      <c r="D74" s="44">
        <f>'Synthèse Vente Nuitée'!E143</f>
        <v>130.6</v>
      </c>
      <c r="E74" s="44">
        <f t="shared" si="2"/>
        <v>117.8166667</v>
      </c>
      <c r="F74" s="43">
        <f>'Synthèse Vente Nuitée'!G143</f>
        <v>10</v>
      </c>
      <c r="G74" s="43">
        <f t="shared" si="3"/>
        <v>7.857142857</v>
      </c>
      <c r="H74" s="43">
        <f>'Synthèse Vente Nuitée'!H86</f>
        <v>0</v>
      </c>
      <c r="I74" s="43">
        <f t="shared" si="4"/>
        <v>10.28571429</v>
      </c>
    </row>
    <row r="75">
      <c r="A75" s="42">
        <f>'Synthèse Vente Nuitée'!A144</f>
        <v>46176</v>
      </c>
      <c r="B75" s="43">
        <f>'Synthèse Vente Nuitée'!D144</f>
        <v>0</v>
      </c>
      <c r="C75" s="43">
        <f t="shared" si="1"/>
        <v>4.285714286</v>
      </c>
      <c r="D75" s="44" t="str">
        <f>'Synthèse Vente Nuitée'!E144</f>
        <v>-</v>
      </c>
      <c r="E75" s="44">
        <f t="shared" si="2"/>
        <v>119.4</v>
      </c>
      <c r="F75" s="43">
        <f>'Synthèse Vente Nuitée'!G144</f>
        <v>0</v>
      </c>
      <c r="G75" s="43">
        <f t="shared" si="3"/>
        <v>7.571428571</v>
      </c>
      <c r="H75" s="43">
        <f>'Synthèse Vente Nuitée'!H87</f>
        <v>6</v>
      </c>
      <c r="I75" s="43">
        <f t="shared" si="4"/>
        <v>10.28571429</v>
      </c>
    </row>
    <row r="76">
      <c r="A76" s="42">
        <f>'Synthèse Vente Nuitée'!A145</f>
        <v>46175</v>
      </c>
      <c r="B76" s="43">
        <f>'Synthèse Vente Nuitée'!D145</f>
        <v>2</v>
      </c>
      <c r="C76" s="43">
        <f t="shared" si="1"/>
        <v>4.428571429</v>
      </c>
      <c r="D76" s="44">
        <f>'Synthèse Vente Nuitée'!E145</f>
        <v>122.4</v>
      </c>
      <c r="E76" s="44">
        <f t="shared" si="2"/>
        <v>117.5714286</v>
      </c>
      <c r="F76" s="43">
        <f>'Synthèse Vente Nuitée'!G145</f>
        <v>8</v>
      </c>
      <c r="G76" s="43">
        <f t="shared" si="3"/>
        <v>8.142857143</v>
      </c>
      <c r="H76" s="43">
        <f>'Synthèse Vente Nuitée'!H88</f>
        <v>19</v>
      </c>
      <c r="I76" s="43">
        <f t="shared" si="4"/>
        <v>9.428571429</v>
      </c>
    </row>
    <row r="77">
      <c r="A77" s="42">
        <f>'Synthèse Vente Nuitée'!A146</f>
        <v>46174</v>
      </c>
      <c r="B77" s="43">
        <f>'Synthèse Vente Nuitée'!D146</f>
        <v>1</v>
      </c>
      <c r="C77" s="43">
        <f t="shared" si="1"/>
        <v>4.714285714</v>
      </c>
      <c r="D77" s="44">
        <f>'Synthèse Vente Nuitée'!E146</f>
        <v>91.6</v>
      </c>
      <c r="E77" s="44">
        <f t="shared" si="2"/>
        <v>121.6428571</v>
      </c>
      <c r="F77" s="43">
        <f>'Synthèse Vente Nuitée'!G146</f>
        <v>6</v>
      </c>
      <c r="G77" s="43">
        <f t="shared" si="3"/>
        <v>8.428571429</v>
      </c>
      <c r="H77" s="43">
        <f>'Synthèse Vente Nuitée'!H89</f>
        <v>36</v>
      </c>
      <c r="I77" s="43">
        <f t="shared" si="4"/>
        <v>6.714285714</v>
      </c>
    </row>
    <row r="78">
      <c r="A78" s="42">
        <f>'Synthèse Vente Nuitée'!A147</f>
        <v>46173</v>
      </c>
      <c r="B78" s="43">
        <f>'Synthèse Vente Nuitée'!D147</f>
        <v>2</v>
      </c>
      <c r="C78" s="43">
        <f t="shared" si="1"/>
        <v>6.285714286</v>
      </c>
      <c r="D78" s="44">
        <f>'Synthèse Vente Nuitée'!E147</f>
        <v>129.3</v>
      </c>
      <c r="E78" s="44">
        <f t="shared" si="2"/>
        <v>126.4571429</v>
      </c>
      <c r="F78" s="43">
        <f>'Synthèse Vente Nuitée'!G147</f>
        <v>4</v>
      </c>
      <c r="G78" s="43">
        <f t="shared" si="3"/>
        <v>9.857142857</v>
      </c>
      <c r="H78" s="43">
        <f>'Synthèse Vente Nuitée'!H90</f>
        <v>3</v>
      </c>
      <c r="I78" s="43">
        <f t="shared" si="4"/>
        <v>3.285714286</v>
      </c>
    </row>
    <row r="79">
      <c r="A79" s="42">
        <f>'Synthèse Vente Nuitée'!A148</f>
        <v>46172</v>
      </c>
      <c r="B79" s="43">
        <f>'Synthèse Vente Nuitée'!D148</f>
        <v>1</v>
      </c>
      <c r="C79" s="43">
        <f t="shared" si="1"/>
        <v>7.285714286</v>
      </c>
      <c r="D79" s="44">
        <f>'Synthèse Vente Nuitée'!E148</f>
        <v>110.3</v>
      </c>
      <c r="E79" s="44">
        <f t="shared" si="2"/>
        <v>127.1428571</v>
      </c>
      <c r="F79" s="43">
        <f>'Synthèse Vente Nuitée'!G148</f>
        <v>8</v>
      </c>
      <c r="G79" s="43">
        <f t="shared" si="3"/>
        <v>11</v>
      </c>
      <c r="H79" s="43">
        <f>'Synthèse Vente Nuitée'!H91</f>
        <v>0</v>
      </c>
      <c r="I79" s="43">
        <f t="shared" si="4"/>
        <v>6.285714286</v>
      </c>
    </row>
    <row r="80">
      <c r="A80" s="42">
        <f>'Synthèse Vente Nuitée'!A149</f>
        <v>46171</v>
      </c>
      <c r="B80" s="43">
        <f>'Synthèse Vente Nuitée'!D149</f>
        <v>16</v>
      </c>
      <c r="C80" s="43">
        <f t="shared" si="1"/>
        <v>9.285714286</v>
      </c>
      <c r="D80" s="44">
        <f>'Synthèse Vente Nuitée'!E149</f>
        <v>122.7</v>
      </c>
      <c r="E80" s="44">
        <f t="shared" si="2"/>
        <v>135.0428571</v>
      </c>
      <c r="F80" s="43">
        <f>'Synthèse Vente Nuitée'!G149</f>
        <v>19</v>
      </c>
      <c r="G80" s="43">
        <f t="shared" si="3"/>
        <v>12.57142857</v>
      </c>
      <c r="H80" s="43">
        <f>'Synthèse Vente Nuitée'!H92</f>
        <v>8</v>
      </c>
      <c r="I80" s="43">
        <f t="shared" si="4"/>
        <v>6.285714286</v>
      </c>
    </row>
    <row r="81">
      <c r="A81" s="42">
        <f>'Synthèse Vente Nuitée'!A150</f>
        <v>46170</v>
      </c>
      <c r="B81" s="43">
        <f>'Synthèse Vente Nuitée'!D150</f>
        <v>8</v>
      </c>
      <c r="C81" s="43">
        <f t="shared" si="1"/>
        <v>8.285714286</v>
      </c>
      <c r="D81" s="44">
        <f>'Synthèse Vente Nuitée'!E150</f>
        <v>140.1</v>
      </c>
      <c r="E81" s="44">
        <f t="shared" si="2"/>
        <v>137.4428571</v>
      </c>
      <c r="F81" s="43">
        <f>'Synthèse Vente Nuitée'!G150</f>
        <v>8</v>
      </c>
      <c r="G81" s="43">
        <f t="shared" si="3"/>
        <v>11.14285714</v>
      </c>
      <c r="H81" s="43">
        <f>'Synthèse Vente Nuitée'!H93</f>
        <v>0</v>
      </c>
      <c r="I81" s="43">
        <f t="shared" si="4"/>
        <v>5.571428571</v>
      </c>
    </row>
    <row r="82">
      <c r="A82" s="42">
        <f>'Synthèse Vente Nuitée'!A151</f>
        <v>46169</v>
      </c>
      <c r="B82" s="43">
        <f>'Synthèse Vente Nuitée'!D151</f>
        <v>1</v>
      </c>
      <c r="C82" s="43">
        <f t="shared" si="1"/>
        <v>6.428571429</v>
      </c>
      <c r="D82" s="44">
        <f>'Synthèse Vente Nuitée'!E151</f>
        <v>106.6</v>
      </c>
      <c r="E82" s="44">
        <f t="shared" si="2"/>
        <v>129.2857143</v>
      </c>
      <c r="F82" s="43">
        <f>'Synthèse Vente Nuitée'!G151</f>
        <v>4</v>
      </c>
      <c r="G82" s="43">
        <f t="shared" si="3"/>
        <v>10.85714286</v>
      </c>
      <c r="H82" s="43">
        <f>'Synthèse Vente Nuitée'!H94</f>
        <v>0</v>
      </c>
      <c r="I82" s="43">
        <f t="shared" si="4"/>
        <v>5.571428571</v>
      </c>
    </row>
    <row r="83">
      <c r="A83" s="42">
        <f>'Synthèse Vente Nuitée'!A152</f>
        <v>46168</v>
      </c>
      <c r="B83" s="43">
        <f>'Synthèse Vente Nuitée'!D152</f>
        <v>4</v>
      </c>
      <c r="C83" s="43">
        <f t="shared" si="1"/>
        <v>7.428571429</v>
      </c>
      <c r="D83" s="44">
        <f>'Synthèse Vente Nuitée'!E152</f>
        <v>150.9</v>
      </c>
      <c r="E83" s="44">
        <f t="shared" si="2"/>
        <v>133.9571429</v>
      </c>
      <c r="F83" s="43">
        <f>'Synthèse Vente Nuitée'!G152</f>
        <v>10</v>
      </c>
      <c r="G83" s="43">
        <f t="shared" si="3"/>
        <v>11.85714286</v>
      </c>
      <c r="H83" s="43">
        <f>'Synthèse Vente Nuitée'!H95</f>
        <v>0</v>
      </c>
      <c r="I83" s="43">
        <f t="shared" si="4"/>
        <v>5.857142857</v>
      </c>
    </row>
    <row r="84">
      <c r="A84" s="42">
        <f>'Synthèse Vente Nuitée'!A153</f>
        <v>46167</v>
      </c>
      <c r="B84" s="43">
        <f>'Synthèse Vente Nuitée'!D153</f>
        <v>12</v>
      </c>
      <c r="C84" s="43">
        <f t="shared" si="1"/>
        <v>8.142857143</v>
      </c>
      <c r="D84" s="44">
        <f>'Synthèse Vente Nuitée'!E153</f>
        <v>125.3</v>
      </c>
      <c r="E84" s="44">
        <f t="shared" si="2"/>
        <v>130.7857143</v>
      </c>
      <c r="F84" s="43">
        <f>'Synthèse Vente Nuitée'!G153</f>
        <v>16</v>
      </c>
      <c r="G84" s="43">
        <f t="shared" si="3"/>
        <v>11.71428571</v>
      </c>
      <c r="H84" s="43">
        <f>'Synthèse Vente Nuitée'!H96</f>
        <v>12</v>
      </c>
      <c r="I84" s="43">
        <f t="shared" si="4"/>
        <v>7.142857143</v>
      </c>
    </row>
    <row r="85">
      <c r="A85" s="42">
        <f>'Synthèse Vente Nuitée'!A154</f>
        <v>46166</v>
      </c>
      <c r="B85" s="43">
        <f>'Synthèse Vente Nuitée'!D154</f>
        <v>9</v>
      </c>
      <c r="C85" s="43">
        <f t="shared" si="1"/>
        <v>6.857142857</v>
      </c>
      <c r="D85" s="44">
        <f>'Synthèse Vente Nuitée'!E154</f>
        <v>134.1</v>
      </c>
      <c r="E85" s="44">
        <f t="shared" si="2"/>
        <v>125.3285714</v>
      </c>
      <c r="F85" s="43">
        <f>'Synthèse Vente Nuitée'!G154</f>
        <v>12</v>
      </c>
      <c r="G85" s="43">
        <f t="shared" si="3"/>
        <v>10.85714286</v>
      </c>
      <c r="H85" s="43">
        <f>'Synthèse Vente Nuitée'!H97</f>
        <v>24</v>
      </c>
      <c r="I85" s="43">
        <f t="shared" si="4"/>
        <v>5.428571429</v>
      </c>
    </row>
    <row r="86">
      <c r="A86" s="42">
        <f>'Synthèse Vente Nuitée'!A155</f>
        <v>46165</v>
      </c>
      <c r="B86" s="43">
        <f>'Synthèse Vente Nuitée'!D155</f>
        <v>15</v>
      </c>
      <c r="C86" s="43">
        <f t="shared" si="1"/>
        <v>8.142857143</v>
      </c>
      <c r="D86" s="44">
        <f>'Synthèse Vente Nuitée'!E155</f>
        <v>165.6</v>
      </c>
      <c r="E86" s="44">
        <f t="shared" si="2"/>
        <v>123.8428571</v>
      </c>
      <c r="F86" s="43">
        <f>'Synthèse Vente Nuitée'!G155</f>
        <v>19</v>
      </c>
      <c r="G86" s="43">
        <f t="shared" si="3"/>
        <v>11.71428571</v>
      </c>
      <c r="H86" s="43">
        <f>'Synthèse Vente Nuitée'!H98</f>
        <v>0</v>
      </c>
      <c r="I86" s="43">
        <f t="shared" si="4"/>
        <v>2.428571429</v>
      </c>
    </row>
    <row r="87">
      <c r="A87" s="42">
        <f>'Synthèse Vente Nuitée'!A156</f>
        <v>46164</v>
      </c>
      <c r="B87" s="43">
        <f>'Synthèse Vente Nuitée'!D156</f>
        <v>9</v>
      </c>
      <c r="C87" s="43">
        <f t="shared" si="1"/>
        <v>11</v>
      </c>
      <c r="D87" s="44">
        <f>'Synthèse Vente Nuitée'!E156</f>
        <v>139.5</v>
      </c>
      <c r="E87" s="44">
        <f t="shared" si="2"/>
        <v>114.4428571</v>
      </c>
      <c r="F87" s="43">
        <f>'Synthèse Vente Nuitée'!G156</f>
        <v>9</v>
      </c>
      <c r="G87" s="43">
        <f t="shared" si="3"/>
        <v>14</v>
      </c>
      <c r="H87" s="43">
        <f>'Synthèse Vente Nuitée'!H99</f>
        <v>3</v>
      </c>
      <c r="I87" s="43">
        <f t="shared" si="4"/>
        <v>2.857142857</v>
      </c>
    </row>
    <row r="88">
      <c r="A88" s="42">
        <f>'Synthèse Vente Nuitée'!A157</f>
        <v>46163</v>
      </c>
      <c r="B88" s="43">
        <f>'Synthèse Vente Nuitée'!D157</f>
        <v>-5</v>
      </c>
      <c r="C88" s="43">
        <f t="shared" si="1"/>
        <v>9.428571429</v>
      </c>
      <c r="D88" s="44">
        <f>'Synthèse Vente Nuitée'!E157</f>
        <v>83</v>
      </c>
      <c r="E88" s="44">
        <f t="shared" si="2"/>
        <v>111.6714286</v>
      </c>
      <c r="F88" s="43">
        <f>'Synthèse Vente Nuitée'!G157</f>
        <v>6</v>
      </c>
      <c r="G88" s="43">
        <f t="shared" si="3"/>
        <v>13</v>
      </c>
      <c r="H88" s="43">
        <f>'Synthèse Vente Nuitée'!H100</f>
        <v>0</v>
      </c>
      <c r="I88" s="43">
        <f t="shared" si="4"/>
        <v>2.428571429</v>
      </c>
    </row>
    <row r="89">
      <c r="A89" s="42">
        <f>'Synthèse Vente Nuitée'!A158</f>
        <v>46162</v>
      </c>
      <c r="B89" s="43">
        <f>'Synthèse Vente Nuitée'!D158</f>
        <v>8</v>
      </c>
      <c r="C89" s="43">
        <f t="shared" si="1"/>
        <v>11.14285714</v>
      </c>
      <c r="D89" s="44">
        <f>'Synthèse Vente Nuitée'!E158</f>
        <v>139.3</v>
      </c>
      <c r="E89" s="44">
        <f t="shared" si="2"/>
        <v>121.8428571</v>
      </c>
      <c r="F89" s="43">
        <f>'Synthèse Vente Nuitée'!G158</f>
        <v>11</v>
      </c>
      <c r="G89" s="43">
        <f t="shared" si="3"/>
        <v>13.57142857</v>
      </c>
      <c r="H89" s="43">
        <f>'Synthèse Vente Nuitée'!H101</f>
        <v>2</v>
      </c>
      <c r="I89" s="43">
        <f t="shared" si="4"/>
        <v>3.285714286</v>
      </c>
    </row>
    <row r="90">
      <c r="A90" s="42">
        <f>'Synthèse Vente Nuitée'!A159</f>
        <v>46161</v>
      </c>
      <c r="B90" s="43">
        <f>'Synthèse Vente Nuitée'!D159</f>
        <v>9</v>
      </c>
      <c r="C90" s="43">
        <f t="shared" si="1"/>
        <v>10.42857143</v>
      </c>
      <c r="D90" s="44">
        <f>'Synthèse Vente Nuitée'!E159</f>
        <v>128.7</v>
      </c>
      <c r="E90" s="44">
        <f t="shared" si="2"/>
        <v>112.7285714</v>
      </c>
      <c r="F90" s="43">
        <f>'Synthèse Vente Nuitée'!G159</f>
        <v>9</v>
      </c>
      <c r="G90" s="43">
        <f t="shared" si="3"/>
        <v>13.57142857</v>
      </c>
      <c r="H90" s="43">
        <f>'Synthèse Vente Nuitée'!H102</f>
        <v>9</v>
      </c>
      <c r="I90" s="43">
        <f t="shared" si="4"/>
        <v>3</v>
      </c>
    </row>
    <row r="91">
      <c r="A91" s="42">
        <f>'Synthèse Vente Nuitée'!A160</f>
        <v>46160</v>
      </c>
      <c r="B91" s="43">
        <f>'Synthèse Vente Nuitée'!D160</f>
        <v>3</v>
      </c>
      <c r="C91" s="43">
        <f t="shared" si="1"/>
        <v>10.57142857</v>
      </c>
      <c r="D91" s="44">
        <f>'Synthèse Vente Nuitée'!E160</f>
        <v>87.1</v>
      </c>
      <c r="E91" s="44">
        <f t="shared" si="2"/>
        <v>122.2714286</v>
      </c>
      <c r="F91" s="43">
        <f>'Synthèse Vente Nuitée'!G160</f>
        <v>10</v>
      </c>
      <c r="G91" s="43">
        <f t="shared" si="3"/>
        <v>14</v>
      </c>
      <c r="H91" s="43">
        <f>'Synthèse Vente Nuitée'!H103</f>
        <v>0</v>
      </c>
      <c r="I91" s="43">
        <f t="shared" si="4"/>
        <v>1.714285714</v>
      </c>
    </row>
    <row r="92">
      <c r="A92" s="42">
        <f>'Synthèse Vente Nuitée'!A161</f>
        <v>46159</v>
      </c>
      <c r="B92" s="43">
        <f>'Synthèse Vente Nuitée'!D161</f>
        <v>18</v>
      </c>
      <c r="C92" s="43">
        <f t="shared" si="1"/>
        <v>11</v>
      </c>
      <c r="D92" s="44">
        <f>'Synthèse Vente Nuitée'!E161</f>
        <v>123.7</v>
      </c>
      <c r="E92" s="44">
        <f t="shared" si="2"/>
        <v>132.5714286</v>
      </c>
      <c r="F92" s="43">
        <f>'Synthèse Vente Nuitée'!G161</f>
        <v>18</v>
      </c>
      <c r="G92" s="43">
        <f t="shared" si="3"/>
        <v>13.42857143</v>
      </c>
      <c r="H92" s="43">
        <f>'Synthèse Vente Nuitée'!H104</f>
        <v>3</v>
      </c>
      <c r="I92" s="43">
        <f t="shared" si="4"/>
        <v>1.714285714</v>
      </c>
    </row>
    <row r="93">
      <c r="A93" s="42">
        <f>'Synthèse Vente Nuitée'!A162</f>
        <v>46158</v>
      </c>
      <c r="B93" s="43">
        <f>'Synthèse Vente Nuitée'!D162</f>
        <v>35</v>
      </c>
      <c r="C93" s="43">
        <f t="shared" si="1"/>
        <v>8.285714286</v>
      </c>
      <c r="D93" s="44">
        <f>'Synthèse Vente Nuitée'!E162</f>
        <v>99.8</v>
      </c>
      <c r="E93" s="44">
        <f t="shared" si="2"/>
        <v>136.8857143</v>
      </c>
      <c r="F93" s="43">
        <f>'Synthèse Vente Nuitée'!G162</f>
        <v>35</v>
      </c>
      <c r="G93" s="43">
        <f t="shared" si="3"/>
        <v>12.85714286</v>
      </c>
      <c r="H93" s="43">
        <f>'Synthèse Vente Nuitée'!H105</f>
        <v>3</v>
      </c>
      <c r="I93" s="43">
        <f t="shared" si="4"/>
        <v>5</v>
      </c>
    </row>
    <row r="94">
      <c r="A94" s="42">
        <f>'Synthèse Vente Nuitée'!A163</f>
        <v>46157</v>
      </c>
      <c r="B94" s="43">
        <f>'Synthèse Vente Nuitée'!D163</f>
        <v>-2</v>
      </c>
      <c r="C94" s="43">
        <f t="shared" si="1"/>
        <v>3.714285714</v>
      </c>
      <c r="D94" s="44">
        <f>'Synthèse Vente Nuitée'!E163</f>
        <v>120.1</v>
      </c>
      <c r="E94" s="44">
        <f t="shared" si="2"/>
        <v>150.2285714</v>
      </c>
      <c r="F94" s="43">
        <f>'Synthèse Vente Nuitée'!G163</f>
        <v>2</v>
      </c>
      <c r="G94" s="43">
        <f t="shared" si="3"/>
        <v>9.571428571</v>
      </c>
      <c r="H94" s="43">
        <f>'Synthèse Vente Nuitée'!H106</f>
        <v>0</v>
      </c>
      <c r="I94" s="43">
        <f t="shared" si="4"/>
        <v>4.714285714</v>
      </c>
    </row>
    <row r="95">
      <c r="A95" s="42">
        <f>'Synthèse Vente Nuitée'!A164</f>
        <v>46156</v>
      </c>
      <c r="B95" s="43">
        <f>'Synthèse Vente Nuitée'!D164</f>
        <v>7</v>
      </c>
      <c r="C95" s="43">
        <f t="shared" si="1"/>
        <v>2.428571429</v>
      </c>
      <c r="D95" s="44">
        <f>'Synthèse Vente Nuitée'!E164</f>
        <v>154.2</v>
      </c>
      <c r="E95" s="44">
        <f t="shared" si="2"/>
        <v>154.9428571</v>
      </c>
      <c r="F95" s="43">
        <f>'Synthèse Vente Nuitée'!G164</f>
        <v>10</v>
      </c>
      <c r="G95" s="43">
        <f t="shared" si="3"/>
        <v>11.71428571</v>
      </c>
      <c r="H95" s="43">
        <f>'Synthèse Vente Nuitée'!H107</f>
        <v>6</v>
      </c>
      <c r="I95" s="43">
        <f t="shared" si="4"/>
        <v>4.714285714</v>
      </c>
    </row>
    <row r="96">
      <c r="A96" s="42">
        <f>'Synthèse Vente Nuitée'!A165</f>
        <v>46155</v>
      </c>
      <c r="B96" s="43">
        <f>'Synthèse Vente Nuitée'!D165</f>
        <v>3</v>
      </c>
      <c r="C96" s="43">
        <f t="shared" si="1"/>
        <v>0.7142857143</v>
      </c>
      <c r="D96" s="44">
        <f>'Synthèse Vente Nuitée'!E165</f>
        <v>75.5</v>
      </c>
      <c r="E96" s="44">
        <f t="shared" si="2"/>
        <v>148.3571429</v>
      </c>
      <c r="F96" s="43">
        <f>'Synthèse Vente Nuitée'!G165</f>
        <v>11</v>
      </c>
      <c r="G96" s="43">
        <f t="shared" si="3"/>
        <v>12.42857143</v>
      </c>
      <c r="H96" s="43">
        <f>'Synthèse Vente Nuitée'!H108</f>
        <v>0</v>
      </c>
      <c r="I96" s="43">
        <f t="shared" si="4"/>
        <v>3.857142857</v>
      </c>
    </row>
    <row r="97">
      <c r="A97" s="42">
        <f>'Synthèse Vente Nuitée'!A166</f>
        <v>46154</v>
      </c>
      <c r="B97" s="43">
        <f>'Synthèse Vente Nuitée'!D166</f>
        <v>10</v>
      </c>
      <c r="C97" s="43">
        <f t="shared" si="1"/>
        <v>1.428571429</v>
      </c>
      <c r="D97" s="44">
        <f>'Synthèse Vente Nuitée'!E166</f>
        <v>195.5</v>
      </c>
      <c r="E97" s="44">
        <f t="shared" si="2"/>
        <v>155.9857143</v>
      </c>
      <c r="F97" s="43">
        <f>'Synthèse Vente Nuitée'!G166</f>
        <v>12</v>
      </c>
      <c r="G97" s="43">
        <f t="shared" si="3"/>
        <v>13.57142857</v>
      </c>
      <c r="H97" s="43">
        <f>'Synthèse Vente Nuitée'!H109</f>
        <v>0</v>
      </c>
      <c r="I97" s="43">
        <f t="shared" si="4"/>
        <v>3.857142857</v>
      </c>
    </row>
    <row r="98">
      <c r="A98" s="42">
        <f>'Synthèse Vente Nuitée'!A167</f>
        <v>46153</v>
      </c>
      <c r="B98" s="43">
        <f>'Synthèse Vente Nuitée'!D167</f>
        <v>6</v>
      </c>
      <c r="C98" s="43">
        <f t="shared" si="1"/>
        <v>1.142857143</v>
      </c>
      <c r="D98" s="44">
        <f>'Synthèse Vente Nuitée'!E167</f>
        <v>159.2</v>
      </c>
      <c r="E98" s="44">
        <f t="shared" si="2"/>
        <v>174.0857143</v>
      </c>
      <c r="F98" s="43">
        <f>'Synthèse Vente Nuitée'!G167</f>
        <v>6</v>
      </c>
      <c r="G98" s="43">
        <f t="shared" si="3"/>
        <v>14</v>
      </c>
      <c r="H98" s="43">
        <f>'Synthèse Vente Nuitée'!H110</f>
        <v>0</v>
      </c>
      <c r="I98" s="43">
        <f t="shared" si="4"/>
        <v>3.857142857</v>
      </c>
    </row>
    <row r="99">
      <c r="A99" s="42">
        <f>'Synthèse Vente Nuitée'!A168</f>
        <v>46152</v>
      </c>
      <c r="B99" s="43">
        <f>'Synthèse Vente Nuitée'!D168</f>
        <v>-1</v>
      </c>
      <c r="C99" s="43">
        <f t="shared" si="1"/>
        <v>0.5714285714</v>
      </c>
      <c r="D99" s="44">
        <f>'Synthèse Vente Nuitée'!E168</f>
        <v>153.9</v>
      </c>
      <c r="E99" s="44">
        <f t="shared" si="2"/>
        <v>169.3142857</v>
      </c>
      <c r="F99" s="43">
        <f>'Synthèse Vente Nuitée'!G168</f>
        <v>14</v>
      </c>
      <c r="G99" s="43">
        <f t="shared" si="3"/>
        <v>14.14285714</v>
      </c>
      <c r="H99" s="43">
        <f>'Synthèse Vente Nuitée'!H111</f>
        <v>26</v>
      </c>
      <c r="I99" s="43">
        <f t="shared" si="4"/>
        <v>4.714285714</v>
      </c>
    </row>
    <row r="100">
      <c r="A100" s="42">
        <f>'Synthèse Vente Nuitée'!A169</f>
        <v>46151</v>
      </c>
      <c r="B100" s="43">
        <f>'Synthèse Vente Nuitée'!D169</f>
        <v>3</v>
      </c>
      <c r="C100" s="43">
        <f t="shared" si="1"/>
        <v>2.857142857</v>
      </c>
      <c r="D100" s="44">
        <f>'Synthèse Vente Nuitée'!E169</f>
        <v>193.2</v>
      </c>
      <c r="E100" s="44">
        <f t="shared" si="2"/>
        <v>179.9571429</v>
      </c>
      <c r="F100" s="43">
        <f>'Synthèse Vente Nuitée'!G169</f>
        <v>12</v>
      </c>
      <c r="G100" s="43">
        <f t="shared" si="3"/>
        <v>16.28571429</v>
      </c>
      <c r="H100" s="43">
        <f>'Synthèse Vente Nuitée'!H112</f>
        <v>1</v>
      </c>
      <c r="I100" s="43">
        <f t="shared" si="4"/>
        <v>2.428571429</v>
      </c>
    </row>
    <row r="101">
      <c r="A101" s="42">
        <f>'Synthèse Vente Nuitée'!A170</f>
        <v>46150</v>
      </c>
      <c r="B101" s="43">
        <f>'Synthèse Vente Nuitée'!D170</f>
        <v>-11</v>
      </c>
      <c r="C101" s="43">
        <f t="shared" si="1"/>
        <v>4.428571429</v>
      </c>
      <c r="D101" s="44">
        <f>'Synthèse Vente Nuitée'!E170</f>
        <v>153.1</v>
      </c>
      <c r="E101" s="44">
        <f t="shared" si="2"/>
        <v>169.4571429</v>
      </c>
      <c r="F101" s="43">
        <f>'Synthèse Vente Nuitée'!G170</f>
        <v>17</v>
      </c>
      <c r="G101" s="43">
        <f t="shared" si="3"/>
        <v>16.57142857</v>
      </c>
      <c r="H101" s="43">
        <f>'Synthèse Vente Nuitée'!H113</f>
        <v>0</v>
      </c>
      <c r="I101" s="43">
        <f t="shared" si="4"/>
        <v>2.285714286</v>
      </c>
    </row>
    <row r="102">
      <c r="A102" s="42">
        <f>'Synthèse Vente Nuitée'!A171</f>
        <v>46149</v>
      </c>
      <c r="B102" s="43">
        <f>'Synthèse Vente Nuitée'!D171</f>
        <v>-5</v>
      </c>
      <c r="C102" s="43">
        <f t="shared" si="1"/>
        <v>13.14285714</v>
      </c>
      <c r="D102" s="44">
        <f>'Synthèse Vente Nuitée'!E171</f>
        <v>108.1</v>
      </c>
      <c r="E102" s="44">
        <f t="shared" si="2"/>
        <v>183.8428571</v>
      </c>
      <c r="F102" s="43">
        <f>'Synthèse Vente Nuitée'!G171</f>
        <v>15</v>
      </c>
      <c r="G102" s="43">
        <f t="shared" si="3"/>
        <v>21.42857143</v>
      </c>
      <c r="H102" s="43">
        <f>'Synthèse Vente Nuitée'!H114</f>
        <v>0</v>
      </c>
      <c r="I102" s="43">
        <f t="shared" si="4"/>
        <v>2.714285714</v>
      </c>
    </row>
    <row r="103">
      <c r="A103" s="42">
        <f>'Synthèse Vente Nuitée'!A172</f>
        <v>46148</v>
      </c>
      <c r="B103" s="43">
        <f>'Synthèse Vente Nuitée'!D172</f>
        <v>8</v>
      </c>
      <c r="C103" s="43">
        <f t="shared" si="1"/>
        <v>16.28571429</v>
      </c>
      <c r="D103" s="44">
        <f>'Synthèse Vente Nuitée'!E172</f>
        <v>128.9</v>
      </c>
      <c r="E103" s="44">
        <f t="shared" si="2"/>
        <v>191.1428571</v>
      </c>
      <c r="F103" s="43">
        <f>'Synthèse Vente Nuitée'!G172</f>
        <v>19</v>
      </c>
      <c r="G103" s="43">
        <f t="shared" si="3"/>
        <v>22.14285714</v>
      </c>
      <c r="H103" s="43">
        <f>'Synthèse Vente Nuitée'!H115</f>
        <v>0</v>
      </c>
      <c r="I103" s="43">
        <f t="shared" si="4"/>
        <v>2.714285714</v>
      </c>
    </row>
    <row r="104">
      <c r="A104" s="42">
        <f>'Synthèse Vente Nuitée'!A173</f>
        <v>46147</v>
      </c>
      <c r="B104" s="43">
        <f>'Synthèse Vente Nuitée'!D173</f>
        <v>8</v>
      </c>
      <c r="C104" s="43">
        <f t="shared" si="1"/>
        <v>15.57142857</v>
      </c>
      <c r="D104" s="44">
        <f>'Synthèse Vente Nuitée'!E173</f>
        <v>322.2</v>
      </c>
      <c r="E104" s="44">
        <f t="shared" si="2"/>
        <v>208.4428571</v>
      </c>
      <c r="F104" s="43">
        <f>'Synthèse Vente Nuitée'!G173</f>
        <v>15</v>
      </c>
      <c r="G104" s="43">
        <f t="shared" si="3"/>
        <v>20.57142857</v>
      </c>
      <c r="H104" s="43">
        <f>'Synthèse Vente Nuitée'!H116</f>
        <v>0</v>
      </c>
      <c r="I104" s="43">
        <f t="shared" si="4"/>
        <v>2.714285714</v>
      </c>
    </row>
    <row r="105">
      <c r="A105" s="42">
        <f>'Synthèse Vente Nuitée'!A174</f>
        <v>46146</v>
      </c>
      <c r="B105" s="43">
        <f>'Synthèse Vente Nuitée'!D174</f>
        <v>2</v>
      </c>
      <c r="C105" s="43">
        <f t="shared" si="1"/>
        <v>16.71428571</v>
      </c>
      <c r="D105" s="44">
        <f>'Synthèse Vente Nuitée'!E174</f>
        <v>125.8</v>
      </c>
      <c r="E105" s="44">
        <f t="shared" si="2"/>
        <v>184.0285714</v>
      </c>
      <c r="F105" s="43">
        <f>'Synthèse Vente Nuitée'!G174</f>
        <v>7</v>
      </c>
      <c r="G105" s="43">
        <f t="shared" si="3"/>
        <v>21.14285714</v>
      </c>
      <c r="H105" s="43">
        <f>'Synthèse Vente Nuitée'!H117</f>
        <v>6</v>
      </c>
      <c r="I105" s="43">
        <f t="shared" si="4"/>
        <v>2.714285714</v>
      </c>
    </row>
    <row r="106">
      <c r="A106" s="42">
        <f>'Synthèse Vente Nuitée'!A175</f>
        <v>46145</v>
      </c>
      <c r="B106" s="43">
        <f>'Synthèse Vente Nuitée'!D175</f>
        <v>15</v>
      </c>
      <c r="C106" s="43">
        <f t="shared" si="1"/>
        <v>18.14285714</v>
      </c>
      <c r="D106" s="44">
        <f>'Synthèse Vente Nuitée'!E175</f>
        <v>228.4</v>
      </c>
      <c r="E106" s="44">
        <f t="shared" si="2"/>
        <v>187.8</v>
      </c>
      <c r="F106" s="43">
        <f>'Synthèse Vente Nuitée'!G175</f>
        <v>29</v>
      </c>
      <c r="G106" s="43">
        <f t="shared" si="3"/>
        <v>21.85714286</v>
      </c>
      <c r="H106" s="43">
        <f>'Synthèse Vente Nuitée'!H118</f>
        <v>10</v>
      </c>
      <c r="I106" s="43">
        <f t="shared" si="4"/>
        <v>2.571428571</v>
      </c>
    </row>
    <row r="107">
      <c r="A107" s="42">
        <f>'Synthèse Vente Nuitée'!A176</f>
        <v>46144</v>
      </c>
      <c r="B107" s="43">
        <f>'Synthèse Vente Nuitée'!D176</f>
        <v>14</v>
      </c>
      <c r="C107" s="43">
        <f t="shared" si="1"/>
        <v>18.71428571</v>
      </c>
      <c r="D107" s="44">
        <f>'Synthèse Vente Nuitée'!E176</f>
        <v>119.7</v>
      </c>
      <c r="E107" s="44">
        <f t="shared" si="2"/>
        <v>175.5428571</v>
      </c>
      <c r="F107" s="43">
        <f>'Synthèse Vente Nuitée'!G176</f>
        <v>14</v>
      </c>
      <c r="G107" s="43">
        <f t="shared" si="3"/>
        <v>20.57142857</v>
      </c>
      <c r="H107" s="43">
        <f>'Synthèse Vente Nuitée'!H119</f>
        <v>0</v>
      </c>
      <c r="I107" s="43">
        <f t="shared" si="4"/>
        <v>1.142857143</v>
      </c>
    </row>
    <row r="108">
      <c r="A108" s="42">
        <f>'Synthèse Vente Nuitée'!A177</f>
        <v>46143</v>
      </c>
      <c r="B108" s="43">
        <f>'Synthèse Vente Nuitée'!D177</f>
        <v>50</v>
      </c>
      <c r="C108" s="43">
        <f t="shared" si="1"/>
        <v>15.42857143</v>
      </c>
      <c r="D108" s="44">
        <f>'Synthèse Vente Nuitée'!E177</f>
        <v>253.8</v>
      </c>
      <c r="E108" s="44">
        <f t="shared" si="2"/>
        <v>171.8571429</v>
      </c>
      <c r="F108" s="43">
        <f>'Synthèse Vente Nuitée'!G177</f>
        <v>51</v>
      </c>
      <c r="G108" s="43">
        <f t="shared" si="3"/>
        <v>19.71428571</v>
      </c>
      <c r="H108" s="43">
        <f>'Synthèse Vente Nuitée'!H120</f>
        <v>3</v>
      </c>
      <c r="I108" s="43">
        <f t="shared" si="4"/>
        <v>1.428571429</v>
      </c>
    </row>
    <row r="109">
      <c r="A109" s="42">
        <f>'Synthèse Vente Nuitée'!A178</f>
        <v>46142</v>
      </c>
      <c r="B109" s="43">
        <f>'Synthèse Vente Nuitée'!D178</f>
        <v>17</v>
      </c>
      <c r="C109" s="43">
        <f t="shared" si="1"/>
        <v>9.714285714</v>
      </c>
      <c r="D109" s="44">
        <f>'Synthèse Vente Nuitée'!E178</f>
        <v>159.2</v>
      </c>
      <c r="E109" s="44">
        <f t="shared" si="2"/>
        <v>173.0571429</v>
      </c>
      <c r="F109" s="43">
        <f>'Synthèse Vente Nuitée'!G178</f>
        <v>20</v>
      </c>
      <c r="G109" s="43">
        <f t="shared" si="3"/>
        <v>14.14285714</v>
      </c>
      <c r="H109" s="43">
        <f>'Synthèse Vente Nuitée'!H121</f>
        <v>0</v>
      </c>
      <c r="I109" s="43">
        <f t="shared" si="4"/>
        <v>2.285714286</v>
      </c>
    </row>
    <row r="110">
      <c r="A110" s="42">
        <f>'Synthèse Vente Nuitée'!A179</f>
        <v>46141</v>
      </c>
      <c r="B110" s="43">
        <f>'Synthèse Vente Nuitée'!D179</f>
        <v>3</v>
      </c>
      <c r="C110" s="43">
        <f t="shared" si="1"/>
        <v>9.714285714</v>
      </c>
      <c r="D110" s="44">
        <f>'Synthèse Vente Nuitée'!E179</f>
        <v>250</v>
      </c>
      <c r="E110" s="44">
        <f t="shared" si="2"/>
        <v>174.7428571</v>
      </c>
      <c r="F110" s="43">
        <f>'Synthèse Vente Nuitée'!G179</f>
        <v>8</v>
      </c>
      <c r="G110" s="43">
        <f t="shared" si="3"/>
        <v>13.71428571</v>
      </c>
      <c r="H110" s="43">
        <f>'Synthèse Vente Nuitée'!H122</f>
        <v>0</v>
      </c>
      <c r="I110" s="43">
        <f t="shared" si="4"/>
        <v>2.285714286</v>
      </c>
    </row>
    <row r="111">
      <c r="A111" s="42">
        <f>'Synthèse Vente Nuitée'!A180</f>
        <v>46140</v>
      </c>
      <c r="B111" s="43">
        <f>'Synthèse Vente Nuitée'!D180</f>
        <v>16</v>
      </c>
      <c r="C111" s="43">
        <f t="shared" si="1"/>
        <v>9.714285714</v>
      </c>
      <c r="D111" s="44">
        <f>'Synthèse Vente Nuitée'!E180</f>
        <v>151.3</v>
      </c>
      <c r="E111" s="44">
        <f t="shared" si="2"/>
        <v>163.6285714</v>
      </c>
      <c r="F111" s="43">
        <f>'Synthèse Vente Nuitée'!G180</f>
        <v>19</v>
      </c>
      <c r="G111" s="43">
        <f t="shared" si="3"/>
        <v>16</v>
      </c>
      <c r="H111" s="43">
        <f>'Synthèse Vente Nuitée'!H123</f>
        <v>0</v>
      </c>
      <c r="I111" s="43">
        <f t="shared" si="4"/>
        <v>2.714285714</v>
      </c>
    </row>
    <row r="112">
      <c r="A112" s="42">
        <f>'Synthèse Vente Nuitée'!A181</f>
        <v>46139</v>
      </c>
      <c r="B112" s="43">
        <f>'Synthèse Vente Nuitée'!D181</f>
        <v>12</v>
      </c>
      <c r="C112" s="43">
        <f t="shared" si="1"/>
        <v>7.571428571</v>
      </c>
      <c r="D112" s="44">
        <f>'Synthèse Vente Nuitée'!E181</f>
        <v>152.2</v>
      </c>
      <c r="E112" s="44">
        <f t="shared" si="2"/>
        <v>157</v>
      </c>
      <c r="F112" s="43">
        <f>'Synthèse Vente Nuitée'!G181</f>
        <v>12</v>
      </c>
      <c r="G112" s="43">
        <f t="shared" si="3"/>
        <v>14.42857143</v>
      </c>
      <c r="H112" s="43">
        <f>'Synthèse Vente Nuitée'!H124</f>
        <v>5</v>
      </c>
      <c r="I112" s="43">
        <f t="shared" si="4"/>
        <v>2.714285714</v>
      </c>
    </row>
    <row r="113">
      <c r="A113" s="42">
        <f>'Synthèse Vente Nuitée'!A182</f>
        <v>46138</v>
      </c>
      <c r="B113" s="43">
        <f>'Synthèse Vente Nuitée'!D182</f>
        <v>19</v>
      </c>
      <c r="C113" s="43">
        <f t="shared" si="1"/>
        <v>6.428571429</v>
      </c>
      <c r="D113" s="44">
        <f>'Synthèse Vente Nuitée'!E182</f>
        <v>142.6</v>
      </c>
      <c r="E113" s="44">
        <f t="shared" si="2"/>
        <v>152.6428571</v>
      </c>
      <c r="F113" s="43">
        <f>'Synthèse Vente Nuitée'!G182</f>
        <v>20</v>
      </c>
      <c r="G113" s="43">
        <f t="shared" si="3"/>
        <v>13.57142857</v>
      </c>
      <c r="H113" s="43">
        <f>'Synthèse Vente Nuitée'!H125</f>
        <v>0</v>
      </c>
      <c r="I113" s="43">
        <f t="shared" si="4"/>
        <v>2</v>
      </c>
    </row>
    <row r="114">
      <c r="A114" s="42">
        <f>'Synthèse Vente Nuitée'!A183</f>
        <v>46137</v>
      </c>
      <c r="B114" s="43">
        <f>'Synthèse Vente Nuitée'!D183</f>
        <v>-9</v>
      </c>
      <c r="C114" s="43">
        <f t="shared" si="1"/>
        <v>10.57142857</v>
      </c>
      <c r="D114" s="44">
        <f>'Synthèse Vente Nuitée'!E183</f>
        <v>93.9</v>
      </c>
      <c r="E114" s="44">
        <f t="shared" si="2"/>
        <v>158.5714286</v>
      </c>
      <c r="F114" s="43">
        <f>'Synthèse Vente Nuitée'!G183</f>
        <v>8</v>
      </c>
      <c r="G114" s="43">
        <f t="shared" si="3"/>
        <v>18.71428571</v>
      </c>
      <c r="H114" s="43">
        <f>'Synthèse Vente Nuitée'!H126</f>
        <v>2</v>
      </c>
      <c r="I114" s="43">
        <f t="shared" si="4"/>
        <v>2</v>
      </c>
    </row>
    <row r="115">
      <c r="A115" s="42">
        <f>'Synthèse Vente Nuitée'!A184</f>
        <v>46136</v>
      </c>
      <c r="B115" s="43">
        <f>'Synthèse Vente Nuitée'!D184</f>
        <v>10</v>
      </c>
      <c r="C115" s="43">
        <f t="shared" si="1"/>
        <v>16.28571429</v>
      </c>
      <c r="D115" s="44">
        <f>'Synthèse Vente Nuitée'!E184</f>
        <v>262.2</v>
      </c>
      <c r="E115" s="44">
        <f t="shared" si="2"/>
        <v>167.6571429</v>
      </c>
      <c r="F115" s="43">
        <f>'Synthèse Vente Nuitée'!G184</f>
        <v>12</v>
      </c>
      <c r="G115" s="43">
        <f t="shared" si="3"/>
        <v>22.28571429</v>
      </c>
      <c r="H115" s="43">
        <f>'Synthèse Vente Nuitée'!H127</f>
        <v>9</v>
      </c>
      <c r="I115" s="43">
        <f t="shared" si="4"/>
        <v>1.714285714</v>
      </c>
    </row>
    <row r="116">
      <c r="A116" s="42">
        <f>'Synthèse Vente Nuitée'!A185</f>
        <v>46135</v>
      </c>
      <c r="B116" s="43">
        <f>'Synthèse Vente Nuitée'!D185</f>
        <v>17</v>
      </c>
      <c r="C116" s="43">
        <f t="shared" si="1"/>
        <v>16</v>
      </c>
      <c r="D116" s="44">
        <f>'Synthèse Vente Nuitée'!E185</f>
        <v>171</v>
      </c>
      <c r="E116" s="44">
        <f t="shared" si="2"/>
        <v>150.5285714</v>
      </c>
      <c r="F116" s="43">
        <f>'Synthèse Vente Nuitée'!G185</f>
        <v>17</v>
      </c>
      <c r="G116" s="43">
        <f t="shared" si="3"/>
        <v>21.71428571</v>
      </c>
      <c r="H116" s="43">
        <f>'Synthèse Vente Nuitée'!H128</f>
        <v>0</v>
      </c>
      <c r="I116" s="43">
        <f t="shared" si="4"/>
        <v>1</v>
      </c>
    </row>
    <row r="117">
      <c r="A117" s="42">
        <f>'Synthèse Vente Nuitée'!A186</f>
        <v>46134</v>
      </c>
      <c r="B117" s="43">
        <f>'Synthèse Vente Nuitée'!D186</f>
        <v>3</v>
      </c>
      <c r="C117" s="43">
        <f t="shared" si="1"/>
        <v>13.57142857</v>
      </c>
      <c r="D117" s="44">
        <f>'Synthèse Vente Nuitée'!E186</f>
        <v>172.2</v>
      </c>
      <c r="E117" s="44">
        <f t="shared" si="2"/>
        <v>147.1166667</v>
      </c>
      <c r="F117" s="43">
        <f>'Synthèse Vente Nuitée'!G186</f>
        <v>24</v>
      </c>
      <c r="G117" s="43">
        <f t="shared" si="3"/>
        <v>19.28571429</v>
      </c>
      <c r="H117" s="43">
        <f>'Synthèse Vente Nuitée'!H129</f>
        <v>3</v>
      </c>
      <c r="I117" s="43">
        <f t="shared" si="4"/>
        <v>1</v>
      </c>
    </row>
    <row r="118">
      <c r="A118" s="42">
        <f>'Synthèse Vente Nuitée'!A187</f>
        <v>46133</v>
      </c>
      <c r="B118" s="43">
        <f>'Synthèse Vente Nuitée'!D187</f>
        <v>1</v>
      </c>
      <c r="C118" s="43">
        <f t="shared" si="1"/>
        <v>16.71428571</v>
      </c>
      <c r="D118" s="44">
        <f>'Synthèse Vente Nuitée'!E187</f>
        <v>104.9</v>
      </c>
      <c r="E118" s="44">
        <f t="shared" si="2"/>
        <v>138.6333333</v>
      </c>
      <c r="F118" s="43">
        <f>'Synthèse Vente Nuitée'!G187</f>
        <v>8</v>
      </c>
      <c r="G118" s="43">
        <f t="shared" si="3"/>
        <v>19.85714286</v>
      </c>
      <c r="H118" s="43">
        <f>'Synthèse Vente Nuitée'!H130</f>
        <v>0</v>
      </c>
      <c r="I118" s="43">
        <f t="shared" si="4"/>
        <v>0.8571428571</v>
      </c>
    </row>
    <row r="119">
      <c r="A119" s="42">
        <f>'Synthèse Vente Nuitée'!A188</f>
        <v>46132</v>
      </c>
      <c r="B119" s="43">
        <f>'Synthèse Vente Nuitée'!D188</f>
        <v>4</v>
      </c>
      <c r="C119" s="43">
        <f t="shared" si="1"/>
        <v>17.85714286</v>
      </c>
      <c r="D119" s="44">
        <f>'Synthèse Vente Nuitée'!E188</f>
        <v>121.7</v>
      </c>
      <c r="E119" s="44">
        <f t="shared" si="2"/>
        <v>145.25</v>
      </c>
      <c r="F119" s="43">
        <f>'Synthèse Vente Nuitée'!G188</f>
        <v>6</v>
      </c>
      <c r="G119" s="43">
        <f t="shared" si="3"/>
        <v>20.85714286</v>
      </c>
      <c r="H119" s="43">
        <f>'Synthèse Vente Nuitée'!H131</f>
        <v>0</v>
      </c>
      <c r="I119" s="43">
        <f t="shared" si="4"/>
        <v>1.714285714</v>
      </c>
    </row>
    <row r="120">
      <c r="A120" s="42">
        <f>'Synthèse Vente Nuitée'!A189</f>
        <v>46131</v>
      </c>
      <c r="B120" s="43">
        <f>'Synthèse Vente Nuitée'!D189</f>
        <v>48</v>
      </c>
      <c r="C120" s="43">
        <f t="shared" si="1"/>
        <v>18</v>
      </c>
      <c r="D120" s="44">
        <f>'Synthèse Vente Nuitée'!E189</f>
        <v>184.1</v>
      </c>
      <c r="E120" s="44">
        <f t="shared" si="2"/>
        <v>148.15</v>
      </c>
      <c r="F120" s="43">
        <f>'Synthèse Vente Nuitée'!G189</f>
        <v>56</v>
      </c>
      <c r="G120" s="43">
        <f t="shared" si="3"/>
        <v>21.42857143</v>
      </c>
      <c r="H120" s="43">
        <f>'Synthèse Vente Nuitée'!H132</f>
        <v>0</v>
      </c>
      <c r="I120" s="43">
        <f t="shared" si="4"/>
        <v>2.428571429</v>
      </c>
    </row>
    <row r="121">
      <c r="A121" s="42">
        <f>'Synthèse Vente Nuitée'!A190</f>
        <v>46130</v>
      </c>
      <c r="B121" s="43">
        <f>'Synthèse Vente Nuitée'!D190</f>
        <v>31</v>
      </c>
      <c r="C121" s="43">
        <f t="shared" si="1"/>
        <v>11.57142857</v>
      </c>
      <c r="D121" s="44">
        <f>'Synthèse Vente Nuitée'!E190</f>
        <v>157.5</v>
      </c>
      <c r="E121" s="44">
        <f t="shared" si="2"/>
        <v>139.8</v>
      </c>
      <c r="F121" s="43">
        <f>'Synthèse Vente Nuitée'!G190</f>
        <v>33</v>
      </c>
      <c r="G121" s="43">
        <f t="shared" si="3"/>
        <v>14</v>
      </c>
      <c r="H121" s="43">
        <f>'Synthèse Vente Nuitée'!H133</f>
        <v>0</v>
      </c>
      <c r="I121" s="43">
        <f t="shared" si="4"/>
        <v>3.428571429</v>
      </c>
    </row>
    <row r="122">
      <c r="A122" s="42">
        <f>'Synthèse Vente Nuitée'!A191</f>
        <v>46129</v>
      </c>
      <c r="B122" s="43">
        <f>'Synthèse Vente Nuitée'!D191</f>
        <v>8</v>
      </c>
      <c r="C122" s="43">
        <f t="shared" si="1"/>
        <v>8.285714286</v>
      </c>
      <c r="D122" s="44">
        <f>'Synthèse Vente Nuitée'!E191</f>
        <v>142.3</v>
      </c>
      <c r="E122" s="44">
        <f t="shared" si="2"/>
        <v>135.1833333</v>
      </c>
      <c r="F122" s="43">
        <f>'Synthèse Vente Nuitée'!G191</f>
        <v>8</v>
      </c>
      <c r="G122" s="43">
        <f t="shared" si="3"/>
        <v>10.85714286</v>
      </c>
      <c r="H122" s="43">
        <f>'Synthèse Vente Nuitée'!H134</f>
        <v>4</v>
      </c>
      <c r="I122" s="43">
        <f t="shared" si="4"/>
        <v>3.857142857</v>
      </c>
    </row>
    <row r="123">
      <c r="A123" s="42">
        <f>'Synthèse Vente Nuitée'!A192</f>
        <v>46128</v>
      </c>
      <c r="B123" s="43">
        <f>'Synthèse Vente Nuitée'!D192</f>
        <v>0</v>
      </c>
      <c r="C123" s="43">
        <f t="shared" si="1"/>
        <v>9.142857143</v>
      </c>
      <c r="D123" s="44" t="str">
        <f>'Synthèse Vente Nuitée'!E192</f>
        <v>-</v>
      </c>
      <c r="E123" s="44">
        <f t="shared" si="2"/>
        <v>143.0833333</v>
      </c>
      <c r="F123" s="43">
        <f>'Synthèse Vente Nuitée'!G192</f>
        <v>0</v>
      </c>
      <c r="G123" s="43">
        <f t="shared" si="3"/>
        <v>12.42857143</v>
      </c>
      <c r="H123" s="43">
        <f>'Synthèse Vente Nuitée'!H135</f>
        <v>0</v>
      </c>
      <c r="I123" s="43">
        <f t="shared" si="4"/>
        <v>3.285714286</v>
      </c>
    </row>
    <row r="124">
      <c r="A124" s="42">
        <f>'Synthèse Vente Nuitée'!A193</f>
        <v>46127</v>
      </c>
      <c r="B124" s="43">
        <f>'Synthèse Vente Nuitée'!D193</f>
        <v>25</v>
      </c>
      <c r="C124" s="43">
        <f t="shared" si="1"/>
        <v>10.85714286</v>
      </c>
      <c r="D124" s="44">
        <f>'Synthèse Vente Nuitée'!E193</f>
        <v>121.3</v>
      </c>
      <c r="E124" s="44">
        <f t="shared" si="2"/>
        <v>153.5</v>
      </c>
      <c r="F124" s="43">
        <f>'Synthèse Vente Nuitée'!G193</f>
        <v>28</v>
      </c>
      <c r="G124" s="43">
        <f t="shared" si="3"/>
        <v>15.14285714</v>
      </c>
      <c r="H124" s="43">
        <f>'Synthèse Vente Nuitée'!H136</f>
        <v>2</v>
      </c>
      <c r="I124" s="43">
        <f t="shared" si="4"/>
        <v>3.285714286</v>
      </c>
    </row>
    <row r="125">
      <c r="A125" s="42">
        <f>'Synthèse Vente Nuitée'!A194</f>
        <v>46126</v>
      </c>
      <c r="B125" s="43">
        <f>'Synthèse Vente Nuitée'!D194</f>
        <v>9</v>
      </c>
      <c r="C125" s="43">
        <f t="shared" si="1"/>
        <v>11</v>
      </c>
      <c r="D125" s="44">
        <f>'Synthèse Vente Nuitée'!E194</f>
        <v>144.6</v>
      </c>
      <c r="E125" s="44">
        <f t="shared" si="2"/>
        <v>152.2142857</v>
      </c>
      <c r="F125" s="43">
        <f>'Synthèse Vente Nuitée'!G194</f>
        <v>15</v>
      </c>
      <c r="G125" s="43">
        <f t="shared" si="3"/>
        <v>15.71428571</v>
      </c>
      <c r="H125" s="43">
        <f>'Synthèse Vente Nuitée'!H137</f>
        <v>6</v>
      </c>
      <c r="I125" s="43">
        <f t="shared" si="4"/>
        <v>3</v>
      </c>
    </row>
    <row r="126">
      <c r="A126" s="42">
        <f>'Synthèse Vente Nuitée'!A195</f>
        <v>46125</v>
      </c>
      <c r="B126" s="43">
        <f>'Synthèse Vente Nuitée'!D195</f>
        <v>5</v>
      </c>
      <c r="C126" s="43">
        <f t="shared" si="1"/>
        <v>10.14285714</v>
      </c>
      <c r="D126" s="44">
        <f>'Synthèse Vente Nuitée'!E195</f>
        <v>139.1</v>
      </c>
      <c r="E126" s="44">
        <f t="shared" si="2"/>
        <v>152.6714286</v>
      </c>
      <c r="F126" s="43">
        <f>'Synthèse Vente Nuitée'!G195</f>
        <v>10</v>
      </c>
      <c r="G126" s="43">
        <f t="shared" si="3"/>
        <v>14.57142857</v>
      </c>
      <c r="H126" s="43">
        <f>'Synthèse Vente Nuitée'!H138</f>
        <v>5</v>
      </c>
      <c r="I126" s="43">
        <f t="shared" si="4"/>
        <v>2.142857143</v>
      </c>
    </row>
    <row r="127">
      <c r="A127" s="42">
        <f>'Synthèse Vente Nuitée'!A196</f>
        <v>46124</v>
      </c>
      <c r="B127" s="43">
        <f>'Synthèse Vente Nuitée'!D196</f>
        <v>3</v>
      </c>
      <c r="C127" s="43">
        <f t="shared" si="1"/>
        <v>10</v>
      </c>
      <c r="D127" s="44">
        <f>'Synthèse Vente Nuitée'!E196</f>
        <v>134</v>
      </c>
      <c r="E127" s="44">
        <f t="shared" si="2"/>
        <v>151.4285714</v>
      </c>
      <c r="F127" s="43">
        <f>'Synthèse Vente Nuitée'!G196</f>
        <v>4</v>
      </c>
      <c r="G127" s="43">
        <f t="shared" si="3"/>
        <v>13.71428571</v>
      </c>
      <c r="H127" s="43">
        <f>'Synthèse Vente Nuitée'!H139</f>
        <v>7</v>
      </c>
      <c r="I127" s="43">
        <f t="shared" si="4"/>
        <v>2.285714286</v>
      </c>
    </row>
    <row r="128">
      <c r="A128" s="42">
        <f>'Synthèse Vente Nuitée'!A197</f>
        <v>46123</v>
      </c>
      <c r="B128" s="43">
        <f>'Synthèse Vente Nuitée'!D197</f>
        <v>8</v>
      </c>
      <c r="C128" s="43">
        <f t="shared" si="1"/>
        <v>9.428571429</v>
      </c>
      <c r="D128" s="44">
        <f>'Synthèse Vente Nuitée'!E197</f>
        <v>129.8</v>
      </c>
      <c r="E128" s="44">
        <f t="shared" si="2"/>
        <v>150.4142857</v>
      </c>
      <c r="F128" s="43">
        <f>'Synthèse Vente Nuitée'!G197</f>
        <v>11</v>
      </c>
      <c r="G128" s="43">
        <f t="shared" si="3"/>
        <v>14</v>
      </c>
      <c r="H128" s="43">
        <f>'Synthèse Vente Nuitée'!H140</f>
        <v>3</v>
      </c>
      <c r="I128" s="43">
        <f t="shared" si="4"/>
        <v>2</v>
      </c>
    </row>
    <row r="129">
      <c r="A129" s="42">
        <f>'Synthèse Vente Nuitée'!A198</f>
        <v>46122</v>
      </c>
      <c r="B129" s="43">
        <f>'Synthèse Vente Nuitée'!D198</f>
        <v>14</v>
      </c>
      <c r="C129" s="43">
        <f t="shared" si="1"/>
        <v>8.571428571</v>
      </c>
      <c r="D129" s="44">
        <f>'Synthèse Vente Nuitée'!E198</f>
        <v>189.7</v>
      </c>
      <c r="E129" s="44">
        <f t="shared" si="2"/>
        <v>155.8</v>
      </c>
      <c r="F129" s="43">
        <f>'Synthèse Vente Nuitée'!G198</f>
        <v>19</v>
      </c>
      <c r="G129" s="43">
        <f t="shared" si="3"/>
        <v>13.71428571</v>
      </c>
      <c r="H129" s="43">
        <f>'Synthèse Vente Nuitée'!H141</f>
        <v>0</v>
      </c>
      <c r="I129" s="43">
        <f t="shared" si="4"/>
        <v>1.857142857</v>
      </c>
    </row>
    <row r="130">
      <c r="A130" s="42">
        <f>'Synthèse Vente Nuitée'!A199</f>
        <v>46121</v>
      </c>
      <c r="B130" s="43">
        <f>'Synthèse Vente Nuitée'!D199</f>
        <v>12</v>
      </c>
      <c r="C130" s="43">
        <f t="shared" si="1"/>
        <v>9</v>
      </c>
      <c r="D130" s="44">
        <f>'Synthèse Vente Nuitée'!E199</f>
        <v>216</v>
      </c>
      <c r="E130" s="44">
        <f t="shared" si="2"/>
        <v>154.2142857</v>
      </c>
      <c r="F130" s="43">
        <f>'Synthèse Vente Nuitée'!G199</f>
        <v>19</v>
      </c>
      <c r="G130" s="43">
        <f t="shared" si="3"/>
        <v>14.28571429</v>
      </c>
      <c r="H130" s="43">
        <f>'Synthèse Vente Nuitée'!H142</f>
        <v>0</v>
      </c>
      <c r="I130" s="43">
        <f t="shared" si="4"/>
        <v>2.857142857</v>
      </c>
    </row>
    <row r="131">
      <c r="A131" s="42">
        <f>'Synthèse Vente Nuitée'!A200</f>
        <v>46120</v>
      </c>
      <c r="B131" s="43">
        <f>'Synthèse Vente Nuitée'!D200</f>
        <v>26</v>
      </c>
      <c r="C131" s="43">
        <f t="shared" si="1"/>
        <v>8.142857143</v>
      </c>
      <c r="D131" s="44">
        <f>'Synthèse Vente Nuitée'!E200</f>
        <v>112.3</v>
      </c>
      <c r="E131" s="44">
        <f t="shared" si="2"/>
        <v>145.8</v>
      </c>
      <c r="F131" s="43">
        <f>'Synthèse Vente Nuitée'!G200</f>
        <v>32</v>
      </c>
      <c r="G131" s="43">
        <f t="shared" si="3"/>
        <v>12.42857143</v>
      </c>
      <c r="H131" s="43">
        <f>'Synthèse Vente Nuitée'!H143</f>
        <v>0</v>
      </c>
      <c r="I131" s="43">
        <f t="shared" si="4"/>
        <v>3.285714286</v>
      </c>
    </row>
    <row r="132">
      <c r="A132" s="42">
        <f>'Synthèse Vente Nuitée'!A201</f>
        <v>46119</v>
      </c>
      <c r="B132" s="43">
        <f>'Synthèse Vente Nuitée'!D201</f>
        <v>3</v>
      </c>
      <c r="C132" s="43">
        <f t="shared" si="1"/>
        <v>7.428571429</v>
      </c>
      <c r="D132" s="44">
        <f>'Synthèse Vente Nuitée'!E201</f>
        <v>147.8</v>
      </c>
      <c r="E132" s="44">
        <f t="shared" si="2"/>
        <v>153.8285714</v>
      </c>
      <c r="F132" s="43">
        <f>'Synthèse Vente Nuitée'!G201</f>
        <v>7</v>
      </c>
      <c r="G132" s="43">
        <f t="shared" si="3"/>
        <v>11.71428571</v>
      </c>
      <c r="H132" s="43">
        <f>'Synthèse Vente Nuitée'!H144</f>
        <v>0</v>
      </c>
      <c r="I132" s="43">
        <f t="shared" si="4"/>
        <v>3.285714286</v>
      </c>
    </row>
    <row r="133">
      <c r="A133" s="42">
        <f>'Synthèse Vente Nuitée'!A202</f>
        <v>46118</v>
      </c>
      <c r="B133" s="43">
        <f>'Synthèse Vente Nuitée'!D202</f>
        <v>4</v>
      </c>
      <c r="C133" s="43">
        <f t="shared" si="1"/>
        <v>7.857142857</v>
      </c>
      <c r="D133" s="44">
        <f>'Synthèse Vente Nuitée'!E202</f>
        <v>130.4</v>
      </c>
      <c r="E133" s="44">
        <f t="shared" si="2"/>
        <v>160.6714286</v>
      </c>
      <c r="F133" s="43">
        <f>'Synthèse Vente Nuitée'!G202</f>
        <v>4</v>
      </c>
      <c r="G133" s="43">
        <f t="shared" si="3"/>
        <v>12.57142857</v>
      </c>
      <c r="H133" s="43">
        <f>'Synthèse Vente Nuitée'!H145</f>
        <v>6</v>
      </c>
      <c r="I133" s="43">
        <f t="shared" si="4"/>
        <v>3.714285714</v>
      </c>
    </row>
    <row r="134">
      <c r="A134" s="42">
        <f>'Synthèse Vente Nuitée'!A203</f>
        <v>46117</v>
      </c>
      <c r="B134" s="43">
        <f>'Synthèse Vente Nuitée'!D203</f>
        <v>-1</v>
      </c>
      <c r="C134" s="43">
        <f t="shared" si="1"/>
        <v>9.428571429</v>
      </c>
      <c r="D134" s="44">
        <f>'Synthèse Vente Nuitée'!E203</f>
        <v>126.9</v>
      </c>
      <c r="E134" s="44">
        <f t="shared" si="2"/>
        <v>162.7571429</v>
      </c>
      <c r="F134" s="43">
        <f>'Synthèse Vente Nuitée'!G203</f>
        <v>6</v>
      </c>
      <c r="G134" s="43">
        <f t="shared" si="3"/>
        <v>15.14285714</v>
      </c>
      <c r="H134" s="43">
        <f>'Synthèse Vente Nuitée'!H146</f>
        <v>5</v>
      </c>
      <c r="I134" s="43">
        <f t="shared" si="4"/>
        <v>3.714285714</v>
      </c>
    </row>
    <row r="135">
      <c r="A135" s="42">
        <f>'Synthèse Vente Nuitée'!A204</f>
        <v>46116</v>
      </c>
      <c r="B135" s="43">
        <f>'Synthèse Vente Nuitée'!D204</f>
        <v>2</v>
      </c>
      <c r="C135" s="43">
        <f t="shared" si="1"/>
        <v>7.714285714</v>
      </c>
      <c r="D135" s="44">
        <f>'Synthèse Vente Nuitée'!E204</f>
        <v>167.5</v>
      </c>
      <c r="E135" s="44">
        <f t="shared" si="2"/>
        <v>165.4857143</v>
      </c>
      <c r="F135" s="43">
        <f>'Synthèse Vente Nuitée'!G204</f>
        <v>9</v>
      </c>
      <c r="G135" s="43">
        <f t="shared" si="3"/>
        <v>16.14285714</v>
      </c>
      <c r="H135" s="43">
        <f>'Synthèse Vente Nuitée'!H147</f>
        <v>2</v>
      </c>
      <c r="I135" s="43">
        <f t="shared" si="4"/>
        <v>3.571428571</v>
      </c>
    </row>
    <row r="136">
      <c r="A136" s="42">
        <f>'Synthèse Vente Nuitée'!A205</f>
        <v>46115</v>
      </c>
      <c r="B136" s="43">
        <f>'Synthèse Vente Nuitée'!D205</f>
        <v>17</v>
      </c>
      <c r="C136" s="43">
        <f t="shared" si="1"/>
        <v>8.857142857</v>
      </c>
      <c r="D136" s="44">
        <f>'Synthèse Vente Nuitée'!E205</f>
        <v>178.6</v>
      </c>
      <c r="E136" s="44">
        <f t="shared" si="2"/>
        <v>157.0714286</v>
      </c>
      <c r="F136" s="43">
        <f>'Synthèse Vente Nuitée'!G205</f>
        <v>23</v>
      </c>
      <c r="G136" s="43">
        <f t="shared" si="3"/>
        <v>16.28571429</v>
      </c>
      <c r="H136" s="43">
        <f>'Synthèse Vente Nuitée'!H148</f>
        <v>7</v>
      </c>
      <c r="I136" s="43">
        <f t="shared" si="4"/>
        <v>3.714285714</v>
      </c>
    </row>
    <row r="137">
      <c r="A137" s="42">
        <f>'Synthèse Vente Nuitée'!A206</f>
        <v>46114</v>
      </c>
      <c r="B137" s="43">
        <f>'Synthèse Vente Nuitée'!D206</f>
        <v>6</v>
      </c>
      <c r="C137" s="43">
        <f t="shared" si="1"/>
        <v>6.571428571</v>
      </c>
      <c r="D137" s="44">
        <f>'Synthèse Vente Nuitée'!E206</f>
        <v>157.1</v>
      </c>
      <c r="E137" s="44">
        <f t="shared" si="2"/>
        <v>159.7571429</v>
      </c>
      <c r="F137" s="43">
        <f>'Synthèse Vente Nuitée'!G206</f>
        <v>6</v>
      </c>
      <c r="G137" s="43">
        <f t="shared" si="3"/>
        <v>13.28571429</v>
      </c>
      <c r="H137" s="43">
        <f>'Synthèse Vente Nuitée'!H149</f>
        <v>3</v>
      </c>
      <c r="I137" s="43">
        <f t="shared" si="4"/>
        <v>3.285714286</v>
      </c>
    </row>
    <row r="138">
      <c r="A138" s="42">
        <f>'Synthèse Vente Nuitée'!A207</f>
        <v>46113</v>
      </c>
      <c r="B138" s="43">
        <f>'Synthèse Vente Nuitée'!D207</f>
        <v>21</v>
      </c>
      <c r="C138" s="43">
        <f t="shared" si="1"/>
        <v>5.857142857</v>
      </c>
      <c r="D138" s="44">
        <f>'Synthèse Vente Nuitée'!E207</f>
        <v>168.5</v>
      </c>
      <c r="E138" s="44">
        <f t="shared" si="2"/>
        <v>154.4714286</v>
      </c>
      <c r="F138" s="43">
        <f>'Synthèse Vente Nuitée'!G207</f>
        <v>27</v>
      </c>
      <c r="G138" s="43">
        <f t="shared" si="3"/>
        <v>13.14285714</v>
      </c>
      <c r="H138" s="43">
        <f>'Synthèse Vente Nuitée'!H150</f>
        <v>0</v>
      </c>
      <c r="I138" s="43">
        <f t="shared" si="4"/>
        <v>2.857142857</v>
      </c>
    </row>
    <row r="139">
      <c r="A139" s="42">
        <f>'Synthèse Vente Nuitée'!A208</f>
        <v>46112</v>
      </c>
      <c r="B139" s="43">
        <f>'Synthèse Vente Nuitée'!D208</f>
        <v>6</v>
      </c>
      <c r="C139" s="43">
        <f t="shared" si="1"/>
        <v>5</v>
      </c>
      <c r="D139" s="44">
        <f>'Synthèse Vente Nuitée'!E208</f>
        <v>195.7</v>
      </c>
      <c r="E139" s="44">
        <f t="shared" si="2"/>
        <v>157.5571429</v>
      </c>
      <c r="F139" s="43">
        <f>'Synthèse Vente Nuitée'!G208</f>
        <v>13</v>
      </c>
      <c r="G139" s="43">
        <f t="shared" si="3"/>
        <v>11.42857143</v>
      </c>
      <c r="H139" s="43">
        <f>'Synthèse Vente Nuitée'!H151</f>
        <v>3</v>
      </c>
      <c r="I139" s="43">
        <f t="shared" si="4"/>
        <v>4.428571429</v>
      </c>
    </row>
    <row r="140">
      <c r="A140" s="42">
        <f>'Synthèse Vente Nuitée'!A209</f>
        <v>46111</v>
      </c>
      <c r="B140" s="43">
        <f>'Synthèse Vente Nuitée'!D209</f>
        <v>15</v>
      </c>
      <c r="C140" s="43">
        <f t="shared" si="1"/>
        <v>8</v>
      </c>
      <c r="D140" s="44">
        <f>'Synthèse Vente Nuitée'!E209</f>
        <v>145</v>
      </c>
      <c r="E140" s="44">
        <f t="shared" si="2"/>
        <v>160.2142857</v>
      </c>
      <c r="F140" s="43">
        <f>'Synthèse Vente Nuitée'!G209</f>
        <v>22</v>
      </c>
      <c r="G140" s="43">
        <f t="shared" si="3"/>
        <v>13.42857143</v>
      </c>
      <c r="H140" s="43">
        <f>'Synthèse Vente Nuitée'!H152</f>
        <v>6</v>
      </c>
      <c r="I140" s="43">
        <f t="shared" si="4"/>
        <v>4.428571429</v>
      </c>
    </row>
    <row r="141">
      <c r="A141" s="42">
        <f>'Synthèse Vente Nuitée'!A210</f>
        <v>46110</v>
      </c>
      <c r="B141" s="43">
        <f>'Synthèse Vente Nuitée'!D210</f>
        <v>-13</v>
      </c>
      <c r="C141" s="43">
        <f t="shared" si="1"/>
        <v>8.142857143</v>
      </c>
      <c r="D141" s="44">
        <f>'Synthèse Vente Nuitée'!E210</f>
        <v>146</v>
      </c>
      <c r="E141" s="44">
        <f t="shared" si="2"/>
        <v>168.4571429</v>
      </c>
      <c r="F141" s="43">
        <f>'Synthèse Vente Nuitée'!G210</f>
        <v>13</v>
      </c>
      <c r="G141" s="43">
        <f t="shared" si="3"/>
        <v>12.57142857</v>
      </c>
      <c r="H141" s="43">
        <f>'Synthèse Vente Nuitée'!H153</f>
        <v>4</v>
      </c>
      <c r="I141" s="43">
        <f t="shared" si="4"/>
        <v>3.571428571</v>
      </c>
    </row>
    <row r="142">
      <c r="A142" s="42">
        <f>'Synthèse Vente Nuitée'!A211</f>
        <v>46109</v>
      </c>
      <c r="B142" s="43">
        <f>'Synthèse Vente Nuitée'!D211</f>
        <v>10</v>
      </c>
      <c r="C142" s="43">
        <f t="shared" si="1"/>
        <v>10.42857143</v>
      </c>
      <c r="D142" s="44">
        <f>'Synthèse Vente Nuitée'!E211</f>
        <v>108.6</v>
      </c>
      <c r="E142" s="44">
        <f t="shared" si="2"/>
        <v>193.4428571</v>
      </c>
      <c r="F142" s="43">
        <f>'Synthèse Vente Nuitée'!G211</f>
        <v>10</v>
      </c>
      <c r="G142" s="43">
        <f t="shared" si="3"/>
        <v>12.57142857</v>
      </c>
      <c r="H142" s="43">
        <f>'Synthèse Vente Nuitée'!H154</f>
        <v>3</v>
      </c>
      <c r="I142" s="43">
        <f t="shared" si="4"/>
        <v>4</v>
      </c>
    </row>
    <row r="143">
      <c r="A143" s="42">
        <f>'Synthèse Vente Nuitée'!A212</f>
        <v>46108</v>
      </c>
      <c r="B143" s="43">
        <f>'Synthèse Vente Nuitée'!D212</f>
        <v>1</v>
      </c>
      <c r="C143" s="43">
        <f t="shared" si="1"/>
        <v>10.5</v>
      </c>
      <c r="D143" s="44">
        <f>'Synthèse Vente Nuitée'!E212</f>
        <v>197.4</v>
      </c>
      <c r="E143" s="44">
        <f t="shared" si="2"/>
        <v>207.5833333</v>
      </c>
      <c r="F143" s="43">
        <f>'Synthèse Vente Nuitée'!G212</f>
        <v>2</v>
      </c>
      <c r="G143" s="43">
        <f t="shared" si="3"/>
        <v>13</v>
      </c>
      <c r="H143" s="43">
        <f>'Synthèse Vente Nuitée'!H155</f>
        <v>4</v>
      </c>
      <c r="I143" s="43">
        <f t="shared" si="4"/>
        <v>4.166666667</v>
      </c>
    </row>
    <row r="144">
      <c r="A144" s="42">
        <f>'Synthèse Vente Nuitée'!A213</f>
        <v>46107</v>
      </c>
      <c r="B144" s="43">
        <f>'Synthèse Vente Nuitée'!D213</f>
        <v>1</v>
      </c>
      <c r="C144" s="43">
        <f t="shared" si="1"/>
        <v>12.4</v>
      </c>
      <c r="D144" s="44">
        <f>'Synthèse Vente Nuitée'!E213</f>
        <v>120.1</v>
      </c>
      <c r="E144" s="44">
        <f t="shared" si="2"/>
        <v>209.62</v>
      </c>
      <c r="F144" s="43">
        <f>'Synthèse Vente Nuitée'!G213</f>
        <v>5</v>
      </c>
      <c r="G144" s="43">
        <f t="shared" si="3"/>
        <v>15.2</v>
      </c>
      <c r="H144" s="43">
        <f>'Synthèse Vente Nuitée'!H156</f>
        <v>0</v>
      </c>
      <c r="I144" s="43">
        <f t="shared" si="4"/>
        <v>4.2</v>
      </c>
    </row>
    <row r="145">
      <c r="A145" s="42">
        <f>'Synthèse Vente Nuitée'!A214</f>
        <v>46106</v>
      </c>
      <c r="B145" s="43">
        <f>'Synthèse Vente Nuitée'!D214</f>
        <v>15</v>
      </c>
      <c r="C145" s="43">
        <f t="shared" si="1"/>
        <v>15.25</v>
      </c>
      <c r="D145" s="44">
        <f>'Synthèse Vente Nuitée'!E214</f>
        <v>190.1</v>
      </c>
      <c r="E145" s="44">
        <f t="shared" si="2"/>
        <v>232</v>
      </c>
      <c r="F145" s="43">
        <f>'Synthèse Vente Nuitée'!G214</f>
        <v>15</v>
      </c>
      <c r="G145" s="43">
        <f t="shared" si="3"/>
        <v>17.75</v>
      </c>
      <c r="H145" s="43">
        <f>'Synthèse Vente Nuitée'!H157</f>
        <v>11</v>
      </c>
      <c r="I145" s="43">
        <f t="shared" si="4"/>
        <v>5.25</v>
      </c>
    </row>
    <row r="146">
      <c r="A146" s="42">
        <f>'Synthèse Vente Nuitée'!A215</f>
        <v>46105</v>
      </c>
      <c r="B146" s="43">
        <f>'Synthèse Vente Nuitée'!D215</f>
        <v>27</v>
      </c>
      <c r="C146" s="43">
        <f t="shared" si="1"/>
        <v>15.33333333</v>
      </c>
      <c r="D146" s="44">
        <f>'Synthèse Vente Nuitée'!E215</f>
        <v>214.3</v>
      </c>
      <c r="E146" s="44">
        <f t="shared" si="2"/>
        <v>245.9666667</v>
      </c>
      <c r="F146" s="43">
        <f>'Synthèse Vente Nuitée'!G215</f>
        <v>27</v>
      </c>
      <c r="G146" s="43">
        <f t="shared" si="3"/>
        <v>18.66666667</v>
      </c>
      <c r="H146" s="43">
        <f>'Synthèse Vente Nuitée'!H158</f>
        <v>3</v>
      </c>
      <c r="I146" s="43">
        <f t="shared" si="4"/>
        <v>3.333333333</v>
      </c>
    </row>
    <row r="147">
      <c r="A147" s="42">
        <f>'Synthèse Vente Nuitée'!A216</f>
        <v>46104</v>
      </c>
      <c r="B147" s="43">
        <f>'Synthèse Vente Nuitée'!D216</f>
        <v>16</v>
      </c>
      <c r="C147" s="43">
        <f t="shared" si="1"/>
        <v>9.5</v>
      </c>
      <c r="D147" s="44">
        <f>'Synthèse Vente Nuitée'!E216</f>
        <v>202.7</v>
      </c>
      <c r="E147" s="44">
        <f t="shared" si="2"/>
        <v>261.8</v>
      </c>
      <c r="F147" s="43">
        <f>'Synthèse Vente Nuitée'!G216</f>
        <v>16</v>
      </c>
      <c r="G147" s="43">
        <f t="shared" si="3"/>
        <v>14.5</v>
      </c>
      <c r="H147" s="43">
        <f>'Synthèse Vente Nuitée'!H159</f>
        <v>0</v>
      </c>
      <c r="I147" s="43">
        <f t="shared" si="4"/>
        <v>3.5</v>
      </c>
    </row>
    <row r="148">
      <c r="A148" s="42">
        <f>'Synthèse Vente Nuitée'!A217</f>
        <v>46103</v>
      </c>
      <c r="B148" s="43">
        <f>'Synthèse Vente Nuitée'!D217</f>
        <v>3</v>
      </c>
      <c r="C148" s="43">
        <f t="shared" si="1"/>
        <v>3</v>
      </c>
      <c r="D148" s="44">
        <f>'Synthèse Vente Nuitée'!E217</f>
        <v>320.9</v>
      </c>
      <c r="E148" s="44">
        <f t="shared" si="2"/>
        <v>320.9</v>
      </c>
      <c r="F148" s="43">
        <f>'Synthèse Vente Nuitée'!G217</f>
        <v>13</v>
      </c>
      <c r="G148" s="43">
        <f t="shared" si="3"/>
        <v>13</v>
      </c>
      <c r="H148" s="43">
        <f>'Synthèse Vente Nuitée'!H160</f>
        <v>7</v>
      </c>
      <c r="I148" s="43">
        <f t="shared" si="4"/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9.0"/>
    <col customWidth="1" min="3" max="3" width="10.25"/>
    <col customWidth="1" min="4" max="4" width="20.63"/>
    <col customWidth="1" min="5" max="5" width="11.88"/>
    <col customWidth="1" min="6" max="6" width="33.88"/>
    <col customWidth="1" min="7" max="9" width="9.13"/>
    <col customWidth="1" min="10" max="10" width="10.25"/>
    <col customWidth="1" min="11" max="11" width="9.25"/>
    <col customWidth="1" min="12" max="12" width="11.13"/>
    <col customWidth="1" min="13" max="13" width="7.75"/>
    <col customWidth="1" min="14" max="16" width="10.5"/>
    <col customWidth="1" min="17" max="17" width="12.0"/>
    <col customWidth="1" min="18" max="18" width="8.88"/>
    <col customWidth="1" min="19" max="19" width="8.75"/>
    <col customWidth="1" min="20" max="20" width="16.0"/>
    <col customWidth="1" min="21" max="21" width="67.75"/>
    <col customWidth="1" min="22" max="22" width="15.38"/>
  </cols>
  <sheetData>
    <row r="1">
      <c r="A1" s="145" t="s">
        <v>54</v>
      </c>
      <c r="B1" s="146" t="s">
        <v>55</v>
      </c>
      <c r="C1" s="146" t="s">
        <v>56</v>
      </c>
      <c r="D1" s="146" t="s">
        <v>57</v>
      </c>
      <c r="E1" s="146" t="s">
        <v>58</v>
      </c>
      <c r="F1" s="146" t="s">
        <v>33</v>
      </c>
      <c r="G1" s="147" t="s">
        <v>59</v>
      </c>
      <c r="H1" s="148" t="s">
        <v>61</v>
      </c>
      <c r="I1" s="149" t="s">
        <v>62</v>
      </c>
      <c r="J1" s="146" t="s">
        <v>63</v>
      </c>
      <c r="K1" s="146" t="s">
        <v>64</v>
      </c>
      <c r="L1" s="146" t="s">
        <v>65</v>
      </c>
      <c r="M1" s="146" t="s">
        <v>66</v>
      </c>
      <c r="N1" s="148" t="s">
        <v>67</v>
      </c>
      <c r="O1" s="150" t="s">
        <v>68</v>
      </c>
      <c r="P1" s="150" t="s">
        <v>69</v>
      </c>
      <c r="Q1" s="146" t="s">
        <v>16</v>
      </c>
      <c r="R1" s="151" t="s">
        <v>70</v>
      </c>
      <c r="S1" s="151" t="s">
        <v>71</v>
      </c>
      <c r="T1" s="151" t="s">
        <v>72</v>
      </c>
      <c r="U1" s="152" t="s">
        <v>73</v>
      </c>
      <c r="V1" s="146" t="s">
        <v>74</v>
      </c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53"/>
    </row>
    <row r="2">
      <c r="A2" s="154">
        <v>45900.0</v>
      </c>
      <c r="B2" s="155">
        <v>7496325.0</v>
      </c>
      <c r="C2" s="156" t="s">
        <v>75</v>
      </c>
      <c r="D2" s="156" t="s">
        <v>35</v>
      </c>
      <c r="E2" s="155">
        <v>6.277154606E9</v>
      </c>
      <c r="F2" s="156" t="s">
        <v>77</v>
      </c>
      <c r="G2" s="154">
        <v>46022.0</v>
      </c>
      <c r="H2" s="157">
        <v>46023.0</v>
      </c>
      <c r="I2" s="158">
        <v>1.0</v>
      </c>
      <c r="J2" s="159" t="s">
        <v>78</v>
      </c>
      <c r="K2" s="156" t="s">
        <v>79</v>
      </c>
      <c r="L2" s="156" t="s">
        <v>80</v>
      </c>
      <c r="M2" s="155">
        <v>2.0</v>
      </c>
      <c r="N2" s="160">
        <v>0.19999999999999996</v>
      </c>
      <c r="O2" s="161">
        <v>183.97</v>
      </c>
      <c r="P2" s="161">
        <v>147.17600000000002</v>
      </c>
      <c r="Q2" s="159">
        <v>0.0</v>
      </c>
      <c r="R2" s="162">
        <v>147.17600000000002</v>
      </c>
      <c r="S2" s="162">
        <v>0.0</v>
      </c>
      <c r="T2" s="162">
        <v>188.97</v>
      </c>
      <c r="U2" s="163" t="s">
        <v>81</v>
      </c>
      <c r="V2" s="154">
        <v>45900.0</v>
      </c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</row>
    <row r="3">
      <c r="A3" s="165">
        <v>45809.0</v>
      </c>
      <c r="B3" s="166">
        <v>7099280.0</v>
      </c>
      <c r="C3" s="166" t="s">
        <v>82</v>
      </c>
      <c r="D3" s="166" t="s">
        <v>35</v>
      </c>
      <c r="E3" s="166">
        <v>6.007575514E9</v>
      </c>
      <c r="F3" s="166" t="s">
        <v>83</v>
      </c>
      <c r="G3" s="165">
        <v>46022.0</v>
      </c>
      <c r="H3" s="167">
        <v>46024.0</v>
      </c>
      <c r="I3" s="168">
        <v>2.0</v>
      </c>
      <c r="J3" s="169" t="s">
        <v>78</v>
      </c>
      <c r="K3" s="166" t="s">
        <v>79</v>
      </c>
      <c r="L3" s="166" t="s">
        <v>80</v>
      </c>
      <c r="M3" s="166">
        <v>2.0</v>
      </c>
      <c r="N3" s="170">
        <v>0.19999999999999996</v>
      </c>
      <c r="O3" s="171">
        <v>206.94</v>
      </c>
      <c r="P3" s="171">
        <v>165.55200000000002</v>
      </c>
      <c r="Q3" s="172">
        <v>0.0</v>
      </c>
      <c r="R3" s="173">
        <v>331.10400000000004</v>
      </c>
      <c r="S3" s="173">
        <v>0.0</v>
      </c>
      <c r="T3" s="173">
        <v>423.88</v>
      </c>
      <c r="U3" s="174" t="s">
        <v>85</v>
      </c>
      <c r="V3" s="165">
        <v>45809.0</v>
      </c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</row>
    <row r="4">
      <c r="A4" s="176">
        <v>45913.0</v>
      </c>
      <c r="B4" s="177">
        <v>7554269.0</v>
      </c>
      <c r="C4" s="178" t="s">
        <v>82</v>
      </c>
      <c r="D4" s="178" t="s">
        <v>35</v>
      </c>
      <c r="E4" s="177">
        <v>6.580205991E9</v>
      </c>
      <c r="F4" s="178" t="s">
        <v>86</v>
      </c>
      <c r="G4" s="176">
        <v>46022.0</v>
      </c>
      <c r="H4" s="179">
        <v>46026.0</v>
      </c>
      <c r="I4" s="180">
        <v>4.0</v>
      </c>
      <c r="J4" s="181" t="s">
        <v>87</v>
      </c>
      <c r="K4" s="178" t="s">
        <v>79</v>
      </c>
      <c r="L4" s="178" t="s">
        <v>80</v>
      </c>
      <c r="M4" s="182">
        <v>2.0</v>
      </c>
      <c r="N4" s="183">
        <v>0.19999999999999996</v>
      </c>
      <c r="O4" s="184">
        <v>176.11</v>
      </c>
      <c r="P4" s="184">
        <v>140.888</v>
      </c>
      <c r="Q4" s="185">
        <v>0.0</v>
      </c>
      <c r="R4" s="186">
        <v>563.552</v>
      </c>
      <c r="S4" s="186">
        <v>0.0</v>
      </c>
      <c r="T4" s="186">
        <v>724.44</v>
      </c>
      <c r="U4" s="187" t="s">
        <v>88</v>
      </c>
      <c r="V4" s="176">
        <v>45913.0</v>
      </c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</row>
    <row r="5">
      <c r="A5" s="176">
        <v>45929.0</v>
      </c>
      <c r="B5" s="177">
        <v>7623541.0</v>
      </c>
      <c r="C5" s="178" t="s">
        <v>89</v>
      </c>
      <c r="D5" s="178" t="s">
        <v>35</v>
      </c>
      <c r="E5" s="177">
        <v>5.624453268E9</v>
      </c>
      <c r="F5" s="178" t="s">
        <v>90</v>
      </c>
      <c r="G5" s="176">
        <v>46022.0</v>
      </c>
      <c r="H5" s="179">
        <v>46023.0</v>
      </c>
      <c r="I5" s="180">
        <v>1.0</v>
      </c>
      <c r="J5" s="181" t="s">
        <v>91</v>
      </c>
      <c r="K5" s="178" t="s">
        <v>79</v>
      </c>
      <c r="L5" s="178" t="s">
        <v>80</v>
      </c>
      <c r="M5" s="182">
        <v>0.0</v>
      </c>
      <c r="N5" s="183">
        <v>0.0</v>
      </c>
      <c r="O5" s="184">
        <v>0.0</v>
      </c>
      <c r="P5" s="184">
        <v>0.0</v>
      </c>
      <c r="Q5" s="185">
        <v>0.0</v>
      </c>
      <c r="R5" s="186">
        <v>0.0</v>
      </c>
      <c r="S5" s="186">
        <v>0.0</v>
      </c>
      <c r="T5" s="186">
        <v>0.0</v>
      </c>
      <c r="U5" s="187" t="s">
        <v>93</v>
      </c>
      <c r="V5" s="189">
        <v>46022.0</v>
      </c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</row>
    <row r="6">
      <c r="A6" s="190">
        <v>46022.0</v>
      </c>
      <c r="B6" s="191">
        <v>7976038.0</v>
      </c>
      <c r="C6" s="192" t="s">
        <v>82</v>
      </c>
      <c r="D6" s="192" t="s">
        <v>94</v>
      </c>
      <c r="E6" s="191">
        <v>7976038.0</v>
      </c>
      <c r="F6" s="192" t="s">
        <v>90</v>
      </c>
      <c r="G6" s="190">
        <v>46022.0</v>
      </c>
      <c r="H6" s="193">
        <v>46023.0</v>
      </c>
      <c r="I6" s="194">
        <v>1.0</v>
      </c>
      <c r="J6" s="195" t="s">
        <v>91</v>
      </c>
      <c r="K6" s="192" t="s">
        <v>79</v>
      </c>
      <c r="L6" s="192" t="s">
        <v>96</v>
      </c>
      <c r="M6" s="191">
        <v>2.0</v>
      </c>
      <c r="N6" s="196">
        <v>0.0</v>
      </c>
      <c r="O6" s="197">
        <v>599.76</v>
      </c>
      <c r="P6" s="197">
        <v>599.76</v>
      </c>
      <c r="Q6" s="198">
        <v>0.0</v>
      </c>
      <c r="R6" s="199">
        <v>599.76</v>
      </c>
      <c r="S6" s="199">
        <v>0.0</v>
      </c>
      <c r="T6" s="199">
        <v>604.76</v>
      </c>
      <c r="U6" s="200" t="s">
        <v>97</v>
      </c>
      <c r="V6" s="190">
        <v>46022.0</v>
      </c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</row>
    <row r="7">
      <c r="A7" s="165">
        <v>46022.0</v>
      </c>
      <c r="B7" s="166">
        <v>7976762.0</v>
      </c>
      <c r="C7" s="166" t="s">
        <v>82</v>
      </c>
      <c r="D7" s="166" t="s">
        <v>36</v>
      </c>
      <c r="E7" s="166">
        <v>7976762.0</v>
      </c>
      <c r="F7" s="166" t="s">
        <v>98</v>
      </c>
      <c r="G7" s="165">
        <v>46022.0</v>
      </c>
      <c r="H7" s="167">
        <v>46024.0</v>
      </c>
      <c r="I7" s="168">
        <v>2.0</v>
      </c>
      <c r="J7" s="169" t="s">
        <v>78</v>
      </c>
      <c r="K7" s="166" t="s">
        <v>79</v>
      </c>
      <c r="L7" s="166" t="s">
        <v>96</v>
      </c>
      <c r="M7" s="166">
        <v>2.0</v>
      </c>
      <c r="N7" s="169">
        <v>0.0</v>
      </c>
      <c r="O7" s="171">
        <v>249.84</v>
      </c>
      <c r="P7" s="171">
        <v>247.3416</v>
      </c>
      <c r="Q7" s="169">
        <v>0.0</v>
      </c>
      <c r="R7" s="173">
        <v>494.6832</v>
      </c>
      <c r="S7" s="173">
        <v>0.0</v>
      </c>
      <c r="T7" s="173">
        <v>509.68</v>
      </c>
      <c r="U7" s="201" t="s">
        <v>97</v>
      </c>
      <c r="V7" s="165">
        <v>46022.0</v>
      </c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</row>
    <row r="8">
      <c r="A8" s="154">
        <v>45889.0</v>
      </c>
      <c r="B8" s="155">
        <v>7446459.0</v>
      </c>
      <c r="C8" s="156" t="s">
        <v>89</v>
      </c>
      <c r="D8" s="156" t="s">
        <v>35</v>
      </c>
      <c r="E8" s="155">
        <v>6.353912061E9</v>
      </c>
      <c r="F8" s="156" t="s">
        <v>99</v>
      </c>
      <c r="G8" s="154">
        <v>46023.0</v>
      </c>
      <c r="H8" s="157">
        <v>46025.0</v>
      </c>
      <c r="I8" s="158">
        <v>2.0</v>
      </c>
      <c r="J8" s="159" t="s">
        <v>87</v>
      </c>
      <c r="K8" s="156" t="s">
        <v>79</v>
      </c>
      <c r="L8" s="156" t="s">
        <v>80</v>
      </c>
      <c r="M8" s="202">
        <v>0.0</v>
      </c>
      <c r="N8" s="160">
        <v>0.0</v>
      </c>
      <c r="O8" s="161">
        <v>0.0</v>
      </c>
      <c r="P8" s="161">
        <v>0.0</v>
      </c>
      <c r="Q8" s="203">
        <v>0.0</v>
      </c>
      <c r="R8" s="162">
        <v>0.0</v>
      </c>
      <c r="S8" s="162">
        <v>0.0</v>
      </c>
      <c r="T8" s="162">
        <v>0.0</v>
      </c>
      <c r="U8" s="163" t="s">
        <v>100</v>
      </c>
      <c r="V8" s="154">
        <v>45889.0</v>
      </c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</row>
    <row r="9">
      <c r="A9" s="165">
        <v>45889.0</v>
      </c>
      <c r="B9" s="166">
        <v>7446459.0</v>
      </c>
      <c r="C9" s="166" t="s">
        <v>89</v>
      </c>
      <c r="D9" s="166" t="s">
        <v>35</v>
      </c>
      <c r="E9" s="166">
        <v>6.353912061E9</v>
      </c>
      <c r="F9" s="166" t="s">
        <v>99</v>
      </c>
      <c r="G9" s="165">
        <v>46023.0</v>
      </c>
      <c r="H9" s="167">
        <v>46025.0</v>
      </c>
      <c r="I9" s="168">
        <v>2.0</v>
      </c>
      <c r="J9" s="169" t="s">
        <v>78</v>
      </c>
      <c r="K9" s="166" t="s">
        <v>79</v>
      </c>
      <c r="L9" s="166" t="s">
        <v>80</v>
      </c>
      <c r="M9" s="166">
        <v>0.0</v>
      </c>
      <c r="N9" s="170">
        <v>0.0</v>
      </c>
      <c r="O9" s="171">
        <v>0.0</v>
      </c>
      <c r="P9" s="171">
        <v>0.0</v>
      </c>
      <c r="Q9" s="172">
        <v>0.0</v>
      </c>
      <c r="R9" s="173">
        <v>0.0</v>
      </c>
      <c r="S9" s="173">
        <v>0.0</v>
      </c>
      <c r="T9" s="173">
        <v>0.0</v>
      </c>
      <c r="U9" s="174" t="s">
        <v>100</v>
      </c>
      <c r="V9" s="165">
        <v>45889.0</v>
      </c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</row>
    <row r="10">
      <c r="A10" s="154">
        <v>45800.0</v>
      </c>
      <c r="B10" s="155">
        <v>7060224.0</v>
      </c>
      <c r="C10" s="156" t="s">
        <v>82</v>
      </c>
      <c r="D10" s="156" t="s">
        <v>101</v>
      </c>
      <c r="E10" s="155">
        <v>2.204922438E9</v>
      </c>
      <c r="F10" s="156" t="s">
        <v>102</v>
      </c>
      <c r="G10" s="154">
        <v>46023.0</v>
      </c>
      <c r="H10" s="157">
        <v>46024.0</v>
      </c>
      <c r="I10" s="158">
        <v>1.0</v>
      </c>
      <c r="J10" s="159" t="s">
        <v>91</v>
      </c>
      <c r="K10" s="156" t="s">
        <v>79</v>
      </c>
      <c r="L10" s="156" t="s">
        <v>103</v>
      </c>
      <c r="M10" s="202">
        <v>4.0</v>
      </c>
      <c r="N10" s="160">
        <v>0.0</v>
      </c>
      <c r="O10" s="161">
        <v>547.57</v>
      </c>
      <c r="P10" s="161">
        <v>438.05600000000004</v>
      </c>
      <c r="Q10" s="203">
        <v>0.0</v>
      </c>
      <c r="R10" s="162">
        <v>438.05600000000004</v>
      </c>
      <c r="S10" s="162">
        <v>0.0</v>
      </c>
      <c r="T10" s="162">
        <v>547.57</v>
      </c>
      <c r="U10" s="163" t="s">
        <v>104</v>
      </c>
      <c r="V10" s="154">
        <v>45800.0</v>
      </c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</row>
    <row r="11">
      <c r="A11" s="154">
        <v>45935.0</v>
      </c>
      <c r="B11" s="155">
        <v>7645947.0</v>
      </c>
      <c r="C11" s="156" t="s">
        <v>82</v>
      </c>
      <c r="D11" s="156" t="s">
        <v>35</v>
      </c>
      <c r="E11" s="155">
        <v>6.894769127E9</v>
      </c>
      <c r="F11" s="156" t="s">
        <v>106</v>
      </c>
      <c r="G11" s="154">
        <v>46023.0</v>
      </c>
      <c r="H11" s="157">
        <v>46025.0</v>
      </c>
      <c r="I11" s="158">
        <v>2.0</v>
      </c>
      <c r="J11" s="159" t="s">
        <v>78</v>
      </c>
      <c r="K11" s="156" t="s">
        <v>79</v>
      </c>
      <c r="L11" s="156" t="s">
        <v>80</v>
      </c>
      <c r="M11" s="155">
        <v>2.0</v>
      </c>
      <c r="N11" s="160">
        <v>0.19999999999999996</v>
      </c>
      <c r="O11" s="161">
        <v>182.31</v>
      </c>
      <c r="P11" s="161">
        <v>145.848</v>
      </c>
      <c r="Q11" s="203">
        <v>0.0</v>
      </c>
      <c r="R11" s="162">
        <v>291.696</v>
      </c>
      <c r="S11" s="162">
        <v>0.0</v>
      </c>
      <c r="T11" s="162">
        <v>374.62</v>
      </c>
      <c r="U11" s="163" t="s">
        <v>107</v>
      </c>
      <c r="V11" s="154">
        <v>45935.0</v>
      </c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</row>
    <row r="12">
      <c r="A12" s="165">
        <v>45968.0</v>
      </c>
      <c r="B12" s="166">
        <v>7777362.0</v>
      </c>
      <c r="C12" s="166" t="s">
        <v>82</v>
      </c>
      <c r="D12" s="166" t="s">
        <v>35</v>
      </c>
      <c r="E12" s="166">
        <v>6.520635719E9</v>
      </c>
      <c r="F12" s="166" t="s">
        <v>108</v>
      </c>
      <c r="G12" s="165">
        <v>46023.0</v>
      </c>
      <c r="H12" s="167">
        <v>46024.0</v>
      </c>
      <c r="I12" s="168">
        <v>1.0</v>
      </c>
      <c r="J12" s="169" t="s">
        <v>78</v>
      </c>
      <c r="K12" s="166" t="s">
        <v>79</v>
      </c>
      <c r="L12" s="166" t="s">
        <v>80</v>
      </c>
      <c r="M12" s="205">
        <v>2.0</v>
      </c>
      <c r="N12" s="170">
        <v>0.19999999999999996</v>
      </c>
      <c r="O12" s="171">
        <v>191.05</v>
      </c>
      <c r="P12" s="171">
        <v>152.84</v>
      </c>
      <c r="Q12" s="172">
        <v>0.0</v>
      </c>
      <c r="R12" s="173">
        <v>152.84</v>
      </c>
      <c r="S12" s="173">
        <v>0.0</v>
      </c>
      <c r="T12" s="173">
        <v>196.05</v>
      </c>
      <c r="U12" s="174" t="s">
        <v>88</v>
      </c>
      <c r="V12" s="165">
        <v>45968.0</v>
      </c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</row>
    <row r="13">
      <c r="A13" s="176">
        <v>45936.0</v>
      </c>
      <c r="B13" s="177">
        <v>7649484.0</v>
      </c>
      <c r="C13" s="178" t="s">
        <v>82</v>
      </c>
      <c r="D13" s="178" t="s">
        <v>109</v>
      </c>
      <c r="E13" s="177">
        <v>5.85819727E8</v>
      </c>
      <c r="F13" s="178" t="s">
        <v>110</v>
      </c>
      <c r="G13" s="176">
        <v>46023.0</v>
      </c>
      <c r="H13" s="179">
        <v>46027.0</v>
      </c>
      <c r="I13" s="180">
        <v>4.0</v>
      </c>
      <c r="J13" s="181" t="s">
        <v>111</v>
      </c>
      <c r="K13" s="178" t="s">
        <v>79</v>
      </c>
      <c r="L13" s="178" t="s">
        <v>96</v>
      </c>
      <c r="M13" s="182">
        <v>2.0</v>
      </c>
      <c r="N13" s="181">
        <v>0.19999999999999996</v>
      </c>
      <c r="O13" s="184">
        <v>265.84</v>
      </c>
      <c r="P13" s="184">
        <v>212.672</v>
      </c>
      <c r="Q13" s="181">
        <v>0.0</v>
      </c>
      <c r="R13" s="186">
        <v>850.688</v>
      </c>
      <c r="S13" s="186">
        <v>0.0</v>
      </c>
      <c r="T13" s="186">
        <v>1063.36</v>
      </c>
      <c r="U13" s="187" t="s">
        <v>112</v>
      </c>
      <c r="V13" s="176">
        <v>45936.0</v>
      </c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</row>
    <row r="14">
      <c r="A14" s="165">
        <v>46023.0</v>
      </c>
      <c r="B14" s="166">
        <v>7979294.0</v>
      </c>
      <c r="C14" s="166" t="s">
        <v>82</v>
      </c>
      <c r="D14" s="166" t="s">
        <v>94</v>
      </c>
      <c r="E14" s="166">
        <v>7979294.0</v>
      </c>
      <c r="F14" s="166" t="s">
        <v>113</v>
      </c>
      <c r="G14" s="165">
        <v>46023.0</v>
      </c>
      <c r="H14" s="167">
        <v>46025.0</v>
      </c>
      <c r="I14" s="168">
        <v>2.0</v>
      </c>
      <c r="J14" s="169" t="s">
        <v>114</v>
      </c>
      <c r="K14" s="166" t="s">
        <v>79</v>
      </c>
      <c r="L14" s="166" t="s">
        <v>96</v>
      </c>
      <c r="M14" s="166">
        <v>2.0</v>
      </c>
      <c r="N14" s="169">
        <v>0.0</v>
      </c>
      <c r="O14" s="171">
        <v>275.04</v>
      </c>
      <c r="P14" s="171">
        <v>275.04</v>
      </c>
      <c r="Q14" s="169">
        <v>0.0</v>
      </c>
      <c r="R14" s="173">
        <v>550.08</v>
      </c>
      <c r="S14" s="173">
        <v>0.0</v>
      </c>
      <c r="T14" s="173">
        <v>560.08</v>
      </c>
      <c r="U14" s="201" t="s">
        <v>97</v>
      </c>
      <c r="V14" s="165">
        <v>46023.0</v>
      </c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</row>
    <row r="15">
      <c r="A15" s="154">
        <v>45868.0</v>
      </c>
      <c r="B15" s="155">
        <v>7350805.0</v>
      </c>
      <c r="C15" s="156" t="s">
        <v>82</v>
      </c>
      <c r="D15" s="156" t="s">
        <v>36</v>
      </c>
      <c r="E15" s="155">
        <v>7350805.0</v>
      </c>
      <c r="F15" s="156" t="s">
        <v>116</v>
      </c>
      <c r="G15" s="154">
        <v>46024.0</v>
      </c>
      <c r="H15" s="157">
        <v>46025.0</v>
      </c>
      <c r="I15" s="158">
        <v>1.0</v>
      </c>
      <c r="J15" s="159" t="s">
        <v>78</v>
      </c>
      <c r="K15" s="156" t="s">
        <v>79</v>
      </c>
      <c r="L15" s="156" t="s">
        <v>96</v>
      </c>
      <c r="M15" s="202">
        <v>2.0</v>
      </c>
      <c r="N15" s="160">
        <v>0.0</v>
      </c>
      <c r="O15" s="161">
        <v>249.84</v>
      </c>
      <c r="P15" s="161">
        <v>247.3416</v>
      </c>
      <c r="Q15" s="203">
        <v>0.0</v>
      </c>
      <c r="R15" s="162">
        <v>247.3416</v>
      </c>
      <c r="S15" s="162">
        <v>0.0</v>
      </c>
      <c r="T15" s="162">
        <v>254.84</v>
      </c>
      <c r="U15" s="163" t="s">
        <v>97</v>
      </c>
      <c r="V15" s="154">
        <v>45868.0</v>
      </c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</row>
    <row r="16">
      <c r="A16" s="176">
        <v>45868.0</v>
      </c>
      <c r="B16" s="177">
        <v>7350819.0</v>
      </c>
      <c r="C16" s="178" t="s">
        <v>82</v>
      </c>
      <c r="D16" s="178" t="s">
        <v>36</v>
      </c>
      <c r="E16" s="178">
        <v>7350819.0</v>
      </c>
      <c r="F16" s="178" t="s">
        <v>116</v>
      </c>
      <c r="G16" s="176">
        <v>46024.0</v>
      </c>
      <c r="H16" s="179">
        <v>46025.0</v>
      </c>
      <c r="I16" s="180">
        <v>1.0</v>
      </c>
      <c r="J16" s="181" t="s">
        <v>78</v>
      </c>
      <c r="K16" s="178" t="s">
        <v>79</v>
      </c>
      <c r="L16" s="178" t="s">
        <v>96</v>
      </c>
      <c r="M16" s="177">
        <v>2.0</v>
      </c>
      <c r="N16" s="183">
        <v>0.0</v>
      </c>
      <c r="O16" s="184">
        <v>249.84</v>
      </c>
      <c r="P16" s="184">
        <v>247.3416</v>
      </c>
      <c r="Q16" s="185">
        <v>0.0</v>
      </c>
      <c r="R16" s="186">
        <v>247.3416</v>
      </c>
      <c r="S16" s="186">
        <v>0.0</v>
      </c>
      <c r="T16" s="186">
        <v>254.84</v>
      </c>
      <c r="U16" s="187" t="s">
        <v>97</v>
      </c>
      <c r="V16" s="189">
        <v>45868.0</v>
      </c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</row>
    <row r="17">
      <c r="A17" s="154">
        <v>45851.0</v>
      </c>
      <c r="B17" s="155">
        <v>7269798.0</v>
      </c>
      <c r="C17" s="156" t="s">
        <v>75</v>
      </c>
      <c r="D17" s="156" t="s">
        <v>36</v>
      </c>
      <c r="E17" s="155">
        <v>7269798.0</v>
      </c>
      <c r="F17" s="156" t="s">
        <v>117</v>
      </c>
      <c r="G17" s="154">
        <v>46024.0</v>
      </c>
      <c r="H17" s="157">
        <v>46027.0</v>
      </c>
      <c r="I17" s="158">
        <v>3.0</v>
      </c>
      <c r="J17" s="159" t="s">
        <v>78</v>
      </c>
      <c r="K17" s="156" t="s">
        <v>79</v>
      </c>
      <c r="L17" s="156" t="s">
        <v>96</v>
      </c>
      <c r="M17" s="202">
        <v>2.0</v>
      </c>
      <c r="N17" s="160">
        <v>0.0</v>
      </c>
      <c r="O17" s="161">
        <v>178.60666666666668</v>
      </c>
      <c r="P17" s="161">
        <v>176.8206</v>
      </c>
      <c r="Q17" s="203">
        <v>0.0</v>
      </c>
      <c r="R17" s="162">
        <v>530.4618</v>
      </c>
      <c r="S17" s="162">
        <v>0.0</v>
      </c>
      <c r="T17" s="162">
        <v>550.82</v>
      </c>
      <c r="U17" s="163" t="s">
        <v>118</v>
      </c>
      <c r="V17" s="154">
        <v>45851.0</v>
      </c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</row>
    <row r="18">
      <c r="A18" s="154">
        <v>45783.0</v>
      </c>
      <c r="B18" s="155">
        <v>6989283.0</v>
      </c>
      <c r="C18" s="156" t="s">
        <v>89</v>
      </c>
      <c r="D18" s="156" t="s">
        <v>35</v>
      </c>
      <c r="E18" s="155">
        <v>4.483596442E9</v>
      </c>
      <c r="F18" s="156" t="s">
        <v>98</v>
      </c>
      <c r="G18" s="154">
        <v>46024.0</v>
      </c>
      <c r="H18" s="157">
        <v>46025.0</v>
      </c>
      <c r="I18" s="158">
        <v>1.0</v>
      </c>
      <c r="J18" s="159" t="s">
        <v>78</v>
      </c>
      <c r="K18" s="156" t="s">
        <v>79</v>
      </c>
      <c r="L18" s="156" t="s">
        <v>80</v>
      </c>
      <c r="M18" s="155">
        <v>0.0</v>
      </c>
      <c r="N18" s="160">
        <v>0.0</v>
      </c>
      <c r="O18" s="161">
        <v>0.0</v>
      </c>
      <c r="P18" s="161">
        <v>0.0</v>
      </c>
      <c r="Q18" s="203">
        <v>0.0</v>
      </c>
      <c r="R18" s="162">
        <v>0.0</v>
      </c>
      <c r="S18" s="162">
        <v>0.0</v>
      </c>
      <c r="T18" s="162">
        <v>0.0</v>
      </c>
      <c r="U18" s="163" t="s">
        <v>119</v>
      </c>
      <c r="V18" s="154">
        <v>46022.0</v>
      </c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</row>
    <row r="19">
      <c r="A19" s="154">
        <v>45922.0</v>
      </c>
      <c r="B19" s="155">
        <v>7592910.0</v>
      </c>
      <c r="C19" s="156" t="s">
        <v>89</v>
      </c>
      <c r="D19" s="156" t="s">
        <v>12</v>
      </c>
      <c r="E19" s="155" t="s">
        <v>120</v>
      </c>
      <c r="F19" s="156" t="s">
        <v>121</v>
      </c>
      <c r="G19" s="154">
        <v>46024.0</v>
      </c>
      <c r="H19" s="157">
        <v>46025.0</v>
      </c>
      <c r="I19" s="158">
        <v>1.0</v>
      </c>
      <c r="J19" s="159" t="s">
        <v>78</v>
      </c>
      <c r="K19" s="156" t="s">
        <v>79</v>
      </c>
      <c r="L19" s="156" t="s">
        <v>123</v>
      </c>
      <c r="M19" s="202">
        <v>0.0</v>
      </c>
      <c r="N19" s="160">
        <v>0.0</v>
      </c>
      <c r="O19" s="161">
        <v>0.0</v>
      </c>
      <c r="P19" s="161">
        <v>0.0</v>
      </c>
      <c r="Q19" s="203">
        <v>0.0</v>
      </c>
      <c r="R19" s="162">
        <v>0.0</v>
      </c>
      <c r="S19" s="162">
        <v>0.0</v>
      </c>
      <c r="T19" s="162">
        <v>0.0</v>
      </c>
      <c r="U19" s="163" t="s">
        <v>124</v>
      </c>
      <c r="V19" s="154">
        <v>45926.0</v>
      </c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</row>
    <row r="20">
      <c r="A20" s="165">
        <v>45947.0</v>
      </c>
      <c r="B20" s="166">
        <v>7695383.0</v>
      </c>
      <c r="C20" s="166" t="s">
        <v>82</v>
      </c>
      <c r="D20" s="166" t="s">
        <v>94</v>
      </c>
      <c r="E20" s="166">
        <v>7695383.0</v>
      </c>
      <c r="F20" s="166" t="s">
        <v>125</v>
      </c>
      <c r="G20" s="165">
        <v>46024.0</v>
      </c>
      <c r="H20" s="167">
        <v>46025.0</v>
      </c>
      <c r="I20" s="168">
        <v>1.0</v>
      </c>
      <c r="J20" s="169" t="s">
        <v>91</v>
      </c>
      <c r="K20" s="166" t="s">
        <v>79</v>
      </c>
      <c r="L20" s="166" t="s">
        <v>96</v>
      </c>
      <c r="M20" s="205">
        <v>2.0</v>
      </c>
      <c r="N20" s="170">
        <v>0.0</v>
      </c>
      <c r="O20" s="171">
        <v>575.28</v>
      </c>
      <c r="P20" s="171">
        <v>575.28</v>
      </c>
      <c r="Q20" s="172">
        <v>0.0</v>
      </c>
      <c r="R20" s="173">
        <v>575.28</v>
      </c>
      <c r="S20" s="173">
        <v>0.0</v>
      </c>
      <c r="T20" s="173">
        <v>580.28</v>
      </c>
      <c r="U20" s="201" t="s">
        <v>97</v>
      </c>
      <c r="V20" s="165">
        <v>45947.0</v>
      </c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</row>
    <row r="21">
      <c r="A21" s="154">
        <v>45926.0</v>
      </c>
      <c r="B21" s="155">
        <v>7607847.0</v>
      </c>
      <c r="C21" s="156" t="s">
        <v>82</v>
      </c>
      <c r="D21" s="156" t="s">
        <v>12</v>
      </c>
      <c r="E21" s="155" t="s">
        <v>126</v>
      </c>
      <c r="F21" s="156" t="s">
        <v>121</v>
      </c>
      <c r="G21" s="154">
        <v>46024.0</v>
      </c>
      <c r="H21" s="157">
        <v>46025.0</v>
      </c>
      <c r="I21" s="158">
        <v>1.0</v>
      </c>
      <c r="J21" s="159" t="s">
        <v>78</v>
      </c>
      <c r="K21" s="156" t="s">
        <v>79</v>
      </c>
      <c r="L21" s="156" t="s">
        <v>123</v>
      </c>
      <c r="M21" s="202">
        <v>3.0</v>
      </c>
      <c r="N21" s="160">
        <v>0.0</v>
      </c>
      <c r="O21" s="161">
        <v>365.6</v>
      </c>
      <c r="P21" s="161">
        <v>292.48</v>
      </c>
      <c r="Q21" s="203">
        <v>0.0</v>
      </c>
      <c r="R21" s="162">
        <v>292.48</v>
      </c>
      <c r="S21" s="162">
        <v>0.0</v>
      </c>
      <c r="T21" s="162" t="s">
        <v>127</v>
      </c>
      <c r="U21" s="163" t="s">
        <v>128</v>
      </c>
      <c r="V21" s="154">
        <v>45926.0</v>
      </c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</row>
    <row r="22">
      <c r="A22" s="176">
        <v>46022.0</v>
      </c>
      <c r="B22" s="177">
        <v>7976737.0</v>
      </c>
      <c r="C22" s="178" t="s">
        <v>82</v>
      </c>
      <c r="D22" s="178" t="s">
        <v>94</v>
      </c>
      <c r="E22" s="177">
        <v>7976737.0</v>
      </c>
      <c r="F22" s="178" t="s">
        <v>98</v>
      </c>
      <c r="G22" s="176">
        <v>46024.0</v>
      </c>
      <c r="H22" s="179">
        <v>46025.0</v>
      </c>
      <c r="I22" s="180">
        <v>1.0</v>
      </c>
      <c r="J22" s="181" t="s">
        <v>78</v>
      </c>
      <c r="K22" s="178" t="s">
        <v>79</v>
      </c>
      <c r="L22" s="178" t="s">
        <v>96</v>
      </c>
      <c r="M22" s="182">
        <v>2.0</v>
      </c>
      <c r="N22" s="183">
        <v>0.0</v>
      </c>
      <c r="O22" s="184">
        <v>249.84</v>
      </c>
      <c r="P22" s="184">
        <v>249.84</v>
      </c>
      <c r="Q22" s="185">
        <v>0.0</v>
      </c>
      <c r="R22" s="186">
        <v>249.84</v>
      </c>
      <c r="S22" s="186">
        <v>0.0</v>
      </c>
      <c r="T22" s="186">
        <v>254.84</v>
      </c>
      <c r="U22" s="187" t="s">
        <v>97</v>
      </c>
      <c r="V22" s="176">
        <v>46022.0</v>
      </c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</row>
    <row r="23">
      <c r="A23" s="154">
        <v>45810.0</v>
      </c>
      <c r="B23" s="155">
        <v>7100375.0</v>
      </c>
      <c r="C23" s="156" t="s">
        <v>89</v>
      </c>
      <c r="D23" s="156" t="s">
        <v>129</v>
      </c>
      <c r="E23" s="155">
        <v>2.211711908E9</v>
      </c>
      <c r="F23" s="156" t="s">
        <v>130</v>
      </c>
      <c r="G23" s="154">
        <v>46025.0</v>
      </c>
      <c r="H23" s="157">
        <v>46030.0</v>
      </c>
      <c r="I23" s="158">
        <v>5.0</v>
      </c>
      <c r="J23" s="159" t="s">
        <v>87</v>
      </c>
      <c r="K23" s="156"/>
      <c r="L23" s="156"/>
      <c r="M23" s="202">
        <v>0.0</v>
      </c>
      <c r="N23" s="160">
        <v>0.0</v>
      </c>
      <c r="O23" s="161">
        <v>0.0</v>
      </c>
      <c r="P23" s="161">
        <v>0.0</v>
      </c>
      <c r="Q23" s="203">
        <v>0.0</v>
      </c>
      <c r="R23" s="162">
        <v>0.0</v>
      </c>
      <c r="S23" s="162">
        <v>0.0</v>
      </c>
      <c r="T23" s="162">
        <v>0.0</v>
      </c>
      <c r="U23" s="163" t="s">
        <v>131</v>
      </c>
      <c r="V23" s="154">
        <v>45812.0</v>
      </c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</row>
    <row r="24">
      <c r="A24" s="165">
        <v>45812.0</v>
      </c>
      <c r="B24" s="166">
        <v>7112016.0</v>
      </c>
      <c r="C24" s="166" t="s">
        <v>75</v>
      </c>
      <c r="D24" s="166" t="s">
        <v>129</v>
      </c>
      <c r="E24" s="166">
        <v>2.213775371E9</v>
      </c>
      <c r="F24" s="166" t="s">
        <v>130</v>
      </c>
      <c r="G24" s="165">
        <v>46025.0</v>
      </c>
      <c r="H24" s="167">
        <v>46030.0</v>
      </c>
      <c r="I24" s="168">
        <v>5.0</v>
      </c>
      <c r="J24" s="169" t="s">
        <v>78</v>
      </c>
      <c r="K24" s="166"/>
      <c r="L24" s="166"/>
      <c r="M24" s="205">
        <v>2.0</v>
      </c>
      <c r="N24" s="170">
        <v>0.0</v>
      </c>
      <c r="O24" s="171">
        <v>0.0</v>
      </c>
      <c r="P24" s="171">
        <v>0.0</v>
      </c>
      <c r="Q24" s="172">
        <v>0.0</v>
      </c>
      <c r="R24" s="173">
        <v>0.0</v>
      </c>
      <c r="S24" s="173">
        <v>0.0</v>
      </c>
      <c r="T24" s="173">
        <v>0.0</v>
      </c>
      <c r="U24" s="174" t="s">
        <v>133</v>
      </c>
      <c r="V24" s="165">
        <v>45812.0</v>
      </c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</row>
    <row r="25">
      <c r="A25" s="154">
        <v>45942.0</v>
      </c>
      <c r="B25" s="155">
        <v>7674402.0</v>
      </c>
      <c r="C25" s="156" t="s">
        <v>82</v>
      </c>
      <c r="D25" s="156" t="s">
        <v>35</v>
      </c>
      <c r="E25" s="155">
        <v>6.976566799E9</v>
      </c>
      <c r="F25" s="156" t="s">
        <v>134</v>
      </c>
      <c r="G25" s="154">
        <v>46025.0</v>
      </c>
      <c r="H25" s="157">
        <v>46026.0</v>
      </c>
      <c r="I25" s="158">
        <v>1.0</v>
      </c>
      <c r="J25" s="159" t="s">
        <v>78</v>
      </c>
      <c r="K25" s="156" t="s">
        <v>79</v>
      </c>
      <c r="L25" s="156" t="s">
        <v>80</v>
      </c>
      <c r="M25" s="202">
        <v>2.0</v>
      </c>
      <c r="N25" s="160">
        <v>0.19999999999999996</v>
      </c>
      <c r="O25" s="161">
        <v>186.81</v>
      </c>
      <c r="P25" s="161">
        <v>149.448</v>
      </c>
      <c r="Q25" s="203">
        <v>0.0</v>
      </c>
      <c r="R25" s="162">
        <v>149.448</v>
      </c>
      <c r="S25" s="162">
        <v>0.0</v>
      </c>
      <c r="T25" s="162">
        <v>191.81</v>
      </c>
      <c r="U25" s="163" t="s">
        <v>107</v>
      </c>
      <c r="V25" s="154">
        <v>45942.0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</row>
    <row r="26">
      <c r="A26" s="154">
        <v>45947.0</v>
      </c>
      <c r="B26" s="155">
        <v>7695386.0</v>
      </c>
      <c r="C26" s="156" t="s">
        <v>82</v>
      </c>
      <c r="D26" s="156" t="s">
        <v>94</v>
      </c>
      <c r="E26" s="155">
        <v>7695386.0</v>
      </c>
      <c r="F26" s="156" t="s">
        <v>135</v>
      </c>
      <c r="G26" s="154">
        <v>46025.0</v>
      </c>
      <c r="H26" s="157">
        <v>46027.0</v>
      </c>
      <c r="I26" s="158">
        <v>2.0</v>
      </c>
      <c r="J26" s="159" t="s">
        <v>78</v>
      </c>
      <c r="K26" s="156" t="s">
        <v>79</v>
      </c>
      <c r="L26" s="156" t="s">
        <v>96</v>
      </c>
      <c r="M26" s="155">
        <v>2.0</v>
      </c>
      <c r="N26" s="160">
        <v>0.0</v>
      </c>
      <c r="O26" s="161">
        <v>249.84</v>
      </c>
      <c r="P26" s="161">
        <v>249.84</v>
      </c>
      <c r="Q26" s="203">
        <v>0.0</v>
      </c>
      <c r="R26" s="162">
        <v>499.68</v>
      </c>
      <c r="S26" s="162">
        <v>0.0</v>
      </c>
      <c r="T26" s="162">
        <v>509.68</v>
      </c>
      <c r="U26" s="163" t="s">
        <v>97</v>
      </c>
      <c r="V26" s="154">
        <v>45947.0</v>
      </c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</row>
    <row r="27">
      <c r="A27" s="165">
        <v>45952.0</v>
      </c>
      <c r="B27" s="166">
        <v>7717090.0</v>
      </c>
      <c r="C27" s="166" t="s">
        <v>82</v>
      </c>
      <c r="D27" s="166" t="s">
        <v>35</v>
      </c>
      <c r="E27" s="166">
        <v>6.274500247E9</v>
      </c>
      <c r="F27" s="166" t="s">
        <v>136</v>
      </c>
      <c r="G27" s="165">
        <v>46025.0</v>
      </c>
      <c r="H27" s="167">
        <v>46030.0</v>
      </c>
      <c r="I27" s="168">
        <v>5.0</v>
      </c>
      <c r="J27" s="169" t="s">
        <v>91</v>
      </c>
      <c r="K27" s="166" t="s">
        <v>79</v>
      </c>
      <c r="L27" s="166" t="s">
        <v>80</v>
      </c>
      <c r="M27" s="166">
        <v>4.0</v>
      </c>
      <c r="N27" s="170">
        <v>0.19999999999999996</v>
      </c>
      <c r="O27" s="171">
        <v>419.62</v>
      </c>
      <c r="P27" s="171">
        <v>335.696</v>
      </c>
      <c r="Q27" s="172">
        <v>0.0</v>
      </c>
      <c r="R27" s="173">
        <v>1678.48</v>
      </c>
      <c r="S27" s="173">
        <v>0.0</v>
      </c>
      <c r="T27" s="173">
        <v>2148.1</v>
      </c>
      <c r="U27" s="201" t="s">
        <v>88</v>
      </c>
      <c r="V27" s="207">
        <v>45952.0</v>
      </c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</row>
    <row r="28">
      <c r="A28" s="165">
        <v>45955.0</v>
      </c>
      <c r="B28" s="166">
        <v>7729764.0</v>
      </c>
      <c r="C28" s="166" t="s">
        <v>82</v>
      </c>
      <c r="D28" s="166" t="s">
        <v>35</v>
      </c>
      <c r="E28" s="166">
        <v>5.457395112E9</v>
      </c>
      <c r="F28" s="166" t="s">
        <v>137</v>
      </c>
      <c r="G28" s="165">
        <v>46025.0</v>
      </c>
      <c r="H28" s="167">
        <v>46031.0</v>
      </c>
      <c r="I28" s="168">
        <v>6.0</v>
      </c>
      <c r="J28" s="169" t="s">
        <v>111</v>
      </c>
      <c r="K28" s="166" t="s">
        <v>138</v>
      </c>
      <c r="L28" s="166" t="s">
        <v>80</v>
      </c>
      <c r="M28" s="166">
        <v>3.0</v>
      </c>
      <c r="N28" s="170">
        <v>0.19999999999999996</v>
      </c>
      <c r="O28" s="171">
        <v>210.57</v>
      </c>
      <c r="P28" s="171">
        <v>168.45600000000002</v>
      </c>
      <c r="Q28" s="172">
        <v>54.0</v>
      </c>
      <c r="R28" s="173">
        <v>1010.7360000000001</v>
      </c>
      <c r="S28" s="173">
        <v>324.0</v>
      </c>
      <c r="T28" s="173">
        <v>1522.62</v>
      </c>
      <c r="U28" s="201" t="s">
        <v>140</v>
      </c>
      <c r="V28" s="165">
        <v>45955.0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</row>
    <row r="29">
      <c r="A29" s="165">
        <v>45963.0</v>
      </c>
      <c r="B29" s="166">
        <v>7757070.0</v>
      </c>
      <c r="C29" s="166" t="s">
        <v>82</v>
      </c>
      <c r="D29" s="166" t="s">
        <v>35</v>
      </c>
      <c r="E29" s="166">
        <v>6.199150316E9</v>
      </c>
      <c r="F29" s="166" t="s">
        <v>141</v>
      </c>
      <c r="G29" s="165">
        <v>46025.0</v>
      </c>
      <c r="H29" s="167">
        <v>46026.0</v>
      </c>
      <c r="I29" s="168">
        <v>1.0</v>
      </c>
      <c r="J29" s="169" t="s">
        <v>78</v>
      </c>
      <c r="K29" s="166" t="s">
        <v>79</v>
      </c>
      <c r="L29" s="166" t="s">
        <v>80</v>
      </c>
      <c r="M29" s="205">
        <v>3.0</v>
      </c>
      <c r="N29" s="170">
        <v>0.19999999999999996</v>
      </c>
      <c r="O29" s="171">
        <v>165.81</v>
      </c>
      <c r="P29" s="171">
        <v>132.648</v>
      </c>
      <c r="Q29" s="172">
        <v>0.0</v>
      </c>
      <c r="R29" s="173">
        <v>132.648</v>
      </c>
      <c r="S29" s="173">
        <v>0.0</v>
      </c>
      <c r="T29" s="173">
        <v>173.31</v>
      </c>
      <c r="U29" s="174" t="s">
        <v>107</v>
      </c>
      <c r="V29" s="165">
        <v>45963.0</v>
      </c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</row>
    <row r="30">
      <c r="A30" s="154">
        <v>45988.0</v>
      </c>
      <c r="B30" s="155">
        <v>7855729.0</v>
      </c>
      <c r="C30" s="156" t="s">
        <v>82</v>
      </c>
      <c r="D30" s="156" t="s">
        <v>35</v>
      </c>
      <c r="E30" s="155">
        <v>5.176796344E9</v>
      </c>
      <c r="F30" s="156" t="s">
        <v>142</v>
      </c>
      <c r="G30" s="154">
        <v>46025.0</v>
      </c>
      <c r="H30" s="157">
        <v>46026.0</v>
      </c>
      <c r="I30" s="158">
        <v>1.0</v>
      </c>
      <c r="J30" s="159" t="s">
        <v>114</v>
      </c>
      <c r="K30" s="156" t="s">
        <v>79</v>
      </c>
      <c r="L30" s="156" t="s">
        <v>80</v>
      </c>
      <c r="M30" s="155">
        <v>2.0</v>
      </c>
      <c r="N30" s="160">
        <v>0.19999999999999996</v>
      </c>
      <c r="O30" s="161">
        <v>197.82</v>
      </c>
      <c r="P30" s="161">
        <v>158.256</v>
      </c>
      <c r="Q30" s="159">
        <v>0.0</v>
      </c>
      <c r="R30" s="162">
        <v>158.256</v>
      </c>
      <c r="S30" s="162">
        <v>0.0</v>
      </c>
      <c r="T30" s="162">
        <v>202.82</v>
      </c>
      <c r="U30" s="163" t="s">
        <v>143</v>
      </c>
      <c r="V30" s="154">
        <v>45988.0</v>
      </c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</row>
    <row r="31">
      <c r="A31" s="176">
        <v>45994.0</v>
      </c>
      <c r="B31" s="177">
        <v>7877838.0</v>
      </c>
      <c r="C31" s="178" t="s">
        <v>89</v>
      </c>
      <c r="D31" s="178" t="s">
        <v>35</v>
      </c>
      <c r="E31" s="177">
        <v>6.800653008E9</v>
      </c>
      <c r="F31" s="178" t="s">
        <v>144</v>
      </c>
      <c r="G31" s="176">
        <v>46025.0</v>
      </c>
      <c r="H31" s="179">
        <v>46026.0</v>
      </c>
      <c r="I31" s="180">
        <v>1.0</v>
      </c>
      <c r="J31" s="181" t="s">
        <v>114</v>
      </c>
      <c r="K31" s="178" t="s">
        <v>79</v>
      </c>
      <c r="L31" s="178" t="s">
        <v>80</v>
      </c>
      <c r="M31" s="182">
        <v>0.0</v>
      </c>
      <c r="N31" s="183">
        <v>0.0</v>
      </c>
      <c r="O31" s="184">
        <v>0.0</v>
      </c>
      <c r="P31" s="184">
        <v>0.0</v>
      </c>
      <c r="Q31" s="185">
        <v>0.0</v>
      </c>
      <c r="R31" s="186">
        <v>0.0</v>
      </c>
      <c r="S31" s="186">
        <v>0.0</v>
      </c>
      <c r="T31" s="186">
        <v>0.0</v>
      </c>
      <c r="U31" s="187" t="s">
        <v>145</v>
      </c>
      <c r="V31" s="176">
        <v>46022.0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</row>
    <row r="32">
      <c r="A32" s="165">
        <v>45940.0</v>
      </c>
      <c r="B32" s="166">
        <v>7666779.0</v>
      </c>
      <c r="C32" s="166" t="s">
        <v>82</v>
      </c>
      <c r="D32" s="166" t="s">
        <v>35</v>
      </c>
      <c r="E32" s="166">
        <v>5.72355195E9</v>
      </c>
      <c r="F32" s="166" t="s">
        <v>146</v>
      </c>
      <c r="G32" s="165">
        <v>46026.0</v>
      </c>
      <c r="H32" s="167">
        <v>46033.0</v>
      </c>
      <c r="I32" s="168">
        <v>7.0</v>
      </c>
      <c r="J32" s="169" t="s">
        <v>114</v>
      </c>
      <c r="K32" s="166" t="s">
        <v>79</v>
      </c>
      <c r="L32" s="166" t="s">
        <v>80</v>
      </c>
      <c r="M32" s="166">
        <v>2.0</v>
      </c>
      <c r="N32" s="170">
        <v>0.19999999999999996</v>
      </c>
      <c r="O32" s="171">
        <v>195.82999999999998</v>
      </c>
      <c r="P32" s="171">
        <v>156.664</v>
      </c>
      <c r="Q32" s="172">
        <v>0.0</v>
      </c>
      <c r="R32" s="173">
        <v>1096.648</v>
      </c>
      <c r="S32" s="173">
        <v>0.0</v>
      </c>
      <c r="T32" s="173">
        <v>1405.81</v>
      </c>
      <c r="U32" s="174" t="s">
        <v>107</v>
      </c>
      <c r="V32" s="165">
        <v>45940.0</v>
      </c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</row>
    <row r="33">
      <c r="A33" s="165">
        <v>45952.0</v>
      </c>
      <c r="B33" s="166">
        <v>7717168.0</v>
      </c>
      <c r="C33" s="166" t="s">
        <v>82</v>
      </c>
      <c r="D33" s="166" t="s">
        <v>35</v>
      </c>
      <c r="E33" s="166">
        <v>5.665036245E9</v>
      </c>
      <c r="F33" s="166" t="s">
        <v>147</v>
      </c>
      <c r="G33" s="165">
        <v>46026.0</v>
      </c>
      <c r="H33" s="167">
        <v>46033.0</v>
      </c>
      <c r="I33" s="168">
        <v>7.0</v>
      </c>
      <c r="J33" s="169" t="s">
        <v>78</v>
      </c>
      <c r="K33" s="166" t="s">
        <v>79</v>
      </c>
      <c r="L33" s="166" t="s">
        <v>80</v>
      </c>
      <c r="M33" s="166">
        <v>2.0</v>
      </c>
      <c r="N33" s="170">
        <v>0.19999999999999996</v>
      </c>
      <c r="O33" s="171">
        <v>168.07999999999998</v>
      </c>
      <c r="P33" s="171">
        <v>134.464</v>
      </c>
      <c r="Q33" s="172">
        <v>0.0</v>
      </c>
      <c r="R33" s="173">
        <v>941.248</v>
      </c>
      <c r="S33" s="173">
        <v>0.0</v>
      </c>
      <c r="T33" s="173">
        <v>1176.56</v>
      </c>
      <c r="U33" s="174" t="s">
        <v>107</v>
      </c>
      <c r="V33" s="165">
        <v>45952.0</v>
      </c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</row>
    <row r="34">
      <c r="A34" s="165">
        <v>45955.0</v>
      </c>
      <c r="B34" s="166">
        <v>7729232.0</v>
      </c>
      <c r="C34" s="166" t="s">
        <v>82</v>
      </c>
      <c r="D34" s="166" t="s">
        <v>35</v>
      </c>
      <c r="E34" s="166">
        <v>5.317537166E9</v>
      </c>
      <c r="F34" s="166" t="s">
        <v>149</v>
      </c>
      <c r="G34" s="165">
        <v>46026.0</v>
      </c>
      <c r="H34" s="167">
        <v>46033.0</v>
      </c>
      <c r="I34" s="168">
        <v>7.0</v>
      </c>
      <c r="J34" s="169" t="s">
        <v>78</v>
      </c>
      <c r="K34" s="166" t="s">
        <v>79</v>
      </c>
      <c r="L34" s="166" t="s">
        <v>80</v>
      </c>
      <c r="M34" s="205">
        <v>1.0</v>
      </c>
      <c r="N34" s="170">
        <v>0.19999999999999996</v>
      </c>
      <c r="O34" s="171">
        <v>168.24</v>
      </c>
      <c r="P34" s="171">
        <v>134.592</v>
      </c>
      <c r="Q34" s="172">
        <v>0.0</v>
      </c>
      <c r="R34" s="173">
        <v>942.1440000000001</v>
      </c>
      <c r="S34" s="173">
        <v>0.0</v>
      </c>
      <c r="T34" s="173">
        <v>1195.18</v>
      </c>
      <c r="U34" s="174" t="s">
        <v>107</v>
      </c>
      <c r="V34" s="165">
        <v>45955.0</v>
      </c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</row>
    <row r="35">
      <c r="A35" s="165">
        <v>45957.0</v>
      </c>
      <c r="B35" s="166">
        <v>7735462.0</v>
      </c>
      <c r="C35" s="166" t="s">
        <v>82</v>
      </c>
      <c r="D35" s="166" t="s">
        <v>35</v>
      </c>
      <c r="E35" s="166">
        <v>6.417017923E9</v>
      </c>
      <c r="F35" s="166" t="s">
        <v>150</v>
      </c>
      <c r="G35" s="165">
        <v>46026.0</v>
      </c>
      <c r="H35" s="167">
        <v>46027.0</v>
      </c>
      <c r="I35" s="168">
        <v>1.0</v>
      </c>
      <c r="J35" s="169" t="s">
        <v>114</v>
      </c>
      <c r="K35" s="166" t="s">
        <v>79</v>
      </c>
      <c r="L35" s="166" t="s">
        <v>80</v>
      </c>
      <c r="M35" s="166">
        <v>2.0</v>
      </c>
      <c r="N35" s="170">
        <v>0.19999999999999996</v>
      </c>
      <c r="O35" s="171">
        <v>192.3</v>
      </c>
      <c r="P35" s="171">
        <v>153.84000000000003</v>
      </c>
      <c r="Q35" s="172">
        <v>0.0</v>
      </c>
      <c r="R35" s="173">
        <v>153.84000000000003</v>
      </c>
      <c r="S35" s="173">
        <v>0.0</v>
      </c>
      <c r="T35" s="173">
        <v>197.3</v>
      </c>
      <c r="U35" s="174" t="s">
        <v>107</v>
      </c>
      <c r="V35" s="208">
        <v>45957.0</v>
      </c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</row>
    <row r="36">
      <c r="A36" s="165">
        <v>45957.0</v>
      </c>
      <c r="B36" s="166">
        <v>7735820.0</v>
      </c>
      <c r="C36" s="166" t="s">
        <v>82</v>
      </c>
      <c r="D36" s="166" t="s">
        <v>35</v>
      </c>
      <c r="E36" s="166">
        <v>6.996552911E9</v>
      </c>
      <c r="F36" s="166" t="s">
        <v>151</v>
      </c>
      <c r="G36" s="165">
        <v>46026.0</v>
      </c>
      <c r="H36" s="167">
        <v>46029.0</v>
      </c>
      <c r="I36" s="168">
        <v>3.0</v>
      </c>
      <c r="J36" s="169" t="s">
        <v>87</v>
      </c>
      <c r="K36" s="166" t="s">
        <v>79</v>
      </c>
      <c r="L36" s="166" t="s">
        <v>80</v>
      </c>
      <c r="M36" s="166">
        <v>2.0</v>
      </c>
      <c r="N36" s="170">
        <v>0.19999999999999996</v>
      </c>
      <c r="O36" s="171">
        <v>174.55999999999997</v>
      </c>
      <c r="P36" s="171">
        <v>139.648</v>
      </c>
      <c r="Q36" s="172">
        <v>0.0</v>
      </c>
      <c r="R36" s="173">
        <v>418.94399999999996</v>
      </c>
      <c r="S36" s="173">
        <v>0.0</v>
      </c>
      <c r="T36" s="173">
        <v>523.68</v>
      </c>
      <c r="U36" s="201" t="s">
        <v>88</v>
      </c>
      <c r="V36" s="165">
        <v>45957.0</v>
      </c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</row>
    <row r="37">
      <c r="A37" s="165">
        <v>46025.0</v>
      </c>
      <c r="B37" s="166">
        <v>7986963.0</v>
      </c>
      <c r="C37" s="166" t="s">
        <v>82</v>
      </c>
      <c r="D37" s="166" t="s">
        <v>36</v>
      </c>
      <c r="E37" s="166">
        <v>7986963.0</v>
      </c>
      <c r="F37" s="166" t="s">
        <v>152</v>
      </c>
      <c r="G37" s="165">
        <v>46026.0</v>
      </c>
      <c r="H37" s="167">
        <v>46027.0</v>
      </c>
      <c r="I37" s="168">
        <v>1.0</v>
      </c>
      <c r="J37" s="169" t="s">
        <v>114</v>
      </c>
      <c r="K37" s="166" t="s">
        <v>79</v>
      </c>
      <c r="L37" s="166" t="s">
        <v>96</v>
      </c>
      <c r="M37" s="166">
        <v>2.0</v>
      </c>
      <c r="N37" s="170">
        <v>0.0</v>
      </c>
      <c r="O37" s="171">
        <v>275.04</v>
      </c>
      <c r="P37" s="171">
        <v>272.2896</v>
      </c>
      <c r="Q37" s="172">
        <v>0.0</v>
      </c>
      <c r="R37" s="173">
        <v>272.2896</v>
      </c>
      <c r="S37" s="173">
        <v>0.0</v>
      </c>
      <c r="T37" s="173">
        <v>280.04</v>
      </c>
      <c r="U37" s="201" t="s">
        <v>97</v>
      </c>
      <c r="V37" s="165">
        <v>46025.0</v>
      </c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</row>
    <row r="38">
      <c r="A38" s="165">
        <v>45952.0</v>
      </c>
      <c r="B38" s="166">
        <v>7717902.0</v>
      </c>
      <c r="C38" s="166" t="s">
        <v>89</v>
      </c>
      <c r="D38" s="166" t="s">
        <v>35</v>
      </c>
      <c r="E38" s="166">
        <v>5.388314156E9</v>
      </c>
      <c r="F38" s="166" t="s">
        <v>153</v>
      </c>
      <c r="G38" s="165">
        <v>46027.0</v>
      </c>
      <c r="H38" s="167">
        <v>46028.0</v>
      </c>
      <c r="I38" s="168">
        <v>1.0</v>
      </c>
      <c r="J38" s="169" t="s">
        <v>114</v>
      </c>
      <c r="K38" s="166" t="s">
        <v>79</v>
      </c>
      <c r="L38" s="166" t="s">
        <v>80</v>
      </c>
      <c r="M38" s="205">
        <v>0.0</v>
      </c>
      <c r="N38" s="170">
        <v>0.0</v>
      </c>
      <c r="O38" s="171">
        <v>0.0</v>
      </c>
      <c r="P38" s="171">
        <v>0.0</v>
      </c>
      <c r="Q38" s="172">
        <v>0.0</v>
      </c>
      <c r="R38" s="173">
        <v>0.0</v>
      </c>
      <c r="S38" s="173">
        <v>0.0</v>
      </c>
      <c r="T38" s="173">
        <v>0.0</v>
      </c>
      <c r="U38" s="174" t="s">
        <v>155</v>
      </c>
      <c r="V38" s="165">
        <v>46024.0</v>
      </c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</row>
    <row r="39">
      <c r="A39" s="176">
        <v>45957.0</v>
      </c>
      <c r="B39" s="166">
        <v>7735472.0</v>
      </c>
      <c r="C39" s="166" t="s">
        <v>82</v>
      </c>
      <c r="D39" s="166" t="s">
        <v>35</v>
      </c>
      <c r="E39" s="166">
        <v>5.264262763E9</v>
      </c>
      <c r="F39" s="166" t="s">
        <v>150</v>
      </c>
      <c r="G39" s="165">
        <v>46027.0</v>
      </c>
      <c r="H39" s="167">
        <v>46029.0</v>
      </c>
      <c r="I39" s="168">
        <v>2.0</v>
      </c>
      <c r="J39" s="169" t="s">
        <v>111</v>
      </c>
      <c r="K39" s="166" t="s">
        <v>79</v>
      </c>
      <c r="L39" s="166" t="s">
        <v>80</v>
      </c>
      <c r="M39" s="166">
        <v>2.0</v>
      </c>
      <c r="N39" s="169">
        <v>0.19999999999999996</v>
      </c>
      <c r="O39" s="171">
        <v>212.85</v>
      </c>
      <c r="P39" s="171">
        <v>170.28</v>
      </c>
      <c r="Q39" s="169">
        <v>0.0</v>
      </c>
      <c r="R39" s="173">
        <v>340.56</v>
      </c>
      <c r="S39" s="173">
        <v>0.0</v>
      </c>
      <c r="T39" s="173">
        <v>435.7</v>
      </c>
      <c r="U39" s="201" t="s">
        <v>107</v>
      </c>
      <c r="V39" s="165">
        <v>45957.0</v>
      </c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</row>
    <row r="40">
      <c r="A40" s="154">
        <v>45971.0</v>
      </c>
      <c r="B40" s="155">
        <v>7791318.0</v>
      </c>
      <c r="C40" s="156" t="s">
        <v>82</v>
      </c>
      <c r="D40" s="156" t="s">
        <v>35</v>
      </c>
      <c r="E40" s="155">
        <v>6.847998359E9</v>
      </c>
      <c r="F40" s="156" t="s">
        <v>152</v>
      </c>
      <c r="G40" s="154">
        <v>46027.0</v>
      </c>
      <c r="H40" s="157">
        <v>46028.0</v>
      </c>
      <c r="I40" s="158">
        <v>1.0</v>
      </c>
      <c r="J40" s="159" t="s">
        <v>78</v>
      </c>
      <c r="K40" s="156" t="s">
        <v>79</v>
      </c>
      <c r="L40" s="156" t="s">
        <v>80</v>
      </c>
      <c r="M40" s="155">
        <v>2.0</v>
      </c>
      <c r="N40" s="160">
        <v>0.19999999999999996</v>
      </c>
      <c r="O40" s="161">
        <v>150.95</v>
      </c>
      <c r="P40" s="161">
        <v>120.75999999999999</v>
      </c>
      <c r="Q40" s="159">
        <v>0.0</v>
      </c>
      <c r="R40" s="162">
        <v>120.75999999999999</v>
      </c>
      <c r="S40" s="162">
        <v>0.0</v>
      </c>
      <c r="T40" s="162">
        <v>155.95</v>
      </c>
      <c r="U40" s="163" t="s">
        <v>107</v>
      </c>
      <c r="V40" s="154">
        <v>45971.0</v>
      </c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</row>
    <row r="41">
      <c r="A41" s="165">
        <v>45979.0</v>
      </c>
      <c r="B41" s="166">
        <v>7820179.0</v>
      </c>
      <c r="C41" s="166" t="s">
        <v>82</v>
      </c>
      <c r="D41" s="166" t="s">
        <v>36</v>
      </c>
      <c r="E41" s="166">
        <v>7820179.0</v>
      </c>
      <c r="F41" s="166" t="s">
        <v>156</v>
      </c>
      <c r="G41" s="165">
        <v>46027.0</v>
      </c>
      <c r="H41" s="167">
        <v>46031.0</v>
      </c>
      <c r="I41" s="168">
        <v>4.0</v>
      </c>
      <c r="J41" s="169" t="s">
        <v>78</v>
      </c>
      <c r="K41" s="166" t="s">
        <v>79</v>
      </c>
      <c r="L41" s="166" t="s">
        <v>96</v>
      </c>
      <c r="M41" s="166">
        <v>2.0</v>
      </c>
      <c r="N41" s="170">
        <v>0.0</v>
      </c>
      <c r="O41" s="171">
        <v>249.84</v>
      </c>
      <c r="P41" s="171">
        <v>247.3416</v>
      </c>
      <c r="Q41" s="172">
        <v>0.0</v>
      </c>
      <c r="R41" s="173">
        <v>989.3664</v>
      </c>
      <c r="S41" s="173">
        <v>0.0</v>
      </c>
      <c r="T41" s="173">
        <v>1019.36</v>
      </c>
      <c r="U41" s="174" t="s">
        <v>97</v>
      </c>
      <c r="V41" s="165">
        <v>45979.0</v>
      </c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</row>
    <row r="42">
      <c r="A42" s="154">
        <v>45945.0</v>
      </c>
      <c r="B42" s="155">
        <v>7688474.0</v>
      </c>
      <c r="C42" s="156" t="s">
        <v>82</v>
      </c>
      <c r="D42" s="156" t="s">
        <v>35</v>
      </c>
      <c r="E42" s="155">
        <v>5.655908303E9</v>
      </c>
      <c r="F42" s="156" t="s">
        <v>157</v>
      </c>
      <c r="G42" s="154">
        <v>46029.0</v>
      </c>
      <c r="H42" s="157">
        <v>46032.0</v>
      </c>
      <c r="I42" s="158">
        <v>3.0</v>
      </c>
      <c r="J42" s="159" t="s">
        <v>87</v>
      </c>
      <c r="K42" s="156" t="s">
        <v>79</v>
      </c>
      <c r="L42" s="156" t="s">
        <v>80</v>
      </c>
      <c r="M42" s="155">
        <v>2.0</v>
      </c>
      <c r="N42" s="160">
        <v>0.19999999999999996</v>
      </c>
      <c r="O42" s="161">
        <v>156.83</v>
      </c>
      <c r="P42" s="161">
        <v>125.46400000000001</v>
      </c>
      <c r="Q42" s="159">
        <v>0.0</v>
      </c>
      <c r="R42" s="162">
        <v>376.39200000000005</v>
      </c>
      <c r="S42" s="162">
        <v>0.0</v>
      </c>
      <c r="T42" s="162">
        <v>485.49</v>
      </c>
      <c r="U42" s="163" t="s">
        <v>107</v>
      </c>
      <c r="V42" s="154">
        <v>45945.0</v>
      </c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</row>
    <row r="43">
      <c r="A43" s="165">
        <v>45988.0</v>
      </c>
      <c r="B43" s="166">
        <v>7853656.0</v>
      </c>
      <c r="C43" s="166" t="s">
        <v>82</v>
      </c>
      <c r="D43" s="166" t="s">
        <v>35</v>
      </c>
      <c r="E43" s="166">
        <v>6.220413677E9</v>
      </c>
      <c r="F43" s="166" t="s">
        <v>159</v>
      </c>
      <c r="G43" s="165">
        <v>46029.0</v>
      </c>
      <c r="H43" s="167">
        <v>46031.0</v>
      </c>
      <c r="I43" s="168">
        <v>2.0</v>
      </c>
      <c r="J43" s="169" t="s">
        <v>78</v>
      </c>
      <c r="K43" s="166" t="s">
        <v>79</v>
      </c>
      <c r="L43" s="166" t="s">
        <v>80</v>
      </c>
      <c r="M43" s="205">
        <v>2.0</v>
      </c>
      <c r="N43" s="170">
        <v>0.19999999999999996</v>
      </c>
      <c r="O43" s="171">
        <v>156.26</v>
      </c>
      <c r="P43" s="171">
        <v>125.008</v>
      </c>
      <c r="Q43" s="172">
        <v>0.0</v>
      </c>
      <c r="R43" s="173">
        <v>250.016</v>
      </c>
      <c r="S43" s="173">
        <v>0.0</v>
      </c>
      <c r="T43" s="173">
        <v>322.52</v>
      </c>
      <c r="U43" s="174" t="s">
        <v>107</v>
      </c>
      <c r="V43" s="165">
        <v>45988.0</v>
      </c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</row>
    <row r="44">
      <c r="A44" s="176">
        <v>45990.0</v>
      </c>
      <c r="B44" s="177">
        <v>7860704.0</v>
      </c>
      <c r="C44" s="178" t="s">
        <v>82</v>
      </c>
      <c r="D44" s="178" t="s">
        <v>35</v>
      </c>
      <c r="E44" s="177">
        <v>5.073481233E9</v>
      </c>
      <c r="F44" s="178" t="s">
        <v>160</v>
      </c>
      <c r="G44" s="176">
        <v>46029.0</v>
      </c>
      <c r="H44" s="179">
        <v>46033.0</v>
      </c>
      <c r="I44" s="180">
        <v>4.0</v>
      </c>
      <c r="J44" s="181" t="s">
        <v>111</v>
      </c>
      <c r="K44" s="178" t="s">
        <v>79</v>
      </c>
      <c r="L44" s="178" t="s">
        <v>80</v>
      </c>
      <c r="M44" s="182">
        <v>2.0</v>
      </c>
      <c r="N44" s="183">
        <v>0.19999999999999996</v>
      </c>
      <c r="O44" s="184">
        <v>210.23</v>
      </c>
      <c r="P44" s="184">
        <v>168.184</v>
      </c>
      <c r="Q44" s="185">
        <v>0.0</v>
      </c>
      <c r="R44" s="186">
        <v>672.736</v>
      </c>
      <c r="S44" s="186">
        <v>0.0</v>
      </c>
      <c r="T44" s="186">
        <v>860.92</v>
      </c>
      <c r="U44" s="187" t="s">
        <v>161</v>
      </c>
      <c r="V44" s="176">
        <v>45990.0</v>
      </c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</row>
    <row r="45">
      <c r="A45" s="176">
        <v>45993.0</v>
      </c>
      <c r="B45" s="177">
        <v>7874589.0</v>
      </c>
      <c r="C45" s="178" t="s">
        <v>82</v>
      </c>
      <c r="D45" s="178" t="s">
        <v>35</v>
      </c>
      <c r="E45" s="177">
        <v>6.619312979E9</v>
      </c>
      <c r="F45" s="178" t="s">
        <v>162</v>
      </c>
      <c r="G45" s="176">
        <v>46029.0</v>
      </c>
      <c r="H45" s="179">
        <v>46031.0</v>
      </c>
      <c r="I45" s="180">
        <v>2.0</v>
      </c>
      <c r="J45" s="181" t="s">
        <v>114</v>
      </c>
      <c r="K45" s="178" t="s">
        <v>138</v>
      </c>
      <c r="L45" s="178" t="s">
        <v>80</v>
      </c>
      <c r="M45" s="182">
        <v>2.0</v>
      </c>
      <c r="N45" s="183">
        <v>0.19999999999999996</v>
      </c>
      <c r="O45" s="184">
        <v>183.6</v>
      </c>
      <c r="P45" s="184">
        <v>146.88</v>
      </c>
      <c r="Q45" s="185">
        <v>36.0</v>
      </c>
      <c r="R45" s="186">
        <v>293.76</v>
      </c>
      <c r="S45" s="186">
        <v>72.0</v>
      </c>
      <c r="T45" s="186">
        <v>434.8</v>
      </c>
      <c r="U45" s="187" t="s">
        <v>140</v>
      </c>
      <c r="V45" s="176">
        <v>45993.0</v>
      </c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</row>
    <row r="46">
      <c r="A46" s="165">
        <v>45993.0</v>
      </c>
      <c r="B46" s="166">
        <v>7874546.0</v>
      </c>
      <c r="C46" s="166" t="s">
        <v>82</v>
      </c>
      <c r="D46" s="166" t="s">
        <v>129</v>
      </c>
      <c r="E46" s="166">
        <v>2.343841814E9</v>
      </c>
      <c r="F46" s="166" t="s">
        <v>163</v>
      </c>
      <c r="G46" s="165">
        <v>46030.0</v>
      </c>
      <c r="H46" s="167">
        <v>46031.0</v>
      </c>
      <c r="I46" s="168">
        <v>1.0</v>
      </c>
      <c r="J46" s="169" t="s">
        <v>78</v>
      </c>
      <c r="K46" s="166" t="s">
        <v>79</v>
      </c>
      <c r="L46" s="166" t="s">
        <v>103</v>
      </c>
      <c r="M46" s="205">
        <v>1.0</v>
      </c>
      <c r="N46" s="170">
        <v>0.0</v>
      </c>
      <c r="O46" s="171">
        <v>277.6</v>
      </c>
      <c r="P46" s="171">
        <v>222.08000000000004</v>
      </c>
      <c r="Q46" s="172">
        <v>0.0</v>
      </c>
      <c r="R46" s="173">
        <v>222.08000000000004</v>
      </c>
      <c r="S46" s="173">
        <v>0.0</v>
      </c>
      <c r="T46" s="173">
        <v>277.6</v>
      </c>
      <c r="U46" s="174" t="s">
        <v>164</v>
      </c>
      <c r="V46" s="165">
        <v>45993.0</v>
      </c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</row>
    <row r="47">
      <c r="A47" s="176">
        <v>45964.0</v>
      </c>
      <c r="B47" s="177">
        <v>7760905.0</v>
      </c>
      <c r="C47" s="178" t="s">
        <v>82</v>
      </c>
      <c r="D47" s="178" t="s">
        <v>36</v>
      </c>
      <c r="E47" s="177">
        <v>7760905.0</v>
      </c>
      <c r="F47" s="178" t="s">
        <v>165</v>
      </c>
      <c r="G47" s="176">
        <v>46031.0</v>
      </c>
      <c r="H47" s="179">
        <v>46032.0</v>
      </c>
      <c r="I47" s="180">
        <v>1.0</v>
      </c>
      <c r="J47" s="181" t="s">
        <v>78</v>
      </c>
      <c r="K47" s="178" t="s">
        <v>79</v>
      </c>
      <c r="L47" s="178" t="s">
        <v>96</v>
      </c>
      <c r="M47" s="182">
        <v>2.0</v>
      </c>
      <c r="N47" s="183">
        <v>0.0</v>
      </c>
      <c r="O47" s="184">
        <v>203.0</v>
      </c>
      <c r="P47" s="184">
        <v>200.97</v>
      </c>
      <c r="Q47" s="185">
        <v>0.0</v>
      </c>
      <c r="R47" s="186">
        <v>200.97</v>
      </c>
      <c r="S47" s="186">
        <v>0.0</v>
      </c>
      <c r="T47" s="186">
        <v>208.0</v>
      </c>
      <c r="U47" s="187" t="s">
        <v>97</v>
      </c>
      <c r="V47" s="176">
        <v>45964.0</v>
      </c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</row>
    <row r="48">
      <c r="A48" s="154">
        <v>45988.0</v>
      </c>
      <c r="B48" s="155">
        <v>7855883.0</v>
      </c>
      <c r="C48" s="156" t="s">
        <v>75</v>
      </c>
      <c r="D48" s="156" t="s">
        <v>35</v>
      </c>
      <c r="E48" s="155">
        <v>5.121380889E9</v>
      </c>
      <c r="F48" s="156" t="s">
        <v>167</v>
      </c>
      <c r="G48" s="154">
        <v>46031.0</v>
      </c>
      <c r="H48" s="157">
        <v>46032.0</v>
      </c>
      <c r="I48" s="158">
        <v>1.0</v>
      </c>
      <c r="J48" s="159" t="s">
        <v>78</v>
      </c>
      <c r="K48" s="156" t="s">
        <v>79</v>
      </c>
      <c r="L48" s="156" t="s">
        <v>80</v>
      </c>
      <c r="M48" s="155">
        <v>2.0</v>
      </c>
      <c r="N48" s="160">
        <v>0.19999999999999996</v>
      </c>
      <c r="O48" s="161">
        <v>190.81</v>
      </c>
      <c r="P48" s="161">
        <v>152.648</v>
      </c>
      <c r="Q48" s="203">
        <v>0.0</v>
      </c>
      <c r="R48" s="162">
        <v>152.648</v>
      </c>
      <c r="S48" s="162">
        <v>0.0</v>
      </c>
      <c r="T48" s="162">
        <v>195.81</v>
      </c>
      <c r="U48" s="163" t="s">
        <v>168</v>
      </c>
      <c r="V48" s="154">
        <v>45988.0</v>
      </c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</row>
    <row r="49">
      <c r="A49" s="165">
        <v>45951.0</v>
      </c>
      <c r="B49" s="166">
        <v>7713583.0</v>
      </c>
      <c r="C49" s="166" t="s">
        <v>89</v>
      </c>
      <c r="D49" s="166" t="s">
        <v>36</v>
      </c>
      <c r="E49" s="166">
        <v>7713583.0</v>
      </c>
      <c r="F49" s="166" t="s">
        <v>169</v>
      </c>
      <c r="G49" s="165">
        <v>46032.0</v>
      </c>
      <c r="H49" s="167">
        <v>46034.0</v>
      </c>
      <c r="I49" s="168">
        <v>2.0</v>
      </c>
      <c r="J49" s="169" t="s">
        <v>114</v>
      </c>
      <c r="K49" s="166" t="s">
        <v>79</v>
      </c>
      <c r="L49" s="166" t="s">
        <v>80</v>
      </c>
      <c r="M49" s="205">
        <v>0.0</v>
      </c>
      <c r="N49" s="170">
        <v>0.0</v>
      </c>
      <c r="O49" s="171">
        <v>0.0</v>
      </c>
      <c r="P49" s="171">
        <v>0.0</v>
      </c>
      <c r="Q49" s="172">
        <v>0.0</v>
      </c>
      <c r="R49" s="173">
        <v>0.0</v>
      </c>
      <c r="S49" s="173">
        <v>0.0</v>
      </c>
      <c r="T49" s="173">
        <v>0.0</v>
      </c>
      <c r="U49" s="174" t="s">
        <v>170</v>
      </c>
      <c r="V49" s="165">
        <v>46031.0</v>
      </c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</row>
    <row r="50">
      <c r="A50" s="165">
        <v>45952.0</v>
      </c>
      <c r="B50" s="166">
        <v>7715588.0</v>
      </c>
      <c r="C50" s="166" t="s">
        <v>89</v>
      </c>
      <c r="D50" s="166" t="s">
        <v>94</v>
      </c>
      <c r="E50" s="166">
        <v>7715588.0</v>
      </c>
      <c r="F50" s="166" t="s">
        <v>171</v>
      </c>
      <c r="G50" s="165">
        <v>46032.0</v>
      </c>
      <c r="H50" s="167">
        <v>46034.0</v>
      </c>
      <c r="I50" s="168">
        <v>2.0</v>
      </c>
      <c r="J50" s="169" t="s">
        <v>78</v>
      </c>
      <c r="K50" s="166" t="s">
        <v>79</v>
      </c>
      <c r="L50" s="166" t="s">
        <v>96</v>
      </c>
      <c r="M50" s="166">
        <v>0.0</v>
      </c>
      <c r="N50" s="170">
        <v>0.0</v>
      </c>
      <c r="O50" s="171">
        <v>0.0</v>
      </c>
      <c r="P50" s="171">
        <v>0.0</v>
      </c>
      <c r="Q50" s="172">
        <v>0.0</v>
      </c>
      <c r="R50" s="173">
        <v>0.0</v>
      </c>
      <c r="S50" s="173">
        <v>0.0</v>
      </c>
      <c r="T50" s="173">
        <v>0.0</v>
      </c>
      <c r="U50" s="174" t="s">
        <v>172</v>
      </c>
      <c r="V50" s="165">
        <v>45981.0</v>
      </c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</row>
    <row r="51">
      <c r="A51" s="154">
        <v>45952.0</v>
      </c>
      <c r="B51" s="155">
        <v>7715588.0</v>
      </c>
      <c r="C51" s="156" t="s">
        <v>89</v>
      </c>
      <c r="D51" s="156" t="s">
        <v>94</v>
      </c>
      <c r="E51" s="155">
        <v>7715588.0</v>
      </c>
      <c r="F51" s="156" t="s">
        <v>171</v>
      </c>
      <c r="G51" s="154">
        <v>46032.0</v>
      </c>
      <c r="H51" s="157">
        <v>46034.0</v>
      </c>
      <c r="I51" s="158">
        <v>2.0</v>
      </c>
      <c r="J51" s="159" t="s">
        <v>111</v>
      </c>
      <c r="K51" s="156" t="s">
        <v>79</v>
      </c>
      <c r="L51" s="156" t="s">
        <v>96</v>
      </c>
      <c r="M51" s="202">
        <v>0.0</v>
      </c>
      <c r="N51" s="160">
        <v>0.0</v>
      </c>
      <c r="O51" s="161">
        <v>0.0</v>
      </c>
      <c r="P51" s="161">
        <v>0.0</v>
      </c>
      <c r="Q51" s="203">
        <v>0.0</v>
      </c>
      <c r="R51" s="162">
        <v>0.0</v>
      </c>
      <c r="S51" s="162">
        <v>0.0</v>
      </c>
      <c r="T51" s="162">
        <v>0.0</v>
      </c>
      <c r="U51" s="163" t="s">
        <v>172</v>
      </c>
      <c r="V51" s="154">
        <v>45981.0</v>
      </c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</row>
    <row r="52">
      <c r="A52" s="154">
        <v>45952.0</v>
      </c>
      <c r="B52" s="155">
        <v>7715588.0</v>
      </c>
      <c r="C52" s="156" t="s">
        <v>89</v>
      </c>
      <c r="D52" s="156" t="s">
        <v>94</v>
      </c>
      <c r="E52" s="155">
        <v>7715588.0</v>
      </c>
      <c r="F52" s="156" t="s">
        <v>171</v>
      </c>
      <c r="G52" s="154">
        <v>46032.0</v>
      </c>
      <c r="H52" s="157">
        <v>46034.0</v>
      </c>
      <c r="I52" s="158">
        <v>2.0</v>
      </c>
      <c r="J52" s="159" t="s">
        <v>111</v>
      </c>
      <c r="K52" s="156" t="s">
        <v>79</v>
      </c>
      <c r="L52" s="156" t="s">
        <v>96</v>
      </c>
      <c r="M52" s="155">
        <v>0.0</v>
      </c>
      <c r="N52" s="160">
        <v>0.0</v>
      </c>
      <c r="O52" s="161">
        <v>0.0</v>
      </c>
      <c r="P52" s="161">
        <v>0.0</v>
      </c>
      <c r="Q52" s="203">
        <v>0.0</v>
      </c>
      <c r="R52" s="162">
        <v>0.0</v>
      </c>
      <c r="S52" s="162">
        <v>0.0</v>
      </c>
      <c r="T52" s="162">
        <v>0.0</v>
      </c>
      <c r="U52" s="163" t="s">
        <v>172</v>
      </c>
      <c r="V52" s="154">
        <v>45981.0</v>
      </c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</row>
    <row r="53">
      <c r="A53" s="176">
        <v>45961.0</v>
      </c>
      <c r="B53" s="177">
        <v>7750399.0</v>
      </c>
      <c r="C53" s="178" t="s">
        <v>82</v>
      </c>
      <c r="D53" s="178" t="s">
        <v>35</v>
      </c>
      <c r="E53" s="177">
        <v>6.899451063E9</v>
      </c>
      <c r="F53" s="178" t="s">
        <v>173</v>
      </c>
      <c r="G53" s="176">
        <v>46032.0</v>
      </c>
      <c r="H53" s="179">
        <v>46039.0</v>
      </c>
      <c r="I53" s="180">
        <v>7.0</v>
      </c>
      <c r="J53" s="181" t="s">
        <v>87</v>
      </c>
      <c r="K53" s="178" t="s">
        <v>79</v>
      </c>
      <c r="L53" s="178" t="s">
        <v>80</v>
      </c>
      <c r="M53" s="182">
        <v>2.0</v>
      </c>
      <c r="N53" s="183">
        <v>0.19999999999999996</v>
      </c>
      <c r="O53" s="184">
        <v>145.34</v>
      </c>
      <c r="P53" s="184">
        <v>116.272</v>
      </c>
      <c r="Q53" s="185">
        <v>0.0</v>
      </c>
      <c r="R53" s="186">
        <v>813.904</v>
      </c>
      <c r="S53" s="186">
        <v>0.0</v>
      </c>
      <c r="T53" s="186">
        <v>1052.38</v>
      </c>
      <c r="U53" s="187" t="s">
        <v>107</v>
      </c>
      <c r="V53" s="176">
        <v>45961.0</v>
      </c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</row>
    <row r="54">
      <c r="A54" s="165">
        <v>45975.0</v>
      </c>
      <c r="B54" s="166">
        <v>7805732.0</v>
      </c>
      <c r="C54" s="166" t="s">
        <v>82</v>
      </c>
      <c r="D54" s="166" t="s">
        <v>36</v>
      </c>
      <c r="E54" s="166">
        <v>7805732.0</v>
      </c>
      <c r="F54" s="166" t="s">
        <v>175</v>
      </c>
      <c r="G54" s="165">
        <v>46032.0</v>
      </c>
      <c r="H54" s="167">
        <v>46034.0</v>
      </c>
      <c r="I54" s="168">
        <v>2.0</v>
      </c>
      <c r="J54" s="169" t="s">
        <v>78</v>
      </c>
      <c r="K54" s="166" t="s">
        <v>79</v>
      </c>
      <c r="L54" s="166" t="s">
        <v>96</v>
      </c>
      <c r="M54" s="205">
        <v>2.0</v>
      </c>
      <c r="N54" s="170">
        <v>0.0</v>
      </c>
      <c r="O54" s="171">
        <v>202.995</v>
      </c>
      <c r="P54" s="171">
        <v>200.96505</v>
      </c>
      <c r="Q54" s="172">
        <v>0.0</v>
      </c>
      <c r="R54" s="173">
        <v>401.9301</v>
      </c>
      <c r="S54" s="173">
        <v>0.0</v>
      </c>
      <c r="T54" s="173">
        <v>415.99</v>
      </c>
      <c r="U54" s="174" t="s">
        <v>97</v>
      </c>
      <c r="V54" s="165">
        <v>45975.0</v>
      </c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</row>
    <row r="55">
      <c r="A55" s="165">
        <v>45981.0</v>
      </c>
      <c r="B55" s="166">
        <v>7827096.0</v>
      </c>
      <c r="C55" s="166" t="s">
        <v>82</v>
      </c>
      <c r="D55" s="166" t="s">
        <v>36</v>
      </c>
      <c r="E55" s="166">
        <v>7827096.0</v>
      </c>
      <c r="F55" s="166" t="s">
        <v>175</v>
      </c>
      <c r="G55" s="165">
        <v>46032.0</v>
      </c>
      <c r="H55" s="167">
        <v>46034.0</v>
      </c>
      <c r="I55" s="168">
        <v>2.0</v>
      </c>
      <c r="J55" s="169" t="s">
        <v>78</v>
      </c>
      <c r="K55" s="166" t="s">
        <v>79</v>
      </c>
      <c r="L55" s="166" t="s">
        <v>96</v>
      </c>
      <c r="M55" s="166">
        <v>2.0</v>
      </c>
      <c r="N55" s="170">
        <v>0.0</v>
      </c>
      <c r="O55" s="171">
        <v>202.995</v>
      </c>
      <c r="P55" s="171">
        <v>200.96505</v>
      </c>
      <c r="Q55" s="172">
        <v>0.0</v>
      </c>
      <c r="R55" s="173">
        <v>401.9301</v>
      </c>
      <c r="S55" s="173">
        <v>0.0</v>
      </c>
      <c r="T55" s="173">
        <v>1329.87</v>
      </c>
      <c r="U55" s="201" t="s">
        <v>97</v>
      </c>
      <c r="V55" s="165">
        <v>45981.0</v>
      </c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</row>
    <row r="56">
      <c r="A56" s="165">
        <v>45981.0</v>
      </c>
      <c r="B56" s="166">
        <v>7827096.0</v>
      </c>
      <c r="C56" s="166" t="s">
        <v>82</v>
      </c>
      <c r="D56" s="166" t="s">
        <v>36</v>
      </c>
      <c r="E56" s="166">
        <v>7827096.0</v>
      </c>
      <c r="F56" s="166" t="s">
        <v>175</v>
      </c>
      <c r="G56" s="165">
        <v>46032.0</v>
      </c>
      <c r="H56" s="167">
        <v>46034.0</v>
      </c>
      <c r="I56" s="168">
        <v>2.0</v>
      </c>
      <c r="J56" s="169" t="s">
        <v>78</v>
      </c>
      <c r="K56" s="166" t="s">
        <v>79</v>
      </c>
      <c r="L56" s="166" t="s">
        <v>96</v>
      </c>
      <c r="M56" s="205">
        <v>2.0</v>
      </c>
      <c r="N56" s="170">
        <v>0.0</v>
      </c>
      <c r="O56" s="171">
        <v>202.995</v>
      </c>
      <c r="P56" s="171">
        <v>200.96505</v>
      </c>
      <c r="Q56" s="172">
        <v>0.0</v>
      </c>
      <c r="R56" s="173">
        <v>401.9301</v>
      </c>
      <c r="S56" s="173">
        <v>0.0</v>
      </c>
      <c r="T56" s="173">
        <v>1329.87</v>
      </c>
      <c r="U56" s="201" t="s">
        <v>97</v>
      </c>
      <c r="V56" s="210">
        <v>45981.0</v>
      </c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</row>
    <row r="57">
      <c r="A57" s="190">
        <v>45981.0</v>
      </c>
      <c r="B57" s="191">
        <v>7827096.0</v>
      </c>
      <c r="C57" s="192" t="s">
        <v>82</v>
      </c>
      <c r="D57" s="192" t="s">
        <v>36</v>
      </c>
      <c r="E57" s="191">
        <v>7827096.0</v>
      </c>
      <c r="F57" s="192" t="s">
        <v>175</v>
      </c>
      <c r="G57" s="190">
        <v>46032.0</v>
      </c>
      <c r="H57" s="193">
        <v>46034.0</v>
      </c>
      <c r="I57" s="194">
        <v>2.0</v>
      </c>
      <c r="J57" s="195" t="s">
        <v>111</v>
      </c>
      <c r="K57" s="192" t="s">
        <v>79</v>
      </c>
      <c r="L57" s="192" t="s">
        <v>96</v>
      </c>
      <c r="M57" s="191">
        <v>2.0</v>
      </c>
      <c r="N57" s="196">
        <v>0.0</v>
      </c>
      <c r="O57" s="197">
        <v>243.945</v>
      </c>
      <c r="P57" s="197">
        <v>241.50555</v>
      </c>
      <c r="Q57" s="198">
        <v>0.0</v>
      </c>
      <c r="R57" s="199">
        <v>483.0111</v>
      </c>
      <c r="S57" s="199">
        <v>0.0</v>
      </c>
      <c r="T57" s="199">
        <v>1329.87</v>
      </c>
      <c r="U57" s="200" t="s">
        <v>97</v>
      </c>
      <c r="V57" s="190">
        <v>45981.0</v>
      </c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</row>
    <row r="58">
      <c r="A58" s="165">
        <v>46031.0</v>
      </c>
      <c r="B58" s="166">
        <v>8012373.0</v>
      </c>
      <c r="C58" s="166" t="s">
        <v>89</v>
      </c>
      <c r="D58" s="166" t="s">
        <v>94</v>
      </c>
      <c r="E58" s="166">
        <v>8012373.0</v>
      </c>
      <c r="F58" s="166" t="s">
        <v>176</v>
      </c>
      <c r="G58" s="165">
        <v>46032.0</v>
      </c>
      <c r="H58" s="167">
        <v>46033.0</v>
      </c>
      <c r="I58" s="168">
        <v>1.0</v>
      </c>
      <c r="J58" s="169" t="s">
        <v>91</v>
      </c>
      <c r="K58" s="166" t="s">
        <v>79</v>
      </c>
      <c r="L58" s="166" t="s">
        <v>96</v>
      </c>
      <c r="M58" s="205">
        <v>0.0</v>
      </c>
      <c r="N58" s="170">
        <v>0.0</v>
      </c>
      <c r="O58" s="171">
        <v>0.0</v>
      </c>
      <c r="P58" s="171">
        <v>0.0</v>
      </c>
      <c r="Q58" s="172">
        <v>0.0</v>
      </c>
      <c r="R58" s="173">
        <v>0.0</v>
      </c>
      <c r="S58" s="173">
        <v>0.0</v>
      </c>
      <c r="T58" s="173">
        <v>0.0</v>
      </c>
      <c r="U58" s="174" t="s">
        <v>177</v>
      </c>
      <c r="V58" s="165">
        <v>46031.0</v>
      </c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</row>
    <row r="59">
      <c r="A59" s="165">
        <v>46031.0</v>
      </c>
      <c r="B59" s="166">
        <v>8012380.0</v>
      </c>
      <c r="C59" s="166" t="s">
        <v>82</v>
      </c>
      <c r="D59" s="166" t="s">
        <v>94</v>
      </c>
      <c r="E59" s="166">
        <v>8012380.0</v>
      </c>
      <c r="F59" s="166" t="s">
        <v>176</v>
      </c>
      <c r="G59" s="165">
        <v>46032.0</v>
      </c>
      <c r="H59" s="167">
        <v>46034.0</v>
      </c>
      <c r="I59" s="168">
        <v>2.0</v>
      </c>
      <c r="J59" s="169" t="s">
        <v>91</v>
      </c>
      <c r="K59" s="166" t="s">
        <v>79</v>
      </c>
      <c r="L59" s="166" t="s">
        <v>96</v>
      </c>
      <c r="M59" s="166">
        <v>2.0</v>
      </c>
      <c r="N59" s="170">
        <v>0.0</v>
      </c>
      <c r="O59" s="171">
        <v>599.76</v>
      </c>
      <c r="P59" s="171">
        <v>599.76</v>
      </c>
      <c r="Q59" s="172">
        <v>0.0</v>
      </c>
      <c r="R59" s="173">
        <v>1199.52</v>
      </c>
      <c r="S59" s="173">
        <v>0.0</v>
      </c>
      <c r="T59" s="173">
        <v>1209.52</v>
      </c>
      <c r="U59" s="201" t="s">
        <v>97</v>
      </c>
      <c r="V59" s="165">
        <v>46031.0</v>
      </c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</row>
    <row r="60">
      <c r="A60" s="165">
        <v>45973.0</v>
      </c>
      <c r="B60" s="166">
        <v>7796000.0</v>
      </c>
      <c r="C60" s="166" t="s">
        <v>82</v>
      </c>
      <c r="D60" s="166" t="s">
        <v>35</v>
      </c>
      <c r="E60" s="166">
        <v>5.652155986E9</v>
      </c>
      <c r="F60" s="166" t="s">
        <v>178</v>
      </c>
      <c r="G60" s="165">
        <v>46033.0</v>
      </c>
      <c r="H60" s="167">
        <v>46037.0</v>
      </c>
      <c r="I60" s="168">
        <v>4.0</v>
      </c>
      <c r="J60" s="169" t="s">
        <v>114</v>
      </c>
      <c r="K60" s="166" t="s">
        <v>79</v>
      </c>
      <c r="L60" s="166" t="s">
        <v>80</v>
      </c>
      <c r="M60" s="166">
        <v>2.0</v>
      </c>
      <c r="N60" s="170">
        <v>0.19999999999999996</v>
      </c>
      <c r="O60" s="171">
        <v>181.19</v>
      </c>
      <c r="P60" s="171">
        <v>144.952</v>
      </c>
      <c r="Q60" s="169">
        <v>0.0</v>
      </c>
      <c r="R60" s="173">
        <v>579.808</v>
      </c>
      <c r="S60" s="173">
        <v>0.0</v>
      </c>
      <c r="T60" s="173">
        <v>744.76</v>
      </c>
      <c r="U60" s="201" t="s">
        <v>107</v>
      </c>
      <c r="V60" s="165">
        <v>45973.0</v>
      </c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</row>
    <row r="61">
      <c r="A61" s="154">
        <v>45986.0</v>
      </c>
      <c r="B61" s="155">
        <v>7846789.0</v>
      </c>
      <c r="C61" s="156" t="s">
        <v>82</v>
      </c>
      <c r="D61" s="156" t="s">
        <v>101</v>
      </c>
      <c r="E61" s="155">
        <v>2.339138161E9</v>
      </c>
      <c r="F61" s="156" t="s">
        <v>179</v>
      </c>
      <c r="G61" s="154">
        <v>46033.0</v>
      </c>
      <c r="H61" s="157">
        <v>46038.0</v>
      </c>
      <c r="I61" s="158">
        <v>5.0</v>
      </c>
      <c r="J61" s="159" t="s">
        <v>114</v>
      </c>
      <c r="K61" s="156"/>
      <c r="L61" s="156"/>
      <c r="M61" s="155">
        <v>2.0</v>
      </c>
      <c r="N61" s="160">
        <v>0.0</v>
      </c>
      <c r="O61" s="161">
        <v>0.0</v>
      </c>
      <c r="P61" s="161">
        <v>0.0</v>
      </c>
      <c r="Q61" s="203">
        <v>0.0</v>
      </c>
      <c r="R61" s="162">
        <v>0.0</v>
      </c>
      <c r="S61" s="162">
        <v>0.0</v>
      </c>
      <c r="T61" s="162">
        <v>0.0</v>
      </c>
      <c r="U61" s="163" t="s">
        <v>180</v>
      </c>
      <c r="V61" s="154">
        <v>45986.0</v>
      </c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</row>
    <row r="62">
      <c r="A62" s="154">
        <v>45999.0</v>
      </c>
      <c r="B62" s="155">
        <v>7896236.0</v>
      </c>
      <c r="C62" s="156" t="s">
        <v>82</v>
      </c>
      <c r="D62" s="156" t="s">
        <v>35</v>
      </c>
      <c r="E62" s="155">
        <v>5.598001869E9</v>
      </c>
      <c r="F62" s="156" t="s">
        <v>181</v>
      </c>
      <c r="G62" s="154">
        <v>46033.0</v>
      </c>
      <c r="H62" s="157">
        <v>46044.0</v>
      </c>
      <c r="I62" s="158">
        <v>11.0</v>
      </c>
      <c r="J62" s="159" t="s">
        <v>78</v>
      </c>
      <c r="K62" s="156" t="s">
        <v>79</v>
      </c>
      <c r="L62" s="156" t="s">
        <v>80</v>
      </c>
      <c r="M62" s="155">
        <v>2.0</v>
      </c>
      <c r="N62" s="160">
        <v>0.19999999999999996</v>
      </c>
      <c r="O62" s="161">
        <v>172.1118181818182</v>
      </c>
      <c r="P62" s="161">
        <v>137.68945454545457</v>
      </c>
      <c r="Q62" s="203">
        <v>0.0</v>
      </c>
      <c r="R62" s="162">
        <v>1514.5840000000003</v>
      </c>
      <c r="S62" s="162">
        <v>0.0</v>
      </c>
      <c r="T62" s="162">
        <v>1948.23</v>
      </c>
      <c r="U62" s="163" t="s">
        <v>107</v>
      </c>
      <c r="V62" s="154">
        <v>45999.0</v>
      </c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</row>
    <row r="63">
      <c r="A63" s="190">
        <v>46022.0</v>
      </c>
      <c r="B63" s="191">
        <v>7975374.0</v>
      </c>
      <c r="C63" s="192" t="s">
        <v>82</v>
      </c>
      <c r="D63" s="192" t="s">
        <v>35</v>
      </c>
      <c r="E63" s="191">
        <v>5.331254569E9</v>
      </c>
      <c r="F63" s="192" t="s">
        <v>182</v>
      </c>
      <c r="G63" s="190">
        <v>46033.0</v>
      </c>
      <c r="H63" s="193">
        <v>46037.0</v>
      </c>
      <c r="I63" s="194">
        <v>4.0</v>
      </c>
      <c r="J63" s="195" t="s">
        <v>78</v>
      </c>
      <c r="K63" s="192" t="s">
        <v>79</v>
      </c>
      <c r="L63" s="192" t="s">
        <v>80</v>
      </c>
      <c r="M63" s="191">
        <v>2.0</v>
      </c>
      <c r="N63" s="196">
        <v>0.19999999999999996</v>
      </c>
      <c r="O63" s="197">
        <v>185.51</v>
      </c>
      <c r="P63" s="197">
        <v>148.408</v>
      </c>
      <c r="Q63" s="195">
        <v>0.0</v>
      </c>
      <c r="R63" s="199">
        <v>593.632</v>
      </c>
      <c r="S63" s="199">
        <v>0.0</v>
      </c>
      <c r="T63" s="199">
        <v>762.04</v>
      </c>
      <c r="U63" s="200" t="s">
        <v>183</v>
      </c>
      <c r="V63" s="190">
        <v>46022.0</v>
      </c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</row>
    <row r="64">
      <c r="A64" s="176">
        <v>45992.0</v>
      </c>
      <c r="B64" s="177">
        <v>7871669.0</v>
      </c>
      <c r="C64" s="178" t="s">
        <v>82</v>
      </c>
      <c r="D64" s="178" t="s">
        <v>35</v>
      </c>
      <c r="E64" s="178">
        <v>6.135365771E9</v>
      </c>
      <c r="F64" s="178" t="s">
        <v>184</v>
      </c>
      <c r="G64" s="176">
        <v>46034.0</v>
      </c>
      <c r="H64" s="179">
        <v>46036.0</v>
      </c>
      <c r="I64" s="180">
        <v>2.0</v>
      </c>
      <c r="J64" s="181" t="s">
        <v>78</v>
      </c>
      <c r="K64" s="178" t="s">
        <v>79</v>
      </c>
      <c r="L64" s="178" t="s">
        <v>80</v>
      </c>
      <c r="M64" s="182">
        <v>2.0</v>
      </c>
      <c r="N64" s="183">
        <v>0.19999999999999996</v>
      </c>
      <c r="O64" s="184">
        <v>170.06</v>
      </c>
      <c r="P64" s="184">
        <v>136.048</v>
      </c>
      <c r="Q64" s="185">
        <v>0.0</v>
      </c>
      <c r="R64" s="186">
        <v>272.096</v>
      </c>
      <c r="S64" s="186">
        <v>0.0</v>
      </c>
      <c r="T64" s="186">
        <v>350.12</v>
      </c>
      <c r="U64" s="187" t="s">
        <v>107</v>
      </c>
      <c r="V64" s="189">
        <v>45992.0</v>
      </c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</row>
    <row r="65">
      <c r="A65" s="165">
        <v>46014.0</v>
      </c>
      <c r="B65" s="166">
        <v>7949146.0</v>
      </c>
      <c r="C65" s="166" t="s">
        <v>82</v>
      </c>
      <c r="D65" s="166" t="s">
        <v>35</v>
      </c>
      <c r="E65" s="166">
        <v>6.932432067E9</v>
      </c>
      <c r="F65" s="166" t="s">
        <v>186</v>
      </c>
      <c r="G65" s="165">
        <v>46034.0</v>
      </c>
      <c r="H65" s="167">
        <v>46038.0</v>
      </c>
      <c r="I65" s="168">
        <v>4.0</v>
      </c>
      <c r="J65" s="169" t="s">
        <v>114</v>
      </c>
      <c r="K65" s="166" t="s">
        <v>79</v>
      </c>
      <c r="L65" s="166" t="s">
        <v>80</v>
      </c>
      <c r="M65" s="166">
        <v>2.0</v>
      </c>
      <c r="N65" s="170">
        <v>0.19999999999999996</v>
      </c>
      <c r="O65" s="171">
        <v>210.41</v>
      </c>
      <c r="P65" s="171">
        <v>168.328</v>
      </c>
      <c r="Q65" s="172">
        <v>0.0</v>
      </c>
      <c r="R65" s="173">
        <v>673.312</v>
      </c>
      <c r="S65" s="173">
        <v>0.0</v>
      </c>
      <c r="T65" s="173">
        <v>861.64</v>
      </c>
      <c r="U65" s="174" t="s">
        <v>88</v>
      </c>
      <c r="V65" s="165">
        <v>46014.0</v>
      </c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</row>
    <row r="66">
      <c r="A66" s="190">
        <v>46033.0</v>
      </c>
      <c r="B66" s="191">
        <v>8019431.0</v>
      </c>
      <c r="C66" s="192" t="s">
        <v>82</v>
      </c>
      <c r="D66" s="192" t="s">
        <v>35</v>
      </c>
      <c r="E66" s="191">
        <v>5.722806341E9</v>
      </c>
      <c r="F66" s="192" t="s">
        <v>187</v>
      </c>
      <c r="G66" s="190">
        <v>46034.0</v>
      </c>
      <c r="H66" s="193">
        <v>46038.0</v>
      </c>
      <c r="I66" s="194">
        <v>4.0</v>
      </c>
      <c r="J66" s="195" t="s">
        <v>78</v>
      </c>
      <c r="K66" s="192" t="s">
        <v>79</v>
      </c>
      <c r="L66" s="192" t="s">
        <v>80</v>
      </c>
      <c r="M66" s="211">
        <v>2.0</v>
      </c>
      <c r="N66" s="196">
        <v>0.19999999999999996</v>
      </c>
      <c r="O66" s="197">
        <v>183.63</v>
      </c>
      <c r="P66" s="197">
        <v>146.904</v>
      </c>
      <c r="Q66" s="198">
        <v>0.0</v>
      </c>
      <c r="R66" s="199">
        <v>587.616</v>
      </c>
      <c r="S66" s="199">
        <v>0.0</v>
      </c>
      <c r="T66" s="199">
        <v>754.52</v>
      </c>
      <c r="U66" s="200" t="s">
        <v>183</v>
      </c>
      <c r="V66" s="190">
        <v>46033.0</v>
      </c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</row>
    <row r="67">
      <c r="A67" s="165">
        <v>46003.0</v>
      </c>
      <c r="B67" s="166">
        <v>7911394.0</v>
      </c>
      <c r="C67" s="166" t="s">
        <v>89</v>
      </c>
      <c r="D67" s="166" t="s">
        <v>94</v>
      </c>
      <c r="E67" s="166">
        <v>7911394.0</v>
      </c>
      <c r="F67" s="166" t="s">
        <v>188</v>
      </c>
      <c r="G67" s="165">
        <v>46035.0</v>
      </c>
      <c r="H67" s="167">
        <v>46037.0</v>
      </c>
      <c r="I67" s="168">
        <v>2.0</v>
      </c>
      <c r="J67" s="169" t="s">
        <v>111</v>
      </c>
      <c r="K67" s="166" t="s">
        <v>79</v>
      </c>
      <c r="L67" s="166" t="s">
        <v>96</v>
      </c>
      <c r="M67" s="205">
        <v>0.0</v>
      </c>
      <c r="N67" s="170">
        <v>0.0</v>
      </c>
      <c r="O67" s="171">
        <v>0.0</v>
      </c>
      <c r="P67" s="171">
        <v>0.0</v>
      </c>
      <c r="Q67" s="172">
        <v>0.0</v>
      </c>
      <c r="R67" s="173">
        <v>0.0</v>
      </c>
      <c r="S67" s="173">
        <v>0.0</v>
      </c>
      <c r="T67" s="173">
        <v>0.0</v>
      </c>
      <c r="U67" s="201" t="s">
        <v>189</v>
      </c>
      <c r="V67" s="165">
        <v>46013.0</v>
      </c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</row>
    <row r="68">
      <c r="A68" s="165">
        <v>46013.0</v>
      </c>
      <c r="B68" s="166">
        <v>7945050.0</v>
      </c>
      <c r="C68" s="166" t="s">
        <v>82</v>
      </c>
      <c r="D68" s="166" t="s">
        <v>35</v>
      </c>
      <c r="E68" s="166">
        <v>6.499639364E9</v>
      </c>
      <c r="F68" s="166" t="s">
        <v>190</v>
      </c>
      <c r="G68" s="165">
        <v>46037.0</v>
      </c>
      <c r="H68" s="167">
        <v>46042.0</v>
      </c>
      <c r="I68" s="168">
        <v>5.0</v>
      </c>
      <c r="J68" s="169" t="s">
        <v>114</v>
      </c>
      <c r="K68" s="166" t="s">
        <v>79</v>
      </c>
      <c r="L68" s="166" t="s">
        <v>80</v>
      </c>
      <c r="M68" s="166">
        <v>2.0</v>
      </c>
      <c r="N68" s="170">
        <v>0.19999999999999996</v>
      </c>
      <c r="O68" s="171">
        <v>210.8</v>
      </c>
      <c r="P68" s="171">
        <v>168.64000000000001</v>
      </c>
      <c r="Q68" s="172">
        <v>0.0</v>
      </c>
      <c r="R68" s="173">
        <v>843.2</v>
      </c>
      <c r="S68" s="173">
        <v>0.0</v>
      </c>
      <c r="T68" s="173">
        <v>1079.0</v>
      </c>
      <c r="U68" s="201" t="s">
        <v>88</v>
      </c>
      <c r="V68" s="212">
        <v>46013.0</v>
      </c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</row>
    <row r="69">
      <c r="A69" s="165">
        <v>46022.0</v>
      </c>
      <c r="B69" s="166">
        <v>7977675.0</v>
      </c>
      <c r="C69" s="166" t="s">
        <v>75</v>
      </c>
      <c r="D69" s="166" t="s">
        <v>35</v>
      </c>
      <c r="E69" s="166">
        <v>6.62301998E9</v>
      </c>
      <c r="F69" s="166" t="s">
        <v>191</v>
      </c>
      <c r="G69" s="165">
        <v>46037.0</v>
      </c>
      <c r="H69" s="167">
        <v>46041.0</v>
      </c>
      <c r="I69" s="168">
        <v>4.0</v>
      </c>
      <c r="J69" s="169" t="s">
        <v>78</v>
      </c>
      <c r="K69" s="166" t="s">
        <v>79</v>
      </c>
      <c r="L69" s="166" t="s">
        <v>80</v>
      </c>
      <c r="M69" s="166">
        <v>2.0</v>
      </c>
      <c r="N69" s="169">
        <v>0.19999999999999996</v>
      </c>
      <c r="O69" s="171">
        <v>133.84</v>
      </c>
      <c r="P69" s="171">
        <v>107.072</v>
      </c>
      <c r="Q69" s="169">
        <v>0.0</v>
      </c>
      <c r="R69" s="173">
        <v>428.288</v>
      </c>
      <c r="S69" s="173">
        <v>0.0</v>
      </c>
      <c r="T69" s="173">
        <v>555.36</v>
      </c>
      <c r="U69" s="201" t="s">
        <v>192</v>
      </c>
      <c r="V69" s="165">
        <v>46022.0</v>
      </c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</row>
    <row r="70">
      <c r="A70" s="176">
        <v>46007.0</v>
      </c>
      <c r="B70" s="177">
        <v>7926828.0</v>
      </c>
      <c r="C70" s="178" t="s">
        <v>82</v>
      </c>
      <c r="D70" s="178" t="s">
        <v>35</v>
      </c>
      <c r="E70" s="177">
        <v>5.625196407E9</v>
      </c>
      <c r="F70" s="178" t="s">
        <v>193</v>
      </c>
      <c r="G70" s="176">
        <v>46038.0</v>
      </c>
      <c r="H70" s="179">
        <v>46041.0</v>
      </c>
      <c r="I70" s="180">
        <v>3.0</v>
      </c>
      <c r="J70" s="181" t="s">
        <v>78</v>
      </c>
      <c r="K70" s="178" t="s">
        <v>79</v>
      </c>
      <c r="L70" s="178" t="s">
        <v>80</v>
      </c>
      <c r="M70" s="182">
        <v>2.0</v>
      </c>
      <c r="N70" s="183">
        <v>0.19999999999999996</v>
      </c>
      <c r="O70" s="184">
        <v>189.0</v>
      </c>
      <c r="P70" s="184">
        <v>151.20000000000002</v>
      </c>
      <c r="Q70" s="185">
        <v>0.0</v>
      </c>
      <c r="R70" s="186">
        <v>453.6</v>
      </c>
      <c r="S70" s="186">
        <v>0.0</v>
      </c>
      <c r="T70" s="186">
        <v>582.0</v>
      </c>
      <c r="U70" s="187" t="s">
        <v>107</v>
      </c>
      <c r="V70" s="189">
        <v>46007.0</v>
      </c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</row>
    <row r="71">
      <c r="A71" s="165">
        <v>46017.0</v>
      </c>
      <c r="B71" s="166">
        <v>7961044.0</v>
      </c>
      <c r="C71" s="166" t="s">
        <v>82</v>
      </c>
      <c r="D71" s="166" t="s">
        <v>35</v>
      </c>
      <c r="E71" s="166">
        <v>6.797933038E9</v>
      </c>
      <c r="F71" s="166" t="s">
        <v>194</v>
      </c>
      <c r="G71" s="165">
        <v>46038.0</v>
      </c>
      <c r="H71" s="167">
        <v>46040.0</v>
      </c>
      <c r="I71" s="168">
        <v>2.0</v>
      </c>
      <c r="J71" s="169" t="s">
        <v>78</v>
      </c>
      <c r="K71" s="166" t="s">
        <v>79</v>
      </c>
      <c r="L71" s="166" t="s">
        <v>80</v>
      </c>
      <c r="M71" s="166">
        <v>2.0</v>
      </c>
      <c r="N71" s="170">
        <v>0.19999999999999996</v>
      </c>
      <c r="O71" s="171">
        <v>205.29</v>
      </c>
      <c r="P71" s="171">
        <v>164.232</v>
      </c>
      <c r="Q71" s="172">
        <v>0.0</v>
      </c>
      <c r="R71" s="173">
        <v>328.464</v>
      </c>
      <c r="S71" s="173">
        <v>0.0</v>
      </c>
      <c r="T71" s="173">
        <v>420.58</v>
      </c>
      <c r="U71" s="201" t="s">
        <v>88</v>
      </c>
      <c r="V71" s="165">
        <v>46017.0</v>
      </c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</row>
    <row r="72">
      <c r="A72" s="176">
        <v>46025.0</v>
      </c>
      <c r="B72" s="177">
        <v>7988254.0</v>
      </c>
      <c r="C72" s="178" t="s">
        <v>82</v>
      </c>
      <c r="D72" s="178" t="s">
        <v>35</v>
      </c>
      <c r="E72" s="177">
        <v>6.714955219E9</v>
      </c>
      <c r="F72" s="178" t="s">
        <v>196</v>
      </c>
      <c r="G72" s="176">
        <v>46038.0</v>
      </c>
      <c r="H72" s="179">
        <v>46040.0</v>
      </c>
      <c r="I72" s="180">
        <v>2.0</v>
      </c>
      <c r="J72" s="181" t="s">
        <v>111</v>
      </c>
      <c r="K72" s="178" t="s">
        <v>79</v>
      </c>
      <c r="L72" s="178" t="s">
        <v>80</v>
      </c>
      <c r="M72" s="182">
        <v>2.0</v>
      </c>
      <c r="N72" s="181">
        <v>0.19999999999999996</v>
      </c>
      <c r="O72" s="184">
        <v>261.21</v>
      </c>
      <c r="P72" s="184">
        <v>208.968</v>
      </c>
      <c r="Q72" s="181">
        <v>0.0</v>
      </c>
      <c r="R72" s="186">
        <v>417.936</v>
      </c>
      <c r="S72" s="186">
        <v>0.0</v>
      </c>
      <c r="T72" s="186">
        <v>1025.98</v>
      </c>
      <c r="U72" s="187" t="s">
        <v>183</v>
      </c>
      <c r="V72" s="176">
        <v>46025.0</v>
      </c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</row>
    <row r="73">
      <c r="A73" s="154">
        <v>46025.0</v>
      </c>
      <c r="B73" s="155">
        <v>7988254.0</v>
      </c>
      <c r="C73" s="156" t="s">
        <v>82</v>
      </c>
      <c r="D73" s="156" t="s">
        <v>35</v>
      </c>
      <c r="E73" s="155">
        <v>6.714955219E9</v>
      </c>
      <c r="F73" s="156" t="s">
        <v>196</v>
      </c>
      <c r="G73" s="154">
        <v>46038.0</v>
      </c>
      <c r="H73" s="157">
        <v>46040.0</v>
      </c>
      <c r="I73" s="158">
        <v>2.0</v>
      </c>
      <c r="J73" s="159" t="s">
        <v>114</v>
      </c>
      <c r="K73" s="156" t="s">
        <v>79</v>
      </c>
      <c r="L73" s="156" t="s">
        <v>80</v>
      </c>
      <c r="M73" s="202">
        <v>3.0</v>
      </c>
      <c r="N73" s="160">
        <v>0.19999999999999996</v>
      </c>
      <c r="O73" s="161">
        <v>239.28</v>
      </c>
      <c r="P73" s="161">
        <v>191.424</v>
      </c>
      <c r="Q73" s="203">
        <v>0.0</v>
      </c>
      <c r="R73" s="162">
        <v>382.848</v>
      </c>
      <c r="S73" s="162">
        <v>0.0</v>
      </c>
      <c r="T73" s="162">
        <v>1025.98</v>
      </c>
      <c r="U73" s="163" t="s">
        <v>183</v>
      </c>
      <c r="V73" s="154">
        <v>46025.0</v>
      </c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</row>
    <row r="74">
      <c r="A74" s="165">
        <v>45948.0</v>
      </c>
      <c r="B74" s="166">
        <v>7699436.0</v>
      </c>
      <c r="C74" s="166" t="s">
        <v>82</v>
      </c>
      <c r="D74" s="166" t="s">
        <v>35</v>
      </c>
      <c r="E74" s="166">
        <v>6.051998669E9</v>
      </c>
      <c r="F74" s="166" t="s">
        <v>197</v>
      </c>
      <c r="G74" s="165">
        <v>46039.0</v>
      </c>
      <c r="H74" s="167">
        <v>46041.0</v>
      </c>
      <c r="I74" s="168">
        <v>2.0</v>
      </c>
      <c r="J74" s="169" t="s">
        <v>111</v>
      </c>
      <c r="K74" s="166" t="s">
        <v>79</v>
      </c>
      <c r="L74" s="166" t="s">
        <v>80</v>
      </c>
      <c r="M74" s="166">
        <v>2.0</v>
      </c>
      <c r="N74" s="170">
        <v>0.19999999999999996</v>
      </c>
      <c r="O74" s="171">
        <v>194.98</v>
      </c>
      <c r="P74" s="171">
        <v>155.984</v>
      </c>
      <c r="Q74" s="169">
        <v>0.0</v>
      </c>
      <c r="R74" s="173">
        <v>311.968</v>
      </c>
      <c r="S74" s="173">
        <v>0.0</v>
      </c>
      <c r="T74" s="173">
        <v>399.96</v>
      </c>
      <c r="U74" s="174" t="s">
        <v>107</v>
      </c>
      <c r="V74" s="165">
        <v>45948.0</v>
      </c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</row>
    <row r="75">
      <c r="A75" s="176">
        <v>46003.0</v>
      </c>
      <c r="B75" s="177">
        <v>7911358.0</v>
      </c>
      <c r="C75" s="178" t="s">
        <v>89</v>
      </c>
      <c r="D75" s="178" t="s">
        <v>94</v>
      </c>
      <c r="E75" s="177">
        <v>7911358.0</v>
      </c>
      <c r="F75" s="178" t="s">
        <v>198</v>
      </c>
      <c r="G75" s="176">
        <v>46039.0</v>
      </c>
      <c r="H75" s="179">
        <v>46045.0</v>
      </c>
      <c r="I75" s="180">
        <v>6.0</v>
      </c>
      <c r="J75" s="181" t="s">
        <v>111</v>
      </c>
      <c r="K75" s="178" t="s">
        <v>79</v>
      </c>
      <c r="L75" s="178" t="s">
        <v>96</v>
      </c>
      <c r="M75" s="177">
        <v>0.0</v>
      </c>
      <c r="N75" s="183">
        <v>0.0</v>
      </c>
      <c r="O75" s="184">
        <v>0.0</v>
      </c>
      <c r="P75" s="184">
        <v>0.0</v>
      </c>
      <c r="Q75" s="185">
        <v>0.0</v>
      </c>
      <c r="R75" s="186">
        <v>0.0</v>
      </c>
      <c r="S75" s="186">
        <v>0.0</v>
      </c>
      <c r="T75" s="186">
        <v>0.0</v>
      </c>
      <c r="U75" s="187" t="s">
        <v>189</v>
      </c>
      <c r="V75" s="189">
        <v>46013.0</v>
      </c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</row>
    <row r="76">
      <c r="A76" s="165">
        <v>46003.0</v>
      </c>
      <c r="B76" s="166">
        <v>7911362.0</v>
      </c>
      <c r="C76" s="166" t="s">
        <v>89</v>
      </c>
      <c r="D76" s="166" t="s">
        <v>94</v>
      </c>
      <c r="E76" s="166">
        <v>7911362.0</v>
      </c>
      <c r="F76" s="166" t="s">
        <v>199</v>
      </c>
      <c r="G76" s="165">
        <v>46039.0</v>
      </c>
      <c r="H76" s="167">
        <v>46041.0</v>
      </c>
      <c r="I76" s="168">
        <v>2.0</v>
      </c>
      <c r="J76" s="169" t="s">
        <v>114</v>
      </c>
      <c r="K76" s="166" t="s">
        <v>79</v>
      </c>
      <c r="L76" s="166" t="s">
        <v>96</v>
      </c>
      <c r="M76" s="166">
        <v>0.0</v>
      </c>
      <c r="N76" s="170">
        <v>0.0</v>
      </c>
      <c r="O76" s="171">
        <v>0.0</v>
      </c>
      <c r="P76" s="171">
        <v>0.0</v>
      </c>
      <c r="Q76" s="172">
        <v>0.0</v>
      </c>
      <c r="R76" s="173">
        <v>0.0</v>
      </c>
      <c r="S76" s="173">
        <v>0.0</v>
      </c>
      <c r="T76" s="173">
        <v>0.0</v>
      </c>
      <c r="U76" s="174" t="s">
        <v>189</v>
      </c>
      <c r="V76" s="165">
        <v>46013.0</v>
      </c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</row>
    <row r="77">
      <c r="A77" s="154">
        <v>46010.0</v>
      </c>
      <c r="B77" s="155">
        <v>7936661.0</v>
      </c>
      <c r="C77" s="156" t="s">
        <v>82</v>
      </c>
      <c r="D77" s="156" t="s">
        <v>36</v>
      </c>
      <c r="E77" s="155">
        <v>7936661.0</v>
      </c>
      <c r="F77" s="156" t="s">
        <v>200</v>
      </c>
      <c r="G77" s="154">
        <v>46039.0</v>
      </c>
      <c r="H77" s="157">
        <v>46040.0</v>
      </c>
      <c r="I77" s="158">
        <v>1.0</v>
      </c>
      <c r="J77" s="159" t="s">
        <v>87</v>
      </c>
      <c r="K77" s="156" t="s">
        <v>79</v>
      </c>
      <c r="L77" s="156" t="s">
        <v>96</v>
      </c>
      <c r="M77" s="202">
        <v>1.0</v>
      </c>
      <c r="N77" s="160">
        <v>0.0</v>
      </c>
      <c r="O77" s="161">
        <v>183.11</v>
      </c>
      <c r="P77" s="161">
        <v>181.27890000000002</v>
      </c>
      <c r="Q77" s="203">
        <v>0.0</v>
      </c>
      <c r="R77" s="162">
        <v>181.27890000000002</v>
      </c>
      <c r="S77" s="162">
        <v>0.0</v>
      </c>
      <c r="T77" s="162">
        <v>391.1</v>
      </c>
      <c r="U77" s="163" t="s">
        <v>97</v>
      </c>
      <c r="V77" s="154">
        <v>46010.0</v>
      </c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</row>
    <row r="78">
      <c r="A78" s="165">
        <v>46010.0</v>
      </c>
      <c r="B78" s="166">
        <v>7936661.0</v>
      </c>
      <c r="C78" s="166" t="s">
        <v>82</v>
      </c>
      <c r="D78" s="166" t="s">
        <v>36</v>
      </c>
      <c r="E78" s="166">
        <v>7936661.0</v>
      </c>
      <c r="F78" s="166" t="s">
        <v>200</v>
      </c>
      <c r="G78" s="165">
        <v>46039.0</v>
      </c>
      <c r="H78" s="167">
        <v>46040.0</v>
      </c>
      <c r="I78" s="168">
        <v>1.0</v>
      </c>
      <c r="J78" s="169" t="s">
        <v>78</v>
      </c>
      <c r="K78" s="166" t="s">
        <v>79</v>
      </c>
      <c r="L78" s="166" t="s">
        <v>96</v>
      </c>
      <c r="M78" s="166">
        <v>1.0</v>
      </c>
      <c r="N78" s="170">
        <v>0.0</v>
      </c>
      <c r="O78" s="171">
        <v>203.0</v>
      </c>
      <c r="P78" s="171">
        <v>200.97</v>
      </c>
      <c r="Q78" s="172">
        <v>0.0</v>
      </c>
      <c r="R78" s="173">
        <v>200.97</v>
      </c>
      <c r="S78" s="173">
        <v>0.0</v>
      </c>
      <c r="T78" s="173">
        <v>391.1</v>
      </c>
      <c r="U78" s="174" t="s">
        <v>97</v>
      </c>
      <c r="V78" s="165">
        <v>46010.0</v>
      </c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</row>
    <row r="79">
      <c r="A79" s="165">
        <v>46013.0</v>
      </c>
      <c r="B79" s="166">
        <v>7945078.0</v>
      </c>
      <c r="C79" s="166" t="s">
        <v>82</v>
      </c>
      <c r="D79" s="166" t="s">
        <v>35</v>
      </c>
      <c r="E79" s="166">
        <v>5.628318226E9</v>
      </c>
      <c r="F79" s="166" t="s">
        <v>202</v>
      </c>
      <c r="G79" s="165">
        <v>46039.0</v>
      </c>
      <c r="H79" s="167">
        <v>46040.0</v>
      </c>
      <c r="I79" s="168">
        <v>1.0</v>
      </c>
      <c r="J79" s="169" t="s">
        <v>78</v>
      </c>
      <c r="K79" s="166" t="s">
        <v>79</v>
      </c>
      <c r="L79" s="166" t="s">
        <v>80</v>
      </c>
      <c r="M79" s="166">
        <v>2.0</v>
      </c>
      <c r="N79" s="170">
        <v>0.19999999999999996</v>
      </c>
      <c r="O79" s="171">
        <v>198.21</v>
      </c>
      <c r="P79" s="171">
        <v>158.568</v>
      </c>
      <c r="Q79" s="172">
        <v>0.0</v>
      </c>
      <c r="R79" s="173">
        <v>158.568</v>
      </c>
      <c r="S79" s="173">
        <v>0.0</v>
      </c>
      <c r="T79" s="173">
        <v>203.21</v>
      </c>
      <c r="U79" s="201" t="s">
        <v>88</v>
      </c>
      <c r="V79" s="165">
        <v>46013.0</v>
      </c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</row>
    <row r="80">
      <c r="A80" s="176">
        <v>45965.0</v>
      </c>
      <c r="B80" s="177">
        <v>7766201.0</v>
      </c>
      <c r="C80" s="178" t="s">
        <v>82</v>
      </c>
      <c r="D80" s="178" t="s">
        <v>35</v>
      </c>
      <c r="E80" s="177">
        <v>6.42573447E9</v>
      </c>
      <c r="F80" s="178" t="s">
        <v>203</v>
      </c>
      <c r="G80" s="176">
        <v>46040.0</v>
      </c>
      <c r="H80" s="179">
        <v>46044.0</v>
      </c>
      <c r="I80" s="180">
        <v>4.0</v>
      </c>
      <c r="J80" s="181" t="s">
        <v>78</v>
      </c>
      <c r="K80" s="178" t="s">
        <v>79</v>
      </c>
      <c r="L80" s="178" t="s">
        <v>80</v>
      </c>
      <c r="M80" s="182">
        <v>2.0</v>
      </c>
      <c r="N80" s="183">
        <v>0.19999999999999996</v>
      </c>
      <c r="O80" s="184">
        <v>170.9275</v>
      </c>
      <c r="P80" s="184">
        <v>136.74200000000002</v>
      </c>
      <c r="Q80" s="185">
        <v>0.0</v>
      </c>
      <c r="R80" s="186">
        <v>546.9680000000001</v>
      </c>
      <c r="S80" s="186">
        <v>0.0</v>
      </c>
      <c r="T80" s="186">
        <v>2741.99</v>
      </c>
      <c r="U80" s="187" t="s">
        <v>107</v>
      </c>
      <c r="V80" s="176">
        <v>45965.0</v>
      </c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</row>
    <row r="81">
      <c r="A81" s="176">
        <v>45965.0</v>
      </c>
      <c r="B81" s="177">
        <v>7766201.0</v>
      </c>
      <c r="C81" s="178" t="s">
        <v>82</v>
      </c>
      <c r="D81" s="178" t="s">
        <v>35</v>
      </c>
      <c r="E81" s="177">
        <v>6.42573447E9</v>
      </c>
      <c r="F81" s="178" t="s">
        <v>203</v>
      </c>
      <c r="G81" s="176">
        <v>46040.0</v>
      </c>
      <c r="H81" s="179">
        <v>46044.0</v>
      </c>
      <c r="I81" s="180">
        <v>4.0</v>
      </c>
      <c r="J81" s="181" t="s">
        <v>87</v>
      </c>
      <c r="K81" s="178" t="s">
        <v>79</v>
      </c>
      <c r="L81" s="178" t="s">
        <v>80</v>
      </c>
      <c r="M81" s="182">
        <v>2.0</v>
      </c>
      <c r="N81" s="183">
        <v>0.19999999999999996</v>
      </c>
      <c r="O81" s="184">
        <v>152.715</v>
      </c>
      <c r="P81" s="184">
        <v>122.17200000000001</v>
      </c>
      <c r="Q81" s="185">
        <v>0.0</v>
      </c>
      <c r="R81" s="186">
        <v>488.68800000000005</v>
      </c>
      <c r="S81" s="186">
        <v>0.0</v>
      </c>
      <c r="T81" s="186">
        <v>2741.99</v>
      </c>
      <c r="U81" s="187" t="s">
        <v>107</v>
      </c>
      <c r="V81" s="176">
        <v>45965.0</v>
      </c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</row>
    <row r="82">
      <c r="A82" s="165">
        <v>45965.0</v>
      </c>
      <c r="B82" s="166">
        <v>7766201.0</v>
      </c>
      <c r="C82" s="166" t="s">
        <v>82</v>
      </c>
      <c r="D82" s="166" t="s">
        <v>35</v>
      </c>
      <c r="E82" s="166">
        <v>6.42573447E9</v>
      </c>
      <c r="F82" s="166" t="s">
        <v>203</v>
      </c>
      <c r="G82" s="165">
        <v>46040.0</v>
      </c>
      <c r="H82" s="167">
        <v>46044.0</v>
      </c>
      <c r="I82" s="168">
        <v>4.0</v>
      </c>
      <c r="J82" s="169" t="s">
        <v>78</v>
      </c>
      <c r="K82" s="166" t="s">
        <v>79</v>
      </c>
      <c r="L82" s="166" t="s">
        <v>80</v>
      </c>
      <c r="M82" s="166">
        <v>2.0</v>
      </c>
      <c r="N82" s="170">
        <v>0.19999999999999996</v>
      </c>
      <c r="O82" s="171">
        <v>170.9275</v>
      </c>
      <c r="P82" s="171">
        <v>136.74200000000002</v>
      </c>
      <c r="Q82" s="172">
        <v>0.0</v>
      </c>
      <c r="R82" s="173">
        <v>546.9680000000001</v>
      </c>
      <c r="S82" s="173">
        <v>0.0</v>
      </c>
      <c r="T82" s="173">
        <v>2741.99</v>
      </c>
      <c r="U82" s="174" t="s">
        <v>107</v>
      </c>
      <c r="V82" s="165">
        <v>45965.0</v>
      </c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</row>
    <row r="83">
      <c r="A83" s="165">
        <v>45965.0</v>
      </c>
      <c r="B83" s="166">
        <v>7766201.0</v>
      </c>
      <c r="C83" s="166" t="s">
        <v>82</v>
      </c>
      <c r="D83" s="166" t="s">
        <v>35</v>
      </c>
      <c r="E83" s="166">
        <v>6.42573447E9</v>
      </c>
      <c r="F83" s="166" t="s">
        <v>203</v>
      </c>
      <c r="G83" s="165">
        <v>46040.0</v>
      </c>
      <c r="H83" s="167">
        <v>46044.0</v>
      </c>
      <c r="I83" s="168">
        <v>4.0</v>
      </c>
      <c r="J83" s="169" t="s">
        <v>78</v>
      </c>
      <c r="K83" s="166" t="s">
        <v>79</v>
      </c>
      <c r="L83" s="166" t="s">
        <v>80</v>
      </c>
      <c r="M83" s="166">
        <v>2.0</v>
      </c>
      <c r="N83" s="170">
        <v>0.19999999999999996</v>
      </c>
      <c r="O83" s="171">
        <v>170.9275</v>
      </c>
      <c r="P83" s="171">
        <v>136.74200000000002</v>
      </c>
      <c r="Q83" s="172">
        <v>0.0</v>
      </c>
      <c r="R83" s="173">
        <v>546.9680000000001</v>
      </c>
      <c r="S83" s="173">
        <v>0.0</v>
      </c>
      <c r="T83" s="173">
        <v>2741.99</v>
      </c>
      <c r="U83" s="201" t="s">
        <v>107</v>
      </c>
      <c r="V83" s="165">
        <v>45965.0</v>
      </c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</row>
    <row r="84">
      <c r="A84" s="176">
        <v>45975.0</v>
      </c>
      <c r="B84" s="177">
        <v>7803553.0</v>
      </c>
      <c r="C84" s="178" t="s">
        <v>82</v>
      </c>
      <c r="D84" s="178" t="s">
        <v>35</v>
      </c>
      <c r="E84" s="178">
        <v>5.501636428E9</v>
      </c>
      <c r="F84" s="178" t="s">
        <v>204</v>
      </c>
      <c r="G84" s="176">
        <v>46041.0</v>
      </c>
      <c r="H84" s="179">
        <v>46044.0</v>
      </c>
      <c r="I84" s="180">
        <v>3.0</v>
      </c>
      <c r="J84" s="181" t="s">
        <v>114</v>
      </c>
      <c r="K84" s="178" t="s">
        <v>79</v>
      </c>
      <c r="L84" s="178" t="s">
        <v>80</v>
      </c>
      <c r="M84" s="182">
        <v>2.0</v>
      </c>
      <c r="N84" s="183">
        <v>0.19999999999999996</v>
      </c>
      <c r="O84" s="184">
        <v>193.42666666666665</v>
      </c>
      <c r="P84" s="184">
        <v>154.74133333333333</v>
      </c>
      <c r="Q84" s="185">
        <v>0.0</v>
      </c>
      <c r="R84" s="186">
        <v>464.224</v>
      </c>
      <c r="S84" s="186">
        <v>0.0</v>
      </c>
      <c r="T84" s="186">
        <v>595.28</v>
      </c>
      <c r="U84" s="187" t="s">
        <v>107</v>
      </c>
      <c r="V84" s="189">
        <v>45975.0</v>
      </c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</row>
    <row r="85">
      <c r="A85" s="165">
        <v>46003.0</v>
      </c>
      <c r="B85" s="166">
        <v>7911367.0</v>
      </c>
      <c r="C85" s="166" t="s">
        <v>89</v>
      </c>
      <c r="D85" s="166" t="s">
        <v>94</v>
      </c>
      <c r="E85" s="166">
        <v>7911367.0</v>
      </c>
      <c r="F85" s="166" t="s">
        <v>199</v>
      </c>
      <c r="G85" s="165">
        <v>46041.0</v>
      </c>
      <c r="H85" s="167">
        <v>46045.0</v>
      </c>
      <c r="I85" s="168">
        <v>4.0</v>
      </c>
      <c r="J85" s="169" t="s">
        <v>111</v>
      </c>
      <c r="K85" s="166" t="s">
        <v>79</v>
      </c>
      <c r="L85" s="166" t="s">
        <v>96</v>
      </c>
      <c r="M85" s="166">
        <v>0.0</v>
      </c>
      <c r="N85" s="170">
        <v>0.0</v>
      </c>
      <c r="O85" s="171">
        <v>0.0</v>
      </c>
      <c r="P85" s="171">
        <v>0.0</v>
      </c>
      <c r="Q85" s="172">
        <v>0.0</v>
      </c>
      <c r="R85" s="173">
        <v>0.0</v>
      </c>
      <c r="S85" s="173">
        <v>0.0</v>
      </c>
      <c r="T85" s="173">
        <v>0.0</v>
      </c>
      <c r="U85" s="174" t="s">
        <v>189</v>
      </c>
      <c r="V85" s="165">
        <v>46013.0</v>
      </c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</row>
    <row r="86">
      <c r="A86" s="154">
        <v>45950.0</v>
      </c>
      <c r="B86" s="155">
        <v>7709772.0</v>
      </c>
      <c r="C86" s="156" t="s">
        <v>82</v>
      </c>
      <c r="D86" s="156" t="s">
        <v>35</v>
      </c>
      <c r="E86" s="155">
        <v>5.045365767E9</v>
      </c>
      <c r="F86" s="156" t="s">
        <v>205</v>
      </c>
      <c r="G86" s="154">
        <v>46042.0</v>
      </c>
      <c r="H86" s="157">
        <v>46044.0</v>
      </c>
      <c r="I86" s="158">
        <v>2.0</v>
      </c>
      <c r="J86" s="159" t="s">
        <v>114</v>
      </c>
      <c r="K86" s="156" t="s">
        <v>138</v>
      </c>
      <c r="L86" s="156" t="s">
        <v>80</v>
      </c>
      <c r="M86" s="202">
        <v>2.0</v>
      </c>
      <c r="N86" s="160">
        <v>0.19999999999999996</v>
      </c>
      <c r="O86" s="161">
        <v>176.32</v>
      </c>
      <c r="P86" s="161">
        <v>141.056</v>
      </c>
      <c r="Q86" s="203">
        <v>36.0</v>
      </c>
      <c r="R86" s="162">
        <v>282.112</v>
      </c>
      <c r="S86" s="162">
        <v>72.0</v>
      </c>
      <c r="T86" s="162">
        <v>420.24</v>
      </c>
      <c r="U86" s="163" t="s">
        <v>140</v>
      </c>
      <c r="V86" s="154">
        <v>45950.0</v>
      </c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</row>
    <row r="87">
      <c r="A87" s="154">
        <v>45944.0</v>
      </c>
      <c r="B87" s="155">
        <v>7684903.0</v>
      </c>
      <c r="C87" s="156" t="s">
        <v>82</v>
      </c>
      <c r="D87" s="156" t="s">
        <v>35</v>
      </c>
      <c r="E87" s="155">
        <v>6.074265029E9</v>
      </c>
      <c r="F87" s="156" t="s">
        <v>206</v>
      </c>
      <c r="G87" s="154">
        <v>46043.0</v>
      </c>
      <c r="H87" s="157">
        <v>46047.0</v>
      </c>
      <c r="I87" s="158">
        <v>4.0</v>
      </c>
      <c r="J87" s="159" t="s">
        <v>78</v>
      </c>
      <c r="K87" s="156" t="s">
        <v>79</v>
      </c>
      <c r="L87" s="156" t="s">
        <v>80</v>
      </c>
      <c r="M87" s="202">
        <v>2.0</v>
      </c>
      <c r="N87" s="160">
        <v>0.19999999999999996</v>
      </c>
      <c r="O87" s="161">
        <v>146.1</v>
      </c>
      <c r="P87" s="161">
        <v>116.88</v>
      </c>
      <c r="Q87" s="203">
        <v>0.0</v>
      </c>
      <c r="R87" s="162">
        <v>467.52</v>
      </c>
      <c r="S87" s="162">
        <v>0.0</v>
      </c>
      <c r="T87" s="162">
        <v>604.4</v>
      </c>
      <c r="U87" s="163" t="s">
        <v>107</v>
      </c>
      <c r="V87" s="154">
        <v>45944.0</v>
      </c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</row>
    <row r="88">
      <c r="A88" s="176">
        <v>46034.0</v>
      </c>
      <c r="B88" s="177">
        <v>8024616.0</v>
      </c>
      <c r="C88" s="178" t="s">
        <v>82</v>
      </c>
      <c r="D88" s="178" t="s">
        <v>109</v>
      </c>
      <c r="E88" s="177">
        <v>6.16332967E8</v>
      </c>
      <c r="F88" s="178" t="s">
        <v>207</v>
      </c>
      <c r="G88" s="176">
        <v>46043.0</v>
      </c>
      <c r="H88" s="179">
        <v>46046.0</v>
      </c>
      <c r="I88" s="180">
        <v>3.0</v>
      </c>
      <c r="J88" s="181" t="s">
        <v>111</v>
      </c>
      <c r="K88" s="178" t="s">
        <v>79</v>
      </c>
      <c r="L88" s="178" t="s">
        <v>96</v>
      </c>
      <c r="M88" s="177">
        <v>2.0</v>
      </c>
      <c r="N88" s="183">
        <v>0.19999999999999996</v>
      </c>
      <c r="O88" s="184">
        <v>265.84</v>
      </c>
      <c r="P88" s="184">
        <v>212.672</v>
      </c>
      <c r="Q88" s="185">
        <v>0.0</v>
      </c>
      <c r="R88" s="186">
        <v>638.016</v>
      </c>
      <c r="S88" s="186">
        <v>0.0</v>
      </c>
      <c r="T88" s="186">
        <v>797.52</v>
      </c>
      <c r="U88" s="187" t="s">
        <v>112</v>
      </c>
      <c r="V88" s="189">
        <v>46034.0</v>
      </c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</row>
    <row r="89">
      <c r="A89" s="154">
        <v>45893.0</v>
      </c>
      <c r="B89" s="155">
        <v>7465906.0</v>
      </c>
      <c r="C89" s="156" t="s">
        <v>89</v>
      </c>
      <c r="D89" s="156" t="s">
        <v>35</v>
      </c>
      <c r="E89" s="155">
        <v>6.195274914E9</v>
      </c>
      <c r="F89" s="156" t="s">
        <v>209</v>
      </c>
      <c r="G89" s="154">
        <v>46044.0</v>
      </c>
      <c r="H89" s="157">
        <v>46045.0</v>
      </c>
      <c r="I89" s="158">
        <v>1.0</v>
      </c>
      <c r="J89" s="159" t="s">
        <v>114</v>
      </c>
      <c r="K89" s="156" t="s">
        <v>79</v>
      </c>
      <c r="L89" s="156" t="s">
        <v>80</v>
      </c>
      <c r="M89" s="155">
        <v>0.0</v>
      </c>
      <c r="N89" s="160">
        <v>0.0</v>
      </c>
      <c r="O89" s="161">
        <v>0.0</v>
      </c>
      <c r="P89" s="161">
        <v>0.0</v>
      </c>
      <c r="Q89" s="203">
        <v>0.0</v>
      </c>
      <c r="R89" s="162">
        <v>0.0</v>
      </c>
      <c r="S89" s="162">
        <v>0.0</v>
      </c>
      <c r="T89" s="162">
        <v>0.0</v>
      </c>
      <c r="U89" s="163" t="s">
        <v>210</v>
      </c>
      <c r="V89" s="154">
        <v>46027.0</v>
      </c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</row>
    <row r="90">
      <c r="A90" s="165">
        <v>45881.0</v>
      </c>
      <c r="B90" s="166">
        <v>7408954.0</v>
      </c>
      <c r="C90" s="166" t="s">
        <v>82</v>
      </c>
      <c r="D90" s="166" t="s">
        <v>101</v>
      </c>
      <c r="E90" s="166">
        <v>2.266190463E9</v>
      </c>
      <c r="F90" s="166" t="s">
        <v>211</v>
      </c>
      <c r="G90" s="165">
        <v>46044.0</v>
      </c>
      <c r="H90" s="167">
        <v>46045.0</v>
      </c>
      <c r="I90" s="168">
        <v>1.0</v>
      </c>
      <c r="J90" s="169" t="s">
        <v>114</v>
      </c>
      <c r="K90" s="166"/>
      <c r="L90" s="166"/>
      <c r="M90" s="205">
        <v>2.0</v>
      </c>
      <c r="N90" s="170">
        <v>0.0</v>
      </c>
      <c r="O90" s="171">
        <v>0.0</v>
      </c>
      <c r="P90" s="171">
        <v>0.0</v>
      </c>
      <c r="Q90" s="172">
        <v>0.0</v>
      </c>
      <c r="R90" s="173">
        <v>0.0</v>
      </c>
      <c r="S90" s="173">
        <v>0.0</v>
      </c>
      <c r="T90" s="173">
        <v>0.0</v>
      </c>
      <c r="U90" s="174" t="s">
        <v>180</v>
      </c>
      <c r="V90" s="165">
        <v>45881.0</v>
      </c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</row>
    <row r="91">
      <c r="A91" s="154">
        <v>45917.0</v>
      </c>
      <c r="B91" s="155">
        <v>7574230.0</v>
      </c>
      <c r="C91" s="156" t="s">
        <v>89</v>
      </c>
      <c r="D91" s="156" t="s">
        <v>35</v>
      </c>
      <c r="E91" s="155">
        <v>6.271518535E9</v>
      </c>
      <c r="F91" s="156" t="s">
        <v>212</v>
      </c>
      <c r="G91" s="154">
        <v>46044.0</v>
      </c>
      <c r="H91" s="157">
        <v>46047.0</v>
      </c>
      <c r="I91" s="158">
        <v>3.0</v>
      </c>
      <c r="J91" s="159" t="s">
        <v>87</v>
      </c>
      <c r="K91" s="156" t="s">
        <v>79</v>
      </c>
      <c r="L91" s="156" t="s">
        <v>80</v>
      </c>
      <c r="M91" s="202">
        <v>0.0</v>
      </c>
      <c r="N91" s="160">
        <v>0.0</v>
      </c>
      <c r="O91" s="161">
        <v>0.0</v>
      </c>
      <c r="P91" s="161">
        <v>0.0</v>
      </c>
      <c r="Q91" s="203">
        <v>0.0</v>
      </c>
      <c r="R91" s="162">
        <v>0.0</v>
      </c>
      <c r="S91" s="162">
        <v>0.0</v>
      </c>
      <c r="T91" s="162">
        <v>0.0</v>
      </c>
      <c r="U91" s="163" t="s">
        <v>213</v>
      </c>
      <c r="V91" s="154">
        <v>46014.0</v>
      </c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</row>
    <row r="92">
      <c r="A92" s="165">
        <v>45952.0</v>
      </c>
      <c r="B92" s="166">
        <v>7714911.0</v>
      </c>
      <c r="C92" s="166" t="s">
        <v>89</v>
      </c>
      <c r="D92" s="166" t="s">
        <v>35</v>
      </c>
      <c r="E92" s="166">
        <v>6.908730201E9</v>
      </c>
      <c r="F92" s="166" t="s">
        <v>214</v>
      </c>
      <c r="G92" s="165">
        <v>46044.0</v>
      </c>
      <c r="H92" s="167">
        <v>46046.0</v>
      </c>
      <c r="I92" s="168">
        <v>2.0</v>
      </c>
      <c r="J92" s="169" t="s">
        <v>78</v>
      </c>
      <c r="K92" s="166" t="s">
        <v>79</v>
      </c>
      <c r="L92" s="166" t="s">
        <v>80</v>
      </c>
      <c r="M92" s="205">
        <v>0.0</v>
      </c>
      <c r="N92" s="170">
        <v>0.0</v>
      </c>
      <c r="O92" s="171">
        <v>0.0</v>
      </c>
      <c r="P92" s="171">
        <v>0.0</v>
      </c>
      <c r="Q92" s="172">
        <v>0.0</v>
      </c>
      <c r="R92" s="173">
        <v>0.0</v>
      </c>
      <c r="S92" s="173">
        <v>0.0</v>
      </c>
      <c r="T92" s="173">
        <v>0.0</v>
      </c>
      <c r="U92" s="174" t="s">
        <v>155</v>
      </c>
      <c r="V92" s="165">
        <v>46032.0</v>
      </c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</row>
    <row r="93">
      <c r="A93" s="165">
        <v>45968.0</v>
      </c>
      <c r="B93" s="166">
        <v>7779224.0</v>
      </c>
      <c r="C93" s="166" t="s">
        <v>82</v>
      </c>
      <c r="D93" s="166" t="s">
        <v>94</v>
      </c>
      <c r="E93" s="166">
        <v>7779224.0</v>
      </c>
      <c r="F93" s="166" t="s">
        <v>216</v>
      </c>
      <c r="G93" s="165">
        <v>46044.0</v>
      </c>
      <c r="H93" s="167">
        <v>46045.0</v>
      </c>
      <c r="I93" s="168">
        <v>1.0</v>
      </c>
      <c r="J93" s="169" t="s">
        <v>78</v>
      </c>
      <c r="K93" s="166" t="s">
        <v>79</v>
      </c>
      <c r="L93" s="166" t="s">
        <v>96</v>
      </c>
      <c r="M93" s="166">
        <v>2.0</v>
      </c>
      <c r="N93" s="170">
        <v>0.0</v>
      </c>
      <c r="O93" s="171">
        <v>239.76</v>
      </c>
      <c r="P93" s="171">
        <v>239.76</v>
      </c>
      <c r="Q93" s="172">
        <v>0.0</v>
      </c>
      <c r="R93" s="173">
        <v>239.76</v>
      </c>
      <c r="S93" s="173">
        <v>0.0</v>
      </c>
      <c r="T93" s="173">
        <v>244.76</v>
      </c>
      <c r="U93" s="201" t="s">
        <v>97</v>
      </c>
      <c r="V93" s="165">
        <v>45968.0</v>
      </c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</row>
    <row r="94">
      <c r="A94" s="176">
        <v>45968.0</v>
      </c>
      <c r="B94" s="177">
        <v>7779260.0</v>
      </c>
      <c r="C94" s="178" t="s">
        <v>82</v>
      </c>
      <c r="D94" s="178" t="s">
        <v>94</v>
      </c>
      <c r="E94" s="177">
        <v>7779260.0</v>
      </c>
      <c r="F94" s="178" t="s">
        <v>217</v>
      </c>
      <c r="G94" s="176">
        <v>46044.0</v>
      </c>
      <c r="H94" s="179">
        <v>46045.0</v>
      </c>
      <c r="I94" s="180">
        <v>1.0</v>
      </c>
      <c r="J94" s="181" t="s">
        <v>78</v>
      </c>
      <c r="K94" s="178" t="s">
        <v>79</v>
      </c>
      <c r="L94" s="178" t="s">
        <v>96</v>
      </c>
      <c r="M94" s="182">
        <v>2.0</v>
      </c>
      <c r="N94" s="183">
        <v>0.0</v>
      </c>
      <c r="O94" s="184">
        <v>239.76</v>
      </c>
      <c r="P94" s="184">
        <v>239.76</v>
      </c>
      <c r="Q94" s="185">
        <v>0.0</v>
      </c>
      <c r="R94" s="186">
        <v>239.76</v>
      </c>
      <c r="S94" s="186">
        <v>0.0</v>
      </c>
      <c r="T94" s="186">
        <v>244.76</v>
      </c>
      <c r="U94" s="187" t="s">
        <v>97</v>
      </c>
      <c r="V94" s="176">
        <v>45968.0</v>
      </c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</row>
    <row r="95">
      <c r="A95" s="176">
        <v>45990.0</v>
      </c>
      <c r="B95" s="177">
        <v>7864220.0</v>
      </c>
      <c r="C95" s="178" t="s">
        <v>82</v>
      </c>
      <c r="D95" s="178" t="s">
        <v>35</v>
      </c>
      <c r="E95" s="177">
        <v>6.66655262E9</v>
      </c>
      <c r="F95" s="178" t="s">
        <v>218</v>
      </c>
      <c r="G95" s="176">
        <v>46044.0</v>
      </c>
      <c r="H95" s="179">
        <v>46047.0</v>
      </c>
      <c r="I95" s="180">
        <v>3.0</v>
      </c>
      <c r="J95" s="181" t="s">
        <v>78</v>
      </c>
      <c r="K95" s="178" t="s">
        <v>79</v>
      </c>
      <c r="L95" s="178" t="s">
        <v>80</v>
      </c>
      <c r="M95" s="182">
        <v>2.0</v>
      </c>
      <c r="N95" s="183">
        <v>0.19999999999999996</v>
      </c>
      <c r="O95" s="184">
        <v>181.38</v>
      </c>
      <c r="P95" s="184">
        <v>145.104</v>
      </c>
      <c r="Q95" s="185">
        <v>0.0</v>
      </c>
      <c r="R95" s="186">
        <v>435.312</v>
      </c>
      <c r="S95" s="186">
        <v>0.0</v>
      </c>
      <c r="T95" s="186">
        <v>559.14</v>
      </c>
      <c r="U95" s="187" t="s">
        <v>107</v>
      </c>
      <c r="V95" s="176">
        <v>45990.0</v>
      </c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</row>
    <row r="96">
      <c r="A96" s="165">
        <v>46019.0</v>
      </c>
      <c r="B96" s="166">
        <v>7966317.0</v>
      </c>
      <c r="C96" s="166" t="s">
        <v>82</v>
      </c>
      <c r="D96" s="166" t="s">
        <v>35</v>
      </c>
      <c r="E96" s="166">
        <v>6.540931258E9</v>
      </c>
      <c r="F96" s="166" t="s">
        <v>220</v>
      </c>
      <c r="G96" s="165">
        <v>46044.0</v>
      </c>
      <c r="H96" s="167">
        <v>46047.0</v>
      </c>
      <c r="I96" s="168">
        <v>3.0</v>
      </c>
      <c r="J96" s="169" t="s">
        <v>111</v>
      </c>
      <c r="K96" s="166" t="s">
        <v>79</v>
      </c>
      <c r="L96" s="166" t="s">
        <v>80</v>
      </c>
      <c r="M96" s="166">
        <v>2.0</v>
      </c>
      <c r="N96" s="169">
        <v>0.19999999999999996</v>
      </c>
      <c r="O96" s="171">
        <v>237.25</v>
      </c>
      <c r="P96" s="171">
        <v>189.8</v>
      </c>
      <c r="Q96" s="169">
        <v>0.0</v>
      </c>
      <c r="R96" s="173">
        <v>569.4000000000001</v>
      </c>
      <c r="S96" s="173">
        <v>0.0</v>
      </c>
      <c r="T96" s="173">
        <v>726.75</v>
      </c>
      <c r="U96" s="201" t="s">
        <v>88</v>
      </c>
      <c r="V96" s="165">
        <v>46019.0</v>
      </c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</row>
    <row r="97">
      <c r="A97" s="154">
        <v>46032.0</v>
      </c>
      <c r="B97" s="155">
        <v>8016029.0</v>
      </c>
      <c r="C97" s="156" t="s">
        <v>82</v>
      </c>
      <c r="D97" s="156" t="s">
        <v>94</v>
      </c>
      <c r="E97" s="155">
        <v>8016029.0</v>
      </c>
      <c r="F97" s="156" t="s">
        <v>221</v>
      </c>
      <c r="G97" s="154">
        <v>46044.0</v>
      </c>
      <c r="H97" s="157">
        <v>46045.0</v>
      </c>
      <c r="I97" s="158">
        <v>1.0</v>
      </c>
      <c r="J97" s="159" t="s">
        <v>78</v>
      </c>
      <c r="K97" s="156" t="s">
        <v>79</v>
      </c>
      <c r="L97" s="156" t="s">
        <v>96</v>
      </c>
      <c r="M97" s="155">
        <v>2.0</v>
      </c>
      <c r="N97" s="160">
        <v>0.0</v>
      </c>
      <c r="O97" s="161">
        <v>239.76</v>
      </c>
      <c r="P97" s="161">
        <v>239.76</v>
      </c>
      <c r="Q97" s="203">
        <v>0.0</v>
      </c>
      <c r="R97" s="162">
        <v>239.76</v>
      </c>
      <c r="S97" s="162">
        <v>0.0</v>
      </c>
      <c r="T97" s="162">
        <v>244.76</v>
      </c>
      <c r="U97" s="163" t="s">
        <v>97</v>
      </c>
      <c r="V97" s="154">
        <v>46032.0</v>
      </c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</row>
    <row r="98">
      <c r="A98" s="165">
        <v>45988.0</v>
      </c>
      <c r="B98" s="166">
        <v>7853773.0</v>
      </c>
      <c r="C98" s="166" t="s">
        <v>89</v>
      </c>
      <c r="D98" s="166" t="s">
        <v>35</v>
      </c>
      <c r="E98" s="166">
        <v>5.082199989E9</v>
      </c>
      <c r="F98" s="166" t="s">
        <v>222</v>
      </c>
      <c r="G98" s="165">
        <v>46045.0</v>
      </c>
      <c r="H98" s="167">
        <v>46047.0</v>
      </c>
      <c r="I98" s="168">
        <v>2.0</v>
      </c>
      <c r="J98" s="169" t="s">
        <v>114</v>
      </c>
      <c r="K98" s="166" t="s">
        <v>79</v>
      </c>
      <c r="L98" s="166" t="s">
        <v>80</v>
      </c>
      <c r="M98" s="205">
        <v>0.0</v>
      </c>
      <c r="N98" s="170">
        <v>0.0</v>
      </c>
      <c r="O98" s="171">
        <v>0.0</v>
      </c>
      <c r="P98" s="171">
        <v>0.0</v>
      </c>
      <c r="Q98" s="172">
        <v>0.0</v>
      </c>
      <c r="R98" s="173">
        <v>0.0</v>
      </c>
      <c r="S98" s="173">
        <v>0.0</v>
      </c>
      <c r="T98" s="173">
        <v>0.0</v>
      </c>
      <c r="U98" s="201" t="s">
        <v>223</v>
      </c>
      <c r="V98" s="165">
        <v>46028.0</v>
      </c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</row>
    <row r="99">
      <c r="A99" s="165">
        <v>46013.0</v>
      </c>
      <c r="B99" s="166">
        <v>7945780.0</v>
      </c>
      <c r="C99" s="166" t="s">
        <v>82</v>
      </c>
      <c r="D99" s="166" t="s">
        <v>35</v>
      </c>
      <c r="E99" s="166">
        <v>6.079620404E9</v>
      </c>
      <c r="F99" s="166" t="s">
        <v>224</v>
      </c>
      <c r="G99" s="165">
        <v>46045.0</v>
      </c>
      <c r="H99" s="167">
        <v>46047.0</v>
      </c>
      <c r="I99" s="168">
        <v>2.0</v>
      </c>
      <c r="J99" s="169" t="s">
        <v>78</v>
      </c>
      <c r="K99" s="166" t="s">
        <v>79</v>
      </c>
      <c r="L99" s="166" t="s">
        <v>80</v>
      </c>
      <c r="M99" s="166">
        <v>2.0</v>
      </c>
      <c r="N99" s="170">
        <v>0.19999999999999996</v>
      </c>
      <c r="O99" s="171">
        <v>170.17</v>
      </c>
      <c r="P99" s="171">
        <v>136.136</v>
      </c>
      <c r="Q99" s="169">
        <v>0.0</v>
      </c>
      <c r="R99" s="173">
        <v>272.272</v>
      </c>
      <c r="S99" s="173">
        <v>0.0</v>
      </c>
      <c r="T99" s="173">
        <v>350.34</v>
      </c>
      <c r="U99" s="201" t="s">
        <v>107</v>
      </c>
      <c r="V99" s="165">
        <v>46013.0</v>
      </c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</row>
    <row r="100">
      <c r="A100" s="165">
        <v>46017.0</v>
      </c>
      <c r="B100" s="166">
        <v>7960958.0</v>
      </c>
      <c r="C100" s="166" t="s">
        <v>82</v>
      </c>
      <c r="D100" s="166" t="s">
        <v>36</v>
      </c>
      <c r="E100" s="166">
        <v>7960958.0</v>
      </c>
      <c r="F100" s="166" t="s">
        <v>225</v>
      </c>
      <c r="G100" s="165">
        <v>46045.0</v>
      </c>
      <c r="H100" s="167">
        <v>46047.0</v>
      </c>
      <c r="I100" s="168">
        <v>2.0</v>
      </c>
      <c r="J100" s="169" t="s">
        <v>87</v>
      </c>
      <c r="K100" s="166" t="s">
        <v>79</v>
      </c>
      <c r="L100" s="166" t="s">
        <v>96</v>
      </c>
      <c r="M100" s="166">
        <v>2.0</v>
      </c>
      <c r="N100" s="169">
        <v>0.0</v>
      </c>
      <c r="O100" s="171">
        <v>170.82</v>
      </c>
      <c r="P100" s="171">
        <v>169.1118</v>
      </c>
      <c r="Q100" s="169">
        <v>0.0</v>
      </c>
      <c r="R100" s="173">
        <v>338.2236</v>
      </c>
      <c r="S100" s="173">
        <v>0.0</v>
      </c>
      <c r="T100" s="173">
        <v>351.64</v>
      </c>
      <c r="U100" s="174" t="s">
        <v>97</v>
      </c>
      <c r="V100" s="210">
        <v>46017.0</v>
      </c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</row>
    <row r="101">
      <c r="A101" s="154">
        <v>46031.0</v>
      </c>
      <c r="B101" s="155">
        <v>8013067.0</v>
      </c>
      <c r="C101" s="156" t="s">
        <v>82</v>
      </c>
      <c r="D101" s="156" t="s">
        <v>35</v>
      </c>
      <c r="E101" s="155">
        <v>5.363731924E9</v>
      </c>
      <c r="F101" s="156" t="s">
        <v>226</v>
      </c>
      <c r="G101" s="154">
        <v>46045.0</v>
      </c>
      <c r="H101" s="157">
        <v>46048.0</v>
      </c>
      <c r="I101" s="158">
        <v>3.0</v>
      </c>
      <c r="J101" s="159" t="s">
        <v>114</v>
      </c>
      <c r="K101" s="156" t="s">
        <v>79</v>
      </c>
      <c r="L101" s="156" t="s">
        <v>80</v>
      </c>
      <c r="M101" s="155">
        <v>2.0</v>
      </c>
      <c r="N101" s="160">
        <v>0.19999999999999996</v>
      </c>
      <c r="O101" s="161">
        <v>208.5</v>
      </c>
      <c r="P101" s="161">
        <v>166.8</v>
      </c>
      <c r="Q101" s="203">
        <v>0.0</v>
      </c>
      <c r="R101" s="162">
        <v>500.40000000000003</v>
      </c>
      <c r="S101" s="162">
        <v>0.0</v>
      </c>
      <c r="T101" s="162">
        <v>640.5</v>
      </c>
      <c r="U101" s="163" t="s">
        <v>183</v>
      </c>
      <c r="V101" s="154">
        <v>46031.0</v>
      </c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</row>
    <row r="102">
      <c r="A102" s="154">
        <v>45895.0</v>
      </c>
      <c r="B102" s="155">
        <v>7475314.0</v>
      </c>
      <c r="C102" s="156" t="s">
        <v>89</v>
      </c>
      <c r="D102" s="156" t="s">
        <v>35</v>
      </c>
      <c r="E102" s="155">
        <v>5.195326566E9</v>
      </c>
      <c r="F102" s="156" t="s">
        <v>209</v>
      </c>
      <c r="G102" s="154">
        <v>46046.0</v>
      </c>
      <c r="H102" s="157">
        <v>46047.0</v>
      </c>
      <c r="I102" s="158">
        <v>1.0</v>
      </c>
      <c r="J102" s="159" t="s">
        <v>114</v>
      </c>
      <c r="K102" s="156" t="s">
        <v>79</v>
      </c>
      <c r="L102" s="156" t="s">
        <v>80</v>
      </c>
      <c r="M102" s="202">
        <v>0.0</v>
      </c>
      <c r="N102" s="160">
        <v>0.0</v>
      </c>
      <c r="O102" s="161">
        <v>0.0</v>
      </c>
      <c r="P102" s="161">
        <v>0.0</v>
      </c>
      <c r="Q102" s="203">
        <v>0.0</v>
      </c>
      <c r="R102" s="162">
        <v>0.0</v>
      </c>
      <c r="S102" s="162">
        <v>0.0</v>
      </c>
      <c r="T102" s="162">
        <v>0.0</v>
      </c>
      <c r="U102" s="163" t="s">
        <v>228</v>
      </c>
      <c r="V102" s="154">
        <v>46027.0</v>
      </c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</row>
    <row r="103">
      <c r="A103" s="154">
        <v>46011.0</v>
      </c>
      <c r="B103" s="155">
        <v>7939917.0</v>
      </c>
      <c r="C103" s="156" t="s">
        <v>82</v>
      </c>
      <c r="D103" s="156" t="s">
        <v>35</v>
      </c>
      <c r="E103" s="155">
        <v>6.218586153E9</v>
      </c>
      <c r="F103" s="156" t="s">
        <v>229</v>
      </c>
      <c r="G103" s="154">
        <v>46046.0</v>
      </c>
      <c r="H103" s="157">
        <v>46047.0</v>
      </c>
      <c r="I103" s="158">
        <v>1.0</v>
      </c>
      <c r="J103" s="159" t="s">
        <v>78</v>
      </c>
      <c r="K103" s="156" t="s">
        <v>79</v>
      </c>
      <c r="L103" s="156" t="s">
        <v>80</v>
      </c>
      <c r="M103" s="155">
        <v>2.0</v>
      </c>
      <c r="N103" s="160">
        <v>0.19999999999999996</v>
      </c>
      <c r="O103" s="161">
        <v>156.92</v>
      </c>
      <c r="P103" s="161">
        <v>125.536</v>
      </c>
      <c r="Q103" s="203">
        <v>0.0</v>
      </c>
      <c r="R103" s="162">
        <v>125.536</v>
      </c>
      <c r="S103" s="162">
        <v>0.0</v>
      </c>
      <c r="T103" s="162">
        <v>161.92</v>
      </c>
      <c r="U103" s="163" t="s">
        <v>107</v>
      </c>
      <c r="V103" s="154">
        <v>46011.0</v>
      </c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</row>
    <row r="104">
      <c r="A104" s="165">
        <v>46030.0</v>
      </c>
      <c r="B104" s="166">
        <v>8009671.0</v>
      </c>
      <c r="C104" s="166" t="s">
        <v>82</v>
      </c>
      <c r="D104" s="166" t="s">
        <v>35</v>
      </c>
      <c r="E104" s="166">
        <v>5.511258073E9</v>
      </c>
      <c r="F104" s="166" t="s">
        <v>230</v>
      </c>
      <c r="G104" s="165">
        <v>46046.0</v>
      </c>
      <c r="H104" s="167">
        <v>46049.0</v>
      </c>
      <c r="I104" s="168">
        <v>3.0</v>
      </c>
      <c r="J104" s="169" t="s">
        <v>78</v>
      </c>
      <c r="K104" s="166" t="s">
        <v>79</v>
      </c>
      <c r="L104" s="166" t="s">
        <v>80</v>
      </c>
      <c r="M104" s="166">
        <v>2.0</v>
      </c>
      <c r="N104" s="170">
        <v>0.19999999999999996</v>
      </c>
      <c r="O104" s="171">
        <v>174.09</v>
      </c>
      <c r="P104" s="171">
        <v>139.27200000000002</v>
      </c>
      <c r="Q104" s="172">
        <v>0.0</v>
      </c>
      <c r="R104" s="173">
        <v>417.81600000000003</v>
      </c>
      <c r="S104" s="173">
        <v>0.0</v>
      </c>
      <c r="T104" s="173">
        <v>537.27</v>
      </c>
      <c r="U104" s="201" t="s">
        <v>88</v>
      </c>
      <c r="V104" s="165">
        <v>46030.0</v>
      </c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</row>
    <row r="105">
      <c r="A105" s="165">
        <v>46031.0</v>
      </c>
      <c r="B105" s="166">
        <v>8011948.0</v>
      </c>
      <c r="C105" s="166" t="s">
        <v>89</v>
      </c>
      <c r="D105" s="166" t="s">
        <v>94</v>
      </c>
      <c r="E105" s="166">
        <v>8011948.0</v>
      </c>
      <c r="F105" s="166" t="s">
        <v>231</v>
      </c>
      <c r="G105" s="165">
        <v>46046.0</v>
      </c>
      <c r="H105" s="167">
        <v>46052.0</v>
      </c>
      <c r="I105" s="168">
        <v>6.0</v>
      </c>
      <c r="J105" s="169" t="s">
        <v>111</v>
      </c>
      <c r="K105" s="166" t="s">
        <v>79</v>
      </c>
      <c r="L105" s="166" t="s">
        <v>96</v>
      </c>
      <c r="M105" s="166">
        <v>0.0</v>
      </c>
      <c r="N105" s="170">
        <v>0.0</v>
      </c>
      <c r="O105" s="171">
        <v>0.0</v>
      </c>
      <c r="P105" s="171">
        <v>0.0</v>
      </c>
      <c r="Q105" s="172">
        <v>0.0</v>
      </c>
      <c r="R105" s="173">
        <v>0.0</v>
      </c>
      <c r="S105" s="173">
        <v>0.0</v>
      </c>
      <c r="T105" s="173">
        <v>0.0</v>
      </c>
      <c r="U105" s="174" t="s">
        <v>232</v>
      </c>
      <c r="V105" s="165">
        <v>46045.0</v>
      </c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</row>
    <row r="106">
      <c r="A106" s="176">
        <v>46031.0</v>
      </c>
      <c r="B106" s="177">
        <v>8011948.0</v>
      </c>
      <c r="C106" s="178" t="s">
        <v>89</v>
      </c>
      <c r="D106" s="178" t="s">
        <v>94</v>
      </c>
      <c r="E106" s="178">
        <v>8011948.0</v>
      </c>
      <c r="F106" s="178" t="s">
        <v>231</v>
      </c>
      <c r="G106" s="176">
        <v>46046.0</v>
      </c>
      <c r="H106" s="179">
        <v>46052.0</v>
      </c>
      <c r="I106" s="180">
        <v>6.0</v>
      </c>
      <c r="J106" s="181" t="s">
        <v>91</v>
      </c>
      <c r="K106" s="178" t="s">
        <v>79</v>
      </c>
      <c r="L106" s="178" t="s">
        <v>96</v>
      </c>
      <c r="M106" s="177">
        <v>0.0</v>
      </c>
      <c r="N106" s="183">
        <v>0.0</v>
      </c>
      <c r="O106" s="184">
        <v>0.0</v>
      </c>
      <c r="P106" s="184">
        <v>0.0</v>
      </c>
      <c r="Q106" s="185">
        <v>0.0</v>
      </c>
      <c r="R106" s="186">
        <v>0.0</v>
      </c>
      <c r="S106" s="186">
        <v>0.0</v>
      </c>
      <c r="T106" s="186">
        <v>0.0</v>
      </c>
      <c r="U106" s="187" t="s">
        <v>232</v>
      </c>
      <c r="V106" s="189">
        <v>46045.0</v>
      </c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</row>
    <row r="107">
      <c r="A107" s="154">
        <v>45841.0</v>
      </c>
      <c r="B107" s="155">
        <v>7226530.0</v>
      </c>
      <c r="C107" s="156" t="s">
        <v>82</v>
      </c>
      <c r="D107" s="156" t="s">
        <v>35</v>
      </c>
      <c r="E107" s="155">
        <v>6.354819152E9</v>
      </c>
      <c r="F107" s="156" t="s">
        <v>234</v>
      </c>
      <c r="G107" s="154">
        <v>46047.0</v>
      </c>
      <c r="H107" s="157">
        <v>46050.0</v>
      </c>
      <c r="I107" s="158">
        <v>3.0</v>
      </c>
      <c r="J107" s="159" t="s">
        <v>87</v>
      </c>
      <c r="K107" s="156" t="s">
        <v>79</v>
      </c>
      <c r="L107" s="156" t="s">
        <v>80</v>
      </c>
      <c r="M107" s="155">
        <v>2.0</v>
      </c>
      <c r="N107" s="160">
        <v>0.19999999999999996</v>
      </c>
      <c r="O107" s="161">
        <v>172.16</v>
      </c>
      <c r="P107" s="161">
        <v>137.728</v>
      </c>
      <c r="Q107" s="203">
        <v>0.0</v>
      </c>
      <c r="R107" s="162">
        <v>413.184</v>
      </c>
      <c r="S107" s="162">
        <v>0.0</v>
      </c>
      <c r="T107" s="162">
        <v>531.48</v>
      </c>
      <c r="U107" s="163" t="s">
        <v>235</v>
      </c>
      <c r="V107" s="154">
        <v>45841.0</v>
      </c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</row>
    <row r="108">
      <c r="A108" s="176">
        <v>45939.0</v>
      </c>
      <c r="B108" s="177">
        <v>7662370.0</v>
      </c>
      <c r="C108" s="178" t="s">
        <v>82</v>
      </c>
      <c r="D108" s="178" t="s">
        <v>35</v>
      </c>
      <c r="E108" s="177">
        <v>6.761643283E9</v>
      </c>
      <c r="F108" s="178" t="s">
        <v>236</v>
      </c>
      <c r="G108" s="176">
        <v>46047.0</v>
      </c>
      <c r="H108" s="179">
        <v>46048.0</v>
      </c>
      <c r="I108" s="180">
        <v>1.0</v>
      </c>
      <c r="J108" s="181" t="s">
        <v>78</v>
      </c>
      <c r="K108" s="178" t="s">
        <v>79</v>
      </c>
      <c r="L108" s="178" t="s">
        <v>80</v>
      </c>
      <c r="M108" s="182">
        <v>2.0</v>
      </c>
      <c r="N108" s="183">
        <v>0.19999999999999996</v>
      </c>
      <c r="O108" s="184">
        <v>136.2</v>
      </c>
      <c r="P108" s="184">
        <v>108.96</v>
      </c>
      <c r="Q108" s="185">
        <v>0.0</v>
      </c>
      <c r="R108" s="186">
        <v>108.96</v>
      </c>
      <c r="S108" s="186">
        <v>0.0</v>
      </c>
      <c r="T108" s="186">
        <v>141.2</v>
      </c>
      <c r="U108" s="187" t="s">
        <v>107</v>
      </c>
      <c r="V108" s="189">
        <v>45939.0</v>
      </c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</row>
    <row r="109">
      <c r="A109" s="154">
        <v>45988.0</v>
      </c>
      <c r="B109" s="155">
        <v>7856013.0</v>
      </c>
      <c r="C109" s="156" t="s">
        <v>82</v>
      </c>
      <c r="D109" s="156" t="s">
        <v>35</v>
      </c>
      <c r="E109" s="155">
        <v>5.121383683E9</v>
      </c>
      <c r="F109" s="156" t="s">
        <v>237</v>
      </c>
      <c r="G109" s="154">
        <v>46047.0</v>
      </c>
      <c r="H109" s="157">
        <v>46052.0</v>
      </c>
      <c r="I109" s="158">
        <v>5.0</v>
      </c>
      <c r="J109" s="159" t="s">
        <v>114</v>
      </c>
      <c r="K109" s="156" t="s">
        <v>79</v>
      </c>
      <c r="L109" s="156" t="s">
        <v>80</v>
      </c>
      <c r="M109" s="155">
        <v>2.0</v>
      </c>
      <c r="N109" s="160">
        <v>0.19999999999999996</v>
      </c>
      <c r="O109" s="161">
        <v>188.19</v>
      </c>
      <c r="P109" s="161">
        <v>150.552</v>
      </c>
      <c r="Q109" s="203">
        <v>0.0</v>
      </c>
      <c r="R109" s="162">
        <v>752.76</v>
      </c>
      <c r="S109" s="162">
        <v>0.0</v>
      </c>
      <c r="T109" s="162">
        <v>965.95</v>
      </c>
      <c r="U109" s="163" t="s">
        <v>107</v>
      </c>
      <c r="V109" s="154">
        <v>45988.0</v>
      </c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</row>
    <row r="110">
      <c r="A110" s="165">
        <v>46015.0</v>
      </c>
      <c r="B110" s="166">
        <v>7953429.0</v>
      </c>
      <c r="C110" s="166" t="s">
        <v>82</v>
      </c>
      <c r="D110" s="166" t="s">
        <v>94</v>
      </c>
      <c r="E110" s="166">
        <v>7953429.0</v>
      </c>
      <c r="F110" s="166" t="s">
        <v>238</v>
      </c>
      <c r="G110" s="165">
        <v>46047.0</v>
      </c>
      <c r="H110" s="167">
        <v>46052.0</v>
      </c>
      <c r="I110" s="168">
        <v>5.0</v>
      </c>
      <c r="J110" s="169" t="s">
        <v>78</v>
      </c>
      <c r="K110" s="166" t="s">
        <v>79</v>
      </c>
      <c r="L110" s="166" t="s">
        <v>96</v>
      </c>
      <c r="M110" s="166">
        <v>2.0</v>
      </c>
      <c r="N110" s="170">
        <v>0.0</v>
      </c>
      <c r="O110" s="171">
        <v>239.76</v>
      </c>
      <c r="P110" s="171">
        <v>239.76</v>
      </c>
      <c r="Q110" s="172">
        <v>0.0</v>
      </c>
      <c r="R110" s="173">
        <v>1198.8</v>
      </c>
      <c r="S110" s="173">
        <v>0.0</v>
      </c>
      <c r="T110" s="173">
        <v>2447.6</v>
      </c>
      <c r="U110" s="201" t="s">
        <v>97</v>
      </c>
      <c r="V110" s="165">
        <v>46015.0</v>
      </c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</row>
    <row r="111">
      <c r="A111" s="154">
        <v>46015.0</v>
      </c>
      <c r="B111" s="155">
        <v>7953429.0</v>
      </c>
      <c r="C111" s="156" t="s">
        <v>82</v>
      </c>
      <c r="D111" s="156" t="s">
        <v>94</v>
      </c>
      <c r="E111" s="155">
        <v>7953429.0</v>
      </c>
      <c r="F111" s="156" t="s">
        <v>238</v>
      </c>
      <c r="G111" s="154">
        <v>46047.0</v>
      </c>
      <c r="H111" s="157">
        <v>46052.0</v>
      </c>
      <c r="I111" s="158">
        <v>5.0</v>
      </c>
      <c r="J111" s="159" t="s">
        <v>78</v>
      </c>
      <c r="K111" s="156" t="s">
        <v>79</v>
      </c>
      <c r="L111" s="156" t="s">
        <v>96</v>
      </c>
      <c r="M111" s="155">
        <v>2.0</v>
      </c>
      <c r="N111" s="160">
        <v>0.0</v>
      </c>
      <c r="O111" s="161">
        <v>239.76</v>
      </c>
      <c r="P111" s="161">
        <v>239.76</v>
      </c>
      <c r="Q111" s="203">
        <v>0.0</v>
      </c>
      <c r="R111" s="162">
        <v>1198.8</v>
      </c>
      <c r="S111" s="162">
        <v>0.0</v>
      </c>
      <c r="T111" s="162">
        <v>2447.6</v>
      </c>
      <c r="U111" s="163" t="s">
        <v>97</v>
      </c>
      <c r="V111" s="154">
        <v>46015.0</v>
      </c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</row>
    <row r="112">
      <c r="A112" s="154">
        <v>46032.0</v>
      </c>
      <c r="B112" s="155">
        <v>8016022.0</v>
      </c>
      <c r="C112" s="156" t="s">
        <v>82</v>
      </c>
      <c r="D112" s="156" t="s">
        <v>36</v>
      </c>
      <c r="E112" s="155">
        <v>8016022.0</v>
      </c>
      <c r="F112" s="156" t="s">
        <v>221</v>
      </c>
      <c r="G112" s="154">
        <v>46047.0</v>
      </c>
      <c r="H112" s="157">
        <v>46048.0</v>
      </c>
      <c r="I112" s="158">
        <v>1.0</v>
      </c>
      <c r="J112" s="159" t="s">
        <v>78</v>
      </c>
      <c r="K112" s="156" t="s">
        <v>79</v>
      </c>
      <c r="L112" s="156" t="s">
        <v>96</v>
      </c>
      <c r="M112" s="155">
        <v>1.0</v>
      </c>
      <c r="N112" s="160">
        <v>0.0</v>
      </c>
      <c r="O112" s="161">
        <v>239.76</v>
      </c>
      <c r="P112" s="161">
        <v>237.36239999999998</v>
      </c>
      <c r="Q112" s="203">
        <v>0.0</v>
      </c>
      <c r="R112" s="162">
        <v>237.36239999999998</v>
      </c>
      <c r="S112" s="162">
        <v>0.0</v>
      </c>
      <c r="T112" s="162">
        <v>242.26</v>
      </c>
      <c r="U112" s="163" t="s">
        <v>97</v>
      </c>
      <c r="V112" s="154">
        <v>46032.0</v>
      </c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</row>
    <row r="113">
      <c r="A113" s="165">
        <v>46046.0</v>
      </c>
      <c r="B113" s="166">
        <v>8078274.0</v>
      </c>
      <c r="C113" s="166" t="s">
        <v>82</v>
      </c>
      <c r="D113" s="166" t="s">
        <v>36</v>
      </c>
      <c r="E113" s="166">
        <v>8078274.0</v>
      </c>
      <c r="F113" s="166" t="s">
        <v>225</v>
      </c>
      <c r="G113" s="165">
        <v>46047.0</v>
      </c>
      <c r="H113" s="167">
        <v>46048.0</v>
      </c>
      <c r="I113" s="168">
        <v>1.0</v>
      </c>
      <c r="J113" s="169" t="s">
        <v>78</v>
      </c>
      <c r="K113" s="166" t="s">
        <v>79</v>
      </c>
      <c r="L113" s="166" t="s">
        <v>96</v>
      </c>
      <c r="M113" s="166">
        <v>2.0</v>
      </c>
      <c r="N113" s="169">
        <v>0.0</v>
      </c>
      <c r="O113" s="171">
        <v>239.76</v>
      </c>
      <c r="P113" s="171">
        <v>237.36239999999998</v>
      </c>
      <c r="Q113" s="169">
        <v>0.0</v>
      </c>
      <c r="R113" s="173">
        <v>237.36239999999998</v>
      </c>
      <c r="S113" s="173">
        <v>0.0</v>
      </c>
      <c r="T113" s="173">
        <v>244.76</v>
      </c>
      <c r="U113" s="201" t="s">
        <v>97</v>
      </c>
      <c r="V113" s="165">
        <v>46046.0</v>
      </c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</row>
    <row r="114">
      <c r="A114" s="165">
        <v>45936.0</v>
      </c>
      <c r="B114" s="166">
        <v>7651364.0</v>
      </c>
      <c r="C114" s="166" t="s">
        <v>82</v>
      </c>
      <c r="D114" s="166" t="s">
        <v>35</v>
      </c>
      <c r="E114" s="166">
        <v>6.087080073E9</v>
      </c>
      <c r="F114" s="166" t="s">
        <v>240</v>
      </c>
      <c r="G114" s="165">
        <v>46048.0</v>
      </c>
      <c r="H114" s="167">
        <v>46051.0</v>
      </c>
      <c r="I114" s="168">
        <v>3.0</v>
      </c>
      <c r="J114" s="169" t="s">
        <v>114</v>
      </c>
      <c r="K114" s="166" t="s">
        <v>79</v>
      </c>
      <c r="L114" s="166" t="s">
        <v>80</v>
      </c>
      <c r="M114" s="166">
        <v>2.0</v>
      </c>
      <c r="N114" s="170">
        <v>0.19999999999999996</v>
      </c>
      <c r="O114" s="171">
        <v>175.29999999999998</v>
      </c>
      <c r="P114" s="171">
        <v>140.23999999999998</v>
      </c>
      <c r="Q114" s="172">
        <v>0.0</v>
      </c>
      <c r="R114" s="173">
        <v>420.7199999999999</v>
      </c>
      <c r="S114" s="173">
        <v>0.0</v>
      </c>
      <c r="T114" s="173">
        <v>525.9</v>
      </c>
      <c r="U114" s="174" t="s">
        <v>161</v>
      </c>
      <c r="V114" s="165">
        <v>45936.0</v>
      </c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</row>
    <row r="115">
      <c r="A115" s="165">
        <v>46000.0</v>
      </c>
      <c r="B115" s="166">
        <v>7899552.0</v>
      </c>
      <c r="C115" s="166" t="s">
        <v>75</v>
      </c>
      <c r="D115" s="166" t="s">
        <v>35</v>
      </c>
      <c r="E115" s="166">
        <v>5.907573898E9</v>
      </c>
      <c r="F115" s="166" t="s">
        <v>236</v>
      </c>
      <c r="G115" s="165">
        <v>46048.0</v>
      </c>
      <c r="H115" s="167">
        <v>46049.0</v>
      </c>
      <c r="I115" s="168">
        <v>1.0</v>
      </c>
      <c r="J115" s="169" t="s">
        <v>78</v>
      </c>
      <c r="K115" s="166" t="s">
        <v>79</v>
      </c>
      <c r="L115" s="166" t="s">
        <v>80</v>
      </c>
      <c r="M115" s="166">
        <v>2.0</v>
      </c>
      <c r="N115" s="170">
        <v>0.19999999999999996</v>
      </c>
      <c r="O115" s="171">
        <v>172.63</v>
      </c>
      <c r="P115" s="171">
        <v>138.104</v>
      </c>
      <c r="Q115" s="172">
        <v>0.0</v>
      </c>
      <c r="R115" s="173">
        <v>138.104</v>
      </c>
      <c r="S115" s="173">
        <v>0.0</v>
      </c>
      <c r="T115" s="173">
        <v>177.63</v>
      </c>
      <c r="U115" s="201" t="s">
        <v>241</v>
      </c>
      <c r="V115" s="165">
        <v>46000.0</v>
      </c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</row>
    <row r="116">
      <c r="A116" s="176">
        <v>46000.0</v>
      </c>
      <c r="B116" s="177">
        <v>7901305.0</v>
      </c>
      <c r="C116" s="178" t="s">
        <v>82</v>
      </c>
      <c r="D116" s="178" t="s">
        <v>35</v>
      </c>
      <c r="E116" s="178">
        <v>6.931386594E9</v>
      </c>
      <c r="F116" s="178" t="s">
        <v>243</v>
      </c>
      <c r="G116" s="176">
        <v>46048.0</v>
      </c>
      <c r="H116" s="179">
        <v>46052.0</v>
      </c>
      <c r="I116" s="180">
        <v>4.0</v>
      </c>
      <c r="J116" s="181" t="s">
        <v>78</v>
      </c>
      <c r="K116" s="178" t="s">
        <v>79</v>
      </c>
      <c r="L116" s="178" t="s">
        <v>80</v>
      </c>
      <c r="M116" s="177">
        <v>2.0</v>
      </c>
      <c r="N116" s="183">
        <v>0.19999999999999996</v>
      </c>
      <c r="O116" s="184">
        <v>150.8</v>
      </c>
      <c r="P116" s="184">
        <v>120.64000000000001</v>
      </c>
      <c r="Q116" s="185">
        <v>0.0</v>
      </c>
      <c r="R116" s="186">
        <v>482.56000000000006</v>
      </c>
      <c r="S116" s="186">
        <v>0.0</v>
      </c>
      <c r="T116" s="186">
        <v>623.2</v>
      </c>
      <c r="U116" s="187" t="s">
        <v>107</v>
      </c>
      <c r="V116" s="176">
        <v>46000.0</v>
      </c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</row>
    <row r="117">
      <c r="A117" s="176">
        <v>46002.0</v>
      </c>
      <c r="B117" s="177">
        <v>7908754.0</v>
      </c>
      <c r="C117" s="178" t="s">
        <v>82</v>
      </c>
      <c r="D117" s="178" t="s">
        <v>35</v>
      </c>
      <c r="E117" s="178">
        <v>5.825347616E9</v>
      </c>
      <c r="F117" s="178" t="s">
        <v>244</v>
      </c>
      <c r="G117" s="176">
        <v>46048.0</v>
      </c>
      <c r="H117" s="179">
        <v>46051.0</v>
      </c>
      <c r="I117" s="180">
        <v>3.0</v>
      </c>
      <c r="J117" s="181" t="s">
        <v>111</v>
      </c>
      <c r="K117" s="178" t="s">
        <v>79</v>
      </c>
      <c r="L117" s="178" t="s">
        <v>80</v>
      </c>
      <c r="M117" s="177">
        <v>2.0</v>
      </c>
      <c r="N117" s="183">
        <v>0.19999999999999996</v>
      </c>
      <c r="O117" s="184">
        <v>206.89</v>
      </c>
      <c r="P117" s="184">
        <v>165.512</v>
      </c>
      <c r="Q117" s="181">
        <v>0.0</v>
      </c>
      <c r="R117" s="186">
        <v>496.536</v>
      </c>
      <c r="S117" s="186">
        <v>0.0</v>
      </c>
      <c r="T117" s="186">
        <v>635.67</v>
      </c>
      <c r="U117" s="187" t="s">
        <v>107</v>
      </c>
      <c r="V117" s="189">
        <v>46002.0</v>
      </c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</row>
    <row r="118">
      <c r="A118" s="154">
        <v>46032.0</v>
      </c>
      <c r="B118" s="155">
        <v>8016770.0</v>
      </c>
      <c r="C118" s="156" t="s">
        <v>89</v>
      </c>
      <c r="D118" s="156" t="s">
        <v>35</v>
      </c>
      <c r="E118" s="155">
        <v>5.050868912E9</v>
      </c>
      <c r="F118" s="156" t="s">
        <v>245</v>
      </c>
      <c r="G118" s="154">
        <v>46048.0</v>
      </c>
      <c r="H118" s="157">
        <v>46049.0</v>
      </c>
      <c r="I118" s="158">
        <v>1.0</v>
      </c>
      <c r="J118" s="159" t="s">
        <v>78</v>
      </c>
      <c r="K118" s="156" t="s">
        <v>79</v>
      </c>
      <c r="L118" s="156" t="s">
        <v>80</v>
      </c>
      <c r="M118" s="155">
        <v>0.0</v>
      </c>
      <c r="N118" s="160">
        <v>0.0</v>
      </c>
      <c r="O118" s="161">
        <v>0.0</v>
      </c>
      <c r="P118" s="161">
        <v>0.0</v>
      </c>
      <c r="Q118" s="203">
        <v>0.0</v>
      </c>
      <c r="R118" s="162">
        <v>0.0</v>
      </c>
      <c r="S118" s="162">
        <v>0.0</v>
      </c>
      <c r="T118" s="162">
        <v>0.0</v>
      </c>
      <c r="U118" s="163" t="s">
        <v>246</v>
      </c>
      <c r="V118" s="154">
        <v>46039.0</v>
      </c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</row>
    <row r="119">
      <c r="A119" s="176">
        <v>46025.0</v>
      </c>
      <c r="B119" s="177">
        <v>7986722.0</v>
      </c>
      <c r="C119" s="178" t="s">
        <v>75</v>
      </c>
      <c r="D119" s="178" t="s">
        <v>94</v>
      </c>
      <c r="E119" s="177">
        <v>7986722.0</v>
      </c>
      <c r="F119" s="178" t="s">
        <v>247</v>
      </c>
      <c r="G119" s="176">
        <v>46050.0</v>
      </c>
      <c r="H119" s="179">
        <v>46051.0</v>
      </c>
      <c r="I119" s="180">
        <v>1.0</v>
      </c>
      <c r="J119" s="181" t="s">
        <v>78</v>
      </c>
      <c r="K119" s="178" t="s">
        <v>79</v>
      </c>
      <c r="L119" s="178" t="s">
        <v>96</v>
      </c>
      <c r="M119" s="182">
        <v>2.0</v>
      </c>
      <c r="N119" s="183">
        <v>0.0</v>
      </c>
      <c r="O119" s="184">
        <v>239.76</v>
      </c>
      <c r="P119" s="184">
        <v>239.76</v>
      </c>
      <c r="Q119" s="185">
        <v>0.0</v>
      </c>
      <c r="R119" s="186">
        <v>239.76</v>
      </c>
      <c r="S119" s="186">
        <v>0.0</v>
      </c>
      <c r="T119" s="186">
        <v>489.52</v>
      </c>
      <c r="U119" s="187" t="s">
        <v>248</v>
      </c>
      <c r="V119" s="176">
        <v>46025.0</v>
      </c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</row>
    <row r="120">
      <c r="A120" s="165">
        <v>46025.0</v>
      </c>
      <c r="B120" s="166">
        <v>7986722.0</v>
      </c>
      <c r="C120" s="166" t="s">
        <v>75</v>
      </c>
      <c r="D120" s="166" t="s">
        <v>94</v>
      </c>
      <c r="E120" s="166">
        <v>7986722.0</v>
      </c>
      <c r="F120" s="166" t="s">
        <v>247</v>
      </c>
      <c r="G120" s="165">
        <v>46050.0</v>
      </c>
      <c r="H120" s="167">
        <v>46051.0</v>
      </c>
      <c r="I120" s="168">
        <v>1.0</v>
      </c>
      <c r="J120" s="169" t="s">
        <v>78</v>
      </c>
      <c r="K120" s="166" t="s">
        <v>79</v>
      </c>
      <c r="L120" s="166" t="s">
        <v>96</v>
      </c>
      <c r="M120" s="166">
        <v>2.0</v>
      </c>
      <c r="N120" s="170">
        <v>0.0</v>
      </c>
      <c r="O120" s="171">
        <v>239.76</v>
      </c>
      <c r="P120" s="171">
        <v>239.76</v>
      </c>
      <c r="Q120" s="172">
        <v>0.0</v>
      </c>
      <c r="R120" s="173">
        <v>239.76</v>
      </c>
      <c r="S120" s="173">
        <v>0.0</v>
      </c>
      <c r="T120" s="173">
        <v>489.52</v>
      </c>
      <c r="U120" s="201" t="s">
        <v>248</v>
      </c>
      <c r="V120" s="165">
        <v>46025.0</v>
      </c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</row>
    <row r="121">
      <c r="A121" s="154">
        <v>46048.0</v>
      </c>
      <c r="B121" s="155">
        <v>8084910.0</v>
      </c>
      <c r="C121" s="156" t="s">
        <v>89</v>
      </c>
      <c r="D121" s="156" t="s">
        <v>94</v>
      </c>
      <c r="E121" s="155">
        <v>8084910.0</v>
      </c>
      <c r="F121" s="156" t="s">
        <v>250</v>
      </c>
      <c r="G121" s="154">
        <v>46050.0</v>
      </c>
      <c r="H121" s="157">
        <v>46051.0</v>
      </c>
      <c r="I121" s="158">
        <v>1.0</v>
      </c>
      <c r="J121" s="159" t="s">
        <v>111</v>
      </c>
      <c r="K121" s="156" t="s">
        <v>79</v>
      </c>
      <c r="L121" s="156" t="s">
        <v>96</v>
      </c>
      <c r="M121" s="155">
        <v>0.0</v>
      </c>
      <c r="N121" s="160">
        <v>0.0</v>
      </c>
      <c r="O121" s="161">
        <v>0.0</v>
      </c>
      <c r="P121" s="161">
        <v>0.0</v>
      </c>
      <c r="Q121" s="203">
        <v>0.0</v>
      </c>
      <c r="R121" s="162">
        <v>0.0</v>
      </c>
      <c r="S121" s="162">
        <v>0.0</v>
      </c>
      <c r="T121" s="162">
        <v>0.0</v>
      </c>
      <c r="U121" s="163" t="s">
        <v>251</v>
      </c>
      <c r="V121" s="154">
        <v>46048.0</v>
      </c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</row>
    <row r="122">
      <c r="A122" s="154">
        <v>46048.0</v>
      </c>
      <c r="B122" s="155">
        <v>8085008.0</v>
      </c>
      <c r="C122" s="156" t="s">
        <v>82</v>
      </c>
      <c r="D122" s="156" t="s">
        <v>94</v>
      </c>
      <c r="E122" s="155">
        <v>8085008.0</v>
      </c>
      <c r="F122" s="156" t="s">
        <v>252</v>
      </c>
      <c r="G122" s="154">
        <v>46050.0</v>
      </c>
      <c r="H122" s="157">
        <v>46051.0</v>
      </c>
      <c r="I122" s="158">
        <v>1.0</v>
      </c>
      <c r="J122" s="159" t="s">
        <v>111</v>
      </c>
      <c r="K122" s="156" t="s">
        <v>79</v>
      </c>
      <c r="L122" s="156" t="s">
        <v>96</v>
      </c>
      <c r="M122" s="155">
        <v>2.0</v>
      </c>
      <c r="N122" s="160">
        <v>0.0</v>
      </c>
      <c r="O122" s="161">
        <v>300.24</v>
      </c>
      <c r="P122" s="161">
        <v>300.24</v>
      </c>
      <c r="Q122" s="159">
        <v>0.0</v>
      </c>
      <c r="R122" s="162">
        <v>300.24</v>
      </c>
      <c r="S122" s="162">
        <v>0.0</v>
      </c>
      <c r="T122" s="162">
        <v>305.24</v>
      </c>
      <c r="U122" s="163" t="s">
        <v>97</v>
      </c>
      <c r="V122" s="154">
        <v>46048.0</v>
      </c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</row>
    <row r="123">
      <c r="A123" s="165">
        <v>46050.0</v>
      </c>
      <c r="B123" s="166">
        <v>8092678.0</v>
      </c>
      <c r="C123" s="166" t="s">
        <v>82</v>
      </c>
      <c r="D123" s="166" t="s">
        <v>35</v>
      </c>
      <c r="E123" s="166">
        <v>5.24153816E9</v>
      </c>
      <c r="F123" s="166" t="s">
        <v>253</v>
      </c>
      <c r="G123" s="165">
        <v>46050.0</v>
      </c>
      <c r="H123" s="167">
        <v>46052.0</v>
      </c>
      <c r="I123" s="168">
        <v>2.0</v>
      </c>
      <c r="J123" s="169" t="s">
        <v>87</v>
      </c>
      <c r="K123" s="166" t="s">
        <v>79</v>
      </c>
      <c r="L123" s="166" t="s">
        <v>80</v>
      </c>
      <c r="M123" s="166">
        <v>2.0</v>
      </c>
      <c r="N123" s="170">
        <v>0.19999999999999996</v>
      </c>
      <c r="O123" s="171">
        <v>150.78</v>
      </c>
      <c r="P123" s="171">
        <v>120.62400000000001</v>
      </c>
      <c r="Q123" s="172">
        <v>0.0</v>
      </c>
      <c r="R123" s="173">
        <v>241.24800000000002</v>
      </c>
      <c r="S123" s="173">
        <v>0.0</v>
      </c>
      <c r="T123" s="173">
        <v>311.56</v>
      </c>
      <c r="U123" s="174" t="s">
        <v>183</v>
      </c>
      <c r="V123" s="165">
        <v>46050.0</v>
      </c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</row>
    <row r="124">
      <c r="A124" s="165">
        <v>46050.0</v>
      </c>
      <c r="B124" s="166">
        <v>8094028.0</v>
      </c>
      <c r="C124" s="166" t="s">
        <v>82</v>
      </c>
      <c r="D124" s="166" t="s">
        <v>94</v>
      </c>
      <c r="E124" s="166">
        <v>8094028.0</v>
      </c>
      <c r="F124" s="166" t="s">
        <v>254</v>
      </c>
      <c r="G124" s="165">
        <v>46050.0</v>
      </c>
      <c r="H124" s="167">
        <v>46052.0</v>
      </c>
      <c r="I124" s="168">
        <v>2.0</v>
      </c>
      <c r="J124" s="169" t="s">
        <v>87</v>
      </c>
      <c r="K124" s="166" t="s">
        <v>79</v>
      </c>
      <c r="L124" s="166" t="s">
        <v>96</v>
      </c>
      <c r="M124" s="166">
        <v>2.0</v>
      </c>
      <c r="N124" s="170">
        <v>0.0</v>
      </c>
      <c r="O124" s="171">
        <v>210.24</v>
      </c>
      <c r="P124" s="171">
        <v>210.24</v>
      </c>
      <c r="Q124" s="172">
        <v>0.0</v>
      </c>
      <c r="R124" s="173">
        <v>420.48</v>
      </c>
      <c r="S124" s="173">
        <v>0.0</v>
      </c>
      <c r="T124" s="173">
        <v>430.48</v>
      </c>
      <c r="U124" s="201" t="s">
        <v>97</v>
      </c>
      <c r="V124" s="165">
        <v>46050.0</v>
      </c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</row>
    <row r="125">
      <c r="A125" s="154">
        <v>45925.0</v>
      </c>
      <c r="B125" s="155">
        <v>7604116.0</v>
      </c>
      <c r="C125" s="156" t="s">
        <v>89</v>
      </c>
      <c r="D125" s="156" t="s">
        <v>35</v>
      </c>
      <c r="E125" s="155">
        <v>6.668965083E9</v>
      </c>
      <c r="F125" s="156" t="s">
        <v>255</v>
      </c>
      <c r="G125" s="154">
        <v>46052.0</v>
      </c>
      <c r="H125" s="157">
        <v>46056.0</v>
      </c>
      <c r="I125" s="158">
        <v>4.0</v>
      </c>
      <c r="J125" s="159" t="s">
        <v>114</v>
      </c>
      <c r="K125" s="156" t="s">
        <v>79</v>
      </c>
      <c r="L125" s="156" t="s">
        <v>80</v>
      </c>
      <c r="M125" s="155">
        <v>0.0</v>
      </c>
      <c r="N125" s="160">
        <v>0.0</v>
      </c>
      <c r="O125" s="161">
        <v>0.0</v>
      </c>
      <c r="P125" s="161">
        <v>0.0</v>
      </c>
      <c r="Q125" s="203">
        <v>0.0</v>
      </c>
      <c r="R125" s="162">
        <v>0.0</v>
      </c>
      <c r="S125" s="162">
        <v>0.0</v>
      </c>
      <c r="T125" s="162">
        <v>0.0</v>
      </c>
      <c r="U125" s="163" t="s">
        <v>256</v>
      </c>
      <c r="V125" s="154">
        <v>45998.0</v>
      </c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</row>
    <row r="126">
      <c r="A126" s="176">
        <v>45954.0</v>
      </c>
      <c r="B126" s="177">
        <v>7723118.0</v>
      </c>
      <c r="C126" s="178" t="s">
        <v>89</v>
      </c>
      <c r="D126" s="178" t="s">
        <v>94</v>
      </c>
      <c r="E126" s="177">
        <v>7723118.0</v>
      </c>
      <c r="F126" s="178" t="s">
        <v>257</v>
      </c>
      <c r="G126" s="176">
        <v>46052.0</v>
      </c>
      <c r="H126" s="179">
        <v>46054.0</v>
      </c>
      <c r="I126" s="180">
        <v>2.0</v>
      </c>
      <c r="J126" s="181" t="s">
        <v>87</v>
      </c>
      <c r="K126" s="178" t="s">
        <v>79</v>
      </c>
      <c r="L126" s="178" t="s">
        <v>96</v>
      </c>
      <c r="M126" s="182">
        <v>0.0</v>
      </c>
      <c r="N126" s="183">
        <v>0.0</v>
      </c>
      <c r="O126" s="184">
        <v>0.0</v>
      </c>
      <c r="P126" s="184">
        <v>0.0</v>
      </c>
      <c r="Q126" s="185">
        <v>0.0</v>
      </c>
      <c r="R126" s="186">
        <v>0.0</v>
      </c>
      <c r="S126" s="186">
        <v>0.0</v>
      </c>
      <c r="T126" s="186">
        <v>0.0</v>
      </c>
      <c r="U126" s="187" t="s">
        <v>258</v>
      </c>
      <c r="V126" s="176">
        <v>45954.0</v>
      </c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</row>
    <row r="127">
      <c r="A127" s="176">
        <v>45954.0</v>
      </c>
      <c r="B127" s="177">
        <v>7723145.0</v>
      </c>
      <c r="C127" s="178" t="s">
        <v>82</v>
      </c>
      <c r="D127" s="178" t="s">
        <v>94</v>
      </c>
      <c r="E127" s="177">
        <v>7723145.0</v>
      </c>
      <c r="F127" s="178" t="s">
        <v>257</v>
      </c>
      <c r="G127" s="176">
        <v>46052.0</v>
      </c>
      <c r="H127" s="179">
        <v>46054.0</v>
      </c>
      <c r="I127" s="180">
        <v>2.0</v>
      </c>
      <c r="J127" s="181" t="s">
        <v>87</v>
      </c>
      <c r="K127" s="178" t="s">
        <v>79</v>
      </c>
      <c r="L127" s="178" t="s">
        <v>96</v>
      </c>
      <c r="M127" s="177">
        <v>2.0</v>
      </c>
      <c r="N127" s="183">
        <v>0.0</v>
      </c>
      <c r="O127" s="184">
        <v>174.96</v>
      </c>
      <c r="P127" s="184">
        <v>174.96</v>
      </c>
      <c r="Q127" s="185">
        <v>0.0</v>
      </c>
      <c r="R127" s="186">
        <v>349.92</v>
      </c>
      <c r="S127" s="186">
        <v>0.0</v>
      </c>
      <c r="T127" s="186">
        <v>4440.24</v>
      </c>
      <c r="U127" s="187" t="s">
        <v>97</v>
      </c>
      <c r="V127" s="189">
        <v>45954.0</v>
      </c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</row>
    <row r="128">
      <c r="A128" s="165">
        <v>45954.0</v>
      </c>
      <c r="B128" s="166">
        <v>7723145.0</v>
      </c>
      <c r="C128" s="166" t="s">
        <v>82</v>
      </c>
      <c r="D128" s="166" t="s">
        <v>94</v>
      </c>
      <c r="E128" s="166">
        <v>7723145.0</v>
      </c>
      <c r="F128" s="166" t="s">
        <v>257</v>
      </c>
      <c r="G128" s="165">
        <v>46052.0</v>
      </c>
      <c r="H128" s="167">
        <v>46054.0</v>
      </c>
      <c r="I128" s="168">
        <v>2.0</v>
      </c>
      <c r="J128" s="169" t="s">
        <v>78</v>
      </c>
      <c r="K128" s="166" t="s">
        <v>79</v>
      </c>
      <c r="L128" s="166" t="s">
        <v>96</v>
      </c>
      <c r="M128" s="166">
        <v>2.0</v>
      </c>
      <c r="N128" s="170">
        <v>0.0</v>
      </c>
      <c r="O128" s="171">
        <v>200.16</v>
      </c>
      <c r="P128" s="171">
        <v>200.16</v>
      </c>
      <c r="Q128" s="172">
        <v>0.0</v>
      </c>
      <c r="R128" s="173">
        <v>400.32</v>
      </c>
      <c r="S128" s="173">
        <v>0.0</v>
      </c>
      <c r="T128" s="173">
        <v>4440.24</v>
      </c>
      <c r="U128" s="174" t="s">
        <v>97</v>
      </c>
      <c r="V128" s="165">
        <v>45954.0</v>
      </c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</row>
    <row r="129">
      <c r="A129" s="165">
        <v>45954.0</v>
      </c>
      <c r="B129" s="166">
        <v>7723145.0</v>
      </c>
      <c r="C129" s="166" t="s">
        <v>82</v>
      </c>
      <c r="D129" s="166" t="s">
        <v>94</v>
      </c>
      <c r="E129" s="166">
        <v>7723145.0</v>
      </c>
      <c r="F129" s="166" t="s">
        <v>257</v>
      </c>
      <c r="G129" s="165">
        <v>46052.0</v>
      </c>
      <c r="H129" s="167">
        <v>46054.0</v>
      </c>
      <c r="I129" s="168">
        <v>2.0</v>
      </c>
      <c r="J129" s="169" t="s">
        <v>111</v>
      </c>
      <c r="K129" s="166" t="s">
        <v>79</v>
      </c>
      <c r="L129" s="166" t="s">
        <v>96</v>
      </c>
      <c r="M129" s="166">
        <v>2.0</v>
      </c>
      <c r="N129" s="170">
        <v>0.0</v>
      </c>
      <c r="O129" s="171">
        <v>249.84</v>
      </c>
      <c r="P129" s="171">
        <v>249.84</v>
      </c>
      <c r="Q129" s="172">
        <v>0.0</v>
      </c>
      <c r="R129" s="173">
        <v>499.68</v>
      </c>
      <c r="S129" s="173">
        <v>0.0</v>
      </c>
      <c r="T129" s="173">
        <v>4440.24</v>
      </c>
      <c r="U129" s="174" t="s">
        <v>97</v>
      </c>
      <c r="V129" s="165">
        <v>45954.0</v>
      </c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</row>
    <row r="130">
      <c r="A130" s="165">
        <v>45954.0</v>
      </c>
      <c r="B130" s="166">
        <v>7723145.0</v>
      </c>
      <c r="C130" s="166" t="s">
        <v>82</v>
      </c>
      <c r="D130" s="166" t="s">
        <v>94</v>
      </c>
      <c r="E130" s="166">
        <v>7723145.0</v>
      </c>
      <c r="F130" s="166" t="s">
        <v>257</v>
      </c>
      <c r="G130" s="165">
        <v>46052.0</v>
      </c>
      <c r="H130" s="167">
        <v>46054.0</v>
      </c>
      <c r="I130" s="168">
        <v>2.0</v>
      </c>
      <c r="J130" s="169" t="s">
        <v>91</v>
      </c>
      <c r="K130" s="166" t="s">
        <v>79</v>
      </c>
      <c r="L130" s="166" t="s">
        <v>96</v>
      </c>
      <c r="M130" s="166">
        <v>2.0</v>
      </c>
      <c r="N130" s="170">
        <v>0.0</v>
      </c>
      <c r="O130" s="171">
        <v>499.68</v>
      </c>
      <c r="P130" s="171">
        <v>499.68</v>
      </c>
      <c r="Q130" s="172">
        <v>0.0</v>
      </c>
      <c r="R130" s="173">
        <v>999.36</v>
      </c>
      <c r="S130" s="173">
        <v>0.0</v>
      </c>
      <c r="T130" s="173">
        <v>4440.24</v>
      </c>
      <c r="U130" s="174" t="s">
        <v>97</v>
      </c>
      <c r="V130" s="165">
        <v>45954.0</v>
      </c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</row>
    <row r="131">
      <c r="A131" s="154">
        <v>45954.0</v>
      </c>
      <c r="B131" s="155">
        <v>7723145.0</v>
      </c>
      <c r="C131" s="156" t="s">
        <v>82</v>
      </c>
      <c r="D131" s="156" t="s">
        <v>94</v>
      </c>
      <c r="E131" s="155">
        <v>7723145.0</v>
      </c>
      <c r="F131" s="156" t="s">
        <v>257</v>
      </c>
      <c r="G131" s="154">
        <v>46052.0</v>
      </c>
      <c r="H131" s="157">
        <v>46054.0</v>
      </c>
      <c r="I131" s="158">
        <v>2.0</v>
      </c>
      <c r="J131" s="159" t="s">
        <v>78</v>
      </c>
      <c r="K131" s="156" t="s">
        <v>79</v>
      </c>
      <c r="L131" s="156" t="s">
        <v>96</v>
      </c>
      <c r="M131" s="202">
        <v>2.0</v>
      </c>
      <c r="N131" s="160">
        <v>0.0</v>
      </c>
      <c r="O131" s="161">
        <v>200.16</v>
      </c>
      <c r="P131" s="161">
        <v>200.16</v>
      </c>
      <c r="Q131" s="203">
        <v>0.0</v>
      </c>
      <c r="R131" s="162">
        <v>400.32</v>
      </c>
      <c r="S131" s="162">
        <v>0.0</v>
      </c>
      <c r="T131" s="162">
        <v>4440.24</v>
      </c>
      <c r="U131" s="163" t="s">
        <v>97</v>
      </c>
      <c r="V131" s="215">
        <v>45954.0</v>
      </c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</row>
    <row r="132">
      <c r="A132" s="154">
        <v>45954.0</v>
      </c>
      <c r="B132" s="155">
        <v>7723145.0</v>
      </c>
      <c r="C132" s="156" t="s">
        <v>82</v>
      </c>
      <c r="D132" s="156" t="s">
        <v>94</v>
      </c>
      <c r="E132" s="155">
        <v>7723145.0</v>
      </c>
      <c r="F132" s="156" t="s">
        <v>257</v>
      </c>
      <c r="G132" s="154">
        <v>46052.0</v>
      </c>
      <c r="H132" s="157">
        <v>46054.0</v>
      </c>
      <c r="I132" s="158">
        <v>2.0</v>
      </c>
      <c r="J132" s="159" t="s">
        <v>78</v>
      </c>
      <c r="K132" s="156" t="s">
        <v>79</v>
      </c>
      <c r="L132" s="156" t="s">
        <v>96</v>
      </c>
      <c r="M132" s="155">
        <v>2.0</v>
      </c>
      <c r="N132" s="160">
        <v>0.0</v>
      </c>
      <c r="O132" s="161">
        <v>200.16</v>
      </c>
      <c r="P132" s="161">
        <v>200.16</v>
      </c>
      <c r="Q132" s="203">
        <v>0.0</v>
      </c>
      <c r="R132" s="162">
        <v>400.32</v>
      </c>
      <c r="S132" s="162">
        <v>0.0</v>
      </c>
      <c r="T132" s="162">
        <v>4440.24</v>
      </c>
      <c r="U132" s="163" t="s">
        <v>97</v>
      </c>
      <c r="V132" s="154">
        <v>45954.0</v>
      </c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</row>
    <row r="133">
      <c r="A133" s="154">
        <v>45954.0</v>
      </c>
      <c r="B133" s="155">
        <v>7723145.0</v>
      </c>
      <c r="C133" s="156" t="s">
        <v>82</v>
      </c>
      <c r="D133" s="156" t="s">
        <v>94</v>
      </c>
      <c r="E133" s="155">
        <v>7723145.0</v>
      </c>
      <c r="F133" s="156" t="s">
        <v>257</v>
      </c>
      <c r="G133" s="154">
        <v>46052.0</v>
      </c>
      <c r="H133" s="157">
        <v>46054.0</v>
      </c>
      <c r="I133" s="158">
        <v>2.0</v>
      </c>
      <c r="J133" s="159" t="s">
        <v>78</v>
      </c>
      <c r="K133" s="156" t="s">
        <v>79</v>
      </c>
      <c r="L133" s="156" t="s">
        <v>96</v>
      </c>
      <c r="M133" s="155">
        <v>2.0</v>
      </c>
      <c r="N133" s="160">
        <v>0.0</v>
      </c>
      <c r="O133" s="161">
        <v>200.16</v>
      </c>
      <c r="P133" s="161">
        <v>200.16</v>
      </c>
      <c r="Q133" s="159">
        <v>0.0</v>
      </c>
      <c r="R133" s="162">
        <v>400.32</v>
      </c>
      <c r="S133" s="162">
        <v>0.0</v>
      </c>
      <c r="T133" s="162">
        <v>4440.24</v>
      </c>
      <c r="U133" s="163" t="s">
        <v>97</v>
      </c>
      <c r="V133" s="154">
        <v>45954.0</v>
      </c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</row>
    <row r="134">
      <c r="A134" s="154">
        <v>45954.0</v>
      </c>
      <c r="B134" s="155">
        <v>7723145.0</v>
      </c>
      <c r="C134" s="156" t="s">
        <v>82</v>
      </c>
      <c r="D134" s="156" t="s">
        <v>94</v>
      </c>
      <c r="E134" s="155">
        <v>7723145.0</v>
      </c>
      <c r="F134" s="156" t="s">
        <v>257</v>
      </c>
      <c r="G134" s="154">
        <v>46052.0</v>
      </c>
      <c r="H134" s="157">
        <v>46054.0</v>
      </c>
      <c r="I134" s="158">
        <v>2.0</v>
      </c>
      <c r="J134" s="159" t="s">
        <v>78</v>
      </c>
      <c r="K134" s="156" t="s">
        <v>79</v>
      </c>
      <c r="L134" s="156" t="s">
        <v>96</v>
      </c>
      <c r="M134" s="155">
        <v>2.0</v>
      </c>
      <c r="N134" s="160">
        <v>0.0</v>
      </c>
      <c r="O134" s="161">
        <v>200.16</v>
      </c>
      <c r="P134" s="161">
        <v>200.16</v>
      </c>
      <c r="Q134" s="203">
        <v>0.0</v>
      </c>
      <c r="R134" s="162">
        <v>400.32</v>
      </c>
      <c r="S134" s="162">
        <v>0.0</v>
      </c>
      <c r="T134" s="162">
        <v>4440.24</v>
      </c>
      <c r="U134" s="163" t="s">
        <v>97</v>
      </c>
      <c r="V134" s="154">
        <v>45954.0</v>
      </c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</row>
    <row r="135">
      <c r="A135" s="154">
        <v>45954.0</v>
      </c>
      <c r="B135" s="155">
        <v>7723145.0</v>
      </c>
      <c r="C135" s="156" t="s">
        <v>82</v>
      </c>
      <c r="D135" s="156" t="s">
        <v>94</v>
      </c>
      <c r="E135" s="155">
        <v>7723145.0</v>
      </c>
      <c r="F135" s="156" t="s">
        <v>257</v>
      </c>
      <c r="G135" s="154">
        <v>46052.0</v>
      </c>
      <c r="H135" s="157">
        <v>46054.0</v>
      </c>
      <c r="I135" s="158">
        <v>2.0</v>
      </c>
      <c r="J135" s="159" t="s">
        <v>111</v>
      </c>
      <c r="K135" s="156" t="s">
        <v>79</v>
      </c>
      <c r="L135" s="156" t="s">
        <v>96</v>
      </c>
      <c r="M135" s="155">
        <v>2.0</v>
      </c>
      <c r="N135" s="160">
        <v>0.0</v>
      </c>
      <c r="O135" s="161">
        <v>249.84</v>
      </c>
      <c r="P135" s="161">
        <v>249.84</v>
      </c>
      <c r="Q135" s="203">
        <v>0.0</v>
      </c>
      <c r="R135" s="162">
        <v>499.68</v>
      </c>
      <c r="S135" s="162">
        <v>0.0</v>
      </c>
      <c r="T135" s="162">
        <v>4440.24</v>
      </c>
      <c r="U135" s="163" t="s">
        <v>97</v>
      </c>
      <c r="V135" s="216">
        <v>45954.0</v>
      </c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</row>
    <row r="136">
      <c r="A136" s="154">
        <v>45999.0</v>
      </c>
      <c r="B136" s="155">
        <v>7896415.0</v>
      </c>
      <c r="C136" s="156" t="s">
        <v>89</v>
      </c>
      <c r="D136" s="156" t="s">
        <v>94</v>
      </c>
      <c r="E136" s="155">
        <v>7896415.0</v>
      </c>
      <c r="F136" s="156" t="s">
        <v>257</v>
      </c>
      <c r="G136" s="154">
        <v>46052.0</v>
      </c>
      <c r="H136" s="157">
        <v>46053.0</v>
      </c>
      <c r="I136" s="158">
        <v>1.0</v>
      </c>
      <c r="J136" s="159" t="s">
        <v>114</v>
      </c>
      <c r="K136" s="156" t="s">
        <v>79</v>
      </c>
      <c r="L136" s="156" t="s">
        <v>96</v>
      </c>
      <c r="M136" s="155">
        <v>0.0</v>
      </c>
      <c r="N136" s="160">
        <v>0.0</v>
      </c>
      <c r="O136" s="161">
        <v>0.0</v>
      </c>
      <c r="P136" s="161">
        <v>0.0</v>
      </c>
      <c r="Q136" s="203">
        <v>0.0</v>
      </c>
      <c r="R136" s="162">
        <v>0.0</v>
      </c>
      <c r="S136" s="162">
        <v>0.0</v>
      </c>
      <c r="T136" s="162">
        <v>0.0</v>
      </c>
      <c r="U136" s="163" t="s">
        <v>261</v>
      </c>
      <c r="V136" s="154">
        <v>45999.0</v>
      </c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</row>
    <row r="137">
      <c r="A137" s="165">
        <v>45999.0</v>
      </c>
      <c r="B137" s="166">
        <v>7896422.0</v>
      </c>
      <c r="C137" s="166" t="s">
        <v>82</v>
      </c>
      <c r="D137" s="166" t="s">
        <v>94</v>
      </c>
      <c r="E137" s="166">
        <v>7896422.0</v>
      </c>
      <c r="F137" s="166" t="s">
        <v>257</v>
      </c>
      <c r="G137" s="165">
        <v>46052.0</v>
      </c>
      <c r="H137" s="167">
        <v>46054.0</v>
      </c>
      <c r="I137" s="168">
        <v>2.0</v>
      </c>
      <c r="J137" s="169" t="s">
        <v>114</v>
      </c>
      <c r="K137" s="166" t="s">
        <v>79</v>
      </c>
      <c r="L137" s="166" t="s">
        <v>96</v>
      </c>
      <c r="M137" s="166">
        <v>2.0</v>
      </c>
      <c r="N137" s="170">
        <v>0.0</v>
      </c>
      <c r="O137" s="171">
        <v>270.0</v>
      </c>
      <c r="P137" s="171">
        <v>270.0</v>
      </c>
      <c r="Q137" s="172">
        <v>0.0</v>
      </c>
      <c r="R137" s="173">
        <v>540.0</v>
      </c>
      <c r="S137" s="173">
        <v>0.0</v>
      </c>
      <c r="T137" s="173">
        <v>550.0</v>
      </c>
      <c r="U137" s="174" t="s">
        <v>97</v>
      </c>
      <c r="V137" s="165">
        <v>45999.0</v>
      </c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</row>
    <row r="138">
      <c r="A138" s="154">
        <v>46043.0</v>
      </c>
      <c r="B138" s="155">
        <v>8063136.0</v>
      </c>
      <c r="C138" s="156" t="s">
        <v>82</v>
      </c>
      <c r="D138" s="156" t="s">
        <v>94</v>
      </c>
      <c r="E138" s="155">
        <v>8063136.0</v>
      </c>
      <c r="F138" s="156" t="s">
        <v>262</v>
      </c>
      <c r="G138" s="154">
        <v>46052.0</v>
      </c>
      <c r="H138" s="157">
        <v>46068.0</v>
      </c>
      <c r="I138" s="158">
        <v>16.0</v>
      </c>
      <c r="J138" s="159" t="s">
        <v>114</v>
      </c>
      <c r="K138" s="156" t="s">
        <v>79</v>
      </c>
      <c r="L138" s="156" t="s">
        <v>96</v>
      </c>
      <c r="M138" s="155">
        <v>2.0</v>
      </c>
      <c r="N138" s="160">
        <v>0.0</v>
      </c>
      <c r="O138" s="161">
        <v>270.0</v>
      </c>
      <c r="P138" s="161">
        <v>270.0</v>
      </c>
      <c r="Q138" s="203">
        <v>0.0</v>
      </c>
      <c r="R138" s="162">
        <v>4320.0</v>
      </c>
      <c r="S138" s="162">
        <v>0.0</v>
      </c>
      <c r="T138" s="162">
        <v>4400.0</v>
      </c>
      <c r="U138" s="163" t="s">
        <v>97</v>
      </c>
      <c r="V138" s="154">
        <v>46043.0</v>
      </c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</row>
    <row r="139">
      <c r="A139" s="154">
        <v>45803.0</v>
      </c>
      <c r="B139" s="155">
        <v>7072902.0</v>
      </c>
      <c r="C139" s="156" t="s">
        <v>89</v>
      </c>
      <c r="D139" s="156" t="s">
        <v>35</v>
      </c>
      <c r="E139" s="155">
        <v>6.71814585E9</v>
      </c>
      <c r="F139" s="156" t="s">
        <v>263</v>
      </c>
      <c r="G139" s="154">
        <v>46053.0</v>
      </c>
      <c r="H139" s="157">
        <v>46055.0</v>
      </c>
      <c r="I139" s="158">
        <v>2.0</v>
      </c>
      <c r="J139" s="159" t="s">
        <v>87</v>
      </c>
      <c r="K139" s="156" t="s">
        <v>79</v>
      </c>
      <c r="L139" s="156" t="s">
        <v>80</v>
      </c>
      <c r="M139" s="155">
        <v>0.0</v>
      </c>
      <c r="N139" s="160">
        <v>0.0</v>
      </c>
      <c r="O139" s="161">
        <v>0.0</v>
      </c>
      <c r="P139" s="161">
        <v>0.0</v>
      </c>
      <c r="Q139" s="203">
        <v>0.0</v>
      </c>
      <c r="R139" s="162">
        <v>0.0</v>
      </c>
      <c r="S139" s="162">
        <v>0.0</v>
      </c>
      <c r="T139" s="162">
        <v>0.0</v>
      </c>
      <c r="U139" s="163" t="s">
        <v>265</v>
      </c>
      <c r="V139" s="154">
        <v>45949.0</v>
      </c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</row>
    <row r="140">
      <c r="A140" s="165">
        <v>45945.0</v>
      </c>
      <c r="B140" s="166">
        <v>7689581.0</v>
      </c>
      <c r="C140" s="166" t="s">
        <v>82</v>
      </c>
      <c r="D140" s="166" t="s">
        <v>35</v>
      </c>
      <c r="E140" s="166">
        <v>6.933744075E9</v>
      </c>
      <c r="F140" s="166" t="s">
        <v>266</v>
      </c>
      <c r="G140" s="165">
        <v>46054.0</v>
      </c>
      <c r="H140" s="167">
        <v>46059.0</v>
      </c>
      <c r="I140" s="168">
        <v>5.0</v>
      </c>
      <c r="J140" s="169" t="s">
        <v>78</v>
      </c>
      <c r="K140" s="166" t="s">
        <v>79</v>
      </c>
      <c r="L140" s="166" t="s">
        <v>80</v>
      </c>
      <c r="M140" s="166">
        <v>2.0</v>
      </c>
      <c r="N140" s="170">
        <v>0.19999999999999996</v>
      </c>
      <c r="O140" s="171">
        <v>156.07999999999998</v>
      </c>
      <c r="P140" s="171">
        <v>124.86399999999999</v>
      </c>
      <c r="Q140" s="172">
        <v>0.0</v>
      </c>
      <c r="R140" s="173">
        <v>624.3199999999999</v>
      </c>
      <c r="S140" s="173">
        <v>0.0</v>
      </c>
      <c r="T140" s="173">
        <v>780.4</v>
      </c>
      <c r="U140" s="201" t="s">
        <v>107</v>
      </c>
      <c r="V140" s="165">
        <v>45945.0</v>
      </c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</row>
    <row r="141">
      <c r="A141" s="154">
        <v>45989.0</v>
      </c>
      <c r="B141" s="155">
        <v>7856498.0</v>
      </c>
      <c r="C141" s="156" t="s">
        <v>82</v>
      </c>
      <c r="D141" s="156" t="s">
        <v>35</v>
      </c>
      <c r="E141" s="155">
        <v>6.928043148E9</v>
      </c>
      <c r="F141" s="156" t="s">
        <v>267</v>
      </c>
      <c r="G141" s="154">
        <v>46054.0</v>
      </c>
      <c r="H141" s="157">
        <v>46057.0</v>
      </c>
      <c r="I141" s="158">
        <v>3.0</v>
      </c>
      <c r="J141" s="159" t="s">
        <v>78</v>
      </c>
      <c r="K141" s="156" t="s">
        <v>79</v>
      </c>
      <c r="L141" s="156" t="s">
        <v>80</v>
      </c>
      <c r="M141" s="155">
        <v>2.0</v>
      </c>
      <c r="N141" s="160">
        <v>0.19999999999999996</v>
      </c>
      <c r="O141" s="161">
        <v>214.54</v>
      </c>
      <c r="P141" s="161">
        <v>171.632</v>
      </c>
      <c r="Q141" s="203">
        <v>0.0</v>
      </c>
      <c r="R141" s="162">
        <v>514.896</v>
      </c>
      <c r="S141" s="162">
        <v>0.0</v>
      </c>
      <c r="T141" s="162">
        <v>658.62</v>
      </c>
      <c r="U141" s="156" t="s">
        <v>268</v>
      </c>
      <c r="V141" s="154">
        <v>45989.0</v>
      </c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</row>
    <row r="142">
      <c r="A142" s="165">
        <v>46020.0</v>
      </c>
      <c r="B142" s="166">
        <v>7970387.0</v>
      </c>
      <c r="C142" s="166" t="s">
        <v>89</v>
      </c>
      <c r="D142" s="166" t="s">
        <v>94</v>
      </c>
      <c r="E142" s="166">
        <v>7970387.0</v>
      </c>
      <c r="F142" s="166" t="s">
        <v>269</v>
      </c>
      <c r="G142" s="165">
        <v>46054.0</v>
      </c>
      <c r="H142" s="167">
        <v>46060.0</v>
      </c>
      <c r="I142" s="168">
        <v>6.0</v>
      </c>
      <c r="J142" s="169" t="s">
        <v>111</v>
      </c>
      <c r="K142" s="166" t="s">
        <v>79</v>
      </c>
      <c r="L142" s="166" t="s">
        <v>96</v>
      </c>
      <c r="M142" s="166">
        <v>0.0</v>
      </c>
      <c r="N142" s="170">
        <v>0.0</v>
      </c>
      <c r="O142" s="171">
        <v>0.0</v>
      </c>
      <c r="P142" s="171">
        <v>0.0</v>
      </c>
      <c r="Q142" s="172">
        <v>0.0</v>
      </c>
      <c r="R142" s="173">
        <v>0.0</v>
      </c>
      <c r="S142" s="173">
        <v>0.0</v>
      </c>
      <c r="T142" s="173">
        <v>0.0</v>
      </c>
      <c r="U142" s="201" t="s">
        <v>270</v>
      </c>
      <c r="V142" s="165">
        <v>46022.0</v>
      </c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</row>
    <row r="143">
      <c r="A143" s="165">
        <v>46022.0</v>
      </c>
      <c r="B143" s="166">
        <v>7977030.0</v>
      </c>
      <c r="C143" s="166" t="s">
        <v>82</v>
      </c>
      <c r="D143" s="166" t="s">
        <v>94</v>
      </c>
      <c r="E143" s="166">
        <v>7977030.0</v>
      </c>
      <c r="F143" s="166" t="s">
        <v>271</v>
      </c>
      <c r="G143" s="165">
        <v>46054.0</v>
      </c>
      <c r="H143" s="167">
        <v>46056.0</v>
      </c>
      <c r="I143" s="168">
        <v>2.0</v>
      </c>
      <c r="J143" s="169" t="s">
        <v>78</v>
      </c>
      <c r="K143" s="166" t="s">
        <v>79</v>
      </c>
      <c r="L143" s="166" t="s">
        <v>96</v>
      </c>
      <c r="M143" s="205">
        <v>2.0</v>
      </c>
      <c r="N143" s="169">
        <v>0.0</v>
      </c>
      <c r="O143" s="171">
        <v>239.76</v>
      </c>
      <c r="P143" s="171">
        <v>239.76</v>
      </c>
      <c r="Q143" s="169">
        <v>0.0</v>
      </c>
      <c r="R143" s="173">
        <v>479.52</v>
      </c>
      <c r="S143" s="173">
        <v>0.0</v>
      </c>
      <c r="T143" s="173">
        <v>489.52</v>
      </c>
      <c r="U143" s="201" t="s">
        <v>97</v>
      </c>
      <c r="V143" s="165">
        <v>46022.0</v>
      </c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</row>
    <row r="144">
      <c r="A144" s="154">
        <v>46031.0</v>
      </c>
      <c r="B144" s="155">
        <v>8013427.0</v>
      </c>
      <c r="C144" s="156" t="s">
        <v>89</v>
      </c>
      <c r="D144" s="156" t="s">
        <v>35</v>
      </c>
      <c r="E144" s="155">
        <v>6.017047625E9</v>
      </c>
      <c r="F144" s="156" t="s">
        <v>272</v>
      </c>
      <c r="G144" s="154">
        <v>46054.0</v>
      </c>
      <c r="H144" s="157">
        <v>46057.0</v>
      </c>
      <c r="I144" s="158">
        <v>3.0</v>
      </c>
      <c r="J144" s="159" t="s">
        <v>78</v>
      </c>
      <c r="K144" s="156" t="s">
        <v>79</v>
      </c>
      <c r="L144" s="156" t="s">
        <v>80</v>
      </c>
      <c r="M144" s="155">
        <v>0.0</v>
      </c>
      <c r="N144" s="160">
        <v>0.0</v>
      </c>
      <c r="O144" s="161">
        <v>0.0</v>
      </c>
      <c r="P144" s="161">
        <v>0.0</v>
      </c>
      <c r="Q144" s="203">
        <v>0.0</v>
      </c>
      <c r="R144" s="162">
        <v>0.0</v>
      </c>
      <c r="S144" s="162">
        <v>0.0</v>
      </c>
      <c r="T144" s="162">
        <v>0.0</v>
      </c>
      <c r="U144" s="163" t="s">
        <v>274</v>
      </c>
      <c r="V144" s="154">
        <v>46037.0</v>
      </c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</row>
    <row r="145">
      <c r="A145" s="154">
        <v>46033.0</v>
      </c>
      <c r="B145" s="155">
        <v>8018346.0</v>
      </c>
      <c r="C145" s="156" t="s">
        <v>82</v>
      </c>
      <c r="D145" s="156" t="s">
        <v>275</v>
      </c>
      <c r="E145" s="155">
        <v>2.368064786E9</v>
      </c>
      <c r="F145" s="156" t="s">
        <v>276</v>
      </c>
      <c r="G145" s="154">
        <v>46054.0</v>
      </c>
      <c r="H145" s="157">
        <v>46057.0</v>
      </c>
      <c r="I145" s="158">
        <v>3.0</v>
      </c>
      <c r="J145" s="159" t="s">
        <v>87</v>
      </c>
      <c r="K145" s="156" t="s">
        <v>79</v>
      </c>
      <c r="L145" s="156" t="s">
        <v>103</v>
      </c>
      <c r="M145" s="155">
        <v>2.0</v>
      </c>
      <c r="N145" s="160">
        <v>0.0</v>
      </c>
      <c r="O145" s="161">
        <v>236.51999999999998</v>
      </c>
      <c r="P145" s="161">
        <v>189.216</v>
      </c>
      <c r="Q145" s="203">
        <v>0.0</v>
      </c>
      <c r="R145" s="162">
        <v>567.648</v>
      </c>
      <c r="S145" s="162">
        <v>0.0</v>
      </c>
      <c r="T145" s="162">
        <v>709.56</v>
      </c>
      <c r="U145" s="163" t="s">
        <v>277</v>
      </c>
      <c r="V145" s="154">
        <v>46033.0</v>
      </c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</row>
    <row r="146">
      <c r="A146" s="165">
        <v>46038.0</v>
      </c>
      <c r="B146" s="166">
        <v>8039731.0</v>
      </c>
      <c r="C146" s="166" t="s">
        <v>82</v>
      </c>
      <c r="D146" s="166" t="s">
        <v>35</v>
      </c>
      <c r="E146" s="166">
        <v>6.271086872E9</v>
      </c>
      <c r="F146" s="166" t="s">
        <v>278</v>
      </c>
      <c r="G146" s="165">
        <v>46054.0</v>
      </c>
      <c r="H146" s="167">
        <v>46056.0</v>
      </c>
      <c r="I146" s="168">
        <v>2.0</v>
      </c>
      <c r="J146" s="169" t="s">
        <v>78</v>
      </c>
      <c r="K146" s="166" t="s">
        <v>79</v>
      </c>
      <c r="L146" s="166" t="s">
        <v>80</v>
      </c>
      <c r="M146" s="166">
        <v>2.0</v>
      </c>
      <c r="N146" s="170">
        <v>0.19999999999999996</v>
      </c>
      <c r="O146" s="171">
        <v>198.14</v>
      </c>
      <c r="P146" s="171">
        <v>158.512</v>
      </c>
      <c r="Q146" s="172">
        <v>0.0</v>
      </c>
      <c r="R146" s="173">
        <v>317.024</v>
      </c>
      <c r="S146" s="173">
        <v>0.0</v>
      </c>
      <c r="T146" s="173">
        <v>406.28</v>
      </c>
      <c r="U146" s="201" t="s">
        <v>88</v>
      </c>
      <c r="V146" s="165">
        <v>46038.0</v>
      </c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</row>
    <row r="147">
      <c r="A147" s="176">
        <v>45962.0</v>
      </c>
      <c r="B147" s="177">
        <v>7755535.0</v>
      </c>
      <c r="C147" s="178" t="s">
        <v>89</v>
      </c>
      <c r="D147" s="178" t="s">
        <v>36</v>
      </c>
      <c r="E147" s="177">
        <v>7755535.0</v>
      </c>
      <c r="F147" s="178" t="s">
        <v>279</v>
      </c>
      <c r="G147" s="176">
        <v>46055.0</v>
      </c>
      <c r="H147" s="179">
        <v>46056.0</v>
      </c>
      <c r="I147" s="180">
        <v>1.0</v>
      </c>
      <c r="J147" s="181" t="s">
        <v>280</v>
      </c>
      <c r="K147" s="178" t="s">
        <v>79</v>
      </c>
      <c r="L147" s="178" t="s">
        <v>96</v>
      </c>
      <c r="M147" s="182">
        <v>0.0</v>
      </c>
      <c r="N147" s="183">
        <v>0.0</v>
      </c>
      <c r="O147" s="184">
        <v>0.0</v>
      </c>
      <c r="P147" s="184">
        <v>0.0</v>
      </c>
      <c r="Q147" s="185">
        <v>0.0</v>
      </c>
      <c r="R147" s="186">
        <v>0.0</v>
      </c>
      <c r="S147" s="186">
        <v>0.0</v>
      </c>
      <c r="T147" s="186">
        <v>0.0</v>
      </c>
      <c r="U147" s="187" t="s">
        <v>281</v>
      </c>
      <c r="V147" s="176">
        <v>45963.0</v>
      </c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</row>
    <row r="148">
      <c r="A148" s="154">
        <v>45971.0</v>
      </c>
      <c r="B148" s="155">
        <v>7790526.0</v>
      </c>
      <c r="C148" s="156" t="s">
        <v>89</v>
      </c>
      <c r="D148" s="156" t="s">
        <v>35</v>
      </c>
      <c r="E148" s="155">
        <v>5.789468509E9</v>
      </c>
      <c r="F148" s="156" t="s">
        <v>282</v>
      </c>
      <c r="G148" s="154">
        <v>46055.0</v>
      </c>
      <c r="H148" s="157">
        <v>46059.0</v>
      </c>
      <c r="I148" s="158">
        <v>4.0</v>
      </c>
      <c r="J148" s="159" t="s">
        <v>87</v>
      </c>
      <c r="K148" s="156" t="s">
        <v>79</v>
      </c>
      <c r="L148" s="156" t="s">
        <v>80</v>
      </c>
      <c r="M148" s="202">
        <v>0.0</v>
      </c>
      <c r="N148" s="160">
        <v>0.0</v>
      </c>
      <c r="O148" s="161">
        <v>0.0</v>
      </c>
      <c r="P148" s="161">
        <v>0.0</v>
      </c>
      <c r="Q148" s="203">
        <v>0.0</v>
      </c>
      <c r="R148" s="162">
        <v>0.0</v>
      </c>
      <c r="S148" s="162">
        <v>0.0</v>
      </c>
      <c r="T148" s="162">
        <v>0.0</v>
      </c>
      <c r="U148" s="163" t="s">
        <v>283</v>
      </c>
      <c r="V148" s="154">
        <v>45973.0</v>
      </c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</row>
    <row r="149">
      <c r="A149" s="165">
        <v>45985.0</v>
      </c>
      <c r="B149" s="166">
        <v>7843615.0</v>
      </c>
      <c r="C149" s="166" t="s">
        <v>89</v>
      </c>
      <c r="D149" s="166" t="s">
        <v>35</v>
      </c>
      <c r="E149" s="166">
        <v>6.613854289E9</v>
      </c>
      <c r="F149" s="166" t="s">
        <v>285</v>
      </c>
      <c r="G149" s="165">
        <v>46055.0</v>
      </c>
      <c r="H149" s="167">
        <v>46058.0</v>
      </c>
      <c r="I149" s="168">
        <v>3.0</v>
      </c>
      <c r="J149" s="169" t="s">
        <v>78</v>
      </c>
      <c r="K149" s="166" t="s">
        <v>79</v>
      </c>
      <c r="L149" s="166" t="s">
        <v>80</v>
      </c>
      <c r="M149" s="166">
        <v>0.0</v>
      </c>
      <c r="N149" s="170">
        <v>0.0</v>
      </c>
      <c r="O149" s="171">
        <v>0.0</v>
      </c>
      <c r="P149" s="171">
        <v>0.0</v>
      </c>
      <c r="Q149" s="172">
        <v>0.0</v>
      </c>
      <c r="R149" s="173">
        <v>0.0</v>
      </c>
      <c r="S149" s="173">
        <v>0.0</v>
      </c>
      <c r="T149" s="173">
        <v>0.0</v>
      </c>
      <c r="U149" s="201" t="s">
        <v>286</v>
      </c>
      <c r="V149" s="165">
        <v>46006.0</v>
      </c>
      <c r="W149" s="175"/>
      <c r="X149" s="175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</row>
    <row r="150">
      <c r="A150" s="176">
        <v>46013.0</v>
      </c>
      <c r="B150" s="177">
        <v>7947241.0</v>
      </c>
      <c r="C150" s="178" t="s">
        <v>82</v>
      </c>
      <c r="D150" s="178" t="s">
        <v>35</v>
      </c>
      <c r="E150" s="177">
        <v>6.979815933E9</v>
      </c>
      <c r="F150" s="178" t="s">
        <v>287</v>
      </c>
      <c r="G150" s="176">
        <v>46055.0</v>
      </c>
      <c r="H150" s="179">
        <v>46058.0</v>
      </c>
      <c r="I150" s="180">
        <v>3.0</v>
      </c>
      <c r="J150" s="181" t="s">
        <v>78</v>
      </c>
      <c r="K150" s="178" t="s">
        <v>79</v>
      </c>
      <c r="L150" s="178" t="s">
        <v>80</v>
      </c>
      <c r="M150" s="182">
        <v>2.0</v>
      </c>
      <c r="N150" s="183">
        <v>0.19999999999999996</v>
      </c>
      <c r="O150" s="184">
        <v>162.6</v>
      </c>
      <c r="P150" s="184">
        <v>130.08</v>
      </c>
      <c r="Q150" s="185">
        <v>0.0</v>
      </c>
      <c r="R150" s="186">
        <v>390.24</v>
      </c>
      <c r="S150" s="186">
        <v>0.0</v>
      </c>
      <c r="T150" s="186">
        <v>487.8</v>
      </c>
      <c r="U150" s="187" t="s">
        <v>107</v>
      </c>
      <c r="V150" s="189">
        <v>46013.0</v>
      </c>
      <c r="W150" s="175"/>
      <c r="X150" s="175"/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</row>
    <row r="151">
      <c r="A151" s="176">
        <v>46035.0</v>
      </c>
      <c r="B151" s="177">
        <v>8030214.0</v>
      </c>
      <c r="C151" s="178" t="s">
        <v>82</v>
      </c>
      <c r="D151" s="178" t="s">
        <v>36</v>
      </c>
      <c r="E151" s="177">
        <v>8030214.0</v>
      </c>
      <c r="F151" s="178" t="s">
        <v>279</v>
      </c>
      <c r="G151" s="176">
        <v>46055.0</v>
      </c>
      <c r="H151" s="179">
        <v>46056.0</v>
      </c>
      <c r="I151" s="180">
        <v>1.0</v>
      </c>
      <c r="J151" s="181" t="s">
        <v>288</v>
      </c>
      <c r="K151" s="178" t="s">
        <v>79</v>
      </c>
      <c r="L151" s="178" t="s">
        <v>96</v>
      </c>
      <c r="M151" s="182">
        <v>2.0</v>
      </c>
      <c r="N151" s="183">
        <v>0.0</v>
      </c>
      <c r="O151" s="184">
        <v>219.38</v>
      </c>
      <c r="P151" s="184">
        <v>217.18619999999999</v>
      </c>
      <c r="Q151" s="185">
        <v>0.0</v>
      </c>
      <c r="R151" s="186">
        <v>217.18619999999999</v>
      </c>
      <c r="S151" s="186">
        <v>0.0</v>
      </c>
      <c r="T151" s="186">
        <v>224.38</v>
      </c>
      <c r="U151" s="187" t="s">
        <v>97</v>
      </c>
      <c r="V151" s="176">
        <v>46035.0</v>
      </c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</row>
    <row r="152">
      <c r="A152" s="190">
        <v>46039.0</v>
      </c>
      <c r="B152" s="191">
        <v>8046288.0</v>
      </c>
      <c r="C152" s="192" t="s">
        <v>82</v>
      </c>
      <c r="D152" s="192" t="s">
        <v>35</v>
      </c>
      <c r="E152" s="191">
        <v>6.287005641E9</v>
      </c>
      <c r="F152" s="192" t="s">
        <v>289</v>
      </c>
      <c r="G152" s="190">
        <v>46055.0</v>
      </c>
      <c r="H152" s="193">
        <v>46058.0</v>
      </c>
      <c r="I152" s="194">
        <v>3.0</v>
      </c>
      <c r="J152" s="195" t="s">
        <v>111</v>
      </c>
      <c r="K152" s="192" t="s">
        <v>79</v>
      </c>
      <c r="L152" s="192" t="s">
        <v>80</v>
      </c>
      <c r="M152" s="211">
        <v>3.0</v>
      </c>
      <c r="N152" s="196">
        <v>0.19999999999999996</v>
      </c>
      <c r="O152" s="197">
        <v>205.03</v>
      </c>
      <c r="P152" s="197">
        <v>164.024</v>
      </c>
      <c r="Q152" s="198">
        <v>0.0</v>
      </c>
      <c r="R152" s="199">
        <v>492.072</v>
      </c>
      <c r="S152" s="199">
        <v>0.0</v>
      </c>
      <c r="T152" s="199">
        <v>637.59</v>
      </c>
      <c r="U152" s="200" t="s">
        <v>88</v>
      </c>
      <c r="V152" s="190">
        <v>46039.0</v>
      </c>
      <c r="W152" s="175"/>
      <c r="X152" s="175"/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</row>
    <row r="153">
      <c r="A153" s="176">
        <v>45810.0</v>
      </c>
      <c r="B153" s="177">
        <v>7103093.0</v>
      </c>
      <c r="C153" s="178" t="s">
        <v>75</v>
      </c>
      <c r="D153" s="178" t="s">
        <v>35</v>
      </c>
      <c r="E153" s="177">
        <v>5.515342754E9</v>
      </c>
      <c r="F153" s="178" t="s">
        <v>291</v>
      </c>
      <c r="G153" s="176">
        <v>46056.0</v>
      </c>
      <c r="H153" s="179">
        <v>46061.0</v>
      </c>
      <c r="I153" s="180">
        <v>5.0</v>
      </c>
      <c r="J153" s="181" t="s">
        <v>78</v>
      </c>
      <c r="K153" s="178" t="s">
        <v>138</v>
      </c>
      <c r="L153" s="178" t="s">
        <v>80</v>
      </c>
      <c r="M153" s="182">
        <v>2.0</v>
      </c>
      <c r="N153" s="183">
        <v>0.19999999999999996</v>
      </c>
      <c r="O153" s="184">
        <v>241.81</v>
      </c>
      <c r="P153" s="184">
        <v>193.448</v>
      </c>
      <c r="Q153" s="185">
        <v>36.0</v>
      </c>
      <c r="R153" s="186">
        <v>967.24</v>
      </c>
      <c r="S153" s="186">
        <v>180.0</v>
      </c>
      <c r="T153" s="186">
        <v>1353.05</v>
      </c>
      <c r="U153" s="187" t="s">
        <v>292</v>
      </c>
      <c r="V153" s="218">
        <v>45810.0</v>
      </c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</row>
    <row r="154">
      <c r="A154" s="176">
        <v>45962.0</v>
      </c>
      <c r="B154" s="177">
        <v>7755349.0</v>
      </c>
      <c r="C154" s="178" t="s">
        <v>89</v>
      </c>
      <c r="D154" s="178" t="s">
        <v>36</v>
      </c>
      <c r="E154" s="177">
        <v>7755349.0</v>
      </c>
      <c r="F154" s="178" t="s">
        <v>279</v>
      </c>
      <c r="G154" s="176">
        <v>46056.0</v>
      </c>
      <c r="H154" s="179">
        <v>46057.0</v>
      </c>
      <c r="I154" s="180">
        <v>1.0</v>
      </c>
      <c r="J154" s="181" t="s">
        <v>87</v>
      </c>
      <c r="K154" s="178" t="s">
        <v>79</v>
      </c>
      <c r="L154" s="178" t="s">
        <v>96</v>
      </c>
      <c r="M154" s="182">
        <v>0.0</v>
      </c>
      <c r="N154" s="183">
        <v>0.0</v>
      </c>
      <c r="O154" s="184">
        <v>0.0</v>
      </c>
      <c r="P154" s="184">
        <v>0.0</v>
      </c>
      <c r="Q154" s="185">
        <v>0.0</v>
      </c>
      <c r="R154" s="186">
        <v>0.0</v>
      </c>
      <c r="S154" s="186">
        <v>0.0</v>
      </c>
      <c r="T154" s="186">
        <v>0.0</v>
      </c>
      <c r="U154" s="187" t="s">
        <v>281</v>
      </c>
      <c r="V154" s="176">
        <v>45962.0</v>
      </c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</row>
    <row r="155">
      <c r="A155" s="176">
        <v>45991.0</v>
      </c>
      <c r="B155" s="177">
        <v>7865086.0</v>
      </c>
      <c r="C155" s="178" t="s">
        <v>89</v>
      </c>
      <c r="D155" s="178" t="s">
        <v>35</v>
      </c>
      <c r="E155" s="177">
        <v>6.45404229E9</v>
      </c>
      <c r="F155" s="178" t="s">
        <v>293</v>
      </c>
      <c r="G155" s="176">
        <v>46056.0</v>
      </c>
      <c r="H155" s="179">
        <v>46059.0</v>
      </c>
      <c r="I155" s="180">
        <v>3.0</v>
      </c>
      <c r="J155" s="181" t="s">
        <v>78</v>
      </c>
      <c r="K155" s="178" t="s">
        <v>138</v>
      </c>
      <c r="L155" s="178" t="s">
        <v>80</v>
      </c>
      <c r="M155" s="182">
        <v>0.0</v>
      </c>
      <c r="N155" s="183">
        <v>0.0</v>
      </c>
      <c r="O155" s="184">
        <v>0.0</v>
      </c>
      <c r="P155" s="184">
        <v>0.0</v>
      </c>
      <c r="Q155" s="185">
        <v>0.0</v>
      </c>
      <c r="R155" s="186">
        <v>0.0</v>
      </c>
      <c r="S155" s="186">
        <v>0.0</v>
      </c>
      <c r="T155" s="186">
        <v>0.0</v>
      </c>
      <c r="U155" s="187" t="s">
        <v>294</v>
      </c>
      <c r="V155" s="176">
        <v>45991.0</v>
      </c>
      <c r="W155" s="175"/>
      <c r="X155" s="175"/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</row>
    <row r="156">
      <c r="A156" s="165">
        <v>46031.0</v>
      </c>
      <c r="B156" s="166">
        <v>8012382.0</v>
      </c>
      <c r="C156" s="166" t="s">
        <v>82</v>
      </c>
      <c r="D156" s="166" t="s">
        <v>35</v>
      </c>
      <c r="E156" s="166">
        <v>6.242859552E9</v>
      </c>
      <c r="F156" s="166" t="s">
        <v>295</v>
      </c>
      <c r="G156" s="165">
        <v>46056.0</v>
      </c>
      <c r="H156" s="167">
        <v>46058.0</v>
      </c>
      <c r="I156" s="168">
        <v>2.0</v>
      </c>
      <c r="J156" s="169" t="s">
        <v>114</v>
      </c>
      <c r="K156" s="166" t="s">
        <v>79</v>
      </c>
      <c r="L156" s="166" t="s">
        <v>80</v>
      </c>
      <c r="M156" s="166">
        <v>1.0</v>
      </c>
      <c r="N156" s="170">
        <v>0.19999999999999996</v>
      </c>
      <c r="O156" s="171">
        <v>196.35</v>
      </c>
      <c r="P156" s="171">
        <v>157.08</v>
      </c>
      <c r="Q156" s="172">
        <v>0.0</v>
      </c>
      <c r="R156" s="173">
        <v>314.16</v>
      </c>
      <c r="S156" s="173">
        <v>0.0</v>
      </c>
      <c r="T156" s="173">
        <v>397.7</v>
      </c>
      <c r="U156" s="201" t="s">
        <v>88</v>
      </c>
      <c r="V156" s="165">
        <v>46031.0</v>
      </c>
      <c r="W156" s="175"/>
      <c r="X156" s="175"/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</row>
    <row r="157">
      <c r="A157" s="154">
        <v>46049.0</v>
      </c>
      <c r="B157" s="155">
        <v>8089147.0</v>
      </c>
      <c r="C157" s="156" t="s">
        <v>82</v>
      </c>
      <c r="D157" s="156" t="s">
        <v>35</v>
      </c>
      <c r="E157" s="155">
        <v>6.788619663E9</v>
      </c>
      <c r="F157" s="156" t="s">
        <v>296</v>
      </c>
      <c r="G157" s="154">
        <v>46056.0</v>
      </c>
      <c r="H157" s="157">
        <v>46059.0</v>
      </c>
      <c r="I157" s="158">
        <v>3.0</v>
      </c>
      <c r="J157" s="159" t="s">
        <v>78</v>
      </c>
      <c r="K157" s="156" t="s">
        <v>79</v>
      </c>
      <c r="L157" s="156" t="s">
        <v>80</v>
      </c>
      <c r="M157" s="155">
        <v>2.0</v>
      </c>
      <c r="N157" s="160">
        <v>0.19999999999999996</v>
      </c>
      <c r="O157" s="161">
        <v>169.42</v>
      </c>
      <c r="P157" s="161">
        <v>135.536</v>
      </c>
      <c r="Q157" s="203">
        <v>0.0</v>
      </c>
      <c r="R157" s="162">
        <v>406.608</v>
      </c>
      <c r="S157" s="162">
        <v>0.0</v>
      </c>
      <c r="T157" s="162">
        <v>523.26</v>
      </c>
      <c r="U157" s="163" t="s">
        <v>183</v>
      </c>
      <c r="V157" s="154">
        <v>46049.0</v>
      </c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</row>
    <row r="158">
      <c r="A158" s="165">
        <v>46056.0</v>
      </c>
      <c r="B158" s="166">
        <v>8123571.0</v>
      </c>
      <c r="C158" s="166" t="s">
        <v>82</v>
      </c>
      <c r="D158" s="166" t="s">
        <v>101</v>
      </c>
      <c r="E158" s="166">
        <v>2.385592967E9</v>
      </c>
      <c r="F158" s="166" t="s">
        <v>297</v>
      </c>
      <c r="G158" s="165">
        <v>46056.0</v>
      </c>
      <c r="H158" s="167">
        <v>46057.0</v>
      </c>
      <c r="I158" s="168">
        <v>1.0</v>
      </c>
      <c r="J158" s="169" t="s">
        <v>78</v>
      </c>
      <c r="K158" s="166" t="s">
        <v>79</v>
      </c>
      <c r="L158" s="166" t="s">
        <v>103</v>
      </c>
      <c r="M158" s="166">
        <v>2.0</v>
      </c>
      <c r="N158" s="170">
        <v>0.0</v>
      </c>
      <c r="O158" s="171">
        <v>269.72</v>
      </c>
      <c r="P158" s="171">
        <v>215.77600000000004</v>
      </c>
      <c r="Q158" s="172">
        <v>0.0</v>
      </c>
      <c r="R158" s="173">
        <v>215.77600000000004</v>
      </c>
      <c r="S158" s="173">
        <v>0.0</v>
      </c>
      <c r="T158" s="173">
        <v>269.72</v>
      </c>
      <c r="U158" s="174" t="s">
        <v>104</v>
      </c>
      <c r="V158" s="165">
        <v>46056.0</v>
      </c>
      <c r="W158" s="175"/>
      <c r="X158" s="175"/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</row>
    <row r="159">
      <c r="A159" s="165">
        <v>45980.0</v>
      </c>
      <c r="B159" s="166">
        <v>7825156.0</v>
      </c>
      <c r="C159" s="166" t="s">
        <v>82</v>
      </c>
      <c r="D159" s="166" t="s">
        <v>35</v>
      </c>
      <c r="E159" s="166">
        <v>6.95688993E9</v>
      </c>
      <c r="F159" s="166" t="s">
        <v>299</v>
      </c>
      <c r="G159" s="165">
        <v>46057.0</v>
      </c>
      <c r="H159" s="167">
        <v>46061.0</v>
      </c>
      <c r="I159" s="168">
        <v>4.0</v>
      </c>
      <c r="J159" s="169" t="s">
        <v>91</v>
      </c>
      <c r="K159" s="166" t="s">
        <v>79</v>
      </c>
      <c r="L159" s="166" t="s">
        <v>80</v>
      </c>
      <c r="M159" s="166">
        <v>2.0</v>
      </c>
      <c r="N159" s="170">
        <v>0.19999999999999996</v>
      </c>
      <c r="O159" s="171">
        <v>440.01</v>
      </c>
      <c r="P159" s="171">
        <v>352.00800000000004</v>
      </c>
      <c r="Q159" s="172">
        <v>0.0</v>
      </c>
      <c r="R159" s="173">
        <v>1408.0320000000002</v>
      </c>
      <c r="S159" s="173">
        <v>0.0</v>
      </c>
      <c r="T159" s="173">
        <v>1780.04</v>
      </c>
      <c r="U159" s="201" t="s">
        <v>161</v>
      </c>
      <c r="V159" s="165">
        <v>45980.0</v>
      </c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</row>
    <row r="160">
      <c r="A160" s="165">
        <v>46025.0</v>
      </c>
      <c r="B160" s="166">
        <v>7986116.0</v>
      </c>
      <c r="C160" s="166" t="s">
        <v>82</v>
      </c>
      <c r="D160" s="166" t="s">
        <v>35</v>
      </c>
      <c r="E160" s="166">
        <v>5.035718929E9</v>
      </c>
      <c r="F160" s="166" t="s">
        <v>300</v>
      </c>
      <c r="G160" s="165">
        <v>46057.0</v>
      </c>
      <c r="H160" s="167">
        <v>46059.0</v>
      </c>
      <c r="I160" s="168">
        <v>2.0</v>
      </c>
      <c r="J160" s="169" t="s">
        <v>87</v>
      </c>
      <c r="K160" s="166" t="s">
        <v>79</v>
      </c>
      <c r="L160" s="166" t="s">
        <v>80</v>
      </c>
      <c r="M160" s="166">
        <v>2.0</v>
      </c>
      <c r="N160" s="170">
        <v>0.19999999999999996</v>
      </c>
      <c r="O160" s="171">
        <v>149.22</v>
      </c>
      <c r="P160" s="171">
        <v>119.376</v>
      </c>
      <c r="Q160" s="172">
        <v>0.0</v>
      </c>
      <c r="R160" s="173">
        <v>238.752</v>
      </c>
      <c r="S160" s="173">
        <v>0.0</v>
      </c>
      <c r="T160" s="173">
        <v>308.44</v>
      </c>
      <c r="U160" s="174" t="s">
        <v>107</v>
      </c>
      <c r="V160" s="165">
        <v>46025.0</v>
      </c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</row>
    <row r="161">
      <c r="A161" s="176">
        <v>46031.0</v>
      </c>
      <c r="B161" s="177">
        <v>8012358.0</v>
      </c>
      <c r="C161" s="178" t="s">
        <v>82</v>
      </c>
      <c r="D161" s="178" t="s">
        <v>35</v>
      </c>
      <c r="E161" s="177">
        <v>6.045601388E9</v>
      </c>
      <c r="F161" s="178" t="s">
        <v>301</v>
      </c>
      <c r="G161" s="176">
        <v>46057.0</v>
      </c>
      <c r="H161" s="179">
        <v>46058.0</v>
      </c>
      <c r="I161" s="180">
        <v>1.0</v>
      </c>
      <c r="J161" s="181" t="s">
        <v>111</v>
      </c>
      <c r="K161" s="178" t="s">
        <v>79</v>
      </c>
      <c r="L161" s="178" t="s">
        <v>80</v>
      </c>
      <c r="M161" s="182">
        <v>1.0</v>
      </c>
      <c r="N161" s="183">
        <v>0.19999999999999996</v>
      </c>
      <c r="O161" s="184">
        <v>246.7</v>
      </c>
      <c r="P161" s="184">
        <v>197.36</v>
      </c>
      <c r="Q161" s="185">
        <v>0.0</v>
      </c>
      <c r="R161" s="186">
        <v>197.36</v>
      </c>
      <c r="S161" s="186">
        <v>0.0</v>
      </c>
      <c r="T161" s="186">
        <v>249.2</v>
      </c>
      <c r="U161" s="187" t="s">
        <v>88</v>
      </c>
      <c r="V161" s="189">
        <v>46031.0</v>
      </c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</row>
    <row r="162">
      <c r="A162" s="165">
        <v>45796.0</v>
      </c>
      <c r="B162" s="166">
        <v>7044138.0</v>
      </c>
      <c r="C162" s="166" t="s">
        <v>82</v>
      </c>
      <c r="D162" s="166" t="s">
        <v>35</v>
      </c>
      <c r="E162" s="166">
        <v>4.685358986E9</v>
      </c>
      <c r="F162" s="166" t="s">
        <v>302</v>
      </c>
      <c r="G162" s="165">
        <v>46058.0</v>
      </c>
      <c r="H162" s="167">
        <v>46063.0</v>
      </c>
      <c r="I162" s="168">
        <v>5.0</v>
      </c>
      <c r="J162" s="169" t="s">
        <v>114</v>
      </c>
      <c r="K162" s="166" t="s">
        <v>79</v>
      </c>
      <c r="L162" s="166" t="s">
        <v>80</v>
      </c>
      <c r="M162" s="166">
        <v>2.0</v>
      </c>
      <c r="N162" s="170">
        <v>0.19999999999999996</v>
      </c>
      <c r="O162" s="171">
        <v>205.58</v>
      </c>
      <c r="P162" s="171">
        <v>164.46400000000003</v>
      </c>
      <c r="Q162" s="172">
        <v>0.0</v>
      </c>
      <c r="R162" s="173">
        <v>822.3200000000002</v>
      </c>
      <c r="S162" s="173">
        <v>0.0</v>
      </c>
      <c r="T162" s="173">
        <v>1052.9</v>
      </c>
      <c r="U162" s="174" t="s">
        <v>303</v>
      </c>
      <c r="V162" s="165">
        <v>45796.0</v>
      </c>
      <c r="W162" s="175"/>
      <c r="X162" s="175"/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</row>
    <row r="163">
      <c r="A163" s="165">
        <v>46022.0</v>
      </c>
      <c r="B163" s="166">
        <v>7977038.0</v>
      </c>
      <c r="C163" s="166" t="s">
        <v>82</v>
      </c>
      <c r="D163" s="166" t="s">
        <v>94</v>
      </c>
      <c r="E163" s="166">
        <v>7977038.0</v>
      </c>
      <c r="F163" s="166" t="s">
        <v>271</v>
      </c>
      <c r="G163" s="165">
        <v>46058.0</v>
      </c>
      <c r="H163" s="167">
        <v>46060.0</v>
      </c>
      <c r="I163" s="168">
        <v>2.0</v>
      </c>
      <c r="J163" s="169" t="s">
        <v>111</v>
      </c>
      <c r="K163" s="166" t="s">
        <v>79</v>
      </c>
      <c r="L163" s="166" t="s">
        <v>96</v>
      </c>
      <c r="M163" s="166">
        <v>2.0</v>
      </c>
      <c r="N163" s="169">
        <v>0.0</v>
      </c>
      <c r="O163" s="171">
        <v>300.24</v>
      </c>
      <c r="P163" s="171">
        <v>300.24</v>
      </c>
      <c r="Q163" s="169">
        <v>0.0</v>
      </c>
      <c r="R163" s="173">
        <v>600.48</v>
      </c>
      <c r="S163" s="173">
        <v>0.0</v>
      </c>
      <c r="T163" s="173">
        <v>610.48</v>
      </c>
      <c r="U163" s="174" t="s">
        <v>97</v>
      </c>
      <c r="V163" s="165">
        <v>46022.0</v>
      </c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</row>
    <row r="164">
      <c r="A164" s="165">
        <v>46024.0</v>
      </c>
      <c r="B164" s="166">
        <v>7984590.0</v>
      </c>
      <c r="C164" s="166" t="s">
        <v>82</v>
      </c>
      <c r="D164" s="166" t="s">
        <v>35</v>
      </c>
      <c r="E164" s="166">
        <v>6.475396659E9</v>
      </c>
      <c r="F164" s="166" t="s">
        <v>305</v>
      </c>
      <c r="G164" s="165">
        <v>46058.0</v>
      </c>
      <c r="H164" s="167">
        <v>46061.0</v>
      </c>
      <c r="I164" s="168">
        <v>3.0</v>
      </c>
      <c r="J164" s="169" t="s">
        <v>111</v>
      </c>
      <c r="K164" s="166" t="s">
        <v>79</v>
      </c>
      <c r="L164" s="166" t="s">
        <v>80</v>
      </c>
      <c r="M164" s="205">
        <v>2.0</v>
      </c>
      <c r="N164" s="170">
        <v>0.19999999999999996</v>
      </c>
      <c r="O164" s="171">
        <v>227.04999999999998</v>
      </c>
      <c r="P164" s="171">
        <v>181.64</v>
      </c>
      <c r="Q164" s="172">
        <v>0.0</v>
      </c>
      <c r="R164" s="173">
        <v>544.92</v>
      </c>
      <c r="S164" s="173">
        <v>0.0</v>
      </c>
      <c r="T164" s="173">
        <v>681.15</v>
      </c>
      <c r="U164" s="174" t="s">
        <v>88</v>
      </c>
      <c r="V164" s="165">
        <v>46024.0</v>
      </c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</row>
    <row r="165">
      <c r="A165" s="176">
        <v>45919.0</v>
      </c>
      <c r="B165" s="177">
        <v>7580612.0</v>
      </c>
      <c r="C165" s="178" t="s">
        <v>89</v>
      </c>
      <c r="D165" s="178" t="s">
        <v>35</v>
      </c>
      <c r="E165" s="177">
        <v>5.507541798E9</v>
      </c>
      <c r="F165" s="178" t="s">
        <v>306</v>
      </c>
      <c r="G165" s="176">
        <v>46059.0</v>
      </c>
      <c r="H165" s="179">
        <v>46062.0</v>
      </c>
      <c r="I165" s="180">
        <v>3.0</v>
      </c>
      <c r="J165" s="181" t="s">
        <v>78</v>
      </c>
      <c r="K165" s="178" t="s">
        <v>79</v>
      </c>
      <c r="L165" s="178" t="s">
        <v>80</v>
      </c>
      <c r="M165" s="177">
        <v>0.0</v>
      </c>
      <c r="N165" s="183">
        <v>0.0</v>
      </c>
      <c r="O165" s="184">
        <v>0.0</v>
      </c>
      <c r="P165" s="184">
        <v>0.0</v>
      </c>
      <c r="Q165" s="185">
        <v>0.0</v>
      </c>
      <c r="R165" s="186">
        <v>0.0</v>
      </c>
      <c r="S165" s="186">
        <v>0.0</v>
      </c>
      <c r="T165" s="186">
        <v>0.0</v>
      </c>
      <c r="U165" s="187" t="s">
        <v>307</v>
      </c>
      <c r="V165" s="189">
        <v>46002.0</v>
      </c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</row>
    <row r="166">
      <c r="A166" s="165">
        <v>45919.0</v>
      </c>
      <c r="B166" s="166">
        <v>7580612.0</v>
      </c>
      <c r="C166" s="166" t="s">
        <v>89</v>
      </c>
      <c r="D166" s="166" t="s">
        <v>35</v>
      </c>
      <c r="E166" s="166">
        <v>5.507541798E9</v>
      </c>
      <c r="F166" s="166" t="s">
        <v>306</v>
      </c>
      <c r="G166" s="165">
        <v>46059.0</v>
      </c>
      <c r="H166" s="167">
        <v>46062.0</v>
      </c>
      <c r="I166" s="168">
        <v>3.0</v>
      </c>
      <c r="J166" s="169" t="s">
        <v>78</v>
      </c>
      <c r="K166" s="166" t="s">
        <v>79</v>
      </c>
      <c r="L166" s="166" t="s">
        <v>80</v>
      </c>
      <c r="M166" s="205">
        <v>0.0</v>
      </c>
      <c r="N166" s="170">
        <v>0.0</v>
      </c>
      <c r="O166" s="171">
        <v>0.0</v>
      </c>
      <c r="P166" s="171">
        <v>0.0</v>
      </c>
      <c r="Q166" s="169">
        <v>0.0</v>
      </c>
      <c r="R166" s="173">
        <v>0.0</v>
      </c>
      <c r="S166" s="173">
        <v>0.0</v>
      </c>
      <c r="T166" s="173">
        <v>0.0</v>
      </c>
      <c r="U166" s="174" t="s">
        <v>307</v>
      </c>
      <c r="V166" s="165">
        <v>46002.0</v>
      </c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</row>
    <row r="167">
      <c r="A167" s="165">
        <v>45919.0</v>
      </c>
      <c r="B167" s="166">
        <v>7580612.0</v>
      </c>
      <c r="C167" s="166" t="s">
        <v>89</v>
      </c>
      <c r="D167" s="166" t="s">
        <v>35</v>
      </c>
      <c r="E167" s="166">
        <v>5.507541798E9</v>
      </c>
      <c r="F167" s="166" t="s">
        <v>306</v>
      </c>
      <c r="G167" s="165">
        <v>46059.0</v>
      </c>
      <c r="H167" s="167">
        <v>46062.0</v>
      </c>
      <c r="I167" s="168">
        <v>3.0</v>
      </c>
      <c r="J167" s="169" t="s">
        <v>87</v>
      </c>
      <c r="K167" s="166" t="s">
        <v>79</v>
      </c>
      <c r="L167" s="166" t="s">
        <v>80</v>
      </c>
      <c r="M167" s="205">
        <v>0.0</v>
      </c>
      <c r="N167" s="170">
        <v>0.0</v>
      </c>
      <c r="O167" s="171">
        <v>0.0</v>
      </c>
      <c r="P167" s="171">
        <v>0.0</v>
      </c>
      <c r="Q167" s="172">
        <v>0.0</v>
      </c>
      <c r="R167" s="173">
        <v>0.0</v>
      </c>
      <c r="S167" s="173">
        <v>0.0</v>
      </c>
      <c r="T167" s="173">
        <v>0.0</v>
      </c>
      <c r="U167" s="174" t="s">
        <v>307</v>
      </c>
      <c r="V167" s="165">
        <v>46002.0</v>
      </c>
      <c r="W167" s="175"/>
      <c r="X167" s="175"/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</row>
    <row r="168">
      <c r="A168" s="165">
        <v>45919.0</v>
      </c>
      <c r="B168" s="166">
        <v>7580612.0</v>
      </c>
      <c r="C168" s="166" t="s">
        <v>89</v>
      </c>
      <c r="D168" s="166" t="s">
        <v>35</v>
      </c>
      <c r="E168" s="166">
        <v>5.507541798E9</v>
      </c>
      <c r="F168" s="166" t="s">
        <v>306</v>
      </c>
      <c r="G168" s="165">
        <v>46059.0</v>
      </c>
      <c r="H168" s="167">
        <v>46062.0</v>
      </c>
      <c r="I168" s="168">
        <v>3.0</v>
      </c>
      <c r="J168" s="169" t="s">
        <v>78</v>
      </c>
      <c r="K168" s="166" t="s">
        <v>79</v>
      </c>
      <c r="L168" s="166" t="s">
        <v>80</v>
      </c>
      <c r="M168" s="166">
        <v>0.0</v>
      </c>
      <c r="N168" s="170">
        <v>0.0</v>
      </c>
      <c r="O168" s="171">
        <v>0.0</v>
      </c>
      <c r="P168" s="171">
        <v>0.0</v>
      </c>
      <c r="Q168" s="172">
        <v>0.0</v>
      </c>
      <c r="R168" s="173">
        <v>0.0</v>
      </c>
      <c r="S168" s="173">
        <v>0.0</v>
      </c>
      <c r="T168" s="173">
        <v>0.0</v>
      </c>
      <c r="U168" s="174" t="s">
        <v>307</v>
      </c>
      <c r="V168" s="165">
        <v>46002.0</v>
      </c>
      <c r="W168" s="175"/>
      <c r="X168" s="175"/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</row>
    <row r="169">
      <c r="A169" s="165">
        <v>45975.0</v>
      </c>
      <c r="B169" s="166">
        <v>7805887.0</v>
      </c>
      <c r="C169" s="166" t="s">
        <v>82</v>
      </c>
      <c r="D169" s="166" t="s">
        <v>35</v>
      </c>
      <c r="E169" s="166">
        <v>5.048386111E9</v>
      </c>
      <c r="F169" s="166" t="s">
        <v>309</v>
      </c>
      <c r="G169" s="165">
        <v>46059.0</v>
      </c>
      <c r="H169" s="167">
        <v>46063.0</v>
      </c>
      <c r="I169" s="168">
        <v>4.0</v>
      </c>
      <c r="J169" s="169" t="s">
        <v>78</v>
      </c>
      <c r="K169" s="166" t="s">
        <v>79</v>
      </c>
      <c r="L169" s="166" t="s">
        <v>80</v>
      </c>
      <c r="M169" s="205">
        <v>2.0</v>
      </c>
      <c r="N169" s="169">
        <v>0.19999999999999996</v>
      </c>
      <c r="O169" s="171">
        <v>176.6</v>
      </c>
      <c r="P169" s="171">
        <v>141.28</v>
      </c>
      <c r="Q169" s="169">
        <v>0.0</v>
      </c>
      <c r="R169" s="173">
        <v>565.12</v>
      </c>
      <c r="S169" s="173">
        <v>0.0</v>
      </c>
      <c r="T169" s="173">
        <v>726.4</v>
      </c>
      <c r="U169" s="201" t="s">
        <v>161</v>
      </c>
      <c r="V169" s="165">
        <v>45975.0</v>
      </c>
      <c r="W169" s="175"/>
      <c r="X169" s="175"/>
      <c r="Y169" s="175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</row>
    <row r="170">
      <c r="A170" s="165">
        <v>46005.0</v>
      </c>
      <c r="B170" s="166">
        <v>7917934.0</v>
      </c>
      <c r="C170" s="166" t="s">
        <v>75</v>
      </c>
      <c r="D170" s="166" t="s">
        <v>35</v>
      </c>
      <c r="E170" s="166">
        <v>5.07067745E9</v>
      </c>
      <c r="F170" s="166" t="s">
        <v>310</v>
      </c>
      <c r="G170" s="165">
        <v>46059.0</v>
      </c>
      <c r="H170" s="167">
        <v>46061.0</v>
      </c>
      <c r="I170" s="168">
        <v>2.0</v>
      </c>
      <c r="J170" s="169" t="s">
        <v>78</v>
      </c>
      <c r="K170" s="166" t="s">
        <v>79</v>
      </c>
      <c r="L170" s="166" t="s">
        <v>80</v>
      </c>
      <c r="M170" s="166">
        <v>3.0</v>
      </c>
      <c r="N170" s="169">
        <v>0.19999999999999996</v>
      </c>
      <c r="O170" s="171">
        <v>205.66</v>
      </c>
      <c r="P170" s="171">
        <v>164.52800000000002</v>
      </c>
      <c r="Q170" s="169">
        <v>0.0</v>
      </c>
      <c r="R170" s="173">
        <v>329.05600000000004</v>
      </c>
      <c r="S170" s="173">
        <v>0.0</v>
      </c>
      <c r="T170" s="173">
        <v>426.32</v>
      </c>
      <c r="U170" s="201" t="s">
        <v>311</v>
      </c>
      <c r="V170" s="165">
        <v>46005.0</v>
      </c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</row>
    <row r="171">
      <c r="A171" s="165">
        <v>46007.0</v>
      </c>
      <c r="B171" s="166">
        <v>7927601.0</v>
      </c>
      <c r="C171" s="166" t="s">
        <v>82</v>
      </c>
      <c r="D171" s="166" t="s">
        <v>35</v>
      </c>
      <c r="E171" s="166">
        <v>5.294470171E9</v>
      </c>
      <c r="F171" s="166" t="s">
        <v>312</v>
      </c>
      <c r="G171" s="165">
        <v>46059.0</v>
      </c>
      <c r="H171" s="167">
        <v>46062.0</v>
      </c>
      <c r="I171" s="168">
        <v>3.0</v>
      </c>
      <c r="J171" s="169" t="s">
        <v>78</v>
      </c>
      <c r="K171" s="166" t="s">
        <v>79</v>
      </c>
      <c r="L171" s="166" t="s">
        <v>80</v>
      </c>
      <c r="M171" s="166">
        <v>2.0</v>
      </c>
      <c r="N171" s="170">
        <v>0.19999999999999996</v>
      </c>
      <c r="O171" s="171">
        <v>163.04</v>
      </c>
      <c r="P171" s="171">
        <v>130.432</v>
      </c>
      <c r="Q171" s="172">
        <v>0.0</v>
      </c>
      <c r="R171" s="173">
        <v>391.29599999999994</v>
      </c>
      <c r="S171" s="173">
        <v>0.0</v>
      </c>
      <c r="T171" s="173">
        <v>504.12</v>
      </c>
      <c r="U171" s="174" t="s">
        <v>107</v>
      </c>
      <c r="V171" s="165">
        <v>46007.0</v>
      </c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</row>
    <row r="172">
      <c r="A172" s="176">
        <v>46008.0</v>
      </c>
      <c r="B172" s="177">
        <v>7930674.0</v>
      </c>
      <c r="C172" s="178" t="s">
        <v>82</v>
      </c>
      <c r="D172" s="178" t="s">
        <v>35</v>
      </c>
      <c r="E172" s="177">
        <v>6.742624323E9</v>
      </c>
      <c r="F172" s="178" t="s">
        <v>314</v>
      </c>
      <c r="G172" s="176">
        <v>46059.0</v>
      </c>
      <c r="H172" s="179">
        <v>46062.0</v>
      </c>
      <c r="I172" s="180">
        <v>3.0</v>
      </c>
      <c r="J172" s="181" t="s">
        <v>78</v>
      </c>
      <c r="K172" s="178" t="s">
        <v>79</v>
      </c>
      <c r="L172" s="178" t="s">
        <v>80</v>
      </c>
      <c r="M172" s="182">
        <v>2.0</v>
      </c>
      <c r="N172" s="183">
        <v>0.19999999999999996</v>
      </c>
      <c r="O172" s="184">
        <v>174.14</v>
      </c>
      <c r="P172" s="184">
        <v>139.31199999999998</v>
      </c>
      <c r="Q172" s="185">
        <v>0.0</v>
      </c>
      <c r="R172" s="186">
        <v>417.9359999999999</v>
      </c>
      <c r="S172" s="186">
        <v>0.0</v>
      </c>
      <c r="T172" s="186">
        <v>522.42</v>
      </c>
      <c r="U172" s="187" t="s">
        <v>107</v>
      </c>
      <c r="V172" s="176">
        <v>46008.0</v>
      </c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</row>
    <row r="173">
      <c r="A173" s="165">
        <v>46010.0</v>
      </c>
      <c r="B173" s="166">
        <v>7934812.0</v>
      </c>
      <c r="C173" s="166" t="s">
        <v>82</v>
      </c>
      <c r="D173" s="166" t="s">
        <v>35</v>
      </c>
      <c r="E173" s="166">
        <v>6.009237698E9</v>
      </c>
      <c r="F173" s="166" t="s">
        <v>315</v>
      </c>
      <c r="G173" s="165">
        <v>46059.0</v>
      </c>
      <c r="H173" s="167">
        <v>46063.0</v>
      </c>
      <c r="I173" s="168">
        <v>4.0</v>
      </c>
      <c r="J173" s="169" t="s">
        <v>87</v>
      </c>
      <c r="K173" s="166" t="s">
        <v>79</v>
      </c>
      <c r="L173" s="166" t="s">
        <v>80</v>
      </c>
      <c r="M173" s="166">
        <v>1.0</v>
      </c>
      <c r="N173" s="170">
        <v>0.19999999999999996</v>
      </c>
      <c r="O173" s="171">
        <v>186.88</v>
      </c>
      <c r="P173" s="171">
        <v>149.504</v>
      </c>
      <c r="Q173" s="172">
        <v>0.0</v>
      </c>
      <c r="R173" s="173">
        <v>598.016</v>
      </c>
      <c r="S173" s="173">
        <v>0.0</v>
      </c>
      <c r="T173" s="173">
        <v>757.52</v>
      </c>
      <c r="U173" s="174" t="s">
        <v>316</v>
      </c>
      <c r="V173" s="165">
        <v>46010.0</v>
      </c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</row>
    <row r="174">
      <c r="A174" s="165">
        <v>45936.0</v>
      </c>
      <c r="B174" s="166">
        <v>7650625.0</v>
      </c>
      <c r="C174" s="166" t="s">
        <v>82</v>
      </c>
      <c r="D174" s="166" t="s">
        <v>35</v>
      </c>
      <c r="E174" s="166">
        <v>6.087033738E9</v>
      </c>
      <c r="F174" s="166" t="s">
        <v>317</v>
      </c>
      <c r="G174" s="165">
        <v>46060.0</v>
      </c>
      <c r="H174" s="167">
        <v>46067.0</v>
      </c>
      <c r="I174" s="168">
        <v>7.0</v>
      </c>
      <c r="J174" s="169" t="s">
        <v>111</v>
      </c>
      <c r="K174" s="166" t="s">
        <v>138</v>
      </c>
      <c r="L174" s="166" t="s">
        <v>80</v>
      </c>
      <c r="M174" s="166">
        <v>2.0</v>
      </c>
      <c r="N174" s="170">
        <v>0.19999999999999996</v>
      </c>
      <c r="O174" s="171">
        <v>276.74</v>
      </c>
      <c r="P174" s="171">
        <v>221.39200000000002</v>
      </c>
      <c r="Q174" s="172">
        <v>36.0</v>
      </c>
      <c r="R174" s="173">
        <v>1549.7440000000001</v>
      </c>
      <c r="S174" s="173">
        <v>252.0</v>
      </c>
      <c r="T174" s="173">
        <v>2173.78</v>
      </c>
      <c r="U174" s="201" t="s">
        <v>318</v>
      </c>
      <c r="V174" s="165">
        <v>45936.0</v>
      </c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</row>
    <row r="175">
      <c r="A175" s="165">
        <v>45929.0</v>
      </c>
      <c r="B175" s="166">
        <v>7621548.0</v>
      </c>
      <c r="C175" s="166" t="s">
        <v>82</v>
      </c>
      <c r="D175" s="166" t="s">
        <v>35</v>
      </c>
      <c r="E175" s="166">
        <v>5.018316723E9</v>
      </c>
      <c r="F175" s="166" t="s">
        <v>319</v>
      </c>
      <c r="G175" s="165">
        <v>46061.0</v>
      </c>
      <c r="H175" s="167">
        <v>46065.0</v>
      </c>
      <c r="I175" s="168">
        <v>4.0</v>
      </c>
      <c r="J175" s="169" t="s">
        <v>111</v>
      </c>
      <c r="K175" s="166" t="s">
        <v>79</v>
      </c>
      <c r="L175" s="166" t="s">
        <v>80</v>
      </c>
      <c r="M175" s="166">
        <v>2.0</v>
      </c>
      <c r="N175" s="170">
        <v>0.19999999999999996</v>
      </c>
      <c r="O175" s="171">
        <v>222.61</v>
      </c>
      <c r="P175" s="171">
        <v>178.08800000000002</v>
      </c>
      <c r="Q175" s="172">
        <v>0.0</v>
      </c>
      <c r="R175" s="173">
        <v>712.3520000000001</v>
      </c>
      <c r="S175" s="173">
        <v>0.0</v>
      </c>
      <c r="T175" s="173">
        <v>910.44</v>
      </c>
      <c r="U175" s="174" t="s">
        <v>161</v>
      </c>
      <c r="V175" s="165">
        <v>45929.0</v>
      </c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</row>
    <row r="176">
      <c r="A176" s="176">
        <v>45943.0</v>
      </c>
      <c r="B176" s="177">
        <v>7681485.0</v>
      </c>
      <c r="C176" s="178" t="s">
        <v>89</v>
      </c>
      <c r="D176" s="178" t="s">
        <v>35</v>
      </c>
      <c r="E176" s="177">
        <v>6.532386714E9</v>
      </c>
      <c r="F176" s="178" t="s">
        <v>320</v>
      </c>
      <c r="G176" s="176">
        <v>46061.0</v>
      </c>
      <c r="H176" s="179">
        <v>46065.0</v>
      </c>
      <c r="I176" s="180">
        <v>4.0</v>
      </c>
      <c r="J176" s="181" t="s">
        <v>91</v>
      </c>
      <c r="K176" s="178" t="s">
        <v>79</v>
      </c>
      <c r="L176" s="178" t="s">
        <v>80</v>
      </c>
      <c r="M176" s="177">
        <v>0.0</v>
      </c>
      <c r="N176" s="183">
        <v>0.0</v>
      </c>
      <c r="O176" s="184">
        <v>0.0</v>
      </c>
      <c r="P176" s="184">
        <v>0.0</v>
      </c>
      <c r="Q176" s="185">
        <v>0.0</v>
      </c>
      <c r="R176" s="186">
        <v>0.0</v>
      </c>
      <c r="S176" s="186">
        <v>0.0</v>
      </c>
      <c r="T176" s="186">
        <v>0.0</v>
      </c>
      <c r="U176" s="187" t="s">
        <v>322</v>
      </c>
      <c r="V176" s="176">
        <v>45963.0</v>
      </c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</row>
    <row r="177">
      <c r="A177" s="176">
        <v>45960.0</v>
      </c>
      <c r="B177" s="177">
        <v>7748568.0</v>
      </c>
      <c r="C177" s="178" t="s">
        <v>82</v>
      </c>
      <c r="D177" s="178" t="s">
        <v>35</v>
      </c>
      <c r="E177" s="177">
        <v>5.182966418E9</v>
      </c>
      <c r="F177" s="178" t="s">
        <v>323</v>
      </c>
      <c r="G177" s="176">
        <v>46061.0</v>
      </c>
      <c r="H177" s="179">
        <v>46065.0</v>
      </c>
      <c r="I177" s="180">
        <v>4.0</v>
      </c>
      <c r="J177" s="181" t="s">
        <v>78</v>
      </c>
      <c r="K177" s="178" t="s">
        <v>79</v>
      </c>
      <c r="L177" s="178" t="s">
        <v>80</v>
      </c>
      <c r="M177" s="182">
        <v>2.0</v>
      </c>
      <c r="N177" s="183">
        <v>0.19999999999999996</v>
      </c>
      <c r="O177" s="184">
        <v>184.62</v>
      </c>
      <c r="P177" s="184">
        <v>147.696</v>
      </c>
      <c r="Q177" s="185">
        <v>0.0</v>
      </c>
      <c r="R177" s="186">
        <v>590.784</v>
      </c>
      <c r="S177" s="186">
        <v>0.0</v>
      </c>
      <c r="T177" s="186">
        <v>758.48</v>
      </c>
      <c r="U177" s="187" t="s">
        <v>161</v>
      </c>
      <c r="V177" s="189">
        <v>45960.0</v>
      </c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</row>
    <row r="178">
      <c r="A178" s="190">
        <v>46022.0</v>
      </c>
      <c r="B178" s="191">
        <v>7975489.0</v>
      </c>
      <c r="C178" s="192" t="s">
        <v>89</v>
      </c>
      <c r="D178" s="192" t="s">
        <v>35</v>
      </c>
      <c r="E178" s="191">
        <v>6.942944558E9</v>
      </c>
      <c r="F178" s="192" t="s">
        <v>324</v>
      </c>
      <c r="G178" s="190">
        <v>46061.0</v>
      </c>
      <c r="H178" s="193">
        <v>46062.0</v>
      </c>
      <c r="I178" s="194">
        <v>1.0</v>
      </c>
      <c r="J178" s="195" t="s">
        <v>78</v>
      </c>
      <c r="K178" s="192" t="s">
        <v>79</v>
      </c>
      <c r="L178" s="192" t="s">
        <v>80</v>
      </c>
      <c r="M178" s="191">
        <v>0.0</v>
      </c>
      <c r="N178" s="196">
        <v>0.0</v>
      </c>
      <c r="O178" s="197">
        <v>0.0</v>
      </c>
      <c r="P178" s="197">
        <v>0.0</v>
      </c>
      <c r="Q178" s="198">
        <v>0.0</v>
      </c>
      <c r="R178" s="199">
        <v>0.0</v>
      </c>
      <c r="S178" s="199">
        <v>0.0</v>
      </c>
      <c r="T178" s="199">
        <v>0.0</v>
      </c>
      <c r="U178" s="200" t="s">
        <v>325</v>
      </c>
      <c r="V178" s="190">
        <v>46024.0</v>
      </c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</row>
    <row r="179">
      <c r="A179" s="176">
        <v>46028.0</v>
      </c>
      <c r="B179" s="177">
        <v>7999953.0</v>
      </c>
      <c r="C179" s="178" t="s">
        <v>82</v>
      </c>
      <c r="D179" s="178" t="s">
        <v>35</v>
      </c>
      <c r="E179" s="177">
        <v>5.589841685E9</v>
      </c>
      <c r="F179" s="178" t="s">
        <v>326</v>
      </c>
      <c r="G179" s="176">
        <v>46061.0</v>
      </c>
      <c r="H179" s="179">
        <v>46062.0</v>
      </c>
      <c r="I179" s="180">
        <v>1.0</v>
      </c>
      <c r="J179" s="181" t="s">
        <v>78</v>
      </c>
      <c r="K179" s="178" t="s">
        <v>79</v>
      </c>
      <c r="L179" s="178" t="s">
        <v>80</v>
      </c>
      <c r="M179" s="182">
        <v>2.0</v>
      </c>
      <c r="N179" s="183">
        <v>0.19999999999999996</v>
      </c>
      <c r="O179" s="184">
        <v>158.96</v>
      </c>
      <c r="P179" s="184">
        <v>127.168</v>
      </c>
      <c r="Q179" s="185">
        <v>0.0</v>
      </c>
      <c r="R179" s="186">
        <v>127.168</v>
      </c>
      <c r="S179" s="186">
        <v>0.0</v>
      </c>
      <c r="T179" s="186">
        <v>163.96</v>
      </c>
      <c r="U179" s="187" t="s">
        <v>107</v>
      </c>
      <c r="V179" s="189">
        <v>46028.0</v>
      </c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</row>
    <row r="180">
      <c r="A180" s="176">
        <v>46038.0</v>
      </c>
      <c r="B180" s="177">
        <v>8041020.0</v>
      </c>
      <c r="C180" s="178" t="s">
        <v>82</v>
      </c>
      <c r="D180" s="178" t="s">
        <v>94</v>
      </c>
      <c r="E180" s="177">
        <v>8041020.0</v>
      </c>
      <c r="F180" s="178" t="s">
        <v>250</v>
      </c>
      <c r="G180" s="176">
        <v>46061.0</v>
      </c>
      <c r="H180" s="179">
        <v>46064.0</v>
      </c>
      <c r="I180" s="180">
        <v>3.0</v>
      </c>
      <c r="J180" s="181" t="s">
        <v>91</v>
      </c>
      <c r="K180" s="178" t="s">
        <v>79</v>
      </c>
      <c r="L180" s="178" t="s">
        <v>96</v>
      </c>
      <c r="M180" s="182">
        <v>2.0</v>
      </c>
      <c r="N180" s="181">
        <v>0.0</v>
      </c>
      <c r="O180" s="184">
        <v>599.76</v>
      </c>
      <c r="P180" s="184">
        <v>599.76</v>
      </c>
      <c r="Q180" s="181">
        <v>0.0</v>
      </c>
      <c r="R180" s="186">
        <v>1799.28</v>
      </c>
      <c r="S180" s="186">
        <v>0.0</v>
      </c>
      <c r="T180" s="186">
        <v>1814.28</v>
      </c>
      <c r="U180" s="187" t="s">
        <v>97</v>
      </c>
      <c r="V180" s="176">
        <v>46038.0</v>
      </c>
      <c r="W180" s="175"/>
      <c r="X180" s="175"/>
      <c r="Y180" s="175"/>
      <c r="Z180" s="175"/>
      <c r="AA180" s="175"/>
      <c r="AB180" s="175"/>
      <c r="AC180" s="175"/>
      <c r="AD180" s="175"/>
      <c r="AE180" s="175"/>
      <c r="AF180" s="175"/>
      <c r="AG180" s="175"/>
      <c r="AH180" s="175"/>
      <c r="AI180" s="175"/>
    </row>
    <row r="181">
      <c r="A181" s="176">
        <v>45991.0</v>
      </c>
      <c r="B181" s="166">
        <v>7866709.0</v>
      </c>
      <c r="C181" s="166" t="s">
        <v>82</v>
      </c>
      <c r="D181" s="166" t="s">
        <v>35</v>
      </c>
      <c r="E181" s="166">
        <v>6.992949467E9</v>
      </c>
      <c r="F181" s="166" t="s">
        <v>328</v>
      </c>
      <c r="G181" s="165">
        <v>46062.0</v>
      </c>
      <c r="H181" s="167">
        <v>46065.0</v>
      </c>
      <c r="I181" s="168">
        <v>3.0</v>
      </c>
      <c r="J181" s="169" t="s">
        <v>78</v>
      </c>
      <c r="K181" s="166" t="s">
        <v>79</v>
      </c>
      <c r="L181" s="166" t="s">
        <v>80</v>
      </c>
      <c r="M181" s="166">
        <v>3.0</v>
      </c>
      <c r="N181" s="169">
        <v>0.19999999999999996</v>
      </c>
      <c r="O181" s="171">
        <v>163.71</v>
      </c>
      <c r="P181" s="171">
        <v>130.96800000000002</v>
      </c>
      <c r="Q181" s="169">
        <v>0.0</v>
      </c>
      <c r="R181" s="173">
        <v>392.90400000000005</v>
      </c>
      <c r="S181" s="173">
        <v>0.0</v>
      </c>
      <c r="T181" s="173">
        <v>513.63</v>
      </c>
      <c r="U181" s="201" t="s">
        <v>107</v>
      </c>
      <c r="V181" s="165">
        <v>45991.0</v>
      </c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</row>
    <row r="182">
      <c r="A182" s="176">
        <v>46001.0</v>
      </c>
      <c r="B182" s="177">
        <v>7903277.0</v>
      </c>
      <c r="C182" s="178" t="s">
        <v>82</v>
      </c>
      <c r="D182" s="178" t="s">
        <v>35</v>
      </c>
      <c r="E182" s="177">
        <v>5.708434844E9</v>
      </c>
      <c r="F182" s="178" t="s">
        <v>329</v>
      </c>
      <c r="G182" s="176">
        <v>46062.0</v>
      </c>
      <c r="H182" s="179">
        <v>46065.0</v>
      </c>
      <c r="I182" s="180">
        <v>3.0</v>
      </c>
      <c r="J182" s="181" t="s">
        <v>78</v>
      </c>
      <c r="K182" s="178" t="s">
        <v>79</v>
      </c>
      <c r="L182" s="178" t="s">
        <v>80</v>
      </c>
      <c r="M182" s="182">
        <v>2.0</v>
      </c>
      <c r="N182" s="183">
        <v>0.19999999999999996</v>
      </c>
      <c r="O182" s="184">
        <v>203.88</v>
      </c>
      <c r="P182" s="184">
        <v>163.104</v>
      </c>
      <c r="Q182" s="185">
        <v>0.0</v>
      </c>
      <c r="R182" s="186">
        <v>489.312</v>
      </c>
      <c r="S182" s="186">
        <v>0.0</v>
      </c>
      <c r="T182" s="186">
        <v>626.64</v>
      </c>
      <c r="U182" s="187" t="s">
        <v>316</v>
      </c>
      <c r="V182" s="176">
        <v>46001.0</v>
      </c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</row>
    <row r="183">
      <c r="A183" s="165">
        <v>46006.0</v>
      </c>
      <c r="B183" s="166">
        <v>7923081.0</v>
      </c>
      <c r="C183" s="166" t="s">
        <v>82</v>
      </c>
      <c r="D183" s="166" t="s">
        <v>35</v>
      </c>
      <c r="E183" s="166">
        <v>5.420296579E9</v>
      </c>
      <c r="F183" s="166" t="s">
        <v>285</v>
      </c>
      <c r="G183" s="165">
        <v>46062.0</v>
      </c>
      <c r="H183" s="167">
        <v>46066.0</v>
      </c>
      <c r="I183" s="168">
        <v>4.0</v>
      </c>
      <c r="J183" s="169" t="s">
        <v>78</v>
      </c>
      <c r="K183" s="166" t="s">
        <v>79</v>
      </c>
      <c r="L183" s="166" t="s">
        <v>80</v>
      </c>
      <c r="M183" s="166">
        <v>2.0</v>
      </c>
      <c r="N183" s="170">
        <v>0.19999999999999996</v>
      </c>
      <c r="O183" s="171">
        <v>223.78</v>
      </c>
      <c r="P183" s="171">
        <v>179.024</v>
      </c>
      <c r="Q183" s="172">
        <v>0.0</v>
      </c>
      <c r="R183" s="173">
        <v>716.096</v>
      </c>
      <c r="S183" s="173">
        <v>0.0</v>
      </c>
      <c r="T183" s="173">
        <v>915.12</v>
      </c>
      <c r="U183" s="201" t="s">
        <v>316</v>
      </c>
      <c r="V183" s="165">
        <v>46006.0</v>
      </c>
      <c r="W183" s="175"/>
      <c r="X183" s="175"/>
      <c r="Y183" s="175"/>
      <c r="Z183" s="175"/>
      <c r="AA183" s="175"/>
      <c r="AB183" s="175"/>
      <c r="AC183" s="175"/>
      <c r="AD183" s="175"/>
      <c r="AE183" s="175"/>
      <c r="AF183" s="175"/>
      <c r="AG183" s="175"/>
      <c r="AH183" s="175"/>
      <c r="AI183" s="175"/>
    </row>
    <row r="184">
      <c r="A184" s="165">
        <v>46062.0</v>
      </c>
      <c r="B184" s="166">
        <v>8149785.0</v>
      </c>
      <c r="C184" s="166" t="s">
        <v>82</v>
      </c>
      <c r="D184" s="166" t="s">
        <v>94</v>
      </c>
      <c r="E184" s="166">
        <v>8149785.0</v>
      </c>
      <c r="F184" s="166" t="s">
        <v>330</v>
      </c>
      <c r="G184" s="165">
        <v>46062.0</v>
      </c>
      <c r="H184" s="167">
        <v>46064.0</v>
      </c>
      <c r="I184" s="168">
        <v>2.0</v>
      </c>
      <c r="J184" s="169" t="s">
        <v>78</v>
      </c>
      <c r="K184" s="166" t="s">
        <v>79</v>
      </c>
      <c r="L184" s="166" t="s">
        <v>96</v>
      </c>
      <c r="M184" s="166">
        <v>2.0</v>
      </c>
      <c r="N184" s="170">
        <v>0.0</v>
      </c>
      <c r="O184" s="171">
        <v>239.76</v>
      </c>
      <c r="P184" s="171">
        <v>239.76</v>
      </c>
      <c r="Q184" s="172">
        <v>0.0</v>
      </c>
      <c r="R184" s="173">
        <v>479.52</v>
      </c>
      <c r="S184" s="173">
        <v>0.0</v>
      </c>
      <c r="T184" s="173">
        <v>489.52</v>
      </c>
      <c r="U184" s="174" t="s">
        <v>97</v>
      </c>
      <c r="V184" s="165">
        <v>46062.0</v>
      </c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</row>
    <row r="185">
      <c r="A185" s="165">
        <v>45991.0</v>
      </c>
      <c r="B185" s="166">
        <v>7866199.0</v>
      </c>
      <c r="C185" s="166" t="s">
        <v>82</v>
      </c>
      <c r="D185" s="166" t="s">
        <v>35</v>
      </c>
      <c r="E185" s="166">
        <v>5.925693693E9</v>
      </c>
      <c r="F185" s="166" t="s">
        <v>332</v>
      </c>
      <c r="G185" s="165">
        <v>46063.0</v>
      </c>
      <c r="H185" s="167">
        <v>46066.0</v>
      </c>
      <c r="I185" s="168">
        <v>3.0</v>
      </c>
      <c r="J185" s="169" t="s">
        <v>78</v>
      </c>
      <c r="K185" s="166" t="s">
        <v>79</v>
      </c>
      <c r="L185" s="166" t="s">
        <v>80</v>
      </c>
      <c r="M185" s="166">
        <v>2.0</v>
      </c>
      <c r="N185" s="169">
        <v>0.19999999999999996</v>
      </c>
      <c r="O185" s="171">
        <v>158.96</v>
      </c>
      <c r="P185" s="171">
        <v>127.168</v>
      </c>
      <c r="Q185" s="169">
        <v>0.0</v>
      </c>
      <c r="R185" s="173">
        <v>381.504</v>
      </c>
      <c r="S185" s="173">
        <v>0.0</v>
      </c>
      <c r="T185" s="173">
        <v>491.88</v>
      </c>
      <c r="U185" s="201" t="s">
        <v>107</v>
      </c>
      <c r="V185" s="165">
        <v>45991.0</v>
      </c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</row>
    <row r="186">
      <c r="A186" s="190">
        <v>45997.0</v>
      </c>
      <c r="B186" s="191">
        <v>7891205.0</v>
      </c>
      <c r="C186" s="192" t="s">
        <v>82</v>
      </c>
      <c r="D186" s="192" t="s">
        <v>35</v>
      </c>
      <c r="E186" s="191">
        <v>5.263993576E9</v>
      </c>
      <c r="F186" s="192" t="s">
        <v>333</v>
      </c>
      <c r="G186" s="190">
        <v>46063.0</v>
      </c>
      <c r="H186" s="193">
        <v>46067.0</v>
      </c>
      <c r="I186" s="194">
        <v>4.0</v>
      </c>
      <c r="J186" s="195" t="s">
        <v>87</v>
      </c>
      <c r="K186" s="192" t="s">
        <v>79</v>
      </c>
      <c r="L186" s="192" t="s">
        <v>80</v>
      </c>
      <c r="M186" s="191">
        <v>2.0</v>
      </c>
      <c r="N186" s="196">
        <v>0.19999999999999996</v>
      </c>
      <c r="O186" s="197">
        <v>134.86</v>
      </c>
      <c r="P186" s="197">
        <v>107.88800000000002</v>
      </c>
      <c r="Q186" s="198">
        <v>0.0</v>
      </c>
      <c r="R186" s="199">
        <v>431.5520000000001</v>
      </c>
      <c r="S186" s="199">
        <v>0.0</v>
      </c>
      <c r="T186" s="199">
        <v>559.44</v>
      </c>
      <c r="U186" s="200" t="s">
        <v>107</v>
      </c>
      <c r="V186" s="190">
        <v>45997.0</v>
      </c>
      <c r="W186" s="175"/>
      <c r="X186" s="175"/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</row>
    <row r="187">
      <c r="A187" s="165">
        <v>45899.0</v>
      </c>
      <c r="B187" s="166">
        <v>7491429.0</v>
      </c>
      <c r="C187" s="166" t="s">
        <v>89</v>
      </c>
      <c r="D187" s="166" t="s">
        <v>35</v>
      </c>
      <c r="E187" s="166">
        <v>6.785275642E9</v>
      </c>
      <c r="F187" s="166" t="s">
        <v>334</v>
      </c>
      <c r="G187" s="165">
        <v>46065.0</v>
      </c>
      <c r="H187" s="167">
        <v>46069.0</v>
      </c>
      <c r="I187" s="168">
        <v>4.0</v>
      </c>
      <c r="J187" s="169" t="s">
        <v>91</v>
      </c>
      <c r="K187" s="166" t="s">
        <v>79</v>
      </c>
      <c r="L187" s="166" t="s">
        <v>80</v>
      </c>
      <c r="M187" s="205">
        <v>0.0</v>
      </c>
      <c r="N187" s="170">
        <v>0.0</v>
      </c>
      <c r="O187" s="171">
        <v>0.0</v>
      </c>
      <c r="P187" s="171">
        <v>0.0</v>
      </c>
      <c r="Q187" s="172">
        <v>0.0</v>
      </c>
      <c r="R187" s="173">
        <v>0.0</v>
      </c>
      <c r="S187" s="173">
        <v>0.0</v>
      </c>
      <c r="T187" s="173">
        <v>0.0</v>
      </c>
      <c r="U187" s="174" t="s">
        <v>335</v>
      </c>
      <c r="V187" s="165">
        <v>46057.0</v>
      </c>
      <c r="W187" s="175"/>
      <c r="X187" s="175"/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</row>
    <row r="188">
      <c r="A188" s="176">
        <v>45934.0</v>
      </c>
      <c r="B188" s="177">
        <v>7641355.0</v>
      </c>
      <c r="C188" s="178" t="s">
        <v>82</v>
      </c>
      <c r="D188" s="178" t="s">
        <v>35</v>
      </c>
      <c r="E188" s="177">
        <v>5.928634225E9</v>
      </c>
      <c r="F188" s="178" t="s">
        <v>336</v>
      </c>
      <c r="G188" s="176">
        <v>46065.0</v>
      </c>
      <c r="H188" s="179">
        <v>46070.0</v>
      </c>
      <c r="I188" s="180">
        <v>5.0</v>
      </c>
      <c r="J188" s="181" t="s">
        <v>78</v>
      </c>
      <c r="K188" s="178" t="s">
        <v>79</v>
      </c>
      <c r="L188" s="178" t="s">
        <v>80</v>
      </c>
      <c r="M188" s="182">
        <v>2.0</v>
      </c>
      <c r="N188" s="181">
        <v>0.19999999999999996</v>
      </c>
      <c r="O188" s="184">
        <v>152.35999999999999</v>
      </c>
      <c r="P188" s="184">
        <v>121.88799999999999</v>
      </c>
      <c r="Q188" s="181">
        <v>0.0</v>
      </c>
      <c r="R188" s="186">
        <v>609.4399999999999</v>
      </c>
      <c r="S188" s="186">
        <v>0.0</v>
      </c>
      <c r="T188" s="186">
        <v>761.8</v>
      </c>
      <c r="U188" s="187" t="s">
        <v>107</v>
      </c>
      <c r="V188" s="176">
        <v>45934.0</v>
      </c>
      <c r="W188" s="175"/>
      <c r="X188" s="175"/>
      <c r="Y188" s="175"/>
      <c r="Z188" s="175"/>
      <c r="AA188" s="175"/>
      <c r="AB188" s="175"/>
      <c r="AC188" s="175"/>
      <c r="AD188" s="175"/>
      <c r="AE188" s="175"/>
      <c r="AF188" s="175"/>
      <c r="AG188" s="175"/>
      <c r="AH188" s="175"/>
      <c r="AI188" s="175"/>
    </row>
    <row r="189">
      <c r="A189" s="165">
        <v>45937.0</v>
      </c>
      <c r="B189" s="166">
        <v>7654771.0</v>
      </c>
      <c r="C189" s="166" t="s">
        <v>82</v>
      </c>
      <c r="D189" s="166" t="s">
        <v>35</v>
      </c>
      <c r="E189" s="166">
        <v>6.039749994E9</v>
      </c>
      <c r="F189" s="166" t="s">
        <v>338</v>
      </c>
      <c r="G189" s="165">
        <v>46065.0</v>
      </c>
      <c r="H189" s="167">
        <v>46066.0</v>
      </c>
      <c r="I189" s="168">
        <v>1.0</v>
      </c>
      <c r="J189" s="169" t="s">
        <v>114</v>
      </c>
      <c r="K189" s="166" t="s">
        <v>79</v>
      </c>
      <c r="L189" s="166" t="s">
        <v>80</v>
      </c>
      <c r="M189" s="166">
        <v>2.0</v>
      </c>
      <c r="N189" s="170">
        <v>0.19999999999999996</v>
      </c>
      <c r="O189" s="171">
        <v>172.58</v>
      </c>
      <c r="P189" s="171">
        <v>138.06400000000002</v>
      </c>
      <c r="Q189" s="172">
        <v>0.0</v>
      </c>
      <c r="R189" s="173">
        <v>138.06400000000002</v>
      </c>
      <c r="S189" s="173">
        <v>0.0</v>
      </c>
      <c r="T189" s="173">
        <v>177.58</v>
      </c>
      <c r="U189" s="201" t="s">
        <v>161</v>
      </c>
      <c r="V189" s="165">
        <v>45937.0</v>
      </c>
      <c r="W189" s="175"/>
      <c r="X189" s="175"/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</row>
    <row r="190">
      <c r="A190" s="190">
        <v>45946.0</v>
      </c>
      <c r="B190" s="191">
        <v>7694052.0</v>
      </c>
      <c r="C190" s="192" t="s">
        <v>82</v>
      </c>
      <c r="D190" s="192" t="s">
        <v>35</v>
      </c>
      <c r="E190" s="191">
        <v>5.905835406E9</v>
      </c>
      <c r="F190" s="192" t="s">
        <v>339</v>
      </c>
      <c r="G190" s="190">
        <v>46065.0</v>
      </c>
      <c r="H190" s="193">
        <v>46067.0</v>
      </c>
      <c r="I190" s="194">
        <v>2.0</v>
      </c>
      <c r="J190" s="195" t="s">
        <v>78</v>
      </c>
      <c r="K190" s="192" t="s">
        <v>79</v>
      </c>
      <c r="L190" s="192" t="s">
        <v>80</v>
      </c>
      <c r="M190" s="211">
        <v>2.0</v>
      </c>
      <c r="N190" s="196">
        <v>0.19999999999999996</v>
      </c>
      <c r="O190" s="197">
        <v>138.66</v>
      </c>
      <c r="P190" s="197">
        <v>110.928</v>
      </c>
      <c r="Q190" s="198">
        <v>0.0</v>
      </c>
      <c r="R190" s="199">
        <v>221.856</v>
      </c>
      <c r="S190" s="199">
        <v>0.0</v>
      </c>
      <c r="T190" s="199">
        <v>287.32</v>
      </c>
      <c r="U190" s="200" t="s">
        <v>107</v>
      </c>
      <c r="V190" s="190">
        <v>45946.0</v>
      </c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</row>
    <row r="191">
      <c r="A191" s="176">
        <v>46061.0</v>
      </c>
      <c r="B191" s="177">
        <v>8146878.0</v>
      </c>
      <c r="C191" s="178" t="s">
        <v>82</v>
      </c>
      <c r="D191" s="178" t="s">
        <v>109</v>
      </c>
      <c r="E191" s="177">
        <v>6.26369891E8</v>
      </c>
      <c r="F191" s="178" t="s">
        <v>340</v>
      </c>
      <c r="G191" s="176">
        <v>46065.0</v>
      </c>
      <c r="H191" s="179">
        <v>46067.0</v>
      </c>
      <c r="I191" s="180">
        <v>2.0</v>
      </c>
      <c r="J191" s="181" t="s">
        <v>78</v>
      </c>
      <c r="K191" s="178" t="s">
        <v>79</v>
      </c>
      <c r="L191" s="178" t="s">
        <v>96</v>
      </c>
      <c r="M191" s="182">
        <v>2.0</v>
      </c>
      <c r="N191" s="183">
        <v>0.19999999999999996</v>
      </c>
      <c r="O191" s="184">
        <v>212.29</v>
      </c>
      <c r="P191" s="184">
        <v>169.832</v>
      </c>
      <c r="Q191" s="185">
        <v>0.0</v>
      </c>
      <c r="R191" s="186">
        <v>339.664</v>
      </c>
      <c r="S191" s="186">
        <v>0.0</v>
      </c>
      <c r="T191" s="186">
        <v>424.58</v>
      </c>
      <c r="U191" s="187" t="s">
        <v>112</v>
      </c>
      <c r="V191" s="176">
        <v>46061.0</v>
      </c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</row>
    <row r="192">
      <c r="A192" s="176">
        <v>46028.0</v>
      </c>
      <c r="B192" s="177">
        <v>8000116.0</v>
      </c>
      <c r="C192" s="178" t="s">
        <v>82</v>
      </c>
      <c r="D192" s="178" t="s">
        <v>35</v>
      </c>
      <c r="E192" s="178">
        <v>6.652616233E9</v>
      </c>
      <c r="F192" s="178" t="s">
        <v>341</v>
      </c>
      <c r="G192" s="176">
        <v>46065.0</v>
      </c>
      <c r="H192" s="179">
        <v>46067.0</v>
      </c>
      <c r="I192" s="180">
        <v>2.0</v>
      </c>
      <c r="J192" s="181" t="s">
        <v>78</v>
      </c>
      <c r="K192" s="178" t="s">
        <v>79</v>
      </c>
      <c r="L192" s="178" t="s">
        <v>80</v>
      </c>
      <c r="M192" s="177">
        <v>2.0</v>
      </c>
      <c r="N192" s="183">
        <v>0.19999999999999996</v>
      </c>
      <c r="O192" s="184">
        <v>158.24</v>
      </c>
      <c r="P192" s="184">
        <v>126.59200000000001</v>
      </c>
      <c r="Q192" s="185">
        <v>0.0</v>
      </c>
      <c r="R192" s="186">
        <v>253.18400000000003</v>
      </c>
      <c r="S192" s="186">
        <v>0.0</v>
      </c>
      <c r="T192" s="186">
        <v>326.48</v>
      </c>
      <c r="U192" s="220" t="s">
        <v>88</v>
      </c>
      <c r="V192" s="189">
        <v>46028.0</v>
      </c>
      <c r="W192" s="175"/>
      <c r="X192" s="175"/>
      <c r="Y192" s="175"/>
      <c r="Z192" s="175"/>
      <c r="AA192" s="175"/>
      <c r="AB192" s="175"/>
      <c r="AC192" s="175"/>
      <c r="AD192" s="175"/>
      <c r="AE192" s="175"/>
      <c r="AF192" s="175"/>
      <c r="AG192" s="175"/>
      <c r="AH192" s="175"/>
      <c r="AI192" s="175"/>
    </row>
    <row r="193">
      <c r="A193" s="165">
        <v>46057.0</v>
      </c>
      <c r="B193" s="166">
        <v>8124598.0</v>
      </c>
      <c r="C193" s="166" t="s">
        <v>82</v>
      </c>
      <c r="D193" s="166" t="s">
        <v>35</v>
      </c>
      <c r="E193" s="166">
        <v>6.406197569E9</v>
      </c>
      <c r="F193" s="166" t="s">
        <v>334</v>
      </c>
      <c r="G193" s="165">
        <v>46065.0</v>
      </c>
      <c r="H193" s="167">
        <v>46069.0</v>
      </c>
      <c r="I193" s="168">
        <v>4.0</v>
      </c>
      <c r="J193" s="169" t="s">
        <v>91</v>
      </c>
      <c r="K193" s="166" t="s">
        <v>79</v>
      </c>
      <c r="L193" s="166" t="s">
        <v>80</v>
      </c>
      <c r="M193" s="166">
        <v>5.0</v>
      </c>
      <c r="N193" s="170">
        <v>0.19999999999999996</v>
      </c>
      <c r="O193" s="171">
        <v>426.73</v>
      </c>
      <c r="P193" s="171">
        <v>341.384</v>
      </c>
      <c r="Q193" s="172">
        <v>0.0</v>
      </c>
      <c r="R193" s="173">
        <v>1365.536</v>
      </c>
      <c r="S193" s="173">
        <v>0.0</v>
      </c>
      <c r="T193" s="173">
        <v>1756.92</v>
      </c>
      <c r="U193" s="174" t="s">
        <v>183</v>
      </c>
      <c r="V193" s="165">
        <v>46057.0</v>
      </c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</row>
    <row r="194">
      <c r="A194" s="176">
        <v>45935.0</v>
      </c>
      <c r="B194" s="177">
        <v>7647062.0</v>
      </c>
      <c r="C194" s="178" t="s">
        <v>89</v>
      </c>
      <c r="D194" s="178" t="s">
        <v>35</v>
      </c>
      <c r="E194" s="177">
        <v>6.582730054E9</v>
      </c>
      <c r="F194" s="178" t="s">
        <v>343</v>
      </c>
      <c r="G194" s="176">
        <v>46066.0</v>
      </c>
      <c r="H194" s="179">
        <v>46067.0</v>
      </c>
      <c r="I194" s="180">
        <v>1.0</v>
      </c>
      <c r="J194" s="181" t="s">
        <v>114</v>
      </c>
      <c r="K194" s="178" t="s">
        <v>79</v>
      </c>
      <c r="L194" s="178" t="s">
        <v>80</v>
      </c>
      <c r="M194" s="182">
        <v>0.0</v>
      </c>
      <c r="N194" s="183">
        <v>0.0</v>
      </c>
      <c r="O194" s="184">
        <v>0.0</v>
      </c>
      <c r="P194" s="184">
        <v>0.0</v>
      </c>
      <c r="Q194" s="185">
        <v>0.0</v>
      </c>
      <c r="R194" s="186">
        <v>0.0</v>
      </c>
      <c r="S194" s="186">
        <v>0.0</v>
      </c>
      <c r="T194" s="186">
        <v>0.0</v>
      </c>
      <c r="U194" s="187" t="s">
        <v>344</v>
      </c>
      <c r="V194" s="176">
        <v>46030.0</v>
      </c>
      <c r="W194" s="175"/>
      <c r="X194" s="175"/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  <c r="AI194" s="175"/>
    </row>
    <row r="195">
      <c r="A195" s="154">
        <v>46047.0</v>
      </c>
      <c r="B195" s="155">
        <v>8081203.0</v>
      </c>
      <c r="C195" s="156" t="s">
        <v>82</v>
      </c>
      <c r="D195" s="156" t="s">
        <v>35</v>
      </c>
      <c r="E195" s="155">
        <v>6.01682036E9</v>
      </c>
      <c r="F195" s="156" t="s">
        <v>345</v>
      </c>
      <c r="G195" s="154">
        <v>46066.0</v>
      </c>
      <c r="H195" s="157">
        <v>46067.0</v>
      </c>
      <c r="I195" s="158">
        <v>1.0</v>
      </c>
      <c r="J195" s="159" t="s">
        <v>111</v>
      </c>
      <c r="K195" s="156" t="s">
        <v>79</v>
      </c>
      <c r="L195" s="156" t="s">
        <v>80</v>
      </c>
      <c r="M195" s="155">
        <v>2.0</v>
      </c>
      <c r="N195" s="160">
        <v>0.19999999999999996</v>
      </c>
      <c r="O195" s="161">
        <v>235.35</v>
      </c>
      <c r="P195" s="161">
        <v>188.28</v>
      </c>
      <c r="Q195" s="159">
        <v>0.0</v>
      </c>
      <c r="R195" s="162">
        <v>188.28</v>
      </c>
      <c r="S195" s="162">
        <v>0.0</v>
      </c>
      <c r="T195" s="162">
        <v>240.35</v>
      </c>
      <c r="U195" s="163" t="s">
        <v>88</v>
      </c>
      <c r="V195" s="154">
        <v>46047.0</v>
      </c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</row>
    <row r="196">
      <c r="A196" s="165">
        <v>46048.0</v>
      </c>
      <c r="B196" s="166">
        <v>8087353.0</v>
      </c>
      <c r="C196" s="166" t="s">
        <v>82</v>
      </c>
      <c r="D196" s="166" t="s">
        <v>35</v>
      </c>
      <c r="E196" s="166">
        <v>5.49615028E9</v>
      </c>
      <c r="F196" s="166" t="s">
        <v>346</v>
      </c>
      <c r="G196" s="165">
        <v>46066.0</v>
      </c>
      <c r="H196" s="167">
        <v>46068.0</v>
      </c>
      <c r="I196" s="168">
        <v>2.0</v>
      </c>
      <c r="J196" s="169" t="s">
        <v>114</v>
      </c>
      <c r="K196" s="166" t="s">
        <v>79</v>
      </c>
      <c r="L196" s="166" t="s">
        <v>80</v>
      </c>
      <c r="M196" s="166">
        <v>2.0</v>
      </c>
      <c r="N196" s="170">
        <v>0.19999999999999996</v>
      </c>
      <c r="O196" s="171">
        <v>205.58</v>
      </c>
      <c r="P196" s="171">
        <v>164.46400000000003</v>
      </c>
      <c r="Q196" s="172">
        <v>0.0</v>
      </c>
      <c r="R196" s="173">
        <v>328.92800000000005</v>
      </c>
      <c r="S196" s="173">
        <v>0.0</v>
      </c>
      <c r="T196" s="173">
        <v>421.16</v>
      </c>
      <c r="U196" s="201" t="s">
        <v>88</v>
      </c>
      <c r="V196" s="165">
        <v>46048.0</v>
      </c>
      <c r="W196" s="175"/>
      <c r="X196" s="175"/>
      <c r="Y196" s="175"/>
      <c r="Z196" s="175"/>
      <c r="AA196" s="175"/>
      <c r="AB196" s="175"/>
      <c r="AC196" s="175"/>
      <c r="AD196" s="175"/>
      <c r="AE196" s="175"/>
      <c r="AF196" s="175"/>
      <c r="AG196" s="175"/>
      <c r="AH196" s="175"/>
      <c r="AI196" s="175"/>
    </row>
    <row r="197">
      <c r="A197" s="165">
        <v>46060.0</v>
      </c>
      <c r="B197" s="166">
        <v>8141585.0</v>
      </c>
      <c r="C197" s="166" t="s">
        <v>82</v>
      </c>
      <c r="D197" s="166" t="s">
        <v>35</v>
      </c>
      <c r="E197" s="166">
        <v>5.213088697E9</v>
      </c>
      <c r="F197" s="166" t="s">
        <v>348</v>
      </c>
      <c r="G197" s="165">
        <v>46066.0</v>
      </c>
      <c r="H197" s="167">
        <v>46067.0</v>
      </c>
      <c r="I197" s="168">
        <v>1.0</v>
      </c>
      <c r="J197" s="169" t="s">
        <v>78</v>
      </c>
      <c r="K197" s="166" t="s">
        <v>79</v>
      </c>
      <c r="L197" s="166" t="s">
        <v>80</v>
      </c>
      <c r="M197" s="166">
        <v>2.0</v>
      </c>
      <c r="N197" s="170">
        <v>0.19999999999999996</v>
      </c>
      <c r="O197" s="171">
        <v>170.22</v>
      </c>
      <c r="P197" s="171">
        <v>136.17600000000002</v>
      </c>
      <c r="Q197" s="172">
        <v>0.0</v>
      </c>
      <c r="R197" s="173">
        <v>136.17600000000002</v>
      </c>
      <c r="S197" s="173">
        <v>0.0</v>
      </c>
      <c r="T197" s="173">
        <v>175.22</v>
      </c>
      <c r="U197" s="174" t="s">
        <v>183</v>
      </c>
      <c r="V197" s="165">
        <v>46060.0</v>
      </c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</row>
    <row r="198">
      <c r="A198" s="154">
        <v>45901.0</v>
      </c>
      <c r="B198" s="155">
        <v>7499763.0</v>
      </c>
      <c r="C198" s="156" t="s">
        <v>89</v>
      </c>
      <c r="D198" s="156" t="s">
        <v>35</v>
      </c>
      <c r="E198" s="155">
        <v>5.336425098E9</v>
      </c>
      <c r="F198" s="156" t="s">
        <v>349</v>
      </c>
      <c r="G198" s="154">
        <v>46067.0</v>
      </c>
      <c r="H198" s="157">
        <v>46073.0</v>
      </c>
      <c r="I198" s="158">
        <v>6.0</v>
      </c>
      <c r="J198" s="159" t="s">
        <v>111</v>
      </c>
      <c r="K198" s="156" t="s">
        <v>138</v>
      </c>
      <c r="L198" s="156" t="s">
        <v>80</v>
      </c>
      <c r="M198" s="155">
        <v>0.0</v>
      </c>
      <c r="N198" s="160">
        <v>0.0</v>
      </c>
      <c r="O198" s="161">
        <v>0.0</v>
      </c>
      <c r="P198" s="161">
        <v>0.0</v>
      </c>
      <c r="Q198" s="203">
        <v>0.0</v>
      </c>
      <c r="R198" s="162">
        <v>0.0</v>
      </c>
      <c r="S198" s="162">
        <v>0.0</v>
      </c>
      <c r="T198" s="162">
        <v>0.0</v>
      </c>
      <c r="U198" s="163" t="s">
        <v>350</v>
      </c>
      <c r="V198" s="154">
        <v>45901.0</v>
      </c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</row>
    <row r="199">
      <c r="A199" s="154">
        <v>45901.0</v>
      </c>
      <c r="B199" s="155">
        <v>7499763.0</v>
      </c>
      <c r="C199" s="156" t="s">
        <v>89</v>
      </c>
      <c r="D199" s="156" t="s">
        <v>35</v>
      </c>
      <c r="E199" s="155">
        <v>5.336425098E9</v>
      </c>
      <c r="F199" s="156" t="s">
        <v>349</v>
      </c>
      <c r="G199" s="154">
        <v>46067.0</v>
      </c>
      <c r="H199" s="157">
        <v>46073.0</v>
      </c>
      <c r="I199" s="158">
        <v>6.0</v>
      </c>
      <c r="J199" s="159" t="s">
        <v>114</v>
      </c>
      <c r="K199" s="156" t="s">
        <v>138</v>
      </c>
      <c r="L199" s="156" t="s">
        <v>80</v>
      </c>
      <c r="M199" s="155">
        <v>0.0</v>
      </c>
      <c r="N199" s="160">
        <v>0.0</v>
      </c>
      <c r="O199" s="161">
        <v>0.0</v>
      </c>
      <c r="P199" s="161">
        <v>0.0</v>
      </c>
      <c r="Q199" s="159">
        <v>0.0</v>
      </c>
      <c r="R199" s="162">
        <v>0.0</v>
      </c>
      <c r="S199" s="162">
        <v>0.0</v>
      </c>
      <c r="T199" s="162">
        <v>0.0</v>
      </c>
      <c r="U199" s="156" t="s">
        <v>350</v>
      </c>
      <c r="V199" s="154">
        <v>45901.0</v>
      </c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</row>
    <row r="200">
      <c r="A200" s="165">
        <v>45884.0</v>
      </c>
      <c r="B200" s="166">
        <v>7423994.0</v>
      </c>
      <c r="C200" s="166" t="s">
        <v>82</v>
      </c>
      <c r="D200" s="166" t="s">
        <v>35</v>
      </c>
      <c r="E200" s="166">
        <v>5.893873483E9</v>
      </c>
      <c r="F200" s="166" t="s">
        <v>351</v>
      </c>
      <c r="G200" s="165">
        <v>46067.0</v>
      </c>
      <c r="H200" s="167">
        <v>46070.0</v>
      </c>
      <c r="I200" s="168">
        <v>3.0</v>
      </c>
      <c r="J200" s="169" t="s">
        <v>78</v>
      </c>
      <c r="K200" s="166" t="s">
        <v>79</v>
      </c>
      <c r="L200" s="166" t="s">
        <v>80</v>
      </c>
      <c r="M200" s="205">
        <v>2.0</v>
      </c>
      <c r="N200" s="170">
        <v>0.19999999999999996</v>
      </c>
      <c r="O200" s="171">
        <v>173.12</v>
      </c>
      <c r="P200" s="171">
        <v>138.496</v>
      </c>
      <c r="Q200" s="172">
        <v>0.0</v>
      </c>
      <c r="R200" s="173">
        <v>415.48800000000006</v>
      </c>
      <c r="S200" s="173">
        <v>0.0</v>
      </c>
      <c r="T200" s="173">
        <v>3256.44</v>
      </c>
      <c r="U200" s="174" t="s">
        <v>353</v>
      </c>
      <c r="V200" s="165">
        <v>45884.0</v>
      </c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</row>
    <row r="201">
      <c r="A201" s="176">
        <v>45884.0</v>
      </c>
      <c r="B201" s="177">
        <v>7423994.0</v>
      </c>
      <c r="C201" s="178" t="s">
        <v>82</v>
      </c>
      <c r="D201" s="178" t="s">
        <v>35</v>
      </c>
      <c r="E201" s="178">
        <v>5.893873483E9</v>
      </c>
      <c r="F201" s="178" t="s">
        <v>351</v>
      </c>
      <c r="G201" s="176">
        <v>46067.0</v>
      </c>
      <c r="H201" s="179">
        <v>46070.0</v>
      </c>
      <c r="I201" s="180">
        <v>3.0</v>
      </c>
      <c r="J201" s="181" t="s">
        <v>111</v>
      </c>
      <c r="K201" s="178" t="s">
        <v>79</v>
      </c>
      <c r="L201" s="178" t="s">
        <v>80</v>
      </c>
      <c r="M201" s="177">
        <v>1.0</v>
      </c>
      <c r="N201" s="183">
        <v>0.19999999999999996</v>
      </c>
      <c r="O201" s="184">
        <v>217.28</v>
      </c>
      <c r="P201" s="184">
        <v>173.824</v>
      </c>
      <c r="Q201" s="181">
        <v>0.0</v>
      </c>
      <c r="R201" s="186">
        <v>521.472</v>
      </c>
      <c r="S201" s="186">
        <v>0.0</v>
      </c>
      <c r="T201" s="162">
        <v>3256.44</v>
      </c>
      <c r="U201" s="163" t="s">
        <v>353</v>
      </c>
      <c r="V201" s="154">
        <v>45884.0</v>
      </c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</row>
    <row r="202">
      <c r="A202" s="154">
        <v>45884.0</v>
      </c>
      <c r="B202" s="155">
        <v>7423994.0</v>
      </c>
      <c r="C202" s="156" t="s">
        <v>82</v>
      </c>
      <c r="D202" s="156" t="s">
        <v>35</v>
      </c>
      <c r="E202" s="155">
        <v>5.893873483E9</v>
      </c>
      <c r="F202" s="156" t="s">
        <v>351</v>
      </c>
      <c r="G202" s="154">
        <v>46067.0</v>
      </c>
      <c r="H202" s="157">
        <v>46070.0</v>
      </c>
      <c r="I202" s="158">
        <v>3.0</v>
      </c>
      <c r="J202" s="159" t="s">
        <v>78</v>
      </c>
      <c r="K202" s="156" t="s">
        <v>79</v>
      </c>
      <c r="L202" s="156" t="s">
        <v>80</v>
      </c>
      <c r="M202" s="202">
        <v>2.0</v>
      </c>
      <c r="N202" s="160">
        <v>0.19999999999999996</v>
      </c>
      <c r="O202" s="161">
        <v>173.12</v>
      </c>
      <c r="P202" s="161">
        <v>138.496</v>
      </c>
      <c r="Q202" s="203">
        <v>0.0</v>
      </c>
      <c r="R202" s="162">
        <v>415.48800000000006</v>
      </c>
      <c r="S202" s="162">
        <v>0.0</v>
      </c>
      <c r="T202" s="162">
        <v>3256.44</v>
      </c>
      <c r="U202" s="163" t="s">
        <v>353</v>
      </c>
      <c r="V202" s="215">
        <v>45884.0</v>
      </c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</row>
    <row r="203">
      <c r="A203" s="154">
        <v>45884.0</v>
      </c>
      <c r="B203" s="155">
        <v>7423994.0</v>
      </c>
      <c r="C203" s="156" t="s">
        <v>82</v>
      </c>
      <c r="D203" s="156" t="s">
        <v>35</v>
      </c>
      <c r="E203" s="155">
        <v>5.893873483E9</v>
      </c>
      <c r="F203" s="156" t="s">
        <v>351</v>
      </c>
      <c r="G203" s="154">
        <v>46067.0</v>
      </c>
      <c r="H203" s="157">
        <v>46070.0</v>
      </c>
      <c r="I203" s="158">
        <v>3.0</v>
      </c>
      <c r="J203" s="159" t="s">
        <v>78</v>
      </c>
      <c r="K203" s="156" t="s">
        <v>79</v>
      </c>
      <c r="L203" s="156" t="s">
        <v>80</v>
      </c>
      <c r="M203" s="155">
        <v>1.0</v>
      </c>
      <c r="N203" s="160">
        <v>0.19999999999999996</v>
      </c>
      <c r="O203" s="161">
        <v>173.12</v>
      </c>
      <c r="P203" s="161">
        <v>138.496</v>
      </c>
      <c r="Q203" s="159">
        <v>0.0</v>
      </c>
      <c r="R203" s="162">
        <v>415.48800000000006</v>
      </c>
      <c r="S203" s="162">
        <v>0.0</v>
      </c>
      <c r="T203" s="162">
        <v>3256.44</v>
      </c>
      <c r="U203" s="163" t="s">
        <v>353</v>
      </c>
      <c r="V203" s="154">
        <v>45884.0</v>
      </c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</row>
    <row r="204">
      <c r="A204" s="154">
        <v>45884.0</v>
      </c>
      <c r="B204" s="155">
        <v>7423994.0</v>
      </c>
      <c r="C204" s="156" t="s">
        <v>82</v>
      </c>
      <c r="D204" s="156" t="s">
        <v>35</v>
      </c>
      <c r="E204" s="155">
        <v>5.893873483E9</v>
      </c>
      <c r="F204" s="156" t="s">
        <v>351</v>
      </c>
      <c r="G204" s="154">
        <v>46067.0</v>
      </c>
      <c r="H204" s="157">
        <v>46070.0</v>
      </c>
      <c r="I204" s="158">
        <v>3.0</v>
      </c>
      <c r="J204" s="159" t="s">
        <v>78</v>
      </c>
      <c r="K204" s="156" t="s">
        <v>79</v>
      </c>
      <c r="L204" s="156" t="s">
        <v>80</v>
      </c>
      <c r="M204" s="155">
        <v>2.0</v>
      </c>
      <c r="N204" s="160">
        <v>0.19999999999999996</v>
      </c>
      <c r="O204" s="161">
        <v>173.12</v>
      </c>
      <c r="P204" s="161">
        <v>138.496</v>
      </c>
      <c r="Q204" s="203">
        <v>0.0</v>
      </c>
      <c r="R204" s="162">
        <v>415.48800000000006</v>
      </c>
      <c r="S204" s="162">
        <v>0.0</v>
      </c>
      <c r="T204" s="162">
        <v>3256.44</v>
      </c>
      <c r="U204" s="163" t="s">
        <v>353</v>
      </c>
      <c r="V204" s="154">
        <v>45884.0</v>
      </c>
      <c r="W204" s="175"/>
      <c r="X204" s="175"/>
      <c r="Y204" s="175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</row>
    <row r="205">
      <c r="A205" s="154">
        <v>45884.0</v>
      </c>
      <c r="B205" s="155">
        <v>7423994.0</v>
      </c>
      <c r="C205" s="156" t="s">
        <v>82</v>
      </c>
      <c r="D205" s="156" t="s">
        <v>35</v>
      </c>
      <c r="E205" s="155">
        <v>5.893873483E9</v>
      </c>
      <c r="F205" s="156" t="s">
        <v>351</v>
      </c>
      <c r="G205" s="154">
        <v>46067.0</v>
      </c>
      <c r="H205" s="157">
        <v>46070.0</v>
      </c>
      <c r="I205" s="158">
        <v>3.0</v>
      </c>
      <c r="J205" s="159" t="s">
        <v>87</v>
      </c>
      <c r="K205" s="156" t="s">
        <v>79</v>
      </c>
      <c r="L205" s="156" t="s">
        <v>80</v>
      </c>
      <c r="M205" s="155">
        <v>2.0</v>
      </c>
      <c r="N205" s="160">
        <v>0.19999999999999996</v>
      </c>
      <c r="O205" s="161">
        <v>150.72</v>
      </c>
      <c r="P205" s="161">
        <v>120.57600000000001</v>
      </c>
      <c r="Q205" s="159">
        <v>0.0</v>
      </c>
      <c r="R205" s="162">
        <v>361.728</v>
      </c>
      <c r="S205" s="162">
        <v>0.0</v>
      </c>
      <c r="T205" s="162">
        <v>3256.44</v>
      </c>
      <c r="U205" s="163" t="s">
        <v>353</v>
      </c>
      <c r="V205" s="154">
        <v>45884.0</v>
      </c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</row>
    <row r="206">
      <c r="A206" s="165">
        <v>45932.0</v>
      </c>
      <c r="B206" s="166">
        <v>7635927.0</v>
      </c>
      <c r="C206" s="166" t="s">
        <v>82</v>
      </c>
      <c r="D206" s="166" t="s">
        <v>35</v>
      </c>
      <c r="E206" s="166">
        <v>5.672125743E9</v>
      </c>
      <c r="F206" s="166" t="s">
        <v>355</v>
      </c>
      <c r="G206" s="165">
        <v>46067.0</v>
      </c>
      <c r="H206" s="167">
        <v>46071.0</v>
      </c>
      <c r="I206" s="168">
        <v>4.0</v>
      </c>
      <c r="J206" s="169" t="s">
        <v>111</v>
      </c>
      <c r="K206" s="166" t="s">
        <v>79</v>
      </c>
      <c r="L206" s="166" t="s">
        <v>80</v>
      </c>
      <c r="M206" s="205">
        <v>3.0</v>
      </c>
      <c r="N206" s="170">
        <v>0.19999999999999996</v>
      </c>
      <c r="O206" s="171">
        <v>225.61</v>
      </c>
      <c r="P206" s="171">
        <v>180.48800000000003</v>
      </c>
      <c r="Q206" s="172">
        <v>0.0</v>
      </c>
      <c r="R206" s="173">
        <v>721.9520000000001</v>
      </c>
      <c r="S206" s="173">
        <v>0.0</v>
      </c>
      <c r="T206" s="173">
        <v>932.44</v>
      </c>
      <c r="U206" s="174" t="s">
        <v>353</v>
      </c>
      <c r="V206" s="165">
        <v>45932.0</v>
      </c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</row>
    <row r="207">
      <c r="A207" s="176">
        <v>46013.0</v>
      </c>
      <c r="B207" s="177">
        <v>7947082.0</v>
      </c>
      <c r="C207" s="178" t="s">
        <v>89</v>
      </c>
      <c r="D207" s="178" t="s">
        <v>36</v>
      </c>
      <c r="E207" s="177">
        <v>7947082.0</v>
      </c>
      <c r="F207" s="178" t="s">
        <v>356</v>
      </c>
      <c r="G207" s="176">
        <v>46067.0</v>
      </c>
      <c r="H207" s="179">
        <v>46068.0</v>
      </c>
      <c r="I207" s="180">
        <v>1.0</v>
      </c>
      <c r="J207" s="181" t="s">
        <v>114</v>
      </c>
      <c r="K207" s="178" t="s">
        <v>138</v>
      </c>
      <c r="L207" s="178" t="s">
        <v>80</v>
      </c>
      <c r="M207" s="182">
        <v>0.0</v>
      </c>
      <c r="N207" s="183">
        <v>0.0</v>
      </c>
      <c r="O207" s="184">
        <v>0.0</v>
      </c>
      <c r="P207" s="184">
        <v>0.0</v>
      </c>
      <c r="Q207" s="185">
        <v>0.0</v>
      </c>
      <c r="R207" s="186">
        <v>0.0</v>
      </c>
      <c r="S207" s="186">
        <v>0.0</v>
      </c>
      <c r="T207" s="186">
        <v>0.0</v>
      </c>
      <c r="U207" s="187" t="s">
        <v>357</v>
      </c>
      <c r="V207" s="176">
        <v>46014.0</v>
      </c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</row>
    <row r="208">
      <c r="A208" s="154">
        <v>45896.0</v>
      </c>
      <c r="B208" s="155">
        <v>7480333.0</v>
      </c>
      <c r="C208" s="156" t="s">
        <v>82</v>
      </c>
      <c r="D208" s="156" t="s">
        <v>94</v>
      </c>
      <c r="E208" s="155">
        <v>7480333.0</v>
      </c>
      <c r="F208" s="156" t="s">
        <v>358</v>
      </c>
      <c r="G208" s="154">
        <v>46068.0</v>
      </c>
      <c r="H208" s="157">
        <v>46073.0</v>
      </c>
      <c r="I208" s="158">
        <v>5.0</v>
      </c>
      <c r="J208" s="159" t="s">
        <v>114</v>
      </c>
      <c r="K208" s="156" t="s">
        <v>79</v>
      </c>
      <c r="L208" s="156" t="s">
        <v>96</v>
      </c>
      <c r="M208" s="155">
        <v>2.0</v>
      </c>
      <c r="N208" s="160">
        <v>0.0</v>
      </c>
      <c r="O208" s="161">
        <v>225.35999999999999</v>
      </c>
      <c r="P208" s="161">
        <v>225.35999999999999</v>
      </c>
      <c r="Q208" s="203">
        <v>0.0</v>
      </c>
      <c r="R208" s="162">
        <v>1126.8</v>
      </c>
      <c r="S208" s="162">
        <v>0.0</v>
      </c>
      <c r="T208" s="162">
        <v>1151.8</v>
      </c>
      <c r="U208" s="163" t="s">
        <v>97</v>
      </c>
      <c r="V208" s="154">
        <v>45896.0</v>
      </c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</row>
    <row r="209">
      <c r="A209" s="176">
        <v>46043.0</v>
      </c>
      <c r="B209" s="177">
        <v>8063151.0</v>
      </c>
      <c r="C209" s="178" t="s">
        <v>75</v>
      </c>
      <c r="D209" s="178" t="s">
        <v>94</v>
      </c>
      <c r="E209" s="177">
        <v>8063151.0</v>
      </c>
      <c r="F209" s="178" t="s">
        <v>262</v>
      </c>
      <c r="G209" s="176">
        <v>46068.0</v>
      </c>
      <c r="H209" s="179">
        <v>46080.0</v>
      </c>
      <c r="I209" s="180">
        <v>12.0</v>
      </c>
      <c r="J209" s="181" t="s">
        <v>114</v>
      </c>
      <c r="K209" s="178" t="s">
        <v>79</v>
      </c>
      <c r="L209" s="178" t="s">
        <v>96</v>
      </c>
      <c r="M209" s="182">
        <v>2.0</v>
      </c>
      <c r="N209" s="183">
        <v>0.0</v>
      </c>
      <c r="O209" s="184">
        <v>270.0</v>
      </c>
      <c r="P209" s="184">
        <v>270.0</v>
      </c>
      <c r="Q209" s="185">
        <v>0.0</v>
      </c>
      <c r="R209" s="186">
        <v>3240.0</v>
      </c>
      <c r="S209" s="186">
        <v>0.0</v>
      </c>
      <c r="T209" s="186">
        <v>3300.0</v>
      </c>
      <c r="U209" s="187" t="s">
        <v>360</v>
      </c>
      <c r="V209" s="176">
        <v>46043.0</v>
      </c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</row>
    <row r="210">
      <c r="A210" s="176">
        <v>45852.0</v>
      </c>
      <c r="B210" s="177">
        <v>7276573.0</v>
      </c>
      <c r="C210" s="178" t="s">
        <v>89</v>
      </c>
      <c r="D210" s="178" t="s">
        <v>35</v>
      </c>
      <c r="E210" s="178">
        <v>6.81599317E9</v>
      </c>
      <c r="F210" s="178" t="s">
        <v>361</v>
      </c>
      <c r="G210" s="176">
        <v>46069.0</v>
      </c>
      <c r="H210" s="179">
        <v>46072.0</v>
      </c>
      <c r="I210" s="180">
        <v>3.0</v>
      </c>
      <c r="J210" s="181" t="s">
        <v>78</v>
      </c>
      <c r="K210" s="178" t="s">
        <v>79</v>
      </c>
      <c r="L210" s="178" t="s">
        <v>80</v>
      </c>
      <c r="M210" s="177">
        <v>0.0</v>
      </c>
      <c r="N210" s="183">
        <v>0.0</v>
      </c>
      <c r="O210" s="184">
        <v>0.0</v>
      </c>
      <c r="P210" s="184">
        <v>0.0</v>
      </c>
      <c r="Q210" s="185">
        <v>0.0</v>
      </c>
      <c r="R210" s="186">
        <v>0.0</v>
      </c>
      <c r="S210" s="186">
        <v>0.0</v>
      </c>
      <c r="T210" s="186">
        <v>0.0</v>
      </c>
      <c r="U210" s="187" t="s">
        <v>362</v>
      </c>
      <c r="V210" s="189">
        <v>45902.0</v>
      </c>
      <c r="W210" s="175"/>
      <c r="X210" s="175"/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</row>
    <row r="211">
      <c r="A211" s="165">
        <v>45930.0</v>
      </c>
      <c r="B211" s="166">
        <v>7625424.0</v>
      </c>
      <c r="C211" s="166" t="s">
        <v>82</v>
      </c>
      <c r="D211" s="166" t="s">
        <v>35</v>
      </c>
      <c r="E211" s="166">
        <v>6.998868166E9</v>
      </c>
      <c r="F211" s="166" t="s">
        <v>363</v>
      </c>
      <c r="G211" s="165">
        <v>46070.0</v>
      </c>
      <c r="H211" s="167">
        <v>46074.0</v>
      </c>
      <c r="I211" s="168">
        <v>4.0</v>
      </c>
      <c r="J211" s="169" t="s">
        <v>78</v>
      </c>
      <c r="K211" s="166" t="s">
        <v>79</v>
      </c>
      <c r="L211" s="166" t="s">
        <v>80</v>
      </c>
      <c r="M211" s="166">
        <v>2.0</v>
      </c>
      <c r="N211" s="169">
        <v>0.19999999999999996</v>
      </c>
      <c r="O211" s="171">
        <v>132.14</v>
      </c>
      <c r="P211" s="171">
        <v>105.71199999999999</v>
      </c>
      <c r="Q211" s="169">
        <v>0.0</v>
      </c>
      <c r="R211" s="173">
        <v>422.84799999999996</v>
      </c>
      <c r="S211" s="173">
        <v>0.0</v>
      </c>
      <c r="T211" s="173">
        <v>548.56</v>
      </c>
      <c r="U211" s="201" t="s">
        <v>107</v>
      </c>
      <c r="V211" s="165">
        <v>45930.0</v>
      </c>
      <c r="W211" s="175"/>
      <c r="X211" s="17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</row>
    <row r="212">
      <c r="A212" s="154">
        <v>45943.0</v>
      </c>
      <c r="B212" s="155">
        <v>7680941.0</v>
      </c>
      <c r="C212" s="156" t="s">
        <v>75</v>
      </c>
      <c r="D212" s="156" t="s">
        <v>35</v>
      </c>
      <c r="E212" s="155">
        <v>6.426322228E9</v>
      </c>
      <c r="F212" s="156" t="s">
        <v>364</v>
      </c>
      <c r="G212" s="154">
        <v>46070.0</v>
      </c>
      <c r="H212" s="157">
        <v>46073.0</v>
      </c>
      <c r="I212" s="158">
        <v>3.0</v>
      </c>
      <c r="J212" s="159" t="s">
        <v>111</v>
      </c>
      <c r="K212" s="156" t="s">
        <v>79</v>
      </c>
      <c r="L212" s="156" t="s">
        <v>80</v>
      </c>
      <c r="M212" s="155">
        <v>3.0</v>
      </c>
      <c r="N212" s="160">
        <v>0.19999999999999996</v>
      </c>
      <c r="O212" s="161">
        <v>232.17999999999998</v>
      </c>
      <c r="P212" s="161">
        <v>185.744</v>
      </c>
      <c r="Q212" s="203">
        <v>0.0</v>
      </c>
      <c r="R212" s="162">
        <v>557.232</v>
      </c>
      <c r="S212" s="162">
        <v>0.0</v>
      </c>
      <c r="T212" s="162">
        <v>1256.19</v>
      </c>
      <c r="U212" s="163" t="s">
        <v>366</v>
      </c>
      <c r="V212" s="154">
        <v>45943.0</v>
      </c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</row>
    <row r="213">
      <c r="A213" s="165">
        <v>45943.0</v>
      </c>
      <c r="B213" s="166">
        <v>7680941.0</v>
      </c>
      <c r="C213" s="166" t="s">
        <v>75</v>
      </c>
      <c r="D213" s="166" t="s">
        <v>35</v>
      </c>
      <c r="E213" s="166">
        <v>6.426322228E9</v>
      </c>
      <c r="F213" s="166" t="s">
        <v>364</v>
      </c>
      <c r="G213" s="165">
        <v>46070.0</v>
      </c>
      <c r="H213" s="167">
        <v>46073.0</v>
      </c>
      <c r="I213" s="168">
        <v>3.0</v>
      </c>
      <c r="J213" s="169" t="s">
        <v>78</v>
      </c>
      <c r="K213" s="166" t="s">
        <v>79</v>
      </c>
      <c r="L213" s="166" t="s">
        <v>80</v>
      </c>
      <c r="M213" s="166">
        <v>3.0</v>
      </c>
      <c r="N213" s="170">
        <v>0.19999999999999996</v>
      </c>
      <c r="O213" s="171">
        <v>186.54999999999998</v>
      </c>
      <c r="P213" s="171">
        <v>149.23999999999998</v>
      </c>
      <c r="Q213" s="172">
        <v>0.0</v>
      </c>
      <c r="R213" s="173">
        <v>447.7199999999999</v>
      </c>
      <c r="S213" s="173">
        <v>0.0</v>
      </c>
      <c r="T213" s="173">
        <v>1256.19</v>
      </c>
      <c r="U213" s="174" t="s">
        <v>366</v>
      </c>
      <c r="V213" s="165">
        <v>45943.0</v>
      </c>
      <c r="W213" s="175"/>
      <c r="X213" s="175"/>
      <c r="Y213" s="175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</row>
    <row r="214">
      <c r="A214" s="154">
        <v>45954.0</v>
      </c>
      <c r="B214" s="155">
        <v>7725298.0</v>
      </c>
      <c r="C214" s="156" t="s">
        <v>82</v>
      </c>
      <c r="D214" s="156" t="s">
        <v>35</v>
      </c>
      <c r="E214" s="155">
        <v>5.110038577E9</v>
      </c>
      <c r="F214" s="156" t="s">
        <v>367</v>
      </c>
      <c r="G214" s="154">
        <v>46070.0</v>
      </c>
      <c r="H214" s="157">
        <v>46073.0</v>
      </c>
      <c r="I214" s="158">
        <v>3.0</v>
      </c>
      <c r="J214" s="159" t="s">
        <v>78</v>
      </c>
      <c r="K214" s="156" t="s">
        <v>138</v>
      </c>
      <c r="L214" s="156" t="s">
        <v>80</v>
      </c>
      <c r="M214" s="155">
        <v>3.0</v>
      </c>
      <c r="N214" s="160">
        <v>0.19999999999999996</v>
      </c>
      <c r="O214" s="161">
        <v>128.8</v>
      </c>
      <c r="P214" s="161">
        <v>103.04000000000002</v>
      </c>
      <c r="Q214" s="203">
        <v>54.0</v>
      </c>
      <c r="R214" s="162">
        <v>309.12000000000006</v>
      </c>
      <c r="S214" s="162">
        <v>162.0</v>
      </c>
      <c r="T214" s="162">
        <v>538.5</v>
      </c>
      <c r="U214" s="163" t="s">
        <v>140</v>
      </c>
      <c r="V214" s="154">
        <v>45954.0</v>
      </c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</row>
    <row r="215">
      <c r="A215" s="176">
        <v>45954.0</v>
      </c>
      <c r="B215" s="177">
        <v>7725312.0</v>
      </c>
      <c r="C215" s="178" t="s">
        <v>82</v>
      </c>
      <c r="D215" s="178" t="s">
        <v>35</v>
      </c>
      <c r="E215" s="177">
        <v>5.863730739E9</v>
      </c>
      <c r="F215" s="178" t="s">
        <v>368</v>
      </c>
      <c r="G215" s="176">
        <v>46070.0</v>
      </c>
      <c r="H215" s="179">
        <v>46073.0</v>
      </c>
      <c r="I215" s="180">
        <v>3.0</v>
      </c>
      <c r="J215" s="181" t="s">
        <v>78</v>
      </c>
      <c r="K215" s="178" t="s">
        <v>138</v>
      </c>
      <c r="L215" s="178" t="s">
        <v>80</v>
      </c>
      <c r="M215" s="182">
        <v>3.0</v>
      </c>
      <c r="N215" s="183">
        <v>0.19999999999999996</v>
      </c>
      <c r="O215" s="184">
        <v>153.37</v>
      </c>
      <c r="P215" s="184">
        <v>122.69600000000001</v>
      </c>
      <c r="Q215" s="185">
        <v>54.0</v>
      </c>
      <c r="R215" s="186">
        <v>368.088</v>
      </c>
      <c r="S215" s="186">
        <v>162.0</v>
      </c>
      <c r="T215" s="186">
        <v>612.21</v>
      </c>
      <c r="U215" s="187" t="s">
        <v>140</v>
      </c>
      <c r="V215" s="176">
        <v>45954.0</v>
      </c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</row>
    <row r="216">
      <c r="A216" s="165">
        <v>45956.0</v>
      </c>
      <c r="B216" s="166">
        <v>7732602.0</v>
      </c>
      <c r="C216" s="166" t="s">
        <v>89</v>
      </c>
      <c r="D216" s="166" t="s">
        <v>35</v>
      </c>
      <c r="E216" s="166">
        <v>6.011058325E9</v>
      </c>
      <c r="F216" s="166" t="s">
        <v>370</v>
      </c>
      <c r="G216" s="165">
        <v>46070.0</v>
      </c>
      <c r="H216" s="167">
        <v>46073.0</v>
      </c>
      <c r="I216" s="168">
        <v>3.0</v>
      </c>
      <c r="J216" s="169" t="s">
        <v>78</v>
      </c>
      <c r="K216" s="166" t="s">
        <v>79</v>
      </c>
      <c r="L216" s="166" t="s">
        <v>80</v>
      </c>
      <c r="M216" s="166">
        <v>0.0</v>
      </c>
      <c r="N216" s="170">
        <v>0.0</v>
      </c>
      <c r="O216" s="171">
        <v>0.0</v>
      </c>
      <c r="P216" s="171">
        <v>0.0</v>
      </c>
      <c r="Q216" s="172">
        <v>0.0</v>
      </c>
      <c r="R216" s="173">
        <v>0.0</v>
      </c>
      <c r="S216" s="173">
        <v>0.0</v>
      </c>
      <c r="T216" s="173">
        <v>0.0</v>
      </c>
      <c r="U216" s="174" t="s">
        <v>371</v>
      </c>
      <c r="V216" s="165">
        <v>46066.0</v>
      </c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</row>
    <row r="217">
      <c r="A217" s="176">
        <v>46061.0</v>
      </c>
      <c r="B217" s="177">
        <v>8145963.0</v>
      </c>
      <c r="C217" s="178" t="s">
        <v>82</v>
      </c>
      <c r="D217" s="178" t="s">
        <v>109</v>
      </c>
      <c r="E217" s="177">
        <v>6.26298743E8</v>
      </c>
      <c r="F217" s="178" t="s">
        <v>372</v>
      </c>
      <c r="G217" s="176">
        <v>46070.0</v>
      </c>
      <c r="H217" s="179">
        <v>46071.0</v>
      </c>
      <c r="I217" s="180">
        <v>1.0</v>
      </c>
      <c r="J217" s="181" t="s">
        <v>87</v>
      </c>
      <c r="K217" s="178" t="s">
        <v>79</v>
      </c>
      <c r="L217" s="178" t="s">
        <v>96</v>
      </c>
      <c r="M217" s="182">
        <v>2.0</v>
      </c>
      <c r="N217" s="183">
        <v>0.19999999999999996</v>
      </c>
      <c r="O217" s="184">
        <v>186.15</v>
      </c>
      <c r="P217" s="184">
        <v>148.92000000000002</v>
      </c>
      <c r="Q217" s="185">
        <v>0.0</v>
      </c>
      <c r="R217" s="186">
        <v>148.92000000000002</v>
      </c>
      <c r="S217" s="186">
        <v>0.0</v>
      </c>
      <c r="T217" s="186">
        <v>186.15</v>
      </c>
      <c r="U217" s="187" t="s">
        <v>112</v>
      </c>
      <c r="V217" s="176">
        <v>46061.0</v>
      </c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</row>
    <row r="218">
      <c r="A218" s="176">
        <v>46070.0</v>
      </c>
      <c r="B218" s="177">
        <v>8187019.0</v>
      </c>
      <c r="C218" s="178" t="s">
        <v>82</v>
      </c>
      <c r="D218" s="178" t="s">
        <v>35</v>
      </c>
      <c r="E218" s="177">
        <v>6.638093821E9</v>
      </c>
      <c r="F218" s="178" t="s">
        <v>373</v>
      </c>
      <c r="G218" s="176">
        <v>46070.0</v>
      </c>
      <c r="H218" s="179">
        <v>46072.0</v>
      </c>
      <c r="I218" s="180">
        <v>2.0</v>
      </c>
      <c r="J218" s="181" t="s">
        <v>78</v>
      </c>
      <c r="K218" s="178" t="s">
        <v>79</v>
      </c>
      <c r="L218" s="178" t="s">
        <v>80</v>
      </c>
      <c r="M218" s="182">
        <v>2.0</v>
      </c>
      <c r="N218" s="183">
        <v>0.19999999999999996</v>
      </c>
      <c r="O218" s="184">
        <v>185.81</v>
      </c>
      <c r="P218" s="184">
        <v>148.648</v>
      </c>
      <c r="Q218" s="185">
        <v>0.0</v>
      </c>
      <c r="R218" s="186">
        <v>297.296</v>
      </c>
      <c r="S218" s="186">
        <v>0.0</v>
      </c>
      <c r="T218" s="186">
        <v>381.62</v>
      </c>
      <c r="U218" s="187" t="s">
        <v>183</v>
      </c>
      <c r="V218" s="176">
        <v>46070.0</v>
      </c>
      <c r="W218" s="175"/>
      <c r="X218" s="175"/>
      <c r="Y218" s="175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</row>
    <row r="219">
      <c r="A219" s="176">
        <v>45972.0</v>
      </c>
      <c r="B219" s="177">
        <v>7792536.0</v>
      </c>
      <c r="C219" s="178" t="s">
        <v>82</v>
      </c>
      <c r="D219" s="178" t="s">
        <v>35</v>
      </c>
      <c r="E219" s="177">
        <v>5.38740471E9</v>
      </c>
      <c r="F219" s="178" t="s">
        <v>374</v>
      </c>
      <c r="G219" s="176">
        <v>46071.0</v>
      </c>
      <c r="H219" s="179">
        <v>46075.0</v>
      </c>
      <c r="I219" s="180">
        <v>4.0</v>
      </c>
      <c r="J219" s="181" t="s">
        <v>87</v>
      </c>
      <c r="K219" s="178" t="s">
        <v>79</v>
      </c>
      <c r="L219" s="178" t="s">
        <v>80</v>
      </c>
      <c r="M219" s="182">
        <v>2.0</v>
      </c>
      <c r="N219" s="181">
        <v>0.19999999999999996</v>
      </c>
      <c r="O219" s="184">
        <v>137.09</v>
      </c>
      <c r="P219" s="184">
        <v>109.67200000000001</v>
      </c>
      <c r="Q219" s="181">
        <v>0.0</v>
      </c>
      <c r="R219" s="186">
        <v>438.68800000000005</v>
      </c>
      <c r="S219" s="186">
        <v>0.0</v>
      </c>
      <c r="T219" s="186">
        <v>568.36</v>
      </c>
      <c r="U219" s="187" t="s">
        <v>107</v>
      </c>
      <c r="V219" s="176">
        <v>45972.0</v>
      </c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</row>
    <row r="220">
      <c r="A220" s="176">
        <v>46011.0</v>
      </c>
      <c r="B220" s="177">
        <v>7939392.0</v>
      </c>
      <c r="C220" s="178" t="s">
        <v>82</v>
      </c>
      <c r="D220" s="178" t="s">
        <v>35</v>
      </c>
      <c r="E220" s="177">
        <v>6.827242378E9</v>
      </c>
      <c r="F220" s="178" t="s">
        <v>376</v>
      </c>
      <c r="G220" s="176">
        <v>46071.0</v>
      </c>
      <c r="H220" s="179">
        <v>46075.0</v>
      </c>
      <c r="I220" s="180">
        <v>4.0</v>
      </c>
      <c r="J220" s="181" t="s">
        <v>91</v>
      </c>
      <c r="K220" s="178" t="s">
        <v>79</v>
      </c>
      <c r="L220" s="178" t="s">
        <v>80</v>
      </c>
      <c r="M220" s="182">
        <v>3.0</v>
      </c>
      <c r="N220" s="181">
        <v>0.19999999999999996</v>
      </c>
      <c r="O220" s="184">
        <v>387.44</v>
      </c>
      <c r="P220" s="184">
        <v>309.952</v>
      </c>
      <c r="Q220" s="181">
        <v>0.0</v>
      </c>
      <c r="R220" s="186">
        <v>1239.808</v>
      </c>
      <c r="S220" s="186">
        <v>0.0</v>
      </c>
      <c r="T220" s="186">
        <v>1579.76</v>
      </c>
      <c r="U220" s="187" t="s">
        <v>107</v>
      </c>
      <c r="V220" s="176">
        <v>46011.0</v>
      </c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</row>
    <row r="221">
      <c r="A221" s="176">
        <v>45946.0</v>
      </c>
      <c r="B221" s="177">
        <v>7693301.0</v>
      </c>
      <c r="C221" s="178" t="s">
        <v>75</v>
      </c>
      <c r="D221" s="178" t="s">
        <v>12</v>
      </c>
      <c r="E221" s="177" t="s">
        <v>377</v>
      </c>
      <c r="F221" s="178" t="s">
        <v>378</v>
      </c>
      <c r="G221" s="176">
        <v>46072.0</v>
      </c>
      <c r="H221" s="179">
        <v>46073.0</v>
      </c>
      <c r="I221" s="180">
        <v>1.0</v>
      </c>
      <c r="J221" s="181" t="s">
        <v>379</v>
      </c>
      <c r="K221" s="178" t="s">
        <v>79</v>
      </c>
      <c r="L221" s="178" t="s">
        <v>123</v>
      </c>
      <c r="M221" s="182">
        <v>3.0</v>
      </c>
      <c r="N221" s="183">
        <v>0.09999999999999998</v>
      </c>
      <c r="O221" s="184">
        <v>224.86</v>
      </c>
      <c r="P221" s="184">
        <v>179.88800000000003</v>
      </c>
      <c r="Q221" s="185">
        <v>0.0</v>
      </c>
      <c r="R221" s="186">
        <v>179.88800000000003</v>
      </c>
      <c r="S221" s="186">
        <v>0.0</v>
      </c>
      <c r="T221" s="186" t="s">
        <v>127</v>
      </c>
      <c r="U221" s="187" t="s">
        <v>380</v>
      </c>
      <c r="V221" s="176">
        <v>45946.0</v>
      </c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</row>
    <row r="222">
      <c r="A222" s="154">
        <v>45946.0</v>
      </c>
      <c r="B222" s="155">
        <v>7693312.0</v>
      </c>
      <c r="C222" s="156" t="s">
        <v>89</v>
      </c>
      <c r="D222" s="156" t="s">
        <v>109</v>
      </c>
      <c r="E222" s="155">
        <v>5.89218239E8</v>
      </c>
      <c r="F222" s="156" t="s">
        <v>378</v>
      </c>
      <c r="G222" s="154">
        <v>46072.0</v>
      </c>
      <c r="H222" s="157">
        <v>46073.0</v>
      </c>
      <c r="I222" s="158">
        <v>1.0</v>
      </c>
      <c r="J222" s="159" t="s">
        <v>111</v>
      </c>
      <c r="K222" s="156" t="s">
        <v>79</v>
      </c>
      <c r="L222" s="156" t="s">
        <v>80</v>
      </c>
      <c r="M222" s="155">
        <v>0.0</v>
      </c>
      <c r="N222" s="160">
        <v>0.0</v>
      </c>
      <c r="O222" s="161">
        <v>0.0</v>
      </c>
      <c r="P222" s="161">
        <v>0.0</v>
      </c>
      <c r="Q222" s="203">
        <v>0.0</v>
      </c>
      <c r="R222" s="162">
        <v>0.0</v>
      </c>
      <c r="S222" s="162">
        <v>0.0</v>
      </c>
      <c r="T222" s="162">
        <v>0.0</v>
      </c>
      <c r="U222" s="163" t="s">
        <v>381</v>
      </c>
      <c r="V222" s="154">
        <v>46065.0</v>
      </c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</row>
    <row r="223">
      <c r="A223" s="176">
        <v>45937.0</v>
      </c>
      <c r="B223" s="177">
        <v>7653862.0</v>
      </c>
      <c r="C223" s="178" t="s">
        <v>89</v>
      </c>
      <c r="D223" s="178" t="s">
        <v>35</v>
      </c>
      <c r="E223" s="177">
        <v>6.071604684E9</v>
      </c>
      <c r="F223" s="178" t="s">
        <v>383</v>
      </c>
      <c r="G223" s="176">
        <v>46073.0</v>
      </c>
      <c r="H223" s="179">
        <v>46074.0</v>
      </c>
      <c r="I223" s="180">
        <v>1.0</v>
      </c>
      <c r="J223" s="181" t="s">
        <v>111</v>
      </c>
      <c r="K223" s="178" t="s">
        <v>79</v>
      </c>
      <c r="L223" s="178" t="s">
        <v>80</v>
      </c>
      <c r="M223" s="177">
        <v>0.0</v>
      </c>
      <c r="N223" s="183">
        <v>0.0</v>
      </c>
      <c r="O223" s="184">
        <v>0.0</v>
      </c>
      <c r="P223" s="184">
        <v>0.0</v>
      </c>
      <c r="Q223" s="185">
        <v>0.0</v>
      </c>
      <c r="R223" s="186">
        <v>0.0</v>
      </c>
      <c r="S223" s="186">
        <v>0.0</v>
      </c>
      <c r="T223" s="186">
        <v>0.0</v>
      </c>
      <c r="U223" s="187" t="s">
        <v>384</v>
      </c>
      <c r="V223" s="189">
        <v>46019.0</v>
      </c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</row>
    <row r="224">
      <c r="A224" s="165">
        <v>45948.0</v>
      </c>
      <c r="B224" s="166">
        <v>7700219.0</v>
      </c>
      <c r="C224" s="166" t="s">
        <v>82</v>
      </c>
      <c r="D224" s="166" t="s">
        <v>35</v>
      </c>
      <c r="E224" s="166">
        <v>6.473304827E9</v>
      </c>
      <c r="F224" s="166" t="s">
        <v>385</v>
      </c>
      <c r="G224" s="165">
        <v>46073.0</v>
      </c>
      <c r="H224" s="167">
        <v>46077.0</v>
      </c>
      <c r="I224" s="168">
        <v>4.0</v>
      </c>
      <c r="J224" s="169" t="s">
        <v>78</v>
      </c>
      <c r="K224" s="166" t="s">
        <v>79</v>
      </c>
      <c r="L224" s="166" t="s">
        <v>80</v>
      </c>
      <c r="M224" s="205">
        <v>2.0</v>
      </c>
      <c r="N224" s="170">
        <v>0.19999999999999996</v>
      </c>
      <c r="O224" s="171">
        <v>154.24</v>
      </c>
      <c r="P224" s="171">
        <v>123.39200000000001</v>
      </c>
      <c r="Q224" s="172">
        <v>0.0</v>
      </c>
      <c r="R224" s="173">
        <v>493.56800000000004</v>
      </c>
      <c r="S224" s="173">
        <v>0.0</v>
      </c>
      <c r="T224" s="162">
        <v>636.96</v>
      </c>
      <c r="U224" s="163" t="s">
        <v>161</v>
      </c>
      <c r="V224" s="154">
        <v>45948.0</v>
      </c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</row>
    <row r="225">
      <c r="A225" s="165">
        <v>45953.0</v>
      </c>
      <c r="B225" s="166">
        <v>7721112.0</v>
      </c>
      <c r="C225" s="166" t="s">
        <v>82</v>
      </c>
      <c r="D225" s="166" t="s">
        <v>35</v>
      </c>
      <c r="E225" s="166">
        <v>6.704632052E9</v>
      </c>
      <c r="F225" s="166" t="s">
        <v>386</v>
      </c>
      <c r="G225" s="165">
        <v>46073.0</v>
      </c>
      <c r="H225" s="167">
        <v>46076.0</v>
      </c>
      <c r="I225" s="168">
        <v>3.0</v>
      </c>
      <c r="J225" s="169" t="s">
        <v>78</v>
      </c>
      <c r="K225" s="166" t="s">
        <v>79</v>
      </c>
      <c r="L225" s="166" t="s">
        <v>80</v>
      </c>
      <c r="M225" s="205">
        <v>2.0</v>
      </c>
      <c r="N225" s="170">
        <v>0.19999999999999996</v>
      </c>
      <c r="O225" s="171">
        <v>151.42</v>
      </c>
      <c r="P225" s="171">
        <v>121.136</v>
      </c>
      <c r="Q225" s="172">
        <v>0.0</v>
      </c>
      <c r="R225" s="173">
        <v>363.408</v>
      </c>
      <c r="S225" s="173">
        <v>0.0</v>
      </c>
      <c r="T225" s="173">
        <v>469.26</v>
      </c>
      <c r="U225" s="174" t="s">
        <v>107</v>
      </c>
      <c r="V225" s="165">
        <v>45953.0</v>
      </c>
      <c r="W225" s="221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</row>
    <row r="226">
      <c r="A226" s="165">
        <v>45965.0</v>
      </c>
      <c r="B226" s="166">
        <v>7766426.0</v>
      </c>
      <c r="C226" s="166" t="s">
        <v>82</v>
      </c>
      <c r="D226" s="166" t="s">
        <v>35</v>
      </c>
      <c r="E226" s="166">
        <v>6.425715484E9</v>
      </c>
      <c r="F226" s="166" t="s">
        <v>387</v>
      </c>
      <c r="G226" s="165">
        <v>46073.0</v>
      </c>
      <c r="H226" s="167">
        <v>46076.0</v>
      </c>
      <c r="I226" s="168">
        <v>3.0</v>
      </c>
      <c r="J226" s="169" t="s">
        <v>78</v>
      </c>
      <c r="K226" s="166" t="s">
        <v>79</v>
      </c>
      <c r="L226" s="166" t="s">
        <v>80</v>
      </c>
      <c r="M226" s="205">
        <v>2.0</v>
      </c>
      <c r="N226" s="170">
        <v>0.19999999999999996</v>
      </c>
      <c r="O226" s="171">
        <v>234.42999999999998</v>
      </c>
      <c r="P226" s="171">
        <v>187.54399999999998</v>
      </c>
      <c r="Q226" s="172">
        <v>0.0</v>
      </c>
      <c r="R226" s="173">
        <v>562.632</v>
      </c>
      <c r="S226" s="173">
        <v>0.0</v>
      </c>
      <c r="T226" s="173">
        <v>718.29</v>
      </c>
      <c r="U226" s="201" t="s">
        <v>353</v>
      </c>
      <c r="V226" s="165">
        <v>45965.0</v>
      </c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</row>
    <row r="227">
      <c r="A227" s="154">
        <v>45967.0</v>
      </c>
      <c r="B227" s="155">
        <v>7776006.0</v>
      </c>
      <c r="C227" s="156" t="s">
        <v>89</v>
      </c>
      <c r="D227" s="156" t="s">
        <v>35</v>
      </c>
      <c r="E227" s="155">
        <v>6.636273864E9</v>
      </c>
      <c r="F227" s="156" t="s">
        <v>389</v>
      </c>
      <c r="G227" s="154">
        <v>46073.0</v>
      </c>
      <c r="H227" s="157">
        <v>46075.0</v>
      </c>
      <c r="I227" s="158">
        <v>2.0</v>
      </c>
      <c r="J227" s="159" t="s">
        <v>87</v>
      </c>
      <c r="K227" s="156" t="s">
        <v>79</v>
      </c>
      <c r="L227" s="156" t="s">
        <v>80</v>
      </c>
      <c r="M227" s="155">
        <v>0.0</v>
      </c>
      <c r="N227" s="160">
        <v>0.0</v>
      </c>
      <c r="O227" s="161">
        <v>0.0</v>
      </c>
      <c r="P227" s="161">
        <v>0.0</v>
      </c>
      <c r="Q227" s="203">
        <v>0.0</v>
      </c>
      <c r="R227" s="162">
        <v>0.0</v>
      </c>
      <c r="S227" s="162">
        <v>0.0</v>
      </c>
      <c r="T227" s="162">
        <v>0.0</v>
      </c>
      <c r="U227" s="163" t="s">
        <v>390</v>
      </c>
      <c r="V227" s="154">
        <v>45970.0</v>
      </c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</row>
    <row r="228">
      <c r="A228" s="176">
        <v>45967.0</v>
      </c>
      <c r="B228" s="177">
        <v>7776006.0</v>
      </c>
      <c r="C228" s="178" t="s">
        <v>89</v>
      </c>
      <c r="D228" s="178" t="s">
        <v>35</v>
      </c>
      <c r="E228" s="177">
        <v>6.636273864E9</v>
      </c>
      <c r="F228" s="178" t="s">
        <v>389</v>
      </c>
      <c r="G228" s="176">
        <v>46073.0</v>
      </c>
      <c r="H228" s="179">
        <v>46075.0</v>
      </c>
      <c r="I228" s="180">
        <v>2.0</v>
      </c>
      <c r="J228" s="181" t="s">
        <v>78</v>
      </c>
      <c r="K228" s="178" t="s">
        <v>79</v>
      </c>
      <c r="L228" s="178" t="s">
        <v>80</v>
      </c>
      <c r="M228" s="182">
        <v>0.0</v>
      </c>
      <c r="N228" s="183">
        <v>0.0</v>
      </c>
      <c r="O228" s="184">
        <v>0.0</v>
      </c>
      <c r="P228" s="184">
        <v>0.0</v>
      </c>
      <c r="Q228" s="185">
        <v>0.0</v>
      </c>
      <c r="R228" s="186">
        <v>0.0</v>
      </c>
      <c r="S228" s="186">
        <v>0.0</v>
      </c>
      <c r="T228" s="186">
        <v>0.0</v>
      </c>
      <c r="U228" s="187" t="s">
        <v>390</v>
      </c>
      <c r="V228" s="176">
        <v>45970.0</v>
      </c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</row>
    <row r="229">
      <c r="A229" s="176">
        <v>45992.0</v>
      </c>
      <c r="B229" s="177">
        <v>7871523.0</v>
      </c>
      <c r="C229" s="178" t="s">
        <v>82</v>
      </c>
      <c r="D229" s="178" t="s">
        <v>35</v>
      </c>
      <c r="E229" s="177">
        <v>5.607022589E9</v>
      </c>
      <c r="F229" s="178" t="s">
        <v>391</v>
      </c>
      <c r="G229" s="176">
        <v>46073.0</v>
      </c>
      <c r="H229" s="179">
        <v>46075.0</v>
      </c>
      <c r="I229" s="180">
        <v>2.0</v>
      </c>
      <c r="J229" s="181" t="s">
        <v>78</v>
      </c>
      <c r="K229" s="178" t="s">
        <v>79</v>
      </c>
      <c r="L229" s="178" t="s">
        <v>80</v>
      </c>
      <c r="M229" s="182">
        <v>2.0</v>
      </c>
      <c r="N229" s="183">
        <v>0.19999999999999996</v>
      </c>
      <c r="O229" s="184">
        <v>166.09</v>
      </c>
      <c r="P229" s="184">
        <v>132.872</v>
      </c>
      <c r="Q229" s="185">
        <v>0.0</v>
      </c>
      <c r="R229" s="186">
        <v>265.744</v>
      </c>
      <c r="S229" s="186">
        <v>0.0</v>
      </c>
      <c r="T229" s="186">
        <v>342.18</v>
      </c>
      <c r="U229" s="187" t="s">
        <v>107</v>
      </c>
      <c r="V229" s="176">
        <v>45992.0</v>
      </c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</row>
    <row r="230">
      <c r="A230" s="165">
        <v>45917.0</v>
      </c>
      <c r="B230" s="166">
        <v>7572950.0</v>
      </c>
      <c r="C230" s="166" t="s">
        <v>82</v>
      </c>
      <c r="D230" s="166" t="s">
        <v>12</v>
      </c>
      <c r="E230" s="166" t="s">
        <v>392</v>
      </c>
      <c r="F230" s="166" t="s">
        <v>393</v>
      </c>
      <c r="G230" s="165">
        <v>46073.0</v>
      </c>
      <c r="H230" s="167">
        <v>46077.0</v>
      </c>
      <c r="I230" s="168">
        <v>4.0</v>
      </c>
      <c r="J230" s="169" t="s">
        <v>87</v>
      </c>
      <c r="K230" s="166" t="s">
        <v>79</v>
      </c>
      <c r="L230" s="166" t="s">
        <v>123</v>
      </c>
      <c r="M230" s="166">
        <v>3.0</v>
      </c>
      <c r="N230" s="170">
        <v>0.09999999999999998</v>
      </c>
      <c r="O230" s="171">
        <v>202.82</v>
      </c>
      <c r="P230" s="171">
        <v>162.256</v>
      </c>
      <c r="Q230" s="172">
        <v>0.0</v>
      </c>
      <c r="R230" s="173">
        <v>649.024</v>
      </c>
      <c r="S230" s="173">
        <v>0.0</v>
      </c>
      <c r="T230" s="173" t="s">
        <v>127</v>
      </c>
      <c r="U230" s="174" t="s">
        <v>394</v>
      </c>
      <c r="V230" s="165">
        <v>45917.0</v>
      </c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</row>
    <row r="231">
      <c r="A231" s="165">
        <v>46009.0</v>
      </c>
      <c r="B231" s="166">
        <v>7931969.0</v>
      </c>
      <c r="C231" s="166" t="s">
        <v>89</v>
      </c>
      <c r="D231" s="166" t="s">
        <v>35</v>
      </c>
      <c r="E231" s="166">
        <v>6.788254095E9</v>
      </c>
      <c r="F231" s="166" t="s">
        <v>395</v>
      </c>
      <c r="G231" s="165">
        <v>46073.0</v>
      </c>
      <c r="H231" s="167">
        <v>46074.0</v>
      </c>
      <c r="I231" s="168">
        <v>1.0</v>
      </c>
      <c r="J231" s="169" t="s">
        <v>111</v>
      </c>
      <c r="K231" s="166" t="s">
        <v>79</v>
      </c>
      <c r="L231" s="166" t="s">
        <v>80</v>
      </c>
      <c r="M231" s="166">
        <v>0.0</v>
      </c>
      <c r="N231" s="170">
        <v>0.0</v>
      </c>
      <c r="O231" s="171">
        <v>0.0</v>
      </c>
      <c r="P231" s="171">
        <v>0.0</v>
      </c>
      <c r="Q231" s="172">
        <v>0.0</v>
      </c>
      <c r="R231" s="173">
        <v>0.0</v>
      </c>
      <c r="S231" s="173">
        <v>0.0</v>
      </c>
      <c r="T231" s="173">
        <v>0.0</v>
      </c>
      <c r="U231" s="174" t="s">
        <v>397</v>
      </c>
      <c r="V231" s="165">
        <v>46063.0</v>
      </c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</row>
    <row r="232">
      <c r="A232" s="165">
        <v>46062.0</v>
      </c>
      <c r="B232" s="166">
        <v>8149031.0</v>
      </c>
      <c r="C232" s="166" t="s">
        <v>82</v>
      </c>
      <c r="D232" s="166" t="s">
        <v>35</v>
      </c>
      <c r="E232" s="166">
        <v>5.104424451E9</v>
      </c>
      <c r="F232" s="166" t="s">
        <v>383</v>
      </c>
      <c r="G232" s="165">
        <v>46073.0</v>
      </c>
      <c r="H232" s="167">
        <v>46074.0</v>
      </c>
      <c r="I232" s="168">
        <v>1.0</v>
      </c>
      <c r="J232" s="169" t="s">
        <v>111</v>
      </c>
      <c r="K232" s="166" t="s">
        <v>79</v>
      </c>
      <c r="L232" s="166" t="s">
        <v>80</v>
      </c>
      <c r="M232" s="205">
        <v>3.0</v>
      </c>
      <c r="N232" s="170">
        <v>0.19999999999999996</v>
      </c>
      <c r="O232" s="171">
        <v>214.38</v>
      </c>
      <c r="P232" s="171">
        <v>171.50400000000002</v>
      </c>
      <c r="Q232" s="172">
        <v>0.0</v>
      </c>
      <c r="R232" s="173">
        <v>171.50400000000002</v>
      </c>
      <c r="S232" s="173">
        <v>0.0</v>
      </c>
      <c r="T232" s="173">
        <v>221.88</v>
      </c>
      <c r="U232" s="174" t="s">
        <v>183</v>
      </c>
      <c r="V232" s="165">
        <v>46062.0</v>
      </c>
      <c r="W232" s="175"/>
      <c r="X232" s="175"/>
      <c r="Y232" s="175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</row>
    <row r="233">
      <c r="A233" s="176">
        <v>46067.0</v>
      </c>
      <c r="B233" s="177">
        <v>8172403.0</v>
      </c>
      <c r="C233" s="178" t="s">
        <v>82</v>
      </c>
      <c r="D233" s="178" t="s">
        <v>35</v>
      </c>
      <c r="E233" s="177">
        <v>5.540869351E9</v>
      </c>
      <c r="F233" s="178" t="s">
        <v>398</v>
      </c>
      <c r="G233" s="176">
        <v>46073.0</v>
      </c>
      <c r="H233" s="179">
        <v>46074.0</v>
      </c>
      <c r="I233" s="180">
        <v>1.0</v>
      </c>
      <c r="J233" s="181" t="s">
        <v>111</v>
      </c>
      <c r="K233" s="178" t="s">
        <v>79</v>
      </c>
      <c r="L233" s="178" t="s">
        <v>80</v>
      </c>
      <c r="M233" s="182">
        <v>1.0</v>
      </c>
      <c r="N233" s="183">
        <v>0.19999999999999996</v>
      </c>
      <c r="O233" s="184">
        <v>211.38</v>
      </c>
      <c r="P233" s="184">
        <v>169.104</v>
      </c>
      <c r="Q233" s="185">
        <v>0.0</v>
      </c>
      <c r="R233" s="186">
        <v>169.104</v>
      </c>
      <c r="S233" s="186">
        <v>0.0</v>
      </c>
      <c r="T233" s="162">
        <v>213.88</v>
      </c>
      <c r="U233" s="163" t="s">
        <v>183</v>
      </c>
      <c r="V233" s="154">
        <v>46067.0</v>
      </c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</row>
    <row r="234">
      <c r="A234" s="165">
        <v>45946.0</v>
      </c>
      <c r="B234" s="166">
        <v>7693309.0</v>
      </c>
      <c r="C234" s="166" t="s">
        <v>75</v>
      </c>
      <c r="D234" s="166" t="s">
        <v>12</v>
      </c>
      <c r="E234" s="166" t="s">
        <v>399</v>
      </c>
      <c r="F234" s="166" t="s">
        <v>378</v>
      </c>
      <c r="G234" s="165">
        <v>46074.0</v>
      </c>
      <c r="H234" s="167">
        <v>46075.0</v>
      </c>
      <c r="I234" s="168">
        <v>1.0</v>
      </c>
      <c r="J234" s="169" t="s">
        <v>379</v>
      </c>
      <c r="K234" s="166" t="s">
        <v>79</v>
      </c>
      <c r="L234" s="166" t="s">
        <v>123</v>
      </c>
      <c r="M234" s="166">
        <v>3.0</v>
      </c>
      <c r="N234" s="170">
        <v>0.09999999999999998</v>
      </c>
      <c r="O234" s="171">
        <v>224.86</v>
      </c>
      <c r="P234" s="171">
        <v>179.88800000000003</v>
      </c>
      <c r="Q234" s="172">
        <v>0.0</v>
      </c>
      <c r="R234" s="173">
        <v>179.88800000000003</v>
      </c>
      <c r="S234" s="173">
        <v>0.0</v>
      </c>
      <c r="T234" s="173" t="s">
        <v>127</v>
      </c>
      <c r="U234" s="174" t="s">
        <v>400</v>
      </c>
      <c r="V234" s="165">
        <v>45946.0</v>
      </c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</row>
    <row r="235">
      <c r="A235" s="154">
        <v>45946.0</v>
      </c>
      <c r="B235" s="155">
        <v>7693313.0</v>
      </c>
      <c r="C235" s="156" t="s">
        <v>82</v>
      </c>
      <c r="D235" s="156" t="s">
        <v>109</v>
      </c>
      <c r="E235" s="155">
        <v>5.89218691E8</v>
      </c>
      <c r="F235" s="156" t="s">
        <v>378</v>
      </c>
      <c r="G235" s="154">
        <v>46074.0</v>
      </c>
      <c r="H235" s="157">
        <v>46075.0</v>
      </c>
      <c r="I235" s="158">
        <v>1.0</v>
      </c>
      <c r="J235" s="159" t="s">
        <v>111</v>
      </c>
      <c r="K235" s="156" t="s">
        <v>79</v>
      </c>
      <c r="L235" s="156" t="s">
        <v>80</v>
      </c>
      <c r="M235" s="155">
        <v>2.0</v>
      </c>
      <c r="N235" s="160">
        <v>0.19999999999999996</v>
      </c>
      <c r="O235" s="161">
        <v>260.25</v>
      </c>
      <c r="P235" s="161">
        <v>208.20000000000002</v>
      </c>
      <c r="Q235" s="203">
        <v>0.0</v>
      </c>
      <c r="R235" s="162">
        <v>208.20000000000002</v>
      </c>
      <c r="S235" s="162">
        <v>0.0</v>
      </c>
      <c r="T235" s="162">
        <v>260.25</v>
      </c>
      <c r="U235" s="163" t="s">
        <v>402</v>
      </c>
      <c r="V235" s="215">
        <v>45946.0</v>
      </c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</row>
    <row r="236">
      <c r="A236" s="165">
        <v>46009.0</v>
      </c>
      <c r="B236" s="166">
        <v>7934390.0</v>
      </c>
      <c r="C236" s="166" t="s">
        <v>89</v>
      </c>
      <c r="D236" s="166" t="s">
        <v>35</v>
      </c>
      <c r="E236" s="166">
        <v>5.230634802E9</v>
      </c>
      <c r="F236" s="166" t="s">
        <v>403</v>
      </c>
      <c r="G236" s="165">
        <v>46074.0</v>
      </c>
      <c r="H236" s="167">
        <v>46077.0</v>
      </c>
      <c r="I236" s="168">
        <v>3.0</v>
      </c>
      <c r="J236" s="169" t="s">
        <v>78</v>
      </c>
      <c r="K236" s="166" t="s">
        <v>79</v>
      </c>
      <c r="L236" s="166" t="s">
        <v>80</v>
      </c>
      <c r="M236" s="166">
        <v>0.0</v>
      </c>
      <c r="N236" s="170">
        <v>0.0</v>
      </c>
      <c r="O236" s="171">
        <v>0.0</v>
      </c>
      <c r="P236" s="171">
        <v>0.0</v>
      </c>
      <c r="Q236" s="172">
        <v>0.0</v>
      </c>
      <c r="R236" s="173">
        <v>0.0</v>
      </c>
      <c r="S236" s="173">
        <v>0.0</v>
      </c>
      <c r="T236" s="173">
        <v>0.0</v>
      </c>
      <c r="U236" s="174" t="s">
        <v>404</v>
      </c>
      <c r="V236" s="207">
        <v>46057.0</v>
      </c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</row>
    <row r="237">
      <c r="A237" s="176">
        <v>45851.0</v>
      </c>
      <c r="B237" s="177">
        <v>7272731.0</v>
      </c>
      <c r="C237" s="178" t="s">
        <v>75</v>
      </c>
      <c r="D237" s="178" t="s">
        <v>35</v>
      </c>
      <c r="E237" s="177">
        <v>5.427327358E9</v>
      </c>
      <c r="F237" s="178" t="s">
        <v>405</v>
      </c>
      <c r="G237" s="176">
        <v>46075.0</v>
      </c>
      <c r="H237" s="179">
        <v>46079.0</v>
      </c>
      <c r="I237" s="180">
        <v>4.0</v>
      </c>
      <c r="J237" s="181" t="s">
        <v>87</v>
      </c>
      <c r="K237" s="178" t="s">
        <v>79</v>
      </c>
      <c r="L237" s="178" t="s">
        <v>80</v>
      </c>
      <c r="M237" s="182">
        <v>2.0</v>
      </c>
      <c r="N237" s="183">
        <v>0.19999999999999996</v>
      </c>
      <c r="O237" s="184">
        <v>128.54</v>
      </c>
      <c r="P237" s="184">
        <v>102.832</v>
      </c>
      <c r="Q237" s="185">
        <v>0.0</v>
      </c>
      <c r="R237" s="186">
        <v>411.328</v>
      </c>
      <c r="S237" s="186">
        <v>0.0</v>
      </c>
      <c r="T237" s="186">
        <v>534.16</v>
      </c>
      <c r="U237" s="187" t="s">
        <v>406</v>
      </c>
      <c r="V237" s="176">
        <v>45851.0</v>
      </c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</row>
    <row r="238">
      <c r="A238" s="165">
        <v>45949.0</v>
      </c>
      <c r="B238" s="166">
        <v>7703870.0</v>
      </c>
      <c r="C238" s="166" t="s">
        <v>82</v>
      </c>
      <c r="D238" s="166" t="s">
        <v>35</v>
      </c>
      <c r="E238" s="166">
        <v>5.075083714E9</v>
      </c>
      <c r="F238" s="166" t="s">
        <v>407</v>
      </c>
      <c r="G238" s="165">
        <v>46075.0</v>
      </c>
      <c r="H238" s="167">
        <v>46079.0</v>
      </c>
      <c r="I238" s="168">
        <v>4.0</v>
      </c>
      <c r="J238" s="169" t="s">
        <v>78</v>
      </c>
      <c r="K238" s="166" t="s">
        <v>79</v>
      </c>
      <c r="L238" s="166" t="s">
        <v>80</v>
      </c>
      <c r="M238" s="166">
        <v>2.0</v>
      </c>
      <c r="N238" s="170">
        <v>0.19999999999999996</v>
      </c>
      <c r="O238" s="171">
        <v>137.99</v>
      </c>
      <c r="P238" s="171">
        <v>110.39200000000001</v>
      </c>
      <c r="Q238" s="172">
        <v>0.0</v>
      </c>
      <c r="R238" s="173">
        <v>441.56800000000004</v>
      </c>
      <c r="S238" s="173">
        <v>0.0</v>
      </c>
      <c r="T238" s="173">
        <v>571.96</v>
      </c>
      <c r="U238" s="174" t="s">
        <v>107</v>
      </c>
      <c r="V238" s="165">
        <v>45949.0</v>
      </c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</row>
    <row r="239">
      <c r="A239" s="176">
        <v>46041.0</v>
      </c>
      <c r="B239" s="166">
        <v>8056567.0</v>
      </c>
      <c r="C239" s="166" t="s">
        <v>82</v>
      </c>
      <c r="D239" s="166" t="s">
        <v>35</v>
      </c>
      <c r="E239" s="166">
        <v>5.295498537E9</v>
      </c>
      <c r="F239" s="166" t="s">
        <v>408</v>
      </c>
      <c r="G239" s="165">
        <v>46075.0</v>
      </c>
      <c r="H239" s="167">
        <v>46079.0</v>
      </c>
      <c r="I239" s="168">
        <v>4.0</v>
      </c>
      <c r="J239" s="169" t="s">
        <v>91</v>
      </c>
      <c r="K239" s="166" t="s">
        <v>79</v>
      </c>
      <c r="L239" s="166" t="s">
        <v>80</v>
      </c>
      <c r="M239" s="166">
        <v>4.0</v>
      </c>
      <c r="N239" s="170">
        <v>0.19999999999999996</v>
      </c>
      <c r="O239" s="171">
        <v>461.65</v>
      </c>
      <c r="P239" s="171">
        <v>369.32</v>
      </c>
      <c r="Q239" s="172">
        <v>0.0</v>
      </c>
      <c r="R239" s="173">
        <v>1477.28</v>
      </c>
      <c r="S239" s="173">
        <v>0.0</v>
      </c>
      <c r="T239" s="173">
        <v>1886.6</v>
      </c>
      <c r="U239" s="174" t="s">
        <v>88</v>
      </c>
      <c r="V239" s="165">
        <v>46041.0</v>
      </c>
      <c r="W239" s="175"/>
      <c r="X239" s="175"/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75"/>
      <c r="AI239" s="175"/>
    </row>
    <row r="240">
      <c r="A240" s="165">
        <v>46057.0</v>
      </c>
      <c r="B240" s="166">
        <v>8128046.0</v>
      </c>
      <c r="C240" s="166" t="s">
        <v>82</v>
      </c>
      <c r="D240" s="166" t="s">
        <v>35</v>
      </c>
      <c r="E240" s="166">
        <v>5.701894766E9</v>
      </c>
      <c r="F240" s="166" t="s">
        <v>410</v>
      </c>
      <c r="G240" s="165">
        <v>46075.0</v>
      </c>
      <c r="H240" s="167">
        <v>46079.0</v>
      </c>
      <c r="I240" s="168">
        <v>4.0</v>
      </c>
      <c r="J240" s="169" t="s">
        <v>78</v>
      </c>
      <c r="K240" s="166" t="s">
        <v>138</v>
      </c>
      <c r="L240" s="166" t="s">
        <v>80</v>
      </c>
      <c r="M240" s="205">
        <v>2.0</v>
      </c>
      <c r="N240" s="170">
        <v>0.19999999999999996</v>
      </c>
      <c r="O240" s="171">
        <v>231.26</v>
      </c>
      <c r="P240" s="171">
        <v>185.008</v>
      </c>
      <c r="Q240" s="172">
        <v>36.0</v>
      </c>
      <c r="R240" s="173">
        <v>740.032</v>
      </c>
      <c r="S240" s="173">
        <v>144.0</v>
      </c>
      <c r="T240" s="173">
        <v>1060.24</v>
      </c>
      <c r="U240" s="201" t="s">
        <v>411</v>
      </c>
      <c r="V240" s="165">
        <v>46057.0</v>
      </c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</row>
    <row r="241">
      <c r="A241" s="154">
        <v>45789.0</v>
      </c>
      <c r="B241" s="155">
        <v>7011291.0</v>
      </c>
      <c r="C241" s="156" t="s">
        <v>89</v>
      </c>
      <c r="D241" s="156" t="s">
        <v>35</v>
      </c>
      <c r="E241" s="155">
        <v>4.791651356E9</v>
      </c>
      <c r="F241" s="156" t="s">
        <v>412</v>
      </c>
      <c r="G241" s="154">
        <v>46076.0</v>
      </c>
      <c r="H241" s="157">
        <v>46080.0</v>
      </c>
      <c r="I241" s="158">
        <v>4.0</v>
      </c>
      <c r="J241" s="159" t="s">
        <v>78</v>
      </c>
      <c r="K241" s="156" t="s">
        <v>79</v>
      </c>
      <c r="L241" s="156" t="s">
        <v>80</v>
      </c>
      <c r="M241" s="155">
        <v>0.0</v>
      </c>
      <c r="N241" s="160">
        <v>0.0</v>
      </c>
      <c r="O241" s="161">
        <v>0.0</v>
      </c>
      <c r="P241" s="161">
        <v>0.0</v>
      </c>
      <c r="Q241" s="203">
        <v>0.0</v>
      </c>
      <c r="R241" s="162">
        <v>0.0</v>
      </c>
      <c r="S241" s="162">
        <v>0.0</v>
      </c>
      <c r="T241" s="162">
        <v>0.0</v>
      </c>
      <c r="U241" s="163" t="s">
        <v>413</v>
      </c>
      <c r="V241" s="154">
        <v>45898.0</v>
      </c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</row>
    <row r="242">
      <c r="A242" s="165">
        <v>46031.0</v>
      </c>
      <c r="B242" s="166">
        <v>8013768.0</v>
      </c>
      <c r="C242" s="166" t="s">
        <v>82</v>
      </c>
      <c r="D242" s="166" t="s">
        <v>35</v>
      </c>
      <c r="E242" s="166">
        <v>6.835960633E9</v>
      </c>
      <c r="F242" s="166" t="s">
        <v>414</v>
      </c>
      <c r="G242" s="165">
        <v>46076.0</v>
      </c>
      <c r="H242" s="167">
        <v>46077.0</v>
      </c>
      <c r="I242" s="168">
        <v>1.0</v>
      </c>
      <c r="J242" s="169" t="s">
        <v>78</v>
      </c>
      <c r="K242" s="166" t="s">
        <v>79</v>
      </c>
      <c r="L242" s="166" t="s">
        <v>80</v>
      </c>
      <c r="M242" s="166">
        <v>3.0</v>
      </c>
      <c r="N242" s="170">
        <v>0.19999999999999996</v>
      </c>
      <c r="O242" s="171">
        <v>221.11</v>
      </c>
      <c r="P242" s="171">
        <v>176.88800000000003</v>
      </c>
      <c r="Q242" s="172">
        <v>0.0</v>
      </c>
      <c r="R242" s="173">
        <v>176.88800000000003</v>
      </c>
      <c r="S242" s="173">
        <v>0.0</v>
      </c>
      <c r="T242" s="173">
        <v>228.61</v>
      </c>
      <c r="U242" s="201" t="s">
        <v>316</v>
      </c>
      <c r="V242" s="165">
        <v>46031.0</v>
      </c>
      <c r="W242" s="175"/>
      <c r="X242" s="175"/>
      <c r="Y242" s="175"/>
      <c r="Z242" s="175"/>
      <c r="AA242" s="175"/>
      <c r="AB242" s="175"/>
      <c r="AC242" s="175"/>
      <c r="AD242" s="175"/>
      <c r="AE242" s="175"/>
      <c r="AF242" s="175"/>
      <c r="AG242" s="175"/>
      <c r="AH242" s="175"/>
      <c r="AI242" s="175"/>
    </row>
    <row r="243">
      <c r="A243" s="165">
        <v>46037.0</v>
      </c>
      <c r="B243" s="166">
        <v>8035373.0</v>
      </c>
      <c r="C243" s="166" t="s">
        <v>82</v>
      </c>
      <c r="D243" s="166" t="s">
        <v>35</v>
      </c>
      <c r="E243" s="166">
        <v>5.52582826E9</v>
      </c>
      <c r="F243" s="166" t="s">
        <v>415</v>
      </c>
      <c r="G243" s="165">
        <v>46076.0</v>
      </c>
      <c r="H243" s="167">
        <v>46079.0</v>
      </c>
      <c r="I243" s="168">
        <v>3.0</v>
      </c>
      <c r="J243" s="169" t="s">
        <v>78</v>
      </c>
      <c r="K243" s="166" t="s">
        <v>79</v>
      </c>
      <c r="L243" s="166" t="s">
        <v>80</v>
      </c>
      <c r="M243" s="166">
        <v>2.0</v>
      </c>
      <c r="N243" s="169">
        <v>0.19999999999999996</v>
      </c>
      <c r="O243" s="171">
        <v>191.44000000000003</v>
      </c>
      <c r="P243" s="171">
        <v>153.15200000000002</v>
      </c>
      <c r="Q243" s="169">
        <v>0.0</v>
      </c>
      <c r="R243" s="173">
        <v>459.456</v>
      </c>
      <c r="S243" s="173">
        <v>0.0</v>
      </c>
      <c r="T243" s="173">
        <v>574.32</v>
      </c>
      <c r="U243" s="201" t="s">
        <v>88</v>
      </c>
      <c r="V243" s="208">
        <v>46037.0</v>
      </c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</row>
    <row r="244">
      <c r="A244" s="165">
        <v>46052.0</v>
      </c>
      <c r="B244" s="166">
        <v>8101483.0</v>
      </c>
      <c r="C244" s="166" t="s">
        <v>82</v>
      </c>
      <c r="D244" s="166" t="s">
        <v>36</v>
      </c>
      <c r="E244" s="166">
        <v>8101483.0</v>
      </c>
      <c r="F244" s="166" t="s">
        <v>416</v>
      </c>
      <c r="G244" s="165">
        <v>46076.0</v>
      </c>
      <c r="H244" s="167">
        <v>46077.0</v>
      </c>
      <c r="I244" s="168">
        <v>1.0</v>
      </c>
      <c r="J244" s="169" t="s">
        <v>111</v>
      </c>
      <c r="K244" s="166" t="s">
        <v>79</v>
      </c>
      <c r="L244" s="166" t="s">
        <v>96</v>
      </c>
      <c r="M244" s="166">
        <v>2.0</v>
      </c>
      <c r="N244" s="170">
        <v>0.0</v>
      </c>
      <c r="O244" s="171">
        <v>243.95</v>
      </c>
      <c r="P244" s="171">
        <v>241.51049999999998</v>
      </c>
      <c r="Q244" s="172">
        <v>0.0</v>
      </c>
      <c r="R244" s="173">
        <v>241.51049999999998</v>
      </c>
      <c r="S244" s="173">
        <v>0.0</v>
      </c>
      <c r="T244" s="173">
        <v>248.95</v>
      </c>
      <c r="U244" s="201" t="s">
        <v>97</v>
      </c>
      <c r="V244" s="207">
        <v>46052.0</v>
      </c>
      <c r="W244" s="175"/>
      <c r="X244" s="175"/>
      <c r="Y244" s="175"/>
      <c r="Z244" s="175"/>
      <c r="AA244" s="175"/>
      <c r="AB244" s="175"/>
      <c r="AC244" s="175"/>
      <c r="AD244" s="175"/>
      <c r="AE244" s="175"/>
      <c r="AF244" s="175"/>
      <c r="AG244" s="175"/>
      <c r="AH244" s="175"/>
      <c r="AI244" s="175"/>
    </row>
    <row r="245">
      <c r="A245" s="176">
        <v>46028.0</v>
      </c>
      <c r="B245" s="177">
        <v>8000885.0</v>
      </c>
      <c r="C245" s="178" t="s">
        <v>75</v>
      </c>
      <c r="D245" s="178" t="s">
        <v>35</v>
      </c>
      <c r="E245" s="177">
        <v>5.436311722E9</v>
      </c>
      <c r="F245" s="178" t="s">
        <v>418</v>
      </c>
      <c r="G245" s="176">
        <v>46077.0</v>
      </c>
      <c r="H245" s="179">
        <v>46082.0</v>
      </c>
      <c r="I245" s="180">
        <v>5.0</v>
      </c>
      <c r="J245" s="181" t="s">
        <v>111</v>
      </c>
      <c r="K245" s="178" t="s">
        <v>79</v>
      </c>
      <c r="L245" s="178" t="s">
        <v>80</v>
      </c>
      <c r="M245" s="182">
        <v>3.0</v>
      </c>
      <c r="N245" s="183">
        <v>0.19999999999999996</v>
      </c>
      <c r="O245" s="184">
        <v>209.78000000000003</v>
      </c>
      <c r="P245" s="184">
        <v>167.82400000000004</v>
      </c>
      <c r="Q245" s="185">
        <v>0.0</v>
      </c>
      <c r="R245" s="186">
        <v>839.1200000000002</v>
      </c>
      <c r="S245" s="186">
        <v>0.0</v>
      </c>
      <c r="T245" s="186">
        <v>1086.4</v>
      </c>
      <c r="U245" s="187" t="s">
        <v>419</v>
      </c>
      <c r="V245" s="176">
        <v>46028.0</v>
      </c>
      <c r="W245" s="175"/>
      <c r="X245" s="175"/>
      <c r="Y245" s="175"/>
      <c r="Z245" s="175"/>
      <c r="AA245" s="175"/>
      <c r="AB245" s="175"/>
      <c r="AC245" s="175"/>
      <c r="AD245" s="175"/>
      <c r="AE245" s="175"/>
      <c r="AF245" s="175"/>
      <c r="AG245" s="175"/>
      <c r="AH245" s="175"/>
      <c r="AI245" s="175"/>
    </row>
    <row r="246">
      <c r="A246" s="165">
        <v>46028.0</v>
      </c>
      <c r="B246" s="166">
        <v>8000894.0</v>
      </c>
      <c r="C246" s="166" t="s">
        <v>82</v>
      </c>
      <c r="D246" s="166" t="s">
        <v>35</v>
      </c>
      <c r="E246" s="166">
        <v>5.465124098E9</v>
      </c>
      <c r="F246" s="166" t="s">
        <v>420</v>
      </c>
      <c r="G246" s="165">
        <v>46077.0</v>
      </c>
      <c r="H246" s="167">
        <v>46082.0</v>
      </c>
      <c r="I246" s="168">
        <v>5.0</v>
      </c>
      <c r="J246" s="169" t="s">
        <v>111</v>
      </c>
      <c r="K246" s="166" t="s">
        <v>79</v>
      </c>
      <c r="L246" s="166" t="s">
        <v>80</v>
      </c>
      <c r="M246" s="166">
        <v>2.0</v>
      </c>
      <c r="N246" s="170">
        <v>0.19999999999999996</v>
      </c>
      <c r="O246" s="171">
        <v>209.78000000000003</v>
      </c>
      <c r="P246" s="171">
        <v>167.82400000000004</v>
      </c>
      <c r="Q246" s="172">
        <v>0.0</v>
      </c>
      <c r="R246" s="173">
        <v>839.1200000000002</v>
      </c>
      <c r="S246" s="173">
        <v>0.0</v>
      </c>
      <c r="T246" s="173">
        <v>1073.9</v>
      </c>
      <c r="U246" s="201" t="s">
        <v>107</v>
      </c>
      <c r="V246" s="165">
        <v>46028.0</v>
      </c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</row>
    <row r="247">
      <c r="A247" s="154">
        <v>46029.0</v>
      </c>
      <c r="B247" s="155">
        <v>8002464.0</v>
      </c>
      <c r="C247" s="156" t="s">
        <v>82</v>
      </c>
      <c r="D247" s="156" t="s">
        <v>421</v>
      </c>
      <c r="E247" s="155">
        <v>2.365254057E9</v>
      </c>
      <c r="F247" s="156" t="s">
        <v>414</v>
      </c>
      <c r="G247" s="154">
        <v>46077.0</v>
      </c>
      <c r="H247" s="157">
        <v>46080.0</v>
      </c>
      <c r="I247" s="158">
        <v>3.0</v>
      </c>
      <c r="J247" s="159" t="s">
        <v>114</v>
      </c>
      <c r="K247" s="156"/>
      <c r="L247" s="156"/>
      <c r="M247" s="155">
        <v>3.0</v>
      </c>
      <c r="N247" s="160">
        <v>0.0</v>
      </c>
      <c r="O247" s="161">
        <v>0.0</v>
      </c>
      <c r="P247" s="161">
        <v>0.0</v>
      </c>
      <c r="Q247" s="203">
        <v>0.0</v>
      </c>
      <c r="R247" s="162">
        <v>0.0</v>
      </c>
      <c r="S247" s="162">
        <v>0.0</v>
      </c>
      <c r="T247" s="162">
        <v>0.0</v>
      </c>
      <c r="U247" s="163" t="s">
        <v>422</v>
      </c>
      <c r="V247" s="154">
        <v>46029.0</v>
      </c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</row>
    <row r="248">
      <c r="A248" s="176">
        <v>46067.0</v>
      </c>
      <c r="B248" s="177">
        <v>8174194.0</v>
      </c>
      <c r="C248" s="178" t="s">
        <v>82</v>
      </c>
      <c r="D248" s="178" t="s">
        <v>94</v>
      </c>
      <c r="E248" s="177">
        <v>8174194.0</v>
      </c>
      <c r="F248" s="178" t="s">
        <v>423</v>
      </c>
      <c r="G248" s="176">
        <v>46077.0</v>
      </c>
      <c r="H248" s="179">
        <v>46080.0</v>
      </c>
      <c r="I248" s="180">
        <v>3.0</v>
      </c>
      <c r="J248" s="181" t="s">
        <v>78</v>
      </c>
      <c r="K248" s="178" t="s">
        <v>79</v>
      </c>
      <c r="L248" s="178" t="s">
        <v>96</v>
      </c>
      <c r="M248" s="182">
        <v>2.0</v>
      </c>
      <c r="N248" s="183">
        <v>0.0</v>
      </c>
      <c r="O248" s="184">
        <v>239.76</v>
      </c>
      <c r="P248" s="184">
        <v>239.76</v>
      </c>
      <c r="Q248" s="185">
        <v>0.0</v>
      </c>
      <c r="R248" s="186">
        <v>719.28</v>
      </c>
      <c r="S248" s="186">
        <v>0.0</v>
      </c>
      <c r="T248" s="186">
        <v>734.28</v>
      </c>
      <c r="U248" s="187" t="s">
        <v>97</v>
      </c>
      <c r="V248" s="176">
        <v>46067.0</v>
      </c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</row>
    <row r="249">
      <c r="A249" s="176">
        <v>45898.0</v>
      </c>
      <c r="B249" s="177">
        <v>7489170.0</v>
      </c>
      <c r="C249" s="178" t="s">
        <v>89</v>
      </c>
      <c r="D249" s="178" t="s">
        <v>35</v>
      </c>
      <c r="E249" s="177">
        <v>5.538765846E9</v>
      </c>
      <c r="F249" s="178" t="s">
        <v>425</v>
      </c>
      <c r="G249" s="176">
        <v>46078.0</v>
      </c>
      <c r="H249" s="179">
        <v>46083.0</v>
      </c>
      <c r="I249" s="180">
        <v>5.0</v>
      </c>
      <c r="J249" s="181" t="s">
        <v>78</v>
      </c>
      <c r="K249" s="178" t="s">
        <v>79</v>
      </c>
      <c r="L249" s="178" t="s">
        <v>80</v>
      </c>
      <c r="M249" s="182">
        <v>0.0</v>
      </c>
      <c r="N249" s="183">
        <v>0.0</v>
      </c>
      <c r="O249" s="184">
        <v>0.0</v>
      </c>
      <c r="P249" s="184">
        <v>0.0</v>
      </c>
      <c r="Q249" s="185">
        <v>0.0</v>
      </c>
      <c r="R249" s="186">
        <v>0.0</v>
      </c>
      <c r="S249" s="186">
        <v>0.0</v>
      </c>
      <c r="T249" s="186">
        <v>0.0</v>
      </c>
      <c r="U249" s="187" t="s">
        <v>426</v>
      </c>
      <c r="V249" s="176">
        <v>46065.0</v>
      </c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</row>
    <row r="250">
      <c r="A250" s="154">
        <v>46063.0</v>
      </c>
      <c r="B250" s="155">
        <v>8154801.0</v>
      </c>
      <c r="C250" s="156" t="s">
        <v>82</v>
      </c>
      <c r="D250" s="156" t="s">
        <v>35</v>
      </c>
      <c r="E250" s="155">
        <v>6.677750516E9</v>
      </c>
      <c r="F250" s="156" t="s">
        <v>427</v>
      </c>
      <c r="G250" s="154">
        <v>46078.0</v>
      </c>
      <c r="H250" s="157">
        <v>46079.0</v>
      </c>
      <c r="I250" s="158">
        <v>1.0</v>
      </c>
      <c r="J250" s="159" t="s">
        <v>78</v>
      </c>
      <c r="K250" s="156" t="s">
        <v>79</v>
      </c>
      <c r="L250" s="156" t="s">
        <v>80</v>
      </c>
      <c r="M250" s="202">
        <v>2.0</v>
      </c>
      <c r="N250" s="160">
        <v>0.19999999999999996</v>
      </c>
      <c r="O250" s="161">
        <v>169.56</v>
      </c>
      <c r="P250" s="161">
        <v>135.648</v>
      </c>
      <c r="Q250" s="203">
        <v>0.0</v>
      </c>
      <c r="R250" s="162">
        <v>135.648</v>
      </c>
      <c r="S250" s="162">
        <v>0.0</v>
      </c>
      <c r="T250" s="162">
        <v>174.56</v>
      </c>
      <c r="U250" s="163" t="s">
        <v>143</v>
      </c>
      <c r="V250" s="154">
        <v>46063.0</v>
      </c>
      <c r="W250" s="175"/>
      <c r="X250" s="175"/>
      <c r="Y250" s="175"/>
      <c r="Z250" s="175"/>
      <c r="AA250" s="175"/>
      <c r="AB250" s="175"/>
      <c r="AC250" s="175"/>
      <c r="AD250" s="175"/>
      <c r="AE250" s="175"/>
      <c r="AF250" s="175"/>
      <c r="AG250" s="175"/>
      <c r="AH250" s="175"/>
      <c r="AI250" s="175"/>
    </row>
    <row r="251">
      <c r="A251" s="176">
        <v>45892.0</v>
      </c>
      <c r="B251" s="177">
        <v>7459895.0</v>
      </c>
      <c r="C251" s="178" t="s">
        <v>82</v>
      </c>
      <c r="D251" s="178" t="s">
        <v>35</v>
      </c>
      <c r="E251" s="177">
        <v>6.79027713E9</v>
      </c>
      <c r="F251" s="178" t="s">
        <v>428</v>
      </c>
      <c r="G251" s="176">
        <v>46079.0</v>
      </c>
      <c r="H251" s="179">
        <v>46083.0</v>
      </c>
      <c r="I251" s="180">
        <v>4.0</v>
      </c>
      <c r="J251" s="181" t="s">
        <v>78</v>
      </c>
      <c r="K251" s="178" t="s">
        <v>79</v>
      </c>
      <c r="L251" s="178" t="s">
        <v>80</v>
      </c>
      <c r="M251" s="177">
        <v>2.0</v>
      </c>
      <c r="N251" s="183">
        <v>0.19999999999999996</v>
      </c>
      <c r="O251" s="184">
        <v>146.43</v>
      </c>
      <c r="P251" s="184">
        <v>117.144</v>
      </c>
      <c r="Q251" s="185">
        <v>0.0</v>
      </c>
      <c r="R251" s="186">
        <v>468.576</v>
      </c>
      <c r="S251" s="186">
        <v>0.0</v>
      </c>
      <c r="T251" s="186">
        <v>605.72</v>
      </c>
      <c r="U251" s="187" t="s">
        <v>88</v>
      </c>
      <c r="V251" s="189">
        <v>45892.0</v>
      </c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</row>
    <row r="252">
      <c r="A252" s="165">
        <v>45713.0</v>
      </c>
      <c r="B252" s="166">
        <v>6719326.0</v>
      </c>
      <c r="C252" s="166" t="s">
        <v>89</v>
      </c>
      <c r="D252" s="166" t="s">
        <v>35</v>
      </c>
      <c r="E252" s="166">
        <v>4.730109754E9</v>
      </c>
      <c r="F252" s="166" t="s">
        <v>429</v>
      </c>
      <c r="G252" s="165">
        <v>46079.0</v>
      </c>
      <c r="H252" s="167">
        <v>46082.0</v>
      </c>
      <c r="I252" s="168">
        <v>3.0</v>
      </c>
      <c r="J252" s="169" t="s">
        <v>78</v>
      </c>
      <c r="K252" s="166" t="s">
        <v>79</v>
      </c>
      <c r="L252" s="166" t="s">
        <v>80</v>
      </c>
      <c r="M252" s="166">
        <v>0.0</v>
      </c>
      <c r="N252" s="170">
        <v>0.0</v>
      </c>
      <c r="O252" s="171">
        <v>0.0</v>
      </c>
      <c r="P252" s="171">
        <v>0.0</v>
      </c>
      <c r="Q252" s="172">
        <v>0.0</v>
      </c>
      <c r="R252" s="173">
        <v>0.0</v>
      </c>
      <c r="S252" s="173">
        <v>0.0</v>
      </c>
      <c r="T252" s="173">
        <v>0.0</v>
      </c>
      <c r="U252" s="174" t="s">
        <v>430</v>
      </c>
      <c r="V252" s="165">
        <v>46062.0</v>
      </c>
      <c r="W252" s="175"/>
      <c r="X252" s="175"/>
      <c r="Y252" s="175"/>
      <c r="Z252" s="175"/>
      <c r="AA252" s="175"/>
      <c r="AB252" s="175"/>
      <c r="AC252" s="175"/>
      <c r="AD252" s="175"/>
      <c r="AE252" s="175"/>
      <c r="AF252" s="175"/>
      <c r="AG252" s="175"/>
      <c r="AH252" s="175"/>
      <c r="AI252" s="175"/>
    </row>
    <row r="253">
      <c r="A253" s="190">
        <v>45945.0</v>
      </c>
      <c r="B253" s="191">
        <v>7689376.0</v>
      </c>
      <c r="C253" s="192" t="s">
        <v>89</v>
      </c>
      <c r="D253" s="192" t="s">
        <v>35</v>
      </c>
      <c r="E253" s="191">
        <v>5.726610723E9</v>
      </c>
      <c r="F253" s="192" t="s">
        <v>432</v>
      </c>
      <c r="G253" s="190">
        <v>46079.0</v>
      </c>
      <c r="H253" s="193">
        <v>46082.0</v>
      </c>
      <c r="I253" s="194">
        <v>3.0</v>
      </c>
      <c r="J253" s="195" t="s">
        <v>78</v>
      </c>
      <c r="K253" s="192" t="s">
        <v>79</v>
      </c>
      <c r="L253" s="192" t="s">
        <v>80</v>
      </c>
      <c r="M253" s="191">
        <v>0.0</v>
      </c>
      <c r="N253" s="196">
        <v>0.0</v>
      </c>
      <c r="O253" s="197">
        <v>0.0</v>
      </c>
      <c r="P253" s="197">
        <v>0.0</v>
      </c>
      <c r="Q253" s="198">
        <v>0.0</v>
      </c>
      <c r="R253" s="199">
        <v>0.0</v>
      </c>
      <c r="S253" s="199">
        <v>0.0</v>
      </c>
      <c r="T253" s="199">
        <v>0.0</v>
      </c>
      <c r="U253" s="200" t="s">
        <v>433</v>
      </c>
      <c r="V253" s="190">
        <v>46069.0</v>
      </c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</row>
    <row r="254">
      <c r="A254" s="165">
        <v>45955.0</v>
      </c>
      <c r="B254" s="166">
        <v>7728888.0</v>
      </c>
      <c r="C254" s="166" t="s">
        <v>82</v>
      </c>
      <c r="D254" s="166" t="s">
        <v>35</v>
      </c>
      <c r="E254" s="166">
        <v>6.011043856E9</v>
      </c>
      <c r="F254" s="166" t="s">
        <v>434</v>
      </c>
      <c r="G254" s="165">
        <v>46079.0</v>
      </c>
      <c r="H254" s="167">
        <v>46081.0</v>
      </c>
      <c r="I254" s="168">
        <v>2.0</v>
      </c>
      <c r="J254" s="169" t="s">
        <v>78</v>
      </c>
      <c r="K254" s="166" t="s">
        <v>79</v>
      </c>
      <c r="L254" s="166" t="s">
        <v>80</v>
      </c>
      <c r="M254" s="166">
        <v>3.0</v>
      </c>
      <c r="N254" s="170">
        <v>0.19999999999999996</v>
      </c>
      <c r="O254" s="171">
        <v>204.17</v>
      </c>
      <c r="P254" s="171">
        <v>163.336</v>
      </c>
      <c r="Q254" s="172">
        <v>0.0</v>
      </c>
      <c r="R254" s="173">
        <v>326.672</v>
      </c>
      <c r="S254" s="173">
        <v>0.0</v>
      </c>
      <c r="T254" s="173">
        <v>423.34</v>
      </c>
      <c r="U254" s="201" t="s">
        <v>303</v>
      </c>
      <c r="V254" s="165">
        <v>45955.0</v>
      </c>
      <c r="W254" s="175"/>
      <c r="X254" s="175"/>
      <c r="Y254" s="175"/>
      <c r="Z254" s="175"/>
      <c r="AA254" s="175"/>
      <c r="AB254" s="175"/>
      <c r="AC254" s="175"/>
      <c r="AD254" s="175"/>
      <c r="AE254" s="175"/>
      <c r="AF254" s="175"/>
      <c r="AG254" s="175"/>
      <c r="AH254" s="175"/>
      <c r="AI254" s="175"/>
    </row>
    <row r="255">
      <c r="A255" s="165">
        <v>46018.0</v>
      </c>
      <c r="B255" s="166">
        <v>7964313.0</v>
      </c>
      <c r="C255" s="166" t="s">
        <v>82</v>
      </c>
      <c r="D255" s="166" t="s">
        <v>35</v>
      </c>
      <c r="E255" s="166">
        <v>6.540953384E9</v>
      </c>
      <c r="F255" s="166" t="s">
        <v>435</v>
      </c>
      <c r="G255" s="165">
        <v>46079.0</v>
      </c>
      <c r="H255" s="167">
        <v>46080.0</v>
      </c>
      <c r="I255" s="168">
        <v>1.0</v>
      </c>
      <c r="J255" s="169" t="s">
        <v>87</v>
      </c>
      <c r="K255" s="166" t="s">
        <v>79</v>
      </c>
      <c r="L255" s="166" t="s">
        <v>80</v>
      </c>
      <c r="M255" s="205">
        <v>2.0</v>
      </c>
      <c r="N255" s="170">
        <v>0.19999999999999996</v>
      </c>
      <c r="O255" s="171">
        <v>196.22</v>
      </c>
      <c r="P255" s="171">
        <v>156.976</v>
      </c>
      <c r="Q255" s="172">
        <v>0.0</v>
      </c>
      <c r="R255" s="173">
        <v>156.976</v>
      </c>
      <c r="S255" s="173">
        <v>0.0</v>
      </c>
      <c r="T255" s="162">
        <v>201.22</v>
      </c>
      <c r="U255" s="163" t="s">
        <v>353</v>
      </c>
      <c r="V255" s="154">
        <v>46018.0</v>
      </c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</row>
    <row r="256">
      <c r="A256" s="165">
        <v>46054.0</v>
      </c>
      <c r="B256" s="166">
        <v>8114237.0</v>
      </c>
      <c r="C256" s="166" t="s">
        <v>82</v>
      </c>
      <c r="D256" s="166" t="s">
        <v>35</v>
      </c>
      <c r="E256" s="166">
        <v>6.576769614E9</v>
      </c>
      <c r="F256" s="166" t="s">
        <v>436</v>
      </c>
      <c r="G256" s="165">
        <v>46079.0</v>
      </c>
      <c r="H256" s="167">
        <v>46081.0</v>
      </c>
      <c r="I256" s="168">
        <v>2.0</v>
      </c>
      <c r="J256" s="169" t="s">
        <v>91</v>
      </c>
      <c r="K256" s="166" t="s">
        <v>79</v>
      </c>
      <c r="L256" s="166" t="s">
        <v>80</v>
      </c>
      <c r="M256" s="166">
        <v>4.0</v>
      </c>
      <c r="N256" s="170">
        <v>0.19999999999999996</v>
      </c>
      <c r="O256" s="171">
        <v>401.07</v>
      </c>
      <c r="P256" s="171">
        <v>320.856</v>
      </c>
      <c r="Q256" s="172">
        <v>0.0</v>
      </c>
      <c r="R256" s="173">
        <v>641.712</v>
      </c>
      <c r="S256" s="173">
        <v>0.0</v>
      </c>
      <c r="T256" s="186">
        <v>822.14</v>
      </c>
      <c r="U256" s="187" t="s">
        <v>143</v>
      </c>
      <c r="V256" s="176">
        <v>46054.0</v>
      </c>
      <c r="W256" s="175"/>
      <c r="X256" s="175"/>
      <c r="Y256" s="175"/>
      <c r="Z256" s="175"/>
      <c r="AA256" s="175"/>
      <c r="AB256" s="175"/>
      <c r="AC256" s="175"/>
      <c r="AD256" s="175"/>
      <c r="AE256" s="175"/>
      <c r="AF256" s="175"/>
      <c r="AG256" s="175"/>
      <c r="AH256" s="175"/>
      <c r="AI256" s="175"/>
    </row>
    <row r="257">
      <c r="A257" s="165">
        <v>46065.0</v>
      </c>
      <c r="B257" s="166">
        <v>8165967.0</v>
      </c>
      <c r="C257" s="166" t="s">
        <v>82</v>
      </c>
      <c r="D257" s="166" t="s">
        <v>35</v>
      </c>
      <c r="E257" s="166">
        <v>5.099678943E9</v>
      </c>
      <c r="F257" s="166" t="s">
        <v>437</v>
      </c>
      <c r="G257" s="165">
        <v>46079.0</v>
      </c>
      <c r="H257" s="167">
        <v>46082.0</v>
      </c>
      <c r="I257" s="168">
        <v>3.0</v>
      </c>
      <c r="J257" s="169" t="s">
        <v>78</v>
      </c>
      <c r="K257" s="166" t="s">
        <v>79</v>
      </c>
      <c r="L257" s="166" t="s">
        <v>80</v>
      </c>
      <c r="M257" s="166">
        <v>3.0</v>
      </c>
      <c r="N257" s="170">
        <v>0.19999999999999996</v>
      </c>
      <c r="O257" s="171">
        <v>175.32000000000002</v>
      </c>
      <c r="P257" s="171">
        <v>140.25600000000003</v>
      </c>
      <c r="Q257" s="172">
        <v>0.0</v>
      </c>
      <c r="R257" s="173">
        <v>420.7680000000001</v>
      </c>
      <c r="S257" s="173">
        <v>0.0</v>
      </c>
      <c r="T257" s="173">
        <v>525.96</v>
      </c>
      <c r="U257" s="201" t="s">
        <v>183</v>
      </c>
      <c r="V257" s="165">
        <v>46065.0</v>
      </c>
      <c r="W257" s="175"/>
      <c r="X257" s="175"/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</row>
    <row r="258">
      <c r="A258" s="165">
        <v>45953.0</v>
      </c>
      <c r="B258" s="166">
        <v>7718526.0</v>
      </c>
      <c r="C258" s="166" t="s">
        <v>82</v>
      </c>
      <c r="D258" s="166" t="s">
        <v>35</v>
      </c>
      <c r="E258" s="166">
        <v>6.313070537E9</v>
      </c>
      <c r="F258" s="166" t="s">
        <v>439</v>
      </c>
      <c r="G258" s="165">
        <v>46080.0</v>
      </c>
      <c r="H258" s="167">
        <v>46084.0</v>
      </c>
      <c r="I258" s="168">
        <v>4.0</v>
      </c>
      <c r="J258" s="169" t="s">
        <v>87</v>
      </c>
      <c r="K258" s="166" t="s">
        <v>79</v>
      </c>
      <c r="L258" s="166" t="s">
        <v>80</v>
      </c>
      <c r="M258" s="205">
        <v>2.0</v>
      </c>
      <c r="N258" s="170">
        <v>0.19999999999999996</v>
      </c>
      <c r="O258" s="171">
        <v>113.4</v>
      </c>
      <c r="P258" s="171">
        <v>90.72000000000001</v>
      </c>
      <c r="Q258" s="172">
        <v>0.0</v>
      </c>
      <c r="R258" s="173">
        <v>362.88000000000005</v>
      </c>
      <c r="S258" s="173">
        <v>0.0</v>
      </c>
      <c r="T258" s="173">
        <v>473.6</v>
      </c>
      <c r="U258" s="174" t="s">
        <v>107</v>
      </c>
      <c r="V258" s="165">
        <v>45953.0</v>
      </c>
      <c r="W258" s="175"/>
      <c r="X258" s="175"/>
      <c r="Y258" s="175"/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</row>
    <row r="259">
      <c r="A259" s="154">
        <v>45975.0</v>
      </c>
      <c r="B259" s="155">
        <v>7805074.0</v>
      </c>
      <c r="C259" s="156" t="s">
        <v>82</v>
      </c>
      <c r="D259" s="156" t="s">
        <v>35</v>
      </c>
      <c r="E259" s="155">
        <v>6.8273191E9</v>
      </c>
      <c r="F259" s="156" t="s">
        <v>440</v>
      </c>
      <c r="G259" s="154">
        <v>46080.0</v>
      </c>
      <c r="H259" s="157">
        <v>46083.0</v>
      </c>
      <c r="I259" s="158">
        <v>3.0</v>
      </c>
      <c r="J259" s="159" t="s">
        <v>114</v>
      </c>
      <c r="K259" s="156" t="s">
        <v>79</v>
      </c>
      <c r="L259" s="156" t="s">
        <v>80</v>
      </c>
      <c r="M259" s="202">
        <v>2.0</v>
      </c>
      <c r="N259" s="160">
        <v>0.19999999999999996</v>
      </c>
      <c r="O259" s="161">
        <v>254.20000000000002</v>
      </c>
      <c r="P259" s="161">
        <v>203.36</v>
      </c>
      <c r="Q259" s="203">
        <v>0.0</v>
      </c>
      <c r="R259" s="162">
        <v>610.08</v>
      </c>
      <c r="S259" s="162">
        <v>0.0</v>
      </c>
      <c r="T259" s="162">
        <v>762.6</v>
      </c>
      <c r="U259" s="163" t="s">
        <v>353</v>
      </c>
      <c r="V259" s="154">
        <v>45975.0</v>
      </c>
      <c r="W259" s="175"/>
      <c r="X259" s="175"/>
      <c r="Y259" s="175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</row>
    <row r="260">
      <c r="A260" s="176">
        <v>45993.0</v>
      </c>
      <c r="B260" s="177">
        <v>7876457.0</v>
      </c>
      <c r="C260" s="178" t="s">
        <v>82</v>
      </c>
      <c r="D260" s="178" t="s">
        <v>35</v>
      </c>
      <c r="E260" s="177">
        <v>5.161124076E9</v>
      </c>
      <c r="F260" s="178" t="s">
        <v>441</v>
      </c>
      <c r="G260" s="176">
        <v>46080.0</v>
      </c>
      <c r="H260" s="179">
        <v>46083.0</v>
      </c>
      <c r="I260" s="180">
        <v>3.0</v>
      </c>
      <c r="J260" s="181" t="s">
        <v>114</v>
      </c>
      <c r="K260" s="178" t="s">
        <v>79</v>
      </c>
      <c r="L260" s="178" t="s">
        <v>80</v>
      </c>
      <c r="M260" s="182">
        <v>2.0</v>
      </c>
      <c r="N260" s="183">
        <v>0.19999999999999996</v>
      </c>
      <c r="O260" s="184">
        <v>262.5</v>
      </c>
      <c r="P260" s="184">
        <v>210.0</v>
      </c>
      <c r="Q260" s="185">
        <v>0.0</v>
      </c>
      <c r="R260" s="186">
        <v>630.0</v>
      </c>
      <c r="S260" s="186">
        <v>0.0</v>
      </c>
      <c r="T260" s="186">
        <v>802.5</v>
      </c>
      <c r="U260" s="187" t="s">
        <v>442</v>
      </c>
      <c r="V260" s="176">
        <v>45993.0</v>
      </c>
      <c r="W260" s="175"/>
      <c r="X260" s="175"/>
      <c r="Y260" s="175"/>
      <c r="Z260" s="175"/>
      <c r="AA260" s="175"/>
      <c r="AB260" s="175"/>
      <c r="AC260" s="175"/>
      <c r="AD260" s="175"/>
      <c r="AE260" s="175"/>
      <c r="AF260" s="175"/>
      <c r="AG260" s="175"/>
      <c r="AH260" s="175"/>
      <c r="AI260" s="175"/>
    </row>
    <row r="261">
      <c r="A261" s="165">
        <v>46062.0</v>
      </c>
      <c r="B261" s="166">
        <v>8151750.0</v>
      </c>
      <c r="C261" s="166" t="s">
        <v>82</v>
      </c>
      <c r="D261" s="166" t="s">
        <v>35</v>
      </c>
      <c r="E261" s="166">
        <v>6.008024288E9</v>
      </c>
      <c r="F261" s="166" t="s">
        <v>443</v>
      </c>
      <c r="G261" s="165">
        <v>46080.0</v>
      </c>
      <c r="H261" s="167">
        <v>46083.0</v>
      </c>
      <c r="I261" s="168">
        <v>3.0</v>
      </c>
      <c r="J261" s="169" t="s">
        <v>78</v>
      </c>
      <c r="K261" s="166" t="s">
        <v>79</v>
      </c>
      <c r="L261" s="166" t="s">
        <v>80</v>
      </c>
      <c r="M261" s="205">
        <v>2.0</v>
      </c>
      <c r="N261" s="170">
        <v>0.19999999999999996</v>
      </c>
      <c r="O261" s="171">
        <v>175.30999999999997</v>
      </c>
      <c r="P261" s="171">
        <v>140.248</v>
      </c>
      <c r="Q261" s="172">
        <v>0.0</v>
      </c>
      <c r="R261" s="173">
        <v>420.74399999999997</v>
      </c>
      <c r="S261" s="173">
        <v>0.0</v>
      </c>
      <c r="T261" s="173">
        <v>525.93</v>
      </c>
      <c r="U261" s="201" t="s">
        <v>143</v>
      </c>
      <c r="V261" s="165">
        <v>46062.0</v>
      </c>
      <c r="W261" s="175"/>
      <c r="X261" s="175"/>
      <c r="Y261" s="175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</row>
    <row r="262">
      <c r="A262" s="176">
        <v>46072.0</v>
      </c>
      <c r="B262" s="177">
        <v>8197090.0</v>
      </c>
      <c r="C262" s="178" t="s">
        <v>82</v>
      </c>
      <c r="D262" s="178" t="s">
        <v>35</v>
      </c>
      <c r="E262" s="177">
        <v>5.918638297E9</v>
      </c>
      <c r="F262" s="178" t="s">
        <v>444</v>
      </c>
      <c r="G262" s="176">
        <v>46080.0</v>
      </c>
      <c r="H262" s="179">
        <v>46083.0</v>
      </c>
      <c r="I262" s="180">
        <v>3.0</v>
      </c>
      <c r="J262" s="181" t="s">
        <v>78</v>
      </c>
      <c r="K262" s="178" t="s">
        <v>79</v>
      </c>
      <c r="L262" s="178" t="s">
        <v>80</v>
      </c>
      <c r="M262" s="182">
        <v>2.0</v>
      </c>
      <c r="N262" s="183">
        <v>0.19999999999999996</v>
      </c>
      <c r="O262" s="184">
        <v>171.82000000000002</v>
      </c>
      <c r="P262" s="184">
        <v>137.45600000000002</v>
      </c>
      <c r="Q262" s="185">
        <v>0.0</v>
      </c>
      <c r="R262" s="186">
        <v>412.36800000000005</v>
      </c>
      <c r="S262" s="186">
        <v>0.0</v>
      </c>
      <c r="T262" s="186">
        <v>530.46</v>
      </c>
      <c r="U262" s="187" t="s">
        <v>183</v>
      </c>
      <c r="V262" s="176">
        <v>46072.0</v>
      </c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</row>
    <row r="263">
      <c r="A263" s="176">
        <v>46006.0</v>
      </c>
      <c r="B263" s="177">
        <v>7923323.0</v>
      </c>
      <c r="C263" s="178" t="s">
        <v>82</v>
      </c>
      <c r="D263" s="178" t="s">
        <v>35</v>
      </c>
      <c r="E263" s="177">
        <v>5.625187623E9</v>
      </c>
      <c r="F263" s="178" t="s">
        <v>445</v>
      </c>
      <c r="G263" s="176">
        <v>46081.0</v>
      </c>
      <c r="H263" s="179">
        <v>46084.0</v>
      </c>
      <c r="I263" s="180">
        <v>3.0</v>
      </c>
      <c r="J263" s="181" t="s">
        <v>78</v>
      </c>
      <c r="K263" s="178" t="s">
        <v>79</v>
      </c>
      <c r="L263" s="178" t="s">
        <v>80</v>
      </c>
      <c r="M263" s="182">
        <v>2.0</v>
      </c>
      <c r="N263" s="183">
        <v>0.19999999999999996</v>
      </c>
      <c r="O263" s="184">
        <v>178.13</v>
      </c>
      <c r="P263" s="184">
        <v>142.504</v>
      </c>
      <c r="Q263" s="185">
        <v>0.0</v>
      </c>
      <c r="R263" s="186">
        <v>427.51199999999994</v>
      </c>
      <c r="S263" s="186">
        <v>0.0</v>
      </c>
      <c r="T263" s="186">
        <v>549.39</v>
      </c>
      <c r="U263" s="187" t="s">
        <v>88</v>
      </c>
      <c r="V263" s="176">
        <v>46006.0</v>
      </c>
      <c r="W263" s="175"/>
      <c r="X263" s="175"/>
      <c r="Y263" s="175"/>
      <c r="Z263" s="175"/>
      <c r="AA263" s="175"/>
      <c r="AB263" s="175"/>
      <c r="AC263" s="175"/>
      <c r="AD263" s="175"/>
      <c r="AE263" s="175"/>
      <c r="AF263" s="175"/>
      <c r="AG263" s="175"/>
      <c r="AH263" s="175"/>
      <c r="AI263" s="175"/>
    </row>
    <row r="264">
      <c r="A264" s="190">
        <v>46046.0</v>
      </c>
      <c r="B264" s="191">
        <v>8076966.0</v>
      </c>
      <c r="C264" s="192" t="s">
        <v>82</v>
      </c>
      <c r="D264" s="192" t="s">
        <v>94</v>
      </c>
      <c r="E264" s="191">
        <v>8076966.0</v>
      </c>
      <c r="F264" s="192" t="s">
        <v>447</v>
      </c>
      <c r="G264" s="190">
        <v>46081.0</v>
      </c>
      <c r="H264" s="193">
        <v>46082.0</v>
      </c>
      <c r="I264" s="194">
        <v>1.0</v>
      </c>
      <c r="J264" s="195" t="s">
        <v>91</v>
      </c>
      <c r="K264" s="192" t="s">
        <v>138</v>
      </c>
      <c r="L264" s="192" t="s">
        <v>80</v>
      </c>
      <c r="M264" s="211">
        <v>2.0</v>
      </c>
      <c r="N264" s="196">
        <v>0.0</v>
      </c>
      <c r="O264" s="197">
        <v>769.6</v>
      </c>
      <c r="P264" s="197">
        <v>769.6</v>
      </c>
      <c r="Q264" s="198">
        <v>36.0</v>
      </c>
      <c r="R264" s="199">
        <v>769.6</v>
      </c>
      <c r="S264" s="199">
        <v>36.0</v>
      </c>
      <c r="T264" s="199">
        <v>810.6</v>
      </c>
      <c r="U264" s="200" t="s">
        <v>448</v>
      </c>
      <c r="V264" s="190">
        <v>46046.0</v>
      </c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75"/>
      <c r="AI264" s="175"/>
    </row>
    <row r="265">
      <c r="A265" s="176">
        <v>45942.0</v>
      </c>
      <c r="B265" s="177">
        <v>7674015.0</v>
      </c>
      <c r="C265" s="178" t="s">
        <v>75</v>
      </c>
      <c r="D265" s="178" t="s">
        <v>36</v>
      </c>
      <c r="E265" s="177">
        <v>7674015.0</v>
      </c>
      <c r="F265" s="178" t="s">
        <v>449</v>
      </c>
      <c r="G265" s="176">
        <v>46082.0</v>
      </c>
      <c r="H265" s="179">
        <v>46084.0</v>
      </c>
      <c r="I265" s="180">
        <v>2.0</v>
      </c>
      <c r="J265" s="181" t="s">
        <v>91</v>
      </c>
      <c r="K265" s="178" t="s">
        <v>79</v>
      </c>
      <c r="L265" s="178" t="s">
        <v>96</v>
      </c>
      <c r="M265" s="177">
        <v>2.0</v>
      </c>
      <c r="N265" s="183">
        <v>0.0</v>
      </c>
      <c r="O265" s="184">
        <v>599.76</v>
      </c>
      <c r="P265" s="184">
        <v>593.7624</v>
      </c>
      <c r="Q265" s="185">
        <v>0.0</v>
      </c>
      <c r="R265" s="186">
        <v>1187.5248</v>
      </c>
      <c r="S265" s="186">
        <v>0.0</v>
      </c>
      <c r="T265" s="186">
        <v>1209.52</v>
      </c>
      <c r="U265" s="187" t="s">
        <v>450</v>
      </c>
      <c r="V265" s="176">
        <v>45942.0</v>
      </c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  <c r="AI265" s="175"/>
    </row>
    <row r="266">
      <c r="A266" s="176">
        <v>46061.0</v>
      </c>
      <c r="B266" s="177">
        <v>8145516.0</v>
      </c>
      <c r="C266" s="178" t="s">
        <v>82</v>
      </c>
      <c r="D266" s="178" t="s">
        <v>35</v>
      </c>
      <c r="E266" s="177">
        <v>6.306073653E9</v>
      </c>
      <c r="F266" s="178" t="s">
        <v>451</v>
      </c>
      <c r="G266" s="176">
        <v>46082.0</v>
      </c>
      <c r="H266" s="179">
        <v>46083.0</v>
      </c>
      <c r="I266" s="180">
        <v>1.0</v>
      </c>
      <c r="J266" s="181" t="s">
        <v>111</v>
      </c>
      <c r="K266" s="178" t="s">
        <v>79</v>
      </c>
      <c r="L266" s="178" t="s">
        <v>80</v>
      </c>
      <c r="M266" s="182">
        <v>2.0</v>
      </c>
      <c r="N266" s="183">
        <v>0.19999999999999996</v>
      </c>
      <c r="O266" s="184">
        <v>246.7</v>
      </c>
      <c r="P266" s="184">
        <v>197.36</v>
      </c>
      <c r="Q266" s="185">
        <v>0.0</v>
      </c>
      <c r="R266" s="186">
        <v>197.36</v>
      </c>
      <c r="S266" s="186">
        <v>0.0</v>
      </c>
      <c r="T266" s="186">
        <v>251.7</v>
      </c>
      <c r="U266" s="187" t="s">
        <v>143</v>
      </c>
      <c r="V266" s="176">
        <v>46061.0</v>
      </c>
      <c r="W266" s="175"/>
      <c r="X266" s="175"/>
      <c r="Y266" s="175"/>
      <c r="Z266" s="175"/>
      <c r="AA266" s="175"/>
      <c r="AB266" s="175"/>
      <c r="AC266" s="175"/>
      <c r="AD266" s="175"/>
      <c r="AE266" s="175"/>
      <c r="AF266" s="175"/>
      <c r="AG266" s="175"/>
      <c r="AH266" s="175"/>
      <c r="AI266" s="175"/>
    </row>
    <row r="267">
      <c r="A267" s="176">
        <v>46068.0</v>
      </c>
      <c r="B267" s="177">
        <v>8178765.0</v>
      </c>
      <c r="C267" s="178" t="s">
        <v>89</v>
      </c>
      <c r="D267" s="178" t="s">
        <v>36</v>
      </c>
      <c r="E267" s="177">
        <v>8178765.0</v>
      </c>
      <c r="F267" s="178" t="s">
        <v>452</v>
      </c>
      <c r="G267" s="176">
        <v>46082.0</v>
      </c>
      <c r="H267" s="179">
        <v>46083.0</v>
      </c>
      <c r="I267" s="180">
        <v>1.0</v>
      </c>
      <c r="J267" s="181" t="s">
        <v>78</v>
      </c>
      <c r="K267" s="178" t="s">
        <v>79</v>
      </c>
      <c r="L267" s="178" t="s">
        <v>96</v>
      </c>
      <c r="M267" s="182">
        <v>0.0</v>
      </c>
      <c r="N267" s="183">
        <v>0.0</v>
      </c>
      <c r="O267" s="184">
        <v>0.0</v>
      </c>
      <c r="P267" s="184">
        <v>0.0</v>
      </c>
      <c r="Q267" s="185">
        <v>0.0</v>
      </c>
      <c r="R267" s="186">
        <v>0.0</v>
      </c>
      <c r="S267" s="186">
        <v>0.0</v>
      </c>
      <c r="T267" s="186">
        <v>0.0</v>
      </c>
      <c r="U267" s="187" t="s">
        <v>454</v>
      </c>
      <c r="V267" s="176">
        <v>46068.0</v>
      </c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</row>
    <row r="268">
      <c r="A268" s="165">
        <v>46034.0</v>
      </c>
      <c r="B268" s="166">
        <v>8025333.0</v>
      </c>
      <c r="C268" s="166" t="s">
        <v>89</v>
      </c>
      <c r="D268" s="166" t="s">
        <v>35</v>
      </c>
      <c r="E268" s="166">
        <v>5.217621025E9</v>
      </c>
      <c r="F268" s="166" t="s">
        <v>455</v>
      </c>
      <c r="G268" s="165">
        <v>46083.0</v>
      </c>
      <c r="H268" s="167">
        <v>46086.0</v>
      </c>
      <c r="I268" s="168">
        <v>3.0</v>
      </c>
      <c r="J268" s="169" t="s">
        <v>78</v>
      </c>
      <c r="K268" s="166" t="s">
        <v>79</v>
      </c>
      <c r="L268" s="166" t="s">
        <v>80</v>
      </c>
      <c r="M268" s="205">
        <v>0.0</v>
      </c>
      <c r="N268" s="170">
        <v>0.0</v>
      </c>
      <c r="O268" s="171">
        <v>0.0</v>
      </c>
      <c r="P268" s="171">
        <v>0.0</v>
      </c>
      <c r="Q268" s="172">
        <v>0.0</v>
      </c>
      <c r="R268" s="173">
        <v>0.0</v>
      </c>
      <c r="S268" s="173">
        <v>0.0</v>
      </c>
      <c r="T268" s="173">
        <v>0.0</v>
      </c>
      <c r="U268" s="201" t="s">
        <v>456</v>
      </c>
      <c r="V268" s="165">
        <v>46086.0</v>
      </c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  <c r="AI268" s="175"/>
    </row>
    <row r="269">
      <c r="A269" s="165">
        <v>46035.0</v>
      </c>
      <c r="B269" s="166">
        <v>8026963.0</v>
      </c>
      <c r="C269" s="166" t="s">
        <v>82</v>
      </c>
      <c r="D269" s="166" t="s">
        <v>35</v>
      </c>
      <c r="E269" s="166">
        <v>6.151005663E9</v>
      </c>
      <c r="F269" s="166" t="s">
        <v>457</v>
      </c>
      <c r="G269" s="165">
        <v>46083.0</v>
      </c>
      <c r="H269" s="167">
        <v>46084.0</v>
      </c>
      <c r="I269" s="168">
        <v>1.0</v>
      </c>
      <c r="J269" s="169" t="s">
        <v>78</v>
      </c>
      <c r="K269" s="166" t="s">
        <v>79</v>
      </c>
      <c r="L269" s="166" t="s">
        <v>80</v>
      </c>
      <c r="M269" s="166">
        <v>3.0</v>
      </c>
      <c r="N269" s="170">
        <v>0.19999999999999996</v>
      </c>
      <c r="O269" s="171">
        <v>148.76</v>
      </c>
      <c r="P269" s="171">
        <v>119.008</v>
      </c>
      <c r="Q269" s="172">
        <v>0.0</v>
      </c>
      <c r="R269" s="173">
        <v>119.008</v>
      </c>
      <c r="S269" s="173">
        <v>0.0</v>
      </c>
      <c r="T269" s="173">
        <v>156.26</v>
      </c>
      <c r="U269" s="201" t="s">
        <v>107</v>
      </c>
      <c r="V269" s="165">
        <v>46035.0</v>
      </c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</row>
    <row r="270">
      <c r="A270" s="165">
        <v>46040.0</v>
      </c>
      <c r="B270" s="166">
        <v>8051173.0</v>
      </c>
      <c r="C270" s="166" t="s">
        <v>82</v>
      </c>
      <c r="D270" s="166" t="s">
        <v>35</v>
      </c>
      <c r="E270" s="166">
        <v>5.673901706E9</v>
      </c>
      <c r="F270" s="166" t="s">
        <v>458</v>
      </c>
      <c r="G270" s="165">
        <v>46083.0</v>
      </c>
      <c r="H270" s="167">
        <v>46086.0</v>
      </c>
      <c r="I270" s="168">
        <v>3.0</v>
      </c>
      <c r="J270" s="169" t="s">
        <v>78</v>
      </c>
      <c r="K270" s="166" t="s">
        <v>79</v>
      </c>
      <c r="L270" s="166" t="s">
        <v>80</v>
      </c>
      <c r="M270" s="205">
        <v>2.0</v>
      </c>
      <c r="N270" s="170">
        <v>0.19999999999999996</v>
      </c>
      <c r="O270" s="171">
        <v>185.70000000000002</v>
      </c>
      <c r="P270" s="171">
        <v>148.56000000000003</v>
      </c>
      <c r="Q270" s="172">
        <v>0.0</v>
      </c>
      <c r="R270" s="173">
        <v>445.68000000000006</v>
      </c>
      <c r="S270" s="173">
        <v>0.0</v>
      </c>
      <c r="T270" s="173">
        <v>557.1</v>
      </c>
      <c r="U270" s="174" t="s">
        <v>107</v>
      </c>
      <c r="V270" s="210">
        <v>46040.0</v>
      </c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</row>
    <row r="271">
      <c r="A271" s="165">
        <v>46040.0</v>
      </c>
      <c r="B271" s="166">
        <v>8051256.0</v>
      </c>
      <c r="C271" s="166" t="s">
        <v>82</v>
      </c>
      <c r="D271" s="166" t="s">
        <v>35</v>
      </c>
      <c r="E271" s="166">
        <v>6.038821123E9</v>
      </c>
      <c r="F271" s="166" t="s">
        <v>460</v>
      </c>
      <c r="G271" s="165">
        <v>46083.0</v>
      </c>
      <c r="H271" s="167">
        <v>46086.0</v>
      </c>
      <c r="I271" s="168">
        <v>3.0</v>
      </c>
      <c r="J271" s="169" t="s">
        <v>78</v>
      </c>
      <c r="K271" s="166" t="s">
        <v>79</v>
      </c>
      <c r="L271" s="166" t="s">
        <v>80</v>
      </c>
      <c r="M271" s="166">
        <v>1.0</v>
      </c>
      <c r="N271" s="170">
        <v>0.19999999999999996</v>
      </c>
      <c r="O271" s="171">
        <v>189.69000000000003</v>
      </c>
      <c r="P271" s="171">
        <v>151.75200000000004</v>
      </c>
      <c r="Q271" s="172">
        <v>0.0</v>
      </c>
      <c r="R271" s="173">
        <v>455.2560000000001</v>
      </c>
      <c r="S271" s="173">
        <v>0.0</v>
      </c>
      <c r="T271" s="173">
        <v>569.07</v>
      </c>
      <c r="U271" s="174" t="s">
        <v>88</v>
      </c>
      <c r="V271" s="165">
        <v>46040.0</v>
      </c>
      <c r="W271" s="175"/>
      <c r="X271" s="175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</row>
    <row r="272">
      <c r="A272" s="176">
        <v>46041.0</v>
      </c>
      <c r="B272" s="177">
        <v>8053212.0</v>
      </c>
      <c r="C272" s="178" t="s">
        <v>82</v>
      </c>
      <c r="D272" s="178" t="s">
        <v>35</v>
      </c>
      <c r="E272" s="177">
        <v>5.942691684E9</v>
      </c>
      <c r="F272" s="178" t="s">
        <v>461</v>
      </c>
      <c r="G272" s="176">
        <v>46083.0</v>
      </c>
      <c r="H272" s="179">
        <v>46085.0</v>
      </c>
      <c r="I272" s="180">
        <v>2.0</v>
      </c>
      <c r="J272" s="181" t="s">
        <v>114</v>
      </c>
      <c r="K272" s="178" t="s">
        <v>79</v>
      </c>
      <c r="L272" s="178" t="s">
        <v>80</v>
      </c>
      <c r="M272" s="182">
        <v>2.0</v>
      </c>
      <c r="N272" s="183">
        <v>0.19999999999999996</v>
      </c>
      <c r="O272" s="184">
        <v>172.64</v>
      </c>
      <c r="P272" s="184">
        <v>138.112</v>
      </c>
      <c r="Q272" s="185">
        <v>0.0</v>
      </c>
      <c r="R272" s="186">
        <v>276.224</v>
      </c>
      <c r="S272" s="186">
        <v>0.0</v>
      </c>
      <c r="T272" s="186">
        <v>355.28</v>
      </c>
      <c r="U272" s="187" t="s">
        <v>107</v>
      </c>
      <c r="V272" s="189">
        <v>46041.0</v>
      </c>
      <c r="W272" s="175"/>
      <c r="X272" s="175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75"/>
      <c r="AI272" s="175"/>
    </row>
    <row r="273">
      <c r="A273" s="176">
        <v>46068.0</v>
      </c>
      <c r="B273" s="177">
        <v>8178390.0</v>
      </c>
      <c r="C273" s="178" t="s">
        <v>89</v>
      </c>
      <c r="D273" s="178" t="s">
        <v>94</v>
      </c>
      <c r="E273" s="177">
        <v>8178390.0</v>
      </c>
      <c r="F273" s="178" t="s">
        <v>452</v>
      </c>
      <c r="G273" s="176">
        <v>46083.0</v>
      </c>
      <c r="H273" s="179">
        <v>46084.0</v>
      </c>
      <c r="I273" s="180">
        <v>1.0</v>
      </c>
      <c r="J273" s="181" t="s">
        <v>114</v>
      </c>
      <c r="K273" s="178" t="s">
        <v>79</v>
      </c>
      <c r="L273" s="178" t="s">
        <v>96</v>
      </c>
      <c r="M273" s="182">
        <v>0.0</v>
      </c>
      <c r="N273" s="183">
        <v>0.0</v>
      </c>
      <c r="O273" s="184">
        <v>0.0</v>
      </c>
      <c r="P273" s="184">
        <v>0.0</v>
      </c>
      <c r="Q273" s="185">
        <v>0.0</v>
      </c>
      <c r="R273" s="186">
        <v>0.0</v>
      </c>
      <c r="S273" s="186">
        <v>0.0</v>
      </c>
      <c r="T273" s="186">
        <v>0.0</v>
      </c>
      <c r="U273" s="187" t="s">
        <v>454</v>
      </c>
      <c r="V273" s="176">
        <v>46068.0</v>
      </c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</row>
    <row r="274">
      <c r="A274" s="165">
        <v>45949.0</v>
      </c>
      <c r="B274" s="166">
        <v>7703504.0</v>
      </c>
      <c r="C274" s="166" t="s">
        <v>82</v>
      </c>
      <c r="D274" s="166" t="s">
        <v>35</v>
      </c>
      <c r="E274" s="166">
        <v>6.881967407E9</v>
      </c>
      <c r="F274" s="166" t="s">
        <v>462</v>
      </c>
      <c r="G274" s="165">
        <v>46084.0</v>
      </c>
      <c r="H274" s="167">
        <v>46087.0</v>
      </c>
      <c r="I274" s="168">
        <v>3.0</v>
      </c>
      <c r="J274" s="169" t="s">
        <v>114</v>
      </c>
      <c r="K274" s="166" t="s">
        <v>79</v>
      </c>
      <c r="L274" s="166" t="s">
        <v>80</v>
      </c>
      <c r="M274" s="205">
        <v>2.0</v>
      </c>
      <c r="N274" s="170">
        <v>0.19999999999999996</v>
      </c>
      <c r="O274" s="171">
        <v>175.92</v>
      </c>
      <c r="P274" s="171">
        <v>140.736</v>
      </c>
      <c r="Q274" s="172">
        <v>0.0</v>
      </c>
      <c r="R274" s="173">
        <v>422.20799999999997</v>
      </c>
      <c r="S274" s="173">
        <v>0.0</v>
      </c>
      <c r="T274" s="173">
        <v>542.76</v>
      </c>
      <c r="U274" s="174" t="s">
        <v>161</v>
      </c>
      <c r="V274" s="165">
        <v>45949.0</v>
      </c>
      <c r="W274" s="175"/>
      <c r="X274" s="175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75"/>
      <c r="AI274" s="175"/>
    </row>
    <row r="275">
      <c r="A275" s="165">
        <v>46011.0</v>
      </c>
      <c r="B275" s="166">
        <v>7940971.0</v>
      </c>
      <c r="C275" s="166" t="s">
        <v>89</v>
      </c>
      <c r="D275" s="166" t="s">
        <v>35</v>
      </c>
      <c r="E275" s="166">
        <v>5.274153418E9</v>
      </c>
      <c r="F275" s="166" t="s">
        <v>463</v>
      </c>
      <c r="G275" s="165">
        <v>46084.0</v>
      </c>
      <c r="H275" s="167">
        <v>46087.0</v>
      </c>
      <c r="I275" s="168">
        <v>3.0</v>
      </c>
      <c r="J275" s="169" t="s">
        <v>114</v>
      </c>
      <c r="K275" s="166" t="s">
        <v>79</v>
      </c>
      <c r="L275" s="166" t="s">
        <v>80</v>
      </c>
      <c r="M275" s="166">
        <v>0.0</v>
      </c>
      <c r="N275" s="170">
        <v>0.0</v>
      </c>
      <c r="O275" s="171">
        <v>0.0</v>
      </c>
      <c r="P275" s="171">
        <v>0.0</v>
      </c>
      <c r="Q275" s="172">
        <v>0.0</v>
      </c>
      <c r="R275" s="173">
        <v>0.0</v>
      </c>
      <c r="S275" s="173">
        <v>0.0</v>
      </c>
      <c r="T275" s="173">
        <v>0.0</v>
      </c>
      <c r="U275" s="174" t="s">
        <v>465</v>
      </c>
      <c r="V275" s="165">
        <v>46012.0</v>
      </c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</row>
    <row r="276">
      <c r="A276" s="165">
        <v>46042.0</v>
      </c>
      <c r="B276" s="166">
        <v>8058200.0</v>
      </c>
      <c r="C276" s="166" t="s">
        <v>82</v>
      </c>
      <c r="D276" s="166" t="s">
        <v>35</v>
      </c>
      <c r="E276" s="166">
        <v>5.981426166E9</v>
      </c>
      <c r="F276" s="166" t="s">
        <v>466</v>
      </c>
      <c r="G276" s="165">
        <v>46084.0</v>
      </c>
      <c r="H276" s="167">
        <v>46088.0</v>
      </c>
      <c r="I276" s="168">
        <v>4.0</v>
      </c>
      <c r="J276" s="169" t="s">
        <v>91</v>
      </c>
      <c r="K276" s="166" t="s">
        <v>79</v>
      </c>
      <c r="L276" s="166" t="s">
        <v>80</v>
      </c>
      <c r="M276" s="205">
        <v>4.0</v>
      </c>
      <c r="N276" s="170">
        <v>0.19999999999999996</v>
      </c>
      <c r="O276" s="171">
        <v>395.09</v>
      </c>
      <c r="P276" s="171">
        <v>316.072</v>
      </c>
      <c r="Q276" s="172">
        <v>0.0</v>
      </c>
      <c r="R276" s="173">
        <v>1264.288</v>
      </c>
      <c r="S276" s="173">
        <v>0.0</v>
      </c>
      <c r="T276" s="173">
        <v>1620.36</v>
      </c>
      <c r="U276" s="174" t="s">
        <v>107</v>
      </c>
      <c r="V276" s="165">
        <v>46042.0</v>
      </c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  <c r="AH276" s="175"/>
      <c r="AI276" s="175"/>
    </row>
    <row r="277">
      <c r="A277" s="165">
        <v>46046.0</v>
      </c>
      <c r="B277" s="166">
        <v>8075442.0</v>
      </c>
      <c r="C277" s="166" t="s">
        <v>89</v>
      </c>
      <c r="D277" s="166" t="s">
        <v>35</v>
      </c>
      <c r="E277" s="166">
        <v>6.064410215E9</v>
      </c>
      <c r="F277" s="166" t="s">
        <v>467</v>
      </c>
      <c r="G277" s="165">
        <v>46084.0</v>
      </c>
      <c r="H277" s="167">
        <v>46086.0</v>
      </c>
      <c r="I277" s="168">
        <v>2.0</v>
      </c>
      <c r="J277" s="169" t="s">
        <v>87</v>
      </c>
      <c r="K277" s="166" t="s">
        <v>79</v>
      </c>
      <c r="L277" s="166" t="s">
        <v>80</v>
      </c>
      <c r="M277" s="205">
        <v>0.0</v>
      </c>
      <c r="N277" s="170">
        <v>0.0</v>
      </c>
      <c r="O277" s="171">
        <v>0.0</v>
      </c>
      <c r="P277" s="171">
        <v>0.0</v>
      </c>
      <c r="Q277" s="172">
        <v>0.0</v>
      </c>
      <c r="R277" s="173">
        <v>0.0</v>
      </c>
      <c r="S277" s="173">
        <v>0.0</v>
      </c>
      <c r="T277" s="173">
        <v>0.0</v>
      </c>
      <c r="U277" s="201" t="s">
        <v>468</v>
      </c>
      <c r="V277" s="165">
        <v>46067.0</v>
      </c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</row>
    <row r="278">
      <c r="A278" s="165">
        <v>46053.0</v>
      </c>
      <c r="B278" s="166">
        <v>8105868.0</v>
      </c>
      <c r="C278" s="166" t="s">
        <v>82</v>
      </c>
      <c r="D278" s="166" t="s">
        <v>35</v>
      </c>
      <c r="E278" s="166">
        <v>6.098571784E9</v>
      </c>
      <c r="F278" s="166" t="s">
        <v>469</v>
      </c>
      <c r="G278" s="165">
        <v>46084.0</v>
      </c>
      <c r="H278" s="167">
        <v>46085.0</v>
      </c>
      <c r="I278" s="168">
        <v>1.0</v>
      </c>
      <c r="J278" s="169" t="s">
        <v>111</v>
      </c>
      <c r="K278" s="166" t="s">
        <v>79</v>
      </c>
      <c r="L278" s="166" t="s">
        <v>80</v>
      </c>
      <c r="M278" s="166">
        <v>2.0</v>
      </c>
      <c r="N278" s="170">
        <v>0.19999999999999996</v>
      </c>
      <c r="O278" s="171">
        <v>202.2</v>
      </c>
      <c r="P278" s="171">
        <v>161.76</v>
      </c>
      <c r="Q278" s="172">
        <v>0.0</v>
      </c>
      <c r="R278" s="173">
        <v>161.76</v>
      </c>
      <c r="S278" s="173">
        <v>0.0</v>
      </c>
      <c r="T278" s="173">
        <v>207.2</v>
      </c>
      <c r="U278" s="201" t="s">
        <v>143</v>
      </c>
      <c r="V278" s="165">
        <v>46053.0</v>
      </c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  <c r="AH278" s="175"/>
      <c r="AI278" s="175"/>
    </row>
    <row r="279">
      <c r="A279" s="176">
        <v>46072.0</v>
      </c>
      <c r="B279" s="177">
        <v>8196744.0</v>
      </c>
      <c r="C279" s="178" t="s">
        <v>82</v>
      </c>
      <c r="D279" s="178" t="s">
        <v>35</v>
      </c>
      <c r="E279" s="177">
        <v>5.420606019E9</v>
      </c>
      <c r="F279" s="178" t="s">
        <v>471</v>
      </c>
      <c r="G279" s="176">
        <v>46084.0</v>
      </c>
      <c r="H279" s="179">
        <v>46086.0</v>
      </c>
      <c r="I279" s="180">
        <v>2.0</v>
      </c>
      <c r="J279" s="181" t="s">
        <v>87</v>
      </c>
      <c r="K279" s="178" t="s">
        <v>79</v>
      </c>
      <c r="L279" s="178" t="s">
        <v>80</v>
      </c>
      <c r="M279" s="182">
        <v>2.0</v>
      </c>
      <c r="N279" s="183">
        <v>0.19999999999999996</v>
      </c>
      <c r="O279" s="184">
        <v>148.67</v>
      </c>
      <c r="P279" s="184">
        <v>118.93599999999999</v>
      </c>
      <c r="Q279" s="185">
        <v>0.0</v>
      </c>
      <c r="R279" s="186">
        <v>237.87199999999999</v>
      </c>
      <c r="S279" s="186">
        <v>0.0</v>
      </c>
      <c r="T279" s="186">
        <v>307.34</v>
      </c>
      <c r="U279" s="187" t="s">
        <v>183</v>
      </c>
      <c r="V279" s="176">
        <v>46072.0</v>
      </c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75"/>
      <c r="AI279" s="175"/>
    </row>
    <row r="280">
      <c r="A280" s="165">
        <v>45956.0</v>
      </c>
      <c r="B280" s="166">
        <v>7730755.0</v>
      </c>
      <c r="C280" s="166" t="s">
        <v>89</v>
      </c>
      <c r="D280" s="166" t="s">
        <v>35</v>
      </c>
      <c r="E280" s="166">
        <v>5.266844716E9</v>
      </c>
      <c r="F280" s="166" t="s">
        <v>472</v>
      </c>
      <c r="G280" s="165">
        <v>46085.0</v>
      </c>
      <c r="H280" s="167">
        <v>46088.0</v>
      </c>
      <c r="I280" s="168">
        <v>3.0</v>
      </c>
      <c r="J280" s="169" t="s">
        <v>111</v>
      </c>
      <c r="K280" s="166" t="s">
        <v>79</v>
      </c>
      <c r="L280" s="166" t="s">
        <v>80</v>
      </c>
      <c r="M280" s="166">
        <v>0.0</v>
      </c>
      <c r="N280" s="170">
        <v>0.0</v>
      </c>
      <c r="O280" s="171">
        <v>0.0</v>
      </c>
      <c r="P280" s="171">
        <v>0.0</v>
      </c>
      <c r="Q280" s="172">
        <v>0.0</v>
      </c>
      <c r="R280" s="173">
        <v>0.0</v>
      </c>
      <c r="S280" s="173">
        <v>0.0</v>
      </c>
      <c r="T280" s="173">
        <v>0.0</v>
      </c>
      <c r="U280" s="174" t="s">
        <v>473</v>
      </c>
      <c r="V280" s="165">
        <v>45957.0</v>
      </c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75"/>
      <c r="AG280" s="175"/>
      <c r="AH280" s="175"/>
      <c r="AI280" s="175"/>
    </row>
    <row r="281">
      <c r="A281" s="165">
        <v>46017.0</v>
      </c>
      <c r="B281" s="166">
        <v>7960258.0</v>
      </c>
      <c r="C281" s="166" t="s">
        <v>82</v>
      </c>
      <c r="D281" s="166" t="s">
        <v>35</v>
      </c>
      <c r="E281" s="166">
        <v>6.534291547E9</v>
      </c>
      <c r="F281" s="166" t="s">
        <v>474</v>
      </c>
      <c r="G281" s="165">
        <v>46085.0</v>
      </c>
      <c r="H281" s="167">
        <v>46087.0</v>
      </c>
      <c r="I281" s="168">
        <v>2.0</v>
      </c>
      <c r="J281" s="169" t="s">
        <v>114</v>
      </c>
      <c r="K281" s="166" t="s">
        <v>79</v>
      </c>
      <c r="L281" s="166" t="s">
        <v>80</v>
      </c>
      <c r="M281" s="166">
        <v>2.0</v>
      </c>
      <c r="N281" s="170">
        <v>0.19999999999999996</v>
      </c>
      <c r="O281" s="171">
        <v>177.23</v>
      </c>
      <c r="P281" s="171">
        <v>141.784</v>
      </c>
      <c r="Q281" s="172">
        <v>0.0</v>
      </c>
      <c r="R281" s="173">
        <v>283.568</v>
      </c>
      <c r="S281" s="173">
        <v>0.0</v>
      </c>
      <c r="T281" s="173">
        <v>1012.14</v>
      </c>
      <c r="U281" s="174" t="s">
        <v>107</v>
      </c>
      <c r="V281" s="165">
        <v>46017.0</v>
      </c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</row>
    <row r="282">
      <c r="A282" s="165">
        <v>46017.0</v>
      </c>
      <c r="B282" s="166">
        <v>7960258.0</v>
      </c>
      <c r="C282" s="166" t="s">
        <v>82</v>
      </c>
      <c r="D282" s="166" t="s">
        <v>35</v>
      </c>
      <c r="E282" s="166">
        <v>6.534291547E9</v>
      </c>
      <c r="F282" s="166" t="s">
        <v>474</v>
      </c>
      <c r="G282" s="165">
        <v>46085.0</v>
      </c>
      <c r="H282" s="167">
        <v>46087.0</v>
      </c>
      <c r="I282" s="168">
        <v>2.0</v>
      </c>
      <c r="J282" s="169" t="s">
        <v>78</v>
      </c>
      <c r="K282" s="166" t="s">
        <v>79</v>
      </c>
      <c r="L282" s="166" t="s">
        <v>80</v>
      </c>
      <c r="M282" s="166">
        <v>2.0</v>
      </c>
      <c r="N282" s="170">
        <v>0.19999999999999996</v>
      </c>
      <c r="O282" s="171">
        <v>156.92</v>
      </c>
      <c r="P282" s="171">
        <v>125.536</v>
      </c>
      <c r="Q282" s="172">
        <v>0.0</v>
      </c>
      <c r="R282" s="173">
        <v>251.072</v>
      </c>
      <c r="S282" s="173">
        <v>0.0</v>
      </c>
      <c r="T282" s="173">
        <v>1012.14</v>
      </c>
      <c r="U282" s="174" t="s">
        <v>107</v>
      </c>
      <c r="V282" s="165">
        <v>46017.0</v>
      </c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  <c r="AI282" s="175"/>
    </row>
    <row r="283">
      <c r="A283" s="176">
        <v>46017.0</v>
      </c>
      <c r="B283" s="177">
        <v>7960258.0</v>
      </c>
      <c r="C283" s="178" t="s">
        <v>82</v>
      </c>
      <c r="D283" s="178" t="s">
        <v>35</v>
      </c>
      <c r="E283" s="177">
        <v>6.534291547E9</v>
      </c>
      <c r="F283" s="178" t="s">
        <v>474</v>
      </c>
      <c r="G283" s="176">
        <v>46085.0</v>
      </c>
      <c r="H283" s="179">
        <v>46087.0</v>
      </c>
      <c r="I283" s="180">
        <v>2.0</v>
      </c>
      <c r="J283" s="181" t="s">
        <v>78</v>
      </c>
      <c r="K283" s="178" t="s">
        <v>79</v>
      </c>
      <c r="L283" s="178" t="s">
        <v>80</v>
      </c>
      <c r="M283" s="182">
        <v>2.0</v>
      </c>
      <c r="N283" s="183">
        <v>0.19999999999999996</v>
      </c>
      <c r="O283" s="184">
        <v>156.92</v>
      </c>
      <c r="P283" s="184">
        <v>125.536</v>
      </c>
      <c r="Q283" s="185">
        <v>0.0</v>
      </c>
      <c r="R283" s="186">
        <v>251.072</v>
      </c>
      <c r="S283" s="186">
        <v>0.0</v>
      </c>
      <c r="T283" s="186">
        <v>1012.14</v>
      </c>
      <c r="U283" s="187" t="s">
        <v>107</v>
      </c>
      <c r="V283" s="176">
        <v>46017.0</v>
      </c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75"/>
      <c r="AI283" s="175"/>
    </row>
    <row r="284">
      <c r="A284" s="165">
        <v>46024.0</v>
      </c>
      <c r="B284" s="166">
        <v>7984107.0</v>
      </c>
      <c r="C284" s="166" t="s">
        <v>89</v>
      </c>
      <c r="D284" s="166" t="s">
        <v>35</v>
      </c>
      <c r="E284" s="166">
        <v>6.27196499E9</v>
      </c>
      <c r="F284" s="166" t="s">
        <v>476</v>
      </c>
      <c r="G284" s="165">
        <v>46085.0</v>
      </c>
      <c r="H284" s="167">
        <v>46089.0</v>
      </c>
      <c r="I284" s="168">
        <v>4.0</v>
      </c>
      <c r="J284" s="169" t="s">
        <v>111</v>
      </c>
      <c r="K284" s="166" t="s">
        <v>79</v>
      </c>
      <c r="L284" s="166" t="s">
        <v>80</v>
      </c>
      <c r="M284" s="166">
        <v>0.0</v>
      </c>
      <c r="N284" s="170">
        <v>0.0</v>
      </c>
      <c r="O284" s="171">
        <v>0.0</v>
      </c>
      <c r="P284" s="171">
        <v>0.0</v>
      </c>
      <c r="Q284" s="172">
        <v>0.0</v>
      </c>
      <c r="R284" s="173">
        <v>0.0</v>
      </c>
      <c r="S284" s="173">
        <v>0.0</v>
      </c>
      <c r="T284" s="173">
        <v>0.0</v>
      </c>
      <c r="U284" s="174" t="s">
        <v>477</v>
      </c>
      <c r="V284" s="165">
        <v>46084.0</v>
      </c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75"/>
      <c r="AI284" s="175"/>
    </row>
    <row r="285">
      <c r="A285" s="165">
        <v>46025.0</v>
      </c>
      <c r="B285" s="166">
        <v>7985963.0</v>
      </c>
      <c r="C285" s="166" t="s">
        <v>82</v>
      </c>
      <c r="D285" s="166" t="s">
        <v>35</v>
      </c>
      <c r="E285" s="166">
        <v>5.742469524E9</v>
      </c>
      <c r="F285" s="166" t="s">
        <v>478</v>
      </c>
      <c r="G285" s="165">
        <v>46085.0</v>
      </c>
      <c r="H285" s="167">
        <v>46087.0</v>
      </c>
      <c r="I285" s="168">
        <v>2.0</v>
      </c>
      <c r="J285" s="169" t="s">
        <v>111</v>
      </c>
      <c r="K285" s="166" t="s">
        <v>79</v>
      </c>
      <c r="L285" s="166" t="s">
        <v>80</v>
      </c>
      <c r="M285" s="166">
        <v>2.0</v>
      </c>
      <c r="N285" s="170">
        <v>0.19999999999999996</v>
      </c>
      <c r="O285" s="171">
        <v>197.53</v>
      </c>
      <c r="P285" s="171">
        <v>158.024</v>
      </c>
      <c r="Q285" s="172">
        <v>0.0</v>
      </c>
      <c r="R285" s="173">
        <v>316.048</v>
      </c>
      <c r="S285" s="173">
        <v>0.0</v>
      </c>
      <c r="T285" s="173">
        <v>405.06</v>
      </c>
      <c r="U285" s="174" t="s">
        <v>107</v>
      </c>
      <c r="V285" s="165">
        <v>46025.0</v>
      </c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</row>
    <row r="286">
      <c r="A286" s="190">
        <v>45942.0</v>
      </c>
      <c r="B286" s="191">
        <v>7676151.0</v>
      </c>
      <c r="C286" s="192" t="s">
        <v>75</v>
      </c>
      <c r="D286" s="192" t="s">
        <v>35</v>
      </c>
      <c r="E286" s="191">
        <v>5.939471294E9</v>
      </c>
      <c r="F286" s="192" t="s">
        <v>480</v>
      </c>
      <c r="G286" s="190">
        <v>46086.0</v>
      </c>
      <c r="H286" s="193">
        <v>46089.0</v>
      </c>
      <c r="I286" s="194">
        <v>3.0</v>
      </c>
      <c r="J286" s="195" t="s">
        <v>78</v>
      </c>
      <c r="K286" s="192" t="s">
        <v>79</v>
      </c>
      <c r="L286" s="192" t="s">
        <v>80</v>
      </c>
      <c r="M286" s="191">
        <v>2.0</v>
      </c>
      <c r="N286" s="196">
        <v>0.19999999999999996</v>
      </c>
      <c r="O286" s="197">
        <v>220.17999999999998</v>
      </c>
      <c r="P286" s="197">
        <v>176.144</v>
      </c>
      <c r="Q286" s="198">
        <v>0.0</v>
      </c>
      <c r="R286" s="199">
        <v>528.432</v>
      </c>
      <c r="S286" s="199">
        <v>0.0</v>
      </c>
      <c r="T286" s="199">
        <v>675.54</v>
      </c>
      <c r="U286" s="200" t="s">
        <v>481</v>
      </c>
      <c r="V286" s="190">
        <v>45942.0</v>
      </c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</row>
    <row r="287">
      <c r="A287" s="165">
        <v>45971.0</v>
      </c>
      <c r="B287" s="166">
        <v>7791101.0</v>
      </c>
      <c r="C287" s="166" t="s">
        <v>82</v>
      </c>
      <c r="D287" s="166" t="s">
        <v>35</v>
      </c>
      <c r="E287" s="166">
        <v>5.532111865E9</v>
      </c>
      <c r="F287" s="166" t="s">
        <v>482</v>
      </c>
      <c r="G287" s="165">
        <v>46086.0</v>
      </c>
      <c r="H287" s="167">
        <v>46090.0</v>
      </c>
      <c r="I287" s="168">
        <v>4.0</v>
      </c>
      <c r="J287" s="169" t="s">
        <v>87</v>
      </c>
      <c r="K287" s="166" t="s">
        <v>79</v>
      </c>
      <c r="L287" s="166" t="s">
        <v>80</v>
      </c>
      <c r="M287" s="166">
        <v>2.0</v>
      </c>
      <c r="N287" s="170">
        <v>0.19999999999999996</v>
      </c>
      <c r="O287" s="171">
        <v>180.94</v>
      </c>
      <c r="P287" s="171">
        <v>144.752</v>
      </c>
      <c r="Q287" s="172">
        <v>0.0</v>
      </c>
      <c r="R287" s="173">
        <v>579.008</v>
      </c>
      <c r="S287" s="173">
        <v>0.0</v>
      </c>
      <c r="T287" s="173">
        <v>743.76</v>
      </c>
      <c r="U287" s="174" t="s">
        <v>161</v>
      </c>
      <c r="V287" s="165">
        <v>45971.0</v>
      </c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</row>
    <row r="288">
      <c r="A288" s="165">
        <v>45973.0</v>
      </c>
      <c r="B288" s="166">
        <v>7796197.0</v>
      </c>
      <c r="C288" s="166" t="s">
        <v>89</v>
      </c>
      <c r="D288" s="166" t="s">
        <v>101</v>
      </c>
      <c r="E288" s="166">
        <v>2.330015467E9</v>
      </c>
      <c r="F288" s="166" t="s">
        <v>483</v>
      </c>
      <c r="G288" s="165">
        <v>46086.0</v>
      </c>
      <c r="H288" s="167">
        <v>46087.0</v>
      </c>
      <c r="I288" s="168">
        <v>1.0</v>
      </c>
      <c r="J288" s="169" t="s">
        <v>78</v>
      </c>
      <c r="K288" s="166" t="s">
        <v>79</v>
      </c>
      <c r="L288" s="166" t="s">
        <v>103</v>
      </c>
      <c r="M288" s="166">
        <v>0.0</v>
      </c>
      <c r="N288" s="170">
        <v>0.0</v>
      </c>
      <c r="O288" s="171">
        <v>0.0</v>
      </c>
      <c r="P288" s="171">
        <v>0.0</v>
      </c>
      <c r="Q288" s="172">
        <v>0.0</v>
      </c>
      <c r="R288" s="173">
        <v>0.0</v>
      </c>
      <c r="S288" s="173">
        <v>0.0</v>
      </c>
      <c r="T288" s="173">
        <v>0.0</v>
      </c>
      <c r="U288" s="201" t="s">
        <v>484</v>
      </c>
      <c r="V288" s="165">
        <v>46072.0</v>
      </c>
      <c r="W288" s="175"/>
      <c r="X288" s="175"/>
      <c r="Y288" s="175"/>
      <c r="Z288" s="175"/>
      <c r="AA288" s="175"/>
      <c r="AB288" s="175"/>
      <c r="AC288" s="175"/>
      <c r="AD288" s="175"/>
      <c r="AE288" s="175"/>
      <c r="AF288" s="175"/>
      <c r="AG288" s="175"/>
      <c r="AH288" s="175"/>
      <c r="AI288" s="175"/>
    </row>
    <row r="289">
      <c r="A289" s="165">
        <v>46002.0</v>
      </c>
      <c r="B289" s="166">
        <v>7908552.0</v>
      </c>
      <c r="C289" s="166" t="s">
        <v>82</v>
      </c>
      <c r="D289" s="166" t="s">
        <v>94</v>
      </c>
      <c r="E289" s="166">
        <v>7908552.0</v>
      </c>
      <c r="F289" s="166" t="s">
        <v>485</v>
      </c>
      <c r="G289" s="165">
        <v>46086.0</v>
      </c>
      <c r="H289" s="167">
        <v>46087.0</v>
      </c>
      <c r="I289" s="168">
        <v>1.0</v>
      </c>
      <c r="J289" s="169" t="s">
        <v>78</v>
      </c>
      <c r="K289" s="166" t="s">
        <v>79</v>
      </c>
      <c r="L289" s="166" t="s">
        <v>96</v>
      </c>
      <c r="M289" s="205">
        <v>2.0</v>
      </c>
      <c r="N289" s="170">
        <v>0.0</v>
      </c>
      <c r="O289" s="171">
        <v>239.76</v>
      </c>
      <c r="P289" s="171">
        <v>239.76</v>
      </c>
      <c r="Q289" s="172">
        <v>0.0</v>
      </c>
      <c r="R289" s="173">
        <v>239.76</v>
      </c>
      <c r="S289" s="173">
        <v>0.0</v>
      </c>
      <c r="T289" s="173">
        <v>244.76</v>
      </c>
      <c r="U289" s="174" t="s">
        <v>97</v>
      </c>
      <c r="V289" s="165">
        <v>46002.0</v>
      </c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  <c r="AH289" s="175"/>
      <c r="AI289" s="175"/>
    </row>
    <row r="290">
      <c r="A290" s="165">
        <v>45898.0</v>
      </c>
      <c r="B290" s="166">
        <v>7489192.0</v>
      </c>
      <c r="C290" s="166" t="s">
        <v>89</v>
      </c>
      <c r="D290" s="166" t="s">
        <v>35</v>
      </c>
      <c r="E290" s="166">
        <v>5.442656178E9</v>
      </c>
      <c r="F290" s="166" t="s">
        <v>425</v>
      </c>
      <c r="G290" s="165">
        <v>46087.0</v>
      </c>
      <c r="H290" s="167">
        <v>46092.0</v>
      </c>
      <c r="I290" s="168">
        <v>5.0</v>
      </c>
      <c r="J290" s="169" t="s">
        <v>78</v>
      </c>
      <c r="K290" s="166" t="s">
        <v>79</v>
      </c>
      <c r="L290" s="166" t="s">
        <v>80</v>
      </c>
      <c r="M290" s="205">
        <v>0.0</v>
      </c>
      <c r="N290" s="170">
        <v>0.0</v>
      </c>
      <c r="O290" s="171">
        <v>0.0</v>
      </c>
      <c r="P290" s="171">
        <v>0.0</v>
      </c>
      <c r="Q290" s="172">
        <v>0.0</v>
      </c>
      <c r="R290" s="173">
        <v>0.0</v>
      </c>
      <c r="S290" s="173">
        <v>0.0</v>
      </c>
      <c r="T290" s="173">
        <v>0.0</v>
      </c>
      <c r="U290" s="174" t="s">
        <v>426</v>
      </c>
      <c r="V290" s="165">
        <v>46064.0</v>
      </c>
      <c r="W290" s="175"/>
      <c r="X290" s="175"/>
      <c r="Y290" s="175"/>
      <c r="Z290" s="175"/>
      <c r="AA290" s="175"/>
      <c r="AB290" s="175"/>
      <c r="AC290" s="175"/>
      <c r="AD290" s="175"/>
      <c r="AE290" s="175"/>
      <c r="AF290" s="175"/>
      <c r="AG290" s="175"/>
      <c r="AH290" s="175"/>
      <c r="AI290" s="175"/>
    </row>
    <row r="291">
      <c r="A291" s="165">
        <v>45919.0</v>
      </c>
      <c r="B291" s="166">
        <v>7579487.0</v>
      </c>
      <c r="C291" s="166" t="s">
        <v>89</v>
      </c>
      <c r="D291" s="166" t="s">
        <v>35</v>
      </c>
      <c r="E291" s="166">
        <v>5.447094612E9</v>
      </c>
      <c r="F291" s="166" t="s">
        <v>486</v>
      </c>
      <c r="G291" s="165">
        <v>46087.0</v>
      </c>
      <c r="H291" s="167">
        <v>46090.0</v>
      </c>
      <c r="I291" s="168">
        <v>3.0</v>
      </c>
      <c r="J291" s="169" t="s">
        <v>87</v>
      </c>
      <c r="K291" s="166" t="s">
        <v>79</v>
      </c>
      <c r="L291" s="166" t="s">
        <v>80</v>
      </c>
      <c r="M291" s="166">
        <v>0.0</v>
      </c>
      <c r="N291" s="170">
        <v>0.0</v>
      </c>
      <c r="O291" s="171">
        <v>0.0</v>
      </c>
      <c r="P291" s="171">
        <v>0.0</v>
      </c>
      <c r="Q291" s="172">
        <v>0.0</v>
      </c>
      <c r="R291" s="173">
        <v>0.0</v>
      </c>
      <c r="S291" s="173">
        <v>0.0</v>
      </c>
      <c r="T291" s="173">
        <v>0.0</v>
      </c>
      <c r="U291" s="201" t="s">
        <v>307</v>
      </c>
      <c r="V291" s="165">
        <v>45959.0</v>
      </c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  <c r="AH291" s="175"/>
      <c r="AI291" s="175"/>
    </row>
    <row r="292">
      <c r="A292" s="154">
        <v>45922.0</v>
      </c>
      <c r="B292" s="155">
        <v>7592340.0</v>
      </c>
      <c r="C292" s="156" t="s">
        <v>82</v>
      </c>
      <c r="D292" s="156" t="s">
        <v>35</v>
      </c>
      <c r="E292" s="155">
        <v>6.62439705E9</v>
      </c>
      <c r="F292" s="156" t="s">
        <v>488</v>
      </c>
      <c r="G292" s="154">
        <v>46087.0</v>
      </c>
      <c r="H292" s="157">
        <v>46089.0</v>
      </c>
      <c r="I292" s="158">
        <v>2.0</v>
      </c>
      <c r="J292" s="159" t="s">
        <v>78</v>
      </c>
      <c r="K292" s="156" t="s">
        <v>79</v>
      </c>
      <c r="L292" s="156" t="s">
        <v>80</v>
      </c>
      <c r="M292" s="155">
        <v>2.0</v>
      </c>
      <c r="N292" s="160">
        <v>0.19999999999999996</v>
      </c>
      <c r="O292" s="161">
        <v>143.6</v>
      </c>
      <c r="P292" s="161">
        <v>114.88</v>
      </c>
      <c r="Q292" s="203">
        <v>0.0</v>
      </c>
      <c r="R292" s="162">
        <v>229.76</v>
      </c>
      <c r="S292" s="162">
        <v>0.0</v>
      </c>
      <c r="T292" s="162">
        <v>297.2</v>
      </c>
      <c r="U292" s="163" t="s">
        <v>88</v>
      </c>
      <c r="V292" s="216">
        <v>45922.0</v>
      </c>
      <c r="W292" s="175"/>
      <c r="X292" s="175"/>
      <c r="Y292" s="175"/>
      <c r="Z292" s="175"/>
      <c r="AA292" s="175"/>
      <c r="AB292" s="175"/>
      <c r="AC292" s="175"/>
      <c r="AD292" s="175"/>
      <c r="AE292" s="175"/>
      <c r="AF292" s="175"/>
      <c r="AG292" s="175"/>
      <c r="AH292" s="175"/>
      <c r="AI292" s="175"/>
    </row>
    <row r="293">
      <c r="A293" s="154">
        <v>45950.0</v>
      </c>
      <c r="B293" s="155">
        <v>7708690.0</v>
      </c>
      <c r="C293" s="156" t="s">
        <v>82</v>
      </c>
      <c r="D293" s="156" t="s">
        <v>35</v>
      </c>
      <c r="E293" s="155">
        <v>5.412936339E9</v>
      </c>
      <c r="F293" s="156" t="s">
        <v>489</v>
      </c>
      <c r="G293" s="154">
        <v>46087.0</v>
      </c>
      <c r="H293" s="157">
        <v>46089.0</v>
      </c>
      <c r="I293" s="158">
        <v>2.0</v>
      </c>
      <c r="J293" s="159" t="s">
        <v>114</v>
      </c>
      <c r="K293" s="156" t="s">
        <v>79</v>
      </c>
      <c r="L293" s="156" t="s">
        <v>80</v>
      </c>
      <c r="M293" s="202">
        <v>2.0</v>
      </c>
      <c r="N293" s="160">
        <v>0.19999999999999996</v>
      </c>
      <c r="O293" s="161">
        <v>156.83</v>
      </c>
      <c r="P293" s="161">
        <v>125.46400000000001</v>
      </c>
      <c r="Q293" s="203">
        <v>0.0</v>
      </c>
      <c r="R293" s="162">
        <v>250.92800000000003</v>
      </c>
      <c r="S293" s="162">
        <v>0.0</v>
      </c>
      <c r="T293" s="162">
        <v>647.32</v>
      </c>
      <c r="U293" s="163" t="s">
        <v>107</v>
      </c>
      <c r="V293" s="154">
        <v>45950.0</v>
      </c>
      <c r="W293" s="175"/>
      <c r="X293" s="175"/>
      <c r="Y293" s="175"/>
      <c r="Z293" s="175"/>
      <c r="AA293" s="175"/>
      <c r="AB293" s="175"/>
      <c r="AC293" s="175"/>
      <c r="AD293" s="175"/>
      <c r="AE293" s="175"/>
      <c r="AF293" s="175"/>
      <c r="AG293" s="175"/>
      <c r="AH293" s="175"/>
      <c r="AI293" s="175"/>
    </row>
    <row r="294">
      <c r="A294" s="154">
        <v>45950.0</v>
      </c>
      <c r="B294" s="155">
        <v>7708690.0</v>
      </c>
      <c r="C294" s="156" t="s">
        <v>82</v>
      </c>
      <c r="D294" s="156" t="s">
        <v>35</v>
      </c>
      <c r="E294" s="155">
        <v>5.412936339E9</v>
      </c>
      <c r="F294" s="156" t="s">
        <v>489</v>
      </c>
      <c r="G294" s="154">
        <v>46087.0</v>
      </c>
      <c r="H294" s="157">
        <v>46089.0</v>
      </c>
      <c r="I294" s="158">
        <v>2.0</v>
      </c>
      <c r="J294" s="159" t="s">
        <v>114</v>
      </c>
      <c r="K294" s="156" t="s">
        <v>79</v>
      </c>
      <c r="L294" s="156" t="s">
        <v>80</v>
      </c>
      <c r="M294" s="202">
        <v>2.0</v>
      </c>
      <c r="N294" s="160">
        <v>0.19999999999999996</v>
      </c>
      <c r="O294" s="161">
        <v>156.83</v>
      </c>
      <c r="P294" s="161">
        <v>125.46400000000001</v>
      </c>
      <c r="Q294" s="203">
        <v>0.0</v>
      </c>
      <c r="R294" s="162">
        <v>250.92800000000003</v>
      </c>
      <c r="S294" s="162">
        <v>0.0</v>
      </c>
      <c r="T294" s="162">
        <v>647.32</v>
      </c>
      <c r="U294" s="163" t="s">
        <v>107</v>
      </c>
      <c r="V294" s="154">
        <v>45950.0</v>
      </c>
      <c r="W294" s="175"/>
      <c r="X294" s="175"/>
      <c r="Y294" s="175"/>
      <c r="Z294" s="175"/>
      <c r="AA294" s="175"/>
      <c r="AB294" s="175"/>
      <c r="AC294" s="175"/>
      <c r="AD294" s="175"/>
      <c r="AE294" s="175"/>
      <c r="AF294" s="175"/>
      <c r="AG294" s="175"/>
      <c r="AH294" s="175"/>
      <c r="AI294" s="175"/>
    </row>
    <row r="295">
      <c r="A295" s="165">
        <v>45956.0</v>
      </c>
      <c r="B295" s="166">
        <v>7733724.0</v>
      </c>
      <c r="C295" s="166" t="s">
        <v>82</v>
      </c>
      <c r="D295" s="166" t="s">
        <v>35</v>
      </c>
      <c r="E295" s="166">
        <v>5.678983576E9</v>
      </c>
      <c r="F295" s="166" t="s">
        <v>490</v>
      </c>
      <c r="G295" s="165">
        <v>46087.0</v>
      </c>
      <c r="H295" s="167">
        <v>46090.0</v>
      </c>
      <c r="I295" s="168">
        <v>3.0</v>
      </c>
      <c r="J295" s="169" t="s">
        <v>78</v>
      </c>
      <c r="K295" s="166" t="s">
        <v>79</v>
      </c>
      <c r="L295" s="166" t="s">
        <v>80</v>
      </c>
      <c r="M295" s="166">
        <v>3.0</v>
      </c>
      <c r="N295" s="169">
        <v>0.19999999999999996</v>
      </c>
      <c r="O295" s="171">
        <v>151.42</v>
      </c>
      <c r="P295" s="171">
        <v>121.136</v>
      </c>
      <c r="Q295" s="169">
        <v>0.0</v>
      </c>
      <c r="R295" s="173">
        <v>363.408</v>
      </c>
      <c r="S295" s="173">
        <v>0.0</v>
      </c>
      <c r="T295" s="173">
        <v>476.76</v>
      </c>
      <c r="U295" s="201" t="s">
        <v>107</v>
      </c>
      <c r="V295" s="165">
        <v>45956.0</v>
      </c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</row>
    <row r="296">
      <c r="A296" s="176">
        <v>45974.0</v>
      </c>
      <c r="B296" s="177">
        <v>7801406.0</v>
      </c>
      <c r="C296" s="178" t="s">
        <v>82</v>
      </c>
      <c r="D296" s="178" t="s">
        <v>36</v>
      </c>
      <c r="E296" s="177">
        <v>7801406.0</v>
      </c>
      <c r="F296" s="178" t="s">
        <v>485</v>
      </c>
      <c r="G296" s="176">
        <v>46087.0</v>
      </c>
      <c r="H296" s="179">
        <v>46089.0</v>
      </c>
      <c r="I296" s="180">
        <v>2.0</v>
      </c>
      <c r="J296" s="181" t="s">
        <v>78</v>
      </c>
      <c r="K296" s="178" t="s">
        <v>79</v>
      </c>
      <c r="L296" s="178" t="s">
        <v>80</v>
      </c>
      <c r="M296" s="182">
        <v>2.0</v>
      </c>
      <c r="N296" s="183">
        <v>0.0</v>
      </c>
      <c r="O296" s="184">
        <v>266.4</v>
      </c>
      <c r="P296" s="184">
        <v>263.736</v>
      </c>
      <c r="Q296" s="185">
        <v>0.0</v>
      </c>
      <c r="R296" s="186">
        <v>527.472</v>
      </c>
      <c r="S296" s="186">
        <v>0.0</v>
      </c>
      <c r="T296" s="186">
        <v>582.8</v>
      </c>
      <c r="U296" s="187" t="s">
        <v>492</v>
      </c>
      <c r="V296" s="176">
        <v>45974.0</v>
      </c>
      <c r="W296" s="175"/>
      <c r="X296" s="175"/>
      <c r="Y296" s="175"/>
      <c r="Z296" s="175"/>
      <c r="AA296" s="175"/>
      <c r="AB296" s="175"/>
      <c r="AC296" s="175"/>
      <c r="AD296" s="175"/>
      <c r="AE296" s="175"/>
      <c r="AF296" s="175"/>
      <c r="AG296" s="175"/>
      <c r="AH296" s="175"/>
      <c r="AI296" s="175"/>
    </row>
    <row r="297">
      <c r="A297" s="154">
        <v>45987.0</v>
      </c>
      <c r="B297" s="155">
        <v>7851171.0</v>
      </c>
      <c r="C297" s="156" t="s">
        <v>82</v>
      </c>
      <c r="D297" s="156" t="s">
        <v>35</v>
      </c>
      <c r="E297" s="155">
        <v>6.018763879E9</v>
      </c>
      <c r="F297" s="156" t="s">
        <v>493</v>
      </c>
      <c r="G297" s="154">
        <v>46087.0</v>
      </c>
      <c r="H297" s="157">
        <v>46092.0</v>
      </c>
      <c r="I297" s="158">
        <v>5.0</v>
      </c>
      <c r="J297" s="159" t="s">
        <v>111</v>
      </c>
      <c r="K297" s="156" t="s">
        <v>79</v>
      </c>
      <c r="L297" s="156" t="s">
        <v>80</v>
      </c>
      <c r="M297" s="155">
        <v>2.0</v>
      </c>
      <c r="N297" s="160">
        <v>0.19999999999999996</v>
      </c>
      <c r="O297" s="161">
        <v>252.07</v>
      </c>
      <c r="P297" s="161">
        <v>201.656</v>
      </c>
      <c r="Q297" s="159">
        <v>0.0</v>
      </c>
      <c r="R297" s="162">
        <v>1008.28</v>
      </c>
      <c r="S297" s="162">
        <v>0.0</v>
      </c>
      <c r="T297" s="162">
        <v>1285.35</v>
      </c>
      <c r="U297" s="163" t="s">
        <v>353</v>
      </c>
      <c r="V297" s="154">
        <v>45987.0</v>
      </c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/>
    </row>
    <row r="298">
      <c r="A298" s="176">
        <v>46066.0</v>
      </c>
      <c r="B298" s="177">
        <v>8168257.0</v>
      </c>
      <c r="C298" s="178" t="s">
        <v>82</v>
      </c>
      <c r="D298" s="178" t="s">
        <v>35</v>
      </c>
      <c r="E298" s="177">
        <v>5.691637456E9</v>
      </c>
      <c r="F298" s="178" t="s">
        <v>494</v>
      </c>
      <c r="G298" s="176">
        <v>46087.0</v>
      </c>
      <c r="H298" s="179">
        <v>46090.0</v>
      </c>
      <c r="I298" s="180">
        <v>3.0</v>
      </c>
      <c r="J298" s="181" t="s">
        <v>78</v>
      </c>
      <c r="K298" s="178" t="s">
        <v>79</v>
      </c>
      <c r="L298" s="178" t="s">
        <v>80</v>
      </c>
      <c r="M298" s="182">
        <v>2.0</v>
      </c>
      <c r="N298" s="183">
        <v>0.19999999999999996</v>
      </c>
      <c r="O298" s="184">
        <v>202.99</v>
      </c>
      <c r="P298" s="184">
        <v>162.39200000000002</v>
      </c>
      <c r="Q298" s="185">
        <v>0.0</v>
      </c>
      <c r="R298" s="186">
        <v>487.17600000000004</v>
      </c>
      <c r="S298" s="186">
        <v>0.0</v>
      </c>
      <c r="T298" s="186">
        <v>623.97</v>
      </c>
      <c r="U298" s="187" t="s">
        <v>316</v>
      </c>
      <c r="V298" s="176">
        <v>46066.0</v>
      </c>
      <c r="W298" s="175"/>
      <c r="X298" s="175"/>
      <c r="Y298" s="175"/>
      <c r="Z298" s="175"/>
      <c r="AA298" s="175"/>
      <c r="AB298" s="175"/>
      <c r="AC298" s="175"/>
      <c r="AD298" s="175"/>
      <c r="AE298" s="175"/>
      <c r="AF298" s="175"/>
      <c r="AG298" s="175"/>
      <c r="AH298" s="175"/>
      <c r="AI298" s="175"/>
    </row>
    <row r="299">
      <c r="A299" s="154">
        <v>45944.0</v>
      </c>
      <c r="B299" s="155">
        <v>7685655.0</v>
      </c>
      <c r="C299" s="156" t="s">
        <v>89</v>
      </c>
      <c r="D299" s="156" t="s">
        <v>35</v>
      </c>
      <c r="E299" s="155">
        <v>5.77835125E9</v>
      </c>
      <c r="F299" s="156" t="s">
        <v>495</v>
      </c>
      <c r="G299" s="154">
        <v>46088.0</v>
      </c>
      <c r="H299" s="157">
        <v>46093.0</v>
      </c>
      <c r="I299" s="158">
        <v>5.0</v>
      </c>
      <c r="J299" s="159" t="s">
        <v>78</v>
      </c>
      <c r="K299" s="156" t="s">
        <v>79</v>
      </c>
      <c r="L299" s="156" t="s">
        <v>80</v>
      </c>
      <c r="M299" s="155">
        <v>0.0</v>
      </c>
      <c r="N299" s="160">
        <v>0.0</v>
      </c>
      <c r="O299" s="161">
        <v>0.0</v>
      </c>
      <c r="P299" s="161">
        <v>0.0</v>
      </c>
      <c r="Q299" s="159">
        <v>0.0</v>
      </c>
      <c r="R299" s="162">
        <v>0.0</v>
      </c>
      <c r="S299" s="162">
        <v>0.0</v>
      </c>
      <c r="T299" s="162">
        <v>0.0</v>
      </c>
      <c r="U299" s="163" t="s">
        <v>496</v>
      </c>
      <c r="V299" s="154">
        <v>45945.0</v>
      </c>
      <c r="W299" s="225"/>
      <c r="X299" s="225"/>
      <c r="Y299" s="225"/>
      <c r="Z299" s="225"/>
      <c r="AA299" s="225"/>
      <c r="AB299" s="225"/>
      <c r="AC299" s="225"/>
      <c r="AD299" s="225"/>
      <c r="AE299" s="225"/>
      <c r="AF299" s="225"/>
      <c r="AG299" s="225"/>
      <c r="AH299" s="225"/>
      <c r="AI299" s="225"/>
    </row>
    <row r="300">
      <c r="A300" s="165">
        <v>45956.0</v>
      </c>
      <c r="B300" s="166">
        <v>7730432.0</v>
      </c>
      <c r="C300" s="166" t="s">
        <v>82</v>
      </c>
      <c r="D300" s="166" t="s">
        <v>35</v>
      </c>
      <c r="E300" s="166">
        <v>5.498915386E9</v>
      </c>
      <c r="F300" s="166" t="s">
        <v>497</v>
      </c>
      <c r="G300" s="165">
        <v>46089.0</v>
      </c>
      <c r="H300" s="167">
        <v>46095.0</v>
      </c>
      <c r="I300" s="168">
        <v>6.0</v>
      </c>
      <c r="J300" s="169" t="s">
        <v>111</v>
      </c>
      <c r="K300" s="166" t="s">
        <v>138</v>
      </c>
      <c r="L300" s="166" t="s">
        <v>80</v>
      </c>
      <c r="M300" s="166">
        <v>2.0</v>
      </c>
      <c r="N300" s="170">
        <v>0.19999999999999996</v>
      </c>
      <c r="O300" s="171">
        <v>262.85</v>
      </c>
      <c r="P300" s="171">
        <v>210.28000000000003</v>
      </c>
      <c r="Q300" s="172">
        <v>36.0</v>
      </c>
      <c r="R300" s="173">
        <v>1261.6800000000003</v>
      </c>
      <c r="S300" s="173">
        <v>216.0</v>
      </c>
      <c r="T300" s="173">
        <v>1779.9</v>
      </c>
      <c r="U300" s="174" t="s">
        <v>498</v>
      </c>
      <c r="V300" s="165">
        <v>45956.0</v>
      </c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</row>
    <row r="301">
      <c r="A301" s="165">
        <v>45973.0</v>
      </c>
      <c r="B301" s="166">
        <v>7796198.0</v>
      </c>
      <c r="C301" s="166" t="s">
        <v>89</v>
      </c>
      <c r="D301" s="166" t="s">
        <v>101</v>
      </c>
      <c r="E301" s="166">
        <v>2.330015867E9</v>
      </c>
      <c r="F301" s="166" t="s">
        <v>483</v>
      </c>
      <c r="G301" s="165">
        <v>46089.0</v>
      </c>
      <c r="H301" s="167">
        <v>46090.0</v>
      </c>
      <c r="I301" s="168">
        <v>1.0</v>
      </c>
      <c r="J301" s="169" t="s">
        <v>78</v>
      </c>
      <c r="K301" s="166" t="s">
        <v>79</v>
      </c>
      <c r="L301" s="166" t="s">
        <v>103</v>
      </c>
      <c r="M301" s="205">
        <v>0.0</v>
      </c>
      <c r="N301" s="170">
        <v>0.0</v>
      </c>
      <c r="O301" s="171">
        <v>0.0</v>
      </c>
      <c r="P301" s="171">
        <v>0.0</v>
      </c>
      <c r="Q301" s="172">
        <v>0.0</v>
      </c>
      <c r="R301" s="173">
        <v>0.0</v>
      </c>
      <c r="S301" s="173">
        <v>0.0</v>
      </c>
      <c r="T301" s="173">
        <v>0.0</v>
      </c>
      <c r="U301" s="201" t="s">
        <v>484</v>
      </c>
      <c r="V301" s="165">
        <v>46072.0</v>
      </c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75"/>
      <c r="AI301" s="175"/>
    </row>
    <row r="302">
      <c r="A302" s="165">
        <v>46042.0</v>
      </c>
      <c r="B302" s="166">
        <v>8058450.0</v>
      </c>
      <c r="C302" s="166" t="s">
        <v>89</v>
      </c>
      <c r="D302" s="166" t="s">
        <v>35</v>
      </c>
      <c r="E302" s="166">
        <v>5.875544864E9</v>
      </c>
      <c r="F302" s="166" t="s">
        <v>500</v>
      </c>
      <c r="G302" s="165">
        <v>46089.0</v>
      </c>
      <c r="H302" s="167">
        <v>46092.0</v>
      </c>
      <c r="I302" s="168">
        <v>3.0</v>
      </c>
      <c r="J302" s="169" t="s">
        <v>114</v>
      </c>
      <c r="K302" s="166" t="s">
        <v>79</v>
      </c>
      <c r="L302" s="166" t="s">
        <v>80</v>
      </c>
      <c r="M302" s="166">
        <v>0.0</v>
      </c>
      <c r="N302" s="170">
        <v>0.0</v>
      </c>
      <c r="O302" s="171">
        <v>0.0</v>
      </c>
      <c r="P302" s="171">
        <v>0.0</v>
      </c>
      <c r="Q302" s="172">
        <v>0.0</v>
      </c>
      <c r="R302" s="173">
        <v>0.0</v>
      </c>
      <c r="S302" s="173">
        <v>0.0</v>
      </c>
      <c r="T302" s="173">
        <v>0.0</v>
      </c>
      <c r="U302" s="174" t="s">
        <v>501</v>
      </c>
      <c r="V302" s="165">
        <v>46089.0</v>
      </c>
      <c r="W302" s="175"/>
      <c r="X302" s="175"/>
      <c r="Y302" s="175"/>
      <c r="Z302" s="175"/>
      <c r="AA302" s="175"/>
      <c r="AB302" s="175"/>
      <c r="AC302" s="175"/>
      <c r="AD302" s="175"/>
      <c r="AE302" s="175"/>
      <c r="AF302" s="175"/>
      <c r="AG302" s="175"/>
      <c r="AH302" s="175"/>
      <c r="AI302" s="175"/>
    </row>
    <row r="303">
      <c r="A303" s="176">
        <v>46047.0</v>
      </c>
      <c r="B303" s="177">
        <v>8079111.0</v>
      </c>
      <c r="C303" s="178" t="s">
        <v>82</v>
      </c>
      <c r="D303" s="178" t="s">
        <v>35</v>
      </c>
      <c r="E303" s="177">
        <v>5.711920402E9</v>
      </c>
      <c r="F303" s="178" t="s">
        <v>502</v>
      </c>
      <c r="G303" s="176">
        <v>46089.0</v>
      </c>
      <c r="H303" s="179">
        <v>46091.0</v>
      </c>
      <c r="I303" s="180">
        <v>2.0</v>
      </c>
      <c r="J303" s="181" t="s">
        <v>78</v>
      </c>
      <c r="K303" s="178" t="s">
        <v>79</v>
      </c>
      <c r="L303" s="178" t="s">
        <v>80</v>
      </c>
      <c r="M303" s="182">
        <v>2.0</v>
      </c>
      <c r="N303" s="183">
        <v>0.19999999999999996</v>
      </c>
      <c r="O303" s="184">
        <v>168.13</v>
      </c>
      <c r="P303" s="184">
        <v>134.504</v>
      </c>
      <c r="Q303" s="185">
        <v>0.0</v>
      </c>
      <c r="R303" s="186">
        <v>269.008</v>
      </c>
      <c r="S303" s="186">
        <v>0.0</v>
      </c>
      <c r="T303" s="186">
        <v>346.26</v>
      </c>
      <c r="U303" s="187" t="s">
        <v>107</v>
      </c>
      <c r="V303" s="176">
        <v>46047.0</v>
      </c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75"/>
      <c r="AI303" s="175"/>
    </row>
    <row r="304">
      <c r="A304" s="165">
        <v>46048.0</v>
      </c>
      <c r="B304" s="166">
        <v>8087120.0</v>
      </c>
      <c r="C304" s="166" t="s">
        <v>82</v>
      </c>
      <c r="D304" s="166" t="s">
        <v>35</v>
      </c>
      <c r="E304" s="166">
        <v>5.001804982E9</v>
      </c>
      <c r="F304" s="166" t="s">
        <v>503</v>
      </c>
      <c r="G304" s="165">
        <v>46089.0</v>
      </c>
      <c r="H304" s="167">
        <v>46093.0</v>
      </c>
      <c r="I304" s="168">
        <v>4.0</v>
      </c>
      <c r="J304" s="169" t="s">
        <v>78</v>
      </c>
      <c r="K304" s="166" t="s">
        <v>79</v>
      </c>
      <c r="L304" s="166" t="s">
        <v>80</v>
      </c>
      <c r="M304" s="166">
        <v>2.0</v>
      </c>
      <c r="N304" s="170">
        <v>0.19999999999999996</v>
      </c>
      <c r="O304" s="171">
        <v>158.45</v>
      </c>
      <c r="P304" s="171">
        <v>126.75999999999999</v>
      </c>
      <c r="Q304" s="172">
        <v>0.0</v>
      </c>
      <c r="R304" s="173">
        <v>507.03999999999996</v>
      </c>
      <c r="S304" s="173">
        <v>0.0</v>
      </c>
      <c r="T304" s="173">
        <v>653.8</v>
      </c>
      <c r="U304" s="201" t="s">
        <v>107</v>
      </c>
      <c r="V304" s="165">
        <v>46048.0</v>
      </c>
      <c r="W304" s="175"/>
      <c r="X304" s="175"/>
      <c r="Y304" s="175"/>
      <c r="Z304" s="175"/>
      <c r="AA304" s="175"/>
      <c r="AB304" s="175"/>
      <c r="AC304" s="175"/>
      <c r="AD304" s="175"/>
      <c r="AE304" s="175"/>
      <c r="AF304" s="175"/>
      <c r="AG304" s="175"/>
      <c r="AH304" s="175"/>
      <c r="AI304" s="175"/>
    </row>
    <row r="305">
      <c r="A305" s="154">
        <v>45981.0</v>
      </c>
      <c r="B305" s="155">
        <v>7827136.0</v>
      </c>
      <c r="C305" s="156" t="s">
        <v>82</v>
      </c>
      <c r="D305" s="156" t="s">
        <v>35</v>
      </c>
      <c r="E305" s="155">
        <v>5.297662876E9</v>
      </c>
      <c r="F305" s="156" t="s">
        <v>504</v>
      </c>
      <c r="G305" s="154">
        <v>46090.0</v>
      </c>
      <c r="H305" s="157">
        <v>46095.0</v>
      </c>
      <c r="I305" s="158">
        <v>5.0</v>
      </c>
      <c r="J305" s="159" t="s">
        <v>78</v>
      </c>
      <c r="K305" s="156" t="s">
        <v>79</v>
      </c>
      <c r="L305" s="156" t="s">
        <v>80</v>
      </c>
      <c r="M305" s="155">
        <v>2.0</v>
      </c>
      <c r="N305" s="160">
        <v>0.19999999999999996</v>
      </c>
      <c r="O305" s="161">
        <v>172.41</v>
      </c>
      <c r="P305" s="161">
        <v>137.928</v>
      </c>
      <c r="Q305" s="159">
        <v>0.0</v>
      </c>
      <c r="R305" s="162">
        <v>689.64</v>
      </c>
      <c r="S305" s="162">
        <v>0.0</v>
      </c>
      <c r="T305" s="162">
        <v>887.05</v>
      </c>
      <c r="U305" s="163" t="s">
        <v>107</v>
      </c>
      <c r="V305" s="154">
        <v>45981.0</v>
      </c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</row>
    <row r="306">
      <c r="A306" s="165">
        <v>46053.0</v>
      </c>
      <c r="B306" s="166">
        <v>8109751.0</v>
      </c>
      <c r="C306" s="166" t="s">
        <v>82</v>
      </c>
      <c r="D306" s="166" t="s">
        <v>109</v>
      </c>
      <c r="E306" s="166">
        <v>6.23430087E8</v>
      </c>
      <c r="F306" s="166" t="s">
        <v>330</v>
      </c>
      <c r="G306" s="165">
        <v>46090.0</v>
      </c>
      <c r="H306" s="167">
        <v>46092.0</v>
      </c>
      <c r="I306" s="168">
        <v>2.0</v>
      </c>
      <c r="J306" s="169" t="s">
        <v>78</v>
      </c>
      <c r="K306" s="166" t="s">
        <v>79</v>
      </c>
      <c r="L306" s="166" t="s">
        <v>96</v>
      </c>
      <c r="M306" s="166">
        <v>3.0</v>
      </c>
      <c r="N306" s="170">
        <v>0.19999999999999996</v>
      </c>
      <c r="O306" s="171">
        <v>212.29</v>
      </c>
      <c r="P306" s="171">
        <v>169.832</v>
      </c>
      <c r="Q306" s="172">
        <v>0.0</v>
      </c>
      <c r="R306" s="173">
        <v>339.664</v>
      </c>
      <c r="S306" s="173">
        <v>0.0</v>
      </c>
      <c r="T306" s="173">
        <v>424.58</v>
      </c>
      <c r="U306" s="201" t="s">
        <v>112</v>
      </c>
      <c r="V306" s="165">
        <v>46053.0</v>
      </c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64"/>
    </row>
    <row r="307">
      <c r="A307" s="176">
        <v>46061.0</v>
      </c>
      <c r="B307" s="177">
        <v>8145405.0</v>
      </c>
      <c r="C307" s="178" t="s">
        <v>82</v>
      </c>
      <c r="D307" s="178" t="s">
        <v>109</v>
      </c>
      <c r="E307" s="177">
        <v>6.26254519E8</v>
      </c>
      <c r="F307" s="178" t="s">
        <v>506</v>
      </c>
      <c r="G307" s="176">
        <v>46090.0</v>
      </c>
      <c r="H307" s="179">
        <v>46093.0</v>
      </c>
      <c r="I307" s="180">
        <v>3.0</v>
      </c>
      <c r="J307" s="181" t="s">
        <v>87</v>
      </c>
      <c r="K307" s="178" t="s">
        <v>79</v>
      </c>
      <c r="L307" s="178" t="s">
        <v>96</v>
      </c>
      <c r="M307" s="182">
        <v>2.0</v>
      </c>
      <c r="N307" s="183">
        <v>0.19999999999999996</v>
      </c>
      <c r="O307" s="184">
        <v>186.15</v>
      </c>
      <c r="P307" s="184">
        <v>148.92000000000002</v>
      </c>
      <c r="Q307" s="185">
        <v>0.0</v>
      </c>
      <c r="R307" s="186">
        <v>446.76000000000005</v>
      </c>
      <c r="S307" s="186">
        <v>0.0</v>
      </c>
      <c r="T307" s="186">
        <v>558.45</v>
      </c>
      <c r="U307" s="187" t="s">
        <v>112</v>
      </c>
      <c r="V307" s="176">
        <v>46061.0</v>
      </c>
      <c r="W307" s="175"/>
      <c r="X307" s="175"/>
      <c r="Y307" s="175"/>
      <c r="Z307" s="175"/>
      <c r="AA307" s="175"/>
      <c r="AB307" s="175"/>
      <c r="AC307" s="175"/>
      <c r="AD307" s="175"/>
      <c r="AE307" s="175"/>
      <c r="AF307" s="175"/>
      <c r="AG307" s="175"/>
      <c r="AH307" s="175"/>
      <c r="AI307" s="175"/>
    </row>
    <row r="308">
      <c r="A308" s="165">
        <v>46042.0</v>
      </c>
      <c r="B308" s="166">
        <v>8057300.0</v>
      </c>
      <c r="C308" s="166" t="s">
        <v>89</v>
      </c>
      <c r="D308" s="166" t="s">
        <v>35</v>
      </c>
      <c r="E308" s="166">
        <v>5.875553807E9</v>
      </c>
      <c r="F308" s="166" t="s">
        <v>507</v>
      </c>
      <c r="G308" s="165">
        <v>46090.0</v>
      </c>
      <c r="H308" s="167">
        <v>46091.0</v>
      </c>
      <c r="I308" s="168">
        <v>1.0</v>
      </c>
      <c r="J308" s="169" t="s">
        <v>114</v>
      </c>
      <c r="K308" s="166" t="s">
        <v>79</v>
      </c>
      <c r="L308" s="166" t="s">
        <v>80</v>
      </c>
      <c r="M308" s="166">
        <v>0.0</v>
      </c>
      <c r="N308" s="170">
        <v>0.0</v>
      </c>
      <c r="O308" s="171">
        <v>0.0</v>
      </c>
      <c r="P308" s="171">
        <v>0.0</v>
      </c>
      <c r="Q308" s="172">
        <v>0.0</v>
      </c>
      <c r="R308" s="173">
        <v>0.0</v>
      </c>
      <c r="S308" s="173">
        <v>0.0</v>
      </c>
      <c r="T308" s="173">
        <v>0.0</v>
      </c>
      <c r="U308" s="201" t="s">
        <v>501</v>
      </c>
      <c r="V308" s="165">
        <v>46081.0</v>
      </c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75"/>
      <c r="AI308" s="175"/>
    </row>
    <row r="309">
      <c r="A309" s="176">
        <v>46068.0</v>
      </c>
      <c r="B309" s="177">
        <v>8177407.0</v>
      </c>
      <c r="C309" s="178" t="s">
        <v>82</v>
      </c>
      <c r="D309" s="178" t="s">
        <v>35</v>
      </c>
      <c r="E309" s="177">
        <v>5.817975305E9</v>
      </c>
      <c r="F309" s="178" t="s">
        <v>508</v>
      </c>
      <c r="G309" s="176">
        <v>46090.0</v>
      </c>
      <c r="H309" s="179">
        <v>46093.0</v>
      </c>
      <c r="I309" s="180">
        <v>3.0</v>
      </c>
      <c r="J309" s="181" t="s">
        <v>78</v>
      </c>
      <c r="K309" s="178" t="s">
        <v>79</v>
      </c>
      <c r="L309" s="178" t="s">
        <v>80</v>
      </c>
      <c r="M309" s="182">
        <v>2.0</v>
      </c>
      <c r="N309" s="183">
        <v>0.19999999999999996</v>
      </c>
      <c r="O309" s="184">
        <v>173.34</v>
      </c>
      <c r="P309" s="184">
        <v>138.672</v>
      </c>
      <c r="Q309" s="185">
        <v>0.0</v>
      </c>
      <c r="R309" s="186">
        <v>416.01599999999996</v>
      </c>
      <c r="S309" s="186">
        <v>0.0</v>
      </c>
      <c r="T309" s="162">
        <v>535.02</v>
      </c>
      <c r="U309" s="163" t="s">
        <v>143</v>
      </c>
      <c r="V309" s="154">
        <v>46068.0</v>
      </c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64"/>
    </row>
    <row r="310">
      <c r="A310" s="165">
        <v>46054.0</v>
      </c>
      <c r="B310" s="166">
        <v>8110062.0</v>
      </c>
      <c r="C310" s="166" t="s">
        <v>82</v>
      </c>
      <c r="D310" s="166" t="s">
        <v>35</v>
      </c>
      <c r="E310" s="166">
        <v>6.849376363E9</v>
      </c>
      <c r="F310" s="166" t="s">
        <v>509</v>
      </c>
      <c r="G310" s="165">
        <v>46091.0</v>
      </c>
      <c r="H310" s="167">
        <v>46093.0</v>
      </c>
      <c r="I310" s="168">
        <v>2.0</v>
      </c>
      <c r="J310" s="169" t="s">
        <v>91</v>
      </c>
      <c r="K310" s="166" t="s">
        <v>79</v>
      </c>
      <c r="L310" s="166" t="s">
        <v>80</v>
      </c>
      <c r="M310" s="166">
        <v>3.0</v>
      </c>
      <c r="N310" s="170">
        <v>0.19999999999999996</v>
      </c>
      <c r="O310" s="171">
        <v>458.82</v>
      </c>
      <c r="P310" s="171">
        <v>367.05600000000004</v>
      </c>
      <c r="Q310" s="172">
        <v>0.0</v>
      </c>
      <c r="R310" s="173">
        <v>734.1120000000001</v>
      </c>
      <c r="S310" s="173">
        <v>0.0</v>
      </c>
      <c r="T310" s="173">
        <v>932.64</v>
      </c>
      <c r="U310" s="201" t="s">
        <v>107</v>
      </c>
      <c r="V310" s="165">
        <v>46054.0</v>
      </c>
      <c r="W310" s="225"/>
      <c r="X310" s="225"/>
      <c r="Y310" s="225"/>
      <c r="Z310" s="225"/>
      <c r="AA310" s="225"/>
      <c r="AB310" s="225"/>
      <c r="AC310" s="225"/>
      <c r="AD310" s="225"/>
      <c r="AE310" s="225"/>
      <c r="AF310" s="225"/>
      <c r="AG310" s="225"/>
      <c r="AH310" s="225"/>
      <c r="AI310" s="225"/>
    </row>
    <row r="311">
      <c r="A311" s="176">
        <v>46057.0</v>
      </c>
      <c r="B311" s="177">
        <v>8126233.0</v>
      </c>
      <c r="C311" s="178" t="s">
        <v>82</v>
      </c>
      <c r="D311" s="178" t="s">
        <v>35</v>
      </c>
      <c r="E311" s="177">
        <v>5.963232572E9</v>
      </c>
      <c r="F311" s="178" t="s">
        <v>511</v>
      </c>
      <c r="G311" s="176">
        <v>46091.0</v>
      </c>
      <c r="H311" s="179">
        <v>46094.0</v>
      </c>
      <c r="I311" s="180">
        <v>3.0</v>
      </c>
      <c r="J311" s="181" t="s">
        <v>78</v>
      </c>
      <c r="K311" s="178" t="s">
        <v>79</v>
      </c>
      <c r="L311" s="178" t="s">
        <v>80</v>
      </c>
      <c r="M311" s="182">
        <v>2.0</v>
      </c>
      <c r="N311" s="183">
        <v>0.19999999999999996</v>
      </c>
      <c r="O311" s="184">
        <v>185.41</v>
      </c>
      <c r="P311" s="184">
        <v>148.328</v>
      </c>
      <c r="Q311" s="185">
        <v>0.0</v>
      </c>
      <c r="R311" s="186">
        <v>444.98400000000004</v>
      </c>
      <c r="S311" s="186">
        <v>0.0</v>
      </c>
      <c r="T311" s="186">
        <v>571.23</v>
      </c>
      <c r="U311" s="187" t="s">
        <v>143</v>
      </c>
      <c r="V311" s="176">
        <v>46057.0</v>
      </c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</row>
    <row r="312">
      <c r="A312" s="176">
        <v>46069.0</v>
      </c>
      <c r="B312" s="177">
        <v>8184177.0</v>
      </c>
      <c r="C312" s="178" t="s">
        <v>82</v>
      </c>
      <c r="D312" s="178" t="s">
        <v>35</v>
      </c>
      <c r="E312" s="177">
        <v>6.256090666E9</v>
      </c>
      <c r="F312" s="178" t="s">
        <v>512</v>
      </c>
      <c r="G312" s="176">
        <v>46091.0</v>
      </c>
      <c r="H312" s="179">
        <v>46093.0</v>
      </c>
      <c r="I312" s="180">
        <v>2.0</v>
      </c>
      <c r="J312" s="181" t="s">
        <v>114</v>
      </c>
      <c r="K312" s="178" t="s">
        <v>79</v>
      </c>
      <c r="L312" s="178" t="s">
        <v>80</v>
      </c>
      <c r="M312" s="182">
        <v>2.0</v>
      </c>
      <c r="N312" s="183">
        <v>0.19999999999999996</v>
      </c>
      <c r="O312" s="184">
        <v>196.65</v>
      </c>
      <c r="P312" s="184">
        <v>157.32000000000002</v>
      </c>
      <c r="Q312" s="185">
        <v>0.0</v>
      </c>
      <c r="R312" s="186">
        <v>314.64000000000004</v>
      </c>
      <c r="S312" s="186">
        <v>0.0</v>
      </c>
      <c r="T312" s="186">
        <v>403.3</v>
      </c>
      <c r="U312" s="187" t="s">
        <v>143</v>
      </c>
      <c r="V312" s="176">
        <v>46069.0</v>
      </c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64"/>
    </row>
    <row r="313">
      <c r="A313" s="154">
        <v>45999.0</v>
      </c>
      <c r="B313" s="155">
        <v>7898776.0</v>
      </c>
      <c r="C313" s="156" t="s">
        <v>82</v>
      </c>
      <c r="D313" s="156" t="s">
        <v>35</v>
      </c>
      <c r="E313" s="155">
        <v>5.864956846E9</v>
      </c>
      <c r="F313" s="156" t="s">
        <v>513</v>
      </c>
      <c r="G313" s="154">
        <v>46092.0</v>
      </c>
      <c r="H313" s="157">
        <v>46097.0</v>
      </c>
      <c r="I313" s="158">
        <v>5.0</v>
      </c>
      <c r="J313" s="159" t="s">
        <v>78</v>
      </c>
      <c r="K313" s="156" t="s">
        <v>138</v>
      </c>
      <c r="L313" s="156" t="s">
        <v>80</v>
      </c>
      <c r="M313" s="155">
        <v>3.0</v>
      </c>
      <c r="N313" s="160">
        <v>0.19999999999999996</v>
      </c>
      <c r="O313" s="161">
        <v>224.93</v>
      </c>
      <c r="P313" s="161">
        <v>179.94400000000002</v>
      </c>
      <c r="Q313" s="203">
        <v>54.0</v>
      </c>
      <c r="R313" s="162">
        <v>899.72</v>
      </c>
      <c r="S313" s="162">
        <v>270.0</v>
      </c>
      <c r="T313" s="162">
        <v>1378.15</v>
      </c>
      <c r="U313" s="163" t="s">
        <v>514</v>
      </c>
      <c r="V313" s="154">
        <v>45999.0</v>
      </c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  <c r="AI313" s="175"/>
    </row>
    <row r="314">
      <c r="A314" s="176">
        <v>45899.0</v>
      </c>
      <c r="B314" s="177">
        <v>7493252.0</v>
      </c>
      <c r="C314" s="178" t="s">
        <v>82</v>
      </c>
      <c r="D314" s="178" t="s">
        <v>35</v>
      </c>
      <c r="E314" s="178">
        <v>6.926535646E9</v>
      </c>
      <c r="F314" s="178" t="s">
        <v>515</v>
      </c>
      <c r="G314" s="176">
        <v>46093.0</v>
      </c>
      <c r="H314" s="179">
        <v>46096.0</v>
      </c>
      <c r="I314" s="180">
        <v>3.0</v>
      </c>
      <c r="J314" s="181" t="s">
        <v>87</v>
      </c>
      <c r="K314" s="178" t="s">
        <v>79</v>
      </c>
      <c r="L314" s="178" t="s">
        <v>80</v>
      </c>
      <c r="M314" s="182">
        <v>2.0</v>
      </c>
      <c r="N314" s="183">
        <v>0.19999999999999996</v>
      </c>
      <c r="O314" s="184">
        <v>135.66</v>
      </c>
      <c r="P314" s="184">
        <v>108.528</v>
      </c>
      <c r="Q314" s="185">
        <v>0.0</v>
      </c>
      <c r="R314" s="186">
        <v>325.584</v>
      </c>
      <c r="S314" s="186">
        <v>0.0</v>
      </c>
      <c r="T314" s="186">
        <v>421.98</v>
      </c>
      <c r="U314" s="187" t="s">
        <v>88</v>
      </c>
      <c r="V314" s="189">
        <v>45899.0</v>
      </c>
      <c r="W314" s="175"/>
      <c r="X314" s="175"/>
      <c r="Y314" s="175"/>
      <c r="Z314" s="175"/>
      <c r="AA314" s="175"/>
      <c r="AB314" s="175"/>
      <c r="AC314" s="175"/>
      <c r="AD314" s="175"/>
      <c r="AE314" s="175"/>
      <c r="AF314" s="175"/>
      <c r="AG314" s="175"/>
      <c r="AH314" s="175"/>
      <c r="AI314" s="175"/>
    </row>
    <row r="315">
      <c r="A315" s="165">
        <v>45938.0</v>
      </c>
      <c r="B315" s="166">
        <v>7660414.0</v>
      </c>
      <c r="C315" s="166" t="s">
        <v>82</v>
      </c>
      <c r="D315" s="166" t="s">
        <v>35</v>
      </c>
      <c r="E315" s="166">
        <v>5.864049126E9</v>
      </c>
      <c r="F315" s="166" t="s">
        <v>516</v>
      </c>
      <c r="G315" s="165">
        <v>46093.0</v>
      </c>
      <c r="H315" s="167">
        <v>46097.0</v>
      </c>
      <c r="I315" s="168">
        <v>4.0</v>
      </c>
      <c r="J315" s="169" t="s">
        <v>111</v>
      </c>
      <c r="K315" s="166" t="s">
        <v>79</v>
      </c>
      <c r="L315" s="166" t="s">
        <v>80</v>
      </c>
      <c r="M315" s="205">
        <v>2.0</v>
      </c>
      <c r="N315" s="170">
        <v>0.19999999999999996</v>
      </c>
      <c r="O315" s="171">
        <v>168.82</v>
      </c>
      <c r="P315" s="171">
        <v>135.056</v>
      </c>
      <c r="Q315" s="172">
        <v>0.0</v>
      </c>
      <c r="R315" s="173">
        <v>540.224</v>
      </c>
      <c r="S315" s="173">
        <v>0.0</v>
      </c>
      <c r="T315" s="162">
        <v>695.28</v>
      </c>
      <c r="U315" s="163" t="s">
        <v>107</v>
      </c>
      <c r="V315" s="154">
        <v>45938.0</v>
      </c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5"/>
      <c r="AI315" s="175"/>
    </row>
    <row r="316">
      <c r="A316" s="165">
        <v>45970.0</v>
      </c>
      <c r="B316" s="166">
        <v>7785017.0</v>
      </c>
      <c r="C316" s="166" t="s">
        <v>89</v>
      </c>
      <c r="D316" s="166" t="s">
        <v>35</v>
      </c>
      <c r="E316" s="166">
        <v>5.963126996E9</v>
      </c>
      <c r="F316" s="166" t="s">
        <v>518</v>
      </c>
      <c r="G316" s="165">
        <v>46093.0</v>
      </c>
      <c r="H316" s="167">
        <v>46097.0</v>
      </c>
      <c r="I316" s="168">
        <v>4.0</v>
      </c>
      <c r="J316" s="169" t="s">
        <v>114</v>
      </c>
      <c r="K316" s="166" t="s">
        <v>79</v>
      </c>
      <c r="L316" s="166" t="s">
        <v>80</v>
      </c>
      <c r="M316" s="205">
        <v>0.0</v>
      </c>
      <c r="N316" s="170">
        <v>0.0</v>
      </c>
      <c r="O316" s="171">
        <v>0.0</v>
      </c>
      <c r="P316" s="171">
        <v>0.0</v>
      </c>
      <c r="Q316" s="172">
        <v>0.0</v>
      </c>
      <c r="R316" s="173">
        <v>0.0</v>
      </c>
      <c r="S316" s="173">
        <v>0.0</v>
      </c>
      <c r="T316" s="173">
        <v>0.0</v>
      </c>
      <c r="U316" s="174" t="s">
        <v>519</v>
      </c>
      <c r="V316" s="165">
        <v>46094.0</v>
      </c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64"/>
    </row>
    <row r="317">
      <c r="A317" s="176">
        <v>46041.0</v>
      </c>
      <c r="B317" s="177">
        <v>8054848.0</v>
      </c>
      <c r="C317" s="178" t="s">
        <v>82</v>
      </c>
      <c r="D317" s="178" t="s">
        <v>101</v>
      </c>
      <c r="E317" s="177">
        <v>2.37437202E9</v>
      </c>
      <c r="F317" s="178" t="s">
        <v>520</v>
      </c>
      <c r="G317" s="176">
        <v>46093.0</v>
      </c>
      <c r="H317" s="179">
        <v>46094.0</v>
      </c>
      <c r="I317" s="180">
        <v>1.0</v>
      </c>
      <c r="J317" s="181" t="s">
        <v>114</v>
      </c>
      <c r="K317" s="178" t="s">
        <v>79</v>
      </c>
      <c r="L317" s="178" t="s">
        <v>103</v>
      </c>
      <c r="M317" s="182">
        <v>2.0</v>
      </c>
      <c r="N317" s="183">
        <v>0.0</v>
      </c>
      <c r="O317" s="184">
        <v>270.0</v>
      </c>
      <c r="P317" s="184">
        <v>216.0</v>
      </c>
      <c r="Q317" s="185">
        <v>0.0</v>
      </c>
      <c r="R317" s="186">
        <v>216.0</v>
      </c>
      <c r="S317" s="186">
        <v>0.0</v>
      </c>
      <c r="T317" s="186">
        <v>270.0</v>
      </c>
      <c r="U317" s="187" t="s">
        <v>277</v>
      </c>
      <c r="V317" s="176">
        <v>46041.0</v>
      </c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64"/>
    </row>
    <row r="318">
      <c r="A318" s="154">
        <v>46049.0</v>
      </c>
      <c r="B318" s="155">
        <v>8087925.0</v>
      </c>
      <c r="C318" s="156" t="s">
        <v>89</v>
      </c>
      <c r="D318" s="156" t="s">
        <v>35</v>
      </c>
      <c r="E318" s="155">
        <v>5.476902849E9</v>
      </c>
      <c r="F318" s="156" t="s">
        <v>521</v>
      </c>
      <c r="G318" s="154">
        <v>46093.0</v>
      </c>
      <c r="H318" s="157">
        <v>46098.0</v>
      </c>
      <c r="I318" s="158">
        <v>5.0</v>
      </c>
      <c r="J318" s="159" t="s">
        <v>91</v>
      </c>
      <c r="K318" s="156" t="s">
        <v>79</v>
      </c>
      <c r="L318" s="156" t="s">
        <v>80</v>
      </c>
      <c r="M318" s="202">
        <v>0.0</v>
      </c>
      <c r="N318" s="160">
        <v>0.0</v>
      </c>
      <c r="O318" s="161">
        <v>0.0</v>
      </c>
      <c r="P318" s="161">
        <v>0.0</v>
      </c>
      <c r="Q318" s="203">
        <v>0.0</v>
      </c>
      <c r="R318" s="162">
        <v>0.0</v>
      </c>
      <c r="S318" s="162">
        <v>0.0</v>
      </c>
      <c r="T318" s="162">
        <v>0.0</v>
      </c>
      <c r="U318" s="163" t="s">
        <v>522</v>
      </c>
      <c r="V318" s="215">
        <v>46054.0</v>
      </c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5"/>
      <c r="AI318" s="175"/>
    </row>
    <row r="319">
      <c r="A319" s="176">
        <v>46061.0</v>
      </c>
      <c r="B319" s="177">
        <v>8145940.0</v>
      </c>
      <c r="C319" s="178" t="s">
        <v>82</v>
      </c>
      <c r="D319" s="178" t="s">
        <v>35</v>
      </c>
      <c r="E319" s="177">
        <v>6.001078644E9</v>
      </c>
      <c r="F319" s="178" t="s">
        <v>523</v>
      </c>
      <c r="G319" s="176">
        <v>46093.0</v>
      </c>
      <c r="H319" s="179">
        <v>46094.0</v>
      </c>
      <c r="I319" s="180">
        <v>1.0</v>
      </c>
      <c r="J319" s="181" t="s">
        <v>78</v>
      </c>
      <c r="K319" s="178" t="s">
        <v>79</v>
      </c>
      <c r="L319" s="178" t="s">
        <v>80</v>
      </c>
      <c r="M319" s="182">
        <v>3.0</v>
      </c>
      <c r="N319" s="183">
        <v>0.19999999999999996</v>
      </c>
      <c r="O319" s="184">
        <v>226.44</v>
      </c>
      <c r="P319" s="184">
        <v>181.15200000000002</v>
      </c>
      <c r="Q319" s="185">
        <v>0.0</v>
      </c>
      <c r="R319" s="186">
        <v>181.15200000000002</v>
      </c>
      <c r="S319" s="186">
        <v>0.0</v>
      </c>
      <c r="T319" s="186">
        <v>233.94</v>
      </c>
      <c r="U319" s="187" t="s">
        <v>524</v>
      </c>
      <c r="V319" s="176">
        <v>46061.0</v>
      </c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/>
    </row>
    <row r="320">
      <c r="A320" s="154">
        <v>45934.0</v>
      </c>
      <c r="B320" s="155">
        <v>7642155.0</v>
      </c>
      <c r="C320" s="156" t="s">
        <v>82</v>
      </c>
      <c r="D320" s="156" t="s">
        <v>36</v>
      </c>
      <c r="E320" s="155">
        <v>7642155.0</v>
      </c>
      <c r="F320" s="156" t="s">
        <v>526</v>
      </c>
      <c r="G320" s="154">
        <v>46094.0</v>
      </c>
      <c r="H320" s="157">
        <v>46096.0</v>
      </c>
      <c r="I320" s="158">
        <v>2.0</v>
      </c>
      <c r="J320" s="159" t="s">
        <v>78</v>
      </c>
      <c r="K320" s="156" t="s">
        <v>79</v>
      </c>
      <c r="L320" s="156" t="s">
        <v>96</v>
      </c>
      <c r="M320" s="155">
        <v>2.0</v>
      </c>
      <c r="N320" s="160">
        <v>0.0</v>
      </c>
      <c r="O320" s="161">
        <v>162.63</v>
      </c>
      <c r="P320" s="161">
        <v>161.00369999999998</v>
      </c>
      <c r="Q320" s="203">
        <v>0.0</v>
      </c>
      <c r="R320" s="162">
        <v>322.00739999999996</v>
      </c>
      <c r="S320" s="162">
        <v>0.0</v>
      </c>
      <c r="T320" s="162">
        <v>335.26</v>
      </c>
      <c r="U320" s="163" t="s">
        <v>97</v>
      </c>
      <c r="V320" s="154">
        <v>45934.0</v>
      </c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/>
    </row>
    <row r="321">
      <c r="A321" s="165">
        <v>45955.0</v>
      </c>
      <c r="B321" s="166">
        <v>7729692.0</v>
      </c>
      <c r="C321" s="166" t="s">
        <v>82</v>
      </c>
      <c r="D321" s="166" t="s">
        <v>35</v>
      </c>
      <c r="E321" s="166">
        <v>6.582014704E9</v>
      </c>
      <c r="F321" s="166" t="s">
        <v>527</v>
      </c>
      <c r="G321" s="165">
        <v>46094.0</v>
      </c>
      <c r="H321" s="167">
        <v>46096.0</v>
      </c>
      <c r="I321" s="168">
        <v>2.0</v>
      </c>
      <c r="J321" s="169" t="s">
        <v>114</v>
      </c>
      <c r="K321" s="166" t="s">
        <v>79</v>
      </c>
      <c r="L321" s="166" t="s">
        <v>80</v>
      </c>
      <c r="M321" s="166">
        <v>1.0</v>
      </c>
      <c r="N321" s="170">
        <v>0.19999999999999996</v>
      </c>
      <c r="O321" s="171">
        <v>216.54</v>
      </c>
      <c r="P321" s="171">
        <v>173.232</v>
      </c>
      <c r="Q321" s="172">
        <v>0.0</v>
      </c>
      <c r="R321" s="173">
        <v>346.464</v>
      </c>
      <c r="S321" s="173">
        <v>0.0</v>
      </c>
      <c r="T321" s="173">
        <v>831.4</v>
      </c>
      <c r="U321" s="174" t="s">
        <v>303</v>
      </c>
      <c r="V321" s="165">
        <v>45955.0</v>
      </c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75"/>
      <c r="AI321" s="175"/>
    </row>
    <row r="322">
      <c r="A322" s="176">
        <v>45955.0</v>
      </c>
      <c r="B322" s="177">
        <v>7729692.0</v>
      </c>
      <c r="C322" s="178" t="s">
        <v>82</v>
      </c>
      <c r="D322" s="178" t="s">
        <v>35</v>
      </c>
      <c r="E322" s="177">
        <v>6.582014704E9</v>
      </c>
      <c r="F322" s="178" t="s">
        <v>527</v>
      </c>
      <c r="G322" s="176">
        <v>46094.0</v>
      </c>
      <c r="H322" s="179">
        <v>46096.0</v>
      </c>
      <c r="I322" s="180">
        <v>2.0</v>
      </c>
      <c r="J322" s="181" t="s">
        <v>78</v>
      </c>
      <c r="K322" s="178" t="s">
        <v>79</v>
      </c>
      <c r="L322" s="178" t="s">
        <v>80</v>
      </c>
      <c r="M322" s="182">
        <v>2.0</v>
      </c>
      <c r="N322" s="183">
        <v>0.19999999999999996</v>
      </c>
      <c r="O322" s="184">
        <v>191.66</v>
      </c>
      <c r="P322" s="184">
        <v>153.328</v>
      </c>
      <c r="Q322" s="185">
        <v>0.0</v>
      </c>
      <c r="R322" s="186">
        <v>306.656</v>
      </c>
      <c r="S322" s="186">
        <v>0.0</v>
      </c>
      <c r="T322" s="186">
        <v>831.4</v>
      </c>
      <c r="U322" s="187" t="s">
        <v>303</v>
      </c>
      <c r="V322" s="176">
        <v>45955.0</v>
      </c>
      <c r="W322" s="175"/>
      <c r="X322" s="175"/>
      <c r="Y322" s="175"/>
      <c r="Z322" s="175"/>
      <c r="AA322" s="175"/>
      <c r="AB322" s="175"/>
      <c r="AC322" s="175"/>
      <c r="AD322" s="175"/>
      <c r="AE322" s="175"/>
      <c r="AF322" s="175"/>
      <c r="AG322" s="175"/>
      <c r="AH322" s="175"/>
      <c r="AI322" s="175"/>
    </row>
    <row r="323">
      <c r="A323" s="190">
        <v>45998.0</v>
      </c>
      <c r="B323" s="191">
        <v>7894873.0</v>
      </c>
      <c r="C323" s="192" t="s">
        <v>82</v>
      </c>
      <c r="D323" s="192" t="s">
        <v>35</v>
      </c>
      <c r="E323" s="191">
        <v>6.120704415E9</v>
      </c>
      <c r="F323" s="192" t="s">
        <v>528</v>
      </c>
      <c r="G323" s="190">
        <v>46094.0</v>
      </c>
      <c r="H323" s="193">
        <v>46097.0</v>
      </c>
      <c r="I323" s="194">
        <v>3.0</v>
      </c>
      <c r="J323" s="195" t="s">
        <v>78</v>
      </c>
      <c r="K323" s="192" t="s">
        <v>79</v>
      </c>
      <c r="L323" s="192" t="s">
        <v>80</v>
      </c>
      <c r="M323" s="191">
        <v>2.0</v>
      </c>
      <c r="N323" s="196">
        <v>0.19999999999999996</v>
      </c>
      <c r="O323" s="197">
        <v>163.28</v>
      </c>
      <c r="P323" s="197">
        <v>130.624</v>
      </c>
      <c r="Q323" s="198">
        <v>0.0</v>
      </c>
      <c r="R323" s="199">
        <v>391.87199999999996</v>
      </c>
      <c r="S323" s="199">
        <v>0.0</v>
      </c>
      <c r="T323" s="199">
        <v>489.84</v>
      </c>
      <c r="U323" s="200" t="s">
        <v>107</v>
      </c>
      <c r="V323" s="190">
        <v>45998.0</v>
      </c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/>
    </row>
    <row r="324">
      <c r="A324" s="154">
        <v>45976.0</v>
      </c>
      <c r="B324" s="155">
        <v>7809118.0</v>
      </c>
      <c r="C324" s="156" t="s">
        <v>82</v>
      </c>
      <c r="D324" s="156" t="s">
        <v>35</v>
      </c>
      <c r="E324" s="155">
        <v>5.217522797E9</v>
      </c>
      <c r="F324" s="156" t="s">
        <v>529</v>
      </c>
      <c r="G324" s="154">
        <v>46095.0</v>
      </c>
      <c r="H324" s="157">
        <v>46099.0</v>
      </c>
      <c r="I324" s="158">
        <v>4.0</v>
      </c>
      <c r="J324" s="159" t="s">
        <v>78</v>
      </c>
      <c r="K324" s="156" t="s">
        <v>79</v>
      </c>
      <c r="L324" s="156" t="s">
        <v>80</v>
      </c>
      <c r="M324" s="202">
        <v>3.0</v>
      </c>
      <c r="N324" s="160">
        <v>0.19999999999999996</v>
      </c>
      <c r="O324" s="161">
        <v>157.94</v>
      </c>
      <c r="P324" s="161">
        <v>126.352</v>
      </c>
      <c r="Q324" s="203">
        <v>0.0</v>
      </c>
      <c r="R324" s="162">
        <v>505.408</v>
      </c>
      <c r="S324" s="162">
        <v>0.0</v>
      </c>
      <c r="T324" s="162">
        <v>661.76</v>
      </c>
      <c r="U324" s="163" t="s">
        <v>107</v>
      </c>
      <c r="V324" s="216">
        <v>45976.0</v>
      </c>
      <c r="W324" s="175"/>
      <c r="X324" s="175"/>
      <c r="Y324" s="175"/>
      <c r="Z324" s="175"/>
      <c r="AA324" s="175"/>
      <c r="AB324" s="175"/>
      <c r="AC324" s="175"/>
      <c r="AD324" s="175"/>
      <c r="AE324" s="175"/>
      <c r="AF324" s="175"/>
      <c r="AG324" s="175"/>
      <c r="AH324" s="175"/>
      <c r="AI324" s="175"/>
    </row>
    <row r="325">
      <c r="A325" s="154">
        <v>46000.0</v>
      </c>
      <c r="B325" s="155">
        <v>7899066.0</v>
      </c>
      <c r="C325" s="156" t="s">
        <v>82</v>
      </c>
      <c r="D325" s="156" t="s">
        <v>35</v>
      </c>
      <c r="E325" s="155">
        <v>6.409873052E9</v>
      </c>
      <c r="F325" s="156" t="s">
        <v>530</v>
      </c>
      <c r="G325" s="154">
        <v>46095.0</v>
      </c>
      <c r="H325" s="157">
        <v>46100.0</v>
      </c>
      <c r="I325" s="158">
        <v>5.0</v>
      </c>
      <c r="J325" s="159" t="s">
        <v>111</v>
      </c>
      <c r="K325" s="156" t="s">
        <v>79</v>
      </c>
      <c r="L325" s="156" t="s">
        <v>80</v>
      </c>
      <c r="M325" s="155">
        <v>2.0</v>
      </c>
      <c r="N325" s="160">
        <v>0.19999999999999996</v>
      </c>
      <c r="O325" s="161">
        <v>228.15</v>
      </c>
      <c r="P325" s="161">
        <v>182.52</v>
      </c>
      <c r="Q325" s="203">
        <v>0.0</v>
      </c>
      <c r="R325" s="162">
        <v>912.6</v>
      </c>
      <c r="S325" s="162">
        <v>0.0</v>
      </c>
      <c r="T325" s="162">
        <v>1165.75</v>
      </c>
      <c r="U325" s="163" t="s">
        <v>107</v>
      </c>
      <c r="V325" s="154">
        <v>46000.0</v>
      </c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</row>
    <row r="326">
      <c r="A326" s="165">
        <v>46063.0</v>
      </c>
      <c r="B326" s="166">
        <v>8154024.0</v>
      </c>
      <c r="C326" s="166" t="s">
        <v>89</v>
      </c>
      <c r="D326" s="166" t="s">
        <v>94</v>
      </c>
      <c r="E326" s="166">
        <v>8154024.0</v>
      </c>
      <c r="F326" s="166" t="s">
        <v>532</v>
      </c>
      <c r="G326" s="165">
        <v>46095.0</v>
      </c>
      <c r="H326" s="167">
        <v>46096.0</v>
      </c>
      <c r="I326" s="168">
        <v>1.0</v>
      </c>
      <c r="J326" s="169" t="s">
        <v>91</v>
      </c>
      <c r="K326" s="166" t="s">
        <v>79</v>
      </c>
      <c r="L326" s="166" t="s">
        <v>96</v>
      </c>
      <c r="M326" s="166">
        <v>0.0</v>
      </c>
      <c r="N326" s="170">
        <v>0.0</v>
      </c>
      <c r="O326" s="171">
        <v>0.0</v>
      </c>
      <c r="P326" s="171">
        <v>0.0</v>
      </c>
      <c r="Q326" s="172">
        <v>0.0</v>
      </c>
      <c r="R326" s="173">
        <v>0.0</v>
      </c>
      <c r="S326" s="173">
        <v>0.0</v>
      </c>
      <c r="T326" s="162">
        <v>0.0</v>
      </c>
      <c r="U326" s="163" t="s">
        <v>533</v>
      </c>
      <c r="V326" s="154">
        <v>46063.0</v>
      </c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</row>
    <row r="327">
      <c r="A327" s="176">
        <v>45990.0</v>
      </c>
      <c r="B327" s="177">
        <v>7864598.0</v>
      </c>
      <c r="C327" s="178" t="s">
        <v>82</v>
      </c>
      <c r="D327" s="178" t="s">
        <v>35</v>
      </c>
      <c r="E327" s="177">
        <v>6.117037815E9</v>
      </c>
      <c r="F327" s="178" t="s">
        <v>534</v>
      </c>
      <c r="G327" s="176">
        <v>46096.0</v>
      </c>
      <c r="H327" s="179">
        <v>46098.0</v>
      </c>
      <c r="I327" s="180">
        <v>2.0</v>
      </c>
      <c r="J327" s="181" t="s">
        <v>87</v>
      </c>
      <c r="K327" s="178" t="s">
        <v>79</v>
      </c>
      <c r="L327" s="178" t="s">
        <v>80</v>
      </c>
      <c r="M327" s="182">
        <v>2.0</v>
      </c>
      <c r="N327" s="183">
        <v>0.19999999999999996</v>
      </c>
      <c r="O327" s="184">
        <v>138.88</v>
      </c>
      <c r="P327" s="184">
        <v>111.104</v>
      </c>
      <c r="Q327" s="185">
        <v>0.0</v>
      </c>
      <c r="R327" s="186">
        <v>222.208</v>
      </c>
      <c r="S327" s="186">
        <v>0.0</v>
      </c>
      <c r="T327" s="186">
        <v>287.76</v>
      </c>
      <c r="U327" s="187" t="s">
        <v>107</v>
      </c>
      <c r="V327" s="176">
        <v>45990.0</v>
      </c>
      <c r="W327" s="175"/>
      <c r="X327" s="175"/>
      <c r="Y327" s="175"/>
      <c r="Z327" s="175"/>
      <c r="AA327" s="175"/>
      <c r="AB327" s="175"/>
      <c r="AC327" s="175"/>
      <c r="AD327" s="175"/>
      <c r="AE327" s="175"/>
      <c r="AF327" s="175"/>
      <c r="AG327" s="175"/>
      <c r="AH327" s="175"/>
      <c r="AI327" s="175"/>
    </row>
    <row r="328">
      <c r="A328" s="176">
        <v>45990.0</v>
      </c>
      <c r="B328" s="177">
        <v>7864605.0</v>
      </c>
      <c r="C328" s="178" t="s">
        <v>82</v>
      </c>
      <c r="D328" s="178" t="s">
        <v>35</v>
      </c>
      <c r="E328" s="177">
        <v>6.798010899E9</v>
      </c>
      <c r="F328" s="178" t="s">
        <v>535</v>
      </c>
      <c r="G328" s="176">
        <v>46096.0</v>
      </c>
      <c r="H328" s="179">
        <v>46098.0</v>
      </c>
      <c r="I328" s="180">
        <v>2.0</v>
      </c>
      <c r="J328" s="181" t="s">
        <v>78</v>
      </c>
      <c r="K328" s="178" t="s">
        <v>79</v>
      </c>
      <c r="L328" s="178" t="s">
        <v>80</v>
      </c>
      <c r="M328" s="182">
        <v>2.0</v>
      </c>
      <c r="N328" s="183">
        <v>0.19999999999999996</v>
      </c>
      <c r="O328" s="184">
        <v>167.11</v>
      </c>
      <c r="P328" s="184">
        <v>133.68800000000002</v>
      </c>
      <c r="Q328" s="185">
        <v>0.0</v>
      </c>
      <c r="R328" s="186">
        <v>267.37600000000003</v>
      </c>
      <c r="S328" s="186">
        <v>0.0</v>
      </c>
      <c r="T328" s="186">
        <v>344.22</v>
      </c>
      <c r="U328" s="187" t="s">
        <v>107</v>
      </c>
      <c r="V328" s="176">
        <v>45990.0</v>
      </c>
      <c r="W328" s="175"/>
      <c r="X328" s="175"/>
      <c r="Y328" s="175"/>
      <c r="Z328" s="175"/>
      <c r="AA328" s="175"/>
      <c r="AB328" s="175"/>
      <c r="AC328" s="175"/>
      <c r="AD328" s="175"/>
      <c r="AE328" s="175"/>
      <c r="AF328" s="175"/>
      <c r="AG328" s="175"/>
      <c r="AH328" s="175"/>
      <c r="AI328" s="175"/>
    </row>
    <row r="329">
      <c r="A329" s="176">
        <v>46049.0</v>
      </c>
      <c r="B329" s="177">
        <v>8089947.0</v>
      </c>
      <c r="C329" s="178" t="s">
        <v>89</v>
      </c>
      <c r="D329" s="178" t="s">
        <v>35</v>
      </c>
      <c r="E329" s="177">
        <v>6.84231624E9</v>
      </c>
      <c r="F329" s="178" t="s">
        <v>536</v>
      </c>
      <c r="G329" s="176">
        <v>46096.0</v>
      </c>
      <c r="H329" s="179">
        <v>46098.0</v>
      </c>
      <c r="I329" s="180">
        <v>2.0</v>
      </c>
      <c r="J329" s="181" t="s">
        <v>114</v>
      </c>
      <c r="K329" s="178" t="s">
        <v>79</v>
      </c>
      <c r="L329" s="178" t="s">
        <v>80</v>
      </c>
      <c r="M329" s="182">
        <v>0.0</v>
      </c>
      <c r="N329" s="183">
        <v>0.0</v>
      </c>
      <c r="O329" s="184">
        <v>0.0</v>
      </c>
      <c r="P329" s="184">
        <v>0.0</v>
      </c>
      <c r="Q329" s="185">
        <v>0.0</v>
      </c>
      <c r="R329" s="186">
        <v>0.0</v>
      </c>
      <c r="S329" s="186">
        <v>0.0</v>
      </c>
      <c r="T329" s="186">
        <v>0.0</v>
      </c>
      <c r="U329" s="187" t="s">
        <v>537</v>
      </c>
      <c r="V329" s="176">
        <v>46093.0</v>
      </c>
      <c r="W329" s="175"/>
      <c r="X329" s="175"/>
      <c r="Y329" s="175"/>
      <c r="Z329" s="175"/>
      <c r="AA329" s="175"/>
      <c r="AB329" s="175"/>
      <c r="AC329" s="175"/>
      <c r="AD329" s="175"/>
      <c r="AE329" s="175"/>
      <c r="AF329" s="175"/>
      <c r="AG329" s="175"/>
      <c r="AH329" s="175"/>
      <c r="AI329" s="175"/>
    </row>
    <row r="330">
      <c r="A330" s="165">
        <v>46060.0</v>
      </c>
      <c r="B330" s="166">
        <v>8140958.0</v>
      </c>
      <c r="C330" s="166" t="s">
        <v>82</v>
      </c>
      <c r="D330" s="166" t="s">
        <v>35</v>
      </c>
      <c r="E330" s="166">
        <v>5.437639478E9</v>
      </c>
      <c r="F330" s="166" t="s">
        <v>538</v>
      </c>
      <c r="G330" s="165">
        <v>46096.0</v>
      </c>
      <c r="H330" s="167">
        <v>46098.0</v>
      </c>
      <c r="I330" s="168">
        <v>2.0</v>
      </c>
      <c r="J330" s="169" t="s">
        <v>78</v>
      </c>
      <c r="K330" s="166" t="s">
        <v>79</v>
      </c>
      <c r="L330" s="166" t="s">
        <v>80</v>
      </c>
      <c r="M330" s="166">
        <v>2.0</v>
      </c>
      <c r="N330" s="170">
        <v>0.19999999999999996</v>
      </c>
      <c r="O330" s="171">
        <v>155.9</v>
      </c>
      <c r="P330" s="171">
        <v>124.72000000000001</v>
      </c>
      <c r="Q330" s="172">
        <v>0.0</v>
      </c>
      <c r="R330" s="173">
        <v>249.44000000000003</v>
      </c>
      <c r="S330" s="173">
        <v>0.0</v>
      </c>
      <c r="T330" s="173">
        <v>321.8</v>
      </c>
      <c r="U330" s="174" t="s">
        <v>107</v>
      </c>
      <c r="V330" s="165">
        <v>46060.0</v>
      </c>
      <c r="W330" s="175"/>
      <c r="X330" s="175"/>
      <c r="Y330" s="175"/>
      <c r="Z330" s="175"/>
      <c r="AA330" s="175"/>
      <c r="AB330" s="175"/>
      <c r="AC330" s="175"/>
      <c r="AD330" s="175"/>
      <c r="AE330" s="175"/>
      <c r="AF330" s="175"/>
      <c r="AG330" s="175"/>
      <c r="AH330" s="175"/>
      <c r="AI330" s="175"/>
    </row>
    <row r="331">
      <c r="A331" s="176">
        <v>46062.0</v>
      </c>
      <c r="B331" s="177">
        <v>8148533.0</v>
      </c>
      <c r="C331" s="178" t="s">
        <v>82</v>
      </c>
      <c r="D331" s="178" t="s">
        <v>94</v>
      </c>
      <c r="E331" s="177">
        <v>8148533.0</v>
      </c>
      <c r="F331" s="178" t="s">
        <v>540</v>
      </c>
      <c r="G331" s="176">
        <v>46096.0</v>
      </c>
      <c r="H331" s="179">
        <v>46098.0</v>
      </c>
      <c r="I331" s="180">
        <v>2.0</v>
      </c>
      <c r="J331" s="181" t="s">
        <v>91</v>
      </c>
      <c r="K331" s="178" t="s">
        <v>79</v>
      </c>
      <c r="L331" s="178" t="s">
        <v>96</v>
      </c>
      <c r="M331" s="182">
        <v>2.0</v>
      </c>
      <c r="N331" s="183">
        <v>0.0</v>
      </c>
      <c r="O331" s="184">
        <v>599.76</v>
      </c>
      <c r="P331" s="184">
        <v>599.76</v>
      </c>
      <c r="Q331" s="185">
        <v>0.0</v>
      </c>
      <c r="R331" s="186">
        <v>1199.52</v>
      </c>
      <c r="S331" s="186">
        <v>0.0</v>
      </c>
      <c r="T331" s="186">
        <v>1209.52</v>
      </c>
      <c r="U331" s="187" t="s">
        <v>97</v>
      </c>
      <c r="V331" s="176">
        <v>46062.0</v>
      </c>
      <c r="W331" s="175"/>
      <c r="X331" s="175"/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  <c r="AI331" s="175"/>
    </row>
    <row r="332">
      <c r="A332" s="176">
        <v>45921.0</v>
      </c>
      <c r="B332" s="177">
        <v>7589991.0</v>
      </c>
      <c r="C332" s="178" t="s">
        <v>82</v>
      </c>
      <c r="D332" s="178" t="s">
        <v>35</v>
      </c>
      <c r="E332" s="178">
        <v>5.601560528E9</v>
      </c>
      <c r="F332" s="178" t="s">
        <v>541</v>
      </c>
      <c r="G332" s="176">
        <v>46097.0</v>
      </c>
      <c r="H332" s="179">
        <v>46102.0</v>
      </c>
      <c r="I332" s="180">
        <v>5.0</v>
      </c>
      <c r="J332" s="181" t="s">
        <v>78</v>
      </c>
      <c r="K332" s="178" t="s">
        <v>79</v>
      </c>
      <c r="L332" s="178" t="s">
        <v>80</v>
      </c>
      <c r="M332" s="177">
        <v>3.0</v>
      </c>
      <c r="N332" s="183">
        <v>0.19999999999999996</v>
      </c>
      <c r="O332" s="184">
        <v>152.1</v>
      </c>
      <c r="P332" s="184">
        <v>121.68</v>
      </c>
      <c r="Q332" s="185">
        <v>0.0</v>
      </c>
      <c r="R332" s="186">
        <v>608.4000000000001</v>
      </c>
      <c r="S332" s="186">
        <v>0.0</v>
      </c>
      <c r="T332" s="186">
        <v>798.0</v>
      </c>
      <c r="U332" s="187" t="s">
        <v>88</v>
      </c>
      <c r="V332" s="189">
        <v>45921.0</v>
      </c>
      <c r="W332" s="175"/>
      <c r="X332" s="175"/>
      <c r="Y332" s="175"/>
      <c r="Z332" s="175"/>
      <c r="AA332" s="175"/>
      <c r="AB332" s="175"/>
      <c r="AC332" s="175"/>
      <c r="AD332" s="175"/>
      <c r="AE332" s="175"/>
      <c r="AF332" s="175"/>
      <c r="AG332" s="175"/>
      <c r="AH332" s="175"/>
      <c r="AI332" s="175"/>
    </row>
    <row r="333">
      <c r="A333" s="165">
        <v>46042.0</v>
      </c>
      <c r="B333" s="166">
        <v>8058095.0</v>
      </c>
      <c r="C333" s="166" t="s">
        <v>82</v>
      </c>
      <c r="D333" s="166" t="s">
        <v>35</v>
      </c>
      <c r="E333" s="166">
        <v>6.574543256E9</v>
      </c>
      <c r="F333" s="166" t="s">
        <v>542</v>
      </c>
      <c r="G333" s="165">
        <v>46097.0</v>
      </c>
      <c r="H333" s="167">
        <v>46099.0</v>
      </c>
      <c r="I333" s="168">
        <v>2.0</v>
      </c>
      <c r="J333" s="169" t="s">
        <v>111</v>
      </c>
      <c r="K333" s="166" t="s">
        <v>79</v>
      </c>
      <c r="L333" s="166" t="s">
        <v>80</v>
      </c>
      <c r="M333" s="166">
        <v>2.0</v>
      </c>
      <c r="N333" s="170">
        <v>0.19999999999999996</v>
      </c>
      <c r="O333" s="171">
        <v>210.29</v>
      </c>
      <c r="P333" s="171">
        <v>168.232</v>
      </c>
      <c r="Q333" s="172">
        <v>0.0</v>
      </c>
      <c r="R333" s="173">
        <v>336.464</v>
      </c>
      <c r="S333" s="173">
        <v>0.0</v>
      </c>
      <c r="T333" s="173">
        <v>430.58</v>
      </c>
      <c r="U333" s="174" t="s">
        <v>107</v>
      </c>
      <c r="V333" s="165">
        <v>46042.0</v>
      </c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</row>
    <row r="334">
      <c r="A334" s="190">
        <v>45937.0</v>
      </c>
      <c r="B334" s="191">
        <v>7656150.0</v>
      </c>
      <c r="C334" s="192" t="s">
        <v>82</v>
      </c>
      <c r="D334" s="192" t="s">
        <v>36</v>
      </c>
      <c r="E334" s="191">
        <v>7656150.0</v>
      </c>
      <c r="F334" s="192" t="s">
        <v>543</v>
      </c>
      <c r="G334" s="190">
        <v>46098.0</v>
      </c>
      <c r="H334" s="193">
        <v>46101.0</v>
      </c>
      <c r="I334" s="194">
        <v>3.0</v>
      </c>
      <c r="J334" s="195" t="s">
        <v>78</v>
      </c>
      <c r="K334" s="192" t="s">
        <v>79</v>
      </c>
      <c r="L334" s="192" t="s">
        <v>96</v>
      </c>
      <c r="M334" s="191">
        <v>2.0</v>
      </c>
      <c r="N334" s="196">
        <v>0.0</v>
      </c>
      <c r="O334" s="197">
        <v>162.63</v>
      </c>
      <c r="P334" s="197">
        <v>161.00369999999998</v>
      </c>
      <c r="Q334" s="198">
        <v>0.0</v>
      </c>
      <c r="R334" s="199">
        <v>483.01109999999994</v>
      </c>
      <c r="S334" s="199">
        <v>0.0</v>
      </c>
      <c r="T334" s="199">
        <v>1005.78</v>
      </c>
      <c r="U334" s="200" t="s">
        <v>97</v>
      </c>
      <c r="V334" s="190">
        <v>45937.0</v>
      </c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</row>
    <row r="335">
      <c r="A335" s="154">
        <v>45937.0</v>
      </c>
      <c r="B335" s="155">
        <v>7656150.0</v>
      </c>
      <c r="C335" s="156" t="s">
        <v>82</v>
      </c>
      <c r="D335" s="156" t="s">
        <v>36</v>
      </c>
      <c r="E335" s="155">
        <v>7656150.0</v>
      </c>
      <c r="F335" s="156" t="s">
        <v>543</v>
      </c>
      <c r="G335" s="154">
        <v>46098.0</v>
      </c>
      <c r="H335" s="157">
        <v>46101.0</v>
      </c>
      <c r="I335" s="158">
        <v>3.0</v>
      </c>
      <c r="J335" s="159" t="s">
        <v>78</v>
      </c>
      <c r="K335" s="156" t="s">
        <v>79</v>
      </c>
      <c r="L335" s="156" t="s">
        <v>96</v>
      </c>
      <c r="M335" s="155">
        <v>2.0</v>
      </c>
      <c r="N335" s="160">
        <v>0.0</v>
      </c>
      <c r="O335" s="161">
        <v>162.63</v>
      </c>
      <c r="P335" s="161">
        <v>161.00369999999998</v>
      </c>
      <c r="Q335" s="203">
        <v>0.0</v>
      </c>
      <c r="R335" s="162">
        <v>483.01109999999994</v>
      </c>
      <c r="S335" s="162">
        <v>0.0</v>
      </c>
      <c r="T335" s="162">
        <v>1005.78</v>
      </c>
      <c r="U335" s="163" t="s">
        <v>97</v>
      </c>
      <c r="V335" s="215">
        <v>45937.0</v>
      </c>
      <c r="W335" s="175"/>
      <c r="X335" s="175"/>
      <c r="Y335" s="175"/>
      <c r="Z335" s="175"/>
      <c r="AA335" s="175"/>
      <c r="AB335" s="175"/>
      <c r="AC335" s="175"/>
      <c r="AD335" s="175"/>
      <c r="AE335" s="175"/>
      <c r="AF335" s="175"/>
      <c r="AG335" s="175"/>
      <c r="AH335" s="175"/>
      <c r="AI335" s="175"/>
    </row>
    <row r="336">
      <c r="A336" s="165">
        <v>45953.0</v>
      </c>
      <c r="B336" s="166">
        <v>7720841.0</v>
      </c>
      <c r="C336" s="166" t="s">
        <v>82</v>
      </c>
      <c r="D336" s="166" t="s">
        <v>36</v>
      </c>
      <c r="E336" s="166">
        <v>7720841.0</v>
      </c>
      <c r="F336" s="166" t="s">
        <v>544</v>
      </c>
      <c r="G336" s="165">
        <v>46098.0</v>
      </c>
      <c r="H336" s="167">
        <v>46102.0</v>
      </c>
      <c r="I336" s="168">
        <v>4.0</v>
      </c>
      <c r="J336" s="169" t="s">
        <v>114</v>
      </c>
      <c r="K336" s="166" t="s">
        <v>79</v>
      </c>
      <c r="L336" s="166" t="s">
        <v>96</v>
      </c>
      <c r="M336" s="166">
        <v>2.0</v>
      </c>
      <c r="N336" s="170">
        <v>0.0</v>
      </c>
      <c r="O336" s="171">
        <v>183.105</v>
      </c>
      <c r="P336" s="171">
        <v>181.27394999999999</v>
      </c>
      <c r="Q336" s="172">
        <v>0.0</v>
      </c>
      <c r="R336" s="173">
        <v>725.0957999999999</v>
      </c>
      <c r="S336" s="173">
        <v>0.0</v>
      </c>
      <c r="T336" s="173">
        <v>1494.84</v>
      </c>
      <c r="U336" s="174" t="s">
        <v>97</v>
      </c>
      <c r="V336" s="165">
        <v>45953.0</v>
      </c>
      <c r="W336" s="175"/>
      <c r="X336" s="175"/>
      <c r="Y336" s="175"/>
      <c r="Z336" s="175"/>
      <c r="AA336" s="175"/>
      <c r="AB336" s="175"/>
      <c r="AC336" s="175"/>
      <c r="AD336" s="175"/>
      <c r="AE336" s="175"/>
      <c r="AF336" s="175"/>
      <c r="AG336" s="175"/>
      <c r="AH336" s="175"/>
      <c r="AI336" s="175"/>
    </row>
    <row r="337">
      <c r="A337" s="165">
        <v>45953.0</v>
      </c>
      <c r="B337" s="166">
        <v>7720841.0</v>
      </c>
      <c r="C337" s="166" t="s">
        <v>82</v>
      </c>
      <c r="D337" s="166" t="s">
        <v>36</v>
      </c>
      <c r="E337" s="166">
        <v>7720841.0</v>
      </c>
      <c r="F337" s="166" t="s">
        <v>544</v>
      </c>
      <c r="G337" s="165">
        <v>46098.0</v>
      </c>
      <c r="H337" s="167">
        <v>46102.0</v>
      </c>
      <c r="I337" s="168">
        <v>4.0</v>
      </c>
      <c r="J337" s="169" t="s">
        <v>114</v>
      </c>
      <c r="K337" s="166" t="s">
        <v>79</v>
      </c>
      <c r="L337" s="166" t="s">
        <v>96</v>
      </c>
      <c r="M337" s="205">
        <v>1.0</v>
      </c>
      <c r="N337" s="170">
        <v>0.0</v>
      </c>
      <c r="O337" s="171">
        <v>183.105</v>
      </c>
      <c r="P337" s="171">
        <v>181.27394999999999</v>
      </c>
      <c r="Q337" s="172">
        <v>0.0</v>
      </c>
      <c r="R337" s="173">
        <v>725.0957999999999</v>
      </c>
      <c r="S337" s="173">
        <v>0.0</v>
      </c>
      <c r="T337" s="173">
        <v>1494.84</v>
      </c>
      <c r="U337" s="174" t="s">
        <v>97</v>
      </c>
      <c r="V337" s="165">
        <v>45953.0</v>
      </c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</row>
    <row r="338">
      <c r="A338" s="176">
        <v>46004.0</v>
      </c>
      <c r="B338" s="177">
        <v>7914985.0</v>
      </c>
      <c r="C338" s="178" t="s">
        <v>82</v>
      </c>
      <c r="D338" s="178" t="s">
        <v>35</v>
      </c>
      <c r="E338" s="177">
        <v>5.238723991E9</v>
      </c>
      <c r="F338" s="178" t="s">
        <v>546</v>
      </c>
      <c r="G338" s="176">
        <v>46098.0</v>
      </c>
      <c r="H338" s="179">
        <v>46099.0</v>
      </c>
      <c r="I338" s="180">
        <v>1.0</v>
      </c>
      <c r="J338" s="181" t="s">
        <v>87</v>
      </c>
      <c r="K338" s="178" t="s">
        <v>79</v>
      </c>
      <c r="L338" s="178" t="s">
        <v>80</v>
      </c>
      <c r="M338" s="182">
        <v>2.0</v>
      </c>
      <c r="N338" s="181">
        <v>0.19999999999999996</v>
      </c>
      <c r="O338" s="184">
        <v>137.09</v>
      </c>
      <c r="P338" s="184">
        <v>109.67200000000001</v>
      </c>
      <c r="Q338" s="181">
        <v>0.0</v>
      </c>
      <c r="R338" s="186">
        <v>109.67200000000001</v>
      </c>
      <c r="S338" s="186">
        <v>0.0</v>
      </c>
      <c r="T338" s="186">
        <v>142.09</v>
      </c>
      <c r="U338" s="187" t="s">
        <v>107</v>
      </c>
      <c r="V338" s="176">
        <v>46004.0</v>
      </c>
      <c r="W338" s="175"/>
      <c r="X338" s="175"/>
      <c r="Y338" s="175"/>
      <c r="Z338" s="175"/>
      <c r="AA338" s="175"/>
      <c r="AB338" s="175"/>
      <c r="AC338" s="175"/>
      <c r="AD338" s="175"/>
      <c r="AE338" s="175"/>
      <c r="AF338" s="175"/>
      <c r="AG338" s="175"/>
      <c r="AH338" s="175"/>
      <c r="AI338" s="175"/>
    </row>
    <row r="339">
      <c r="A339" s="165">
        <v>46037.0</v>
      </c>
      <c r="B339" s="166">
        <v>8038507.0</v>
      </c>
      <c r="C339" s="166" t="s">
        <v>89</v>
      </c>
      <c r="D339" s="166" t="s">
        <v>35</v>
      </c>
      <c r="E339" s="166">
        <v>6.214343157E9</v>
      </c>
      <c r="F339" s="166" t="s">
        <v>547</v>
      </c>
      <c r="G339" s="165">
        <v>46098.0</v>
      </c>
      <c r="H339" s="167">
        <v>46100.0</v>
      </c>
      <c r="I339" s="168">
        <v>2.0</v>
      </c>
      <c r="J339" s="169" t="s">
        <v>78</v>
      </c>
      <c r="K339" s="166" t="s">
        <v>79</v>
      </c>
      <c r="L339" s="166" t="s">
        <v>80</v>
      </c>
      <c r="M339" s="166">
        <v>0.0</v>
      </c>
      <c r="N339" s="170">
        <v>0.0</v>
      </c>
      <c r="O339" s="171">
        <v>0.0</v>
      </c>
      <c r="P339" s="171">
        <v>0.0</v>
      </c>
      <c r="Q339" s="172">
        <v>0.0</v>
      </c>
      <c r="R339" s="173">
        <v>0.0</v>
      </c>
      <c r="S339" s="173">
        <v>0.0</v>
      </c>
      <c r="T339" s="173">
        <v>0.0</v>
      </c>
      <c r="U339" s="201" t="s">
        <v>548</v>
      </c>
      <c r="V339" s="165">
        <v>46099.0</v>
      </c>
      <c r="W339" s="175"/>
      <c r="X339" s="175"/>
      <c r="Y339" s="175"/>
      <c r="Z339" s="175"/>
      <c r="AA339" s="175"/>
      <c r="AB339" s="175"/>
      <c r="AC339" s="175"/>
      <c r="AD339" s="175"/>
      <c r="AE339" s="175"/>
      <c r="AF339" s="175"/>
      <c r="AG339" s="175"/>
      <c r="AH339" s="175"/>
      <c r="AI339" s="175"/>
    </row>
    <row r="340">
      <c r="A340" s="176">
        <v>45898.0</v>
      </c>
      <c r="B340" s="177">
        <v>7486281.0</v>
      </c>
      <c r="C340" s="178" t="s">
        <v>89</v>
      </c>
      <c r="D340" s="178" t="s">
        <v>35</v>
      </c>
      <c r="E340" s="177">
        <v>5.068418865E9</v>
      </c>
      <c r="F340" s="178" t="s">
        <v>549</v>
      </c>
      <c r="G340" s="176">
        <v>46099.0</v>
      </c>
      <c r="H340" s="179">
        <v>46102.0</v>
      </c>
      <c r="I340" s="180">
        <v>3.0</v>
      </c>
      <c r="J340" s="181" t="s">
        <v>111</v>
      </c>
      <c r="K340" s="178" t="s">
        <v>79</v>
      </c>
      <c r="L340" s="178" t="s">
        <v>80</v>
      </c>
      <c r="M340" s="177">
        <v>0.0</v>
      </c>
      <c r="N340" s="183">
        <v>0.0</v>
      </c>
      <c r="O340" s="184">
        <v>0.0</v>
      </c>
      <c r="P340" s="184">
        <v>0.0</v>
      </c>
      <c r="Q340" s="185">
        <v>0.0</v>
      </c>
      <c r="R340" s="186">
        <v>0.0</v>
      </c>
      <c r="S340" s="186">
        <v>0.0</v>
      </c>
      <c r="T340" s="186">
        <v>0.0</v>
      </c>
      <c r="U340" s="187" t="s">
        <v>551</v>
      </c>
      <c r="V340" s="189">
        <v>45898.0</v>
      </c>
      <c r="W340" s="175"/>
      <c r="X340" s="175"/>
      <c r="Y340" s="175"/>
      <c r="Z340" s="175"/>
      <c r="AA340" s="175"/>
      <c r="AB340" s="175"/>
      <c r="AC340" s="175"/>
      <c r="AD340" s="175"/>
      <c r="AE340" s="175"/>
      <c r="AF340" s="175"/>
      <c r="AG340" s="175"/>
      <c r="AH340" s="175"/>
      <c r="AI340" s="175"/>
    </row>
    <row r="341">
      <c r="A341" s="154">
        <v>45898.0</v>
      </c>
      <c r="B341" s="155">
        <v>7486281.0</v>
      </c>
      <c r="C341" s="156" t="s">
        <v>89</v>
      </c>
      <c r="D341" s="156" t="s">
        <v>35</v>
      </c>
      <c r="E341" s="155">
        <v>5.068418865E9</v>
      </c>
      <c r="F341" s="156" t="s">
        <v>549</v>
      </c>
      <c r="G341" s="154">
        <v>46099.0</v>
      </c>
      <c r="H341" s="157">
        <v>46102.0</v>
      </c>
      <c r="I341" s="158">
        <v>3.0</v>
      </c>
      <c r="J341" s="159" t="s">
        <v>78</v>
      </c>
      <c r="K341" s="156" t="s">
        <v>79</v>
      </c>
      <c r="L341" s="156" t="s">
        <v>80</v>
      </c>
      <c r="M341" s="155">
        <v>0.0</v>
      </c>
      <c r="N341" s="160">
        <v>0.0</v>
      </c>
      <c r="O341" s="161">
        <v>0.0</v>
      </c>
      <c r="P341" s="161">
        <v>0.0</v>
      </c>
      <c r="Q341" s="203">
        <v>0.0</v>
      </c>
      <c r="R341" s="162">
        <v>0.0</v>
      </c>
      <c r="S341" s="162">
        <v>0.0</v>
      </c>
      <c r="T341" s="162">
        <v>0.0</v>
      </c>
      <c r="U341" s="163" t="s">
        <v>551</v>
      </c>
      <c r="V341" s="154">
        <v>45898.0</v>
      </c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</row>
    <row r="342">
      <c r="A342" s="176">
        <v>45898.0</v>
      </c>
      <c r="B342" s="177">
        <v>7486281.0</v>
      </c>
      <c r="C342" s="178" t="s">
        <v>89</v>
      </c>
      <c r="D342" s="178" t="s">
        <v>35</v>
      </c>
      <c r="E342" s="177">
        <v>5.068418865E9</v>
      </c>
      <c r="F342" s="178" t="s">
        <v>549</v>
      </c>
      <c r="G342" s="176">
        <v>46099.0</v>
      </c>
      <c r="H342" s="179">
        <v>46102.0</v>
      </c>
      <c r="I342" s="180">
        <v>3.0</v>
      </c>
      <c r="J342" s="181" t="s">
        <v>114</v>
      </c>
      <c r="K342" s="178" t="s">
        <v>79</v>
      </c>
      <c r="L342" s="178" t="s">
        <v>80</v>
      </c>
      <c r="M342" s="177">
        <v>0.0</v>
      </c>
      <c r="N342" s="183">
        <v>0.0</v>
      </c>
      <c r="O342" s="184">
        <v>0.0</v>
      </c>
      <c r="P342" s="184">
        <v>0.0</v>
      </c>
      <c r="Q342" s="185">
        <v>0.0</v>
      </c>
      <c r="R342" s="186">
        <v>0.0</v>
      </c>
      <c r="S342" s="186">
        <v>0.0</v>
      </c>
      <c r="T342" s="186">
        <v>0.0</v>
      </c>
      <c r="U342" s="187" t="s">
        <v>551</v>
      </c>
      <c r="V342" s="189">
        <v>45898.0</v>
      </c>
      <c r="W342" s="175"/>
      <c r="X342" s="175"/>
      <c r="Y342" s="175"/>
      <c r="Z342" s="175"/>
      <c r="AA342" s="175"/>
      <c r="AB342" s="175"/>
      <c r="AC342" s="175"/>
      <c r="AD342" s="175"/>
      <c r="AE342" s="175"/>
      <c r="AF342" s="175"/>
      <c r="AG342" s="175"/>
      <c r="AH342" s="175"/>
      <c r="AI342" s="175"/>
    </row>
    <row r="343">
      <c r="A343" s="176">
        <v>45951.0</v>
      </c>
      <c r="B343" s="177">
        <v>7713282.0</v>
      </c>
      <c r="C343" s="178" t="s">
        <v>82</v>
      </c>
      <c r="D343" s="178" t="s">
        <v>35</v>
      </c>
      <c r="E343" s="177">
        <v>6.148726664E9</v>
      </c>
      <c r="F343" s="178" t="s">
        <v>552</v>
      </c>
      <c r="G343" s="176">
        <v>46099.0</v>
      </c>
      <c r="H343" s="179">
        <v>46102.0</v>
      </c>
      <c r="I343" s="180">
        <v>3.0</v>
      </c>
      <c r="J343" s="181" t="s">
        <v>78</v>
      </c>
      <c r="K343" s="178" t="s">
        <v>79</v>
      </c>
      <c r="L343" s="178" t="s">
        <v>80</v>
      </c>
      <c r="M343" s="182">
        <v>2.0</v>
      </c>
      <c r="N343" s="181">
        <v>0.19999999999999996</v>
      </c>
      <c r="O343" s="184">
        <v>173.12</v>
      </c>
      <c r="P343" s="184">
        <v>138.496</v>
      </c>
      <c r="Q343" s="181">
        <v>0.0</v>
      </c>
      <c r="R343" s="186">
        <v>415.48800000000006</v>
      </c>
      <c r="S343" s="186">
        <v>0.0</v>
      </c>
      <c r="T343" s="186">
        <v>534.36</v>
      </c>
      <c r="U343" s="187" t="s">
        <v>353</v>
      </c>
      <c r="V343" s="176">
        <v>45951.0</v>
      </c>
      <c r="W343" s="175"/>
      <c r="X343" s="175"/>
      <c r="Y343" s="175"/>
      <c r="Z343" s="175"/>
      <c r="AA343" s="175"/>
      <c r="AB343" s="175"/>
      <c r="AC343" s="175"/>
      <c r="AD343" s="175"/>
      <c r="AE343" s="175"/>
      <c r="AF343" s="175"/>
      <c r="AG343" s="175"/>
      <c r="AH343" s="175"/>
      <c r="AI343" s="175"/>
    </row>
    <row r="344">
      <c r="A344" s="154">
        <v>46062.0</v>
      </c>
      <c r="B344" s="155">
        <v>8151246.0</v>
      </c>
      <c r="C344" s="156" t="s">
        <v>89</v>
      </c>
      <c r="D344" s="156" t="s">
        <v>35</v>
      </c>
      <c r="E344" s="155">
        <v>5.815582385E9</v>
      </c>
      <c r="F344" s="156" t="s">
        <v>553</v>
      </c>
      <c r="G344" s="154">
        <v>46099.0</v>
      </c>
      <c r="H344" s="157">
        <v>46102.0</v>
      </c>
      <c r="I344" s="158">
        <v>3.0</v>
      </c>
      <c r="J344" s="159" t="s">
        <v>87</v>
      </c>
      <c r="K344" s="156" t="s">
        <v>79</v>
      </c>
      <c r="L344" s="156" t="s">
        <v>80</v>
      </c>
      <c r="M344" s="155">
        <v>0.0</v>
      </c>
      <c r="N344" s="160">
        <v>0.0</v>
      </c>
      <c r="O344" s="161">
        <v>0.0</v>
      </c>
      <c r="P344" s="161">
        <v>0.0</v>
      </c>
      <c r="Q344" s="159">
        <v>0.0</v>
      </c>
      <c r="R344" s="162">
        <v>0.0</v>
      </c>
      <c r="S344" s="162">
        <v>0.0</v>
      </c>
      <c r="T344" s="162">
        <v>0.0</v>
      </c>
      <c r="U344" s="163" t="s">
        <v>554</v>
      </c>
      <c r="V344" s="154">
        <v>46100.0</v>
      </c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64"/>
    </row>
    <row r="345">
      <c r="A345" s="165">
        <v>45942.0</v>
      </c>
      <c r="B345" s="166">
        <v>7675095.0</v>
      </c>
      <c r="C345" s="166" t="s">
        <v>89</v>
      </c>
      <c r="D345" s="166" t="s">
        <v>35</v>
      </c>
      <c r="E345" s="166">
        <v>5.698401192E9</v>
      </c>
      <c r="F345" s="166" t="s">
        <v>556</v>
      </c>
      <c r="G345" s="165">
        <v>46100.0</v>
      </c>
      <c r="H345" s="167">
        <v>46103.0</v>
      </c>
      <c r="I345" s="168">
        <v>3.0</v>
      </c>
      <c r="J345" s="169" t="s">
        <v>87</v>
      </c>
      <c r="K345" s="166" t="s">
        <v>79</v>
      </c>
      <c r="L345" s="166" t="s">
        <v>80</v>
      </c>
      <c r="M345" s="166">
        <v>0.0</v>
      </c>
      <c r="N345" s="170">
        <v>0.0</v>
      </c>
      <c r="O345" s="171">
        <v>0.0</v>
      </c>
      <c r="P345" s="171">
        <v>0.0</v>
      </c>
      <c r="Q345" s="169">
        <v>0.0</v>
      </c>
      <c r="R345" s="173">
        <v>0.0</v>
      </c>
      <c r="S345" s="173">
        <v>0.0</v>
      </c>
      <c r="T345" s="173">
        <v>0.0</v>
      </c>
      <c r="U345" s="174" t="s">
        <v>557</v>
      </c>
      <c r="V345" s="165">
        <v>46062.0</v>
      </c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</row>
    <row r="346">
      <c r="A346" s="176">
        <v>45960.0</v>
      </c>
      <c r="B346" s="177">
        <v>7747452.0</v>
      </c>
      <c r="C346" s="178" t="s">
        <v>82</v>
      </c>
      <c r="D346" s="178" t="s">
        <v>35</v>
      </c>
      <c r="E346" s="177">
        <v>6.899448792E9</v>
      </c>
      <c r="F346" s="178" t="s">
        <v>558</v>
      </c>
      <c r="G346" s="176">
        <v>46100.0</v>
      </c>
      <c r="H346" s="179">
        <v>46102.0</v>
      </c>
      <c r="I346" s="180">
        <v>2.0</v>
      </c>
      <c r="J346" s="181" t="s">
        <v>78</v>
      </c>
      <c r="K346" s="178" t="s">
        <v>79</v>
      </c>
      <c r="L346" s="178" t="s">
        <v>80</v>
      </c>
      <c r="M346" s="182">
        <v>3.0</v>
      </c>
      <c r="N346" s="183">
        <v>0.19999999999999996</v>
      </c>
      <c r="O346" s="184">
        <v>158.96</v>
      </c>
      <c r="P346" s="184">
        <v>127.168</v>
      </c>
      <c r="Q346" s="185">
        <v>0.0</v>
      </c>
      <c r="R346" s="186">
        <v>254.336</v>
      </c>
      <c r="S346" s="186">
        <v>0.0</v>
      </c>
      <c r="T346" s="186">
        <v>332.92</v>
      </c>
      <c r="U346" s="187" t="s">
        <v>107</v>
      </c>
      <c r="V346" s="176">
        <v>45960.0</v>
      </c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</row>
    <row r="347">
      <c r="A347" s="154">
        <v>46053.0</v>
      </c>
      <c r="B347" s="155">
        <v>8107681.0</v>
      </c>
      <c r="C347" s="156" t="s">
        <v>82</v>
      </c>
      <c r="D347" s="156" t="s">
        <v>35</v>
      </c>
      <c r="E347" s="155">
        <v>5.720657189E9</v>
      </c>
      <c r="F347" s="156" t="s">
        <v>559</v>
      </c>
      <c r="G347" s="154">
        <v>46100.0</v>
      </c>
      <c r="H347" s="157">
        <v>46102.0</v>
      </c>
      <c r="I347" s="158">
        <v>2.0</v>
      </c>
      <c r="J347" s="159" t="s">
        <v>111</v>
      </c>
      <c r="K347" s="156" t="s">
        <v>138</v>
      </c>
      <c r="L347" s="156" t="s">
        <v>80</v>
      </c>
      <c r="M347" s="202">
        <v>3.0</v>
      </c>
      <c r="N347" s="160">
        <v>0.19999999999999996</v>
      </c>
      <c r="O347" s="161">
        <v>198.45</v>
      </c>
      <c r="P347" s="161">
        <v>158.76</v>
      </c>
      <c r="Q347" s="203">
        <v>54.0</v>
      </c>
      <c r="R347" s="162">
        <v>317.52</v>
      </c>
      <c r="S347" s="162">
        <v>108.0</v>
      </c>
      <c r="T347" s="162">
        <v>996.6</v>
      </c>
      <c r="U347" s="163" t="s">
        <v>140</v>
      </c>
      <c r="V347" s="154">
        <v>46053.0</v>
      </c>
      <c r="W347" s="175"/>
      <c r="X347" s="175"/>
      <c r="Y347" s="175"/>
      <c r="Z347" s="175"/>
      <c r="AA347" s="175"/>
      <c r="AB347" s="175"/>
      <c r="AC347" s="175"/>
      <c r="AD347" s="175"/>
      <c r="AE347" s="175"/>
      <c r="AF347" s="175"/>
      <c r="AG347" s="175"/>
      <c r="AH347" s="175"/>
      <c r="AI347" s="175"/>
    </row>
    <row r="348">
      <c r="A348" s="154">
        <v>46053.0</v>
      </c>
      <c r="B348" s="155">
        <v>8107681.0</v>
      </c>
      <c r="C348" s="156" t="s">
        <v>82</v>
      </c>
      <c r="D348" s="156" t="s">
        <v>35</v>
      </c>
      <c r="E348" s="155">
        <v>5.720657189E9</v>
      </c>
      <c r="F348" s="156" t="s">
        <v>559</v>
      </c>
      <c r="G348" s="154">
        <v>46100.0</v>
      </c>
      <c r="H348" s="157">
        <v>46102.0</v>
      </c>
      <c r="I348" s="158">
        <v>2.0</v>
      </c>
      <c r="J348" s="159" t="s">
        <v>111</v>
      </c>
      <c r="K348" s="156" t="s">
        <v>138</v>
      </c>
      <c r="L348" s="156" t="s">
        <v>80</v>
      </c>
      <c r="M348" s="155">
        <v>3.0</v>
      </c>
      <c r="N348" s="160">
        <v>0.19999999999999996</v>
      </c>
      <c r="O348" s="161">
        <v>198.45</v>
      </c>
      <c r="P348" s="161">
        <v>158.76</v>
      </c>
      <c r="Q348" s="159">
        <v>54.0</v>
      </c>
      <c r="R348" s="162">
        <v>317.52</v>
      </c>
      <c r="S348" s="162">
        <v>108.0</v>
      </c>
      <c r="T348" s="162">
        <v>996.6</v>
      </c>
      <c r="U348" s="163" t="s">
        <v>140</v>
      </c>
      <c r="V348" s="215">
        <v>46053.0</v>
      </c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</row>
    <row r="349">
      <c r="A349" s="165">
        <v>45921.0</v>
      </c>
      <c r="B349" s="166">
        <v>7586728.0</v>
      </c>
      <c r="C349" s="166" t="s">
        <v>89</v>
      </c>
      <c r="D349" s="166" t="s">
        <v>35</v>
      </c>
      <c r="E349" s="166">
        <v>5.812317461E9</v>
      </c>
      <c r="F349" s="166" t="s">
        <v>560</v>
      </c>
      <c r="G349" s="165">
        <v>46101.0</v>
      </c>
      <c r="H349" s="167">
        <v>46104.0</v>
      </c>
      <c r="I349" s="168">
        <v>3.0</v>
      </c>
      <c r="J349" s="169" t="s">
        <v>91</v>
      </c>
      <c r="K349" s="166" t="s">
        <v>79</v>
      </c>
      <c r="L349" s="166" t="s">
        <v>80</v>
      </c>
      <c r="M349" s="166">
        <v>0.0</v>
      </c>
      <c r="N349" s="170">
        <v>0.0</v>
      </c>
      <c r="O349" s="171">
        <v>0.0</v>
      </c>
      <c r="P349" s="171">
        <v>0.0</v>
      </c>
      <c r="Q349" s="169">
        <v>0.0</v>
      </c>
      <c r="R349" s="173">
        <v>0.0</v>
      </c>
      <c r="S349" s="173">
        <v>0.0</v>
      </c>
      <c r="T349" s="173">
        <v>0.0</v>
      </c>
      <c r="U349" s="201" t="s">
        <v>561</v>
      </c>
      <c r="V349" s="165">
        <v>46091.0</v>
      </c>
      <c r="W349" s="175"/>
      <c r="X349" s="175"/>
      <c r="Y349" s="175"/>
      <c r="Z349" s="175"/>
      <c r="AA349" s="175"/>
      <c r="AB349" s="175"/>
      <c r="AC349" s="175"/>
      <c r="AD349" s="175"/>
      <c r="AE349" s="175"/>
      <c r="AF349" s="175"/>
      <c r="AG349" s="175"/>
      <c r="AH349" s="175"/>
      <c r="AI349" s="175"/>
    </row>
    <row r="350">
      <c r="A350" s="154">
        <v>45996.0</v>
      </c>
      <c r="B350" s="155">
        <v>7886209.0</v>
      </c>
      <c r="C350" s="156" t="s">
        <v>82</v>
      </c>
      <c r="D350" s="156" t="s">
        <v>35</v>
      </c>
      <c r="E350" s="155">
        <v>5.216792586E9</v>
      </c>
      <c r="F350" s="156" t="s">
        <v>562</v>
      </c>
      <c r="G350" s="154">
        <v>46101.0</v>
      </c>
      <c r="H350" s="157">
        <v>46102.0</v>
      </c>
      <c r="I350" s="158">
        <v>1.0</v>
      </c>
      <c r="J350" s="159" t="s">
        <v>78</v>
      </c>
      <c r="K350" s="156" t="s">
        <v>79</v>
      </c>
      <c r="L350" s="156" t="s">
        <v>80</v>
      </c>
      <c r="M350" s="155">
        <v>2.0</v>
      </c>
      <c r="N350" s="160">
        <v>0.19999999999999996</v>
      </c>
      <c r="O350" s="161">
        <v>237.1</v>
      </c>
      <c r="P350" s="161">
        <v>189.68</v>
      </c>
      <c r="Q350" s="203">
        <v>0.0</v>
      </c>
      <c r="R350" s="162">
        <v>189.68</v>
      </c>
      <c r="S350" s="162">
        <v>0.0</v>
      </c>
      <c r="T350" s="162">
        <v>242.1</v>
      </c>
      <c r="U350" s="163" t="s">
        <v>353</v>
      </c>
      <c r="V350" s="154">
        <v>45996.0</v>
      </c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</row>
    <row r="351">
      <c r="A351" s="176">
        <v>46011.0</v>
      </c>
      <c r="B351" s="177">
        <v>7940242.0</v>
      </c>
      <c r="C351" s="178" t="s">
        <v>82</v>
      </c>
      <c r="D351" s="178" t="s">
        <v>35</v>
      </c>
      <c r="E351" s="177">
        <v>5.651183577E9</v>
      </c>
      <c r="F351" s="178" t="s">
        <v>564</v>
      </c>
      <c r="G351" s="176">
        <v>46101.0</v>
      </c>
      <c r="H351" s="179">
        <v>46103.0</v>
      </c>
      <c r="I351" s="180">
        <v>2.0</v>
      </c>
      <c r="J351" s="181" t="s">
        <v>78</v>
      </c>
      <c r="K351" s="178" t="s">
        <v>79</v>
      </c>
      <c r="L351" s="178" t="s">
        <v>80</v>
      </c>
      <c r="M351" s="177">
        <v>2.0</v>
      </c>
      <c r="N351" s="183">
        <v>0.19999999999999996</v>
      </c>
      <c r="O351" s="184">
        <v>167.11</v>
      </c>
      <c r="P351" s="184">
        <v>133.68800000000002</v>
      </c>
      <c r="Q351" s="181">
        <v>0.0</v>
      </c>
      <c r="R351" s="186">
        <v>267.37600000000003</v>
      </c>
      <c r="S351" s="186">
        <v>0.0</v>
      </c>
      <c r="T351" s="186">
        <v>344.22</v>
      </c>
      <c r="U351" s="187" t="s">
        <v>107</v>
      </c>
      <c r="V351" s="226">
        <v>46011.0</v>
      </c>
      <c r="W351" s="175"/>
      <c r="X351" s="175"/>
      <c r="Y351" s="175"/>
      <c r="Z351" s="175"/>
      <c r="AA351" s="175"/>
      <c r="AB351" s="175"/>
      <c r="AC351" s="175"/>
      <c r="AD351" s="175"/>
      <c r="AE351" s="175"/>
      <c r="AF351" s="175"/>
      <c r="AG351" s="175"/>
      <c r="AH351" s="175"/>
      <c r="AI351" s="175"/>
    </row>
    <row r="352">
      <c r="A352" s="154">
        <v>45983.0</v>
      </c>
      <c r="B352" s="155">
        <v>7835336.0</v>
      </c>
      <c r="C352" s="156" t="s">
        <v>82</v>
      </c>
      <c r="D352" s="156" t="s">
        <v>35</v>
      </c>
      <c r="E352" s="155">
        <v>5.758338639E9</v>
      </c>
      <c r="F352" s="156" t="s">
        <v>565</v>
      </c>
      <c r="G352" s="154">
        <v>46102.0</v>
      </c>
      <c r="H352" s="157">
        <v>46105.0</v>
      </c>
      <c r="I352" s="158">
        <v>3.0</v>
      </c>
      <c r="J352" s="159" t="s">
        <v>78</v>
      </c>
      <c r="K352" s="156" t="s">
        <v>79</v>
      </c>
      <c r="L352" s="156" t="s">
        <v>80</v>
      </c>
      <c r="M352" s="155">
        <v>2.0</v>
      </c>
      <c r="N352" s="160">
        <v>0.19999999999999996</v>
      </c>
      <c r="O352" s="161">
        <v>181.38</v>
      </c>
      <c r="P352" s="161">
        <v>145.104</v>
      </c>
      <c r="Q352" s="203">
        <v>0.0</v>
      </c>
      <c r="R352" s="162">
        <v>435.312</v>
      </c>
      <c r="S352" s="162">
        <v>0.0</v>
      </c>
      <c r="T352" s="162">
        <v>559.14</v>
      </c>
      <c r="U352" s="163" t="s">
        <v>107</v>
      </c>
      <c r="V352" s="154">
        <v>45983.0</v>
      </c>
      <c r="W352" s="175"/>
      <c r="X352" s="175"/>
      <c r="Y352" s="175"/>
      <c r="Z352" s="175"/>
      <c r="AA352" s="175"/>
      <c r="AB352" s="175"/>
      <c r="AC352" s="175"/>
      <c r="AD352" s="175"/>
      <c r="AE352" s="175"/>
      <c r="AF352" s="175"/>
      <c r="AG352" s="175"/>
      <c r="AH352" s="175"/>
      <c r="AI352" s="175"/>
    </row>
    <row r="353">
      <c r="A353" s="176">
        <v>46025.0</v>
      </c>
      <c r="B353" s="177">
        <v>7986029.0</v>
      </c>
      <c r="C353" s="178" t="s">
        <v>82</v>
      </c>
      <c r="D353" s="178" t="s">
        <v>35</v>
      </c>
      <c r="E353" s="177">
        <v>6.475354759E9</v>
      </c>
      <c r="F353" s="178" t="s">
        <v>566</v>
      </c>
      <c r="G353" s="176">
        <v>46102.0</v>
      </c>
      <c r="H353" s="179">
        <v>46104.0</v>
      </c>
      <c r="I353" s="180">
        <v>2.0</v>
      </c>
      <c r="J353" s="181" t="s">
        <v>114</v>
      </c>
      <c r="K353" s="178" t="s">
        <v>79</v>
      </c>
      <c r="L353" s="178" t="s">
        <v>80</v>
      </c>
      <c r="M353" s="177">
        <v>2.0</v>
      </c>
      <c r="N353" s="183">
        <v>0.19999999999999996</v>
      </c>
      <c r="O353" s="184">
        <v>188.7</v>
      </c>
      <c r="P353" s="184">
        <v>150.96</v>
      </c>
      <c r="Q353" s="185">
        <v>0.0</v>
      </c>
      <c r="R353" s="186">
        <v>301.92</v>
      </c>
      <c r="S353" s="186">
        <v>0.0</v>
      </c>
      <c r="T353" s="186">
        <v>387.4</v>
      </c>
      <c r="U353" s="187" t="s">
        <v>107</v>
      </c>
      <c r="V353" s="176">
        <v>46025.0</v>
      </c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  <c r="AG353" s="188"/>
      <c r="AH353" s="188"/>
      <c r="AI353" s="188"/>
    </row>
    <row r="354">
      <c r="A354" s="154">
        <v>46031.0</v>
      </c>
      <c r="B354" s="155">
        <v>8013645.0</v>
      </c>
      <c r="C354" s="156" t="s">
        <v>82</v>
      </c>
      <c r="D354" s="156" t="s">
        <v>35</v>
      </c>
      <c r="E354" s="155">
        <v>5.283035738E9</v>
      </c>
      <c r="F354" s="156" t="s">
        <v>567</v>
      </c>
      <c r="G354" s="154">
        <v>46102.0</v>
      </c>
      <c r="H354" s="157">
        <v>46103.0</v>
      </c>
      <c r="I354" s="158">
        <v>1.0</v>
      </c>
      <c r="J354" s="159" t="s">
        <v>111</v>
      </c>
      <c r="K354" s="156" t="s">
        <v>79</v>
      </c>
      <c r="L354" s="156" t="s">
        <v>80</v>
      </c>
      <c r="M354" s="155">
        <v>2.0</v>
      </c>
      <c r="N354" s="160">
        <v>0.19999999999999996</v>
      </c>
      <c r="O354" s="161">
        <v>212.85</v>
      </c>
      <c r="P354" s="161">
        <v>170.28</v>
      </c>
      <c r="Q354" s="159">
        <v>0.0</v>
      </c>
      <c r="R354" s="162">
        <v>170.28</v>
      </c>
      <c r="S354" s="162">
        <v>0.0</v>
      </c>
      <c r="T354" s="162">
        <v>435.7</v>
      </c>
      <c r="U354" s="163" t="s">
        <v>107</v>
      </c>
      <c r="V354" s="154">
        <v>46031.0</v>
      </c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</row>
    <row r="355">
      <c r="A355" s="165">
        <v>46031.0</v>
      </c>
      <c r="B355" s="166">
        <v>8013645.0</v>
      </c>
      <c r="C355" s="166" t="s">
        <v>82</v>
      </c>
      <c r="D355" s="166" t="s">
        <v>35</v>
      </c>
      <c r="E355" s="166">
        <v>5.283035738E9</v>
      </c>
      <c r="F355" s="166" t="s">
        <v>567</v>
      </c>
      <c r="G355" s="165">
        <v>46102.0</v>
      </c>
      <c r="H355" s="167">
        <v>46103.0</v>
      </c>
      <c r="I355" s="168">
        <v>1.0</v>
      </c>
      <c r="J355" s="169" t="s">
        <v>111</v>
      </c>
      <c r="K355" s="166" t="s">
        <v>79</v>
      </c>
      <c r="L355" s="166" t="s">
        <v>80</v>
      </c>
      <c r="M355" s="166">
        <v>2.0</v>
      </c>
      <c r="N355" s="170">
        <v>0.19999999999999996</v>
      </c>
      <c r="O355" s="171">
        <v>212.85</v>
      </c>
      <c r="P355" s="171">
        <v>170.28</v>
      </c>
      <c r="Q355" s="172">
        <v>0.0</v>
      </c>
      <c r="R355" s="173">
        <v>170.28</v>
      </c>
      <c r="S355" s="173">
        <v>0.0</v>
      </c>
      <c r="T355" s="173">
        <v>435.7</v>
      </c>
      <c r="U355" s="201" t="s">
        <v>107</v>
      </c>
      <c r="V355" s="165">
        <v>46031.0</v>
      </c>
      <c r="W355" s="175"/>
      <c r="X355" s="175"/>
      <c r="Y355" s="175"/>
      <c r="Z355" s="175"/>
      <c r="AA355" s="175"/>
      <c r="AB355" s="175"/>
      <c r="AC355" s="175"/>
      <c r="AD355" s="175"/>
      <c r="AE355" s="175"/>
      <c r="AF355" s="175"/>
      <c r="AG355" s="175"/>
      <c r="AH355" s="175"/>
      <c r="AI355" s="175"/>
    </row>
    <row r="356">
      <c r="A356" s="165">
        <v>46033.0</v>
      </c>
      <c r="B356" s="166">
        <v>8021086.0</v>
      </c>
      <c r="C356" s="166" t="s">
        <v>89</v>
      </c>
      <c r="D356" s="166" t="s">
        <v>35</v>
      </c>
      <c r="E356" s="166">
        <v>5.154890812E9</v>
      </c>
      <c r="F356" s="166" t="s">
        <v>569</v>
      </c>
      <c r="G356" s="165">
        <v>46102.0</v>
      </c>
      <c r="H356" s="167">
        <v>46106.0</v>
      </c>
      <c r="I356" s="168">
        <v>4.0</v>
      </c>
      <c r="J356" s="169" t="s">
        <v>114</v>
      </c>
      <c r="K356" s="166" t="s">
        <v>79</v>
      </c>
      <c r="L356" s="166" t="s">
        <v>80</v>
      </c>
      <c r="M356" s="205">
        <v>0.0</v>
      </c>
      <c r="N356" s="170">
        <v>0.0</v>
      </c>
      <c r="O356" s="171">
        <v>0.0</v>
      </c>
      <c r="P356" s="171">
        <v>0.0</v>
      </c>
      <c r="Q356" s="172">
        <v>0.0</v>
      </c>
      <c r="R356" s="173">
        <v>0.0</v>
      </c>
      <c r="S356" s="173">
        <v>0.0</v>
      </c>
      <c r="T356" s="173">
        <v>0.0</v>
      </c>
      <c r="U356" s="174" t="s">
        <v>570</v>
      </c>
      <c r="V356" s="165">
        <v>46082.0</v>
      </c>
      <c r="W356" s="175"/>
      <c r="X356" s="175"/>
      <c r="Y356" s="175"/>
      <c r="Z356" s="175"/>
      <c r="AA356" s="175"/>
      <c r="AB356" s="175"/>
      <c r="AC356" s="175"/>
      <c r="AD356" s="175"/>
      <c r="AE356" s="175"/>
      <c r="AF356" s="175"/>
      <c r="AG356" s="175"/>
      <c r="AH356" s="175"/>
      <c r="AI356" s="175"/>
    </row>
    <row r="357">
      <c r="A357" s="190">
        <v>46039.0</v>
      </c>
      <c r="B357" s="191">
        <v>8046307.0</v>
      </c>
      <c r="C357" s="192" t="s">
        <v>82</v>
      </c>
      <c r="D357" s="192" t="s">
        <v>35</v>
      </c>
      <c r="E357" s="191">
        <v>5.924038079E9</v>
      </c>
      <c r="F357" s="192" t="s">
        <v>571</v>
      </c>
      <c r="G357" s="190">
        <v>46102.0</v>
      </c>
      <c r="H357" s="193">
        <v>46104.0</v>
      </c>
      <c r="I357" s="194">
        <v>2.0</v>
      </c>
      <c r="J357" s="195" t="s">
        <v>78</v>
      </c>
      <c r="K357" s="192" t="s">
        <v>79</v>
      </c>
      <c r="L357" s="192" t="s">
        <v>80</v>
      </c>
      <c r="M357" s="191">
        <v>2.0</v>
      </c>
      <c r="N357" s="196">
        <v>0.19999999999999996</v>
      </c>
      <c r="O357" s="197">
        <v>266.4</v>
      </c>
      <c r="P357" s="197">
        <v>213.12</v>
      </c>
      <c r="Q357" s="198">
        <v>0.0</v>
      </c>
      <c r="R357" s="199">
        <v>426.24</v>
      </c>
      <c r="S357" s="199">
        <v>0.0</v>
      </c>
      <c r="T357" s="199">
        <v>542.8</v>
      </c>
      <c r="U357" s="200" t="s">
        <v>572</v>
      </c>
      <c r="V357" s="190">
        <v>46039.0</v>
      </c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</row>
    <row r="358">
      <c r="A358" s="176">
        <v>46040.0</v>
      </c>
      <c r="B358" s="177">
        <v>8052262.0</v>
      </c>
      <c r="C358" s="178" t="s">
        <v>82</v>
      </c>
      <c r="D358" s="178" t="s">
        <v>35</v>
      </c>
      <c r="E358" s="178">
        <v>6.597792032E9</v>
      </c>
      <c r="F358" s="178" t="s">
        <v>573</v>
      </c>
      <c r="G358" s="176">
        <v>46102.0</v>
      </c>
      <c r="H358" s="179">
        <v>46104.0</v>
      </c>
      <c r="I358" s="180">
        <v>2.0</v>
      </c>
      <c r="J358" s="181" t="s">
        <v>78</v>
      </c>
      <c r="K358" s="178" t="s">
        <v>79</v>
      </c>
      <c r="L358" s="178" t="s">
        <v>80</v>
      </c>
      <c r="M358" s="177">
        <v>2.0</v>
      </c>
      <c r="N358" s="183">
        <v>0.19999999999999996</v>
      </c>
      <c r="O358" s="184">
        <v>168.13</v>
      </c>
      <c r="P358" s="184">
        <v>134.504</v>
      </c>
      <c r="Q358" s="185">
        <v>0.0</v>
      </c>
      <c r="R358" s="186">
        <v>269.008</v>
      </c>
      <c r="S358" s="186">
        <v>0.0</v>
      </c>
      <c r="T358" s="186">
        <v>346.26</v>
      </c>
      <c r="U358" s="187" t="s">
        <v>107</v>
      </c>
      <c r="V358" s="189">
        <v>46040.0</v>
      </c>
      <c r="W358" s="175"/>
      <c r="X358" s="175"/>
      <c r="Y358" s="175"/>
      <c r="Z358" s="175"/>
      <c r="AA358" s="175"/>
      <c r="AB358" s="175"/>
      <c r="AC358" s="175"/>
      <c r="AD358" s="175"/>
      <c r="AE358" s="175"/>
      <c r="AF358" s="175"/>
      <c r="AG358" s="175"/>
      <c r="AH358" s="175"/>
      <c r="AI358" s="175"/>
    </row>
    <row r="359">
      <c r="A359" s="165">
        <v>46054.0</v>
      </c>
      <c r="B359" s="166">
        <v>8112019.0</v>
      </c>
      <c r="C359" s="166" t="s">
        <v>82</v>
      </c>
      <c r="D359" s="166" t="s">
        <v>35</v>
      </c>
      <c r="E359" s="166">
        <v>5.219243573E9</v>
      </c>
      <c r="F359" s="166" t="s">
        <v>574</v>
      </c>
      <c r="G359" s="165">
        <v>46102.0</v>
      </c>
      <c r="H359" s="167">
        <v>46103.0</v>
      </c>
      <c r="I359" s="168">
        <v>1.0</v>
      </c>
      <c r="J359" s="169" t="s">
        <v>78</v>
      </c>
      <c r="K359" s="166" t="s">
        <v>79</v>
      </c>
      <c r="L359" s="166" t="s">
        <v>80</v>
      </c>
      <c r="M359" s="205">
        <v>2.0</v>
      </c>
      <c r="N359" s="170">
        <v>0.19999999999999996</v>
      </c>
      <c r="O359" s="171">
        <v>162.77</v>
      </c>
      <c r="P359" s="171">
        <v>130.216</v>
      </c>
      <c r="Q359" s="172">
        <v>0.0</v>
      </c>
      <c r="R359" s="173">
        <v>130.216</v>
      </c>
      <c r="S359" s="173">
        <v>0.0</v>
      </c>
      <c r="T359" s="173">
        <v>167.77</v>
      </c>
      <c r="U359" s="174" t="s">
        <v>143</v>
      </c>
      <c r="V359" s="165">
        <v>46054.0</v>
      </c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</row>
    <row r="360">
      <c r="A360" s="176">
        <v>46068.0</v>
      </c>
      <c r="B360" s="177">
        <v>8179124.0</v>
      </c>
      <c r="C360" s="178" t="s">
        <v>82</v>
      </c>
      <c r="D360" s="178" t="s">
        <v>35</v>
      </c>
      <c r="E360" s="177">
        <v>5.058636933E9</v>
      </c>
      <c r="F360" s="178" t="s">
        <v>576</v>
      </c>
      <c r="G360" s="176">
        <v>46102.0</v>
      </c>
      <c r="H360" s="179">
        <v>46103.0</v>
      </c>
      <c r="I360" s="180">
        <v>1.0</v>
      </c>
      <c r="J360" s="181" t="s">
        <v>87</v>
      </c>
      <c r="K360" s="178" t="s">
        <v>79</v>
      </c>
      <c r="L360" s="178" t="s">
        <v>80</v>
      </c>
      <c r="M360" s="182">
        <v>2.0</v>
      </c>
      <c r="N360" s="183">
        <v>0.19999999999999996</v>
      </c>
      <c r="O360" s="184">
        <v>150.08</v>
      </c>
      <c r="P360" s="184">
        <v>120.06400000000002</v>
      </c>
      <c r="Q360" s="185">
        <v>0.0</v>
      </c>
      <c r="R360" s="186">
        <v>120.06400000000002</v>
      </c>
      <c r="S360" s="186">
        <v>0.0</v>
      </c>
      <c r="T360" s="186">
        <v>155.08</v>
      </c>
      <c r="U360" s="187" t="s">
        <v>143</v>
      </c>
      <c r="V360" s="176">
        <v>46068.0</v>
      </c>
      <c r="W360" s="175"/>
      <c r="X360" s="175"/>
      <c r="Y360" s="175"/>
      <c r="Z360" s="175"/>
      <c r="AA360" s="175"/>
      <c r="AB360" s="175"/>
      <c r="AC360" s="175"/>
      <c r="AD360" s="175"/>
      <c r="AE360" s="175"/>
      <c r="AF360" s="175"/>
      <c r="AG360" s="175"/>
      <c r="AH360" s="175"/>
      <c r="AI360" s="175"/>
    </row>
    <row r="361">
      <c r="A361" s="165">
        <v>45928.0</v>
      </c>
      <c r="B361" s="166">
        <v>7616818.0</v>
      </c>
      <c r="C361" s="166" t="s">
        <v>82</v>
      </c>
      <c r="D361" s="166" t="s">
        <v>35</v>
      </c>
      <c r="E361" s="166">
        <v>6.653011167E9</v>
      </c>
      <c r="F361" s="166" t="s">
        <v>577</v>
      </c>
      <c r="G361" s="165">
        <v>46103.0</v>
      </c>
      <c r="H361" s="167">
        <v>46108.0</v>
      </c>
      <c r="I361" s="168">
        <v>5.0</v>
      </c>
      <c r="J361" s="169" t="s">
        <v>87</v>
      </c>
      <c r="K361" s="166" t="s">
        <v>79</v>
      </c>
      <c r="L361" s="166" t="s">
        <v>80</v>
      </c>
      <c r="M361" s="166">
        <v>2.0</v>
      </c>
      <c r="N361" s="170">
        <v>0.19999999999999996</v>
      </c>
      <c r="O361" s="171">
        <v>131.22</v>
      </c>
      <c r="P361" s="171">
        <v>104.976</v>
      </c>
      <c r="Q361" s="172">
        <v>0.0</v>
      </c>
      <c r="R361" s="173">
        <v>524.88</v>
      </c>
      <c r="S361" s="173">
        <v>0.0</v>
      </c>
      <c r="T361" s="173">
        <v>681.1</v>
      </c>
      <c r="U361" s="174" t="s">
        <v>578</v>
      </c>
      <c r="V361" s="165">
        <v>45928.0</v>
      </c>
      <c r="W361" s="175"/>
      <c r="X361" s="175"/>
      <c r="Y361" s="175"/>
      <c r="Z361" s="175"/>
      <c r="AA361" s="175"/>
      <c r="AB361" s="175"/>
      <c r="AC361" s="175"/>
      <c r="AD361" s="175"/>
      <c r="AE361" s="175"/>
      <c r="AF361" s="175"/>
      <c r="AG361" s="175"/>
      <c r="AH361" s="175"/>
      <c r="AI361" s="175"/>
    </row>
    <row r="362">
      <c r="A362" s="165">
        <v>45967.0</v>
      </c>
      <c r="B362" s="166">
        <v>7772912.0</v>
      </c>
      <c r="C362" s="166" t="s">
        <v>82</v>
      </c>
      <c r="D362" s="166" t="s">
        <v>94</v>
      </c>
      <c r="E362" s="166">
        <v>7772912.0</v>
      </c>
      <c r="F362" s="166" t="s">
        <v>579</v>
      </c>
      <c r="G362" s="165">
        <v>46103.0</v>
      </c>
      <c r="H362" s="167">
        <v>46107.0</v>
      </c>
      <c r="I362" s="168">
        <v>4.0</v>
      </c>
      <c r="J362" s="169" t="s">
        <v>78</v>
      </c>
      <c r="K362" s="166" t="s">
        <v>79</v>
      </c>
      <c r="L362" s="166" t="s">
        <v>96</v>
      </c>
      <c r="M362" s="166">
        <v>2.0</v>
      </c>
      <c r="N362" s="170">
        <v>0.0</v>
      </c>
      <c r="O362" s="171">
        <v>239.76</v>
      </c>
      <c r="P362" s="171">
        <v>239.76</v>
      </c>
      <c r="Q362" s="172">
        <v>0.0</v>
      </c>
      <c r="R362" s="173">
        <v>959.04</v>
      </c>
      <c r="S362" s="173">
        <v>0.0</v>
      </c>
      <c r="T362" s="173">
        <v>979.04</v>
      </c>
      <c r="U362" s="174" t="s">
        <v>97</v>
      </c>
      <c r="V362" s="165">
        <v>45967.0</v>
      </c>
      <c r="W362" s="175"/>
      <c r="X362" s="175"/>
      <c r="Y362" s="175"/>
      <c r="Z362" s="175"/>
      <c r="AA362" s="175"/>
      <c r="AB362" s="175"/>
      <c r="AC362" s="175"/>
      <c r="AD362" s="175"/>
      <c r="AE362" s="175"/>
      <c r="AF362" s="175"/>
      <c r="AG362" s="175"/>
      <c r="AH362" s="175"/>
      <c r="AI362" s="175"/>
    </row>
    <row r="363">
      <c r="A363" s="176">
        <v>45990.0</v>
      </c>
      <c r="B363" s="177">
        <v>7860785.0</v>
      </c>
      <c r="C363" s="178" t="s">
        <v>89</v>
      </c>
      <c r="D363" s="178" t="s">
        <v>35</v>
      </c>
      <c r="E363" s="177">
        <v>6.521122645E9</v>
      </c>
      <c r="F363" s="178" t="s">
        <v>580</v>
      </c>
      <c r="G363" s="176">
        <v>46103.0</v>
      </c>
      <c r="H363" s="179">
        <v>46106.0</v>
      </c>
      <c r="I363" s="180">
        <v>3.0</v>
      </c>
      <c r="J363" s="181" t="s">
        <v>114</v>
      </c>
      <c r="K363" s="178" t="s">
        <v>79</v>
      </c>
      <c r="L363" s="178" t="s">
        <v>80</v>
      </c>
      <c r="M363" s="177">
        <v>0.0</v>
      </c>
      <c r="N363" s="183">
        <v>0.0</v>
      </c>
      <c r="O363" s="184">
        <v>0.0</v>
      </c>
      <c r="P363" s="184">
        <v>0.0</v>
      </c>
      <c r="Q363" s="185">
        <v>0.0</v>
      </c>
      <c r="R363" s="186">
        <v>0.0</v>
      </c>
      <c r="S363" s="186">
        <v>0.0</v>
      </c>
      <c r="T363" s="186">
        <v>0.0</v>
      </c>
      <c r="U363" s="187" t="s">
        <v>581</v>
      </c>
      <c r="V363" s="189">
        <v>46003.0</v>
      </c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</row>
    <row r="364">
      <c r="A364" s="176">
        <v>45990.0</v>
      </c>
      <c r="B364" s="177">
        <v>7860785.0</v>
      </c>
      <c r="C364" s="178" t="s">
        <v>89</v>
      </c>
      <c r="D364" s="178" t="s">
        <v>35</v>
      </c>
      <c r="E364" s="177">
        <v>6.521122645E9</v>
      </c>
      <c r="F364" s="178" t="s">
        <v>580</v>
      </c>
      <c r="G364" s="176">
        <v>46103.0</v>
      </c>
      <c r="H364" s="179">
        <v>46106.0</v>
      </c>
      <c r="I364" s="180">
        <v>3.0</v>
      </c>
      <c r="J364" s="181" t="s">
        <v>114</v>
      </c>
      <c r="K364" s="178" t="s">
        <v>79</v>
      </c>
      <c r="L364" s="178" t="s">
        <v>80</v>
      </c>
      <c r="M364" s="177">
        <v>0.0</v>
      </c>
      <c r="N364" s="183">
        <v>0.0</v>
      </c>
      <c r="O364" s="184">
        <v>0.0</v>
      </c>
      <c r="P364" s="184">
        <v>0.0</v>
      </c>
      <c r="Q364" s="185">
        <v>0.0</v>
      </c>
      <c r="R364" s="186">
        <v>0.0</v>
      </c>
      <c r="S364" s="186">
        <v>0.0</v>
      </c>
      <c r="T364" s="186">
        <v>0.0</v>
      </c>
      <c r="U364" s="187" t="s">
        <v>581</v>
      </c>
      <c r="V364" s="189">
        <v>46003.0</v>
      </c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</row>
    <row r="365">
      <c r="A365" s="176">
        <v>46032.0</v>
      </c>
      <c r="B365" s="177">
        <v>8017212.0</v>
      </c>
      <c r="C365" s="178" t="s">
        <v>82</v>
      </c>
      <c r="D365" s="178" t="s">
        <v>35</v>
      </c>
      <c r="E365" s="177">
        <v>6.758637723E9</v>
      </c>
      <c r="F365" s="178" t="s">
        <v>582</v>
      </c>
      <c r="G365" s="176">
        <v>46103.0</v>
      </c>
      <c r="H365" s="179">
        <v>46106.0</v>
      </c>
      <c r="I365" s="180">
        <v>3.0</v>
      </c>
      <c r="J365" s="181" t="s">
        <v>111</v>
      </c>
      <c r="K365" s="178" t="s">
        <v>79</v>
      </c>
      <c r="L365" s="178" t="s">
        <v>80</v>
      </c>
      <c r="M365" s="182">
        <v>2.0</v>
      </c>
      <c r="N365" s="181">
        <v>0.19999999999999996</v>
      </c>
      <c r="O365" s="184">
        <v>202.46</v>
      </c>
      <c r="P365" s="184">
        <v>161.96800000000002</v>
      </c>
      <c r="Q365" s="181">
        <v>0.0</v>
      </c>
      <c r="R365" s="186">
        <v>485.90400000000005</v>
      </c>
      <c r="S365" s="186">
        <v>0.0</v>
      </c>
      <c r="T365" s="186">
        <v>622.38</v>
      </c>
      <c r="U365" s="187" t="s">
        <v>107</v>
      </c>
      <c r="V365" s="176">
        <v>46032.0</v>
      </c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</row>
    <row r="366">
      <c r="A366" s="165">
        <v>46053.0</v>
      </c>
      <c r="B366" s="166">
        <v>8108040.0</v>
      </c>
      <c r="C366" s="166" t="s">
        <v>82</v>
      </c>
      <c r="D366" s="166" t="s">
        <v>35</v>
      </c>
      <c r="E366" s="166">
        <v>6.950501255E9</v>
      </c>
      <c r="F366" s="166" t="s">
        <v>584</v>
      </c>
      <c r="G366" s="165">
        <v>46103.0</v>
      </c>
      <c r="H366" s="167">
        <v>46104.0</v>
      </c>
      <c r="I366" s="168">
        <v>1.0</v>
      </c>
      <c r="J366" s="169" t="s">
        <v>78</v>
      </c>
      <c r="K366" s="166" t="s">
        <v>79</v>
      </c>
      <c r="L366" s="166" t="s">
        <v>80</v>
      </c>
      <c r="M366" s="205">
        <v>2.0</v>
      </c>
      <c r="N366" s="170">
        <v>0.19999999999999996</v>
      </c>
      <c r="O366" s="171">
        <v>146.73</v>
      </c>
      <c r="P366" s="171">
        <v>117.384</v>
      </c>
      <c r="Q366" s="172">
        <v>0.0</v>
      </c>
      <c r="R366" s="173">
        <v>117.384</v>
      </c>
      <c r="S366" s="173">
        <v>0.0</v>
      </c>
      <c r="T366" s="173">
        <v>151.73</v>
      </c>
      <c r="U366" s="174" t="s">
        <v>107</v>
      </c>
      <c r="V366" s="165">
        <v>46053.0</v>
      </c>
      <c r="W366" s="175"/>
      <c r="X366" s="175"/>
      <c r="Y366" s="175"/>
      <c r="Z366" s="175"/>
      <c r="AA366" s="175"/>
      <c r="AB366" s="175"/>
      <c r="AC366" s="175"/>
      <c r="AD366" s="175"/>
      <c r="AE366" s="175"/>
      <c r="AF366" s="175"/>
      <c r="AG366" s="175"/>
      <c r="AH366" s="175"/>
      <c r="AI366" s="175"/>
    </row>
    <row r="367">
      <c r="A367" s="154">
        <v>45903.0</v>
      </c>
      <c r="B367" s="155">
        <v>7510863.0</v>
      </c>
      <c r="C367" s="156" t="s">
        <v>82</v>
      </c>
      <c r="D367" s="156" t="s">
        <v>36</v>
      </c>
      <c r="E367" s="155">
        <v>7510863.0</v>
      </c>
      <c r="F367" s="156" t="s">
        <v>585</v>
      </c>
      <c r="G367" s="154">
        <v>46104.0</v>
      </c>
      <c r="H367" s="157">
        <v>46109.0</v>
      </c>
      <c r="I367" s="158">
        <v>5.0</v>
      </c>
      <c r="J367" s="159" t="s">
        <v>78</v>
      </c>
      <c r="K367" s="156" t="s">
        <v>79</v>
      </c>
      <c r="L367" s="156" t="s">
        <v>96</v>
      </c>
      <c r="M367" s="202">
        <v>2.0</v>
      </c>
      <c r="N367" s="160">
        <v>0.0</v>
      </c>
      <c r="O367" s="161">
        <v>162.63</v>
      </c>
      <c r="P367" s="161">
        <v>161.00369999999998</v>
      </c>
      <c r="Q367" s="203">
        <v>0.0</v>
      </c>
      <c r="R367" s="162">
        <v>805.0184999999999</v>
      </c>
      <c r="S367" s="162">
        <v>0.0</v>
      </c>
      <c r="T367" s="186">
        <v>838.15</v>
      </c>
      <c r="U367" s="187" t="s">
        <v>97</v>
      </c>
      <c r="V367" s="176">
        <v>45903.0</v>
      </c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</row>
    <row r="368">
      <c r="A368" s="154">
        <v>45895.0</v>
      </c>
      <c r="B368" s="155">
        <v>7472275.0</v>
      </c>
      <c r="C368" s="156" t="s">
        <v>89</v>
      </c>
      <c r="D368" s="156" t="s">
        <v>35</v>
      </c>
      <c r="E368" s="155">
        <v>5.888524472E9</v>
      </c>
      <c r="F368" s="156" t="s">
        <v>586</v>
      </c>
      <c r="G368" s="154">
        <v>46104.0</v>
      </c>
      <c r="H368" s="157">
        <v>46109.0</v>
      </c>
      <c r="I368" s="158">
        <v>5.0</v>
      </c>
      <c r="J368" s="159" t="s">
        <v>114</v>
      </c>
      <c r="K368" s="156" t="s">
        <v>79</v>
      </c>
      <c r="L368" s="156" t="s">
        <v>80</v>
      </c>
      <c r="M368" s="155">
        <v>0.0</v>
      </c>
      <c r="N368" s="160">
        <v>0.0</v>
      </c>
      <c r="O368" s="161">
        <v>0.0</v>
      </c>
      <c r="P368" s="161">
        <v>0.0</v>
      </c>
      <c r="Q368" s="203">
        <v>0.0</v>
      </c>
      <c r="R368" s="162">
        <v>0.0</v>
      </c>
      <c r="S368" s="162">
        <v>0.0</v>
      </c>
      <c r="T368" s="162">
        <v>0.0</v>
      </c>
      <c r="U368" s="163" t="s">
        <v>228</v>
      </c>
      <c r="V368" s="154">
        <v>45980.0</v>
      </c>
      <c r="W368" s="175"/>
      <c r="X368" s="175"/>
      <c r="Y368" s="175"/>
      <c r="Z368" s="175"/>
      <c r="AA368" s="175"/>
      <c r="AB368" s="175"/>
      <c r="AC368" s="175"/>
      <c r="AD368" s="175"/>
      <c r="AE368" s="175"/>
      <c r="AF368" s="175"/>
      <c r="AG368" s="175"/>
      <c r="AH368" s="175"/>
      <c r="AI368" s="175"/>
    </row>
    <row r="369">
      <c r="A369" s="176">
        <v>45895.0</v>
      </c>
      <c r="B369" s="177">
        <v>7472275.0</v>
      </c>
      <c r="C369" s="178" t="s">
        <v>89</v>
      </c>
      <c r="D369" s="178" t="s">
        <v>35</v>
      </c>
      <c r="E369" s="177">
        <v>5.888524472E9</v>
      </c>
      <c r="F369" s="178" t="s">
        <v>586</v>
      </c>
      <c r="G369" s="176">
        <v>46104.0</v>
      </c>
      <c r="H369" s="179">
        <v>46109.0</v>
      </c>
      <c r="I369" s="180">
        <v>5.0</v>
      </c>
      <c r="J369" s="181" t="s">
        <v>114</v>
      </c>
      <c r="K369" s="178" t="s">
        <v>79</v>
      </c>
      <c r="L369" s="178" t="s">
        <v>80</v>
      </c>
      <c r="M369" s="177">
        <v>0.0</v>
      </c>
      <c r="N369" s="183">
        <v>0.0</v>
      </c>
      <c r="O369" s="184">
        <v>0.0</v>
      </c>
      <c r="P369" s="184">
        <v>0.0</v>
      </c>
      <c r="Q369" s="181">
        <v>0.0</v>
      </c>
      <c r="R369" s="186">
        <v>0.0</v>
      </c>
      <c r="S369" s="186">
        <v>0.0</v>
      </c>
      <c r="T369" s="186">
        <v>0.0</v>
      </c>
      <c r="U369" s="187" t="s">
        <v>228</v>
      </c>
      <c r="V369" s="189">
        <v>45980.0</v>
      </c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64"/>
    </row>
    <row r="370">
      <c r="A370" s="165">
        <v>45931.0</v>
      </c>
      <c r="B370" s="166">
        <v>7628759.0</v>
      </c>
      <c r="C370" s="166" t="s">
        <v>82</v>
      </c>
      <c r="D370" s="166" t="s">
        <v>35</v>
      </c>
      <c r="E370" s="166">
        <v>5.947060751E9</v>
      </c>
      <c r="F370" s="166" t="s">
        <v>588</v>
      </c>
      <c r="G370" s="165">
        <v>46104.0</v>
      </c>
      <c r="H370" s="167">
        <v>46109.0</v>
      </c>
      <c r="I370" s="168">
        <v>5.0</v>
      </c>
      <c r="J370" s="169" t="s">
        <v>111</v>
      </c>
      <c r="K370" s="166" t="s">
        <v>79</v>
      </c>
      <c r="L370" s="166" t="s">
        <v>80</v>
      </c>
      <c r="M370" s="205">
        <v>2.0</v>
      </c>
      <c r="N370" s="170">
        <v>0.19999999999999996</v>
      </c>
      <c r="O370" s="171">
        <v>177.42000000000002</v>
      </c>
      <c r="P370" s="171">
        <v>141.936</v>
      </c>
      <c r="Q370" s="172">
        <v>0.0</v>
      </c>
      <c r="R370" s="173">
        <v>709.6800000000001</v>
      </c>
      <c r="S370" s="173">
        <v>0.0</v>
      </c>
      <c r="T370" s="173">
        <v>887.1</v>
      </c>
      <c r="U370" s="174" t="s">
        <v>107</v>
      </c>
      <c r="V370" s="165">
        <v>45931.0</v>
      </c>
      <c r="W370" s="175"/>
      <c r="X370" s="175"/>
      <c r="Y370" s="175"/>
      <c r="Z370" s="175"/>
      <c r="AA370" s="175"/>
      <c r="AB370" s="175"/>
      <c r="AC370" s="175"/>
      <c r="AD370" s="175"/>
      <c r="AE370" s="175"/>
      <c r="AF370" s="175"/>
      <c r="AG370" s="175"/>
      <c r="AH370" s="175"/>
      <c r="AI370" s="175"/>
    </row>
    <row r="371">
      <c r="A371" s="176">
        <v>45960.0</v>
      </c>
      <c r="B371" s="177">
        <v>7746624.0</v>
      </c>
      <c r="C371" s="178" t="s">
        <v>82</v>
      </c>
      <c r="D371" s="178" t="s">
        <v>35</v>
      </c>
      <c r="E371" s="177">
        <v>5.840837475E9</v>
      </c>
      <c r="F371" s="178" t="s">
        <v>589</v>
      </c>
      <c r="G371" s="176">
        <v>46104.0</v>
      </c>
      <c r="H371" s="179">
        <v>46110.0</v>
      </c>
      <c r="I371" s="180">
        <v>6.0</v>
      </c>
      <c r="J371" s="181" t="s">
        <v>78</v>
      </c>
      <c r="K371" s="178" t="s">
        <v>79</v>
      </c>
      <c r="L371" s="178" t="s">
        <v>80</v>
      </c>
      <c r="M371" s="182">
        <v>2.0</v>
      </c>
      <c r="N371" s="183">
        <v>0.19999999999999996</v>
      </c>
      <c r="O371" s="184">
        <v>206.1</v>
      </c>
      <c r="P371" s="184">
        <v>164.88</v>
      </c>
      <c r="Q371" s="185">
        <v>0.0</v>
      </c>
      <c r="R371" s="186">
        <v>989.28</v>
      </c>
      <c r="S371" s="186">
        <v>0.0</v>
      </c>
      <c r="T371" s="186">
        <v>1266.6</v>
      </c>
      <c r="U371" s="187" t="s">
        <v>353</v>
      </c>
      <c r="V371" s="176">
        <v>45960.0</v>
      </c>
      <c r="W371" s="175"/>
      <c r="X371" s="175"/>
      <c r="Y371" s="175"/>
      <c r="Z371" s="175"/>
      <c r="AA371" s="175"/>
      <c r="AB371" s="175"/>
      <c r="AC371" s="175"/>
      <c r="AD371" s="175"/>
      <c r="AE371" s="175"/>
      <c r="AF371" s="175"/>
      <c r="AG371" s="175"/>
      <c r="AH371" s="175"/>
      <c r="AI371" s="175"/>
    </row>
    <row r="372">
      <c r="A372" s="176">
        <v>45988.0</v>
      </c>
      <c r="B372" s="177">
        <v>7853409.0</v>
      </c>
      <c r="C372" s="178" t="s">
        <v>82</v>
      </c>
      <c r="D372" s="178" t="s">
        <v>35</v>
      </c>
      <c r="E372" s="177">
        <v>5.992077689E9</v>
      </c>
      <c r="F372" s="178" t="s">
        <v>590</v>
      </c>
      <c r="G372" s="176">
        <v>46104.0</v>
      </c>
      <c r="H372" s="179">
        <v>46106.0</v>
      </c>
      <c r="I372" s="180">
        <v>2.0</v>
      </c>
      <c r="J372" s="181" t="s">
        <v>78</v>
      </c>
      <c r="K372" s="178" t="s">
        <v>79</v>
      </c>
      <c r="L372" s="178" t="s">
        <v>80</v>
      </c>
      <c r="M372" s="182">
        <v>3.0</v>
      </c>
      <c r="N372" s="183">
        <v>0.19999999999999996</v>
      </c>
      <c r="O372" s="184">
        <v>220.31</v>
      </c>
      <c r="P372" s="184">
        <v>176.24800000000002</v>
      </c>
      <c r="Q372" s="185">
        <v>0.0</v>
      </c>
      <c r="R372" s="186">
        <v>352.49600000000004</v>
      </c>
      <c r="S372" s="186">
        <v>0.0</v>
      </c>
      <c r="T372" s="186">
        <v>455.62</v>
      </c>
      <c r="U372" s="187" t="s">
        <v>353</v>
      </c>
      <c r="V372" s="176">
        <v>45988.0</v>
      </c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64"/>
    </row>
    <row r="373">
      <c r="A373" s="165">
        <v>46050.0</v>
      </c>
      <c r="B373" s="166">
        <v>8092770.0</v>
      </c>
      <c r="C373" s="166" t="s">
        <v>89</v>
      </c>
      <c r="D373" s="166" t="s">
        <v>35</v>
      </c>
      <c r="E373" s="166">
        <v>5.293348246E9</v>
      </c>
      <c r="F373" s="166" t="s">
        <v>592</v>
      </c>
      <c r="G373" s="165">
        <v>46104.0</v>
      </c>
      <c r="H373" s="167">
        <v>46108.0</v>
      </c>
      <c r="I373" s="168">
        <v>4.0</v>
      </c>
      <c r="J373" s="169" t="s">
        <v>91</v>
      </c>
      <c r="K373" s="166" t="s">
        <v>79</v>
      </c>
      <c r="L373" s="166" t="s">
        <v>80</v>
      </c>
      <c r="M373" s="166">
        <v>0.0</v>
      </c>
      <c r="N373" s="170">
        <v>0.0</v>
      </c>
      <c r="O373" s="171">
        <v>0.0</v>
      </c>
      <c r="P373" s="171">
        <v>0.0</v>
      </c>
      <c r="Q373" s="172">
        <v>0.0</v>
      </c>
      <c r="R373" s="173">
        <v>0.0</v>
      </c>
      <c r="S373" s="173">
        <v>0.0</v>
      </c>
      <c r="T373" s="173">
        <v>0.0</v>
      </c>
      <c r="U373" s="201" t="s">
        <v>593</v>
      </c>
      <c r="V373" s="165">
        <v>46050.0</v>
      </c>
      <c r="W373" s="164"/>
      <c r="X373" s="164"/>
      <c r="Y373" s="164"/>
      <c r="Z373" s="164"/>
      <c r="AA373" s="164"/>
      <c r="AB373" s="164"/>
      <c r="AC373" s="164"/>
      <c r="AD373" s="164"/>
      <c r="AE373" s="164"/>
      <c r="AF373" s="164"/>
      <c r="AG373" s="164"/>
      <c r="AH373" s="164"/>
      <c r="AI373" s="164"/>
    </row>
    <row r="374">
      <c r="A374" s="165">
        <v>45922.0</v>
      </c>
      <c r="B374" s="166">
        <v>7593640.0</v>
      </c>
      <c r="C374" s="166" t="s">
        <v>89</v>
      </c>
      <c r="D374" s="166" t="s">
        <v>109</v>
      </c>
      <c r="E374" s="166">
        <v>5.81429571E8</v>
      </c>
      <c r="F374" s="166" t="s">
        <v>594</v>
      </c>
      <c r="G374" s="165">
        <v>46105.0</v>
      </c>
      <c r="H374" s="167">
        <v>46108.0</v>
      </c>
      <c r="I374" s="168">
        <v>3.0</v>
      </c>
      <c r="J374" s="169" t="s">
        <v>78</v>
      </c>
      <c r="K374" s="166" t="s">
        <v>79</v>
      </c>
      <c r="L374" s="166" t="s">
        <v>80</v>
      </c>
      <c r="M374" s="205">
        <v>0.0</v>
      </c>
      <c r="N374" s="170">
        <v>0.0</v>
      </c>
      <c r="O374" s="171">
        <v>0.0</v>
      </c>
      <c r="P374" s="171">
        <v>0.0</v>
      </c>
      <c r="Q374" s="169">
        <v>0.0</v>
      </c>
      <c r="R374" s="173">
        <v>0.0</v>
      </c>
      <c r="S374" s="173">
        <v>0.0</v>
      </c>
      <c r="T374" s="173">
        <v>0.0</v>
      </c>
      <c r="U374" s="174" t="s">
        <v>595</v>
      </c>
      <c r="V374" s="165">
        <v>45942.0</v>
      </c>
      <c r="W374" s="175"/>
      <c r="X374" s="175"/>
      <c r="Y374" s="175"/>
      <c r="Z374" s="175"/>
      <c r="AA374" s="175"/>
      <c r="AB374" s="175"/>
      <c r="AC374" s="175"/>
      <c r="AD374" s="175"/>
      <c r="AE374" s="175"/>
      <c r="AF374" s="175"/>
      <c r="AG374" s="175"/>
      <c r="AH374" s="175"/>
      <c r="AI374" s="175"/>
    </row>
    <row r="375">
      <c r="A375" s="154">
        <v>45942.0</v>
      </c>
      <c r="B375" s="155">
        <v>7673996.0</v>
      </c>
      <c r="C375" s="156" t="s">
        <v>82</v>
      </c>
      <c r="D375" s="156" t="s">
        <v>109</v>
      </c>
      <c r="E375" s="155">
        <v>5.87717171E8</v>
      </c>
      <c r="F375" s="156" t="s">
        <v>594</v>
      </c>
      <c r="G375" s="154">
        <v>46105.0</v>
      </c>
      <c r="H375" s="157">
        <v>46108.0</v>
      </c>
      <c r="I375" s="158">
        <v>3.0</v>
      </c>
      <c r="J375" s="159" t="s">
        <v>78</v>
      </c>
      <c r="K375" s="156" t="s">
        <v>79</v>
      </c>
      <c r="L375" s="156" t="s">
        <v>80</v>
      </c>
      <c r="M375" s="155">
        <v>2.0</v>
      </c>
      <c r="N375" s="160">
        <v>0.19999999999999996</v>
      </c>
      <c r="O375" s="161">
        <v>208.5</v>
      </c>
      <c r="P375" s="161">
        <v>166.8</v>
      </c>
      <c r="Q375" s="203">
        <v>0.0</v>
      </c>
      <c r="R375" s="162">
        <v>500.40000000000003</v>
      </c>
      <c r="S375" s="162">
        <v>0.0</v>
      </c>
      <c r="T375" s="162">
        <v>625.5</v>
      </c>
      <c r="U375" s="163" t="s">
        <v>402</v>
      </c>
      <c r="V375" s="154">
        <v>45942.0</v>
      </c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  <c r="AG375" s="164"/>
      <c r="AH375" s="164"/>
      <c r="AI375" s="164"/>
    </row>
    <row r="376">
      <c r="A376" s="165">
        <v>46034.0</v>
      </c>
      <c r="B376" s="166">
        <v>8025804.0</v>
      </c>
      <c r="C376" s="166" t="s">
        <v>82</v>
      </c>
      <c r="D376" s="166" t="s">
        <v>35</v>
      </c>
      <c r="E376" s="166">
        <v>5.499937222E9</v>
      </c>
      <c r="F376" s="166" t="s">
        <v>596</v>
      </c>
      <c r="G376" s="165">
        <v>46105.0</v>
      </c>
      <c r="H376" s="167">
        <v>46108.0</v>
      </c>
      <c r="I376" s="168">
        <v>3.0</v>
      </c>
      <c r="J376" s="169" t="s">
        <v>114</v>
      </c>
      <c r="K376" s="166" t="s">
        <v>79</v>
      </c>
      <c r="L376" s="166" t="s">
        <v>80</v>
      </c>
      <c r="M376" s="166">
        <v>2.0</v>
      </c>
      <c r="N376" s="170">
        <v>0.19999999999999996</v>
      </c>
      <c r="O376" s="171">
        <v>255.0</v>
      </c>
      <c r="P376" s="171">
        <v>204.0</v>
      </c>
      <c r="Q376" s="172">
        <v>0.0</v>
      </c>
      <c r="R376" s="173">
        <v>612.0</v>
      </c>
      <c r="S376" s="173">
        <v>0.0</v>
      </c>
      <c r="T376" s="173">
        <v>780.0</v>
      </c>
      <c r="U376" s="201" t="s">
        <v>316</v>
      </c>
      <c r="V376" s="207">
        <v>46034.0</v>
      </c>
      <c r="W376" s="164"/>
      <c r="X376" s="164"/>
      <c r="Y376" s="164"/>
      <c r="Z376" s="164"/>
      <c r="AA376" s="164"/>
      <c r="AB376" s="164"/>
      <c r="AC376" s="164"/>
      <c r="AD376" s="164"/>
      <c r="AE376" s="164"/>
      <c r="AF376" s="164"/>
      <c r="AG376" s="164"/>
      <c r="AH376" s="164"/>
      <c r="AI376" s="164"/>
    </row>
    <row r="377">
      <c r="A377" s="165">
        <v>46038.0</v>
      </c>
      <c r="B377" s="166">
        <v>8042338.0</v>
      </c>
      <c r="C377" s="166" t="s">
        <v>82</v>
      </c>
      <c r="D377" s="166" t="s">
        <v>35</v>
      </c>
      <c r="E377" s="166">
        <v>6.269012792E9</v>
      </c>
      <c r="F377" s="166" t="s">
        <v>598</v>
      </c>
      <c r="G377" s="165">
        <v>46106.0</v>
      </c>
      <c r="H377" s="167">
        <v>46109.0</v>
      </c>
      <c r="I377" s="168">
        <v>3.0</v>
      </c>
      <c r="J377" s="169" t="s">
        <v>78</v>
      </c>
      <c r="K377" s="166" t="s">
        <v>79</v>
      </c>
      <c r="L377" s="166" t="s">
        <v>80</v>
      </c>
      <c r="M377" s="205">
        <v>2.0</v>
      </c>
      <c r="N377" s="170">
        <v>0.19999999999999996</v>
      </c>
      <c r="O377" s="171">
        <v>208.79999999999998</v>
      </c>
      <c r="P377" s="171">
        <v>167.04</v>
      </c>
      <c r="Q377" s="172">
        <v>0.0</v>
      </c>
      <c r="R377" s="173">
        <v>501.12</v>
      </c>
      <c r="S377" s="173">
        <v>0.0</v>
      </c>
      <c r="T377" s="173">
        <v>626.4</v>
      </c>
      <c r="U377" s="201" t="s">
        <v>88</v>
      </c>
      <c r="V377" s="165">
        <v>46038.0</v>
      </c>
      <c r="W377" s="188"/>
      <c r="X377" s="188"/>
      <c r="Y377" s="188"/>
      <c r="Z377" s="188"/>
      <c r="AA377" s="188"/>
      <c r="AB377" s="188"/>
      <c r="AC377" s="188"/>
      <c r="AD377" s="188"/>
      <c r="AE377" s="188"/>
      <c r="AF377" s="188"/>
      <c r="AG377" s="188"/>
      <c r="AH377" s="188"/>
      <c r="AI377" s="188"/>
    </row>
    <row r="378">
      <c r="A378" s="165">
        <v>46047.0</v>
      </c>
      <c r="B378" s="166">
        <v>8079420.0</v>
      </c>
      <c r="C378" s="166" t="s">
        <v>89</v>
      </c>
      <c r="D378" s="166" t="s">
        <v>35</v>
      </c>
      <c r="E378" s="166">
        <v>5.577682293E9</v>
      </c>
      <c r="F378" s="166" t="s">
        <v>599</v>
      </c>
      <c r="G378" s="165">
        <v>46106.0</v>
      </c>
      <c r="H378" s="167">
        <v>46108.0</v>
      </c>
      <c r="I378" s="168">
        <v>2.0</v>
      </c>
      <c r="J378" s="169" t="s">
        <v>114</v>
      </c>
      <c r="K378" s="166" t="s">
        <v>79</v>
      </c>
      <c r="L378" s="166" t="s">
        <v>80</v>
      </c>
      <c r="M378" s="166">
        <v>0.0</v>
      </c>
      <c r="N378" s="170">
        <v>0.0</v>
      </c>
      <c r="O378" s="171">
        <v>0.0</v>
      </c>
      <c r="P378" s="171">
        <v>0.0</v>
      </c>
      <c r="Q378" s="172">
        <v>0.0</v>
      </c>
      <c r="R378" s="173">
        <v>0.0</v>
      </c>
      <c r="S378" s="173">
        <v>0.0</v>
      </c>
      <c r="T378" s="173">
        <v>0.0</v>
      </c>
      <c r="U378" s="201" t="s">
        <v>600</v>
      </c>
      <c r="V378" s="165">
        <v>46048.0</v>
      </c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</row>
    <row r="379">
      <c r="A379" s="176">
        <v>46062.0</v>
      </c>
      <c r="B379" s="177">
        <v>8150853.0</v>
      </c>
      <c r="C379" s="178" t="s">
        <v>82</v>
      </c>
      <c r="D379" s="178" t="s">
        <v>35</v>
      </c>
      <c r="E379" s="177">
        <v>5.741781798E9</v>
      </c>
      <c r="F379" s="178" t="s">
        <v>601</v>
      </c>
      <c r="G379" s="176">
        <v>46106.0</v>
      </c>
      <c r="H379" s="179">
        <v>46109.0</v>
      </c>
      <c r="I379" s="180">
        <v>3.0</v>
      </c>
      <c r="J379" s="181" t="s">
        <v>114</v>
      </c>
      <c r="K379" s="178" t="s">
        <v>79</v>
      </c>
      <c r="L379" s="178" t="s">
        <v>80</v>
      </c>
      <c r="M379" s="182">
        <v>2.0</v>
      </c>
      <c r="N379" s="183">
        <v>0.19999999999999996</v>
      </c>
      <c r="O379" s="184">
        <v>171.87</v>
      </c>
      <c r="P379" s="184">
        <v>137.496</v>
      </c>
      <c r="Q379" s="185">
        <v>0.0</v>
      </c>
      <c r="R379" s="186">
        <v>412.48800000000006</v>
      </c>
      <c r="S379" s="186">
        <v>0.0</v>
      </c>
      <c r="T379" s="186">
        <v>530.61</v>
      </c>
      <c r="U379" s="187" t="s">
        <v>107</v>
      </c>
      <c r="V379" s="176">
        <v>46062.0</v>
      </c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  <c r="AG379" s="164"/>
      <c r="AH379" s="164"/>
      <c r="AI379" s="164"/>
    </row>
    <row r="380">
      <c r="A380" s="165">
        <v>45959.0</v>
      </c>
      <c r="B380" s="166">
        <v>7745194.0</v>
      </c>
      <c r="C380" s="166" t="s">
        <v>82</v>
      </c>
      <c r="D380" s="166" t="s">
        <v>35</v>
      </c>
      <c r="E380" s="166">
        <v>5.01230908E9</v>
      </c>
      <c r="F380" s="166" t="s">
        <v>602</v>
      </c>
      <c r="G380" s="165">
        <v>46107.0</v>
      </c>
      <c r="H380" s="167">
        <v>46112.0</v>
      </c>
      <c r="I380" s="168">
        <v>5.0</v>
      </c>
      <c r="J380" s="169" t="s">
        <v>78</v>
      </c>
      <c r="K380" s="166" t="s">
        <v>79</v>
      </c>
      <c r="L380" s="166" t="s">
        <v>80</v>
      </c>
      <c r="M380" s="166">
        <v>2.0</v>
      </c>
      <c r="N380" s="170">
        <v>0.19999999999999996</v>
      </c>
      <c r="O380" s="171">
        <v>188.42000000000002</v>
      </c>
      <c r="P380" s="171">
        <v>150.73600000000002</v>
      </c>
      <c r="Q380" s="172">
        <v>0.0</v>
      </c>
      <c r="R380" s="173">
        <v>753.6800000000001</v>
      </c>
      <c r="S380" s="173">
        <v>0.0</v>
      </c>
      <c r="T380" s="173">
        <v>942.1</v>
      </c>
      <c r="U380" s="201" t="s">
        <v>107</v>
      </c>
      <c r="V380" s="165">
        <v>45959.0</v>
      </c>
      <c r="W380" s="175"/>
      <c r="X380" s="175"/>
      <c r="Y380" s="175"/>
      <c r="Z380" s="175"/>
      <c r="AA380" s="175"/>
      <c r="AB380" s="175"/>
      <c r="AC380" s="175"/>
      <c r="AD380" s="175"/>
      <c r="AE380" s="175"/>
      <c r="AF380" s="175"/>
      <c r="AG380" s="175"/>
      <c r="AH380" s="175"/>
      <c r="AI380" s="175"/>
    </row>
    <row r="381">
      <c r="A381" s="165">
        <v>46047.0</v>
      </c>
      <c r="B381" s="166">
        <v>8083422.0</v>
      </c>
      <c r="C381" s="166" t="s">
        <v>89</v>
      </c>
      <c r="D381" s="166" t="s">
        <v>35</v>
      </c>
      <c r="E381" s="166">
        <v>5.568291159E9</v>
      </c>
      <c r="F381" s="166" t="s">
        <v>603</v>
      </c>
      <c r="G381" s="165">
        <v>46107.0</v>
      </c>
      <c r="H381" s="167">
        <v>46113.0</v>
      </c>
      <c r="I381" s="168">
        <v>6.0</v>
      </c>
      <c r="J381" s="169" t="s">
        <v>91</v>
      </c>
      <c r="K381" s="166" t="s">
        <v>79</v>
      </c>
      <c r="L381" s="166" t="s">
        <v>80</v>
      </c>
      <c r="M381" s="166">
        <v>0.0</v>
      </c>
      <c r="N381" s="170">
        <v>0.0</v>
      </c>
      <c r="O381" s="171">
        <v>0.0</v>
      </c>
      <c r="P381" s="171">
        <v>0.0</v>
      </c>
      <c r="Q381" s="172">
        <v>0.0</v>
      </c>
      <c r="R381" s="173">
        <v>0.0</v>
      </c>
      <c r="S381" s="173">
        <v>0.0</v>
      </c>
      <c r="T381" s="173">
        <v>0.0</v>
      </c>
      <c r="U381" s="174" t="s">
        <v>600</v>
      </c>
      <c r="V381" s="165">
        <v>46048.0</v>
      </c>
      <c r="W381" s="175"/>
      <c r="X381" s="175"/>
      <c r="Y381" s="175"/>
      <c r="Z381" s="175"/>
      <c r="AA381" s="175"/>
      <c r="AB381" s="175"/>
      <c r="AC381" s="175"/>
      <c r="AD381" s="175"/>
      <c r="AE381" s="175"/>
      <c r="AF381" s="175"/>
      <c r="AG381" s="175"/>
      <c r="AH381" s="175"/>
      <c r="AI381" s="175"/>
    </row>
    <row r="382">
      <c r="A382" s="176">
        <v>46057.0</v>
      </c>
      <c r="B382" s="177">
        <v>8126436.0</v>
      </c>
      <c r="C382" s="178" t="s">
        <v>82</v>
      </c>
      <c r="D382" s="178" t="s">
        <v>109</v>
      </c>
      <c r="E382" s="177">
        <v>6.24801507E8</v>
      </c>
      <c r="F382" s="178" t="s">
        <v>605</v>
      </c>
      <c r="G382" s="176">
        <v>46108.0</v>
      </c>
      <c r="H382" s="179">
        <v>46109.0</v>
      </c>
      <c r="I382" s="180">
        <v>1.0</v>
      </c>
      <c r="J382" s="181" t="s">
        <v>87</v>
      </c>
      <c r="K382" s="178" t="s">
        <v>79</v>
      </c>
      <c r="L382" s="178" t="s">
        <v>96</v>
      </c>
      <c r="M382" s="182">
        <v>2.0</v>
      </c>
      <c r="N382" s="183">
        <v>0.19999999999999996</v>
      </c>
      <c r="O382" s="184">
        <v>186.15</v>
      </c>
      <c r="P382" s="184">
        <v>148.92000000000002</v>
      </c>
      <c r="Q382" s="185">
        <v>0.0</v>
      </c>
      <c r="R382" s="186">
        <v>148.92000000000002</v>
      </c>
      <c r="S382" s="186">
        <v>0.0</v>
      </c>
      <c r="T382" s="186">
        <v>186.15</v>
      </c>
      <c r="U382" s="187" t="s">
        <v>112</v>
      </c>
      <c r="V382" s="176">
        <v>46057.0</v>
      </c>
      <c r="W382" s="175"/>
      <c r="X382" s="175"/>
      <c r="Y382" s="175"/>
      <c r="Z382" s="175"/>
      <c r="AA382" s="175"/>
      <c r="AB382" s="175"/>
      <c r="AC382" s="175"/>
      <c r="AD382" s="175"/>
      <c r="AE382" s="175"/>
      <c r="AF382" s="175"/>
      <c r="AG382" s="175"/>
      <c r="AH382" s="175"/>
      <c r="AI382" s="175"/>
    </row>
    <row r="383">
      <c r="A383" s="176">
        <v>46013.0</v>
      </c>
      <c r="B383" s="177">
        <v>7946009.0</v>
      </c>
      <c r="C383" s="178" t="s">
        <v>82</v>
      </c>
      <c r="D383" s="178" t="s">
        <v>35</v>
      </c>
      <c r="E383" s="178">
        <v>5.637508303E9</v>
      </c>
      <c r="F383" s="178" t="s">
        <v>606</v>
      </c>
      <c r="G383" s="176">
        <v>46108.0</v>
      </c>
      <c r="H383" s="179">
        <v>46110.0</v>
      </c>
      <c r="I383" s="180">
        <v>2.0</v>
      </c>
      <c r="J383" s="181" t="s">
        <v>78</v>
      </c>
      <c r="K383" s="178" t="s">
        <v>79</v>
      </c>
      <c r="L383" s="178" t="s">
        <v>80</v>
      </c>
      <c r="M383" s="177">
        <v>2.0</v>
      </c>
      <c r="N383" s="183">
        <v>0.19999999999999996</v>
      </c>
      <c r="O383" s="184">
        <v>169.14</v>
      </c>
      <c r="P383" s="184">
        <v>135.31199999999998</v>
      </c>
      <c r="Q383" s="185">
        <v>0.0</v>
      </c>
      <c r="R383" s="186">
        <v>270.62399999999997</v>
      </c>
      <c r="S383" s="186">
        <v>0.0</v>
      </c>
      <c r="T383" s="186">
        <v>348.28</v>
      </c>
      <c r="U383" s="187" t="s">
        <v>107</v>
      </c>
      <c r="V383" s="189">
        <v>46013.0</v>
      </c>
      <c r="W383" s="175"/>
      <c r="X383" s="175"/>
      <c r="Y383" s="175"/>
      <c r="Z383" s="175"/>
      <c r="AA383" s="175"/>
      <c r="AB383" s="175"/>
      <c r="AC383" s="175"/>
      <c r="AD383" s="175"/>
      <c r="AE383" s="175"/>
      <c r="AF383" s="175"/>
      <c r="AG383" s="175"/>
      <c r="AH383" s="175"/>
      <c r="AI383" s="175"/>
    </row>
    <row r="384">
      <c r="A384" s="176">
        <v>46049.0</v>
      </c>
      <c r="B384" s="177">
        <v>8092355.0</v>
      </c>
      <c r="C384" s="178" t="s">
        <v>82</v>
      </c>
      <c r="D384" s="178" t="s">
        <v>35</v>
      </c>
      <c r="E384" s="177">
        <v>5.597576934E9</v>
      </c>
      <c r="F384" s="178" t="s">
        <v>607</v>
      </c>
      <c r="G384" s="176">
        <v>46108.0</v>
      </c>
      <c r="H384" s="179">
        <v>46111.0</v>
      </c>
      <c r="I384" s="180">
        <v>3.0</v>
      </c>
      <c r="J384" s="181" t="s">
        <v>111</v>
      </c>
      <c r="K384" s="178" t="s">
        <v>79</v>
      </c>
      <c r="L384" s="178" t="s">
        <v>80</v>
      </c>
      <c r="M384" s="182">
        <v>2.0</v>
      </c>
      <c r="N384" s="181">
        <v>0.19999999999999996</v>
      </c>
      <c r="O384" s="184">
        <v>262.08</v>
      </c>
      <c r="P384" s="184">
        <v>209.664</v>
      </c>
      <c r="Q384" s="181">
        <v>0.0</v>
      </c>
      <c r="R384" s="186">
        <v>628.992</v>
      </c>
      <c r="S384" s="186">
        <v>0.0</v>
      </c>
      <c r="T384" s="186">
        <v>801.24</v>
      </c>
      <c r="U384" s="187" t="s">
        <v>316</v>
      </c>
      <c r="V384" s="176">
        <v>46049.0</v>
      </c>
      <c r="W384" s="175"/>
      <c r="X384" s="175"/>
      <c r="Y384" s="175"/>
      <c r="Z384" s="175"/>
      <c r="AA384" s="175"/>
      <c r="AB384" s="175"/>
      <c r="AC384" s="175"/>
      <c r="AD384" s="175"/>
      <c r="AE384" s="175"/>
      <c r="AF384" s="175"/>
      <c r="AG384" s="175"/>
      <c r="AH384" s="175"/>
      <c r="AI384" s="175"/>
    </row>
    <row r="385">
      <c r="A385" s="165">
        <v>46053.0</v>
      </c>
      <c r="B385" s="166">
        <v>8108020.0</v>
      </c>
      <c r="C385" s="166" t="s">
        <v>82</v>
      </c>
      <c r="D385" s="166" t="s">
        <v>35</v>
      </c>
      <c r="E385" s="166">
        <v>5.020289785E9</v>
      </c>
      <c r="F385" s="166" t="s">
        <v>608</v>
      </c>
      <c r="G385" s="165">
        <v>46108.0</v>
      </c>
      <c r="H385" s="167">
        <v>46112.0</v>
      </c>
      <c r="I385" s="168">
        <v>4.0</v>
      </c>
      <c r="J385" s="169" t="s">
        <v>91</v>
      </c>
      <c r="K385" s="166" t="s">
        <v>79</v>
      </c>
      <c r="L385" s="166" t="s">
        <v>80</v>
      </c>
      <c r="M385" s="166">
        <v>4.0</v>
      </c>
      <c r="N385" s="170">
        <v>0.19999999999999996</v>
      </c>
      <c r="O385" s="171">
        <v>425.17</v>
      </c>
      <c r="P385" s="171">
        <v>340.136</v>
      </c>
      <c r="Q385" s="172">
        <v>0.0</v>
      </c>
      <c r="R385" s="173">
        <v>1360.544</v>
      </c>
      <c r="S385" s="173">
        <v>0.0</v>
      </c>
      <c r="T385" s="173">
        <v>1740.68</v>
      </c>
      <c r="U385" s="201" t="s">
        <v>107</v>
      </c>
      <c r="V385" s="165">
        <v>46053.0</v>
      </c>
      <c r="W385" s="175"/>
      <c r="X385" s="175"/>
      <c r="Y385" s="175"/>
      <c r="Z385" s="175"/>
      <c r="AA385" s="175"/>
      <c r="AB385" s="175"/>
      <c r="AC385" s="175"/>
      <c r="AD385" s="175"/>
      <c r="AE385" s="175"/>
      <c r="AF385" s="175"/>
      <c r="AG385" s="175"/>
      <c r="AH385" s="175"/>
      <c r="AI385" s="175"/>
    </row>
    <row r="386">
      <c r="A386" s="165">
        <v>45924.0</v>
      </c>
      <c r="B386" s="166">
        <v>7600498.0</v>
      </c>
      <c r="C386" s="166" t="s">
        <v>82</v>
      </c>
      <c r="D386" s="166" t="s">
        <v>94</v>
      </c>
      <c r="E386" s="166">
        <v>7600498.0</v>
      </c>
      <c r="F386" s="166" t="s">
        <v>610</v>
      </c>
      <c r="G386" s="165">
        <v>46109.0</v>
      </c>
      <c r="H386" s="167">
        <v>46110.0</v>
      </c>
      <c r="I386" s="168">
        <v>1.0</v>
      </c>
      <c r="J386" s="169" t="s">
        <v>114</v>
      </c>
      <c r="K386" s="166" t="s">
        <v>79</v>
      </c>
      <c r="L386" s="166" t="s">
        <v>96</v>
      </c>
      <c r="M386" s="205">
        <v>2.0</v>
      </c>
      <c r="N386" s="170">
        <v>0.0</v>
      </c>
      <c r="O386" s="171">
        <v>225.36</v>
      </c>
      <c r="P386" s="171">
        <v>225.36</v>
      </c>
      <c r="Q386" s="172">
        <v>0.0</v>
      </c>
      <c r="R386" s="173">
        <v>225.36</v>
      </c>
      <c r="S386" s="173">
        <v>0.0</v>
      </c>
      <c r="T386" s="173">
        <v>230.36</v>
      </c>
      <c r="U386" s="174" t="s">
        <v>97</v>
      </c>
      <c r="V386" s="165">
        <v>45924.0</v>
      </c>
      <c r="W386" s="175"/>
      <c r="X386" s="175"/>
      <c r="Y386" s="175"/>
      <c r="Z386" s="175"/>
      <c r="AA386" s="175"/>
      <c r="AB386" s="175"/>
      <c r="AC386" s="175"/>
      <c r="AD386" s="175"/>
      <c r="AE386" s="175"/>
      <c r="AF386" s="175"/>
      <c r="AG386" s="175"/>
      <c r="AH386" s="175"/>
      <c r="AI386" s="175"/>
    </row>
    <row r="387">
      <c r="A387" s="165">
        <v>45931.0</v>
      </c>
      <c r="B387" s="166">
        <v>7630787.0</v>
      </c>
      <c r="C387" s="166" t="s">
        <v>82</v>
      </c>
      <c r="D387" s="166" t="s">
        <v>35</v>
      </c>
      <c r="E387" s="166">
        <v>5.755537227E9</v>
      </c>
      <c r="F387" s="166" t="s">
        <v>611</v>
      </c>
      <c r="G387" s="165">
        <v>46109.0</v>
      </c>
      <c r="H387" s="167">
        <v>46112.0</v>
      </c>
      <c r="I387" s="168">
        <v>3.0</v>
      </c>
      <c r="J387" s="169" t="s">
        <v>78</v>
      </c>
      <c r="K387" s="166" t="s">
        <v>79</v>
      </c>
      <c r="L387" s="166" t="s">
        <v>80</v>
      </c>
      <c r="M387" s="166">
        <v>3.0</v>
      </c>
      <c r="N387" s="170">
        <v>0.19999999999999996</v>
      </c>
      <c r="O387" s="171">
        <v>133.19</v>
      </c>
      <c r="P387" s="171">
        <v>106.552</v>
      </c>
      <c r="Q387" s="172">
        <v>0.0</v>
      </c>
      <c r="R387" s="173">
        <v>319.656</v>
      </c>
      <c r="S387" s="173">
        <v>0.0</v>
      </c>
      <c r="T387" s="173">
        <v>422.07</v>
      </c>
      <c r="U387" s="174" t="s">
        <v>107</v>
      </c>
      <c r="V387" s="165">
        <v>45931.0</v>
      </c>
      <c r="W387" s="175"/>
      <c r="X387" s="175"/>
      <c r="Y387" s="175"/>
      <c r="Z387" s="175"/>
      <c r="AA387" s="175"/>
      <c r="AB387" s="175"/>
      <c r="AC387" s="175"/>
      <c r="AD387" s="175"/>
      <c r="AE387" s="175"/>
      <c r="AF387" s="175"/>
      <c r="AG387" s="175"/>
      <c r="AH387" s="175"/>
      <c r="AI387" s="175"/>
    </row>
    <row r="388">
      <c r="A388" s="165">
        <v>45957.0</v>
      </c>
      <c r="B388" s="166">
        <v>7736526.0</v>
      </c>
      <c r="C388" s="166" t="s">
        <v>82</v>
      </c>
      <c r="D388" s="166" t="s">
        <v>35</v>
      </c>
      <c r="E388" s="166">
        <v>5.978049791E9</v>
      </c>
      <c r="F388" s="166" t="s">
        <v>612</v>
      </c>
      <c r="G388" s="165">
        <v>46109.0</v>
      </c>
      <c r="H388" s="167">
        <v>46113.0</v>
      </c>
      <c r="I388" s="168">
        <v>4.0</v>
      </c>
      <c r="J388" s="169" t="s">
        <v>114</v>
      </c>
      <c r="K388" s="166" t="s">
        <v>79</v>
      </c>
      <c r="L388" s="166" t="s">
        <v>80</v>
      </c>
      <c r="M388" s="205">
        <v>2.0</v>
      </c>
      <c r="N388" s="170">
        <v>0.19999999999999996</v>
      </c>
      <c r="O388" s="171">
        <v>204.83</v>
      </c>
      <c r="P388" s="171">
        <v>163.86400000000003</v>
      </c>
      <c r="Q388" s="172">
        <v>0.0</v>
      </c>
      <c r="R388" s="173">
        <v>655.4560000000001</v>
      </c>
      <c r="S388" s="173">
        <v>0.0</v>
      </c>
      <c r="T388" s="173">
        <v>839.32</v>
      </c>
      <c r="U388" s="174" t="s">
        <v>107</v>
      </c>
      <c r="V388" s="165">
        <v>45957.0</v>
      </c>
      <c r="W388" s="175"/>
      <c r="X388" s="175"/>
      <c r="Y388" s="175"/>
      <c r="Z388" s="175"/>
      <c r="AA388" s="175"/>
      <c r="AB388" s="175"/>
      <c r="AC388" s="175"/>
      <c r="AD388" s="175"/>
      <c r="AE388" s="175"/>
      <c r="AF388" s="175"/>
      <c r="AG388" s="175"/>
      <c r="AH388" s="175"/>
      <c r="AI388" s="175"/>
    </row>
    <row r="389">
      <c r="A389" s="176">
        <v>45972.0</v>
      </c>
      <c r="B389" s="177">
        <v>7793985.0</v>
      </c>
      <c r="C389" s="178" t="s">
        <v>82</v>
      </c>
      <c r="D389" s="178" t="s">
        <v>35</v>
      </c>
      <c r="E389" s="177">
        <v>5.367360619E9</v>
      </c>
      <c r="F389" s="178" t="s">
        <v>613</v>
      </c>
      <c r="G389" s="176">
        <v>46109.0</v>
      </c>
      <c r="H389" s="179">
        <v>46111.0</v>
      </c>
      <c r="I389" s="180">
        <v>2.0</v>
      </c>
      <c r="J389" s="181" t="s">
        <v>87</v>
      </c>
      <c r="K389" s="178" t="s">
        <v>79</v>
      </c>
      <c r="L389" s="178" t="s">
        <v>80</v>
      </c>
      <c r="M389" s="182">
        <v>2.0</v>
      </c>
      <c r="N389" s="183">
        <v>0.19999999999999996</v>
      </c>
      <c r="O389" s="184">
        <v>146.93</v>
      </c>
      <c r="P389" s="184">
        <v>117.54400000000001</v>
      </c>
      <c r="Q389" s="185">
        <v>0.0</v>
      </c>
      <c r="R389" s="186">
        <v>235.08800000000002</v>
      </c>
      <c r="S389" s="186">
        <v>0.0</v>
      </c>
      <c r="T389" s="186">
        <v>303.86</v>
      </c>
      <c r="U389" s="187" t="s">
        <v>107</v>
      </c>
      <c r="V389" s="176">
        <v>45972.0</v>
      </c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</row>
    <row r="390">
      <c r="A390" s="165">
        <v>45978.0</v>
      </c>
      <c r="B390" s="166">
        <v>7816585.0</v>
      </c>
      <c r="C390" s="166" t="s">
        <v>82</v>
      </c>
      <c r="D390" s="166" t="s">
        <v>35</v>
      </c>
      <c r="E390" s="166">
        <v>6.296210578E9</v>
      </c>
      <c r="F390" s="166" t="s">
        <v>615</v>
      </c>
      <c r="G390" s="165">
        <v>46109.0</v>
      </c>
      <c r="H390" s="167">
        <v>46110.0</v>
      </c>
      <c r="I390" s="168">
        <v>1.0</v>
      </c>
      <c r="J390" s="169" t="s">
        <v>111</v>
      </c>
      <c r="K390" s="166" t="s">
        <v>79</v>
      </c>
      <c r="L390" s="166" t="s">
        <v>80</v>
      </c>
      <c r="M390" s="166">
        <v>2.0</v>
      </c>
      <c r="N390" s="169">
        <v>0.19999999999999996</v>
      </c>
      <c r="O390" s="171">
        <v>334.02</v>
      </c>
      <c r="P390" s="171">
        <v>267.216</v>
      </c>
      <c r="Q390" s="169">
        <v>0.0</v>
      </c>
      <c r="R390" s="173">
        <v>267.216</v>
      </c>
      <c r="S390" s="173">
        <v>0.0</v>
      </c>
      <c r="T390" s="173">
        <v>339.02</v>
      </c>
      <c r="U390" s="174" t="s">
        <v>303</v>
      </c>
      <c r="V390" s="165">
        <v>45978.0</v>
      </c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164"/>
      <c r="AI390" s="164"/>
    </row>
    <row r="391">
      <c r="A391" s="165">
        <v>45979.0</v>
      </c>
      <c r="B391" s="166">
        <v>7817947.0</v>
      </c>
      <c r="C391" s="166" t="s">
        <v>82</v>
      </c>
      <c r="D391" s="229" t="s">
        <v>616</v>
      </c>
      <c r="E391" s="166">
        <v>2.333797298E9</v>
      </c>
      <c r="F391" s="166" t="s">
        <v>617</v>
      </c>
      <c r="G391" s="165">
        <v>46109.0</v>
      </c>
      <c r="H391" s="167">
        <v>46110.0</v>
      </c>
      <c r="I391" s="168">
        <v>1.0</v>
      </c>
      <c r="J391" s="169" t="s">
        <v>78</v>
      </c>
      <c r="K391" s="166" t="s">
        <v>79</v>
      </c>
      <c r="L391" s="166" t="s">
        <v>103</v>
      </c>
      <c r="M391" s="166">
        <v>2.0</v>
      </c>
      <c r="N391" s="169">
        <v>0.0</v>
      </c>
      <c r="O391" s="171">
        <v>239.76</v>
      </c>
      <c r="P391" s="171">
        <v>191.808</v>
      </c>
      <c r="Q391" s="169">
        <v>0.0</v>
      </c>
      <c r="R391" s="173">
        <v>191.808</v>
      </c>
      <c r="S391" s="173">
        <v>0.0</v>
      </c>
      <c r="T391" s="173">
        <v>239.76</v>
      </c>
      <c r="U391" s="174" t="s">
        <v>277</v>
      </c>
      <c r="V391" s="165">
        <v>45979.0</v>
      </c>
      <c r="W391" s="175"/>
      <c r="X391" s="175"/>
      <c r="Y391" s="175"/>
      <c r="Z391" s="175"/>
      <c r="AA391" s="175"/>
      <c r="AB391" s="175"/>
      <c r="AC391" s="175"/>
      <c r="AD391" s="175"/>
      <c r="AE391" s="175"/>
      <c r="AF391" s="175"/>
      <c r="AG391" s="175"/>
      <c r="AH391" s="175"/>
      <c r="AI391" s="175"/>
    </row>
    <row r="392">
      <c r="A392" s="165">
        <v>45966.0</v>
      </c>
      <c r="B392" s="166">
        <v>7768757.0</v>
      </c>
      <c r="C392" s="166" t="s">
        <v>89</v>
      </c>
      <c r="D392" s="166" t="s">
        <v>94</v>
      </c>
      <c r="E392" s="166">
        <v>7768757.0</v>
      </c>
      <c r="F392" s="166" t="s">
        <v>619</v>
      </c>
      <c r="G392" s="165">
        <v>46110.0</v>
      </c>
      <c r="H392" s="167">
        <v>46115.0</v>
      </c>
      <c r="I392" s="168">
        <v>5.0</v>
      </c>
      <c r="J392" s="169" t="s">
        <v>78</v>
      </c>
      <c r="K392" s="166" t="s">
        <v>79</v>
      </c>
      <c r="L392" s="166" t="s">
        <v>96</v>
      </c>
      <c r="M392" s="205">
        <v>0.0</v>
      </c>
      <c r="N392" s="170">
        <v>0.0</v>
      </c>
      <c r="O392" s="171">
        <v>0.0</v>
      </c>
      <c r="P392" s="171">
        <v>0.0</v>
      </c>
      <c r="Q392" s="172">
        <v>0.0</v>
      </c>
      <c r="R392" s="173">
        <v>0.0</v>
      </c>
      <c r="S392" s="173">
        <v>0.0</v>
      </c>
      <c r="T392" s="173">
        <v>0.0</v>
      </c>
      <c r="U392" s="174" t="s">
        <v>620</v>
      </c>
      <c r="V392" s="165">
        <v>46043.0</v>
      </c>
      <c r="W392" s="175"/>
      <c r="X392" s="175"/>
      <c r="Y392" s="175"/>
      <c r="Z392" s="175"/>
      <c r="AA392" s="175"/>
      <c r="AB392" s="175"/>
      <c r="AC392" s="175"/>
      <c r="AD392" s="175"/>
      <c r="AE392" s="175"/>
      <c r="AF392" s="175"/>
      <c r="AG392" s="175"/>
      <c r="AH392" s="175"/>
      <c r="AI392" s="175"/>
    </row>
    <row r="393">
      <c r="A393" s="154">
        <v>45966.0</v>
      </c>
      <c r="B393" s="155">
        <v>7768757.0</v>
      </c>
      <c r="C393" s="156" t="s">
        <v>89</v>
      </c>
      <c r="D393" s="156" t="s">
        <v>94</v>
      </c>
      <c r="E393" s="155">
        <v>7768757.0</v>
      </c>
      <c r="F393" s="156" t="s">
        <v>619</v>
      </c>
      <c r="G393" s="154">
        <v>46110.0</v>
      </c>
      <c r="H393" s="157">
        <v>46115.0</v>
      </c>
      <c r="I393" s="158">
        <v>5.0</v>
      </c>
      <c r="J393" s="159" t="s">
        <v>78</v>
      </c>
      <c r="K393" s="156" t="s">
        <v>79</v>
      </c>
      <c r="L393" s="156" t="s">
        <v>96</v>
      </c>
      <c r="M393" s="155">
        <v>0.0</v>
      </c>
      <c r="N393" s="160">
        <v>0.0</v>
      </c>
      <c r="O393" s="161">
        <v>0.0</v>
      </c>
      <c r="P393" s="161">
        <v>0.0</v>
      </c>
      <c r="Q393" s="203">
        <v>0.0</v>
      </c>
      <c r="R393" s="162">
        <v>0.0</v>
      </c>
      <c r="S393" s="162">
        <v>0.0</v>
      </c>
      <c r="T393" s="162">
        <v>0.0</v>
      </c>
      <c r="U393" s="163" t="s">
        <v>620</v>
      </c>
      <c r="V393" s="154">
        <v>46043.0</v>
      </c>
      <c r="W393" s="175"/>
      <c r="X393" s="175"/>
      <c r="Y393" s="175"/>
      <c r="Z393" s="175"/>
      <c r="AA393" s="175"/>
      <c r="AB393" s="175"/>
      <c r="AC393" s="175"/>
      <c r="AD393" s="175"/>
      <c r="AE393" s="175"/>
      <c r="AF393" s="175"/>
      <c r="AG393" s="175"/>
      <c r="AH393" s="175"/>
      <c r="AI393" s="175"/>
    </row>
    <row r="394">
      <c r="A394" s="154">
        <v>45979.0</v>
      </c>
      <c r="B394" s="155">
        <v>7820731.0</v>
      </c>
      <c r="C394" s="156" t="s">
        <v>82</v>
      </c>
      <c r="D394" s="156" t="s">
        <v>35</v>
      </c>
      <c r="E394" s="155">
        <v>5.267158236E9</v>
      </c>
      <c r="F394" s="156" t="s">
        <v>621</v>
      </c>
      <c r="G394" s="154">
        <v>46110.0</v>
      </c>
      <c r="H394" s="157">
        <v>46112.0</v>
      </c>
      <c r="I394" s="158">
        <v>2.0</v>
      </c>
      <c r="J394" s="159" t="s">
        <v>114</v>
      </c>
      <c r="K394" s="156" t="s">
        <v>79</v>
      </c>
      <c r="L394" s="156" t="s">
        <v>80</v>
      </c>
      <c r="M394" s="202">
        <v>3.0</v>
      </c>
      <c r="N394" s="160">
        <v>0.19999999999999996</v>
      </c>
      <c r="O394" s="161">
        <v>210.49</v>
      </c>
      <c r="P394" s="161">
        <v>168.39200000000002</v>
      </c>
      <c r="Q394" s="203">
        <v>0.0</v>
      </c>
      <c r="R394" s="162">
        <v>336.78400000000005</v>
      </c>
      <c r="S394" s="162">
        <v>0.0</v>
      </c>
      <c r="T394" s="162">
        <v>435.98</v>
      </c>
      <c r="U394" s="163" t="s">
        <v>161</v>
      </c>
      <c r="V394" s="154">
        <v>45979.0</v>
      </c>
      <c r="W394" s="175"/>
      <c r="X394" s="175"/>
      <c r="Y394" s="175"/>
      <c r="Z394" s="175"/>
      <c r="AA394" s="175"/>
      <c r="AB394" s="175"/>
      <c r="AC394" s="175"/>
      <c r="AD394" s="175"/>
      <c r="AE394" s="175"/>
      <c r="AF394" s="175"/>
      <c r="AG394" s="175"/>
      <c r="AH394" s="175"/>
      <c r="AI394" s="175"/>
    </row>
    <row r="395">
      <c r="A395" s="154">
        <v>45996.0</v>
      </c>
      <c r="B395" s="155">
        <v>7887272.0</v>
      </c>
      <c r="C395" s="156" t="s">
        <v>89</v>
      </c>
      <c r="D395" s="156" t="s">
        <v>35</v>
      </c>
      <c r="E395" s="155">
        <v>5.637042917E9</v>
      </c>
      <c r="F395" s="156" t="s">
        <v>562</v>
      </c>
      <c r="G395" s="154">
        <v>46110.0</v>
      </c>
      <c r="H395" s="157">
        <v>46111.0</v>
      </c>
      <c r="I395" s="158">
        <v>1.0</v>
      </c>
      <c r="J395" s="159" t="s">
        <v>111</v>
      </c>
      <c r="K395" s="156" t="s">
        <v>79</v>
      </c>
      <c r="L395" s="156" t="s">
        <v>80</v>
      </c>
      <c r="M395" s="155">
        <v>0.0</v>
      </c>
      <c r="N395" s="160">
        <v>0.0</v>
      </c>
      <c r="O395" s="161">
        <v>0.0</v>
      </c>
      <c r="P395" s="161">
        <v>0.0</v>
      </c>
      <c r="Q395" s="203">
        <v>0.0</v>
      </c>
      <c r="R395" s="162">
        <v>0.0</v>
      </c>
      <c r="S395" s="162">
        <v>0.0</v>
      </c>
      <c r="T395" s="162">
        <v>0.0</v>
      </c>
      <c r="U395" s="163" t="s">
        <v>622</v>
      </c>
      <c r="V395" s="154">
        <v>46101.0</v>
      </c>
      <c r="W395" s="175"/>
      <c r="X395" s="175"/>
      <c r="Y395" s="175"/>
      <c r="Z395" s="175"/>
      <c r="AA395" s="175"/>
      <c r="AB395" s="175"/>
      <c r="AC395" s="175"/>
      <c r="AD395" s="175"/>
      <c r="AE395" s="175"/>
      <c r="AF395" s="175"/>
      <c r="AG395" s="175"/>
      <c r="AH395" s="175"/>
      <c r="AI395" s="175"/>
    </row>
    <row r="396">
      <c r="A396" s="165">
        <v>45784.0</v>
      </c>
      <c r="B396" s="166">
        <v>6994029.0</v>
      </c>
      <c r="C396" s="166" t="s">
        <v>89</v>
      </c>
      <c r="D396" s="166" t="s">
        <v>12</v>
      </c>
      <c r="E396" s="166" t="s">
        <v>623</v>
      </c>
      <c r="F396" s="166" t="s">
        <v>624</v>
      </c>
      <c r="G396" s="165">
        <v>46110.0</v>
      </c>
      <c r="H396" s="167">
        <v>46116.0</v>
      </c>
      <c r="I396" s="168">
        <v>6.0</v>
      </c>
      <c r="J396" s="169" t="s">
        <v>625</v>
      </c>
      <c r="K396" s="166" t="s">
        <v>138</v>
      </c>
      <c r="L396" s="166" t="s">
        <v>123</v>
      </c>
      <c r="M396" s="166">
        <v>0.0</v>
      </c>
      <c r="N396" s="170">
        <v>0.0</v>
      </c>
      <c r="O396" s="171">
        <v>0.0</v>
      </c>
      <c r="P396" s="171">
        <v>0.0</v>
      </c>
      <c r="Q396" s="172">
        <v>0.0</v>
      </c>
      <c r="R396" s="173">
        <v>0.0</v>
      </c>
      <c r="S396" s="173">
        <v>0.0</v>
      </c>
      <c r="T396" s="173">
        <v>0.0</v>
      </c>
      <c r="U396" s="174" t="s">
        <v>626</v>
      </c>
      <c r="V396" s="165">
        <v>45784.0</v>
      </c>
      <c r="W396" s="175"/>
      <c r="X396" s="175"/>
      <c r="Y396" s="175"/>
      <c r="Z396" s="175"/>
      <c r="AA396" s="175"/>
      <c r="AB396" s="175"/>
      <c r="AC396" s="175"/>
      <c r="AD396" s="175"/>
      <c r="AE396" s="175"/>
      <c r="AF396" s="175"/>
      <c r="AG396" s="175"/>
      <c r="AH396" s="175"/>
      <c r="AI396" s="175"/>
    </row>
    <row r="397">
      <c r="A397" s="154">
        <v>45784.0</v>
      </c>
      <c r="B397" s="155">
        <v>6994096.0</v>
      </c>
      <c r="C397" s="156" t="s">
        <v>89</v>
      </c>
      <c r="D397" s="230" t="s">
        <v>12</v>
      </c>
      <c r="E397" s="155" t="s">
        <v>628</v>
      </c>
      <c r="F397" s="156" t="s">
        <v>624</v>
      </c>
      <c r="G397" s="154">
        <v>46110.0</v>
      </c>
      <c r="H397" s="157">
        <v>46115.0</v>
      </c>
      <c r="I397" s="158">
        <v>5.0</v>
      </c>
      <c r="J397" s="159" t="s">
        <v>625</v>
      </c>
      <c r="K397" s="156" t="s">
        <v>138</v>
      </c>
      <c r="L397" s="156" t="s">
        <v>123</v>
      </c>
      <c r="M397" s="155">
        <v>0.0</v>
      </c>
      <c r="N397" s="160">
        <v>0.0</v>
      </c>
      <c r="O397" s="161">
        <v>0.0</v>
      </c>
      <c r="P397" s="161">
        <v>0.0</v>
      </c>
      <c r="Q397" s="203">
        <v>0.0</v>
      </c>
      <c r="R397" s="162">
        <v>0.0</v>
      </c>
      <c r="S397" s="162">
        <v>0.0</v>
      </c>
      <c r="T397" s="162">
        <v>0.0</v>
      </c>
      <c r="U397" s="163" t="s">
        <v>626</v>
      </c>
      <c r="V397" s="154">
        <v>45784.0</v>
      </c>
      <c r="W397" s="175"/>
      <c r="X397" s="175"/>
      <c r="Y397" s="175"/>
      <c r="Z397" s="175"/>
      <c r="AA397" s="175"/>
      <c r="AB397" s="175"/>
      <c r="AC397" s="175"/>
      <c r="AD397" s="175"/>
      <c r="AE397" s="175"/>
      <c r="AF397" s="175"/>
      <c r="AG397" s="175"/>
      <c r="AH397" s="175"/>
      <c r="AI397" s="175"/>
    </row>
    <row r="398">
      <c r="A398" s="165">
        <v>45783.0</v>
      </c>
      <c r="B398" s="166">
        <v>6988221.0</v>
      </c>
      <c r="C398" s="166" t="s">
        <v>89</v>
      </c>
      <c r="D398" s="166" t="s">
        <v>12</v>
      </c>
      <c r="E398" s="166" t="s">
        <v>629</v>
      </c>
      <c r="F398" s="166" t="s">
        <v>630</v>
      </c>
      <c r="G398" s="165">
        <v>46110.0</v>
      </c>
      <c r="H398" s="167">
        <v>46115.0</v>
      </c>
      <c r="I398" s="168">
        <v>5.0</v>
      </c>
      <c r="J398" s="169" t="s">
        <v>625</v>
      </c>
      <c r="K398" s="166" t="s">
        <v>138</v>
      </c>
      <c r="L398" s="166" t="s">
        <v>123</v>
      </c>
      <c r="M398" s="166">
        <v>0.0</v>
      </c>
      <c r="N398" s="170">
        <v>0.0</v>
      </c>
      <c r="O398" s="171">
        <v>0.0</v>
      </c>
      <c r="P398" s="171">
        <v>0.0</v>
      </c>
      <c r="Q398" s="172">
        <v>0.0</v>
      </c>
      <c r="R398" s="173">
        <v>0.0</v>
      </c>
      <c r="S398" s="173">
        <v>0.0</v>
      </c>
      <c r="T398" s="173">
        <v>0.0</v>
      </c>
      <c r="U398" s="174" t="s">
        <v>631</v>
      </c>
      <c r="V398" s="165">
        <v>46110.0</v>
      </c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</row>
    <row r="399">
      <c r="A399" s="154">
        <v>45978.0</v>
      </c>
      <c r="B399" s="155">
        <v>7815992.0</v>
      </c>
      <c r="C399" s="156" t="s">
        <v>89</v>
      </c>
      <c r="D399" s="156" t="s">
        <v>35</v>
      </c>
      <c r="E399" s="155">
        <v>5.780502898E9</v>
      </c>
      <c r="F399" s="156" t="s">
        <v>272</v>
      </c>
      <c r="G399" s="154">
        <v>46111.0</v>
      </c>
      <c r="H399" s="157">
        <v>46114.0</v>
      </c>
      <c r="I399" s="158">
        <v>3.0</v>
      </c>
      <c r="J399" s="159" t="s">
        <v>111</v>
      </c>
      <c r="K399" s="156" t="s">
        <v>79</v>
      </c>
      <c r="L399" s="156" t="s">
        <v>80</v>
      </c>
      <c r="M399" s="155">
        <v>0.0</v>
      </c>
      <c r="N399" s="160">
        <v>0.0</v>
      </c>
      <c r="O399" s="161">
        <v>0.0</v>
      </c>
      <c r="P399" s="161">
        <v>0.0</v>
      </c>
      <c r="Q399" s="203">
        <v>0.0</v>
      </c>
      <c r="R399" s="162">
        <v>0.0</v>
      </c>
      <c r="S399" s="162">
        <v>0.0</v>
      </c>
      <c r="T399" s="162">
        <v>0.0</v>
      </c>
      <c r="U399" s="163" t="s">
        <v>632</v>
      </c>
      <c r="V399" s="154">
        <v>46050.0</v>
      </c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75"/>
      <c r="AI399" s="175"/>
    </row>
    <row r="400">
      <c r="A400" s="176">
        <v>46053.0</v>
      </c>
      <c r="B400" s="177">
        <v>8109439.0</v>
      </c>
      <c r="C400" s="178" t="s">
        <v>82</v>
      </c>
      <c r="D400" s="178" t="s">
        <v>35</v>
      </c>
      <c r="E400" s="177">
        <v>6.849375471E9</v>
      </c>
      <c r="F400" s="178" t="s">
        <v>633</v>
      </c>
      <c r="G400" s="176">
        <v>46111.0</v>
      </c>
      <c r="H400" s="179">
        <v>46113.0</v>
      </c>
      <c r="I400" s="180">
        <v>2.0</v>
      </c>
      <c r="J400" s="181" t="s">
        <v>78</v>
      </c>
      <c r="K400" s="178" t="s">
        <v>79</v>
      </c>
      <c r="L400" s="178" t="s">
        <v>80</v>
      </c>
      <c r="M400" s="182">
        <v>2.0</v>
      </c>
      <c r="N400" s="183">
        <v>0.19999999999999996</v>
      </c>
      <c r="O400" s="184">
        <v>208.32</v>
      </c>
      <c r="P400" s="184">
        <v>166.656</v>
      </c>
      <c r="Q400" s="185">
        <v>0.0</v>
      </c>
      <c r="R400" s="186">
        <v>333.312</v>
      </c>
      <c r="S400" s="186">
        <v>0.0</v>
      </c>
      <c r="T400" s="186">
        <v>426.64</v>
      </c>
      <c r="U400" s="187" t="s">
        <v>316</v>
      </c>
      <c r="V400" s="176">
        <v>46053.0</v>
      </c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  <c r="AG400" s="164"/>
      <c r="AH400" s="164"/>
      <c r="AI400" s="164"/>
    </row>
    <row r="401">
      <c r="A401" s="176">
        <v>46068.0</v>
      </c>
      <c r="B401" s="177">
        <v>8178001.0</v>
      </c>
      <c r="C401" s="178" t="s">
        <v>82</v>
      </c>
      <c r="D401" s="178" t="s">
        <v>35</v>
      </c>
      <c r="E401" s="177">
        <v>5.60182918E9</v>
      </c>
      <c r="F401" s="178" t="s">
        <v>634</v>
      </c>
      <c r="G401" s="176">
        <v>46111.0</v>
      </c>
      <c r="H401" s="179">
        <v>46112.0</v>
      </c>
      <c r="I401" s="180">
        <v>1.0</v>
      </c>
      <c r="J401" s="181" t="s">
        <v>87</v>
      </c>
      <c r="K401" s="178" t="s">
        <v>79</v>
      </c>
      <c r="L401" s="178" t="s">
        <v>80</v>
      </c>
      <c r="M401" s="182">
        <v>2.0</v>
      </c>
      <c r="N401" s="183">
        <v>0.19999999999999996</v>
      </c>
      <c r="O401" s="184">
        <v>138.88</v>
      </c>
      <c r="P401" s="184">
        <v>111.104</v>
      </c>
      <c r="Q401" s="185">
        <v>0.0</v>
      </c>
      <c r="R401" s="186">
        <v>111.104</v>
      </c>
      <c r="S401" s="186">
        <v>0.0</v>
      </c>
      <c r="T401" s="186">
        <v>143.88</v>
      </c>
      <c r="U401" s="187" t="s">
        <v>107</v>
      </c>
      <c r="V401" s="176">
        <v>46068.0</v>
      </c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75"/>
      <c r="AI401" s="175"/>
    </row>
    <row r="402">
      <c r="A402" s="154">
        <v>45911.0</v>
      </c>
      <c r="B402" s="155">
        <v>7546933.0</v>
      </c>
      <c r="C402" s="156" t="s">
        <v>89</v>
      </c>
      <c r="D402" s="156" t="s">
        <v>94</v>
      </c>
      <c r="E402" s="155">
        <v>7546933.0</v>
      </c>
      <c r="F402" s="156" t="s">
        <v>635</v>
      </c>
      <c r="G402" s="154">
        <v>46112.0</v>
      </c>
      <c r="H402" s="157">
        <v>46114.0</v>
      </c>
      <c r="I402" s="158">
        <v>2.0</v>
      </c>
      <c r="J402" s="159" t="s">
        <v>87</v>
      </c>
      <c r="K402" s="156" t="s">
        <v>79</v>
      </c>
      <c r="L402" s="156" t="s">
        <v>96</v>
      </c>
      <c r="M402" s="155">
        <v>0.0</v>
      </c>
      <c r="N402" s="160">
        <v>0.0</v>
      </c>
      <c r="O402" s="161">
        <v>0.0</v>
      </c>
      <c r="P402" s="161">
        <v>0.0</v>
      </c>
      <c r="Q402" s="159">
        <v>0.0</v>
      </c>
      <c r="R402" s="162">
        <v>0.0</v>
      </c>
      <c r="S402" s="162">
        <v>0.0</v>
      </c>
      <c r="T402" s="162">
        <v>0.0</v>
      </c>
      <c r="U402" s="163" t="s">
        <v>637</v>
      </c>
      <c r="V402" s="215">
        <v>45941.0</v>
      </c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</row>
    <row r="403">
      <c r="A403" s="154">
        <v>45911.0</v>
      </c>
      <c r="B403" s="155">
        <v>7546947.0</v>
      </c>
      <c r="C403" s="156" t="s">
        <v>89</v>
      </c>
      <c r="D403" s="156" t="s">
        <v>94</v>
      </c>
      <c r="E403" s="155">
        <v>7546947.0</v>
      </c>
      <c r="F403" s="156" t="s">
        <v>638</v>
      </c>
      <c r="G403" s="154">
        <v>46112.0</v>
      </c>
      <c r="H403" s="157">
        <v>46116.0</v>
      </c>
      <c r="I403" s="158">
        <v>4.0</v>
      </c>
      <c r="J403" s="159" t="s">
        <v>78</v>
      </c>
      <c r="K403" s="156" t="s">
        <v>79</v>
      </c>
      <c r="L403" s="156" t="s">
        <v>96</v>
      </c>
      <c r="M403" s="155">
        <v>0.0</v>
      </c>
      <c r="N403" s="160">
        <v>0.0</v>
      </c>
      <c r="O403" s="161">
        <v>0.0</v>
      </c>
      <c r="P403" s="161">
        <v>0.0</v>
      </c>
      <c r="Q403" s="203">
        <v>0.0</v>
      </c>
      <c r="R403" s="162">
        <v>0.0</v>
      </c>
      <c r="S403" s="162">
        <v>0.0</v>
      </c>
      <c r="T403" s="162">
        <v>0.0</v>
      </c>
      <c r="U403" s="163" t="s">
        <v>637</v>
      </c>
      <c r="V403" s="154">
        <v>45941.0</v>
      </c>
      <c r="W403" s="175"/>
      <c r="X403" s="175"/>
      <c r="Y403" s="175"/>
      <c r="Z403" s="175"/>
      <c r="AA403" s="175"/>
      <c r="AB403" s="175"/>
      <c r="AC403" s="175"/>
      <c r="AD403" s="175"/>
      <c r="AE403" s="175"/>
      <c r="AF403" s="175"/>
      <c r="AG403" s="175"/>
      <c r="AH403" s="175"/>
      <c r="AI403" s="175"/>
    </row>
    <row r="404">
      <c r="A404" s="176">
        <v>45911.0</v>
      </c>
      <c r="B404" s="177">
        <v>7546947.0</v>
      </c>
      <c r="C404" s="178" t="s">
        <v>89</v>
      </c>
      <c r="D404" s="178" t="s">
        <v>94</v>
      </c>
      <c r="E404" s="177">
        <v>7546947.0</v>
      </c>
      <c r="F404" s="178" t="s">
        <v>638</v>
      </c>
      <c r="G404" s="176">
        <v>46112.0</v>
      </c>
      <c r="H404" s="179">
        <v>46116.0</v>
      </c>
      <c r="I404" s="180">
        <v>4.0</v>
      </c>
      <c r="J404" s="181" t="s">
        <v>78</v>
      </c>
      <c r="K404" s="178" t="s">
        <v>79</v>
      </c>
      <c r="L404" s="178" t="s">
        <v>96</v>
      </c>
      <c r="M404" s="182">
        <v>0.0</v>
      </c>
      <c r="N404" s="183">
        <v>0.0</v>
      </c>
      <c r="O404" s="184">
        <v>0.0</v>
      </c>
      <c r="P404" s="184">
        <v>0.0</v>
      </c>
      <c r="Q404" s="185">
        <v>0.0</v>
      </c>
      <c r="R404" s="186">
        <v>0.0</v>
      </c>
      <c r="S404" s="186">
        <v>0.0</v>
      </c>
      <c r="T404" s="186">
        <v>0.0</v>
      </c>
      <c r="U404" s="187" t="s">
        <v>637</v>
      </c>
      <c r="V404" s="189">
        <v>45941.0</v>
      </c>
      <c r="W404" s="175"/>
      <c r="X404" s="175"/>
      <c r="Y404" s="175"/>
      <c r="Z404" s="175"/>
      <c r="AA404" s="175"/>
      <c r="AB404" s="175"/>
      <c r="AC404" s="175"/>
      <c r="AD404" s="175"/>
      <c r="AE404" s="175"/>
      <c r="AF404" s="175"/>
      <c r="AG404" s="175"/>
      <c r="AH404" s="175"/>
      <c r="AI404" s="175"/>
    </row>
    <row r="405">
      <c r="A405" s="154">
        <v>45911.0</v>
      </c>
      <c r="B405" s="155">
        <v>7546947.0</v>
      </c>
      <c r="C405" s="156" t="s">
        <v>89</v>
      </c>
      <c r="D405" s="156" t="s">
        <v>94</v>
      </c>
      <c r="E405" s="155">
        <v>7546947.0</v>
      </c>
      <c r="F405" s="156" t="s">
        <v>638</v>
      </c>
      <c r="G405" s="154">
        <v>46112.0</v>
      </c>
      <c r="H405" s="157">
        <v>46116.0</v>
      </c>
      <c r="I405" s="158">
        <v>4.0</v>
      </c>
      <c r="J405" s="159" t="s">
        <v>78</v>
      </c>
      <c r="K405" s="156" t="s">
        <v>79</v>
      </c>
      <c r="L405" s="156" t="s">
        <v>96</v>
      </c>
      <c r="M405" s="155">
        <v>0.0</v>
      </c>
      <c r="N405" s="160">
        <v>0.0</v>
      </c>
      <c r="O405" s="161">
        <v>0.0</v>
      </c>
      <c r="P405" s="161">
        <v>0.0</v>
      </c>
      <c r="Q405" s="159">
        <v>0.0</v>
      </c>
      <c r="R405" s="162">
        <v>0.0</v>
      </c>
      <c r="S405" s="162">
        <v>0.0</v>
      </c>
      <c r="T405" s="162">
        <v>0.0</v>
      </c>
      <c r="U405" s="163" t="s">
        <v>637</v>
      </c>
      <c r="V405" s="154">
        <v>45941.0</v>
      </c>
      <c r="W405" s="164"/>
      <c r="X405" s="164"/>
      <c r="Y405" s="164"/>
      <c r="Z405" s="164"/>
      <c r="AA405" s="164"/>
      <c r="AB405" s="164"/>
      <c r="AC405" s="164"/>
      <c r="AD405" s="164"/>
      <c r="AE405" s="164"/>
      <c r="AF405" s="164"/>
      <c r="AG405" s="164"/>
      <c r="AH405" s="164"/>
      <c r="AI405" s="164"/>
    </row>
    <row r="406">
      <c r="A406" s="165">
        <v>45911.0</v>
      </c>
      <c r="B406" s="166">
        <v>7546947.0</v>
      </c>
      <c r="C406" s="166" t="s">
        <v>89</v>
      </c>
      <c r="D406" s="166" t="s">
        <v>94</v>
      </c>
      <c r="E406" s="166">
        <v>7546947.0</v>
      </c>
      <c r="F406" s="166" t="s">
        <v>638</v>
      </c>
      <c r="G406" s="165">
        <v>46112.0</v>
      </c>
      <c r="H406" s="167">
        <v>46116.0</v>
      </c>
      <c r="I406" s="168">
        <v>4.0</v>
      </c>
      <c r="J406" s="169" t="s">
        <v>78</v>
      </c>
      <c r="K406" s="166" t="s">
        <v>79</v>
      </c>
      <c r="L406" s="166" t="s">
        <v>96</v>
      </c>
      <c r="M406" s="166">
        <v>0.0</v>
      </c>
      <c r="N406" s="170">
        <v>0.0</v>
      </c>
      <c r="O406" s="171">
        <v>0.0</v>
      </c>
      <c r="P406" s="171">
        <v>0.0</v>
      </c>
      <c r="Q406" s="172">
        <v>0.0</v>
      </c>
      <c r="R406" s="173">
        <v>0.0</v>
      </c>
      <c r="S406" s="173">
        <v>0.0</v>
      </c>
      <c r="T406" s="173">
        <v>0.0</v>
      </c>
      <c r="U406" s="201" t="s">
        <v>637</v>
      </c>
      <c r="V406" s="165">
        <v>45941.0</v>
      </c>
      <c r="W406" s="164"/>
      <c r="X406" s="164"/>
      <c r="Y406" s="164"/>
      <c r="Z406" s="164"/>
      <c r="AA406" s="164"/>
      <c r="AB406" s="164"/>
      <c r="AC406" s="164"/>
      <c r="AD406" s="164"/>
      <c r="AE406" s="164"/>
      <c r="AF406" s="164"/>
      <c r="AG406" s="164"/>
      <c r="AH406" s="164"/>
      <c r="AI406" s="164"/>
    </row>
    <row r="407">
      <c r="A407" s="165">
        <v>45911.0</v>
      </c>
      <c r="B407" s="166">
        <v>7546951.0</v>
      </c>
      <c r="C407" s="166" t="s">
        <v>89</v>
      </c>
      <c r="D407" s="166" t="s">
        <v>94</v>
      </c>
      <c r="E407" s="166">
        <v>7546951.0</v>
      </c>
      <c r="F407" s="166" t="s">
        <v>639</v>
      </c>
      <c r="G407" s="165">
        <v>46112.0</v>
      </c>
      <c r="H407" s="167">
        <v>46116.0</v>
      </c>
      <c r="I407" s="168">
        <v>4.0</v>
      </c>
      <c r="J407" s="169" t="s">
        <v>114</v>
      </c>
      <c r="K407" s="166" t="s">
        <v>79</v>
      </c>
      <c r="L407" s="166" t="s">
        <v>96</v>
      </c>
      <c r="M407" s="166">
        <v>0.0</v>
      </c>
      <c r="N407" s="170">
        <v>0.0</v>
      </c>
      <c r="O407" s="171">
        <v>0.0</v>
      </c>
      <c r="P407" s="171">
        <v>0.0</v>
      </c>
      <c r="Q407" s="172">
        <v>0.0</v>
      </c>
      <c r="R407" s="173">
        <v>0.0</v>
      </c>
      <c r="S407" s="173">
        <v>0.0</v>
      </c>
      <c r="T407" s="173">
        <v>0.0</v>
      </c>
      <c r="U407" s="174" t="s">
        <v>637</v>
      </c>
      <c r="V407" s="165">
        <v>45941.0</v>
      </c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5"/>
      <c r="AG407" s="175"/>
      <c r="AH407" s="175"/>
      <c r="AI407" s="175"/>
    </row>
    <row r="408">
      <c r="A408" s="154">
        <v>45911.0</v>
      </c>
      <c r="B408" s="155">
        <v>7546951.0</v>
      </c>
      <c r="C408" s="156" t="s">
        <v>89</v>
      </c>
      <c r="D408" s="156" t="s">
        <v>94</v>
      </c>
      <c r="E408" s="155">
        <v>7546951.0</v>
      </c>
      <c r="F408" s="156" t="s">
        <v>639</v>
      </c>
      <c r="G408" s="154">
        <v>46112.0</v>
      </c>
      <c r="H408" s="157">
        <v>46116.0</v>
      </c>
      <c r="I408" s="158">
        <v>4.0</v>
      </c>
      <c r="J408" s="159" t="s">
        <v>114</v>
      </c>
      <c r="K408" s="156" t="s">
        <v>79</v>
      </c>
      <c r="L408" s="156" t="s">
        <v>96</v>
      </c>
      <c r="M408" s="155">
        <v>0.0</v>
      </c>
      <c r="N408" s="160">
        <v>0.0</v>
      </c>
      <c r="O408" s="161">
        <v>0.0</v>
      </c>
      <c r="P408" s="161">
        <v>0.0</v>
      </c>
      <c r="Q408" s="203">
        <v>0.0</v>
      </c>
      <c r="R408" s="162">
        <v>0.0</v>
      </c>
      <c r="S408" s="162">
        <v>0.0</v>
      </c>
      <c r="T408" s="162">
        <v>0.0</v>
      </c>
      <c r="U408" s="163" t="s">
        <v>637</v>
      </c>
      <c r="V408" s="154">
        <v>45941.0</v>
      </c>
      <c r="W408" s="175"/>
      <c r="X408" s="175"/>
      <c r="Y408" s="175"/>
      <c r="Z408" s="175"/>
      <c r="AA408" s="175"/>
      <c r="AB408" s="175"/>
      <c r="AC408" s="175"/>
      <c r="AD408" s="175"/>
      <c r="AE408" s="175"/>
      <c r="AF408" s="175"/>
      <c r="AG408" s="175"/>
      <c r="AH408" s="175"/>
      <c r="AI408" s="175"/>
    </row>
    <row r="409">
      <c r="A409" s="176">
        <v>45955.0</v>
      </c>
      <c r="B409" s="177">
        <v>7727500.0</v>
      </c>
      <c r="C409" s="178" t="s">
        <v>82</v>
      </c>
      <c r="D409" s="178" t="s">
        <v>35</v>
      </c>
      <c r="E409" s="177">
        <v>5.188487524E9</v>
      </c>
      <c r="F409" s="178" t="s">
        <v>641</v>
      </c>
      <c r="G409" s="176">
        <v>46112.0</v>
      </c>
      <c r="H409" s="179">
        <v>46116.0</v>
      </c>
      <c r="I409" s="180">
        <v>4.0</v>
      </c>
      <c r="J409" s="181" t="s">
        <v>78</v>
      </c>
      <c r="K409" s="178" t="s">
        <v>79</v>
      </c>
      <c r="L409" s="178" t="s">
        <v>80</v>
      </c>
      <c r="M409" s="182">
        <v>2.0</v>
      </c>
      <c r="N409" s="181">
        <v>0.19999999999999996</v>
      </c>
      <c r="O409" s="184">
        <v>131.6</v>
      </c>
      <c r="P409" s="184">
        <v>105.28</v>
      </c>
      <c r="Q409" s="181">
        <v>0.0</v>
      </c>
      <c r="R409" s="186">
        <v>421.12</v>
      </c>
      <c r="S409" s="186">
        <v>0.0</v>
      </c>
      <c r="T409" s="162">
        <v>546.4</v>
      </c>
      <c r="U409" s="163" t="s">
        <v>107</v>
      </c>
      <c r="V409" s="154">
        <v>45955.0</v>
      </c>
      <c r="W409" s="175"/>
      <c r="X409" s="175"/>
      <c r="Y409" s="175"/>
      <c r="Z409" s="175"/>
      <c r="AA409" s="175"/>
      <c r="AB409" s="175"/>
      <c r="AC409" s="175"/>
      <c r="AD409" s="175"/>
      <c r="AE409" s="175"/>
      <c r="AF409" s="175"/>
      <c r="AG409" s="175"/>
      <c r="AH409" s="175"/>
      <c r="AI409" s="175"/>
    </row>
    <row r="410">
      <c r="A410" s="165">
        <v>45959.0</v>
      </c>
      <c r="B410" s="166">
        <v>7744501.0</v>
      </c>
      <c r="C410" s="166" t="s">
        <v>75</v>
      </c>
      <c r="D410" s="166" t="s">
        <v>35</v>
      </c>
      <c r="E410" s="166">
        <v>6.752134003E9</v>
      </c>
      <c r="F410" s="166" t="s">
        <v>642</v>
      </c>
      <c r="G410" s="165">
        <v>46112.0</v>
      </c>
      <c r="H410" s="167">
        <v>46113.0</v>
      </c>
      <c r="I410" s="168">
        <v>1.0</v>
      </c>
      <c r="J410" s="169" t="s">
        <v>87</v>
      </c>
      <c r="K410" s="166" t="s">
        <v>79</v>
      </c>
      <c r="L410" s="166" t="s">
        <v>80</v>
      </c>
      <c r="M410" s="166">
        <v>2.0</v>
      </c>
      <c r="N410" s="170">
        <v>0.19999999999999996</v>
      </c>
      <c r="O410" s="171">
        <v>182.08</v>
      </c>
      <c r="P410" s="171">
        <v>145.66400000000002</v>
      </c>
      <c r="Q410" s="172">
        <v>0.0</v>
      </c>
      <c r="R410" s="173">
        <v>145.66400000000002</v>
      </c>
      <c r="S410" s="173">
        <v>0.0</v>
      </c>
      <c r="T410" s="173">
        <v>187.08</v>
      </c>
      <c r="U410" s="201" t="s">
        <v>643</v>
      </c>
      <c r="V410" s="165">
        <v>45959.0</v>
      </c>
      <c r="W410" s="175"/>
      <c r="X410" s="175"/>
      <c r="Y410" s="175"/>
      <c r="Z410" s="175"/>
      <c r="AA410" s="175"/>
      <c r="AB410" s="175"/>
      <c r="AC410" s="175"/>
      <c r="AD410" s="175"/>
      <c r="AE410" s="175"/>
      <c r="AF410" s="175"/>
      <c r="AG410" s="175"/>
      <c r="AH410" s="175"/>
      <c r="AI410" s="175"/>
    </row>
    <row r="411">
      <c r="A411" s="165">
        <v>45966.0</v>
      </c>
      <c r="B411" s="166">
        <v>7768032.0</v>
      </c>
      <c r="C411" s="166" t="s">
        <v>82</v>
      </c>
      <c r="D411" s="166" t="s">
        <v>35</v>
      </c>
      <c r="E411" s="166">
        <v>6.89493778E9</v>
      </c>
      <c r="F411" s="166" t="s">
        <v>644</v>
      </c>
      <c r="G411" s="165">
        <v>46112.0</v>
      </c>
      <c r="H411" s="167">
        <v>46114.0</v>
      </c>
      <c r="I411" s="168">
        <v>2.0</v>
      </c>
      <c r="J411" s="169" t="s">
        <v>78</v>
      </c>
      <c r="K411" s="166" t="s">
        <v>79</v>
      </c>
      <c r="L411" s="166" t="s">
        <v>80</v>
      </c>
      <c r="M411" s="166">
        <v>2.0</v>
      </c>
      <c r="N411" s="170">
        <v>0.19999999999999996</v>
      </c>
      <c r="O411" s="171">
        <v>204.33</v>
      </c>
      <c r="P411" s="171">
        <v>163.46400000000003</v>
      </c>
      <c r="Q411" s="172">
        <v>0.0</v>
      </c>
      <c r="R411" s="173">
        <v>326.92800000000005</v>
      </c>
      <c r="S411" s="173">
        <v>0.0</v>
      </c>
      <c r="T411" s="173">
        <v>418.66</v>
      </c>
      <c r="U411" s="174" t="s">
        <v>353</v>
      </c>
      <c r="V411" s="165">
        <v>45966.0</v>
      </c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75"/>
      <c r="AI411" s="175"/>
    </row>
    <row r="412">
      <c r="A412" s="165">
        <v>46050.0</v>
      </c>
      <c r="B412" s="166">
        <v>8096276.0</v>
      </c>
      <c r="C412" s="166" t="s">
        <v>82</v>
      </c>
      <c r="D412" s="166" t="s">
        <v>35</v>
      </c>
      <c r="E412" s="166">
        <v>6.849054183E9</v>
      </c>
      <c r="F412" s="166" t="s">
        <v>645</v>
      </c>
      <c r="G412" s="165">
        <v>46112.0</v>
      </c>
      <c r="H412" s="167">
        <v>46115.0</v>
      </c>
      <c r="I412" s="168">
        <v>3.0</v>
      </c>
      <c r="J412" s="169" t="s">
        <v>78</v>
      </c>
      <c r="K412" s="166" t="s">
        <v>79</v>
      </c>
      <c r="L412" s="166" t="s">
        <v>80</v>
      </c>
      <c r="M412" s="166">
        <v>3.0</v>
      </c>
      <c r="N412" s="170">
        <v>0.19999999999999996</v>
      </c>
      <c r="O412" s="171">
        <v>189.78</v>
      </c>
      <c r="P412" s="171">
        <v>151.824</v>
      </c>
      <c r="Q412" s="172">
        <v>0.0</v>
      </c>
      <c r="R412" s="173">
        <v>455.47200000000004</v>
      </c>
      <c r="S412" s="173">
        <v>0.0</v>
      </c>
      <c r="T412" s="173">
        <v>591.84</v>
      </c>
      <c r="U412" s="174" t="s">
        <v>161</v>
      </c>
      <c r="V412" s="165">
        <v>46050.0</v>
      </c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  <c r="AG412" s="164"/>
      <c r="AH412" s="164"/>
      <c r="AI412" s="164"/>
    </row>
    <row r="413">
      <c r="A413" s="176">
        <v>46075.0</v>
      </c>
      <c r="B413" s="177">
        <v>8206030.0</v>
      </c>
      <c r="C413" s="178" t="s">
        <v>82</v>
      </c>
      <c r="D413" s="178" t="s">
        <v>35</v>
      </c>
      <c r="E413" s="177">
        <v>6.494606412E9</v>
      </c>
      <c r="F413" s="178" t="s">
        <v>647</v>
      </c>
      <c r="G413" s="176">
        <v>46112.0</v>
      </c>
      <c r="H413" s="179">
        <v>46113.0</v>
      </c>
      <c r="I413" s="180">
        <v>1.0</v>
      </c>
      <c r="J413" s="181" t="s">
        <v>111</v>
      </c>
      <c r="K413" s="178" t="s">
        <v>79</v>
      </c>
      <c r="L413" s="178" t="s">
        <v>80</v>
      </c>
      <c r="M413" s="182">
        <v>2.0</v>
      </c>
      <c r="N413" s="183">
        <v>0.19999999999999996</v>
      </c>
      <c r="O413" s="184">
        <v>242.06</v>
      </c>
      <c r="P413" s="184">
        <v>193.64800000000002</v>
      </c>
      <c r="Q413" s="185">
        <v>0.0</v>
      </c>
      <c r="R413" s="186">
        <v>193.64800000000002</v>
      </c>
      <c r="S413" s="186">
        <v>0.0</v>
      </c>
      <c r="T413" s="186">
        <v>247.06</v>
      </c>
      <c r="U413" s="187" t="s">
        <v>316</v>
      </c>
      <c r="V413" s="176">
        <v>46075.0</v>
      </c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64"/>
    </row>
    <row r="414">
      <c r="A414" s="154">
        <v>45934.0</v>
      </c>
      <c r="B414" s="155">
        <v>7642897.0</v>
      </c>
      <c r="C414" s="156" t="s">
        <v>82</v>
      </c>
      <c r="D414" s="156" t="s">
        <v>35</v>
      </c>
      <c r="E414" s="155">
        <v>5.571976212E9</v>
      </c>
      <c r="F414" s="156" t="s">
        <v>648</v>
      </c>
      <c r="G414" s="154">
        <v>46113.0</v>
      </c>
      <c r="H414" s="157">
        <v>46118.0</v>
      </c>
      <c r="I414" s="158">
        <v>5.0</v>
      </c>
      <c r="J414" s="159" t="s">
        <v>111</v>
      </c>
      <c r="K414" s="156" t="s">
        <v>79</v>
      </c>
      <c r="L414" s="156" t="s">
        <v>80</v>
      </c>
      <c r="M414" s="202">
        <v>2.0</v>
      </c>
      <c r="N414" s="160">
        <v>0.19999999999999996</v>
      </c>
      <c r="O414" s="161">
        <v>175.56</v>
      </c>
      <c r="P414" s="161">
        <v>140.448</v>
      </c>
      <c r="Q414" s="203">
        <v>0.0</v>
      </c>
      <c r="R414" s="162">
        <v>702.24</v>
      </c>
      <c r="S414" s="162">
        <v>0.0</v>
      </c>
      <c r="T414" s="162">
        <v>902.8</v>
      </c>
      <c r="U414" s="163" t="s">
        <v>107</v>
      </c>
      <c r="V414" s="154">
        <v>45934.0</v>
      </c>
      <c r="W414" s="175"/>
      <c r="X414" s="175"/>
      <c r="Y414" s="175"/>
      <c r="Z414" s="175"/>
      <c r="AA414" s="175"/>
      <c r="AB414" s="175"/>
      <c r="AC414" s="175"/>
      <c r="AD414" s="175"/>
      <c r="AE414" s="175"/>
      <c r="AF414" s="175"/>
      <c r="AG414" s="175"/>
      <c r="AH414" s="175"/>
      <c r="AI414" s="175"/>
    </row>
    <row r="415">
      <c r="A415" s="216">
        <v>45973.0</v>
      </c>
      <c r="B415" s="155">
        <v>7797907.0</v>
      </c>
      <c r="C415" s="156" t="s">
        <v>82</v>
      </c>
      <c r="D415" s="156" t="s">
        <v>94</v>
      </c>
      <c r="E415" s="155">
        <v>7797907.0</v>
      </c>
      <c r="F415" s="156" t="s">
        <v>649</v>
      </c>
      <c r="G415" s="154">
        <v>46113.0</v>
      </c>
      <c r="H415" s="157">
        <v>46115.0</v>
      </c>
      <c r="I415" s="158">
        <v>2.0</v>
      </c>
      <c r="J415" s="159" t="s">
        <v>114</v>
      </c>
      <c r="K415" s="156" t="s">
        <v>79</v>
      </c>
      <c r="L415" s="156" t="s">
        <v>96</v>
      </c>
      <c r="M415" s="155">
        <v>2.0</v>
      </c>
      <c r="N415" s="160">
        <v>0.0</v>
      </c>
      <c r="O415" s="161">
        <v>270.0</v>
      </c>
      <c r="P415" s="161">
        <v>270.0</v>
      </c>
      <c r="Q415" s="203">
        <v>0.0</v>
      </c>
      <c r="R415" s="162">
        <v>540.0</v>
      </c>
      <c r="S415" s="162">
        <v>0.0</v>
      </c>
      <c r="T415" s="162">
        <v>1100.0</v>
      </c>
      <c r="U415" s="163" t="s">
        <v>97</v>
      </c>
      <c r="V415" s="154">
        <v>45973.0</v>
      </c>
      <c r="W415" s="175"/>
      <c r="X415" s="175"/>
      <c r="Y415" s="175"/>
      <c r="Z415" s="175"/>
      <c r="AA415" s="175"/>
      <c r="AB415" s="175"/>
      <c r="AC415" s="175"/>
      <c r="AD415" s="175"/>
      <c r="AE415" s="175"/>
      <c r="AF415" s="175"/>
      <c r="AG415" s="175"/>
      <c r="AH415" s="175"/>
      <c r="AI415" s="175"/>
    </row>
    <row r="416">
      <c r="A416" s="176">
        <v>45973.0</v>
      </c>
      <c r="B416" s="177">
        <v>7797907.0</v>
      </c>
      <c r="C416" s="178" t="s">
        <v>82</v>
      </c>
      <c r="D416" s="178" t="s">
        <v>94</v>
      </c>
      <c r="E416" s="177">
        <v>7797907.0</v>
      </c>
      <c r="F416" s="178" t="s">
        <v>649</v>
      </c>
      <c r="G416" s="176">
        <v>46113.0</v>
      </c>
      <c r="H416" s="179">
        <v>46115.0</v>
      </c>
      <c r="I416" s="180">
        <v>2.0</v>
      </c>
      <c r="J416" s="181" t="s">
        <v>114</v>
      </c>
      <c r="K416" s="178" t="s">
        <v>79</v>
      </c>
      <c r="L416" s="178" t="s">
        <v>96</v>
      </c>
      <c r="M416" s="182">
        <v>2.0</v>
      </c>
      <c r="N416" s="183">
        <v>0.0</v>
      </c>
      <c r="O416" s="184">
        <v>270.0</v>
      </c>
      <c r="P416" s="184">
        <v>270.0</v>
      </c>
      <c r="Q416" s="185">
        <v>0.0</v>
      </c>
      <c r="R416" s="186">
        <v>540.0</v>
      </c>
      <c r="S416" s="186">
        <v>0.0</v>
      </c>
      <c r="T416" s="186">
        <v>1100.0</v>
      </c>
      <c r="U416" s="187" t="s">
        <v>97</v>
      </c>
      <c r="V416" s="176">
        <v>45973.0</v>
      </c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  <c r="AG416" s="164"/>
      <c r="AH416" s="164"/>
      <c r="AI416" s="164"/>
    </row>
    <row r="417">
      <c r="A417" s="190">
        <v>46039.0</v>
      </c>
      <c r="B417" s="191">
        <v>8047994.0</v>
      </c>
      <c r="C417" s="192" t="s">
        <v>89</v>
      </c>
      <c r="D417" s="192" t="s">
        <v>35</v>
      </c>
      <c r="E417" s="191">
        <v>6.236122696E9</v>
      </c>
      <c r="F417" s="192" t="s">
        <v>651</v>
      </c>
      <c r="G417" s="190">
        <v>46113.0</v>
      </c>
      <c r="H417" s="193">
        <v>46114.0</v>
      </c>
      <c r="I417" s="194">
        <v>1.0</v>
      </c>
      <c r="J417" s="195" t="s">
        <v>87</v>
      </c>
      <c r="K417" s="192" t="s">
        <v>79</v>
      </c>
      <c r="L417" s="192" t="s">
        <v>80</v>
      </c>
      <c r="M417" s="211">
        <v>0.0</v>
      </c>
      <c r="N417" s="196">
        <v>0.0</v>
      </c>
      <c r="O417" s="197">
        <v>0.0</v>
      </c>
      <c r="P417" s="197">
        <v>0.0</v>
      </c>
      <c r="Q417" s="198">
        <v>0.0</v>
      </c>
      <c r="R417" s="199">
        <v>0.0</v>
      </c>
      <c r="S417" s="199">
        <v>0.0</v>
      </c>
      <c r="T417" s="199">
        <v>0.0</v>
      </c>
      <c r="U417" s="200" t="s">
        <v>652</v>
      </c>
      <c r="V417" s="190">
        <v>46094.0</v>
      </c>
      <c r="W417" s="164"/>
      <c r="X417" s="164"/>
      <c r="Y417" s="164"/>
      <c r="Z417" s="164"/>
      <c r="AA417" s="164"/>
      <c r="AB417" s="164"/>
      <c r="AC417" s="164"/>
      <c r="AD417" s="164"/>
      <c r="AE417" s="164"/>
      <c r="AF417" s="164"/>
      <c r="AG417" s="164"/>
      <c r="AH417" s="164"/>
      <c r="AI417" s="164"/>
    </row>
    <row r="418">
      <c r="A418" s="176">
        <v>46040.0</v>
      </c>
      <c r="B418" s="177">
        <v>8050329.0</v>
      </c>
      <c r="C418" s="178" t="s">
        <v>82</v>
      </c>
      <c r="D418" s="178" t="s">
        <v>35</v>
      </c>
      <c r="E418" s="177">
        <v>6.490659828E9</v>
      </c>
      <c r="F418" s="178" t="s">
        <v>653</v>
      </c>
      <c r="G418" s="176">
        <v>46113.0</v>
      </c>
      <c r="H418" s="179">
        <v>46114.0</v>
      </c>
      <c r="I418" s="180">
        <v>1.0</v>
      </c>
      <c r="J418" s="181" t="s">
        <v>91</v>
      </c>
      <c r="K418" s="178" t="s">
        <v>79</v>
      </c>
      <c r="L418" s="178" t="s">
        <v>80</v>
      </c>
      <c r="M418" s="182">
        <v>5.0</v>
      </c>
      <c r="N418" s="181">
        <v>0.19999999999999996</v>
      </c>
      <c r="O418" s="184">
        <v>448.62</v>
      </c>
      <c r="P418" s="184">
        <v>358.896</v>
      </c>
      <c r="Q418" s="181">
        <v>0.0</v>
      </c>
      <c r="R418" s="186">
        <v>358.896</v>
      </c>
      <c r="S418" s="186">
        <v>0.0</v>
      </c>
      <c r="T418" s="186">
        <v>461.12</v>
      </c>
      <c r="U418" s="187" t="s">
        <v>107</v>
      </c>
      <c r="V418" s="176">
        <v>46040.0</v>
      </c>
      <c r="W418" s="175"/>
      <c r="X418" s="175"/>
      <c r="Y418" s="175"/>
      <c r="Z418" s="175"/>
      <c r="AA418" s="175"/>
      <c r="AB418" s="175"/>
      <c r="AC418" s="175"/>
      <c r="AD418" s="175"/>
      <c r="AE418" s="175"/>
      <c r="AF418" s="175"/>
      <c r="AG418" s="175"/>
      <c r="AH418" s="175"/>
      <c r="AI418" s="175"/>
    </row>
    <row r="419">
      <c r="A419" s="176">
        <v>46041.0</v>
      </c>
      <c r="B419" s="177">
        <v>8056492.0</v>
      </c>
      <c r="C419" s="178" t="s">
        <v>82</v>
      </c>
      <c r="D419" s="178" t="s">
        <v>35</v>
      </c>
      <c r="E419" s="177">
        <v>5.30909853E9</v>
      </c>
      <c r="F419" s="178" t="s">
        <v>654</v>
      </c>
      <c r="G419" s="176">
        <v>46113.0</v>
      </c>
      <c r="H419" s="179">
        <v>46114.0</v>
      </c>
      <c r="I419" s="180">
        <v>1.0</v>
      </c>
      <c r="J419" s="181" t="s">
        <v>78</v>
      </c>
      <c r="K419" s="178" t="s">
        <v>79</v>
      </c>
      <c r="L419" s="178" t="s">
        <v>80</v>
      </c>
      <c r="M419" s="182">
        <v>2.0</v>
      </c>
      <c r="N419" s="181">
        <v>0.19999999999999996</v>
      </c>
      <c r="O419" s="184">
        <v>163.04</v>
      </c>
      <c r="P419" s="184">
        <v>130.432</v>
      </c>
      <c r="Q419" s="181">
        <v>0.0</v>
      </c>
      <c r="R419" s="186">
        <v>130.432</v>
      </c>
      <c r="S419" s="186">
        <v>0.0</v>
      </c>
      <c r="T419" s="186">
        <v>168.04</v>
      </c>
      <c r="U419" s="187" t="s">
        <v>107</v>
      </c>
      <c r="V419" s="176">
        <v>46041.0</v>
      </c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75"/>
      <c r="AG419" s="175"/>
      <c r="AH419" s="175"/>
      <c r="AI419" s="175"/>
    </row>
    <row r="420">
      <c r="A420" s="165">
        <v>46045.0</v>
      </c>
      <c r="B420" s="166">
        <v>8071193.0</v>
      </c>
      <c r="C420" s="166" t="s">
        <v>89</v>
      </c>
      <c r="D420" s="166" t="s">
        <v>35</v>
      </c>
      <c r="E420" s="166">
        <v>5.322131697E9</v>
      </c>
      <c r="F420" s="166" t="s">
        <v>655</v>
      </c>
      <c r="G420" s="165">
        <v>46113.0</v>
      </c>
      <c r="H420" s="167">
        <v>46115.0</v>
      </c>
      <c r="I420" s="168">
        <v>2.0</v>
      </c>
      <c r="J420" s="169" t="s">
        <v>78</v>
      </c>
      <c r="K420" s="166" t="s">
        <v>79</v>
      </c>
      <c r="L420" s="166" t="s">
        <v>80</v>
      </c>
      <c r="M420" s="166">
        <v>0.0</v>
      </c>
      <c r="N420" s="170">
        <v>0.0</v>
      </c>
      <c r="O420" s="171">
        <v>0.0</v>
      </c>
      <c r="P420" s="171">
        <v>0.0</v>
      </c>
      <c r="Q420" s="172">
        <v>0.0</v>
      </c>
      <c r="R420" s="173">
        <v>0.0</v>
      </c>
      <c r="S420" s="173">
        <v>0.0</v>
      </c>
      <c r="T420" s="173">
        <v>0.0</v>
      </c>
      <c r="U420" s="174" t="s">
        <v>656</v>
      </c>
      <c r="V420" s="165">
        <v>46086.0</v>
      </c>
      <c r="W420" s="175"/>
      <c r="X420" s="175"/>
      <c r="Y420" s="175"/>
      <c r="Z420" s="175"/>
      <c r="AA420" s="175"/>
      <c r="AB420" s="175"/>
      <c r="AC420" s="175"/>
      <c r="AD420" s="175"/>
      <c r="AE420" s="175"/>
      <c r="AF420" s="175"/>
      <c r="AG420" s="175"/>
      <c r="AH420" s="175"/>
      <c r="AI420" s="175"/>
    </row>
    <row r="421">
      <c r="A421" s="165">
        <v>46063.0</v>
      </c>
      <c r="B421" s="166">
        <v>8156668.0</v>
      </c>
      <c r="C421" s="166" t="s">
        <v>82</v>
      </c>
      <c r="D421" s="166" t="s">
        <v>35</v>
      </c>
      <c r="E421" s="166">
        <v>6.136170585E9</v>
      </c>
      <c r="F421" s="166" t="s">
        <v>657</v>
      </c>
      <c r="G421" s="165">
        <v>46113.0</v>
      </c>
      <c r="H421" s="167">
        <v>46115.0</v>
      </c>
      <c r="I421" s="168">
        <v>2.0</v>
      </c>
      <c r="J421" s="169" t="s">
        <v>111</v>
      </c>
      <c r="K421" s="166" t="s">
        <v>79</v>
      </c>
      <c r="L421" s="166" t="s">
        <v>80</v>
      </c>
      <c r="M421" s="166">
        <v>2.0</v>
      </c>
      <c r="N421" s="170">
        <v>0.19999999999999996</v>
      </c>
      <c r="O421" s="171">
        <v>258.74</v>
      </c>
      <c r="P421" s="171">
        <v>206.99200000000002</v>
      </c>
      <c r="Q421" s="172">
        <v>0.0</v>
      </c>
      <c r="R421" s="173">
        <v>413.98400000000004</v>
      </c>
      <c r="S421" s="173">
        <v>0.0</v>
      </c>
      <c r="T421" s="173">
        <v>527.48</v>
      </c>
      <c r="U421" s="174" t="s">
        <v>353</v>
      </c>
      <c r="V421" s="165">
        <v>46063.0</v>
      </c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</row>
    <row r="422">
      <c r="A422" s="154">
        <v>45821.0</v>
      </c>
      <c r="B422" s="155">
        <v>7145261.0</v>
      </c>
      <c r="C422" s="156" t="s">
        <v>89</v>
      </c>
      <c r="D422" s="156" t="s">
        <v>101</v>
      </c>
      <c r="E422" s="155">
        <v>2.220283681E9</v>
      </c>
      <c r="F422" s="156" t="s">
        <v>659</v>
      </c>
      <c r="G422" s="154">
        <v>46114.0</v>
      </c>
      <c r="H422" s="157">
        <v>46116.0</v>
      </c>
      <c r="I422" s="158">
        <v>2.0</v>
      </c>
      <c r="J422" s="159" t="s">
        <v>78</v>
      </c>
      <c r="K422" s="156"/>
      <c r="L422" s="156"/>
      <c r="M422" s="155">
        <v>0.0</v>
      </c>
      <c r="N422" s="160">
        <v>0.0</v>
      </c>
      <c r="O422" s="161">
        <v>0.0</v>
      </c>
      <c r="P422" s="161">
        <v>0.0</v>
      </c>
      <c r="Q422" s="203">
        <v>0.0</v>
      </c>
      <c r="R422" s="162">
        <v>0.0</v>
      </c>
      <c r="S422" s="162">
        <v>0.0</v>
      </c>
      <c r="T422" s="162">
        <v>0.0</v>
      </c>
      <c r="U422" s="163" t="s">
        <v>660</v>
      </c>
      <c r="V422" s="154">
        <v>45821.0</v>
      </c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164"/>
      <c r="AI422" s="164"/>
    </row>
    <row r="423">
      <c r="A423" s="154">
        <v>45821.0</v>
      </c>
      <c r="B423" s="155">
        <v>7145262.0</v>
      </c>
      <c r="C423" s="156" t="s">
        <v>89</v>
      </c>
      <c r="D423" s="156" t="s">
        <v>101</v>
      </c>
      <c r="E423" s="155">
        <v>2.220283684E9</v>
      </c>
      <c r="F423" s="156" t="s">
        <v>659</v>
      </c>
      <c r="G423" s="154">
        <v>46114.0</v>
      </c>
      <c r="H423" s="157">
        <v>46116.0</v>
      </c>
      <c r="I423" s="158">
        <v>2.0</v>
      </c>
      <c r="J423" s="159" t="s">
        <v>78</v>
      </c>
      <c r="K423" s="156"/>
      <c r="L423" s="156"/>
      <c r="M423" s="202">
        <v>0.0</v>
      </c>
      <c r="N423" s="160">
        <v>0.0</v>
      </c>
      <c r="O423" s="161">
        <v>0.0</v>
      </c>
      <c r="P423" s="161">
        <v>0.0</v>
      </c>
      <c r="Q423" s="203">
        <v>0.0</v>
      </c>
      <c r="R423" s="162">
        <v>0.0</v>
      </c>
      <c r="S423" s="162">
        <v>0.0</v>
      </c>
      <c r="T423" s="162">
        <v>0.0</v>
      </c>
      <c r="U423" s="163" t="s">
        <v>660</v>
      </c>
      <c r="V423" s="154">
        <v>45821.0</v>
      </c>
      <c r="W423" s="175"/>
      <c r="X423" s="175"/>
      <c r="Y423" s="175"/>
      <c r="Z423" s="175"/>
      <c r="AA423" s="175"/>
      <c r="AB423" s="175"/>
      <c r="AC423" s="175"/>
      <c r="AD423" s="175"/>
      <c r="AE423" s="175"/>
      <c r="AF423" s="175"/>
      <c r="AG423" s="175"/>
      <c r="AH423" s="175"/>
      <c r="AI423" s="175"/>
    </row>
    <row r="424">
      <c r="A424" s="154">
        <v>45821.0</v>
      </c>
      <c r="B424" s="155">
        <v>7145333.0</v>
      </c>
      <c r="C424" s="156" t="s">
        <v>75</v>
      </c>
      <c r="D424" s="156" t="s">
        <v>101</v>
      </c>
      <c r="E424" s="155">
        <v>2.220291018E9</v>
      </c>
      <c r="F424" s="156" t="s">
        <v>659</v>
      </c>
      <c r="G424" s="154">
        <v>46114.0</v>
      </c>
      <c r="H424" s="157">
        <v>46116.0</v>
      </c>
      <c r="I424" s="158">
        <v>2.0</v>
      </c>
      <c r="J424" s="159" t="s">
        <v>87</v>
      </c>
      <c r="K424" s="156"/>
      <c r="L424" s="156"/>
      <c r="M424" s="155">
        <v>2.0</v>
      </c>
      <c r="N424" s="160">
        <v>0.0</v>
      </c>
      <c r="O424" s="161">
        <v>0.0</v>
      </c>
      <c r="P424" s="161">
        <v>0.0</v>
      </c>
      <c r="Q424" s="203">
        <v>0.0</v>
      </c>
      <c r="R424" s="162">
        <v>0.0</v>
      </c>
      <c r="S424" s="162">
        <v>0.0</v>
      </c>
      <c r="T424" s="162">
        <v>0.0</v>
      </c>
      <c r="U424" s="163" t="s">
        <v>661</v>
      </c>
      <c r="V424" s="154">
        <v>45821.0</v>
      </c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</row>
    <row r="425">
      <c r="A425" s="154">
        <v>45821.0</v>
      </c>
      <c r="B425" s="155">
        <v>7146766.0</v>
      </c>
      <c r="C425" s="156" t="s">
        <v>75</v>
      </c>
      <c r="D425" s="156" t="s">
        <v>101</v>
      </c>
      <c r="E425" s="155">
        <v>2.220491644E9</v>
      </c>
      <c r="F425" s="156" t="s">
        <v>662</v>
      </c>
      <c r="G425" s="154">
        <v>46114.0</v>
      </c>
      <c r="H425" s="157">
        <v>46116.0</v>
      </c>
      <c r="I425" s="158">
        <v>2.0</v>
      </c>
      <c r="J425" s="159" t="s">
        <v>78</v>
      </c>
      <c r="K425" s="156"/>
      <c r="L425" s="156"/>
      <c r="M425" s="155">
        <v>2.0</v>
      </c>
      <c r="N425" s="160">
        <v>0.0</v>
      </c>
      <c r="O425" s="161">
        <v>0.0</v>
      </c>
      <c r="P425" s="161">
        <v>0.0</v>
      </c>
      <c r="Q425" s="203">
        <v>0.0</v>
      </c>
      <c r="R425" s="162">
        <v>0.0</v>
      </c>
      <c r="S425" s="162">
        <v>0.0</v>
      </c>
      <c r="T425" s="162">
        <v>0.0</v>
      </c>
      <c r="U425" s="163" t="s">
        <v>661</v>
      </c>
      <c r="V425" s="154">
        <v>45821.0</v>
      </c>
      <c r="W425" s="175"/>
      <c r="X425" s="175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75"/>
      <c r="AI425" s="175"/>
    </row>
    <row r="426">
      <c r="A426" s="165">
        <v>45923.0</v>
      </c>
      <c r="B426" s="166">
        <v>7595675.0</v>
      </c>
      <c r="C426" s="166" t="s">
        <v>82</v>
      </c>
      <c r="D426" s="166" t="s">
        <v>35</v>
      </c>
      <c r="E426" s="166">
        <v>6.536068835E9</v>
      </c>
      <c r="F426" s="166" t="s">
        <v>653</v>
      </c>
      <c r="G426" s="165">
        <v>46114.0</v>
      </c>
      <c r="H426" s="167">
        <v>46117.0</v>
      </c>
      <c r="I426" s="168">
        <v>3.0</v>
      </c>
      <c r="J426" s="169" t="s">
        <v>91</v>
      </c>
      <c r="K426" s="166" t="s">
        <v>79</v>
      </c>
      <c r="L426" s="166" t="s">
        <v>80</v>
      </c>
      <c r="M426" s="166">
        <v>5.0</v>
      </c>
      <c r="N426" s="170">
        <v>0.19999999999999996</v>
      </c>
      <c r="O426" s="171">
        <v>462.32</v>
      </c>
      <c r="P426" s="171">
        <v>369.856</v>
      </c>
      <c r="Q426" s="172">
        <v>0.0</v>
      </c>
      <c r="R426" s="173">
        <v>1109.568</v>
      </c>
      <c r="S426" s="173">
        <v>0.0</v>
      </c>
      <c r="T426" s="162">
        <v>1424.46</v>
      </c>
      <c r="U426" s="163" t="s">
        <v>353</v>
      </c>
      <c r="V426" s="154">
        <v>45923.0</v>
      </c>
      <c r="W426" s="175"/>
      <c r="X426" s="175"/>
      <c r="Y426" s="175"/>
      <c r="Z426" s="175"/>
      <c r="AA426" s="175"/>
      <c r="AB426" s="175"/>
      <c r="AC426" s="175"/>
      <c r="AD426" s="175"/>
      <c r="AE426" s="175"/>
      <c r="AF426" s="175"/>
      <c r="AG426" s="175"/>
      <c r="AH426" s="175"/>
      <c r="AI426" s="175"/>
    </row>
    <row r="427">
      <c r="A427" s="154">
        <v>45958.0</v>
      </c>
      <c r="B427" s="155">
        <v>7740463.0</v>
      </c>
      <c r="C427" s="156" t="s">
        <v>89</v>
      </c>
      <c r="D427" s="156" t="s">
        <v>35</v>
      </c>
      <c r="E427" s="155">
        <v>5.940473433E9</v>
      </c>
      <c r="F427" s="156" t="s">
        <v>664</v>
      </c>
      <c r="G427" s="154">
        <v>46114.0</v>
      </c>
      <c r="H427" s="157">
        <v>46118.0</v>
      </c>
      <c r="I427" s="158">
        <v>4.0</v>
      </c>
      <c r="J427" s="159" t="s">
        <v>78</v>
      </c>
      <c r="K427" s="156" t="s">
        <v>138</v>
      </c>
      <c r="L427" s="156" t="s">
        <v>80</v>
      </c>
      <c r="M427" s="155">
        <v>0.0</v>
      </c>
      <c r="N427" s="160">
        <v>0.0</v>
      </c>
      <c r="O427" s="161">
        <v>0.0</v>
      </c>
      <c r="P427" s="161">
        <v>0.0</v>
      </c>
      <c r="Q427" s="203">
        <v>0.0</v>
      </c>
      <c r="R427" s="162">
        <v>0.0</v>
      </c>
      <c r="S427" s="162">
        <v>0.0</v>
      </c>
      <c r="T427" s="162">
        <v>0.0</v>
      </c>
      <c r="U427" s="163" t="s">
        <v>665</v>
      </c>
      <c r="V427" s="154">
        <v>45970.0</v>
      </c>
      <c r="W427" s="175"/>
      <c r="X427" s="175"/>
      <c r="Y427" s="175"/>
      <c r="Z427" s="175"/>
      <c r="AA427" s="175"/>
      <c r="AB427" s="175"/>
      <c r="AC427" s="175"/>
      <c r="AD427" s="175"/>
      <c r="AE427" s="175"/>
      <c r="AF427" s="175"/>
      <c r="AG427" s="175"/>
      <c r="AH427" s="175"/>
      <c r="AI427" s="175"/>
    </row>
    <row r="428">
      <c r="A428" s="165">
        <v>45978.0</v>
      </c>
      <c r="B428" s="166">
        <v>7816584.0</v>
      </c>
      <c r="C428" s="166" t="s">
        <v>82</v>
      </c>
      <c r="D428" s="166" t="s">
        <v>35</v>
      </c>
      <c r="E428" s="166">
        <v>6.171749981E9</v>
      </c>
      <c r="F428" s="166" t="s">
        <v>666</v>
      </c>
      <c r="G428" s="165">
        <v>46114.0</v>
      </c>
      <c r="H428" s="167">
        <v>46118.0</v>
      </c>
      <c r="I428" s="168">
        <v>4.0</v>
      </c>
      <c r="J428" s="169" t="s">
        <v>78</v>
      </c>
      <c r="K428" s="166" t="s">
        <v>79</v>
      </c>
      <c r="L428" s="166" t="s">
        <v>80</v>
      </c>
      <c r="M428" s="166">
        <v>2.0</v>
      </c>
      <c r="N428" s="170">
        <v>0.19999999999999996</v>
      </c>
      <c r="O428" s="171">
        <v>169.14</v>
      </c>
      <c r="P428" s="171">
        <v>135.31199999999998</v>
      </c>
      <c r="Q428" s="172">
        <v>0.0</v>
      </c>
      <c r="R428" s="173">
        <v>541.2479999999999</v>
      </c>
      <c r="S428" s="173">
        <v>0.0</v>
      </c>
      <c r="T428" s="173">
        <v>696.56</v>
      </c>
      <c r="U428" s="201" t="s">
        <v>161</v>
      </c>
      <c r="V428" s="165">
        <v>45978.0</v>
      </c>
      <c r="W428" s="175"/>
      <c r="X428" s="175"/>
      <c r="Y428" s="175"/>
      <c r="Z428" s="175"/>
      <c r="AA428" s="175"/>
      <c r="AB428" s="175"/>
      <c r="AC428" s="175"/>
      <c r="AD428" s="175"/>
      <c r="AE428" s="175"/>
      <c r="AF428" s="175"/>
      <c r="AG428" s="175"/>
      <c r="AH428" s="175"/>
      <c r="AI428" s="175"/>
    </row>
    <row r="429">
      <c r="A429" s="176">
        <v>45860.0</v>
      </c>
      <c r="B429" s="177">
        <v>7313274.0</v>
      </c>
      <c r="C429" s="178" t="s">
        <v>82</v>
      </c>
      <c r="D429" s="178" t="s">
        <v>94</v>
      </c>
      <c r="E429" s="177">
        <v>7313274.0</v>
      </c>
      <c r="F429" s="178" t="s">
        <v>667</v>
      </c>
      <c r="G429" s="176">
        <v>46115.0</v>
      </c>
      <c r="H429" s="179">
        <v>46118.0</v>
      </c>
      <c r="I429" s="180">
        <v>3.0</v>
      </c>
      <c r="J429" s="181" t="s">
        <v>111</v>
      </c>
      <c r="K429" s="178" t="s">
        <v>79</v>
      </c>
      <c r="L429" s="178" t="s">
        <v>96</v>
      </c>
      <c r="M429" s="177">
        <v>2.0</v>
      </c>
      <c r="N429" s="183">
        <v>0.0</v>
      </c>
      <c r="O429" s="184">
        <v>229.18666666666664</v>
      </c>
      <c r="P429" s="184">
        <v>229.18666666666664</v>
      </c>
      <c r="Q429" s="185">
        <v>0.0</v>
      </c>
      <c r="R429" s="186">
        <v>687.56</v>
      </c>
      <c r="S429" s="186">
        <v>0.0</v>
      </c>
      <c r="T429" s="186">
        <v>702.56</v>
      </c>
      <c r="U429" s="187" t="s">
        <v>97</v>
      </c>
      <c r="V429" s="176">
        <v>45860.0</v>
      </c>
      <c r="W429" s="175"/>
      <c r="X429" s="175"/>
      <c r="Y429" s="175"/>
      <c r="Z429" s="175"/>
      <c r="AA429" s="175"/>
      <c r="AB429" s="175"/>
      <c r="AC429" s="175"/>
      <c r="AD429" s="175"/>
      <c r="AE429" s="175"/>
      <c r="AF429" s="175"/>
      <c r="AG429" s="175"/>
      <c r="AH429" s="175"/>
      <c r="AI429" s="175"/>
    </row>
    <row r="430">
      <c r="A430" s="165">
        <v>45949.0</v>
      </c>
      <c r="B430" s="166">
        <v>7702091.0</v>
      </c>
      <c r="C430" s="166" t="s">
        <v>82</v>
      </c>
      <c r="D430" s="166" t="s">
        <v>35</v>
      </c>
      <c r="E430" s="166">
        <v>5.72004569E9</v>
      </c>
      <c r="F430" s="166" t="s">
        <v>669</v>
      </c>
      <c r="G430" s="165">
        <v>46115.0</v>
      </c>
      <c r="H430" s="167">
        <v>46118.0</v>
      </c>
      <c r="I430" s="168">
        <v>3.0</v>
      </c>
      <c r="J430" s="169" t="s">
        <v>114</v>
      </c>
      <c r="K430" s="166" t="s">
        <v>79</v>
      </c>
      <c r="L430" s="166" t="s">
        <v>80</v>
      </c>
      <c r="M430" s="166">
        <v>2.0</v>
      </c>
      <c r="N430" s="170">
        <v>0.19999999999999996</v>
      </c>
      <c r="O430" s="171">
        <v>170.15</v>
      </c>
      <c r="P430" s="171">
        <v>136.12</v>
      </c>
      <c r="Q430" s="172">
        <v>0.0</v>
      </c>
      <c r="R430" s="173">
        <v>408.36</v>
      </c>
      <c r="S430" s="173">
        <v>0.0</v>
      </c>
      <c r="T430" s="173">
        <v>1474.23</v>
      </c>
      <c r="U430" s="174" t="s">
        <v>161</v>
      </c>
      <c r="V430" s="165">
        <v>45949.0</v>
      </c>
      <c r="W430" s="175"/>
      <c r="X430" s="175"/>
      <c r="Y430" s="175"/>
      <c r="Z430" s="175"/>
      <c r="AA430" s="175"/>
      <c r="AB430" s="175"/>
      <c r="AC430" s="175"/>
      <c r="AD430" s="175"/>
      <c r="AE430" s="175"/>
      <c r="AF430" s="175"/>
      <c r="AG430" s="175"/>
      <c r="AH430" s="175"/>
      <c r="AI430" s="175"/>
    </row>
    <row r="431">
      <c r="A431" s="165">
        <v>45949.0</v>
      </c>
      <c r="B431" s="166">
        <v>7702091.0</v>
      </c>
      <c r="C431" s="166" t="s">
        <v>82</v>
      </c>
      <c r="D431" s="166" t="s">
        <v>35</v>
      </c>
      <c r="E431" s="166">
        <v>5.72004569E9</v>
      </c>
      <c r="F431" s="166" t="s">
        <v>669</v>
      </c>
      <c r="G431" s="165">
        <v>46115.0</v>
      </c>
      <c r="H431" s="167">
        <v>46118.0</v>
      </c>
      <c r="I431" s="168">
        <v>3.0</v>
      </c>
      <c r="J431" s="169" t="s">
        <v>114</v>
      </c>
      <c r="K431" s="166" t="s">
        <v>79</v>
      </c>
      <c r="L431" s="166" t="s">
        <v>80</v>
      </c>
      <c r="M431" s="166">
        <v>2.0</v>
      </c>
      <c r="N431" s="170">
        <v>0.19999999999999996</v>
      </c>
      <c r="O431" s="171">
        <v>170.15</v>
      </c>
      <c r="P431" s="171">
        <v>136.12</v>
      </c>
      <c r="Q431" s="172">
        <v>0.0</v>
      </c>
      <c r="R431" s="173">
        <v>408.36</v>
      </c>
      <c r="S431" s="173">
        <v>0.0</v>
      </c>
      <c r="T431" s="173">
        <v>1474.23</v>
      </c>
      <c r="U431" s="174" t="s">
        <v>161</v>
      </c>
      <c r="V431" s="165">
        <v>45949.0</v>
      </c>
      <c r="W431" s="175"/>
      <c r="X431" s="175"/>
      <c r="Y431" s="175"/>
      <c r="Z431" s="175"/>
      <c r="AA431" s="175"/>
      <c r="AB431" s="175"/>
      <c r="AC431" s="175"/>
      <c r="AD431" s="175"/>
      <c r="AE431" s="175"/>
      <c r="AF431" s="175"/>
      <c r="AG431" s="175"/>
      <c r="AH431" s="175"/>
      <c r="AI431" s="175"/>
    </row>
    <row r="432">
      <c r="A432" s="165">
        <v>45949.0</v>
      </c>
      <c r="B432" s="166">
        <v>7702091.0</v>
      </c>
      <c r="C432" s="166" t="s">
        <v>82</v>
      </c>
      <c r="D432" s="166" t="s">
        <v>35</v>
      </c>
      <c r="E432" s="166">
        <v>5.72004569E9</v>
      </c>
      <c r="F432" s="166" t="s">
        <v>669</v>
      </c>
      <c r="G432" s="165">
        <v>46115.0</v>
      </c>
      <c r="H432" s="167">
        <v>46118.0</v>
      </c>
      <c r="I432" s="168">
        <v>3.0</v>
      </c>
      <c r="J432" s="169" t="s">
        <v>78</v>
      </c>
      <c r="K432" s="166" t="s">
        <v>79</v>
      </c>
      <c r="L432" s="166" t="s">
        <v>80</v>
      </c>
      <c r="M432" s="205">
        <v>2.0</v>
      </c>
      <c r="N432" s="170">
        <v>0.19999999999999996</v>
      </c>
      <c r="O432" s="171">
        <v>151.10999999999999</v>
      </c>
      <c r="P432" s="171">
        <v>120.88799999999999</v>
      </c>
      <c r="Q432" s="172">
        <v>0.0</v>
      </c>
      <c r="R432" s="173">
        <v>362.664</v>
      </c>
      <c r="S432" s="173">
        <v>0.0</v>
      </c>
      <c r="T432" s="173">
        <v>1474.23</v>
      </c>
      <c r="U432" s="201" t="s">
        <v>161</v>
      </c>
      <c r="V432" s="165">
        <v>45949.0</v>
      </c>
      <c r="W432" s="175"/>
      <c r="X432" s="175"/>
      <c r="Y432" s="175"/>
      <c r="Z432" s="175"/>
      <c r="AA432" s="175"/>
      <c r="AB432" s="175"/>
      <c r="AC432" s="175"/>
      <c r="AD432" s="175"/>
      <c r="AE432" s="175"/>
      <c r="AF432" s="175"/>
      <c r="AG432" s="175"/>
      <c r="AH432" s="175"/>
      <c r="AI432" s="175"/>
    </row>
    <row r="433">
      <c r="A433" s="154">
        <v>45971.0</v>
      </c>
      <c r="B433" s="155">
        <v>7791645.0</v>
      </c>
      <c r="C433" s="156" t="s">
        <v>89</v>
      </c>
      <c r="D433" s="156" t="s">
        <v>35</v>
      </c>
      <c r="E433" s="155">
        <v>6.024195268E9</v>
      </c>
      <c r="F433" s="156" t="s">
        <v>670</v>
      </c>
      <c r="G433" s="154">
        <v>46115.0</v>
      </c>
      <c r="H433" s="157">
        <v>46118.0</v>
      </c>
      <c r="I433" s="158">
        <v>3.0</v>
      </c>
      <c r="J433" s="159" t="s">
        <v>78</v>
      </c>
      <c r="K433" s="156" t="s">
        <v>138</v>
      </c>
      <c r="L433" s="156" t="s">
        <v>80</v>
      </c>
      <c r="M433" s="202">
        <v>0.0</v>
      </c>
      <c r="N433" s="160">
        <v>0.0</v>
      </c>
      <c r="O433" s="161">
        <v>0.0</v>
      </c>
      <c r="P433" s="161">
        <v>0.0</v>
      </c>
      <c r="Q433" s="203">
        <v>0.0</v>
      </c>
      <c r="R433" s="162">
        <v>0.0</v>
      </c>
      <c r="S433" s="162">
        <v>0.0</v>
      </c>
      <c r="T433" s="162">
        <v>0.0</v>
      </c>
      <c r="U433" s="163" t="s">
        <v>671</v>
      </c>
      <c r="V433" s="154">
        <v>45993.0</v>
      </c>
      <c r="W433" s="175"/>
      <c r="X433" s="175"/>
      <c r="Y433" s="175"/>
      <c r="Z433" s="175"/>
      <c r="AA433" s="175"/>
      <c r="AB433" s="175"/>
      <c r="AC433" s="175"/>
      <c r="AD433" s="175"/>
      <c r="AE433" s="175"/>
      <c r="AF433" s="175"/>
      <c r="AG433" s="175"/>
      <c r="AH433" s="175"/>
      <c r="AI433" s="175"/>
    </row>
    <row r="434">
      <c r="A434" s="154">
        <v>45993.0</v>
      </c>
      <c r="B434" s="155">
        <v>7875900.0</v>
      </c>
      <c r="C434" s="156" t="s">
        <v>82</v>
      </c>
      <c r="D434" s="156" t="s">
        <v>35</v>
      </c>
      <c r="E434" s="155">
        <v>5.161130979E9</v>
      </c>
      <c r="F434" s="156" t="s">
        <v>670</v>
      </c>
      <c r="G434" s="154">
        <v>46115.0</v>
      </c>
      <c r="H434" s="157">
        <v>46118.0</v>
      </c>
      <c r="I434" s="158">
        <v>3.0</v>
      </c>
      <c r="J434" s="159" t="s">
        <v>78</v>
      </c>
      <c r="K434" s="156" t="s">
        <v>138</v>
      </c>
      <c r="L434" s="156" t="s">
        <v>80</v>
      </c>
      <c r="M434" s="155">
        <v>1.0</v>
      </c>
      <c r="N434" s="160">
        <v>0.19999999999999996</v>
      </c>
      <c r="O434" s="161">
        <v>173.23999999999998</v>
      </c>
      <c r="P434" s="161">
        <v>138.59199999999998</v>
      </c>
      <c r="Q434" s="159">
        <v>18.0</v>
      </c>
      <c r="R434" s="162">
        <v>415.77599999999995</v>
      </c>
      <c r="S434" s="162">
        <v>54.0</v>
      </c>
      <c r="T434" s="162">
        <v>570.42</v>
      </c>
      <c r="U434" s="163" t="s">
        <v>140</v>
      </c>
      <c r="V434" s="216">
        <v>45993.0</v>
      </c>
      <c r="W434" s="175"/>
      <c r="X434" s="175"/>
      <c r="Y434" s="175"/>
      <c r="Z434" s="175"/>
      <c r="AA434" s="175"/>
      <c r="AB434" s="175"/>
      <c r="AC434" s="175"/>
      <c r="AD434" s="175"/>
      <c r="AE434" s="175"/>
      <c r="AF434" s="175"/>
      <c r="AG434" s="175"/>
      <c r="AH434" s="175"/>
      <c r="AI434" s="175"/>
    </row>
    <row r="435">
      <c r="A435" s="154">
        <v>45923.0</v>
      </c>
      <c r="B435" s="155">
        <v>7595628.0</v>
      </c>
      <c r="C435" s="156" t="s">
        <v>89</v>
      </c>
      <c r="D435" s="156" t="s">
        <v>35</v>
      </c>
      <c r="E435" s="155">
        <v>6.957746423E9</v>
      </c>
      <c r="F435" s="156" t="s">
        <v>673</v>
      </c>
      <c r="G435" s="154">
        <v>46116.0</v>
      </c>
      <c r="H435" s="157">
        <v>46123.0</v>
      </c>
      <c r="I435" s="158">
        <v>7.0</v>
      </c>
      <c r="J435" s="159" t="s">
        <v>78</v>
      </c>
      <c r="K435" s="156" t="s">
        <v>138</v>
      </c>
      <c r="L435" s="156" t="s">
        <v>80</v>
      </c>
      <c r="M435" s="202">
        <v>0.0</v>
      </c>
      <c r="N435" s="160">
        <v>0.0</v>
      </c>
      <c r="O435" s="161">
        <v>0.0</v>
      </c>
      <c r="P435" s="161">
        <v>0.0</v>
      </c>
      <c r="Q435" s="203">
        <v>0.0</v>
      </c>
      <c r="R435" s="162">
        <v>0.0</v>
      </c>
      <c r="S435" s="162">
        <v>0.0</v>
      </c>
      <c r="T435" s="186">
        <v>0.0</v>
      </c>
      <c r="U435" s="187" t="s">
        <v>674</v>
      </c>
      <c r="V435" s="176">
        <v>45975.0</v>
      </c>
      <c r="W435" s="175"/>
      <c r="X435" s="175"/>
      <c r="Y435" s="175"/>
      <c r="Z435" s="175"/>
      <c r="AA435" s="175"/>
      <c r="AB435" s="175"/>
      <c r="AC435" s="175"/>
      <c r="AD435" s="175"/>
      <c r="AE435" s="175"/>
      <c r="AF435" s="175"/>
      <c r="AG435" s="175"/>
      <c r="AH435" s="175"/>
      <c r="AI435" s="175"/>
    </row>
    <row r="436">
      <c r="A436" s="176">
        <v>45946.0</v>
      </c>
      <c r="B436" s="177">
        <v>7693778.0</v>
      </c>
      <c r="C436" s="178" t="s">
        <v>82</v>
      </c>
      <c r="D436" s="178" t="s">
        <v>35</v>
      </c>
      <c r="E436" s="177">
        <v>6.115105344E9</v>
      </c>
      <c r="F436" s="178" t="s">
        <v>675</v>
      </c>
      <c r="G436" s="176">
        <v>46116.0</v>
      </c>
      <c r="H436" s="179">
        <v>46119.0</v>
      </c>
      <c r="I436" s="180">
        <v>3.0</v>
      </c>
      <c r="J436" s="181" t="s">
        <v>78</v>
      </c>
      <c r="K436" s="178" t="s">
        <v>79</v>
      </c>
      <c r="L436" s="178" t="s">
        <v>80</v>
      </c>
      <c r="M436" s="177">
        <v>2.0</v>
      </c>
      <c r="N436" s="183">
        <v>0.19999999999999996</v>
      </c>
      <c r="O436" s="184">
        <v>200.16</v>
      </c>
      <c r="P436" s="184">
        <v>160.12800000000001</v>
      </c>
      <c r="Q436" s="185">
        <v>0.0</v>
      </c>
      <c r="R436" s="186">
        <v>480.384</v>
      </c>
      <c r="S436" s="186">
        <v>0.0</v>
      </c>
      <c r="T436" s="186">
        <v>615.48</v>
      </c>
      <c r="U436" s="187" t="s">
        <v>268</v>
      </c>
      <c r="V436" s="189">
        <v>45946.0</v>
      </c>
      <c r="W436" s="175"/>
      <c r="X436" s="175"/>
      <c r="Y436" s="175"/>
      <c r="Z436" s="175"/>
      <c r="AA436" s="175"/>
      <c r="AB436" s="175"/>
      <c r="AC436" s="175"/>
      <c r="AD436" s="175"/>
      <c r="AE436" s="175"/>
      <c r="AF436" s="175"/>
      <c r="AG436" s="175"/>
      <c r="AH436" s="175"/>
      <c r="AI436" s="175"/>
    </row>
    <row r="437">
      <c r="A437" s="165">
        <v>45970.0</v>
      </c>
      <c r="B437" s="166">
        <v>7785295.0</v>
      </c>
      <c r="C437" s="166" t="s">
        <v>82</v>
      </c>
      <c r="D437" s="166" t="s">
        <v>35</v>
      </c>
      <c r="E437" s="166">
        <v>5.560652885E9</v>
      </c>
      <c r="F437" s="166" t="s">
        <v>621</v>
      </c>
      <c r="G437" s="165">
        <v>46116.0</v>
      </c>
      <c r="H437" s="167">
        <v>46117.0</v>
      </c>
      <c r="I437" s="168">
        <v>1.0</v>
      </c>
      <c r="J437" s="169" t="s">
        <v>78</v>
      </c>
      <c r="K437" s="166" t="s">
        <v>79</v>
      </c>
      <c r="L437" s="166" t="s">
        <v>80</v>
      </c>
      <c r="M437" s="205">
        <v>3.0</v>
      </c>
      <c r="N437" s="170">
        <v>0.19999999999999996</v>
      </c>
      <c r="O437" s="171">
        <v>230.76</v>
      </c>
      <c r="P437" s="171">
        <v>184.608</v>
      </c>
      <c r="Q437" s="172">
        <v>0.0</v>
      </c>
      <c r="R437" s="173">
        <v>184.608</v>
      </c>
      <c r="S437" s="173">
        <v>0.0</v>
      </c>
      <c r="T437" s="173">
        <v>238.26</v>
      </c>
      <c r="U437" s="201" t="s">
        <v>303</v>
      </c>
      <c r="V437" s="165">
        <v>45970.0</v>
      </c>
      <c r="W437" s="175"/>
      <c r="X437" s="175"/>
      <c r="Y437" s="175"/>
      <c r="Z437" s="175"/>
      <c r="AA437" s="175"/>
      <c r="AB437" s="175"/>
      <c r="AC437" s="175"/>
      <c r="AD437" s="175"/>
      <c r="AE437" s="175"/>
      <c r="AF437" s="175"/>
      <c r="AG437" s="175"/>
      <c r="AH437" s="175"/>
      <c r="AI437" s="175"/>
    </row>
    <row r="438">
      <c r="A438" s="154">
        <v>45983.0</v>
      </c>
      <c r="B438" s="155">
        <v>7834582.0</v>
      </c>
      <c r="C438" s="156" t="s">
        <v>82</v>
      </c>
      <c r="D438" s="156" t="s">
        <v>35</v>
      </c>
      <c r="E438" s="155">
        <v>6.513301319E9</v>
      </c>
      <c r="F438" s="156" t="s">
        <v>676</v>
      </c>
      <c r="G438" s="154">
        <v>46116.0</v>
      </c>
      <c r="H438" s="157">
        <v>46118.0</v>
      </c>
      <c r="I438" s="158">
        <v>2.0</v>
      </c>
      <c r="J438" s="159" t="s">
        <v>87</v>
      </c>
      <c r="K438" s="156" t="s">
        <v>138</v>
      </c>
      <c r="L438" s="156" t="s">
        <v>80</v>
      </c>
      <c r="M438" s="155">
        <v>2.0</v>
      </c>
      <c r="N438" s="160">
        <v>0.19999999999999996</v>
      </c>
      <c r="O438" s="161">
        <v>176.79999999999998</v>
      </c>
      <c r="P438" s="161">
        <v>141.44</v>
      </c>
      <c r="Q438" s="203">
        <v>36.0</v>
      </c>
      <c r="R438" s="162">
        <v>282.88</v>
      </c>
      <c r="S438" s="162">
        <v>72.0</v>
      </c>
      <c r="T438" s="162">
        <v>421.2</v>
      </c>
      <c r="U438" s="163" t="s">
        <v>678</v>
      </c>
      <c r="V438" s="154">
        <v>45983.0</v>
      </c>
      <c r="W438" s="175"/>
      <c r="X438" s="175"/>
      <c r="Y438" s="175"/>
      <c r="Z438" s="175"/>
      <c r="AA438" s="175"/>
      <c r="AB438" s="175"/>
      <c r="AC438" s="175"/>
      <c r="AD438" s="175"/>
      <c r="AE438" s="175"/>
      <c r="AF438" s="175"/>
      <c r="AG438" s="175"/>
      <c r="AH438" s="175"/>
      <c r="AI438" s="175"/>
    </row>
    <row r="439">
      <c r="A439" s="176">
        <v>45956.0</v>
      </c>
      <c r="B439" s="177">
        <v>7730829.0</v>
      </c>
      <c r="C439" s="178" t="s">
        <v>89</v>
      </c>
      <c r="D439" s="178" t="s">
        <v>35</v>
      </c>
      <c r="E439" s="177">
        <v>5.266841938E9</v>
      </c>
      <c r="F439" s="178" t="s">
        <v>679</v>
      </c>
      <c r="G439" s="176">
        <v>46117.0</v>
      </c>
      <c r="H439" s="179">
        <v>46118.0</v>
      </c>
      <c r="I439" s="180">
        <v>1.0</v>
      </c>
      <c r="J439" s="181" t="s">
        <v>78</v>
      </c>
      <c r="K439" s="178" t="s">
        <v>79</v>
      </c>
      <c r="L439" s="178" t="s">
        <v>80</v>
      </c>
      <c r="M439" s="182">
        <v>0.0</v>
      </c>
      <c r="N439" s="183">
        <v>0.0</v>
      </c>
      <c r="O439" s="184">
        <v>0.0</v>
      </c>
      <c r="P439" s="184">
        <v>0.0</v>
      </c>
      <c r="Q439" s="185">
        <v>0.0</v>
      </c>
      <c r="R439" s="186">
        <v>0.0</v>
      </c>
      <c r="S439" s="186">
        <v>0.0</v>
      </c>
      <c r="T439" s="186">
        <v>0.0</v>
      </c>
      <c r="U439" s="187" t="s">
        <v>371</v>
      </c>
      <c r="V439" s="176">
        <v>46003.0</v>
      </c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</row>
    <row r="440">
      <c r="A440" s="165">
        <v>46033.0</v>
      </c>
      <c r="B440" s="166">
        <v>8021289.0</v>
      </c>
      <c r="C440" s="166" t="s">
        <v>82</v>
      </c>
      <c r="D440" s="166" t="s">
        <v>35</v>
      </c>
      <c r="E440" s="166">
        <v>5.722874704E9</v>
      </c>
      <c r="F440" s="166" t="s">
        <v>680</v>
      </c>
      <c r="G440" s="165">
        <v>46117.0</v>
      </c>
      <c r="H440" s="167">
        <v>46119.0</v>
      </c>
      <c r="I440" s="168">
        <v>2.0</v>
      </c>
      <c r="J440" s="169" t="s">
        <v>78</v>
      </c>
      <c r="K440" s="166" t="s">
        <v>79</v>
      </c>
      <c r="L440" s="166" t="s">
        <v>80</v>
      </c>
      <c r="M440" s="166">
        <v>2.0</v>
      </c>
      <c r="N440" s="170">
        <v>0.19999999999999996</v>
      </c>
      <c r="O440" s="171">
        <v>158.96</v>
      </c>
      <c r="P440" s="171">
        <v>127.168</v>
      </c>
      <c r="Q440" s="172">
        <v>0.0</v>
      </c>
      <c r="R440" s="173">
        <v>254.336</v>
      </c>
      <c r="S440" s="173">
        <v>0.0</v>
      </c>
      <c r="T440" s="173">
        <v>327.92</v>
      </c>
      <c r="U440" s="201" t="s">
        <v>107</v>
      </c>
      <c r="V440" s="165">
        <v>46033.0</v>
      </c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  <c r="AG440" s="164"/>
      <c r="AH440" s="164"/>
      <c r="AI440" s="164"/>
    </row>
    <row r="441">
      <c r="A441" s="165">
        <v>45920.0</v>
      </c>
      <c r="B441" s="166">
        <v>7583304.0</v>
      </c>
      <c r="C441" s="166" t="s">
        <v>82</v>
      </c>
      <c r="D441" s="166" t="s">
        <v>35</v>
      </c>
      <c r="E441" s="166">
        <v>6.732405656E9</v>
      </c>
      <c r="F441" s="166" t="s">
        <v>681</v>
      </c>
      <c r="G441" s="165">
        <v>46118.0</v>
      </c>
      <c r="H441" s="167">
        <v>46119.0</v>
      </c>
      <c r="I441" s="168">
        <v>1.0</v>
      </c>
      <c r="J441" s="169" t="s">
        <v>87</v>
      </c>
      <c r="K441" s="166" t="s">
        <v>79</v>
      </c>
      <c r="L441" s="166" t="s">
        <v>80</v>
      </c>
      <c r="M441" s="166">
        <v>2.0</v>
      </c>
      <c r="N441" s="170">
        <v>0.19999999999999996</v>
      </c>
      <c r="O441" s="171">
        <v>160.44</v>
      </c>
      <c r="P441" s="171">
        <v>128.352</v>
      </c>
      <c r="Q441" s="172">
        <v>0.0</v>
      </c>
      <c r="R441" s="173">
        <v>128.352</v>
      </c>
      <c r="S441" s="173">
        <v>0.0</v>
      </c>
      <c r="T441" s="173">
        <v>165.44</v>
      </c>
      <c r="U441" s="201" t="s">
        <v>353</v>
      </c>
      <c r="V441" s="165">
        <v>45920.0</v>
      </c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</row>
    <row r="442">
      <c r="A442" s="165">
        <v>45965.0</v>
      </c>
      <c r="B442" s="166">
        <v>7764779.0</v>
      </c>
      <c r="C442" s="166" t="s">
        <v>89</v>
      </c>
      <c r="D442" s="166" t="s">
        <v>35</v>
      </c>
      <c r="E442" s="166">
        <v>6.581923032E9</v>
      </c>
      <c r="F442" s="166" t="s">
        <v>682</v>
      </c>
      <c r="G442" s="165">
        <v>46118.0</v>
      </c>
      <c r="H442" s="167">
        <v>46120.0</v>
      </c>
      <c r="I442" s="168">
        <v>2.0</v>
      </c>
      <c r="J442" s="169" t="s">
        <v>111</v>
      </c>
      <c r="K442" s="166" t="s">
        <v>79</v>
      </c>
      <c r="L442" s="166" t="s">
        <v>80</v>
      </c>
      <c r="M442" s="166">
        <v>0.0</v>
      </c>
      <c r="N442" s="170">
        <v>0.0</v>
      </c>
      <c r="O442" s="171">
        <v>0.0</v>
      </c>
      <c r="P442" s="171">
        <v>0.0</v>
      </c>
      <c r="Q442" s="172">
        <v>0.0</v>
      </c>
      <c r="R442" s="173">
        <v>0.0</v>
      </c>
      <c r="S442" s="173">
        <v>0.0</v>
      </c>
      <c r="T442" s="173">
        <v>0.0</v>
      </c>
      <c r="U442" s="174" t="s">
        <v>683</v>
      </c>
      <c r="V442" s="212">
        <v>46116.0</v>
      </c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</row>
    <row r="443">
      <c r="A443" s="176">
        <v>45994.0</v>
      </c>
      <c r="B443" s="177">
        <v>7881243.0</v>
      </c>
      <c r="C443" s="178" t="s">
        <v>89</v>
      </c>
      <c r="D443" s="178" t="s">
        <v>35</v>
      </c>
      <c r="E443" s="177">
        <v>5.954961846E9</v>
      </c>
      <c r="F443" s="178" t="s">
        <v>685</v>
      </c>
      <c r="G443" s="176">
        <v>46118.0</v>
      </c>
      <c r="H443" s="179">
        <v>46119.0</v>
      </c>
      <c r="I443" s="180">
        <v>1.0</v>
      </c>
      <c r="J443" s="181" t="s">
        <v>78</v>
      </c>
      <c r="K443" s="178" t="s">
        <v>79</v>
      </c>
      <c r="L443" s="178" t="s">
        <v>80</v>
      </c>
      <c r="M443" s="182">
        <v>0.0</v>
      </c>
      <c r="N443" s="183">
        <v>0.0</v>
      </c>
      <c r="O443" s="184">
        <v>0.0</v>
      </c>
      <c r="P443" s="184">
        <v>0.0</v>
      </c>
      <c r="Q443" s="185">
        <v>0.0</v>
      </c>
      <c r="R443" s="186">
        <v>0.0</v>
      </c>
      <c r="S443" s="186">
        <v>0.0</v>
      </c>
      <c r="T443" s="186">
        <v>0.0</v>
      </c>
      <c r="U443" s="187" t="s">
        <v>686</v>
      </c>
      <c r="V443" s="176">
        <v>46014.0</v>
      </c>
      <c r="W443" s="175"/>
      <c r="X443" s="175"/>
      <c r="Y443" s="175"/>
      <c r="Z443" s="175"/>
      <c r="AA443" s="175"/>
      <c r="AB443" s="175"/>
      <c r="AC443" s="175"/>
      <c r="AD443" s="175"/>
      <c r="AE443" s="175"/>
      <c r="AF443" s="175"/>
      <c r="AG443" s="175"/>
      <c r="AH443" s="175"/>
      <c r="AI443" s="175"/>
    </row>
    <row r="444">
      <c r="A444" s="165">
        <v>45994.0</v>
      </c>
      <c r="B444" s="166">
        <v>7881243.0</v>
      </c>
      <c r="C444" s="166" t="s">
        <v>89</v>
      </c>
      <c r="D444" s="166" t="s">
        <v>35</v>
      </c>
      <c r="E444" s="166">
        <v>5.954961846E9</v>
      </c>
      <c r="F444" s="166" t="s">
        <v>685</v>
      </c>
      <c r="G444" s="165">
        <v>46118.0</v>
      </c>
      <c r="H444" s="167">
        <v>46119.0</v>
      </c>
      <c r="I444" s="168">
        <v>1.0</v>
      </c>
      <c r="J444" s="169" t="s">
        <v>78</v>
      </c>
      <c r="K444" s="166" t="s">
        <v>79</v>
      </c>
      <c r="L444" s="166" t="s">
        <v>80</v>
      </c>
      <c r="M444" s="166">
        <v>0.0</v>
      </c>
      <c r="N444" s="170">
        <v>0.0</v>
      </c>
      <c r="O444" s="171">
        <v>0.0</v>
      </c>
      <c r="P444" s="171">
        <v>0.0</v>
      </c>
      <c r="Q444" s="172">
        <v>0.0</v>
      </c>
      <c r="R444" s="173">
        <v>0.0</v>
      </c>
      <c r="S444" s="173">
        <v>0.0</v>
      </c>
      <c r="T444" s="173">
        <v>0.0</v>
      </c>
      <c r="U444" s="201" t="s">
        <v>686</v>
      </c>
      <c r="V444" s="165">
        <v>46014.0</v>
      </c>
      <c r="W444" s="175"/>
      <c r="X444" s="175"/>
      <c r="Y444" s="175"/>
      <c r="Z444" s="175"/>
      <c r="AA444" s="175"/>
      <c r="AB444" s="175"/>
      <c r="AC444" s="175"/>
      <c r="AD444" s="175"/>
      <c r="AE444" s="175"/>
      <c r="AF444" s="175"/>
      <c r="AG444" s="175"/>
      <c r="AH444" s="175"/>
      <c r="AI444" s="175"/>
    </row>
    <row r="445">
      <c r="A445" s="165">
        <v>45994.0</v>
      </c>
      <c r="B445" s="166">
        <v>7881243.0</v>
      </c>
      <c r="C445" s="166" t="s">
        <v>89</v>
      </c>
      <c r="D445" s="166" t="s">
        <v>35</v>
      </c>
      <c r="E445" s="166">
        <v>5.954961846E9</v>
      </c>
      <c r="F445" s="166" t="s">
        <v>685</v>
      </c>
      <c r="G445" s="165">
        <v>46118.0</v>
      </c>
      <c r="H445" s="167">
        <v>46119.0</v>
      </c>
      <c r="I445" s="168">
        <v>1.0</v>
      </c>
      <c r="J445" s="169" t="s">
        <v>78</v>
      </c>
      <c r="K445" s="166" t="s">
        <v>79</v>
      </c>
      <c r="L445" s="166" t="s">
        <v>80</v>
      </c>
      <c r="M445" s="166">
        <v>0.0</v>
      </c>
      <c r="N445" s="170">
        <v>0.0</v>
      </c>
      <c r="O445" s="171">
        <v>0.0</v>
      </c>
      <c r="P445" s="171">
        <v>0.0</v>
      </c>
      <c r="Q445" s="172">
        <v>0.0</v>
      </c>
      <c r="R445" s="173">
        <v>0.0</v>
      </c>
      <c r="S445" s="173">
        <v>0.0</v>
      </c>
      <c r="T445" s="173">
        <v>0.0</v>
      </c>
      <c r="U445" s="201" t="s">
        <v>686</v>
      </c>
      <c r="V445" s="165">
        <v>46014.0</v>
      </c>
      <c r="W445" s="175"/>
      <c r="X445" s="175"/>
      <c r="Y445" s="175"/>
      <c r="Z445" s="175"/>
      <c r="AA445" s="175"/>
      <c r="AB445" s="175"/>
      <c r="AC445" s="175"/>
      <c r="AD445" s="175"/>
      <c r="AE445" s="175"/>
      <c r="AF445" s="175"/>
      <c r="AG445" s="175"/>
      <c r="AH445" s="175"/>
      <c r="AI445" s="175"/>
    </row>
    <row r="446">
      <c r="A446" s="165">
        <v>45994.0</v>
      </c>
      <c r="B446" s="166">
        <v>7881243.0</v>
      </c>
      <c r="C446" s="166" t="s">
        <v>89</v>
      </c>
      <c r="D446" s="166" t="s">
        <v>35</v>
      </c>
      <c r="E446" s="166">
        <v>5.954961846E9</v>
      </c>
      <c r="F446" s="166" t="s">
        <v>685</v>
      </c>
      <c r="G446" s="165">
        <v>46118.0</v>
      </c>
      <c r="H446" s="167">
        <v>46119.0</v>
      </c>
      <c r="I446" s="168">
        <v>1.0</v>
      </c>
      <c r="J446" s="169" t="s">
        <v>78</v>
      </c>
      <c r="K446" s="166" t="s">
        <v>79</v>
      </c>
      <c r="L446" s="166" t="s">
        <v>80</v>
      </c>
      <c r="M446" s="166">
        <v>0.0</v>
      </c>
      <c r="N446" s="169">
        <v>0.0</v>
      </c>
      <c r="O446" s="171">
        <v>0.0</v>
      </c>
      <c r="P446" s="171">
        <v>0.0</v>
      </c>
      <c r="Q446" s="169">
        <v>0.0</v>
      </c>
      <c r="R446" s="173">
        <v>0.0</v>
      </c>
      <c r="S446" s="173">
        <v>0.0</v>
      </c>
      <c r="T446" s="173">
        <v>0.0</v>
      </c>
      <c r="U446" s="201" t="s">
        <v>686</v>
      </c>
      <c r="V446" s="165">
        <v>46014.0</v>
      </c>
      <c r="W446" s="175"/>
      <c r="X446" s="175"/>
      <c r="Y446" s="175"/>
      <c r="Z446" s="175"/>
      <c r="AA446" s="175"/>
      <c r="AB446" s="175"/>
      <c r="AC446" s="175"/>
      <c r="AD446" s="175"/>
      <c r="AE446" s="175"/>
      <c r="AF446" s="175"/>
      <c r="AG446" s="175"/>
      <c r="AH446" s="175"/>
      <c r="AI446" s="175"/>
    </row>
    <row r="447">
      <c r="A447" s="154">
        <v>46024.0</v>
      </c>
      <c r="B447" s="155">
        <v>7983547.0</v>
      </c>
      <c r="C447" s="156" t="s">
        <v>75</v>
      </c>
      <c r="D447" s="156" t="s">
        <v>35</v>
      </c>
      <c r="E447" s="155">
        <v>6.395211E9</v>
      </c>
      <c r="F447" s="156" t="s">
        <v>688</v>
      </c>
      <c r="G447" s="154">
        <v>46118.0</v>
      </c>
      <c r="H447" s="157">
        <v>46121.0</v>
      </c>
      <c r="I447" s="158">
        <v>3.0</v>
      </c>
      <c r="J447" s="159" t="s">
        <v>78</v>
      </c>
      <c r="K447" s="156" t="s">
        <v>79</v>
      </c>
      <c r="L447" s="156" t="s">
        <v>80</v>
      </c>
      <c r="M447" s="155">
        <v>3.0</v>
      </c>
      <c r="N447" s="160">
        <v>0.19999999999999996</v>
      </c>
      <c r="O447" s="161">
        <v>189.55999999999997</v>
      </c>
      <c r="P447" s="161">
        <v>151.648</v>
      </c>
      <c r="Q447" s="203">
        <v>0.0</v>
      </c>
      <c r="R447" s="162">
        <v>454.94399999999996</v>
      </c>
      <c r="S447" s="162">
        <v>0.0</v>
      </c>
      <c r="T447" s="162">
        <v>568.68</v>
      </c>
      <c r="U447" s="163" t="s">
        <v>689</v>
      </c>
      <c r="V447" s="154">
        <v>46024.0</v>
      </c>
      <c r="W447" s="175"/>
      <c r="X447" s="175"/>
      <c r="Y447" s="175"/>
      <c r="Z447" s="175"/>
      <c r="AA447" s="175"/>
      <c r="AB447" s="175"/>
      <c r="AC447" s="175"/>
      <c r="AD447" s="175"/>
      <c r="AE447" s="175"/>
      <c r="AF447" s="175"/>
      <c r="AG447" s="175"/>
      <c r="AH447" s="175"/>
      <c r="AI447" s="175"/>
    </row>
    <row r="448">
      <c r="A448" s="165">
        <v>46029.0</v>
      </c>
      <c r="B448" s="166">
        <v>8005282.0</v>
      </c>
      <c r="C448" s="166" t="s">
        <v>82</v>
      </c>
      <c r="D448" s="166" t="s">
        <v>35</v>
      </c>
      <c r="E448" s="166">
        <v>6.13594908E9</v>
      </c>
      <c r="F448" s="166" t="s">
        <v>690</v>
      </c>
      <c r="G448" s="165">
        <v>46118.0</v>
      </c>
      <c r="H448" s="167">
        <v>46119.0</v>
      </c>
      <c r="I448" s="168">
        <v>1.0</v>
      </c>
      <c r="J448" s="169" t="s">
        <v>78</v>
      </c>
      <c r="K448" s="166" t="s">
        <v>79</v>
      </c>
      <c r="L448" s="166" t="s">
        <v>80</v>
      </c>
      <c r="M448" s="166">
        <v>2.0</v>
      </c>
      <c r="N448" s="170">
        <v>0.19999999999999996</v>
      </c>
      <c r="O448" s="171">
        <v>154.88</v>
      </c>
      <c r="P448" s="171">
        <v>123.904</v>
      </c>
      <c r="Q448" s="172">
        <v>0.0</v>
      </c>
      <c r="R448" s="173">
        <v>123.904</v>
      </c>
      <c r="S448" s="173">
        <v>0.0</v>
      </c>
      <c r="T448" s="173">
        <v>159.88</v>
      </c>
      <c r="U448" s="201" t="s">
        <v>107</v>
      </c>
      <c r="V448" s="165">
        <v>46029.0</v>
      </c>
      <c r="W448" s="175"/>
      <c r="X448" s="175"/>
      <c r="Y448" s="175"/>
      <c r="Z448" s="175"/>
      <c r="AA448" s="175"/>
      <c r="AB448" s="175"/>
      <c r="AC448" s="175"/>
      <c r="AD448" s="175"/>
      <c r="AE448" s="175"/>
      <c r="AF448" s="175"/>
      <c r="AG448" s="175"/>
      <c r="AH448" s="175"/>
      <c r="AI448" s="175"/>
    </row>
    <row r="449">
      <c r="A449" s="176">
        <v>46032.0</v>
      </c>
      <c r="B449" s="177">
        <v>8017628.0</v>
      </c>
      <c r="C449" s="178" t="s">
        <v>89</v>
      </c>
      <c r="D449" s="178" t="s">
        <v>35</v>
      </c>
      <c r="E449" s="177">
        <v>5.544259188E9</v>
      </c>
      <c r="F449" s="178" t="s">
        <v>691</v>
      </c>
      <c r="G449" s="176">
        <v>46118.0</v>
      </c>
      <c r="H449" s="179">
        <v>46120.0</v>
      </c>
      <c r="I449" s="180">
        <v>2.0</v>
      </c>
      <c r="J449" s="181" t="s">
        <v>91</v>
      </c>
      <c r="K449" s="178" t="s">
        <v>79</v>
      </c>
      <c r="L449" s="178" t="s">
        <v>80</v>
      </c>
      <c r="M449" s="182">
        <v>0.0</v>
      </c>
      <c r="N449" s="181">
        <v>0.0</v>
      </c>
      <c r="O449" s="184">
        <v>0.0</v>
      </c>
      <c r="P449" s="184">
        <v>0.0</v>
      </c>
      <c r="Q449" s="181">
        <v>0.0</v>
      </c>
      <c r="R449" s="186">
        <v>0.0</v>
      </c>
      <c r="S449" s="186">
        <v>0.0</v>
      </c>
      <c r="T449" s="186">
        <v>0.0</v>
      </c>
      <c r="U449" s="187" t="s">
        <v>692</v>
      </c>
      <c r="V449" s="176">
        <v>46086.0</v>
      </c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</row>
    <row r="450">
      <c r="A450" s="176">
        <v>46071.0</v>
      </c>
      <c r="B450" s="177">
        <v>8191265.0</v>
      </c>
      <c r="C450" s="178" t="s">
        <v>82</v>
      </c>
      <c r="D450" s="178" t="s">
        <v>35</v>
      </c>
      <c r="E450" s="177">
        <v>5.872444723E9</v>
      </c>
      <c r="F450" s="178" t="s">
        <v>693</v>
      </c>
      <c r="G450" s="176">
        <v>46118.0</v>
      </c>
      <c r="H450" s="179">
        <v>46120.0</v>
      </c>
      <c r="I450" s="180">
        <v>2.0</v>
      </c>
      <c r="J450" s="181" t="s">
        <v>111</v>
      </c>
      <c r="K450" s="178" t="s">
        <v>79</v>
      </c>
      <c r="L450" s="178" t="s">
        <v>80</v>
      </c>
      <c r="M450" s="182">
        <v>2.0</v>
      </c>
      <c r="N450" s="183">
        <v>0.19999999999999996</v>
      </c>
      <c r="O450" s="184">
        <v>196.25</v>
      </c>
      <c r="P450" s="184">
        <v>157.0</v>
      </c>
      <c r="Q450" s="185">
        <v>0.0</v>
      </c>
      <c r="R450" s="186">
        <v>314.0</v>
      </c>
      <c r="S450" s="186">
        <v>0.0</v>
      </c>
      <c r="T450" s="186">
        <v>402.5</v>
      </c>
      <c r="U450" s="187" t="s">
        <v>107</v>
      </c>
      <c r="V450" s="176">
        <v>46071.0</v>
      </c>
      <c r="W450" s="175"/>
      <c r="X450" s="175"/>
      <c r="Y450" s="175"/>
      <c r="Z450" s="175"/>
      <c r="AA450" s="175"/>
      <c r="AB450" s="175"/>
      <c r="AC450" s="175"/>
      <c r="AD450" s="175"/>
      <c r="AE450" s="175"/>
      <c r="AF450" s="175"/>
      <c r="AG450" s="175"/>
      <c r="AH450" s="175"/>
      <c r="AI450" s="175"/>
    </row>
    <row r="451">
      <c r="A451" s="176">
        <v>46077.0</v>
      </c>
      <c r="B451" s="177">
        <v>8215349.0</v>
      </c>
      <c r="C451" s="178" t="s">
        <v>89</v>
      </c>
      <c r="D451" s="178" t="s">
        <v>35</v>
      </c>
      <c r="E451" s="177">
        <v>5.92512542E9</v>
      </c>
      <c r="F451" s="178" t="s">
        <v>647</v>
      </c>
      <c r="G451" s="176">
        <v>46118.0</v>
      </c>
      <c r="H451" s="179">
        <v>46119.0</v>
      </c>
      <c r="I451" s="180">
        <v>1.0</v>
      </c>
      <c r="J451" s="181" t="s">
        <v>78</v>
      </c>
      <c r="K451" s="178" t="s">
        <v>79</v>
      </c>
      <c r="L451" s="178" t="s">
        <v>80</v>
      </c>
      <c r="M451" s="182">
        <v>0.0</v>
      </c>
      <c r="N451" s="183">
        <v>0.0</v>
      </c>
      <c r="O451" s="184">
        <v>0.0</v>
      </c>
      <c r="P451" s="184">
        <v>0.0</v>
      </c>
      <c r="Q451" s="185">
        <v>0.0</v>
      </c>
      <c r="R451" s="186">
        <v>0.0</v>
      </c>
      <c r="S451" s="186">
        <v>0.0</v>
      </c>
      <c r="T451" s="186">
        <v>0.0</v>
      </c>
      <c r="U451" s="187" t="s">
        <v>695</v>
      </c>
      <c r="V451" s="176">
        <v>46097.0</v>
      </c>
      <c r="W451" s="175"/>
      <c r="X451" s="175"/>
      <c r="Y451" s="175"/>
      <c r="Z451" s="175"/>
      <c r="AA451" s="175"/>
      <c r="AB451" s="175"/>
      <c r="AC451" s="175"/>
      <c r="AD451" s="175"/>
      <c r="AE451" s="175"/>
      <c r="AF451" s="175"/>
      <c r="AG451" s="175"/>
      <c r="AH451" s="175"/>
      <c r="AI451" s="175"/>
    </row>
    <row r="452">
      <c r="A452" s="154">
        <v>45872.0</v>
      </c>
      <c r="B452" s="155">
        <v>7368470.0</v>
      </c>
      <c r="C452" s="156" t="s">
        <v>89</v>
      </c>
      <c r="D452" s="156" t="s">
        <v>35</v>
      </c>
      <c r="E452" s="155">
        <v>6.101199579E9</v>
      </c>
      <c r="F452" s="156" t="s">
        <v>696</v>
      </c>
      <c r="G452" s="154">
        <v>46119.0</v>
      </c>
      <c r="H452" s="157">
        <v>46122.0</v>
      </c>
      <c r="I452" s="158">
        <v>3.0</v>
      </c>
      <c r="J452" s="159" t="s">
        <v>87</v>
      </c>
      <c r="K452" s="156" t="s">
        <v>79</v>
      </c>
      <c r="L452" s="156" t="s">
        <v>80</v>
      </c>
      <c r="M452" s="155">
        <v>0.0</v>
      </c>
      <c r="N452" s="160">
        <v>0.0</v>
      </c>
      <c r="O452" s="161">
        <v>0.0</v>
      </c>
      <c r="P452" s="161">
        <v>0.0</v>
      </c>
      <c r="Q452" s="203">
        <v>0.0</v>
      </c>
      <c r="R452" s="162">
        <v>0.0</v>
      </c>
      <c r="S452" s="162">
        <v>0.0</v>
      </c>
      <c r="T452" s="162">
        <v>0.0</v>
      </c>
      <c r="U452" s="163" t="s">
        <v>697</v>
      </c>
      <c r="V452" s="154">
        <v>46111.0</v>
      </c>
      <c r="W452" s="175"/>
      <c r="X452" s="175"/>
      <c r="Y452" s="175"/>
      <c r="Z452" s="175"/>
      <c r="AA452" s="175"/>
      <c r="AB452" s="175"/>
      <c r="AC452" s="175"/>
      <c r="AD452" s="175"/>
      <c r="AE452" s="175"/>
      <c r="AF452" s="175"/>
      <c r="AG452" s="175"/>
      <c r="AH452" s="175"/>
      <c r="AI452" s="175"/>
    </row>
    <row r="453">
      <c r="A453" s="165">
        <v>45960.0</v>
      </c>
      <c r="B453" s="166">
        <v>7747132.0</v>
      </c>
      <c r="C453" s="166" t="s">
        <v>82</v>
      </c>
      <c r="D453" s="166" t="s">
        <v>94</v>
      </c>
      <c r="E453" s="166">
        <v>7747132.0</v>
      </c>
      <c r="F453" s="166" t="s">
        <v>698</v>
      </c>
      <c r="G453" s="165">
        <v>46119.0</v>
      </c>
      <c r="H453" s="167">
        <v>46120.0</v>
      </c>
      <c r="I453" s="168">
        <v>1.0</v>
      </c>
      <c r="J453" s="169" t="s">
        <v>78</v>
      </c>
      <c r="K453" s="166" t="s">
        <v>79</v>
      </c>
      <c r="L453" s="166" t="s">
        <v>96</v>
      </c>
      <c r="M453" s="166">
        <v>2.0</v>
      </c>
      <c r="N453" s="170">
        <v>0.0</v>
      </c>
      <c r="O453" s="171">
        <v>239.76</v>
      </c>
      <c r="P453" s="171">
        <v>239.76</v>
      </c>
      <c r="Q453" s="172">
        <v>0.0</v>
      </c>
      <c r="R453" s="173">
        <v>239.76</v>
      </c>
      <c r="S453" s="173">
        <v>0.0</v>
      </c>
      <c r="T453" s="173">
        <v>1254.04</v>
      </c>
      <c r="U453" s="201" t="s">
        <v>97</v>
      </c>
      <c r="V453" s="165">
        <v>45960.0</v>
      </c>
      <c r="W453" s="175"/>
      <c r="X453" s="175"/>
      <c r="Y453" s="175"/>
      <c r="Z453" s="175"/>
      <c r="AA453" s="175"/>
      <c r="AB453" s="175"/>
      <c r="AC453" s="175"/>
      <c r="AD453" s="175"/>
      <c r="AE453" s="175"/>
      <c r="AF453" s="175"/>
      <c r="AG453" s="175"/>
      <c r="AH453" s="175"/>
      <c r="AI453" s="175"/>
    </row>
    <row r="454">
      <c r="A454" s="165">
        <v>45960.0</v>
      </c>
      <c r="B454" s="166">
        <v>7747132.0</v>
      </c>
      <c r="C454" s="166" t="s">
        <v>82</v>
      </c>
      <c r="D454" s="166" t="s">
        <v>94</v>
      </c>
      <c r="E454" s="166">
        <v>7747132.0</v>
      </c>
      <c r="F454" s="166" t="s">
        <v>698</v>
      </c>
      <c r="G454" s="165">
        <v>46119.0</v>
      </c>
      <c r="H454" s="167">
        <v>46120.0</v>
      </c>
      <c r="I454" s="168">
        <v>1.0</v>
      </c>
      <c r="J454" s="169" t="s">
        <v>78</v>
      </c>
      <c r="K454" s="166" t="s">
        <v>79</v>
      </c>
      <c r="L454" s="166" t="s">
        <v>96</v>
      </c>
      <c r="M454" s="166">
        <v>2.0</v>
      </c>
      <c r="N454" s="170">
        <v>0.0</v>
      </c>
      <c r="O454" s="171">
        <v>239.76</v>
      </c>
      <c r="P454" s="171">
        <v>239.76</v>
      </c>
      <c r="Q454" s="172">
        <v>0.0</v>
      </c>
      <c r="R454" s="173">
        <v>239.76</v>
      </c>
      <c r="S454" s="173">
        <v>0.0</v>
      </c>
      <c r="T454" s="173">
        <v>1254.04</v>
      </c>
      <c r="U454" s="201" t="s">
        <v>97</v>
      </c>
      <c r="V454" s="165">
        <v>45960.0</v>
      </c>
      <c r="W454" s="175"/>
      <c r="X454" s="175"/>
      <c r="Y454" s="175"/>
      <c r="Z454" s="175"/>
      <c r="AA454" s="175"/>
      <c r="AB454" s="175"/>
      <c r="AC454" s="175"/>
      <c r="AD454" s="175"/>
      <c r="AE454" s="175"/>
      <c r="AF454" s="175"/>
      <c r="AG454" s="175"/>
      <c r="AH454" s="175"/>
      <c r="AI454" s="175"/>
    </row>
    <row r="455">
      <c r="A455" s="154">
        <v>45960.0</v>
      </c>
      <c r="B455" s="155">
        <v>7747132.0</v>
      </c>
      <c r="C455" s="156" t="s">
        <v>82</v>
      </c>
      <c r="D455" s="156" t="s">
        <v>94</v>
      </c>
      <c r="E455" s="155">
        <v>7747132.0</v>
      </c>
      <c r="F455" s="156" t="s">
        <v>698</v>
      </c>
      <c r="G455" s="154">
        <v>46119.0</v>
      </c>
      <c r="H455" s="157">
        <v>46120.0</v>
      </c>
      <c r="I455" s="158">
        <v>1.0</v>
      </c>
      <c r="J455" s="159" t="s">
        <v>78</v>
      </c>
      <c r="K455" s="156" t="s">
        <v>79</v>
      </c>
      <c r="L455" s="156" t="s">
        <v>96</v>
      </c>
      <c r="M455" s="202">
        <v>2.0</v>
      </c>
      <c r="N455" s="160">
        <v>0.0</v>
      </c>
      <c r="O455" s="161">
        <v>239.76</v>
      </c>
      <c r="P455" s="161">
        <v>239.76</v>
      </c>
      <c r="Q455" s="203">
        <v>0.0</v>
      </c>
      <c r="R455" s="162">
        <v>239.76</v>
      </c>
      <c r="S455" s="162">
        <v>0.0</v>
      </c>
      <c r="T455" s="162">
        <v>1254.04</v>
      </c>
      <c r="U455" s="163" t="s">
        <v>97</v>
      </c>
      <c r="V455" s="154">
        <v>45960.0</v>
      </c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64"/>
    </row>
    <row r="456">
      <c r="A456" s="176">
        <v>45960.0</v>
      </c>
      <c r="B456" s="177">
        <v>7747132.0</v>
      </c>
      <c r="C456" s="178" t="s">
        <v>82</v>
      </c>
      <c r="D456" s="178" t="s">
        <v>94</v>
      </c>
      <c r="E456" s="177">
        <v>7747132.0</v>
      </c>
      <c r="F456" s="178" t="s">
        <v>698</v>
      </c>
      <c r="G456" s="176">
        <v>46119.0</v>
      </c>
      <c r="H456" s="179">
        <v>46120.0</v>
      </c>
      <c r="I456" s="180">
        <v>1.0</v>
      </c>
      <c r="J456" s="181" t="s">
        <v>78</v>
      </c>
      <c r="K456" s="178" t="s">
        <v>79</v>
      </c>
      <c r="L456" s="178" t="s">
        <v>96</v>
      </c>
      <c r="M456" s="182">
        <v>2.0</v>
      </c>
      <c r="N456" s="183">
        <v>0.0</v>
      </c>
      <c r="O456" s="184">
        <v>239.76</v>
      </c>
      <c r="P456" s="184">
        <v>239.76</v>
      </c>
      <c r="Q456" s="185">
        <v>0.0</v>
      </c>
      <c r="R456" s="186">
        <v>239.76</v>
      </c>
      <c r="S456" s="186">
        <v>0.0</v>
      </c>
      <c r="T456" s="186">
        <v>1254.04</v>
      </c>
      <c r="U456" s="187" t="s">
        <v>97</v>
      </c>
      <c r="V456" s="176">
        <v>45960.0</v>
      </c>
      <c r="W456" s="175"/>
      <c r="X456" s="175"/>
      <c r="Y456" s="175"/>
      <c r="Z456" s="175"/>
      <c r="AA456" s="175"/>
      <c r="AB456" s="175"/>
      <c r="AC456" s="175"/>
      <c r="AD456" s="175"/>
      <c r="AE456" s="175"/>
      <c r="AF456" s="175"/>
      <c r="AG456" s="175"/>
      <c r="AH456" s="175"/>
      <c r="AI456" s="175"/>
    </row>
    <row r="457">
      <c r="A457" s="176">
        <v>45960.0</v>
      </c>
      <c r="B457" s="177">
        <v>7747132.0</v>
      </c>
      <c r="C457" s="178" t="s">
        <v>82</v>
      </c>
      <c r="D457" s="178" t="s">
        <v>94</v>
      </c>
      <c r="E457" s="177">
        <v>7747132.0</v>
      </c>
      <c r="F457" s="178" t="s">
        <v>698</v>
      </c>
      <c r="G457" s="176">
        <v>46119.0</v>
      </c>
      <c r="H457" s="179">
        <v>46120.0</v>
      </c>
      <c r="I457" s="180">
        <v>1.0</v>
      </c>
      <c r="J457" s="181" t="s">
        <v>114</v>
      </c>
      <c r="K457" s="178" t="s">
        <v>79</v>
      </c>
      <c r="L457" s="178" t="s">
        <v>96</v>
      </c>
      <c r="M457" s="182">
        <v>2.0</v>
      </c>
      <c r="N457" s="181">
        <v>0.0</v>
      </c>
      <c r="O457" s="184">
        <v>270.0</v>
      </c>
      <c r="P457" s="184">
        <v>270.0</v>
      </c>
      <c r="Q457" s="181">
        <v>0.0</v>
      </c>
      <c r="R457" s="186">
        <v>270.0</v>
      </c>
      <c r="S457" s="186">
        <v>0.0</v>
      </c>
      <c r="T457" s="186">
        <v>1254.04</v>
      </c>
      <c r="U457" s="187" t="s">
        <v>97</v>
      </c>
      <c r="V457" s="176">
        <v>45960.0</v>
      </c>
      <c r="W457" s="175"/>
      <c r="X457" s="175"/>
      <c r="Y457" s="175"/>
      <c r="Z457" s="175"/>
      <c r="AA457" s="175"/>
      <c r="AB457" s="175"/>
      <c r="AC457" s="175"/>
      <c r="AD457" s="175"/>
      <c r="AE457" s="175"/>
      <c r="AF457" s="175"/>
      <c r="AG457" s="175"/>
      <c r="AH457" s="175"/>
      <c r="AI457" s="175"/>
    </row>
    <row r="458">
      <c r="A458" s="176">
        <v>46077.0</v>
      </c>
      <c r="B458" s="177">
        <v>8215356.0</v>
      </c>
      <c r="C458" s="178" t="s">
        <v>89</v>
      </c>
      <c r="D458" s="178" t="s">
        <v>35</v>
      </c>
      <c r="E458" s="177">
        <v>5.590464362E9</v>
      </c>
      <c r="F458" s="178" t="s">
        <v>647</v>
      </c>
      <c r="G458" s="176">
        <v>46119.0</v>
      </c>
      <c r="H458" s="179">
        <v>46120.0</v>
      </c>
      <c r="I458" s="180">
        <v>1.0</v>
      </c>
      <c r="J458" s="181" t="s">
        <v>114</v>
      </c>
      <c r="K458" s="178" t="s">
        <v>79</v>
      </c>
      <c r="L458" s="178" t="s">
        <v>80</v>
      </c>
      <c r="M458" s="182">
        <v>0.0</v>
      </c>
      <c r="N458" s="183">
        <v>0.0</v>
      </c>
      <c r="O458" s="184">
        <v>0.0</v>
      </c>
      <c r="P458" s="184">
        <v>0.0</v>
      </c>
      <c r="Q458" s="185">
        <v>0.0</v>
      </c>
      <c r="R458" s="186">
        <v>0.0</v>
      </c>
      <c r="S458" s="186">
        <v>0.0</v>
      </c>
      <c r="T458" s="186">
        <v>0.0</v>
      </c>
      <c r="U458" s="187" t="s">
        <v>695</v>
      </c>
      <c r="V458" s="176">
        <v>46097.0</v>
      </c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64"/>
    </row>
    <row r="459">
      <c r="A459" s="176">
        <v>45972.0</v>
      </c>
      <c r="B459" s="177">
        <v>7792034.0</v>
      </c>
      <c r="C459" s="178" t="s">
        <v>82</v>
      </c>
      <c r="D459" s="178" t="s">
        <v>35</v>
      </c>
      <c r="E459" s="177">
        <v>5.743215016E9</v>
      </c>
      <c r="F459" s="178" t="s">
        <v>700</v>
      </c>
      <c r="G459" s="176">
        <v>46120.0</v>
      </c>
      <c r="H459" s="179">
        <v>46121.0</v>
      </c>
      <c r="I459" s="180">
        <v>1.0</v>
      </c>
      <c r="J459" s="181" t="s">
        <v>114</v>
      </c>
      <c r="K459" s="178" t="s">
        <v>138</v>
      </c>
      <c r="L459" s="178" t="s">
        <v>80</v>
      </c>
      <c r="M459" s="182">
        <v>2.0</v>
      </c>
      <c r="N459" s="183">
        <v>0.19999999999999996</v>
      </c>
      <c r="O459" s="184">
        <v>219.31</v>
      </c>
      <c r="P459" s="184">
        <v>175.448</v>
      </c>
      <c r="Q459" s="185">
        <v>36.0</v>
      </c>
      <c r="R459" s="186">
        <v>175.448</v>
      </c>
      <c r="S459" s="186">
        <v>36.0</v>
      </c>
      <c r="T459" s="186">
        <v>253.11</v>
      </c>
      <c r="U459" s="187" t="s">
        <v>678</v>
      </c>
      <c r="V459" s="176">
        <v>45972.0</v>
      </c>
      <c r="W459" s="175"/>
      <c r="X459" s="175"/>
      <c r="Y459" s="175"/>
      <c r="Z459" s="175"/>
      <c r="AA459" s="175"/>
      <c r="AB459" s="175"/>
      <c r="AC459" s="175"/>
      <c r="AD459" s="175"/>
      <c r="AE459" s="175"/>
      <c r="AF459" s="175"/>
      <c r="AG459" s="175"/>
      <c r="AH459" s="175"/>
      <c r="AI459" s="175"/>
    </row>
    <row r="460">
      <c r="A460" s="176">
        <v>45993.0</v>
      </c>
      <c r="B460" s="177">
        <v>7876913.0</v>
      </c>
      <c r="C460" s="178" t="s">
        <v>82</v>
      </c>
      <c r="D460" s="178" t="s">
        <v>35</v>
      </c>
      <c r="E460" s="177">
        <v>6.257544597E9</v>
      </c>
      <c r="F460" s="178" t="s">
        <v>702</v>
      </c>
      <c r="G460" s="176">
        <v>46120.0</v>
      </c>
      <c r="H460" s="179">
        <v>46125.0</v>
      </c>
      <c r="I460" s="180">
        <v>5.0</v>
      </c>
      <c r="J460" s="181" t="s">
        <v>78</v>
      </c>
      <c r="K460" s="178" t="s">
        <v>79</v>
      </c>
      <c r="L460" s="178" t="s">
        <v>80</v>
      </c>
      <c r="M460" s="182">
        <v>2.0</v>
      </c>
      <c r="N460" s="183">
        <v>0.19999999999999996</v>
      </c>
      <c r="O460" s="184">
        <v>168.74</v>
      </c>
      <c r="P460" s="184">
        <v>134.99200000000002</v>
      </c>
      <c r="Q460" s="185">
        <v>0.0</v>
      </c>
      <c r="R460" s="186">
        <v>674.96</v>
      </c>
      <c r="S460" s="186">
        <v>0.0</v>
      </c>
      <c r="T460" s="186">
        <v>1737.4</v>
      </c>
      <c r="U460" s="187" t="s">
        <v>107</v>
      </c>
      <c r="V460" s="176">
        <v>45993.0</v>
      </c>
      <c r="W460" s="175"/>
      <c r="X460" s="175"/>
      <c r="Y460" s="175"/>
      <c r="Z460" s="175"/>
      <c r="AA460" s="175"/>
      <c r="AB460" s="175"/>
      <c r="AC460" s="175"/>
      <c r="AD460" s="175"/>
      <c r="AE460" s="175"/>
      <c r="AF460" s="175"/>
      <c r="AG460" s="175"/>
      <c r="AH460" s="175"/>
      <c r="AI460" s="175"/>
    </row>
    <row r="461">
      <c r="A461" s="176">
        <v>45993.0</v>
      </c>
      <c r="B461" s="177">
        <v>7876913.0</v>
      </c>
      <c r="C461" s="178" t="s">
        <v>82</v>
      </c>
      <c r="D461" s="178" t="s">
        <v>35</v>
      </c>
      <c r="E461" s="177">
        <v>6.257544597E9</v>
      </c>
      <c r="F461" s="178" t="s">
        <v>702</v>
      </c>
      <c r="G461" s="176">
        <v>46120.0</v>
      </c>
      <c r="H461" s="179">
        <v>46125.0</v>
      </c>
      <c r="I461" s="180">
        <v>5.0</v>
      </c>
      <c r="J461" s="181" t="s">
        <v>78</v>
      </c>
      <c r="K461" s="178" t="s">
        <v>79</v>
      </c>
      <c r="L461" s="178" t="s">
        <v>80</v>
      </c>
      <c r="M461" s="182">
        <v>2.0</v>
      </c>
      <c r="N461" s="183">
        <v>0.19999999999999996</v>
      </c>
      <c r="O461" s="184">
        <v>168.74</v>
      </c>
      <c r="P461" s="184">
        <v>134.99200000000002</v>
      </c>
      <c r="Q461" s="185">
        <v>0.0</v>
      </c>
      <c r="R461" s="186">
        <v>674.96</v>
      </c>
      <c r="S461" s="186">
        <v>0.0</v>
      </c>
      <c r="T461" s="186">
        <v>1737.4</v>
      </c>
      <c r="U461" s="187" t="s">
        <v>107</v>
      </c>
      <c r="V461" s="176">
        <v>45993.0</v>
      </c>
      <c r="W461" s="175"/>
      <c r="X461" s="175"/>
      <c r="Y461" s="175"/>
      <c r="Z461" s="175"/>
      <c r="AA461" s="175"/>
      <c r="AB461" s="175"/>
      <c r="AC461" s="175"/>
      <c r="AD461" s="175"/>
      <c r="AE461" s="175"/>
      <c r="AF461" s="175"/>
      <c r="AG461" s="175"/>
      <c r="AH461" s="175"/>
      <c r="AI461" s="175"/>
    </row>
    <row r="462">
      <c r="A462" s="165">
        <v>46006.0</v>
      </c>
      <c r="B462" s="166">
        <v>7922369.0</v>
      </c>
      <c r="C462" s="166" t="s">
        <v>89</v>
      </c>
      <c r="D462" s="166" t="s">
        <v>35</v>
      </c>
      <c r="E462" s="166">
        <v>5.221184783E9</v>
      </c>
      <c r="F462" s="166" t="s">
        <v>703</v>
      </c>
      <c r="G462" s="165">
        <v>46120.0</v>
      </c>
      <c r="H462" s="167">
        <v>46123.0</v>
      </c>
      <c r="I462" s="168">
        <v>3.0</v>
      </c>
      <c r="J462" s="169" t="s">
        <v>78</v>
      </c>
      <c r="K462" s="166" t="s">
        <v>79</v>
      </c>
      <c r="L462" s="166" t="s">
        <v>80</v>
      </c>
      <c r="M462" s="166">
        <v>0.0</v>
      </c>
      <c r="N462" s="169">
        <v>0.0</v>
      </c>
      <c r="O462" s="171">
        <v>0.0</v>
      </c>
      <c r="P462" s="171">
        <v>0.0</v>
      </c>
      <c r="Q462" s="169">
        <v>0.0</v>
      </c>
      <c r="R462" s="173">
        <v>0.0</v>
      </c>
      <c r="S462" s="173">
        <v>0.0</v>
      </c>
      <c r="T462" s="173">
        <v>0.0</v>
      </c>
      <c r="U462" s="201" t="s">
        <v>704</v>
      </c>
      <c r="V462" s="165">
        <v>46121.0</v>
      </c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</row>
    <row r="463">
      <c r="A463" s="165">
        <v>46025.0</v>
      </c>
      <c r="B463" s="166">
        <v>7986274.0</v>
      </c>
      <c r="C463" s="166" t="s">
        <v>82</v>
      </c>
      <c r="D463" s="166" t="s">
        <v>35</v>
      </c>
      <c r="E463" s="166">
        <v>5.692930557E9</v>
      </c>
      <c r="F463" s="166" t="s">
        <v>705</v>
      </c>
      <c r="G463" s="165">
        <v>46120.0</v>
      </c>
      <c r="H463" s="167">
        <v>46122.0</v>
      </c>
      <c r="I463" s="168">
        <v>2.0</v>
      </c>
      <c r="J463" s="169" t="s">
        <v>78</v>
      </c>
      <c r="K463" s="166" t="s">
        <v>79</v>
      </c>
      <c r="L463" s="166" t="s">
        <v>80</v>
      </c>
      <c r="M463" s="166">
        <v>2.0</v>
      </c>
      <c r="N463" s="170">
        <v>0.19999999999999996</v>
      </c>
      <c r="O463" s="171">
        <v>157.94</v>
      </c>
      <c r="P463" s="171">
        <v>126.352</v>
      </c>
      <c r="Q463" s="172">
        <v>0.0</v>
      </c>
      <c r="R463" s="173">
        <v>252.704</v>
      </c>
      <c r="S463" s="173">
        <v>0.0</v>
      </c>
      <c r="T463" s="173">
        <v>325.88</v>
      </c>
      <c r="U463" s="174" t="s">
        <v>107</v>
      </c>
      <c r="V463" s="165">
        <v>46025.0</v>
      </c>
      <c r="W463" s="164"/>
      <c r="X463" s="164"/>
      <c r="Y463" s="164"/>
      <c r="Z463" s="164"/>
      <c r="AA463" s="164"/>
      <c r="AB463" s="164"/>
      <c r="AC463" s="164"/>
      <c r="AD463" s="164"/>
      <c r="AE463" s="164"/>
      <c r="AF463" s="164"/>
      <c r="AG463" s="164"/>
      <c r="AH463" s="164"/>
      <c r="AI463" s="164"/>
    </row>
    <row r="464">
      <c r="A464" s="165">
        <v>46031.0</v>
      </c>
      <c r="B464" s="166">
        <v>8010872.0</v>
      </c>
      <c r="C464" s="166" t="s">
        <v>82</v>
      </c>
      <c r="D464" s="166" t="s">
        <v>94</v>
      </c>
      <c r="E464" s="166">
        <v>8010872.0</v>
      </c>
      <c r="F464" s="166" t="s">
        <v>707</v>
      </c>
      <c r="G464" s="165">
        <v>46120.0</v>
      </c>
      <c r="H464" s="167">
        <v>46124.0</v>
      </c>
      <c r="I464" s="168">
        <v>4.0</v>
      </c>
      <c r="J464" s="169" t="s">
        <v>114</v>
      </c>
      <c r="K464" s="166" t="s">
        <v>79</v>
      </c>
      <c r="L464" s="166" t="s">
        <v>96</v>
      </c>
      <c r="M464" s="205">
        <v>2.0</v>
      </c>
      <c r="N464" s="170">
        <v>0.0</v>
      </c>
      <c r="O464" s="171">
        <v>270.0</v>
      </c>
      <c r="P464" s="171">
        <v>270.0</v>
      </c>
      <c r="Q464" s="172">
        <v>0.0</v>
      </c>
      <c r="R464" s="173">
        <v>1080.0</v>
      </c>
      <c r="S464" s="173">
        <v>0.0</v>
      </c>
      <c r="T464" s="173">
        <v>1100.0</v>
      </c>
      <c r="U464" s="174" t="s">
        <v>97</v>
      </c>
      <c r="V464" s="165">
        <v>46031.0</v>
      </c>
      <c r="W464" s="175"/>
      <c r="X464" s="175"/>
      <c r="Y464" s="175"/>
      <c r="Z464" s="175"/>
      <c r="AA464" s="175"/>
      <c r="AB464" s="175"/>
      <c r="AC464" s="175"/>
      <c r="AD464" s="175"/>
      <c r="AE464" s="175"/>
      <c r="AF464" s="175"/>
      <c r="AG464" s="175"/>
      <c r="AH464" s="175"/>
      <c r="AI464" s="175"/>
    </row>
    <row r="465">
      <c r="A465" s="176">
        <v>46034.0</v>
      </c>
      <c r="B465" s="177">
        <v>8025665.0</v>
      </c>
      <c r="C465" s="178" t="s">
        <v>82</v>
      </c>
      <c r="D465" s="178" t="s">
        <v>35</v>
      </c>
      <c r="E465" s="177">
        <v>5.844062702E9</v>
      </c>
      <c r="F465" s="178" t="s">
        <v>708</v>
      </c>
      <c r="G465" s="176">
        <v>46120.0</v>
      </c>
      <c r="H465" s="179">
        <v>46123.0</v>
      </c>
      <c r="I465" s="180">
        <v>3.0</v>
      </c>
      <c r="J465" s="181" t="s">
        <v>111</v>
      </c>
      <c r="K465" s="178" t="s">
        <v>79</v>
      </c>
      <c r="L465" s="178" t="s">
        <v>80</v>
      </c>
      <c r="M465" s="182">
        <v>2.0</v>
      </c>
      <c r="N465" s="183">
        <v>0.19999999999999996</v>
      </c>
      <c r="O465" s="184">
        <v>275.42</v>
      </c>
      <c r="P465" s="184">
        <v>220.336</v>
      </c>
      <c r="Q465" s="185">
        <v>0.0</v>
      </c>
      <c r="R465" s="186">
        <v>661.008</v>
      </c>
      <c r="S465" s="186">
        <v>0.0</v>
      </c>
      <c r="T465" s="186">
        <v>841.26</v>
      </c>
      <c r="U465" s="187" t="s">
        <v>353</v>
      </c>
      <c r="V465" s="176">
        <v>46034.0</v>
      </c>
      <c r="W465" s="175"/>
      <c r="X465" s="175"/>
      <c r="Y465" s="175"/>
      <c r="Z465" s="175"/>
      <c r="AA465" s="175"/>
      <c r="AB465" s="175"/>
      <c r="AC465" s="175"/>
      <c r="AD465" s="175"/>
      <c r="AE465" s="175"/>
      <c r="AF465" s="175"/>
      <c r="AG465" s="175"/>
      <c r="AH465" s="175"/>
      <c r="AI465" s="175"/>
    </row>
    <row r="466">
      <c r="A466" s="154">
        <v>45965.0</v>
      </c>
      <c r="B466" s="155">
        <v>7766139.0</v>
      </c>
      <c r="C466" s="156" t="s">
        <v>89</v>
      </c>
      <c r="D466" s="156" t="s">
        <v>35</v>
      </c>
      <c r="E466" s="155">
        <v>6.756025348E9</v>
      </c>
      <c r="F466" s="156" t="s">
        <v>709</v>
      </c>
      <c r="G466" s="154">
        <v>46121.0</v>
      </c>
      <c r="H466" s="157">
        <v>46126.0</v>
      </c>
      <c r="I466" s="158">
        <v>5.0</v>
      </c>
      <c r="J466" s="159" t="s">
        <v>111</v>
      </c>
      <c r="K466" s="156" t="s">
        <v>79</v>
      </c>
      <c r="L466" s="156" t="s">
        <v>80</v>
      </c>
      <c r="M466" s="155">
        <v>0.0</v>
      </c>
      <c r="N466" s="160">
        <v>0.0</v>
      </c>
      <c r="O466" s="161">
        <v>0.0</v>
      </c>
      <c r="P466" s="161">
        <v>0.0</v>
      </c>
      <c r="Q466" s="159">
        <v>0.0</v>
      </c>
      <c r="R466" s="162">
        <v>0.0</v>
      </c>
      <c r="S466" s="162">
        <v>0.0</v>
      </c>
      <c r="T466" s="162">
        <v>0.0</v>
      </c>
      <c r="U466" s="163" t="s">
        <v>683</v>
      </c>
      <c r="V466" s="154">
        <v>46113.0</v>
      </c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</row>
    <row r="467">
      <c r="A467" s="154">
        <v>46033.0</v>
      </c>
      <c r="B467" s="155">
        <v>8021221.0</v>
      </c>
      <c r="C467" s="156" t="s">
        <v>82</v>
      </c>
      <c r="D467" s="156" t="s">
        <v>35</v>
      </c>
      <c r="E467" s="155">
        <v>5.184267069E9</v>
      </c>
      <c r="F467" s="156" t="s">
        <v>710</v>
      </c>
      <c r="G467" s="154">
        <v>46121.0</v>
      </c>
      <c r="H467" s="157">
        <v>46124.0</v>
      </c>
      <c r="I467" s="158">
        <v>3.0</v>
      </c>
      <c r="J467" s="159" t="s">
        <v>78</v>
      </c>
      <c r="K467" s="156" t="s">
        <v>79</v>
      </c>
      <c r="L467" s="156" t="s">
        <v>80</v>
      </c>
      <c r="M467" s="155">
        <v>2.0</v>
      </c>
      <c r="N467" s="160">
        <v>0.19999999999999996</v>
      </c>
      <c r="O467" s="161">
        <v>161.0</v>
      </c>
      <c r="P467" s="161">
        <v>128.8</v>
      </c>
      <c r="Q467" s="203">
        <v>0.0</v>
      </c>
      <c r="R467" s="162">
        <v>386.40000000000003</v>
      </c>
      <c r="S467" s="162">
        <v>0.0</v>
      </c>
      <c r="T467" s="162">
        <v>498.0</v>
      </c>
      <c r="U467" s="163" t="s">
        <v>107</v>
      </c>
      <c r="V467" s="154">
        <v>46033.0</v>
      </c>
      <c r="W467" s="175"/>
      <c r="X467" s="175"/>
      <c r="Y467" s="175"/>
      <c r="Z467" s="175"/>
      <c r="AA467" s="175"/>
      <c r="AB467" s="175"/>
      <c r="AC467" s="175"/>
      <c r="AD467" s="175"/>
      <c r="AE467" s="175"/>
      <c r="AF467" s="175"/>
      <c r="AG467" s="175"/>
      <c r="AH467" s="175"/>
      <c r="AI467" s="175"/>
    </row>
    <row r="468">
      <c r="A468" s="154">
        <v>46066.0</v>
      </c>
      <c r="B468" s="155">
        <v>8167957.0</v>
      </c>
      <c r="C468" s="156" t="s">
        <v>82</v>
      </c>
      <c r="D468" s="156" t="s">
        <v>109</v>
      </c>
      <c r="E468" s="155">
        <v>6.27998431E8</v>
      </c>
      <c r="F468" s="156" t="s">
        <v>711</v>
      </c>
      <c r="G468" s="154">
        <v>46121.0</v>
      </c>
      <c r="H468" s="157">
        <v>46124.0</v>
      </c>
      <c r="I468" s="158">
        <v>3.0</v>
      </c>
      <c r="J468" s="159" t="s">
        <v>114</v>
      </c>
      <c r="K468" s="156" t="s">
        <v>79</v>
      </c>
      <c r="L468" s="156" t="s">
        <v>96</v>
      </c>
      <c r="M468" s="155">
        <v>2.0</v>
      </c>
      <c r="N468" s="160">
        <v>0.19999999999999996</v>
      </c>
      <c r="O468" s="161">
        <v>239.05999999999997</v>
      </c>
      <c r="P468" s="161">
        <v>191.248</v>
      </c>
      <c r="Q468" s="203">
        <v>0.0</v>
      </c>
      <c r="R468" s="162">
        <v>573.7439999999999</v>
      </c>
      <c r="S468" s="162">
        <v>0.0</v>
      </c>
      <c r="T468" s="162">
        <v>717.18</v>
      </c>
      <c r="U468" s="163" t="s">
        <v>112</v>
      </c>
      <c r="V468" s="154">
        <v>46066.0</v>
      </c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</row>
    <row r="469">
      <c r="A469" s="165">
        <v>46042.0</v>
      </c>
      <c r="B469" s="166">
        <v>8057363.0</v>
      </c>
      <c r="C469" s="166" t="s">
        <v>89</v>
      </c>
      <c r="D469" s="166" t="s">
        <v>35</v>
      </c>
      <c r="E469" s="166">
        <v>5.024366024E9</v>
      </c>
      <c r="F469" s="166" t="s">
        <v>713</v>
      </c>
      <c r="G469" s="165">
        <v>46121.0</v>
      </c>
      <c r="H469" s="167">
        <v>46124.0</v>
      </c>
      <c r="I469" s="168">
        <v>3.0</v>
      </c>
      <c r="J469" s="169" t="s">
        <v>91</v>
      </c>
      <c r="K469" s="166" t="s">
        <v>79</v>
      </c>
      <c r="L469" s="166" t="s">
        <v>80</v>
      </c>
      <c r="M469" s="166">
        <v>0.0</v>
      </c>
      <c r="N469" s="170">
        <v>0.0</v>
      </c>
      <c r="O469" s="171">
        <v>0.0</v>
      </c>
      <c r="P469" s="171">
        <v>0.0</v>
      </c>
      <c r="Q469" s="172">
        <v>0.0</v>
      </c>
      <c r="R469" s="173">
        <v>0.0</v>
      </c>
      <c r="S469" s="173">
        <v>0.0</v>
      </c>
      <c r="T469" s="162">
        <v>0.0</v>
      </c>
      <c r="U469" s="163" t="s">
        <v>714</v>
      </c>
      <c r="V469" s="216">
        <v>46042.0</v>
      </c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</row>
    <row r="470">
      <c r="A470" s="176">
        <v>46063.0</v>
      </c>
      <c r="B470" s="177">
        <v>8156133.0</v>
      </c>
      <c r="C470" s="178" t="s">
        <v>89</v>
      </c>
      <c r="D470" s="178" t="s">
        <v>35</v>
      </c>
      <c r="E470" s="177">
        <v>6.136148665E9</v>
      </c>
      <c r="F470" s="178" t="s">
        <v>715</v>
      </c>
      <c r="G470" s="176">
        <v>46121.0</v>
      </c>
      <c r="H470" s="179">
        <v>46124.0</v>
      </c>
      <c r="I470" s="180">
        <v>3.0</v>
      </c>
      <c r="J470" s="181" t="s">
        <v>91</v>
      </c>
      <c r="K470" s="178" t="s">
        <v>79</v>
      </c>
      <c r="L470" s="178" t="s">
        <v>80</v>
      </c>
      <c r="M470" s="182">
        <v>0.0</v>
      </c>
      <c r="N470" s="183">
        <v>0.0</v>
      </c>
      <c r="O470" s="184">
        <v>0.0</v>
      </c>
      <c r="P470" s="184">
        <v>0.0</v>
      </c>
      <c r="Q470" s="185">
        <v>0.0</v>
      </c>
      <c r="R470" s="186">
        <v>0.0</v>
      </c>
      <c r="S470" s="186">
        <v>0.0</v>
      </c>
      <c r="T470" s="186">
        <v>0.0</v>
      </c>
      <c r="U470" s="187" t="s">
        <v>716</v>
      </c>
      <c r="V470" s="176">
        <v>46094.0</v>
      </c>
      <c r="W470" s="175"/>
      <c r="X470" s="175"/>
      <c r="Y470" s="175"/>
      <c r="Z470" s="175"/>
      <c r="AA470" s="175"/>
      <c r="AB470" s="175"/>
      <c r="AC470" s="175"/>
      <c r="AD470" s="175"/>
      <c r="AE470" s="175"/>
      <c r="AF470" s="175"/>
      <c r="AG470" s="175"/>
      <c r="AH470" s="175"/>
      <c r="AI470" s="175"/>
    </row>
    <row r="471">
      <c r="A471" s="154">
        <v>45868.0</v>
      </c>
      <c r="B471" s="155">
        <v>7350048.0</v>
      </c>
      <c r="C471" s="156" t="s">
        <v>75</v>
      </c>
      <c r="D471" s="156" t="s">
        <v>35</v>
      </c>
      <c r="E471" s="155">
        <v>6.54437517E9</v>
      </c>
      <c r="F471" s="156" t="s">
        <v>717</v>
      </c>
      <c r="G471" s="154">
        <v>46122.0</v>
      </c>
      <c r="H471" s="157">
        <v>46124.0</v>
      </c>
      <c r="I471" s="158">
        <v>2.0</v>
      </c>
      <c r="J471" s="159" t="s">
        <v>87</v>
      </c>
      <c r="K471" s="156" t="s">
        <v>79</v>
      </c>
      <c r="L471" s="156" t="s">
        <v>80</v>
      </c>
      <c r="M471" s="155">
        <v>2.0</v>
      </c>
      <c r="N471" s="160">
        <v>0.19999999999999996</v>
      </c>
      <c r="O471" s="161">
        <v>148.72</v>
      </c>
      <c r="P471" s="161">
        <v>118.976</v>
      </c>
      <c r="Q471" s="203">
        <v>0.0</v>
      </c>
      <c r="R471" s="162">
        <v>237.952</v>
      </c>
      <c r="S471" s="162">
        <v>0.0</v>
      </c>
      <c r="T471" s="162">
        <v>307.44</v>
      </c>
      <c r="U471" s="163" t="s">
        <v>718</v>
      </c>
      <c r="V471" s="154">
        <v>45868.0</v>
      </c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  <c r="AG471" s="164"/>
      <c r="AH471" s="164"/>
      <c r="AI471" s="164"/>
    </row>
    <row r="472">
      <c r="A472" s="165">
        <v>45936.0</v>
      </c>
      <c r="B472" s="166">
        <v>7651968.0</v>
      </c>
      <c r="C472" s="166" t="s">
        <v>82</v>
      </c>
      <c r="D472" s="166" t="s">
        <v>35</v>
      </c>
      <c r="E472" s="166">
        <v>6.737202285E9</v>
      </c>
      <c r="F472" s="166" t="s">
        <v>719</v>
      </c>
      <c r="G472" s="165">
        <v>46122.0</v>
      </c>
      <c r="H472" s="167">
        <v>46125.0</v>
      </c>
      <c r="I472" s="168">
        <v>3.0</v>
      </c>
      <c r="J472" s="169" t="s">
        <v>78</v>
      </c>
      <c r="K472" s="166" t="s">
        <v>79</v>
      </c>
      <c r="L472" s="166" t="s">
        <v>80</v>
      </c>
      <c r="M472" s="205">
        <v>3.0</v>
      </c>
      <c r="N472" s="170">
        <v>0.19999999999999996</v>
      </c>
      <c r="O472" s="171">
        <v>147.29999999999998</v>
      </c>
      <c r="P472" s="171">
        <v>117.83999999999999</v>
      </c>
      <c r="Q472" s="172">
        <v>0.0</v>
      </c>
      <c r="R472" s="173">
        <v>353.52</v>
      </c>
      <c r="S472" s="173">
        <v>0.0</v>
      </c>
      <c r="T472" s="173">
        <v>441.9</v>
      </c>
      <c r="U472" s="174" t="s">
        <v>107</v>
      </c>
      <c r="V472" s="165">
        <v>45936.0</v>
      </c>
      <c r="W472" s="175"/>
      <c r="X472" s="175"/>
      <c r="Y472" s="175"/>
      <c r="Z472" s="175"/>
      <c r="AA472" s="175"/>
      <c r="AB472" s="175"/>
      <c r="AC472" s="175"/>
      <c r="AD472" s="175"/>
      <c r="AE472" s="175"/>
      <c r="AF472" s="175"/>
      <c r="AG472" s="175"/>
      <c r="AH472" s="175"/>
      <c r="AI472" s="175"/>
    </row>
    <row r="473">
      <c r="A473" s="154">
        <v>45942.0</v>
      </c>
      <c r="B473" s="155">
        <v>7676507.0</v>
      </c>
      <c r="C473" s="156" t="s">
        <v>89</v>
      </c>
      <c r="D473" s="156" t="s">
        <v>35</v>
      </c>
      <c r="E473" s="155">
        <v>6.506299977E9</v>
      </c>
      <c r="F473" s="156" t="s">
        <v>720</v>
      </c>
      <c r="G473" s="154">
        <v>46122.0</v>
      </c>
      <c r="H473" s="157">
        <v>46125.0</v>
      </c>
      <c r="I473" s="158">
        <v>3.0</v>
      </c>
      <c r="J473" s="159" t="s">
        <v>78</v>
      </c>
      <c r="K473" s="156" t="s">
        <v>79</v>
      </c>
      <c r="L473" s="156" t="s">
        <v>80</v>
      </c>
      <c r="M473" s="155">
        <v>0.0</v>
      </c>
      <c r="N473" s="160">
        <v>0.0</v>
      </c>
      <c r="O473" s="161">
        <v>0.0</v>
      </c>
      <c r="P473" s="161">
        <v>0.0</v>
      </c>
      <c r="Q473" s="203">
        <v>0.0</v>
      </c>
      <c r="R473" s="162">
        <v>0.0</v>
      </c>
      <c r="S473" s="162">
        <v>0.0</v>
      </c>
      <c r="T473" s="162">
        <v>0.0</v>
      </c>
      <c r="U473" s="163" t="s">
        <v>722</v>
      </c>
      <c r="V473" s="154">
        <v>46031.0</v>
      </c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</row>
    <row r="474">
      <c r="A474" s="165">
        <v>45972.0</v>
      </c>
      <c r="B474" s="166">
        <v>7795101.0</v>
      </c>
      <c r="C474" s="166" t="s">
        <v>89</v>
      </c>
      <c r="D474" s="166" t="s">
        <v>35</v>
      </c>
      <c r="E474" s="166">
        <v>5.41463966E9</v>
      </c>
      <c r="F474" s="166" t="s">
        <v>723</v>
      </c>
      <c r="G474" s="165">
        <v>46123.0</v>
      </c>
      <c r="H474" s="167">
        <v>46127.0</v>
      </c>
      <c r="I474" s="168">
        <v>4.0</v>
      </c>
      <c r="J474" s="169" t="s">
        <v>111</v>
      </c>
      <c r="K474" s="166" t="s">
        <v>79</v>
      </c>
      <c r="L474" s="166" t="s">
        <v>80</v>
      </c>
      <c r="M474" s="166">
        <v>0.0</v>
      </c>
      <c r="N474" s="169">
        <v>0.0</v>
      </c>
      <c r="O474" s="171">
        <v>0.0</v>
      </c>
      <c r="P474" s="171">
        <v>0.0</v>
      </c>
      <c r="Q474" s="169">
        <v>0.0</v>
      </c>
      <c r="R474" s="173">
        <v>0.0</v>
      </c>
      <c r="S474" s="173">
        <v>0.0</v>
      </c>
      <c r="T474" s="173">
        <v>0.0</v>
      </c>
      <c r="U474" s="201" t="s">
        <v>724</v>
      </c>
      <c r="V474" s="165">
        <v>46061.0</v>
      </c>
      <c r="W474" s="164"/>
      <c r="X474" s="164"/>
      <c r="Y474" s="164"/>
      <c r="Z474" s="164"/>
      <c r="AA474" s="164"/>
      <c r="AB474" s="164"/>
      <c r="AC474" s="164"/>
      <c r="AD474" s="164"/>
      <c r="AE474" s="164"/>
      <c r="AF474" s="164"/>
      <c r="AG474" s="164"/>
      <c r="AH474" s="164"/>
      <c r="AI474" s="164"/>
    </row>
    <row r="475">
      <c r="A475" s="165">
        <v>46059.0</v>
      </c>
      <c r="B475" s="166">
        <v>8135571.0</v>
      </c>
      <c r="C475" s="166" t="s">
        <v>82</v>
      </c>
      <c r="D475" s="166" t="s">
        <v>109</v>
      </c>
      <c r="E475" s="166">
        <v>6.25518059E8</v>
      </c>
      <c r="F475" s="166" t="s">
        <v>725</v>
      </c>
      <c r="G475" s="165">
        <v>46123.0</v>
      </c>
      <c r="H475" s="167">
        <v>46125.0</v>
      </c>
      <c r="I475" s="168">
        <v>2.0</v>
      </c>
      <c r="J475" s="169" t="s">
        <v>78</v>
      </c>
      <c r="K475" s="166" t="s">
        <v>79</v>
      </c>
      <c r="L475" s="166" t="s">
        <v>96</v>
      </c>
      <c r="M475" s="166">
        <v>2.0</v>
      </c>
      <c r="N475" s="170">
        <v>0.19999999999999996</v>
      </c>
      <c r="O475" s="171">
        <v>212.29</v>
      </c>
      <c r="P475" s="171">
        <v>169.832</v>
      </c>
      <c r="Q475" s="172">
        <v>0.0</v>
      </c>
      <c r="R475" s="173">
        <v>339.664</v>
      </c>
      <c r="S475" s="173">
        <v>0.0</v>
      </c>
      <c r="T475" s="173">
        <v>424.58</v>
      </c>
      <c r="U475" s="201" t="s">
        <v>112</v>
      </c>
      <c r="V475" s="165">
        <v>46059.0</v>
      </c>
      <c r="W475" s="164"/>
      <c r="X475" s="164"/>
      <c r="Y475" s="164"/>
      <c r="Z475" s="164"/>
      <c r="AA475" s="164"/>
      <c r="AB475" s="164"/>
      <c r="AC475" s="164"/>
      <c r="AD475" s="164"/>
      <c r="AE475" s="164"/>
      <c r="AF475" s="164"/>
      <c r="AG475" s="164"/>
      <c r="AH475" s="164"/>
      <c r="AI475" s="164"/>
    </row>
    <row r="476">
      <c r="A476" s="165">
        <v>46054.0</v>
      </c>
      <c r="B476" s="166">
        <v>8112249.0</v>
      </c>
      <c r="C476" s="166" t="s">
        <v>89</v>
      </c>
      <c r="D476" s="166" t="s">
        <v>35</v>
      </c>
      <c r="E476" s="166">
        <v>6.590076703E9</v>
      </c>
      <c r="F476" s="166" t="s">
        <v>726</v>
      </c>
      <c r="G476" s="165">
        <v>46123.0</v>
      </c>
      <c r="H476" s="167">
        <v>46124.0</v>
      </c>
      <c r="I476" s="168">
        <v>1.0</v>
      </c>
      <c r="J476" s="169" t="s">
        <v>78</v>
      </c>
      <c r="K476" s="166" t="s">
        <v>79</v>
      </c>
      <c r="L476" s="166" t="s">
        <v>80</v>
      </c>
      <c r="M476" s="166">
        <v>0.0</v>
      </c>
      <c r="N476" s="170">
        <v>0.0</v>
      </c>
      <c r="O476" s="171">
        <v>0.0</v>
      </c>
      <c r="P476" s="171">
        <v>0.0</v>
      </c>
      <c r="Q476" s="172">
        <v>0.0</v>
      </c>
      <c r="R476" s="173">
        <v>0.0</v>
      </c>
      <c r="S476" s="173">
        <v>0.0</v>
      </c>
      <c r="T476" s="173">
        <v>0.0</v>
      </c>
      <c r="U476" s="174" t="s">
        <v>727</v>
      </c>
      <c r="V476" s="165">
        <v>46054.0</v>
      </c>
      <c r="W476" s="175"/>
      <c r="X476" s="175"/>
      <c r="Y476" s="175"/>
      <c r="Z476" s="175"/>
      <c r="AA476" s="175"/>
      <c r="AB476" s="175"/>
      <c r="AC476" s="175"/>
      <c r="AD476" s="175"/>
      <c r="AE476" s="175"/>
      <c r="AF476" s="175"/>
      <c r="AG476" s="175"/>
      <c r="AH476" s="175"/>
      <c r="AI476" s="175"/>
    </row>
    <row r="477">
      <c r="A477" s="165">
        <v>46054.0</v>
      </c>
      <c r="B477" s="166">
        <v>8112249.0</v>
      </c>
      <c r="C477" s="166" t="s">
        <v>89</v>
      </c>
      <c r="D477" s="166" t="s">
        <v>35</v>
      </c>
      <c r="E477" s="166">
        <v>6.590076703E9</v>
      </c>
      <c r="F477" s="166" t="s">
        <v>726</v>
      </c>
      <c r="G477" s="165">
        <v>46123.0</v>
      </c>
      <c r="H477" s="167">
        <v>46124.0</v>
      </c>
      <c r="I477" s="168">
        <v>1.0</v>
      </c>
      <c r="J477" s="169" t="s">
        <v>114</v>
      </c>
      <c r="K477" s="166" t="s">
        <v>79</v>
      </c>
      <c r="L477" s="166" t="s">
        <v>80</v>
      </c>
      <c r="M477" s="166">
        <v>0.0</v>
      </c>
      <c r="N477" s="170">
        <v>0.0</v>
      </c>
      <c r="O477" s="171">
        <v>0.0</v>
      </c>
      <c r="P477" s="171">
        <v>0.0</v>
      </c>
      <c r="Q477" s="172">
        <v>0.0</v>
      </c>
      <c r="R477" s="173">
        <v>0.0</v>
      </c>
      <c r="S477" s="173">
        <v>0.0</v>
      </c>
      <c r="T477" s="173">
        <v>0.0</v>
      </c>
      <c r="U477" s="174" t="s">
        <v>727</v>
      </c>
      <c r="V477" s="165">
        <v>46054.0</v>
      </c>
      <c r="W477" s="175"/>
      <c r="X477" s="175"/>
      <c r="Y477" s="175"/>
      <c r="Z477" s="175"/>
      <c r="AA477" s="175"/>
      <c r="AB477" s="175"/>
      <c r="AC477" s="175"/>
      <c r="AD477" s="175"/>
      <c r="AE477" s="175"/>
      <c r="AF477" s="175"/>
      <c r="AG477" s="175"/>
      <c r="AH477" s="175"/>
      <c r="AI477" s="175"/>
    </row>
    <row r="478">
      <c r="A478" s="165">
        <v>45950.0</v>
      </c>
      <c r="B478" s="166">
        <v>7708199.0</v>
      </c>
      <c r="C478" s="166" t="s">
        <v>82</v>
      </c>
      <c r="D478" s="166" t="s">
        <v>94</v>
      </c>
      <c r="E478" s="166">
        <v>7708199.0</v>
      </c>
      <c r="F478" s="166" t="s">
        <v>728</v>
      </c>
      <c r="G478" s="165">
        <v>46124.0</v>
      </c>
      <c r="H478" s="167">
        <v>46127.0</v>
      </c>
      <c r="I478" s="168">
        <v>3.0</v>
      </c>
      <c r="J478" s="169" t="s">
        <v>114</v>
      </c>
      <c r="K478" s="166" t="s">
        <v>79</v>
      </c>
      <c r="L478" s="166" t="s">
        <v>96</v>
      </c>
      <c r="M478" s="166">
        <v>2.0</v>
      </c>
      <c r="N478" s="170">
        <v>0.0</v>
      </c>
      <c r="O478" s="171">
        <v>225.36</v>
      </c>
      <c r="P478" s="171">
        <v>225.36</v>
      </c>
      <c r="Q478" s="172">
        <v>0.0</v>
      </c>
      <c r="R478" s="173">
        <v>676.08</v>
      </c>
      <c r="S478" s="173">
        <v>0.0</v>
      </c>
      <c r="T478" s="173">
        <v>1382.16</v>
      </c>
      <c r="U478" s="174" t="s">
        <v>97</v>
      </c>
      <c r="V478" s="165">
        <v>45950.0</v>
      </c>
      <c r="W478" s="175"/>
      <c r="X478" s="175"/>
      <c r="Y478" s="175"/>
      <c r="Z478" s="175"/>
      <c r="AA478" s="175"/>
      <c r="AB478" s="175"/>
      <c r="AC478" s="175"/>
      <c r="AD478" s="175"/>
      <c r="AE478" s="175"/>
      <c r="AF478" s="175"/>
      <c r="AG478" s="175"/>
      <c r="AH478" s="175"/>
      <c r="AI478" s="175"/>
    </row>
    <row r="479">
      <c r="A479" s="154">
        <v>45950.0</v>
      </c>
      <c r="B479" s="155">
        <v>7708199.0</v>
      </c>
      <c r="C479" s="156" t="s">
        <v>82</v>
      </c>
      <c r="D479" s="156" t="s">
        <v>94</v>
      </c>
      <c r="E479" s="155">
        <v>7708199.0</v>
      </c>
      <c r="F479" s="156" t="s">
        <v>728</v>
      </c>
      <c r="G479" s="154">
        <v>46124.0</v>
      </c>
      <c r="H479" s="157">
        <v>46127.0</v>
      </c>
      <c r="I479" s="158">
        <v>3.0</v>
      </c>
      <c r="J479" s="159" t="s">
        <v>114</v>
      </c>
      <c r="K479" s="156" t="s">
        <v>79</v>
      </c>
      <c r="L479" s="156" t="s">
        <v>96</v>
      </c>
      <c r="M479" s="155">
        <v>2.0</v>
      </c>
      <c r="N479" s="160">
        <v>0.0</v>
      </c>
      <c r="O479" s="161">
        <v>225.36</v>
      </c>
      <c r="P479" s="161">
        <v>225.36</v>
      </c>
      <c r="Q479" s="203">
        <v>0.0</v>
      </c>
      <c r="R479" s="162">
        <v>676.08</v>
      </c>
      <c r="S479" s="162">
        <v>0.0</v>
      </c>
      <c r="T479" s="162">
        <v>1382.16</v>
      </c>
      <c r="U479" s="163" t="s">
        <v>97</v>
      </c>
      <c r="V479" s="154">
        <v>45950.0</v>
      </c>
      <c r="W479" s="175"/>
      <c r="X479" s="175"/>
      <c r="Y479" s="175"/>
      <c r="Z479" s="175"/>
      <c r="AA479" s="175"/>
      <c r="AB479" s="175"/>
      <c r="AC479" s="175"/>
      <c r="AD479" s="175"/>
      <c r="AE479" s="175"/>
      <c r="AF479" s="175"/>
      <c r="AG479" s="175"/>
      <c r="AH479" s="175"/>
      <c r="AI479" s="175"/>
    </row>
    <row r="480">
      <c r="A480" s="176">
        <v>45986.0</v>
      </c>
      <c r="B480" s="177">
        <v>7847513.0</v>
      </c>
      <c r="C480" s="178" t="s">
        <v>82</v>
      </c>
      <c r="D480" s="178" t="s">
        <v>35</v>
      </c>
      <c r="E480" s="177">
        <v>6.599016736E9</v>
      </c>
      <c r="F480" s="178" t="s">
        <v>717</v>
      </c>
      <c r="G480" s="176">
        <v>46124.0</v>
      </c>
      <c r="H480" s="179">
        <v>46125.0</v>
      </c>
      <c r="I480" s="180">
        <v>1.0</v>
      </c>
      <c r="J480" s="181" t="s">
        <v>78</v>
      </c>
      <c r="K480" s="178" t="s">
        <v>79</v>
      </c>
      <c r="L480" s="178" t="s">
        <v>80</v>
      </c>
      <c r="M480" s="182">
        <v>2.0</v>
      </c>
      <c r="N480" s="183">
        <v>0.19999999999999996</v>
      </c>
      <c r="O480" s="184">
        <v>204.05</v>
      </c>
      <c r="P480" s="184">
        <v>163.24</v>
      </c>
      <c r="Q480" s="185">
        <v>0.0</v>
      </c>
      <c r="R480" s="186">
        <v>163.24</v>
      </c>
      <c r="S480" s="186">
        <v>0.0</v>
      </c>
      <c r="T480" s="186">
        <v>209.05</v>
      </c>
      <c r="U480" s="187" t="s">
        <v>161</v>
      </c>
      <c r="V480" s="176">
        <v>45986.0</v>
      </c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  <c r="AG480" s="175"/>
      <c r="AH480" s="175"/>
      <c r="AI480" s="175"/>
    </row>
    <row r="481">
      <c r="A481" s="165">
        <v>46031.0</v>
      </c>
      <c r="B481" s="166">
        <v>8010882.0</v>
      </c>
      <c r="C481" s="166" t="s">
        <v>89</v>
      </c>
      <c r="D481" s="166" t="s">
        <v>94</v>
      </c>
      <c r="E481" s="166">
        <v>8010882.0</v>
      </c>
      <c r="F481" s="166" t="s">
        <v>729</v>
      </c>
      <c r="G481" s="165">
        <v>46124.0</v>
      </c>
      <c r="H481" s="167">
        <v>46125.0</v>
      </c>
      <c r="I481" s="168">
        <v>1.0</v>
      </c>
      <c r="J481" s="169" t="s">
        <v>87</v>
      </c>
      <c r="K481" s="166" t="s">
        <v>79</v>
      </c>
      <c r="L481" s="166" t="s">
        <v>96</v>
      </c>
      <c r="M481" s="166">
        <v>0.0</v>
      </c>
      <c r="N481" s="170">
        <v>0.0</v>
      </c>
      <c r="O481" s="171">
        <v>0.0</v>
      </c>
      <c r="P481" s="171">
        <v>0.0</v>
      </c>
      <c r="Q481" s="169">
        <v>0.0</v>
      </c>
      <c r="R481" s="173">
        <v>0.0</v>
      </c>
      <c r="S481" s="173">
        <v>0.0</v>
      </c>
      <c r="T481" s="173">
        <v>0.0</v>
      </c>
      <c r="U481" s="201" t="s">
        <v>177</v>
      </c>
      <c r="V481" s="165">
        <v>46031.0</v>
      </c>
      <c r="W481" s="175"/>
      <c r="X481" s="175"/>
      <c r="Y481" s="175"/>
      <c r="Z481" s="175"/>
      <c r="AA481" s="175"/>
      <c r="AB481" s="175"/>
      <c r="AC481" s="175"/>
      <c r="AD481" s="175"/>
      <c r="AE481" s="175"/>
      <c r="AF481" s="175"/>
      <c r="AG481" s="175"/>
      <c r="AH481" s="175"/>
      <c r="AI481" s="175"/>
    </row>
    <row r="482">
      <c r="A482" s="165">
        <v>46031.0</v>
      </c>
      <c r="B482" s="166">
        <v>8011004.0</v>
      </c>
      <c r="C482" s="166" t="s">
        <v>89</v>
      </c>
      <c r="D482" s="166" t="s">
        <v>94</v>
      </c>
      <c r="E482" s="166">
        <v>8011004.0</v>
      </c>
      <c r="F482" s="166" t="s">
        <v>729</v>
      </c>
      <c r="G482" s="165">
        <v>46124.0</v>
      </c>
      <c r="H482" s="167">
        <v>46125.0</v>
      </c>
      <c r="I482" s="168">
        <v>1.0</v>
      </c>
      <c r="J482" s="169" t="s">
        <v>87</v>
      </c>
      <c r="K482" s="166" t="s">
        <v>79</v>
      </c>
      <c r="L482" s="166" t="s">
        <v>96</v>
      </c>
      <c r="M482" s="166">
        <v>0.0</v>
      </c>
      <c r="N482" s="170">
        <v>0.0</v>
      </c>
      <c r="O482" s="171">
        <v>0.0</v>
      </c>
      <c r="P482" s="171">
        <v>0.0</v>
      </c>
      <c r="Q482" s="172">
        <v>0.0</v>
      </c>
      <c r="R482" s="173">
        <v>0.0</v>
      </c>
      <c r="S482" s="173">
        <v>0.0</v>
      </c>
      <c r="T482" s="173">
        <v>0.0</v>
      </c>
      <c r="U482" s="174" t="s">
        <v>232</v>
      </c>
      <c r="V482" s="165">
        <v>46124.0</v>
      </c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</row>
    <row r="483">
      <c r="A483" s="154">
        <v>45942.0</v>
      </c>
      <c r="B483" s="155">
        <v>7675205.0</v>
      </c>
      <c r="C483" s="156" t="s">
        <v>82</v>
      </c>
      <c r="D483" s="156" t="s">
        <v>35</v>
      </c>
      <c r="E483" s="155">
        <v>5.989163589E9</v>
      </c>
      <c r="F483" s="156" t="s">
        <v>731</v>
      </c>
      <c r="G483" s="154">
        <v>46125.0</v>
      </c>
      <c r="H483" s="157">
        <v>46127.0</v>
      </c>
      <c r="I483" s="158">
        <v>2.0</v>
      </c>
      <c r="J483" s="159" t="s">
        <v>78</v>
      </c>
      <c r="K483" s="156" t="s">
        <v>79</v>
      </c>
      <c r="L483" s="156" t="s">
        <v>80</v>
      </c>
      <c r="M483" s="155">
        <v>1.0</v>
      </c>
      <c r="N483" s="160">
        <v>0.19999999999999996</v>
      </c>
      <c r="O483" s="161">
        <v>148.8</v>
      </c>
      <c r="P483" s="161">
        <v>119.04000000000002</v>
      </c>
      <c r="Q483" s="203">
        <v>0.0</v>
      </c>
      <c r="R483" s="162">
        <v>238.08000000000004</v>
      </c>
      <c r="S483" s="162">
        <v>0.0</v>
      </c>
      <c r="T483" s="162">
        <v>1479.46</v>
      </c>
      <c r="U483" s="163" t="s">
        <v>107</v>
      </c>
      <c r="V483" s="154">
        <v>45942.0</v>
      </c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</row>
    <row r="484">
      <c r="A484" s="165">
        <v>45942.0</v>
      </c>
      <c r="B484" s="166">
        <v>7675205.0</v>
      </c>
      <c r="C484" s="166" t="s">
        <v>82</v>
      </c>
      <c r="D484" s="166" t="s">
        <v>35</v>
      </c>
      <c r="E484" s="166">
        <v>5.989163589E9</v>
      </c>
      <c r="F484" s="166" t="s">
        <v>731</v>
      </c>
      <c r="G484" s="165">
        <v>46125.0</v>
      </c>
      <c r="H484" s="167">
        <v>46127.0</v>
      </c>
      <c r="I484" s="168">
        <v>2.0</v>
      </c>
      <c r="J484" s="169" t="s">
        <v>78</v>
      </c>
      <c r="K484" s="166" t="s">
        <v>79</v>
      </c>
      <c r="L484" s="166" t="s">
        <v>80</v>
      </c>
      <c r="M484" s="166">
        <v>1.0</v>
      </c>
      <c r="N484" s="170">
        <v>0.19999999999999996</v>
      </c>
      <c r="O484" s="171">
        <v>148.8</v>
      </c>
      <c r="P484" s="171">
        <v>119.04000000000002</v>
      </c>
      <c r="Q484" s="172">
        <v>0.0</v>
      </c>
      <c r="R484" s="173">
        <v>238.08000000000004</v>
      </c>
      <c r="S484" s="173">
        <v>0.0</v>
      </c>
      <c r="T484" s="173">
        <v>1479.46</v>
      </c>
      <c r="U484" s="174" t="s">
        <v>107</v>
      </c>
      <c r="V484" s="165">
        <v>45942.0</v>
      </c>
      <c r="W484" s="175"/>
      <c r="X484" s="175"/>
      <c r="Y484" s="175"/>
      <c r="Z484" s="175"/>
      <c r="AA484" s="175"/>
      <c r="AB484" s="175"/>
      <c r="AC484" s="175"/>
      <c r="AD484" s="175"/>
      <c r="AE484" s="175"/>
      <c r="AF484" s="175"/>
      <c r="AG484" s="175"/>
      <c r="AH484" s="175"/>
      <c r="AI484" s="175"/>
    </row>
    <row r="485">
      <c r="A485" s="165">
        <v>45942.0</v>
      </c>
      <c r="B485" s="166">
        <v>7675205.0</v>
      </c>
      <c r="C485" s="166" t="s">
        <v>82</v>
      </c>
      <c r="D485" s="166" t="s">
        <v>35</v>
      </c>
      <c r="E485" s="166">
        <v>5.989163589E9</v>
      </c>
      <c r="F485" s="166" t="s">
        <v>731</v>
      </c>
      <c r="G485" s="165">
        <v>46125.0</v>
      </c>
      <c r="H485" s="167">
        <v>46127.0</v>
      </c>
      <c r="I485" s="168">
        <v>2.0</v>
      </c>
      <c r="J485" s="169" t="s">
        <v>78</v>
      </c>
      <c r="K485" s="166" t="s">
        <v>79</v>
      </c>
      <c r="L485" s="166" t="s">
        <v>80</v>
      </c>
      <c r="M485" s="166">
        <v>1.0</v>
      </c>
      <c r="N485" s="170">
        <v>0.19999999999999996</v>
      </c>
      <c r="O485" s="171">
        <v>148.8</v>
      </c>
      <c r="P485" s="171">
        <v>119.04000000000002</v>
      </c>
      <c r="Q485" s="172">
        <v>0.0</v>
      </c>
      <c r="R485" s="173">
        <v>238.08000000000004</v>
      </c>
      <c r="S485" s="173">
        <v>0.0</v>
      </c>
      <c r="T485" s="173">
        <v>1479.46</v>
      </c>
      <c r="U485" s="201" t="s">
        <v>107</v>
      </c>
      <c r="V485" s="165">
        <v>45942.0</v>
      </c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</row>
    <row r="486">
      <c r="A486" s="176">
        <v>45942.0</v>
      </c>
      <c r="B486" s="177">
        <v>7675205.0</v>
      </c>
      <c r="C486" s="178" t="s">
        <v>82</v>
      </c>
      <c r="D486" s="178" t="s">
        <v>35</v>
      </c>
      <c r="E486" s="177">
        <v>5.989163589E9</v>
      </c>
      <c r="F486" s="178" t="s">
        <v>731</v>
      </c>
      <c r="G486" s="176">
        <v>46125.0</v>
      </c>
      <c r="H486" s="179">
        <v>46127.0</v>
      </c>
      <c r="I486" s="180">
        <v>2.0</v>
      </c>
      <c r="J486" s="181" t="s">
        <v>78</v>
      </c>
      <c r="K486" s="178" t="s">
        <v>79</v>
      </c>
      <c r="L486" s="178" t="s">
        <v>80</v>
      </c>
      <c r="M486" s="177">
        <v>1.0</v>
      </c>
      <c r="N486" s="183">
        <v>0.19999999999999996</v>
      </c>
      <c r="O486" s="184">
        <v>148.8</v>
      </c>
      <c r="P486" s="184">
        <v>119.04000000000002</v>
      </c>
      <c r="Q486" s="185">
        <v>0.0</v>
      </c>
      <c r="R486" s="186">
        <v>238.08000000000004</v>
      </c>
      <c r="S486" s="186">
        <v>0.0</v>
      </c>
      <c r="T486" s="186">
        <v>1479.46</v>
      </c>
      <c r="U486" s="187" t="s">
        <v>107</v>
      </c>
      <c r="V486" s="176">
        <v>45942.0</v>
      </c>
      <c r="W486" s="175"/>
      <c r="X486" s="175"/>
      <c r="Y486" s="175"/>
      <c r="Z486" s="175"/>
      <c r="AA486" s="175"/>
      <c r="AB486" s="175"/>
      <c r="AC486" s="175"/>
      <c r="AD486" s="175"/>
      <c r="AE486" s="175"/>
      <c r="AF486" s="175"/>
      <c r="AG486" s="175"/>
      <c r="AH486" s="175"/>
      <c r="AI486" s="175"/>
    </row>
    <row r="487">
      <c r="A487" s="165">
        <v>45942.0</v>
      </c>
      <c r="B487" s="166">
        <v>7675205.0</v>
      </c>
      <c r="C487" s="166" t="s">
        <v>82</v>
      </c>
      <c r="D487" s="166" t="s">
        <v>35</v>
      </c>
      <c r="E487" s="166">
        <v>5.989163589E9</v>
      </c>
      <c r="F487" s="166" t="s">
        <v>731</v>
      </c>
      <c r="G487" s="165">
        <v>46125.0</v>
      </c>
      <c r="H487" s="167">
        <v>46127.0</v>
      </c>
      <c r="I487" s="168">
        <v>2.0</v>
      </c>
      <c r="J487" s="169" t="s">
        <v>87</v>
      </c>
      <c r="K487" s="166" t="s">
        <v>79</v>
      </c>
      <c r="L487" s="166" t="s">
        <v>80</v>
      </c>
      <c r="M487" s="205">
        <v>2.0</v>
      </c>
      <c r="N487" s="170">
        <v>0.19999999999999996</v>
      </c>
      <c r="O487" s="171">
        <v>129.53</v>
      </c>
      <c r="P487" s="171">
        <v>103.62400000000001</v>
      </c>
      <c r="Q487" s="172">
        <v>0.0</v>
      </c>
      <c r="R487" s="173">
        <v>207.24800000000002</v>
      </c>
      <c r="S487" s="173">
        <v>0.0</v>
      </c>
      <c r="T487" s="173">
        <v>1479.46</v>
      </c>
      <c r="U487" s="201" t="s">
        <v>107</v>
      </c>
      <c r="V487" s="165">
        <v>45942.0</v>
      </c>
      <c r="W487" s="164"/>
      <c r="X487" s="164"/>
      <c r="Y487" s="164"/>
      <c r="Z487" s="164"/>
      <c r="AA487" s="164"/>
      <c r="AB487" s="164"/>
      <c r="AC487" s="164"/>
      <c r="AD487" s="164"/>
      <c r="AE487" s="164"/>
      <c r="AF487" s="164"/>
      <c r="AG487" s="164"/>
      <c r="AH487" s="164"/>
      <c r="AI487" s="164"/>
    </row>
    <row r="488">
      <c r="A488" s="165">
        <v>46063.0</v>
      </c>
      <c r="B488" s="166">
        <v>8156493.0</v>
      </c>
      <c r="C488" s="166" t="s">
        <v>82</v>
      </c>
      <c r="D488" s="166" t="s">
        <v>35</v>
      </c>
      <c r="E488" s="166">
        <v>6.196339095E9</v>
      </c>
      <c r="F488" s="166" t="s">
        <v>733</v>
      </c>
      <c r="G488" s="165">
        <v>46125.0</v>
      </c>
      <c r="H488" s="167">
        <v>46126.0</v>
      </c>
      <c r="I488" s="168">
        <v>1.0</v>
      </c>
      <c r="J488" s="169" t="s">
        <v>91</v>
      </c>
      <c r="K488" s="166" t="s">
        <v>79</v>
      </c>
      <c r="L488" s="166" t="s">
        <v>80</v>
      </c>
      <c r="M488" s="166">
        <v>4.0</v>
      </c>
      <c r="N488" s="170">
        <v>0.19999999999999996</v>
      </c>
      <c r="O488" s="171">
        <v>477.29</v>
      </c>
      <c r="P488" s="171">
        <v>381.83200000000005</v>
      </c>
      <c r="Q488" s="172">
        <v>0.0</v>
      </c>
      <c r="R488" s="173">
        <v>381.83200000000005</v>
      </c>
      <c r="S488" s="173">
        <v>0.0</v>
      </c>
      <c r="T488" s="173">
        <v>487.29</v>
      </c>
      <c r="U488" s="174" t="s">
        <v>161</v>
      </c>
      <c r="V488" s="165">
        <v>46063.0</v>
      </c>
      <c r="W488" s="175"/>
      <c r="X488" s="175"/>
      <c r="Y488" s="175"/>
      <c r="Z488" s="175"/>
      <c r="AA488" s="175"/>
      <c r="AB488" s="175"/>
      <c r="AC488" s="175"/>
      <c r="AD488" s="175"/>
      <c r="AE488" s="175"/>
      <c r="AF488" s="175"/>
      <c r="AG488" s="175"/>
      <c r="AH488" s="175"/>
      <c r="AI488" s="175"/>
    </row>
    <row r="489">
      <c r="A489" s="165">
        <v>46068.0</v>
      </c>
      <c r="B489" s="166">
        <v>8175960.0</v>
      </c>
      <c r="C489" s="166" t="s">
        <v>82</v>
      </c>
      <c r="D489" s="166" t="s">
        <v>35</v>
      </c>
      <c r="E489" s="166">
        <v>6.335177181E9</v>
      </c>
      <c r="F489" s="166" t="s">
        <v>734</v>
      </c>
      <c r="G489" s="165">
        <v>46125.0</v>
      </c>
      <c r="H489" s="167">
        <v>46129.0</v>
      </c>
      <c r="I489" s="168">
        <v>4.0</v>
      </c>
      <c r="J489" s="169" t="s">
        <v>111</v>
      </c>
      <c r="K489" s="166" t="s">
        <v>79</v>
      </c>
      <c r="L489" s="166" t="s">
        <v>80</v>
      </c>
      <c r="M489" s="166">
        <v>2.0</v>
      </c>
      <c r="N489" s="170">
        <v>0.19999999999999996</v>
      </c>
      <c r="O489" s="171">
        <v>212.21</v>
      </c>
      <c r="P489" s="171">
        <v>169.76800000000003</v>
      </c>
      <c r="Q489" s="172">
        <v>0.0</v>
      </c>
      <c r="R489" s="173">
        <v>679.0720000000001</v>
      </c>
      <c r="S489" s="173">
        <v>0.0</v>
      </c>
      <c r="T489" s="173">
        <v>868.84</v>
      </c>
      <c r="U489" s="201" t="s">
        <v>107</v>
      </c>
      <c r="V489" s="165">
        <v>46068.0</v>
      </c>
      <c r="W489" s="175"/>
      <c r="X489" s="175"/>
      <c r="Y489" s="175"/>
      <c r="Z489" s="175"/>
      <c r="AA489" s="175"/>
      <c r="AB489" s="175"/>
      <c r="AC489" s="175"/>
      <c r="AD489" s="175"/>
      <c r="AE489" s="175"/>
      <c r="AF489" s="175"/>
      <c r="AG489" s="175"/>
      <c r="AH489" s="175"/>
      <c r="AI489" s="175"/>
    </row>
    <row r="490">
      <c r="A490" s="165">
        <v>45971.0</v>
      </c>
      <c r="B490" s="166">
        <v>7790966.0</v>
      </c>
      <c r="C490" s="166" t="s">
        <v>89</v>
      </c>
      <c r="D490" s="166" t="s">
        <v>35</v>
      </c>
      <c r="E490" s="166">
        <v>5.789466993E9</v>
      </c>
      <c r="F490" s="166" t="s">
        <v>735</v>
      </c>
      <c r="G490" s="165">
        <v>46126.0</v>
      </c>
      <c r="H490" s="167">
        <v>46130.0</v>
      </c>
      <c r="I490" s="168">
        <v>4.0</v>
      </c>
      <c r="J490" s="169" t="s">
        <v>78</v>
      </c>
      <c r="K490" s="166" t="s">
        <v>79</v>
      </c>
      <c r="L490" s="166" t="s">
        <v>80</v>
      </c>
      <c r="M490" s="166">
        <v>0.0</v>
      </c>
      <c r="N490" s="170">
        <v>0.0</v>
      </c>
      <c r="O490" s="171">
        <v>0.0</v>
      </c>
      <c r="P490" s="171">
        <v>0.0</v>
      </c>
      <c r="Q490" s="172">
        <v>0.0</v>
      </c>
      <c r="R490" s="173">
        <v>0.0</v>
      </c>
      <c r="S490" s="173">
        <v>0.0</v>
      </c>
      <c r="T490" s="173">
        <v>0.0</v>
      </c>
      <c r="U490" s="174" t="s">
        <v>736</v>
      </c>
      <c r="V490" s="165">
        <v>45983.0</v>
      </c>
      <c r="W490" s="175"/>
      <c r="X490" s="175"/>
      <c r="Y490" s="175"/>
      <c r="Z490" s="175"/>
      <c r="AA490" s="175"/>
      <c r="AB490" s="175"/>
      <c r="AC490" s="175"/>
      <c r="AD490" s="175"/>
      <c r="AE490" s="175"/>
      <c r="AF490" s="175"/>
      <c r="AG490" s="175"/>
      <c r="AH490" s="175"/>
      <c r="AI490" s="175"/>
    </row>
    <row r="491">
      <c r="A491" s="176">
        <v>45994.0</v>
      </c>
      <c r="B491" s="177">
        <v>7877536.0</v>
      </c>
      <c r="C491" s="178" t="s">
        <v>82</v>
      </c>
      <c r="D491" s="178" t="s">
        <v>35</v>
      </c>
      <c r="E491" s="177">
        <v>5.761379692E9</v>
      </c>
      <c r="F491" s="178" t="s">
        <v>738</v>
      </c>
      <c r="G491" s="176">
        <v>46126.0</v>
      </c>
      <c r="H491" s="179">
        <v>46127.0</v>
      </c>
      <c r="I491" s="180">
        <v>1.0</v>
      </c>
      <c r="J491" s="181" t="s">
        <v>78</v>
      </c>
      <c r="K491" s="178" t="s">
        <v>79</v>
      </c>
      <c r="L491" s="178" t="s">
        <v>80</v>
      </c>
      <c r="M491" s="182">
        <v>2.0</v>
      </c>
      <c r="N491" s="183">
        <v>0.19999999999999996</v>
      </c>
      <c r="O491" s="184">
        <v>198.14</v>
      </c>
      <c r="P491" s="184">
        <v>158.512</v>
      </c>
      <c r="Q491" s="185">
        <v>0.0</v>
      </c>
      <c r="R491" s="186">
        <v>158.512</v>
      </c>
      <c r="S491" s="186">
        <v>0.0</v>
      </c>
      <c r="T491" s="186">
        <v>203.14</v>
      </c>
      <c r="U491" s="187" t="s">
        <v>524</v>
      </c>
      <c r="V491" s="176">
        <v>45994.0</v>
      </c>
      <c r="W491" s="175"/>
      <c r="X491" s="175"/>
      <c r="Y491" s="175"/>
      <c r="Z491" s="175"/>
      <c r="AA491" s="175"/>
      <c r="AB491" s="175"/>
      <c r="AC491" s="175"/>
      <c r="AD491" s="175"/>
      <c r="AE491" s="175"/>
      <c r="AF491" s="175"/>
      <c r="AG491" s="175"/>
      <c r="AH491" s="175"/>
      <c r="AI491" s="175"/>
    </row>
    <row r="492">
      <c r="A492" s="190">
        <v>45998.0</v>
      </c>
      <c r="B492" s="191">
        <v>7893085.0</v>
      </c>
      <c r="C492" s="192" t="s">
        <v>82</v>
      </c>
      <c r="D492" s="192" t="s">
        <v>35</v>
      </c>
      <c r="E492" s="191">
        <v>5.039862984E9</v>
      </c>
      <c r="F492" s="192" t="s">
        <v>739</v>
      </c>
      <c r="G492" s="190">
        <v>46126.0</v>
      </c>
      <c r="H492" s="193">
        <v>46132.0</v>
      </c>
      <c r="I492" s="194">
        <v>6.0</v>
      </c>
      <c r="J492" s="195" t="s">
        <v>111</v>
      </c>
      <c r="K492" s="192" t="s">
        <v>79</v>
      </c>
      <c r="L492" s="192" t="s">
        <v>80</v>
      </c>
      <c r="M492" s="191">
        <v>2.0</v>
      </c>
      <c r="N492" s="196">
        <v>0.19999999999999996</v>
      </c>
      <c r="O492" s="197">
        <v>255.20000000000002</v>
      </c>
      <c r="P492" s="197">
        <v>204.16000000000003</v>
      </c>
      <c r="Q492" s="198">
        <v>0.0</v>
      </c>
      <c r="R492" s="199">
        <v>1224.96</v>
      </c>
      <c r="S492" s="199">
        <v>0.0</v>
      </c>
      <c r="T492" s="199">
        <v>1561.2</v>
      </c>
      <c r="U492" s="200" t="s">
        <v>740</v>
      </c>
      <c r="V492" s="190">
        <v>45998.0</v>
      </c>
      <c r="W492" s="175"/>
      <c r="X492" s="175"/>
      <c r="Y492" s="175"/>
      <c r="Z492" s="175"/>
      <c r="AA492" s="175"/>
      <c r="AB492" s="175"/>
      <c r="AC492" s="175"/>
      <c r="AD492" s="175"/>
      <c r="AE492" s="175"/>
      <c r="AF492" s="175"/>
      <c r="AG492" s="175"/>
      <c r="AH492" s="175"/>
      <c r="AI492" s="175"/>
    </row>
    <row r="493">
      <c r="A493" s="165">
        <v>45959.0</v>
      </c>
      <c r="B493" s="166">
        <v>7742681.0</v>
      </c>
      <c r="C493" s="166" t="s">
        <v>82</v>
      </c>
      <c r="D493" s="166" t="s">
        <v>35</v>
      </c>
      <c r="E493" s="166">
        <v>5.506576545E9</v>
      </c>
      <c r="F493" s="166" t="s">
        <v>741</v>
      </c>
      <c r="G493" s="165">
        <v>46127.0</v>
      </c>
      <c r="H493" s="167">
        <v>46131.0</v>
      </c>
      <c r="I493" s="168">
        <v>4.0</v>
      </c>
      <c r="J493" s="169" t="s">
        <v>87</v>
      </c>
      <c r="K493" s="166" t="s">
        <v>79</v>
      </c>
      <c r="L493" s="166" t="s">
        <v>80</v>
      </c>
      <c r="M493" s="166">
        <v>2.0</v>
      </c>
      <c r="N493" s="170">
        <v>0.19999999999999996</v>
      </c>
      <c r="O493" s="171">
        <v>146.93</v>
      </c>
      <c r="P493" s="171">
        <v>117.54400000000001</v>
      </c>
      <c r="Q493" s="172">
        <v>0.0</v>
      </c>
      <c r="R493" s="173">
        <v>470.17600000000004</v>
      </c>
      <c r="S493" s="173">
        <v>0.0</v>
      </c>
      <c r="T493" s="173">
        <v>607.72</v>
      </c>
      <c r="U493" s="174" t="s">
        <v>107</v>
      </c>
      <c r="V493" s="165">
        <v>45959.0</v>
      </c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</row>
    <row r="494">
      <c r="A494" s="165">
        <v>45983.0</v>
      </c>
      <c r="B494" s="166">
        <v>7834402.0</v>
      </c>
      <c r="C494" s="166" t="s">
        <v>89</v>
      </c>
      <c r="D494" s="166" t="s">
        <v>35</v>
      </c>
      <c r="E494" s="166">
        <v>5.842586045E9</v>
      </c>
      <c r="F494" s="166" t="s">
        <v>735</v>
      </c>
      <c r="G494" s="165">
        <v>46127.0</v>
      </c>
      <c r="H494" s="167">
        <v>46131.0</v>
      </c>
      <c r="I494" s="168">
        <v>4.0</v>
      </c>
      <c r="J494" s="169" t="s">
        <v>78</v>
      </c>
      <c r="K494" s="166" t="s">
        <v>79</v>
      </c>
      <c r="L494" s="166" t="s">
        <v>80</v>
      </c>
      <c r="M494" s="205">
        <v>0.0</v>
      </c>
      <c r="N494" s="170">
        <v>0.0</v>
      </c>
      <c r="O494" s="171">
        <v>0.0</v>
      </c>
      <c r="P494" s="171">
        <v>0.0</v>
      </c>
      <c r="Q494" s="172">
        <v>0.0</v>
      </c>
      <c r="R494" s="173">
        <v>0.0</v>
      </c>
      <c r="S494" s="173">
        <v>0.0</v>
      </c>
      <c r="T494" s="173">
        <v>0.0</v>
      </c>
      <c r="U494" s="174" t="s">
        <v>743</v>
      </c>
      <c r="V494" s="165">
        <v>46096.0</v>
      </c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</row>
    <row r="495">
      <c r="A495" s="165">
        <v>45995.0</v>
      </c>
      <c r="B495" s="166">
        <v>7882860.0</v>
      </c>
      <c r="C495" s="166" t="s">
        <v>89</v>
      </c>
      <c r="D495" s="166" t="s">
        <v>35</v>
      </c>
      <c r="E495" s="166">
        <v>6.565188195E9</v>
      </c>
      <c r="F495" s="166" t="s">
        <v>744</v>
      </c>
      <c r="G495" s="165">
        <v>46127.0</v>
      </c>
      <c r="H495" s="167">
        <v>46130.0</v>
      </c>
      <c r="I495" s="168">
        <v>3.0</v>
      </c>
      <c r="J495" s="169" t="s">
        <v>78</v>
      </c>
      <c r="K495" s="166" t="s">
        <v>79</v>
      </c>
      <c r="L495" s="166" t="s">
        <v>80</v>
      </c>
      <c r="M495" s="166">
        <v>0.0</v>
      </c>
      <c r="N495" s="170">
        <v>0.0</v>
      </c>
      <c r="O495" s="171">
        <v>0.0</v>
      </c>
      <c r="P495" s="171">
        <v>0.0</v>
      </c>
      <c r="Q495" s="172">
        <v>0.0</v>
      </c>
      <c r="R495" s="173">
        <v>0.0</v>
      </c>
      <c r="S495" s="173">
        <v>0.0</v>
      </c>
      <c r="T495" s="173">
        <v>0.0</v>
      </c>
      <c r="U495" s="201" t="s">
        <v>745</v>
      </c>
      <c r="V495" s="165">
        <v>45996.0</v>
      </c>
      <c r="W495" s="164"/>
      <c r="X495" s="164"/>
      <c r="Y495" s="164"/>
      <c r="Z495" s="164"/>
      <c r="AA495" s="164"/>
      <c r="AB495" s="164"/>
      <c r="AC495" s="164"/>
      <c r="AD495" s="164"/>
      <c r="AE495" s="164"/>
      <c r="AF495" s="164"/>
      <c r="AG495" s="164"/>
      <c r="AH495" s="164"/>
      <c r="AI495" s="164"/>
    </row>
    <row r="496">
      <c r="A496" s="154">
        <v>46033.0</v>
      </c>
      <c r="B496" s="155">
        <v>8021631.0</v>
      </c>
      <c r="C496" s="156" t="s">
        <v>89</v>
      </c>
      <c r="D496" s="156" t="s">
        <v>35</v>
      </c>
      <c r="E496" s="155">
        <v>6.343454348E9</v>
      </c>
      <c r="F496" s="156" t="s">
        <v>746</v>
      </c>
      <c r="G496" s="154">
        <v>46127.0</v>
      </c>
      <c r="H496" s="157">
        <v>46134.0</v>
      </c>
      <c r="I496" s="158">
        <v>7.0</v>
      </c>
      <c r="J496" s="159" t="s">
        <v>111</v>
      </c>
      <c r="K496" s="156" t="s">
        <v>79</v>
      </c>
      <c r="L496" s="156" t="s">
        <v>80</v>
      </c>
      <c r="M496" s="202">
        <v>0.0</v>
      </c>
      <c r="N496" s="160">
        <v>0.0</v>
      </c>
      <c r="O496" s="161">
        <v>0.0</v>
      </c>
      <c r="P496" s="161">
        <v>0.0</v>
      </c>
      <c r="Q496" s="203">
        <v>0.0</v>
      </c>
      <c r="R496" s="162">
        <v>0.0</v>
      </c>
      <c r="S496" s="162">
        <v>0.0</v>
      </c>
      <c r="T496" s="162">
        <v>0.0</v>
      </c>
      <c r="U496" s="163" t="s">
        <v>747</v>
      </c>
      <c r="V496" s="154">
        <v>46041.0</v>
      </c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</row>
    <row r="497">
      <c r="A497" s="176">
        <v>46037.0</v>
      </c>
      <c r="B497" s="177">
        <v>8035419.0</v>
      </c>
      <c r="C497" s="178" t="s">
        <v>89</v>
      </c>
      <c r="D497" s="178" t="s">
        <v>35</v>
      </c>
      <c r="E497" s="177">
        <v>6.341702942E9</v>
      </c>
      <c r="F497" s="178" t="s">
        <v>748</v>
      </c>
      <c r="G497" s="176">
        <v>46127.0</v>
      </c>
      <c r="H497" s="179">
        <v>46129.0</v>
      </c>
      <c r="I497" s="180">
        <v>2.0</v>
      </c>
      <c r="J497" s="181" t="s">
        <v>78</v>
      </c>
      <c r="K497" s="178" t="s">
        <v>79</v>
      </c>
      <c r="L497" s="178" t="s">
        <v>80</v>
      </c>
      <c r="M497" s="182">
        <v>0.0</v>
      </c>
      <c r="N497" s="183">
        <v>0.0</v>
      </c>
      <c r="O497" s="184">
        <v>0.0</v>
      </c>
      <c r="P497" s="184">
        <v>0.0</v>
      </c>
      <c r="Q497" s="185">
        <v>0.0</v>
      </c>
      <c r="R497" s="186">
        <v>0.0</v>
      </c>
      <c r="S497" s="186">
        <v>0.0</v>
      </c>
      <c r="T497" s="186">
        <v>0.0</v>
      </c>
      <c r="U497" s="187" t="s">
        <v>749</v>
      </c>
      <c r="V497" s="176">
        <v>46038.0</v>
      </c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</row>
    <row r="498">
      <c r="A498" s="165">
        <v>46066.0</v>
      </c>
      <c r="B498" s="166">
        <v>8167129.0</v>
      </c>
      <c r="C498" s="166" t="s">
        <v>82</v>
      </c>
      <c r="D498" s="166" t="s">
        <v>35</v>
      </c>
      <c r="E498" s="166">
        <v>5.820172435E9</v>
      </c>
      <c r="F498" s="166" t="s">
        <v>750</v>
      </c>
      <c r="G498" s="165">
        <v>46127.0</v>
      </c>
      <c r="H498" s="167">
        <v>46130.0</v>
      </c>
      <c r="I498" s="168">
        <v>3.0</v>
      </c>
      <c r="J498" s="169" t="s">
        <v>91</v>
      </c>
      <c r="K498" s="166" t="s">
        <v>138</v>
      </c>
      <c r="L498" s="166" t="s">
        <v>80</v>
      </c>
      <c r="M498" s="205">
        <v>5.0</v>
      </c>
      <c r="N498" s="170">
        <v>0.19999999999999996</v>
      </c>
      <c r="O498" s="171">
        <v>647.0</v>
      </c>
      <c r="P498" s="171">
        <v>517.6</v>
      </c>
      <c r="Q498" s="172">
        <v>90.0</v>
      </c>
      <c r="R498" s="173">
        <v>1552.8000000000002</v>
      </c>
      <c r="S498" s="173">
        <v>270.0</v>
      </c>
      <c r="T498" s="173">
        <v>2194.5</v>
      </c>
      <c r="U498" s="201" t="s">
        <v>751</v>
      </c>
      <c r="V498" s="165">
        <v>46066.0</v>
      </c>
      <c r="W498" s="164"/>
      <c r="X498" s="164"/>
      <c r="Y498" s="164"/>
      <c r="Z498" s="164"/>
      <c r="AA498" s="164"/>
      <c r="AB498" s="164"/>
      <c r="AC498" s="164"/>
      <c r="AD498" s="164"/>
      <c r="AE498" s="164"/>
      <c r="AF498" s="164"/>
      <c r="AG498" s="164"/>
      <c r="AH498" s="164"/>
      <c r="AI498" s="164"/>
    </row>
    <row r="499">
      <c r="A499" s="176">
        <v>45991.0</v>
      </c>
      <c r="B499" s="177">
        <v>7865759.0</v>
      </c>
      <c r="C499" s="178" t="s">
        <v>82</v>
      </c>
      <c r="D499" s="178" t="s">
        <v>35</v>
      </c>
      <c r="E499" s="177">
        <v>6.147203141E9</v>
      </c>
      <c r="F499" s="178" t="s">
        <v>753</v>
      </c>
      <c r="G499" s="176">
        <v>46128.0</v>
      </c>
      <c r="H499" s="179">
        <v>46130.0</v>
      </c>
      <c r="I499" s="180">
        <v>2.0</v>
      </c>
      <c r="J499" s="181" t="s">
        <v>78</v>
      </c>
      <c r="K499" s="178" t="s">
        <v>79</v>
      </c>
      <c r="L499" s="178" t="s">
        <v>80</v>
      </c>
      <c r="M499" s="182">
        <v>2.0</v>
      </c>
      <c r="N499" s="183">
        <v>0.19999999999999996</v>
      </c>
      <c r="O499" s="184">
        <v>158.96</v>
      </c>
      <c r="P499" s="184">
        <v>127.168</v>
      </c>
      <c r="Q499" s="185">
        <v>0.0</v>
      </c>
      <c r="R499" s="186">
        <v>254.336</v>
      </c>
      <c r="S499" s="186">
        <v>0.0</v>
      </c>
      <c r="T499" s="186">
        <v>327.92</v>
      </c>
      <c r="U499" s="187" t="s">
        <v>107</v>
      </c>
      <c r="V499" s="176">
        <v>45991.0</v>
      </c>
      <c r="W499" s="175"/>
      <c r="X499" s="175"/>
      <c r="Y499" s="175"/>
      <c r="Z499" s="175"/>
      <c r="AA499" s="175"/>
      <c r="AB499" s="175"/>
      <c r="AC499" s="175"/>
      <c r="AD499" s="175"/>
      <c r="AE499" s="175"/>
      <c r="AF499" s="175"/>
      <c r="AG499" s="175"/>
      <c r="AH499" s="175"/>
      <c r="AI499" s="175"/>
    </row>
    <row r="500">
      <c r="A500" s="190">
        <v>46021.0</v>
      </c>
      <c r="B500" s="191">
        <v>7972342.0</v>
      </c>
      <c r="C500" s="192" t="s">
        <v>82</v>
      </c>
      <c r="D500" s="192" t="s">
        <v>35</v>
      </c>
      <c r="E500" s="191">
        <v>5.163585147E9</v>
      </c>
      <c r="F500" s="192" t="s">
        <v>754</v>
      </c>
      <c r="G500" s="190">
        <v>46128.0</v>
      </c>
      <c r="H500" s="193">
        <v>46131.0</v>
      </c>
      <c r="I500" s="194">
        <v>3.0</v>
      </c>
      <c r="J500" s="195" t="s">
        <v>78</v>
      </c>
      <c r="K500" s="192" t="s">
        <v>79</v>
      </c>
      <c r="L500" s="192" t="s">
        <v>80</v>
      </c>
      <c r="M500" s="191">
        <v>2.0</v>
      </c>
      <c r="N500" s="196">
        <v>0.19999999999999996</v>
      </c>
      <c r="O500" s="197">
        <v>173.47</v>
      </c>
      <c r="P500" s="197">
        <v>138.776</v>
      </c>
      <c r="Q500" s="198">
        <v>0.0</v>
      </c>
      <c r="R500" s="199">
        <v>416.32800000000003</v>
      </c>
      <c r="S500" s="199">
        <v>0.0</v>
      </c>
      <c r="T500" s="199">
        <v>520.41</v>
      </c>
      <c r="U500" s="200" t="s">
        <v>107</v>
      </c>
      <c r="V500" s="190">
        <v>46021.0</v>
      </c>
      <c r="W500" s="175"/>
      <c r="X500" s="175"/>
      <c r="Y500" s="175"/>
      <c r="Z500" s="175"/>
      <c r="AA500" s="175"/>
      <c r="AB500" s="175"/>
      <c r="AC500" s="175"/>
      <c r="AD500" s="175"/>
      <c r="AE500" s="175"/>
      <c r="AF500" s="175"/>
      <c r="AG500" s="175"/>
      <c r="AH500" s="175"/>
      <c r="AI500" s="175"/>
    </row>
    <row r="501">
      <c r="A501" s="165">
        <v>46027.0</v>
      </c>
      <c r="B501" s="166">
        <v>7993916.0</v>
      </c>
      <c r="C501" s="166" t="s">
        <v>82</v>
      </c>
      <c r="D501" s="166" t="s">
        <v>35</v>
      </c>
      <c r="E501" s="166">
        <v>5.763292221E9</v>
      </c>
      <c r="F501" s="166" t="s">
        <v>755</v>
      </c>
      <c r="G501" s="165">
        <v>46128.0</v>
      </c>
      <c r="H501" s="167">
        <v>46130.0</v>
      </c>
      <c r="I501" s="168">
        <v>2.0</v>
      </c>
      <c r="J501" s="169" t="s">
        <v>114</v>
      </c>
      <c r="K501" s="166" t="s">
        <v>79</v>
      </c>
      <c r="L501" s="166" t="s">
        <v>80</v>
      </c>
      <c r="M501" s="205">
        <v>2.0</v>
      </c>
      <c r="N501" s="170">
        <v>0.19999999999999996</v>
      </c>
      <c r="O501" s="171">
        <v>191.0</v>
      </c>
      <c r="P501" s="171">
        <v>152.8</v>
      </c>
      <c r="Q501" s="172">
        <v>0.0</v>
      </c>
      <c r="R501" s="173">
        <v>305.6</v>
      </c>
      <c r="S501" s="173">
        <v>0.0</v>
      </c>
      <c r="T501" s="173">
        <v>392.0</v>
      </c>
      <c r="U501" s="174" t="s">
        <v>107</v>
      </c>
      <c r="V501" s="165">
        <v>46027.0</v>
      </c>
      <c r="W501" s="175"/>
      <c r="X501" s="175"/>
      <c r="Y501" s="175"/>
      <c r="Z501" s="175"/>
      <c r="AA501" s="175"/>
      <c r="AB501" s="175"/>
      <c r="AC501" s="175"/>
      <c r="AD501" s="175"/>
      <c r="AE501" s="175"/>
      <c r="AF501" s="175"/>
      <c r="AG501" s="175"/>
      <c r="AH501" s="175"/>
      <c r="AI501" s="175"/>
    </row>
    <row r="502">
      <c r="A502" s="176">
        <v>46068.0</v>
      </c>
      <c r="B502" s="177">
        <v>8176517.0</v>
      </c>
      <c r="C502" s="178" t="s">
        <v>89</v>
      </c>
      <c r="D502" s="178" t="s">
        <v>35</v>
      </c>
      <c r="E502" s="177">
        <v>6.689895489E9</v>
      </c>
      <c r="F502" s="178" t="s">
        <v>756</v>
      </c>
      <c r="G502" s="176">
        <v>46128.0</v>
      </c>
      <c r="H502" s="179">
        <v>46129.0</v>
      </c>
      <c r="I502" s="180">
        <v>1.0</v>
      </c>
      <c r="J502" s="181" t="s">
        <v>78</v>
      </c>
      <c r="K502" s="178" t="s">
        <v>79</v>
      </c>
      <c r="L502" s="178" t="s">
        <v>80</v>
      </c>
      <c r="M502" s="182">
        <v>0.0</v>
      </c>
      <c r="N502" s="183">
        <v>0.0</v>
      </c>
      <c r="O502" s="184">
        <v>0.0</v>
      </c>
      <c r="P502" s="184">
        <v>0.0</v>
      </c>
      <c r="Q502" s="185">
        <v>0.0</v>
      </c>
      <c r="R502" s="186">
        <v>0.0</v>
      </c>
      <c r="S502" s="186">
        <v>0.0</v>
      </c>
      <c r="T502" s="186">
        <v>0.0</v>
      </c>
      <c r="U502" s="187" t="s">
        <v>757</v>
      </c>
      <c r="V502" s="176">
        <v>46068.0</v>
      </c>
      <c r="W502" s="175"/>
      <c r="X502" s="175"/>
      <c r="Y502" s="175"/>
      <c r="Z502" s="175"/>
      <c r="AA502" s="175"/>
      <c r="AB502" s="175"/>
      <c r="AC502" s="175"/>
      <c r="AD502" s="175"/>
      <c r="AE502" s="175"/>
      <c r="AF502" s="175"/>
      <c r="AG502" s="175"/>
      <c r="AH502" s="175"/>
      <c r="AI502" s="175"/>
    </row>
    <row r="503">
      <c r="A503" s="176">
        <v>46071.0</v>
      </c>
      <c r="B503" s="177">
        <v>8191419.0</v>
      </c>
      <c r="C503" s="178" t="s">
        <v>89</v>
      </c>
      <c r="D503" s="178" t="s">
        <v>421</v>
      </c>
      <c r="E503" s="177">
        <v>2.396391687E9</v>
      </c>
      <c r="F503" s="178" t="s">
        <v>759</v>
      </c>
      <c r="G503" s="176">
        <v>46128.0</v>
      </c>
      <c r="H503" s="179">
        <v>46129.0</v>
      </c>
      <c r="I503" s="180">
        <v>1.0</v>
      </c>
      <c r="J503" s="181" t="s">
        <v>78</v>
      </c>
      <c r="K503" s="178" t="s">
        <v>79</v>
      </c>
      <c r="L503" s="178" t="s">
        <v>103</v>
      </c>
      <c r="M503" s="182">
        <v>0.0</v>
      </c>
      <c r="N503" s="183">
        <v>0.0</v>
      </c>
      <c r="O503" s="184">
        <v>0.0</v>
      </c>
      <c r="P503" s="184">
        <v>0.0</v>
      </c>
      <c r="Q503" s="185">
        <v>0.0</v>
      </c>
      <c r="R503" s="186">
        <v>0.0</v>
      </c>
      <c r="S503" s="186">
        <v>0.0</v>
      </c>
      <c r="T503" s="186">
        <v>0.0</v>
      </c>
      <c r="U503" s="187" t="s">
        <v>760</v>
      </c>
      <c r="V503" s="176">
        <v>46072.0</v>
      </c>
      <c r="W503" s="175"/>
      <c r="X503" s="175"/>
      <c r="Y503" s="175"/>
      <c r="Z503" s="175"/>
      <c r="AA503" s="175"/>
      <c r="AB503" s="175"/>
      <c r="AC503" s="175"/>
      <c r="AD503" s="175"/>
      <c r="AE503" s="175"/>
      <c r="AF503" s="175"/>
      <c r="AG503" s="175"/>
      <c r="AH503" s="175"/>
      <c r="AI503" s="175"/>
    </row>
    <row r="504">
      <c r="A504" s="176">
        <v>46071.0</v>
      </c>
      <c r="B504" s="177">
        <v>8191418.0</v>
      </c>
      <c r="C504" s="178" t="s">
        <v>89</v>
      </c>
      <c r="D504" s="178" t="s">
        <v>421</v>
      </c>
      <c r="E504" s="177">
        <v>2.396391686E9</v>
      </c>
      <c r="F504" s="178" t="s">
        <v>761</v>
      </c>
      <c r="G504" s="176">
        <v>46128.0</v>
      </c>
      <c r="H504" s="179">
        <v>46129.0</v>
      </c>
      <c r="I504" s="180">
        <v>1.0</v>
      </c>
      <c r="J504" s="181" t="s">
        <v>78</v>
      </c>
      <c r="K504" s="178" t="s">
        <v>79</v>
      </c>
      <c r="L504" s="178" t="s">
        <v>103</v>
      </c>
      <c r="M504" s="182">
        <v>0.0</v>
      </c>
      <c r="N504" s="183">
        <v>0.0</v>
      </c>
      <c r="O504" s="184">
        <v>0.0</v>
      </c>
      <c r="P504" s="184">
        <v>0.0</v>
      </c>
      <c r="Q504" s="185">
        <v>0.0</v>
      </c>
      <c r="R504" s="186">
        <v>0.0</v>
      </c>
      <c r="S504" s="186">
        <v>0.0</v>
      </c>
      <c r="T504" s="186">
        <v>0.0</v>
      </c>
      <c r="U504" s="187" t="s">
        <v>760</v>
      </c>
      <c r="V504" s="176">
        <v>46072.0</v>
      </c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  <c r="AG504" s="164"/>
      <c r="AH504" s="164"/>
      <c r="AI504" s="164"/>
    </row>
    <row r="505">
      <c r="A505" s="165">
        <v>45955.0</v>
      </c>
      <c r="B505" s="166">
        <v>7728633.0</v>
      </c>
      <c r="C505" s="166" t="s">
        <v>82</v>
      </c>
      <c r="D505" s="166" t="s">
        <v>35</v>
      </c>
      <c r="E505" s="166">
        <v>5.101604771E9</v>
      </c>
      <c r="F505" s="166" t="s">
        <v>762</v>
      </c>
      <c r="G505" s="165">
        <v>46129.0</v>
      </c>
      <c r="H505" s="167">
        <v>46134.0</v>
      </c>
      <c r="I505" s="168">
        <v>5.0</v>
      </c>
      <c r="J505" s="169" t="s">
        <v>114</v>
      </c>
      <c r="K505" s="166" t="s">
        <v>79</v>
      </c>
      <c r="L505" s="166" t="s">
        <v>80</v>
      </c>
      <c r="M505" s="166">
        <v>2.0</v>
      </c>
      <c r="N505" s="170">
        <v>0.19999999999999996</v>
      </c>
      <c r="O505" s="171">
        <v>148.02</v>
      </c>
      <c r="P505" s="171">
        <v>118.41600000000001</v>
      </c>
      <c r="Q505" s="172">
        <v>0.0</v>
      </c>
      <c r="R505" s="173">
        <v>592.08</v>
      </c>
      <c r="S505" s="173">
        <v>0.0</v>
      </c>
      <c r="T505" s="173">
        <v>765.1</v>
      </c>
      <c r="U505" s="174" t="s">
        <v>107</v>
      </c>
      <c r="V505" s="165">
        <v>45955.0</v>
      </c>
      <c r="W505" s="175"/>
      <c r="X505" s="175"/>
      <c r="Y505" s="175"/>
      <c r="Z505" s="175"/>
      <c r="AA505" s="175"/>
      <c r="AB505" s="175"/>
      <c r="AC505" s="175"/>
      <c r="AD505" s="175"/>
      <c r="AE505" s="175"/>
      <c r="AF505" s="175"/>
      <c r="AG505" s="175"/>
      <c r="AH505" s="175"/>
      <c r="AI505" s="175"/>
    </row>
    <row r="506">
      <c r="A506" s="165">
        <v>45984.0</v>
      </c>
      <c r="B506" s="166">
        <v>7840200.0</v>
      </c>
      <c r="C506" s="166" t="s">
        <v>82</v>
      </c>
      <c r="D506" s="166" t="s">
        <v>35</v>
      </c>
      <c r="E506" s="166">
        <v>6.311768689E9</v>
      </c>
      <c r="F506" s="166" t="s">
        <v>763</v>
      </c>
      <c r="G506" s="165">
        <v>46129.0</v>
      </c>
      <c r="H506" s="167">
        <v>46130.0</v>
      </c>
      <c r="I506" s="168">
        <v>1.0</v>
      </c>
      <c r="J506" s="169" t="s">
        <v>78</v>
      </c>
      <c r="K506" s="166" t="s">
        <v>79</v>
      </c>
      <c r="L506" s="166" t="s">
        <v>80</v>
      </c>
      <c r="M506" s="166">
        <v>2.0</v>
      </c>
      <c r="N506" s="170">
        <v>0.19999999999999996</v>
      </c>
      <c r="O506" s="171">
        <v>187.48</v>
      </c>
      <c r="P506" s="171">
        <v>149.984</v>
      </c>
      <c r="Q506" s="172">
        <v>0.0</v>
      </c>
      <c r="R506" s="173">
        <v>149.984</v>
      </c>
      <c r="S506" s="173">
        <v>0.0</v>
      </c>
      <c r="T506" s="173">
        <v>384.96</v>
      </c>
      <c r="U506" s="201" t="s">
        <v>161</v>
      </c>
      <c r="V506" s="165">
        <v>45984.0</v>
      </c>
      <c r="W506" s="175"/>
      <c r="X506" s="175"/>
      <c r="Y506" s="175"/>
      <c r="Z506" s="175"/>
      <c r="AA506" s="175"/>
      <c r="AB506" s="175"/>
      <c r="AC506" s="175"/>
      <c r="AD506" s="175"/>
      <c r="AE506" s="175"/>
      <c r="AF506" s="175"/>
      <c r="AG506" s="175"/>
      <c r="AH506" s="175"/>
      <c r="AI506" s="175"/>
    </row>
    <row r="507">
      <c r="A507" s="165">
        <v>45984.0</v>
      </c>
      <c r="B507" s="166">
        <v>7840200.0</v>
      </c>
      <c r="C507" s="166" t="s">
        <v>82</v>
      </c>
      <c r="D507" s="166" t="s">
        <v>35</v>
      </c>
      <c r="E507" s="166">
        <v>6.311768689E9</v>
      </c>
      <c r="F507" s="166" t="s">
        <v>763</v>
      </c>
      <c r="G507" s="165">
        <v>46129.0</v>
      </c>
      <c r="H507" s="167">
        <v>46130.0</v>
      </c>
      <c r="I507" s="168">
        <v>1.0</v>
      </c>
      <c r="J507" s="169" t="s">
        <v>78</v>
      </c>
      <c r="K507" s="166" t="s">
        <v>79</v>
      </c>
      <c r="L507" s="166" t="s">
        <v>80</v>
      </c>
      <c r="M507" s="205">
        <v>2.0</v>
      </c>
      <c r="N507" s="170">
        <v>0.19999999999999996</v>
      </c>
      <c r="O507" s="171">
        <v>187.48</v>
      </c>
      <c r="P507" s="171">
        <v>149.984</v>
      </c>
      <c r="Q507" s="172">
        <v>0.0</v>
      </c>
      <c r="R507" s="173">
        <v>149.984</v>
      </c>
      <c r="S507" s="173">
        <v>0.0</v>
      </c>
      <c r="T507" s="173">
        <v>384.96</v>
      </c>
      <c r="U507" s="201" t="s">
        <v>161</v>
      </c>
      <c r="V507" s="165">
        <v>45984.0</v>
      </c>
      <c r="W507" s="175"/>
      <c r="X507" s="175"/>
      <c r="Y507" s="175"/>
      <c r="Z507" s="175"/>
      <c r="AA507" s="175"/>
      <c r="AB507" s="175"/>
      <c r="AC507" s="175"/>
      <c r="AD507" s="175"/>
      <c r="AE507" s="175"/>
      <c r="AF507" s="175"/>
      <c r="AG507" s="175"/>
      <c r="AH507" s="175"/>
      <c r="AI507" s="175"/>
    </row>
    <row r="508">
      <c r="A508" s="165">
        <v>45952.0</v>
      </c>
      <c r="B508" s="166">
        <v>7716174.0</v>
      </c>
      <c r="C508" s="166" t="s">
        <v>89</v>
      </c>
      <c r="D508" s="166" t="s">
        <v>35</v>
      </c>
      <c r="E508" s="166">
        <v>6.850765789E9</v>
      </c>
      <c r="F508" s="166" t="s">
        <v>755</v>
      </c>
      <c r="G508" s="165">
        <v>46130.0</v>
      </c>
      <c r="H508" s="167">
        <v>46135.0</v>
      </c>
      <c r="I508" s="168">
        <v>5.0</v>
      </c>
      <c r="J508" s="169" t="s">
        <v>114</v>
      </c>
      <c r="K508" s="166" t="s">
        <v>79</v>
      </c>
      <c r="L508" s="166" t="s">
        <v>80</v>
      </c>
      <c r="M508" s="205">
        <v>0.0</v>
      </c>
      <c r="N508" s="170">
        <v>0.0</v>
      </c>
      <c r="O508" s="171">
        <v>0.0</v>
      </c>
      <c r="P508" s="171">
        <v>0.0</v>
      </c>
      <c r="Q508" s="172">
        <v>0.0</v>
      </c>
      <c r="R508" s="173">
        <v>0.0</v>
      </c>
      <c r="S508" s="173">
        <v>0.0</v>
      </c>
      <c r="T508" s="173">
        <v>0.0</v>
      </c>
      <c r="U508" s="174" t="s">
        <v>155</v>
      </c>
      <c r="V508" s="165">
        <v>46024.0</v>
      </c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</row>
    <row r="509">
      <c r="A509" s="176">
        <v>46041.0</v>
      </c>
      <c r="B509" s="177">
        <v>8053351.0</v>
      </c>
      <c r="C509" s="178" t="s">
        <v>82</v>
      </c>
      <c r="D509" s="178" t="s">
        <v>35</v>
      </c>
      <c r="E509" s="177">
        <v>5.205871444E9</v>
      </c>
      <c r="F509" s="178" t="s">
        <v>765</v>
      </c>
      <c r="G509" s="176">
        <v>46130.0</v>
      </c>
      <c r="H509" s="179">
        <v>46131.0</v>
      </c>
      <c r="I509" s="180">
        <v>1.0</v>
      </c>
      <c r="J509" s="181" t="s">
        <v>78</v>
      </c>
      <c r="K509" s="178" t="s">
        <v>79</v>
      </c>
      <c r="L509" s="178" t="s">
        <v>80</v>
      </c>
      <c r="M509" s="177">
        <v>2.0</v>
      </c>
      <c r="N509" s="183">
        <v>0.19999999999999996</v>
      </c>
      <c r="O509" s="184">
        <v>205.66</v>
      </c>
      <c r="P509" s="184">
        <v>164.52800000000002</v>
      </c>
      <c r="Q509" s="185">
        <v>0.0</v>
      </c>
      <c r="R509" s="186">
        <v>164.52800000000002</v>
      </c>
      <c r="S509" s="186">
        <v>0.0</v>
      </c>
      <c r="T509" s="186">
        <v>210.66</v>
      </c>
      <c r="U509" s="187" t="s">
        <v>353</v>
      </c>
      <c r="V509" s="189">
        <v>46041.0</v>
      </c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</row>
    <row r="510">
      <c r="A510" s="165">
        <v>46044.0</v>
      </c>
      <c r="B510" s="166">
        <v>8066391.0</v>
      </c>
      <c r="C510" s="166" t="s">
        <v>82</v>
      </c>
      <c r="D510" s="166" t="s">
        <v>35</v>
      </c>
      <c r="E510" s="166">
        <v>6.312698297E9</v>
      </c>
      <c r="F510" s="166" t="s">
        <v>766</v>
      </c>
      <c r="G510" s="165">
        <v>46130.0</v>
      </c>
      <c r="H510" s="167">
        <v>46133.0</v>
      </c>
      <c r="I510" s="168">
        <v>3.0</v>
      </c>
      <c r="J510" s="169" t="s">
        <v>78</v>
      </c>
      <c r="K510" s="166" t="s">
        <v>79</v>
      </c>
      <c r="L510" s="166" t="s">
        <v>80</v>
      </c>
      <c r="M510" s="166">
        <v>2.0</v>
      </c>
      <c r="N510" s="170">
        <v>0.19999999999999996</v>
      </c>
      <c r="O510" s="171">
        <v>156.92</v>
      </c>
      <c r="P510" s="171">
        <v>125.536</v>
      </c>
      <c r="Q510" s="172">
        <v>0.0</v>
      </c>
      <c r="R510" s="173">
        <v>376.608</v>
      </c>
      <c r="S510" s="173">
        <v>0.0</v>
      </c>
      <c r="T510" s="173">
        <v>485.76</v>
      </c>
      <c r="U510" s="174" t="s">
        <v>107</v>
      </c>
      <c r="V510" s="165">
        <v>46044.0</v>
      </c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</row>
    <row r="511">
      <c r="A511" s="154">
        <v>46047.0</v>
      </c>
      <c r="B511" s="155">
        <v>8079549.0</v>
      </c>
      <c r="C511" s="156" t="s">
        <v>89</v>
      </c>
      <c r="D511" s="156" t="s">
        <v>35</v>
      </c>
      <c r="E511" s="155">
        <v>6.482685925E9</v>
      </c>
      <c r="F511" s="156" t="s">
        <v>767</v>
      </c>
      <c r="G511" s="154">
        <v>46130.0</v>
      </c>
      <c r="H511" s="157">
        <v>46132.0</v>
      </c>
      <c r="I511" s="158">
        <v>2.0</v>
      </c>
      <c r="J511" s="159" t="s">
        <v>111</v>
      </c>
      <c r="K511" s="156" t="s">
        <v>79</v>
      </c>
      <c r="L511" s="156" t="s">
        <v>80</v>
      </c>
      <c r="M511" s="155">
        <v>0.0</v>
      </c>
      <c r="N511" s="160">
        <v>0.0</v>
      </c>
      <c r="O511" s="161">
        <v>0.0</v>
      </c>
      <c r="P511" s="161">
        <v>0.0</v>
      </c>
      <c r="Q511" s="203">
        <v>0.0</v>
      </c>
      <c r="R511" s="162">
        <v>0.0</v>
      </c>
      <c r="S511" s="162">
        <v>0.0</v>
      </c>
      <c r="T511" s="162">
        <v>0.0</v>
      </c>
      <c r="U511" s="163" t="s">
        <v>768</v>
      </c>
      <c r="V511" s="154">
        <v>46079.0</v>
      </c>
      <c r="W511" s="175"/>
      <c r="X511" s="175"/>
      <c r="Y511" s="175"/>
      <c r="Z511" s="175"/>
      <c r="AA511" s="175"/>
      <c r="AB511" s="175"/>
      <c r="AC511" s="175"/>
      <c r="AD511" s="175"/>
      <c r="AE511" s="175"/>
      <c r="AF511" s="175"/>
      <c r="AG511" s="175"/>
      <c r="AH511" s="175"/>
      <c r="AI511" s="175"/>
    </row>
    <row r="512">
      <c r="A512" s="176">
        <v>46058.0</v>
      </c>
      <c r="B512" s="166">
        <v>8132526.0</v>
      </c>
      <c r="C512" s="166" t="s">
        <v>82</v>
      </c>
      <c r="D512" s="166" t="s">
        <v>35</v>
      </c>
      <c r="E512" s="166">
        <v>5.432372437E9</v>
      </c>
      <c r="F512" s="166" t="s">
        <v>770</v>
      </c>
      <c r="G512" s="165">
        <v>46130.0</v>
      </c>
      <c r="H512" s="167">
        <v>46132.0</v>
      </c>
      <c r="I512" s="168">
        <v>2.0</v>
      </c>
      <c r="J512" s="169" t="s">
        <v>78</v>
      </c>
      <c r="K512" s="166" t="s">
        <v>79</v>
      </c>
      <c r="L512" s="166" t="s">
        <v>80</v>
      </c>
      <c r="M512" s="166">
        <v>3.0</v>
      </c>
      <c r="N512" s="170">
        <v>0.19999999999999996</v>
      </c>
      <c r="O512" s="171">
        <v>218.98</v>
      </c>
      <c r="P512" s="171">
        <v>175.184</v>
      </c>
      <c r="Q512" s="172">
        <v>0.0</v>
      </c>
      <c r="R512" s="173">
        <v>350.368</v>
      </c>
      <c r="S512" s="173">
        <v>0.0</v>
      </c>
      <c r="T512" s="173">
        <v>452.96</v>
      </c>
      <c r="U512" s="174" t="s">
        <v>268</v>
      </c>
      <c r="V512" s="165">
        <v>46058.0</v>
      </c>
      <c r="W512" s="175"/>
      <c r="X512" s="175"/>
      <c r="Y512" s="175"/>
      <c r="Z512" s="175"/>
      <c r="AA512" s="175"/>
      <c r="AB512" s="175"/>
      <c r="AC512" s="175"/>
      <c r="AD512" s="175"/>
      <c r="AE512" s="175"/>
      <c r="AF512" s="175"/>
      <c r="AG512" s="175"/>
      <c r="AH512" s="175"/>
      <c r="AI512" s="175"/>
    </row>
    <row r="513">
      <c r="A513" s="176">
        <v>46067.0</v>
      </c>
      <c r="B513" s="177">
        <v>8173933.0</v>
      </c>
      <c r="C513" s="178" t="s">
        <v>82</v>
      </c>
      <c r="D513" s="178" t="s">
        <v>35</v>
      </c>
      <c r="E513" s="177">
        <v>5.489078839E9</v>
      </c>
      <c r="F513" s="178" t="s">
        <v>771</v>
      </c>
      <c r="G513" s="176">
        <v>46130.0</v>
      </c>
      <c r="H513" s="179">
        <v>46133.0</v>
      </c>
      <c r="I513" s="180">
        <v>3.0</v>
      </c>
      <c r="J513" s="181" t="s">
        <v>91</v>
      </c>
      <c r="K513" s="178" t="s">
        <v>79</v>
      </c>
      <c r="L513" s="178" t="s">
        <v>80</v>
      </c>
      <c r="M513" s="182">
        <v>2.0</v>
      </c>
      <c r="N513" s="183">
        <v>0.19999999999999996</v>
      </c>
      <c r="O513" s="184">
        <v>406.48</v>
      </c>
      <c r="P513" s="184">
        <v>325.184</v>
      </c>
      <c r="Q513" s="185">
        <v>0.0</v>
      </c>
      <c r="R513" s="186">
        <v>975.5520000000001</v>
      </c>
      <c r="S513" s="186">
        <v>0.0</v>
      </c>
      <c r="T513" s="186">
        <v>1234.44</v>
      </c>
      <c r="U513" s="187" t="s">
        <v>107</v>
      </c>
      <c r="V513" s="176">
        <v>46067.0</v>
      </c>
      <c r="W513" s="175"/>
      <c r="X513" s="175"/>
      <c r="Y513" s="175"/>
      <c r="Z513" s="175"/>
      <c r="AA513" s="175"/>
      <c r="AB513" s="175"/>
      <c r="AC513" s="175"/>
      <c r="AD513" s="175"/>
      <c r="AE513" s="175"/>
      <c r="AF513" s="175"/>
      <c r="AG513" s="175"/>
      <c r="AH513" s="175"/>
      <c r="AI513" s="175"/>
    </row>
    <row r="514">
      <c r="A514" s="176">
        <v>46068.0</v>
      </c>
      <c r="B514" s="177">
        <v>8176526.0</v>
      </c>
      <c r="C514" s="178" t="s">
        <v>89</v>
      </c>
      <c r="D514" s="178" t="s">
        <v>35</v>
      </c>
      <c r="E514" s="177">
        <v>5.899224136E9</v>
      </c>
      <c r="F514" s="178" t="s">
        <v>756</v>
      </c>
      <c r="G514" s="176">
        <v>46130.0</v>
      </c>
      <c r="H514" s="179">
        <v>46131.0</v>
      </c>
      <c r="I514" s="180">
        <v>1.0</v>
      </c>
      <c r="J514" s="181" t="s">
        <v>114</v>
      </c>
      <c r="K514" s="178" t="s">
        <v>79</v>
      </c>
      <c r="L514" s="178" t="s">
        <v>80</v>
      </c>
      <c r="M514" s="182">
        <v>0.0</v>
      </c>
      <c r="N514" s="183">
        <v>0.0</v>
      </c>
      <c r="O514" s="184">
        <v>0.0</v>
      </c>
      <c r="P514" s="184">
        <v>0.0</v>
      </c>
      <c r="Q514" s="185">
        <v>0.0</v>
      </c>
      <c r="R514" s="186">
        <v>0.0</v>
      </c>
      <c r="S514" s="186">
        <v>0.0</v>
      </c>
      <c r="T514" s="186">
        <v>0.0</v>
      </c>
      <c r="U514" s="187" t="s">
        <v>757</v>
      </c>
      <c r="V514" s="176">
        <v>46068.0</v>
      </c>
      <c r="W514" s="175"/>
      <c r="X514" s="175"/>
      <c r="Y514" s="175"/>
      <c r="Z514" s="175"/>
      <c r="AA514" s="175"/>
      <c r="AB514" s="175"/>
      <c r="AC514" s="175"/>
      <c r="AD514" s="175"/>
      <c r="AE514" s="175"/>
      <c r="AF514" s="175"/>
      <c r="AG514" s="175"/>
      <c r="AH514" s="175"/>
      <c r="AI514" s="175"/>
    </row>
    <row r="515">
      <c r="A515" s="154">
        <v>45918.0</v>
      </c>
      <c r="B515" s="155">
        <v>7574968.0</v>
      </c>
      <c r="C515" s="156" t="s">
        <v>89</v>
      </c>
      <c r="D515" s="156" t="s">
        <v>35</v>
      </c>
      <c r="E515" s="155">
        <v>6.152132696E9</v>
      </c>
      <c r="F515" s="156" t="s">
        <v>772</v>
      </c>
      <c r="G515" s="154">
        <v>46131.0</v>
      </c>
      <c r="H515" s="157">
        <v>46138.0</v>
      </c>
      <c r="I515" s="158">
        <v>7.0</v>
      </c>
      <c r="J515" s="159" t="s">
        <v>78</v>
      </c>
      <c r="K515" s="156" t="s">
        <v>79</v>
      </c>
      <c r="L515" s="156" t="s">
        <v>80</v>
      </c>
      <c r="M515" s="155">
        <v>0.0</v>
      </c>
      <c r="N515" s="160">
        <v>0.0</v>
      </c>
      <c r="O515" s="161">
        <v>0.0</v>
      </c>
      <c r="P515" s="161">
        <v>0.0</v>
      </c>
      <c r="Q515" s="159">
        <v>0.0</v>
      </c>
      <c r="R515" s="162">
        <v>0.0</v>
      </c>
      <c r="S515" s="162">
        <v>0.0</v>
      </c>
      <c r="T515" s="162">
        <v>0.0</v>
      </c>
      <c r="U515" s="163" t="s">
        <v>773</v>
      </c>
      <c r="V515" s="154">
        <v>46134.0</v>
      </c>
      <c r="W515" s="175"/>
      <c r="X515" s="175"/>
      <c r="Y515" s="175"/>
      <c r="Z515" s="175"/>
      <c r="AA515" s="175"/>
      <c r="AB515" s="175"/>
      <c r="AC515" s="175"/>
      <c r="AD515" s="175"/>
      <c r="AE515" s="175"/>
      <c r="AF515" s="175"/>
      <c r="AG515" s="175"/>
      <c r="AH515" s="175"/>
      <c r="AI515" s="175"/>
    </row>
    <row r="516">
      <c r="A516" s="165">
        <v>45918.0</v>
      </c>
      <c r="B516" s="166">
        <v>7578003.0</v>
      </c>
      <c r="C516" s="166" t="s">
        <v>89</v>
      </c>
      <c r="D516" s="166" t="s">
        <v>35</v>
      </c>
      <c r="E516" s="166">
        <v>6.076076248E9</v>
      </c>
      <c r="F516" s="166" t="s">
        <v>775</v>
      </c>
      <c r="G516" s="165">
        <v>46131.0</v>
      </c>
      <c r="H516" s="167">
        <v>46138.0</v>
      </c>
      <c r="I516" s="168">
        <v>7.0</v>
      </c>
      <c r="J516" s="169" t="s">
        <v>87</v>
      </c>
      <c r="K516" s="166" t="s">
        <v>79</v>
      </c>
      <c r="L516" s="166" t="s">
        <v>80</v>
      </c>
      <c r="M516" s="166">
        <v>0.0</v>
      </c>
      <c r="N516" s="169">
        <v>0.0</v>
      </c>
      <c r="O516" s="171">
        <v>0.0</v>
      </c>
      <c r="P516" s="171">
        <v>0.0</v>
      </c>
      <c r="Q516" s="169">
        <v>0.0</v>
      </c>
      <c r="R516" s="173">
        <v>0.0</v>
      </c>
      <c r="S516" s="173">
        <v>0.0</v>
      </c>
      <c r="T516" s="173">
        <v>0.0</v>
      </c>
      <c r="U516" s="201" t="s">
        <v>773</v>
      </c>
      <c r="V516" s="165">
        <v>46134.0</v>
      </c>
      <c r="W516" s="164"/>
      <c r="X516" s="164"/>
      <c r="Y516" s="164"/>
      <c r="Z516" s="164"/>
      <c r="AA516" s="164"/>
      <c r="AB516" s="164"/>
      <c r="AC516" s="164"/>
      <c r="AD516" s="164"/>
      <c r="AE516" s="164"/>
      <c r="AF516" s="164"/>
      <c r="AG516" s="164"/>
      <c r="AH516" s="164"/>
      <c r="AI516" s="164"/>
    </row>
    <row r="517">
      <c r="A517" s="165">
        <v>46031.0</v>
      </c>
      <c r="B517" s="166">
        <v>8011832.0</v>
      </c>
      <c r="C517" s="166" t="s">
        <v>89</v>
      </c>
      <c r="D517" s="166" t="s">
        <v>94</v>
      </c>
      <c r="E517" s="166">
        <v>8011832.0</v>
      </c>
      <c r="F517" s="166" t="s">
        <v>776</v>
      </c>
      <c r="G517" s="165">
        <v>46131.0</v>
      </c>
      <c r="H517" s="167">
        <v>46134.0</v>
      </c>
      <c r="I517" s="168">
        <v>3.0</v>
      </c>
      <c r="J517" s="169" t="s">
        <v>114</v>
      </c>
      <c r="K517" s="166" t="s">
        <v>79</v>
      </c>
      <c r="L517" s="166" t="s">
        <v>96</v>
      </c>
      <c r="M517" s="166">
        <v>0.0</v>
      </c>
      <c r="N517" s="170">
        <v>0.0</v>
      </c>
      <c r="O517" s="171">
        <v>0.0</v>
      </c>
      <c r="P517" s="171">
        <v>0.0</v>
      </c>
      <c r="Q517" s="172">
        <v>0.0</v>
      </c>
      <c r="R517" s="173">
        <v>0.0</v>
      </c>
      <c r="S517" s="173">
        <v>0.0</v>
      </c>
      <c r="T517" s="173">
        <v>0.0</v>
      </c>
      <c r="U517" s="174" t="s">
        <v>232</v>
      </c>
      <c r="V517" s="165">
        <v>46131.0</v>
      </c>
      <c r="W517" s="175"/>
      <c r="X517" s="175"/>
      <c r="Y517" s="175"/>
      <c r="Z517" s="175"/>
      <c r="AA517" s="175"/>
      <c r="AB517" s="175"/>
      <c r="AC517" s="175"/>
      <c r="AD517" s="175"/>
      <c r="AE517" s="175"/>
      <c r="AF517" s="175"/>
      <c r="AG517" s="175"/>
      <c r="AH517" s="175"/>
      <c r="AI517" s="175"/>
    </row>
    <row r="518">
      <c r="A518" s="176">
        <v>46068.0</v>
      </c>
      <c r="B518" s="177">
        <v>8177657.0</v>
      </c>
      <c r="C518" s="178" t="s">
        <v>82</v>
      </c>
      <c r="D518" s="178" t="s">
        <v>35</v>
      </c>
      <c r="E518" s="177">
        <v>6.672496347E9</v>
      </c>
      <c r="F518" s="178" t="s">
        <v>756</v>
      </c>
      <c r="G518" s="176">
        <v>46131.0</v>
      </c>
      <c r="H518" s="179">
        <v>46132.0</v>
      </c>
      <c r="I518" s="180">
        <v>1.0</v>
      </c>
      <c r="J518" s="181" t="s">
        <v>78</v>
      </c>
      <c r="K518" s="178" t="s">
        <v>79</v>
      </c>
      <c r="L518" s="178" t="s">
        <v>80</v>
      </c>
      <c r="M518" s="182">
        <v>2.0</v>
      </c>
      <c r="N518" s="183">
        <v>0.19999999999999996</v>
      </c>
      <c r="O518" s="184">
        <v>208.32</v>
      </c>
      <c r="P518" s="184">
        <v>166.656</v>
      </c>
      <c r="Q518" s="185">
        <v>0.0</v>
      </c>
      <c r="R518" s="186">
        <v>166.656</v>
      </c>
      <c r="S518" s="186">
        <v>0.0</v>
      </c>
      <c r="T518" s="186">
        <v>213.32</v>
      </c>
      <c r="U518" s="187" t="s">
        <v>353</v>
      </c>
      <c r="V518" s="176">
        <v>46068.0</v>
      </c>
      <c r="W518" s="175"/>
      <c r="X518" s="175"/>
      <c r="Y518" s="175"/>
      <c r="Z518" s="175"/>
      <c r="AA518" s="175"/>
      <c r="AB518" s="175"/>
      <c r="AC518" s="175"/>
      <c r="AD518" s="175"/>
      <c r="AE518" s="175"/>
      <c r="AF518" s="175"/>
      <c r="AG518" s="175"/>
      <c r="AH518" s="175"/>
      <c r="AI518" s="175"/>
    </row>
    <row r="519">
      <c r="A519" s="176">
        <v>46069.0</v>
      </c>
      <c r="B519" s="177">
        <v>8184337.0</v>
      </c>
      <c r="C519" s="178" t="s">
        <v>89</v>
      </c>
      <c r="D519" s="178" t="s">
        <v>35</v>
      </c>
      <c r="E519" s="177">
        <v>5.435205589E9</v>
      </c>
      <c r="F519" s="178" t="s">
        <v>777</v>
      </c>
      <c r="G519" s="176">
        <v>46132.0</v>
      </c>
      <c r="H519" s="179">
        <v>46134.0</v>
      </c>
      <c r="I519" s="180">
        <v>2.0</v>
      </c>
      <c r="J519" s="181" t="s">
        <v>111</v>
      </c>
      <c r="K519" s="178" t="s">
        <v>79</v>
      </c>
      <c r="L519" s="178" t="s">
        <v>80</v>
      </c>
      <c r="M519" s="182">
        <v>0.0</v>
      </c>
      <c r="N519" s="183">
        <v>0.0</v>
      </c>
      <c r="O519" s="184">
        <v>0.0</v>
      </c>
      <c r="P519" s="184">
        <v>0.0</v>
      </c>
      <c r="Q519" s="185">
        <v>0.0</v>
      </c>
      <c r="R519" s="186">
        <v>0.0</v>
      </c>
      <c r="S519" s="186">
        <v>0.0</v>
      </c>
      <c r="T519" s="186">
        <v>0.0</v>
      </c>
      <c r="U519" s="187" t="s">
        <v>778</v>
      </c>
      <c r="V519" s="176">
        <v>46095.0</v>
      </c>
      <c r="W519" s="175"/>
      <c r="X519" s="175"/>
      <c r="Y519" s="175"/>
      <c r="Z519" s="175"/>
      <c r="AA519" s="175"/>
      <c r="AB519" s="175"/>
      <c r="AC519" s="175"/>
      <c r="AD519" s="175"/>
      <c r="AE519" s="175"/>
      <c r="AF519" s="175"/>
      <c r="AG519" s="175"/>
      <c r="AH519" s="175"/>
      <c r="AI519" s="175"/>
    </row>
    <row r="520">
      <c r="A520" s="165">
        <v>45960.0</v>
      </c>
      <c r="B520" s="166">
        <v>7747142.0</v>
      </c>
      <c r="C520" s="166" t="s">
        <v>82</v>
      </c>
      <c r="D520" s="166" t="s">
        <v>94</v>
      </c>
      <c r="E520" s="166">
        <v>7747142.0</v>
      </c>
      <c r="F520" s="166" t="s">
        <v>698</v>
      </c>
      <c r="G520" s="165">
        <v>46133.0</v>
      </c>
      <c r="H520" s="167">
        <v>46134.0</v>
      </c>
      <c r="I520" s="168">
        <v>1.0</v>
      </c>
      <c r="J520" s="169" t="s">
        <v>78</v>
      </c>
      <c r="K520" s="166" t="s">
        <v>79</v>
      </c>
      <c r="L520" s="166" t="s">
        <v>96</v>
      </c>
      <c r="M520" s="166">
        <v>2.0</v>
      </c>
      <c r="N520" s="170">
        <v>0.0</v>
      </c>
      <c r="O520" s="171">
        <v>239.76</v>
      </c>
      <c r="P520" s="171">
        <v>239.76</v>
      </c>
      <c r="Q520" s="172">
        <v>0.0</v>
      </c>
      <c r="R520" s="173">
        <v>239.76</v>
      </c>
      <c r="S520" s="173">
        <v>0.0</v>
      </c>
      <c r="T520" s="173">
        <v>1284.28</v>
      </c>
      <c r="U520" s="174" t="s">
        <v>97</v>
      </c>
      <c r="V520" s="165">
        <v>45960.0</v>
      </c>
      <c r="W520" s="175"/>
      <c r="X520" s="175"/>
      <c r="Y520" s="175"/>
      <c r="Z520" s="175"/>
      <c r="AA520" s="175"/>
      <c r="AB520" s="175"/>
      <c r="AC520" s="175"/>
      <c r="AD520" s="175"/>
      <c r="AE520" s="175"/>
      <c r="AF520" s="175"/>
      <c r="AG520" s="175"/>
      <c r="AH520" s="175"/>
      <c r="AI520" s="175"/>
    </row>
    <row r="521">
      <c r="A521" s="165">
        <v>45960.0</v>
      </c>
      <c r="B521" s="166">
        <v>7747142.0</v>
      </c>
      <c r="C521" s="166" t="s">
        <v>82</v>
      </c>
      <c r="D521" s="166" t="s">
        <v>94</v>
      </c>
      <c r="E521" s="166">
        <v>7747142.0</v>
      </c>
      <c r="F521" s="166" t="s">
        <v>698</v>
      </c>
      <c r="G521" s="165">
        <v>46133.0</v>
      </c>
      <c r="H521" s="167">
        <v>46134.0</v>
      </c>
      <c r="I521" s="168">
        <v>1.0</v>
      </c>
      <c r="J521" s="169" t="s">
        <v>78</v>
      </c>
      <c r="K521" s="166" t="s">
        <v>79</v>
      </c>
      <c r="L521" s="166" t="s">
        <v>96</v>
      </c>
      <c r="M521" s="205">
        <v>2.0</v>
      </c>
      <c r="N521" s="170">
        <v>0.0</v>
      </c>
      <c r="O521" s="171">
        <v>239.76</v>
      </c>
      <c r="P521" s="171">
        <v>239.76</v>
      </c>
      <c r="Q521" s="172">
        <v>0.0</v>
      </c>
      <c r="R521" s="173">
        <v>239.76</v>
      </c>
      <c r="S521" s="173">
        <v>0.0</v>
      </c>
      <c r="T521" s="173">
        <v>1284.28</v>
      </c>
      <c r="U521" s="174" t="s">
        <v>97</v>
      </c>
      <c r="V521" s="165">
        <v>45960.0</v>
      </c>
      <c r="W521" s="175"/>
      <c r="X521" s="175"/>
      <c r="Y521" s="175"/>
      <c r="Z521" s="175"/>
      <c r="AA521" s="175"/>
      <c r="AB521" s="175"/>
      <c r="AC521" s="175"/>
      <c r="AD521" s="175"/>
      <c r="AE521" s="175"/>
      <c r="AF521" s="175"/>
      <c r="AG521" s="175"/>
      <c r="AH521" s="175"/>
      <c r="AI521" s="175"/>
    </row>
    <row r="522">
      <c r="A522" s="154">
        <v>45960.0</v>
      </c>
      <c r="B522" s="155">
        <v>7747142.0</v>
      </c>
      <c r="C522" s="156" t="s">
        <v>82</v>
      </c>
      <c r="D522" s="156" t="s">
        <v>94</v>
      </c>
      <c r="E522" s="155">
        <v>7747142.0</v>
      </c>
      <c r="F522" s="156" t="s">
        <v>698</v>
      </c>
      <c r="G522" s="154">
        <v>46133.0</v>
      </c>
      <c r="H522" s="157">
        <v>46134.0</v>
      </c>
      <c r="I522" s="158">
        <v>1.0</v>
      </c>
      <c r="J522" s="159" t="s">
        <v>78</v>
      </c>
      <c r="K522" s="156" t="s">
        <v>79</v>
      </c>
      <c r="L522" s="156" t="s">
        <v>96</v>
      </c>
      <c r="M522" s="155">
        <v>2.0</v>
      </c>
      <c r="N522" s="160">
        <v>0.0</v>
      </c>
      <c r="O522" s="161">
        <v>239.76</v>
      </c>
      <c r="P522" s="161">
        <v>239.76</v>
      </c>
      <c r="Q522" s="203">
        <v>0.0</v>
      </c>
      <c r="R522" s="162">
        <v>239.76</v>
      </c>
      <c r="S522" s="162">
        <v>0.0</v>
      </c>
      <c r="T522" s="162">
        <v>1284.28</v>
      </c>
      <c r="U522" s="163" t="s">
        <v>97</v>
      </c>
      <c r="V522" s="154">
        <v>45960.0</v>
      </c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</row>
    <row r="523">
      <c r="A523" s="154">
        <v>45960.0</v>
      </c>
      <c r="B523" s="155">
        <v>7747142.0</v>
      </c>
      <c r="C523" s="156" t="s">
        <v>82</v>
      </c>
      <c r="D523" s="156" t="s">
        <v>94</v>
      </c>
      <c r="E523" s="155">
        <v>7747142.0</v>
      </c>
      <c r="F523" s="156" t="s">
        <v>698</v>
      </c>
      <c r="G523" s="154">
        <v>46133.0</v>
      </c>
      <c r="H523" s="157">
        <v>46134.0</v>
      </c>
      <c r="I523" s="158">
        <v>1.0</v>
      </c>
      <c r="J523" s="159" t="s">
        <v>78</v>
      </c>
      <c r="K523" s="156" t="s">
        <v>79</v>
      </c>
      <c r="L523" s="156" t="s">
        <v>96</v>
      </c>
      <c r="M523" s="155">
        <v>2.0</v>
      </c>
      <c r="N523" s="160">
        <v>0.0</v>
      </c>
      <c r="O523" s="161">
        <v>239.76</v>
      </c>
      <c r="P523" s="161">
        <v>239.76</v>
      </c>
      <c r="Q523" s="203">
        <v>0.0</v>
      </c>
      <c r="R523" s="162">
        <v>239.76</v>
      </c>
      <c r="S523" s="162">
        <v>0.0</v>
      </c>
      <c r="T523" s="162">
        <v>1284.28</v>
      </c>
      <c r="U523" s="163" t="s">
        <v>97</v>
      </c>
      <c r="V523" s="154">
        <v>45960.0</v>
      </c>
      <c r="W523" s="175"/>
      <c r="X523" s="175"/>
      <c r="Y523" s="175"/>
      <c r="Z523" s="175"/>
      <c r="AA523" s="175"/>
      <c r="AB523" s="175"/>
      <c r="AC523" s="175"/>
      <c r="AD523" s="175"/>
      <c r="AE523" s="175"/>
      <c r="AF523" s="175"/>
      <c r="AG523" s="175"/>
      <c r="AH523" s="175"/>
      <c r="AI523" s="175"/>
    </row>
    <row r="524">
      <c r="A524" s="154">
        <v>45960.0</v>
      </c>
      <c r="B524" s="155">
        <v>7747142.0</v>
      </c>
      <c r="C524" s="156" t="s">
        <v>82</v>
      </c>
      <c r="D524" s="156" t="s">
        <v>94</v>
      </c>
      <c r="E524" s="155">
        <v>7747142.0</v>
      </c>
      <c r="F524" s="156" t="s">
        <v>698</v>
      </c>
      <c r="G524" s="154">
        <v>46133.0</v>
      </c>
      <c r="H524" s="157">
        <v>46134.0</v>
      </c>
      <c r="I524" s="158">
        <v>1.0</v>
      </c>
      <c r="J524" s="159" t="s">
        <v>111</v>
      </c>
      <c r="K524" s="156" t="s">
        <v>79</v>
      </c>
      <c r="L524" s="156" t="s">
        <v>96</v>
      </c>
      <c r="M524" s="155">
        <v>2.0</v>
      </c>
      <c r="N524" s="160">
        <v>0.0</v>
      </c>
      <c r="O524" s="161">
        <v>300.24</v>
      </c>
      <c r="P524" s="161">
        <v>300.24</v>
      </c>
      <c r="Q524" s="203">
        <v>0.0</v>
      </c>
      <c r="R524" s="162">
        <v>300.24</v>
      </c>
      <c r="S524" s="162">
        <v>0.0</v>
      </c>
      <c r="T524" s="186">
        <v>1284.28</v>
      </c>
      <c r="U524" s="187" t="s">
        <v>97</v>
      </c>
      <c r="V524" s="176">
        <v>45960.0</v>
      </c>
      <c r="W524" s="175"/>
      <c r="X524" s="175"/>
      <c r="Y524" s="175"/>
      <c r="Z524" s="175"/>
      <c r="AA524" s="175"/>
      <c r="AB524" s="175"/>
      <c r="AC524" s="175"/>
      <c r="AD524" s="175"/>
      <c r="AE524" s="175"/>
      <c r="AF524" s="175"/>
      <c r="AG524" s="175"/>
      <c r="AH524" s="175"/>
      <c r="AI524" s="175"/>
    </row>
    <row r="525">
      <c r="A525" s="165">
        <v>46063.0</v>
      </c>
      <c r="B525" s="166">
        <v>8156279.0</v>
      </c>
      <c r="C525" s="166" t="s">
        <v>89</v>
      </c>
      <c r="D525" s="166" t="s">
        <v>35</v>
      </c>
      <c r="E525" s="166">
        <v>6.565476357E9</v>
      </c>
      <c r="F525" s="166" t="s">
        <v>780</v>
      </c>
      <c r="G525" s="165">
        <v>46133.0</v>
      </c>
      <c r="H525" s="167">
        <v>46136.0</v>
      </c>
      <c r="I525" s="168">
        <v>3.0</v>
      </c>
      <c r="J525" s="169" t="s">
        <v>91</v>
      </c>
      <c r="K525" s="166" t="s">
        <v>79</v>
      </c>
      <c r="L525" s="166" t="s">
        <v>80</v>
      </c>
      <c r="M525" s="166">
        <v>0.0</v>
      </c>
      <c r="N525" s="170">
        <v>0.0</v>
      </c>
      <c r="O525" s="171">
        <v>0.0</v>
      </c>
      <c r="P525" s="171">
        <v>0.0</v>
      </c>
      <c r="Q525" s="172">
        <v>0.0</v>
      </c>
      <c r="R525" s="173">
        <v>0.0</v>
      </c>
      <c r="S525" s="173">
        <v>0.0</v>
      </c>
      <c r="T525" s="173">
        <v>0.0</v>
      </c>
      <c r="U525" s="174" t="s">
        <v>716</v>
      </c>
      <c r="V525" s="165">
        <v>46067.0</v>
      </c>
      <c r="W525" s="175"/>
      <c r="X525" s="175"/>
      <c r="Y525" s="175"/>
      <c r="Z525" s="175"/>
      <c r="AA525" s="175"/>
      <c r="AB525" s="175"/>
      <c r="AC525" s="175"/>
      <c r="AD525" s="175"/>
      <c r="AE525" s="175"/>
      <c r="AF525" s="175"/>
      <c r="AG525" s="175"/>
      <c r="AH525" s="175"/>
      <c r="AI525" s="175"/>
    </row>
    <row r="526">
      <c r="A526" s="165">
        <v>45982.0</v>
      </c>
      <c r="B526" s="166">
        <v>7831084.0</v>
      </c>
      <c r="C526" s="166" t="s">
        <v>82</v>
      </c>
      <c r="D526" s="166" t="s">
        <v>35</v>
      </c>
      <c r="E526" s="166">
        <v>5.444096902E9</v>
      </c>
      <c r="F526" s="166" t="s">
        <v>782</v>
      </c>
      <c r="G526" s="165">
        <v>46134.0</v>
      </c>
      <c r="H526" s="167">
        <v>46136.0</v>
      </c>
      <c r="I526" s="168">
        <v>2.0</v>
      </c>
      <c r="J526" s="169" t="s">
        <v>78</v>
      </c>
      <c r="K526" s="166" t="s">
        <v>79</v>
      </c>
      <c r="L526" s="166" t="s">
        <v>80</v>
      </c>
      <c r="M526" s="166">
        <v>2.0</v>
      </c>
      <c r="N526" s="170">
        <v>0.19999999999999996</v>
      </c>
      <c r="O526" s="171">
        <v>167.11</v>
      </c>
      <c r="P526" s="171">
        <v>133.68800000000002</v>
      </c>
      <c r="Q526" s="172">
        <v>0.0</v>
      </c>
      <c r="R526" s="173">
        <v>267.37600000000003</v>
      </c>
      <c r="S526" s="173">
        <v>0.0</v>
      </c>
      <c r="T526" s="173">
        <v>344.22</v>
      </c>
      <c r="U526" s="201" t="s">
        <v>107</v>
      </c>
      <c r="V526" s="165">
        <v>45982.0</v>
      </c>
      <c r="W526" s="164"/>
      <c r="X526" s="164"/>
      <c r="Y526" s="164"/>
      <c r="Z526" s="164"/>
      <c r="AA526" s="164"/>
      <c r="AB526" s="164"/>
      <c r="AC526" s="164"/>
      <c r="AD526" s="164"/>
      <c r="AE526" s="164"/>
      <c r="AF526" s="164"/>
      <c r="AG526" s="164"/>
      <c r="AH526" s="164"/>
      <c r="AI526" s="164"/>
    </row>
    <row r="527">
      <c r="A527" s="176">
        <v>46056.0</v>
      </c>
      <c r="B527" s="177">
        <v>8119689.0</v>
      </c>
      <c r="C527" s="178" t="s">
        <v>82</v>
      </c>
      <c r="D527" s="178" t="s">
        <v>109</v>
      </c>
      <c r="E527" s="177">
        <v>9.63018534E8</v>
      </c>
      <c r="F527" s="178" t="s">
        <v>783</v>
      </c>
      <c r="G527" s="176">
        <v>46134.0</v>
      </c>
      <c r="H527" s="179">
        <v>46136.0</v>
      </c>
      <c r="I527" s="180">
        <v>2.0</v>
      </c>
      <c r="J527" s="181" t="s">
        <v>111</v>
      </c>
      <c r="K527" s="178" t="s">
        <v>79</v>
      </c>
      <c r="L527" s="178" t="s">
        <v>80</v>
      </c>
      <c r="M527" s="182">
        <v>1.0</v>
      </c>
      <c r="N527" s="183">
        <v>0.19999999999999996</v>
      </c>
      <c r="O527" s="184">
        <v>312.75</v>
      </c>
      <c r="P527" s="184">
        <v>250.20000000000002</v>
      </c>
      <c r="Q527" s="185">
        <v>0.0</v>
      </c>
      <c r="R527" s="186">
        <v>500.40000000000003</v>
      </c>
      <c r="S527" s="186">
        <v>0.0</v>
      </c>
      <c r="T527" s="186">
        <v>625.5</v>
      </c>
      <c r="U527" s="187" t="s">
        <v>402</v>
      </c>
      <c r="V527" s="176">
        <v>46056.0</v>
      </c>
      <c r="W527" s="175"/>
      <c r="X527" s="175"/>
      <c r="Y527" s="175"/>
      <c r="Z527" s="175"/>
      <c r="AA527" s="175"/>
      <c r="AB527" s="175"/>
      <c r="AC527" s="175"/>
      <c r="AD527" s="175"/>
      <c r="AE527" s="175"/>
      <c r="AF527" s="175"/>
      <c r="AG527" s="175"/>
      <c r="AH527" s="175"/>
      <c r="AI527" s="175"/>
    </row>
    <row r="528">
      <c r="A528" s="165">
        <v>46059.0</v>
      </c>
      <c r="B528" s="166">
        <v>8133607.0</v>
      </c>
      <c r="C528" s="166" t="s">
        <v>89</v>
      </c>
      <c r="D528" s="166" t="s">
        <v>36</v>
      </c>
      <c r="E528" s="166">
        <v>8133607.0</v>
      </c>
      <c r="F528" s="166" t="s">
        <v>784</v>
      </c>
      <c r="G528" s="165">
        <v>46134.0</v>
      </c>
      <c r="H528" s="167">
        <v>46136.0</v>
      </c>
      <c r="I528" s="168">
        <v>2.0</v>
      </c>
      <c r="J528" s="169" t="s">
        <v>114</v>
      </c>
      <c r="K528" s="166" t="s">
        <v>79</v>
      </c>
      <c r="L528" s="166" t="s">
        <v>96</v>
      </c>
      <c r="M528" s="166">
        <v>0.0</v>
      </c>
      <c r="N528" s="170">
        <v>0.0</v>
      </c>
      <c r="O528" s="171">
        <v>0.0</v>
      </c>
      <c r="P528" s="171">
        <v>0.0</v>
      </c>
      <c r="Q528" s="172">
        <v>0.0</v>
      </c>
      <c r="R528" s="173">
        <v>0.0</v>
      </c>
      <c r="S528" s="173">
        <v>0.0</v>
      </c>
      <c r="T528" s="173">
        <v>0.0</v>
      </c>
      <c r="U528" s="174" t="s">
        <v>785</v>
      </c>
      <c r="V528" s="165">
        <v>46059.0</v>
      </c>
      <c r="W528" s="175"/>
      <c r="X528" s="175"/>
      <c r="Y528" s="175"/>
      <c r="Z528" s="175"/>
      <c r="AA528" s="175"/>
      <c r="AB528" s="175"/>
      <c r="AC528" s="175"/>
      <c r="AD528" s="175"/>
      <c r="AE528" s="175"/>
      <c r="AF528" s="175"/>
      <c r="AG528" s="175"/>
      <c r="AH528" s="175"/>
      <c r="AI528" s="175"/>
    </row>
    <row r="529">
      <c r="A529" s="176">
        <v>46059.0</v>
      </c>
      <c r="B529" s="177">
        <v>8133615.0</v>
      </c>
      <c r="C529" s="178" t="s">
        <v>82</v>
      </c>
      <c r="D529" s="178" t="s">
        <v>36</v>
      </c>
      <c r="E529" s="177">
        <v>8133615.0</v>
      </c>
      <c r="F529" s="178" t="s">
        <v>784</v>
      </c>
      <c r="G529" s="176">
        <v>46134.0</v>
      </c>
      <c r="H529" s="179">
        <v>46136.0</v>
      </c>
      <c r="I529" s="180">
        <v>2.0</v>
      </c>
      <c r="J529" s="181" t="s">
        <v>114</v>
      </c>
      <c r="K529" s="178" t="s">
        <v>79</v>
      </c>
      <c r="L529" s="178" t="s">
        <v>96</v>
      </c>
      <c r="M529" s="182">
        <v>2.0</v>
      </c>
      <c r="N529" s="183">
        <v>0.0</v>
      </c>
      <c r="O529" s="184">
        <v>219.375</v>
      </c>
      <c r="P529" s="184">
        <v>217.18125</v>
      </c>
      <c r="Q529" s="185">
        <v>0.0</v>
      </c>
      <c r="R529" s="186">
        <v>434.3625</v>
      </c>
      <c r="S529" s="186">
        <v>0.0</v>
      </c>
      <c r="T529" s="186">
        <v>448.75</v>
      </c>
      <c r="U529" s="187" t="s">
        <v>97</v>
      </c>
      <c r="V529" s="176">
        <v>46059.0</v>
      </c>
      <c r="W529" s="175"/>
      <c r="X529" s="175"/>
      <c r="Y529" s="175"/>
      <c r="Z529" s="175"/>
      <c r="AA529" s="175"/>
      <c r="AB529" s="175"/>
      <c r="AC529" s="175"/>
      <c r="AD529" s="175"/>
      <c r="AE529" s="175"/>
      <c r="AF529" s="175"/>
      <c r="AG529" s="175"/>
      <c r="AH529" s="175"/>
      <c r="AI529" s="175"/>
    </row>
    <row r="530">
      <c r="A530" s="165">
        <v>46062.0</v>
      </c>
      <c r="B530" s="166">
        <v>8151577.0</v>
      </c>
      <c r="C530" s="166" t="s">
        <v>82</v>
      </c>
      <c r="D530" s="166" t="s">
        <v>35</v>
      </c>
      <c r="E530" s="166">
        <v>5.767414858E9</v>
      </c>
      <c r="F530" s="166" t="s">
        <v>787</v>
      </c>
      <c r="G530" s="165">
        <v>46134.0</v>
      </c>
      <c r="H530" s="167">
        <v>46136.0</v>
      </c>
      <c r="I530" s="168">
        <v>2.0</v>
      </c>
      <c r="J530" s="169" t="s">
        <v>111</v>
      </c>
      <c r="K530" s="166" t="s">
        <v>79</v>
      </c>
      <c r="L530" s="166" t="s">
        <v>80</v>
      </c>
      <c r="M530" s="166">
        <v>2.0</v>
      </c>
      <c r="N530" s="170">
        <v>0.19999999999999996</v>
      </c>
      <c r="O530" s="171">
        <v>210.29</v>
      </c>
      <c r="P530" s="171">
        <v>168.232</v>
      </c>
      <c r="Q530" s="172">
        <v>0.0</v>
      </c>
      <c r="R530" s="173">
        <v>336.464</v>
      </c>
      <c r="S530" s="173">
        <v>0.0</v>
      </c>
      <c r="T530" s="173">
        <v>430.58</v>
      </c>
      <c r="U530" s="201" t="s">
        <v>107</v>
      </c>
      <c r="V530" s="165">
        <v>46062.0</v>
      </c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</row>
    <row r="531">
      <c r="A531" s="176">
        <v>46072.0</v>
      </c>
      <c r="B531" s="177">
        <v>8194046.0</v>
      </c>
      <c r="C531" s="178" t="s">
        <v>82</v>
      </c>
      <c r="D531" s="178" t="s">
        <v>35</v>
      </c>
      <c r="E531" s="177">
        <v>6.310431257E9</v>
      </c>
      <c r="F531" s="178" t="s">
        <v>788</v>
      </c>
      <c r="G531" s="176">
        <v>46134.0</v>
      </c>
      <c r="H531" s="179">
        <v>46135.0</v>
      </c>
      <c r="I531" s="180">
        <v>1.0</v>
      </c>
      <c r="J531" s="181" t="s">
        <v>78</v>
      </c>
      <c r="K531" s="178" t="s">
        <v>79</v>
      </c>
      <c r="L531" s="178" t="s">
        <v>80</v>
      </c>
      <c r="M531" s="182">
        <v>1.0</v>
      </c>
      <c r="N531" s="183">
        <v>0.19999999999999996</v>
      </c>
      <c r="O531" s="184">
        <v>148.76</v>
      </c>
      <c r="P531" s="184">
        <v>119.008</v>
      </c>
      <c r="Q531" s="185">
        <v>0.0</v>
      </c>
      <c r="R531" s="186">
        <v>119.008</v>
      </c>
      <c r="S531" s="186">
        <v>0.0</v>
      </c>
      <c r="T531" s="186">
        <v>151.26</v>
      </c>
      <c r="U531" s="187" t="s">
        <v>107</v>
      </c>
      <c r="V531" s="176">
        <v>46072.0</v>
      </c>
      <c r="W531" s="175"/>
      <c r="X531" s="175"/>
      <c r="Y531" s="175"/>
      <c r="Z531" s="175"/>
      <c r="AA531" s="175"/>
      <c r="AB531" s="175"/>
      <c r="AC531" s="175"/>
      <c r="AD531" s="175"/>
      <c r="AE531" s="175"/>
      <c r="AF531" s="175"/>
      <c r="AG531" s="175"/>
      <c r="AH531" s="175"/>
      <c r="AI531" s="175"/>
    </row>
    <row r="532">
      <c r="A532" s="176">
        <v>45933.0</v>
      </c>
      <c r="B532" s="177">
        <v>7638456.0</v>
      </c>
      <c r="C532" s="178" t="s">
        <v>82</v>
      </c>
      <c r="D532" s="236" t="s">
        <v>35</v>
      </c>
      <c r="E532" s="177">
        <v>5.494392292E9</v>
      </c>
      <c r="F532" s="178" t="s">
        <v>789</v>
      </c>
      <c r="G532" s="176">
        <v>46135.0</v>
      </c>
      <c r="H532" s="179">
        <v>46138.0</v>
      </c>
      <c r="I532" s="180">
        <v>3.0</v>
      </c>
      <c r="J532" s="181" t="s">
        <v>78</v>
      </c>
      <c r="K532" s="178" t="s">
        <v>79</v>
      </c>
      <c r="L532" s="178" t="s">
        <v>80</v>
      </c>
      <c r="M532" s="177">
        <v>2.0</v>
      </c>
      <c r="N532" s="183">
        <v>0.19999999999999996</v>
      </c>
      <c r="O532" s="184">
        <v>171.86</v>
      </c>
      <c r="P532" s="184">
        <v>137.48800000000003</v>
      </c>
      <c r="Q532" s="185">
        <v>0.0</v>
      </c>
      <c r="R532" s="186">
        <v>412.46400000000006</v>
      </c>
      <c r="S532" s="186">
        <v>0.0</v>
      </c>
      <c r="T532" s="186">
        <v>515.58</v>
      </c>
      <c r="U532" s="187" t="s">
        <v>161</v>
      </c>
      <c r="V532" s="189">
        <v>45933.0</v>
      </c>
      <c r="W532" s="175"/>
      <c r="X532" s="175"/>
      <c r="Y532" s="175"/>
      <c r="Z532" s="175"/>
      <c r="AA532" s="175"/>
      <c r="AB532" s="175"/>
      <c r="AC532" s="175"/>
      <c r="AD532" s="175"/>
      <c r="AE532" s="175"/>
      <c r="AF532" s="175"/>
      <c r="AG532" s="175"/>
      <c r="AH532" s="175"/>
      <c r="AI532" s="175"/>
    </row>
    <row r="533">
      <c r="A533" s="176">
        <v>45937.0</v>
      </c>
      <c r="B533" s="177">
        <v>7656162.0</v>
      </c>
      <c r="C533" s="178" t="s">
        <v>82</v>
      </c>
      <c r="D533" s="178" t="s">
        <v>35</v>
      </c>
      <c r="E533" s="177">
        <v>5.937768971E9</v>
      </c>
      <c r="F533" s="178" t="s">
        <v>790</v>
      </c>
      <c r="G533" s="176">
        <v>46135.0</v>
      </c>
      <c r="H533" s="179">
        <v>46138.0</v>
      </c>
      <c r="I533" s="180">
        <v>3.0</v>
      </c>
      <c r="J533" s="181" t="s">
        <v>78</v>
      </c>
      <c r="K533" s="178" t="s">
        <v>79</v>
      </c>
      <c r="L533" s="178" t="s">
        <v>80</v>
      </c>
      <c r="M533" s="182">
        <v>2.0</v>
      </c>
      <c r="N533" s="181">
        <v>0.19999999999999996</v>
      </c>
      <c r="O533" s="184">
        <v>173.12</v>
      </c>
      <c r="P533" s="184">
        <v>138.496</v>
      </c>
      <c r="Q533" s="181">
        <v>0.0</v>
      </c>
      <c r="R533" s="186">
        <v>415.48800000000006</v>
      </c>
      <c r="S533" s="186">
        <v>0.0</v>
      </c>
      <c r="T533" s="186">
        <v>534.36</v>
      </c>
      <c r="U533" s="187" t="s">
        <v>353</v>
      </c>
      <c r="V533" s="176">
        <v>45937.0</v>
      </c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</row>
    <row r="534">
      <c r="A534" s="165">
        <v>46028.0</v>
      </c>
      <c r="B534" s="166">
        <v>7997447.0</v>
      </c>
      <c r="C534" s="166" t="s">
        <v>82</v>
      </c>
      <c r="D534" s="166" t="s">
        <v>35</v>
      </c>
      <c r="E534" s="166">
        <v>5.890999017E9</v>
      </c>
      <c r="F534" s="166" t="s">
        <v>792</v>
      </c>
      <c r="G534" s="165">
        <v>46135.0</v>
      </c>
      <c r="H534" s="167">
        <v>46136.0</v>
      </c>
      <c r="I534" s="168">
        <v>1.0</v>
      </c>
      <c r="J534" s="169" t="s">
        <v>78</v>
      </c>
      <c r="K534" s="166" t="s">
        <v>79</v>
      </c>
      <c r="L534" s="166" t="s">
        <v>80</v>
      </c>
      <c r="M534" s="166">
        <v>2.0</v>
      </c>
      <c r="N534" s="170">
        <v>0.19999999999999996</v>
      </c>
      <c r="O534" s="171">
        <v>156.92</v>
      </c>
      <c r="P534" s="171">
        <v>125.536</v>
      </c>
      <c r="Q534" s="172">
        <v>0.0</v>
      </c>
      <c r="R534" s="173">
        <v>125.536</v>
      </c>
      <c r="S534" s="173">
        <v>0.0</v>
      </c>
      <c r="T534" s="173">
        <v>161.92</v>
      </c>
      <c r="U534" s="174" t="s">
        <v>107</v>
      </c>
      <c r="V534" s="165">
        <v>46028.0</v>
      </c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</row>
    <row r="535">
      <c r="A535" s="165">
        <v>46040.0</v>
      </c>
      <c r="B535" s="166">
        <v>8049515.0</v>
      </c>
      <c r="C535" s="166" t="s">
        <v>82</v>
      </c>
      <c r="D535" s="166" t="s">
        <v>35</v>
      </c>
      <c r="E535" s="166">
        <v>5.673943017E9</v>
      </c>
      <c r="F535" s="166" t="s">
        <v>793</v>
      </c>
      <c r="G535" s="165">
        <v>46135.0</v>
      </c>
      <c r="H535" s="167">
        <v>46140.0</v>
      </c>
      <c r="I535" s="168">
        <v>5.0</v>
      </c>
      <c r="J535" s="169" t="s">
        <v>114</v>
      </c>
      <c r="K535" s="166" t="s">
        <v>79</v>
      </c>
      <c r="L535" s="166" t="s">
        <v>80</v>
      </c>
      <c r="M535" s="166">
        <v>2.0</v>
      </c>
      <c r="N535" s="170">
        <v>0.19999999999999996</v>
      </c>
      <c r="O535" s="171">
        <v>198.87</v>
      </c>
      <c r="P535" s="171">
        <v>159.096</v>
      </c>
      <c r="Q535" s="172">
        <v>0.0</v>
      </c>
      <c r="R535" s="173">
        <v>795.48</v>
      </c>
      <c r="S535" s="173">
        <v>0.0</v>
      </c>
      <c r="T535" s="173">
        <v>1019.35</v>
      </c>
      <c r="U535" s="201" t="s">
        <v>161</v>
      </c>
      <c r="V535" s="165">
        <v>46040.0</v>
      </c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  <c r="AI535" s="175"/>
    </row>
    <row r="536">
      <c r="A536" s="165">
        <v>45876.0</v>
      </c>
      <c r="B536" s="166">
        <v>7387676.0</v>
      </c>
      <c r="C536" s="166" t="s">
        <v>89</v>
      </c>
      <c r="D536" s="166" t="s">
        <v>35</v>
      </c>
      <c r="E536" s="166">
        <v>5.76881843E9</v>
      </c>
      <c r="F536" s="166" t="s">
        <v>794</v>
      </c>
      <c r="G536" s="165">
        <v>46136.0</v>
      </c>
      <c r="H536" s="167">
        <v>46137.0</v>
      </c>
      <c r="I536" s="168">
        <v>1.0</v>
      </c>
      <c r="J536" s="169" t="s">
        <v>87</v>
      </c>
      <c r="K536" s="166" t="s">
        <v>79</v>
      </c>
      <c r="L536" s="166" t="s">
        <v>80</v>
      </c>
      <c r="M536" s="166">
        <v>0.0</v>
      </c>
      <c r="N536" s="170">
        <v>0.0</v>
      </c>
      <c r="O536" s="171">
        <v>0.0</v>
      </c>
      <c r="P536" s="171">
        <v>0.0</v>
      </c>
      <c r="Q536" s="169">
        <v>0.0</v>
      </c>
      <c r="R536" s="173">
        <v>0.0</v>
      </c>
      <c r="S536" s="173">
        <v>0.0</v>
      </c>
      <c r="T536" s="173">
        <v>0.0</v>
      </c>
      <c r="U536" s="174" t="s">
        <v>795</v>
      </c>
      <c r="V536" s="165">
        <v>45876.0</v>
      </c>
      <c r="W536" s="175"/>
      <c r="X536" s="175"/>
      <c r="Y536" s="175"/>
      <c r="Z536" s="175"/>
      <c r="AA536" s="175"/>
      <c r="AB536" s="175"/>
      <c r="AC536" s="175"/>
      <c r="AD536" s="175"/>
      <c r="AE536" s="175"/>
      <c r="AF536" s="175"/>
      <c r="AG536" s="175"/>
      <c r="AH536" s="175"/>
      <c r="AI536" s="175"/>
    </row>
    <row r="537">
      <c r="A537" s="165">
        <v>45933.0</v>
      </c>
      <c r="B537" s="166">
        <v>7640118.0</v>
      </c>
      <c r="C537" s="166" t="s">
        <v>89</v>
      </c>
      <c r="D537" s="166" t="s">
        <v>35</v>
      </c>
      <c r="E537" s="166">
        <v>5.018559203E9</v>
      </c>
      <c r="F537" s="166" t="s">
        <v>796</v>
      </c>
      <c r="G537" s="165">
        <v>46136.0</v>
      </c>
      <c r="H537" s="167">
        <v>46140.0</v>
      </c>
      <c r="I537" s="168">
        <v>4.0</v>
      </c>
      <c r="J537" s="169" t="s">
        <v>78</v>
      </c>
      <c r="K537" s="166" t="s">
        <v>79</v>
      </c>
      <c r="L537" s="166" t="s">
        <v>80</v>
      </c>
      <c r="M537" s="166">
        <v>0.0</v>
      </c>
      <c r="N537" s="169">
        <v>0.0</v>
      </c>
      <c r="O537" s="171">
        <v>0.0</v>
      </c>
      <c r="P537" s="171">
        <v>0.0</v>
      </c>
      <c r="Q537" s="169">
        <v>0.0</v>
      </c>
      <c r="R537" s="173">
        <v>0.0</v>
      </c>
      <c r="S537" s="173">
        <v>0.0</v>
      </c>
      <c r="T537" s="173">
        <v>0.0</v>
      </c>
      <c r="U537" s="174" t="s">
        <v>797</v>
      </c>
      <c r="V537" s="165">
        <v>45934.0</v>
      </c>
      <c r="W537" s="175"/>
      <c r="X537" s="175"/>
      <c r="Y537" s="175"/>
      <c r="Z537" s="175"/>
      <c r="AA537" s="175"/>
      <c r="AB537" s="175"/>
      <c r="AC537" s="175"/>
      <c r="AD537" s="175"/>
      <c r="AE537" s="175"/>
      <c r="AF537" s="175"/>
      <c r="AG537" s="175"/>
      <c r="AH537" s="175"/>
      <c r="AI537" s="175"/>
    </row>
    <row r="538">
      <c r="A538" s="165">
        <v>45952.0</v>
      </c>
      <c r="B538" s="166">
        <v>7717733.0</v>
      </c>
      <c r="C538" s="166" t="s">
        <v>89</v>
      </c>
      <c r="D538" s="166" t="s">
        <v>35</v>
      </c>
      <c r="E538" s="166">
        <v>6.256639639E9</v>
      </c>
      <c r="F538" s="166" t="s">
        <v>798</v>
      </c>
      <c r="G538" s="165">
        <v>46136.0</v>
      </c>
      <c r="H538" s="167">
        <v>46143.0</v>
      </c>
      <c r="I538" s="168">
        <v>7.0</v>
      </c>
      <c r="J538" s="169" t="s">
        <v>91</v>
      </c>
      <c r="K538" s="166" t="s">
        <v>138</v>
      </c>
      <c r="L538" s="166" t="s">
        <v>80</v>
      </c>
      <c r="M538" s="166">
        <v>0.0</v>
      </c>
      <c r="N538" s="170">
        <v>0.0</v>
      </c>
      <c r="O538" s="171">
        <v>0.0</v>
      </c>
      <c r="P538" s="171">
        <v>0.0</v>
      </c>
      <c r="Q538" s="172">
        <v>0.0</v>
      </c>
      <c r="R538" s="173">
        <v>0.0</v>
      </c>
      <c r="S538" s="173">
        <v>0.0</v>
      </c>
      <c r="T538" s="173">
        <v>0.0</v>
      </c>
      <c r="U538" s="201" t="s">
        <v>799</v>
      </c>
      <c r="V538" s="165">
        <v>45952.0</v>
      </c>
      <c r="W538" s="175"/>
      <c r="X538" s="175"/>
      <c r="Y538" s="175"/>
      <c r="Z538" s="175"/>
      <c r="AA538" s="175"/>
      <c r="AB538" s="175"/>
      <c r="AC538" s="175"/>
      <c r="AD538" s="175"/>
      <c r="AE538" s="175"/>
      <c r="AF538" s="175"/>
      <c r="AG538" s="175"/>
      <c r="AH538" s="175"/>
      <c r="AI538" s="175"/>
    </row>
    <row r="539">
      <c r="A539" s="154">
        <v>45963.0</v>
      </c>
      <c r="B539" s="155">
        <v>7758186.0</v>
      </c>
      <c r="C539" s="156" t="s">
        <v>89</v>
      </c>
      <c r="D539" s="156" t="s">
        <v>35</v>
      </c>
      <c r="E539" s="155">
        <v>6.18162871E9</v>
      </c>
      <c r="F539" s="156" t="s">
        <v>800</v>
      </c>
      <c r="G539" s="154">
        <v>46136.0</v>
      </c>
      <c r="H539" s="157">
        <v>46140.0</v>
      </c>
      <c r="I539" s="158">
        <v>4.0</v>
      </c>
      <c r="J539" s="159" t="s">
        <v>78</v>
      </c>
      <c r="K539" s="156" t="s">
        <v>79</v>
      </c>
      <c r="L539" s="156" t="s">
        <v>80</v>
      </c>
      <c r="M539" s="202">
        <v>0.0</v>
      </c>
      <c r="N539" s="160">
        <v>0.0</v>
      </c>
      <c r="O539" s="161">
        <v>0.0</v>
      </c>
      <c r="P539" s="161">
        <v>0.0</v>
      </c>
      <c r="Q539" s="203">
        <v>0.0</v>
      </c>
      <c r="R539" s="162">
        <v>0.0</v>
      </c>
      <c r="S539" s="162">
        <v>0.0</v>
      </c>
      <c r="T539" s="162">
        <v>0.0</v>
      </c>
      <c r="U539" s="163" t="s">
        <v>802</v>
      </c>
      <c r="V539" s="154">
        <v>46117.0</v>
      </c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  <c r="AG539" s="164"/>
      <c r="AH539" s="164"/>
      <c r="AI539" s="164"/>
    </row>
    <row r="540">
      <c r="A540" s="165">
        <v>45991.0</v>
      </c>
      <c r="B540" s="166">
        <v>7866758.0</v>
      </c>
      <c r="C540" s="166" t="s">
        <v>82</v>
      </c>
      <c r="D540" s="166" t="s">
        <v>35</v>
      </c>
      <c r="E540" s="166">
        <v>5.843607067E9</v>
      </c>
      <c r="F540" s="166" t="s">
        <v>803</v>
      </c>
      <c r="G540" s="165">
        <v>46136.0</v>
      </c>
      <c r="H540" s="167">
        <v>46138.0</v>
      </c>
      <c r="I540" s="168">
        <v>2.0</v>
      </c>
      <c r="J540" s="169" t="s">
        <v>111</v>
      </c>
      <c r="K540" s="166" t="s">
        <v>79</v>
      </c>
      <c r="L540" s="166" t="s">
        <v>80</v>
      </c>
      <c r="M540" s="166">
        <v>2.0</v>
      </c>
      <c r="N540" s="170">
        <v>0.19999999999999996</v>
      </c>
      <c r="O540" s="171">
        <v>210.29</v>
      </c>
      <c r="P540" s="171">
        <v>168.232</v>
      </c>
      <c r="Q540" s="172">
        <v>0.0</v>
      </c>
      <c r="R540" s="173">
        <v>336.464</v>
      </c>
      <c r="S540" s="173">
        <v>0.0</v>
      </c>
      <c r="T540" s="173">
        <v>430.58</v>
      </c>
      <c r="U540" s="174" t="s">
        <v>107</v>
      </c>
      <c r="V540" s="165">
        <v>45991.0</v>
      </c>
      <c r="W540" s="164"/>
      <c r="X540" s="164"/>
      <c r="Y540" s="164"/>
      <c r="Z540" s="164"/>
      <c r="AA540" s="164"/>
      <c r="AB540" s="164"/>
      <c r="AC540" s="164"/>
      <c r="AD540" s="164"/>
      <c r="AE540" s="164"/>
      <c r="AF540" s="164"/>
      <c r="AG540" s="164"/>
      <c r="AH540" s="164"/>
      <c r="AI540" s="164"/>
    </row>
    <row r="541">
      <c r="A541" s="165">
        <v>46002.0</v>
      </c>
      <c r="B541" s="166">
        <v>7907941.0</v>
      </c>
      <c r="C541" s="166" t="s">
        <v>82</v>
      </c>
      <c r="D541" s="166" t="s">
        <v>101</v>
      </c>
      <c r="E541" s="166">
        <v>2.349521601E9</v>
      </c>
      <c r="F541" s="166" t="s">
        <v>804</v>
      </c>
      <c r="G541" s="165">
        <v>46136.0</v>
      </c>
      <c r="H541" s="167">
        <v>46138.0</v>
      </c>
      <c r="I541" s="168">
        <v>2.0</v>
      </c>
      <c r="J541" s="169" t="s">
        <v>114</v>
      </c>
      <c r="K541" s="166"/>
      <c r="L541" s="166"/>
      <c r="M541" s="166">
        <v>2.0</v>
      </c>
      <c r="N541" s="170">
        <v>0.0</v>
      </c>
      <c r="O541" s="171">
        <v>0.0</v>
      </c>
      <c r="P541" s="171">
        <v>0.0</v>
      </c>
      <c r="Q541" s="172">
        <v>0.0</v>
      </c>
      <c r="R541" s="173">
        <v>0.0</v>
      </c>
      <c r="S541" s="173">
        <v>0.0</v>
      </c>
      <c r="T541" s="173">
        <v>0.0</v>
      </c>
      <c r="U541" s="174" t="s">
        <v>180</v>
      </c>
      <c r="V541" s="165">
        <v>46002.0</v>
      </c>
      <c r="W541" s="175"/>
      <c r="X541" s="175"/>
      <c r="Y541" s="175"/>
      <c r="Z541" s="175"/>
      <c r="AA541" s="175"/>
      <c r="AB541" s="175"/>
      <c r="AC541" s="175"/>
      <c r="AD541" s="175"/>
      <c r="AE541" s="175"/>
      <c r="AF541" s="175"/>
      <c r="AG541" s="175"/>
      <c r="AH541" s="175"/>
      <c r="AI541" s="175"/>
    </row>
    <row r="542">
      <c r="A542" s="176">
        <v>46041.0</v>
      </c>
      <c r="B542" s="177">
        <v>8053347.0</v>
      </c>
      <c r="C542" s="178" t="s">
        <v>82</v>
      </c>
      <c r="D542" s="178" t="s">
        <v>35</v>
      </c>
      <c r="E542" s="178">
        <v>5.746099136E9</v>
      </c>
      <c r="F542" s="178" t="s">
        <v>765</v>
      </c>
      <c r="G542" s="176">
        <v>46136.0</v>
      </c>
      <c r="H542" s="179">
        <v>46137.0</v>
      </c>
      <c r="I542" s="180">
        <v>1.0</v>
      </c>
      <c r="J542" s="181" t="s">
        <v>78</v>
      </c>
      <c r="K542" s="178" t="s">
        <v>79</v>
      </c>
      <c r="L542" s="178" t="s">
        <v>80</v>
      </c>
      <c r="M542" s="177">
        <v>2.0</v>
      </c>
      <c r="N542" s="183">
        <v>0.19999999999999996</v>
      </c>
      <c r="O542" s="184">
        <v>205.66</v>
      </c>
      <c r="P542" s="184">
        <v>164.52800000000002</v>
      </c>
      <c r="Q542" s="185">
        <v>0.0</v>
      </c>
      <c r="R542" s="186">
        <v>164.52800000000002</v>
      </c>
      <c r="S542" s="186">
        <v>0.0</v>
      </c>
      <c r="T542" s="186">
        <v>210.66</v>
      </c>
      <c r="U542" s="187" t="s">
        <v>353</v>
      </c>
      <c r="V542" s="189">
        <v>46041.0</v>
      </c>
      <c r="W542" s="175"/>
      <c r="X542" s="175"/>
      <c r="Y542" s="175"/>
      <c r="Z542" s="175"/>
      <c r="AA542" s="175"/>
      <c r="AB542" s="175"/>
      <c r="AC542" s="175"/>
      <c r="AD542" s="175"/>
      <c r="AE542" s="175"/>
      <c r="AF542" s="175"/>
      <c r="AG542" s="175"/>
      <c r="AH542" s="175"/>
      <c r="AI542" s="175"/>
    </row>
    <row r="543">
      <c r="A543" s="165">
        <v>45953.0</v>
      </c>
      <c r="B543" s="166">
        <v>7720452.0</v>
      </c>
      <c r="C543" s="166" t="s">
        <v>82</v>
      </c>
      <c r="D543" s="166" t="s">
        <v>35</v>
      </c>
      <c r="E543" s="166">
        <v>5.38833017E9</v>
      </c>
      <c r="F543" s="166" t="s">
        <v>805</v>
      </c>
      <c r="G543" s="165">
        <v>46137.0</v>
      </c>
      <c r="H543" s="167">
        <v>46138.0</v>
      </c>
      <c r="I543" s="168">
        <v>1.0</v>
      </c>
      <c r="J543" s="169" t="s">
        <v>78</v>
      </c>
      <c r="K543" s="166" t="s">
        <v>138</v>
      </c>
      <c r="L543" s="166" t="s">
        <v>80</v>
      </c>
      <c r="M543" s="166">
        <v>2.0</v>
      </c>
      <c r="N543" s="170">
        <v>0.19999999999999996</v>
      </c>
      <c r="O543" s="171">
        <v>204.79999999999998</v>
      </c>
      <c r="P543" s="171">
        <v>163.84</v>
      </c>
      <c r="Q543" s="169">
        <v>36.0</v>
      </c>
      <c r="R543" s="173">
        <v>163.84</v>
      </c>
      <c r="S543" s="173">
        <v>36.0</v>
      </c>
      <c r="T543" s="173">
        <v>238.6</v>
      </c>
      <c r="U543" s="174" t="s">
        <v>498</v>
      </c>
      <c r="V543" s="210">
        <v>45953.0</v>
      </c>
      <c r="W543" s="175"/>
      <c r="X543" s="175"/>
      <c r="Y543" s="175"/>
      <c r="Z543" s="175"/>
      <c r="AA543" s="175"/>
      <c r="AB543" s="175"/>
      <c r="AC543" s="175"/>
      <c r="AD543" s="175"/>
      <c r="AE543" s="175"/>
      <c r="AF543" s="175"/>
      <c r="AG543" s="175"/>
      <c r="AH543" s="175"/>
      <c r="AI543" s="175"/>
    </row>
    <row r="544">
      <c r="A544" s="165">
        <v>45967.0</v>
      </c>
      <c r="B544" s="166">
        <v>7774937.0</v>
      </c>
      <c r="C544" s="166" t="s">
        <v>82</v>
      </c>
      <c r="D544" s="166" t="s">
        <v>94</v>
      </c>
      <c r="E544" s="166">
        <v>7774937.0</v>
      </c>
      <c r="F544" s="166" t="s">
        <v>806</v>
      </c>
      <c r="G544" s="165">
        <v>46137.0</v>
      </c>
      <c r="H544" s="167">
        <v>46141.0</v>
      </c>
      <c r="I544" s="168">
        <v>4.0</v>
      </c>
      <c r="J544" s="169" t="s">
        <v>111</v>
      </c>
      <c r="K544" s="166" t="s">
        <v>79</v>
      </c>
      <c r="L544" s="166" t="s">
        <v>96</v>
      </c>
      <c r="M544" s="166">
        <v>2.0</v>
      </c>
      <c r="N544" s="169">
        <v>0.0</v>
      </c>
      <c r="O544" s="171">
        <v>300.24</v>
      </c>
      <c r="P544" s="171">
        <v>300.24</v>
      </c>
      <c r="Q544" s="169">
        <v>0.0</v>
      </c>
      <c r="R544" s="173">
        <v>1200.96</v>
      </c>
      <c r="S544" s="173">
        <v>0.0</v>
      </c>
      <c r="T544" s="173">
        <v>1220.96</v>
      </c>
      <c r="U544" s="201" t="s">
        <v>97</v>
      </c>
      <c r="V544" s="165">
        <v>45967.0</v>
      </c>
      <c r="W544" s="175"/>
      <c r="X544" s="175"/>
      <c r="Y544" s="175"/>
      <c r="Z544" s="175"/>
      <c r="AA544" s="175"/>
      <c r="AB544" s="175"/>
      <c r="AC544" s="175"/>
      <c r="AD544" s="175"/>
      <c r="AE544" s="175"/>
      <c r="AF544" s="175"/>
      <c r="AG544" s="175"/>
      <c r="AH544" s="175"/>
      <c r="AI544" s="175"/>
    </row>
    <row r="545">
      <c r="A545" s="154">
        <v>46020.0</v>
      </c>
      <c r="B545" s="155">
        <v>7969766.0</v>
      </c>
      <c r="C545" s="156" t="s">
        <v>89</v>
      </c>
      <c r="D545" s="156" t="s">
        <v>35</v>
      </c>
      <c r="E545" s="155">
        <v>6.291461433E9</v>
      </c>
      <c r="F545" s="156" t="s">
        <v>807</v>
      </c>
      <c r="G545" s="154">
        <v>46137.0</v>
      </c>
      <c r="H545" s="157">
        <v>46140.0</v>
      </c>
      <c r="I545" s="158">
        <v>3.0</v>
      </c>
      <c r="J545" s="159" t="s">
        <v>114</v>
      </c>
      <c r="K545" s="156" t="s">
        <v>138</v>
      </c>
      <c r="L545" s="156" t="s">
        <v>80</v>
      </c>
      <c r="M545" s="155">
        <v>0.0</v>
      </c>
      <c r="N545" s="160">
        <v>0.0</v>
      </c>
      <c r="O545" s="161">
        <v>0.0</v>
      </c>
      <c r="P545" s="161">
        <v>0.0</v>
      </c>
      <c r="Q545" s="159">
        <v>0.0</v>
      </c>
      <c r="R545" s="162">
        <v>0.0</v>
      </c>
      <c r="S545" s="162">
        <v>0.0</v>
      </c>
      <c r="T545" s="162">
        <v>0.0</v>
      </c>
      <c r="U545" s="163" t="s">
        <v>809</v>
      </c>
      <c r="V545" s="154">
        <v>46028.0</v>
      </c>
      <c r="W545" s="175"/>
      <c r="X545" s="175"/>
      <c r="Y545" s="175"/>
      <c r="Z545" s="175"/>
      <c r="AA545" s="175"/>
      <c r="AB545" s="175"/>
      <c r="AC545" s="175"/>
      <c r="AD545" s="175"/>
      <c r="AE545" s="175"/>
      <c r="AF545" s="175"/>
      <c r="AG545" s="175"/>
      <c r="AH545" s="175"/>
      <c r="AI545" s="175"/>
    </row>
    <row r="546">
      <c r="A546" s="176">
        <v>46061.0</v>
      </c>
      <c r="B546" s="177">
        <v>8143680.0</v>
      </c>
      <c r="C546" s="178" t="s">
        <v>89</v>
      </c>
      <c r="D546" s="178" t="s">
        <v>35</v>
      </c>
      <c r="E546" s="177">
        <v>6.592116651E9</v>
      </c>
      <c r="F546" s="178" t="s">
        <v>810</v>
      </c>
      <c r="G546" s="176">
        <v>46137.0</v>
      </c>
      <c r="H546" s="179">
        <v>46142.0</v>
      </c>
      <c r="I546" s="180">
        <v>5.0</v>
      </c>
      <c r="J546" s="181" t="s">
        <v>91</v>
      </c>
      <c r="K546" s="178" t="s">
        <v>79</v>
      </c>
      <c r="L546" s="178" t="s">
        <v>80</v>
      </c>
      <c r="M546" s="182">
        <v>0.0</v>
      </c>
      <c r="N546" s="183">
        <v>0.0</v>
      </c>
      <c r="O546" s="184">
        <v>0.0</v>
      </c>
      <c r="P546" s="184">
        <v>0.0</v>
      </c>
      <c r="Q546" s="185">
        <v>0.0</v>
      </c>
      <c r="R546" s="186">
        <v>0.0</v>
      </c>
      <c r="S546" s="186">
        <v>0.0</v>
      </c>
      <c r="T546" s="186">
        <v>0.0</v>
      </c>
      <c r="U546" s="187" t="s">
        <v>811</v>
      </c>
      <c r="V546" s="176">
        <v>46067.0</v>
      </c>
      <c r="W546" s="175"/>
      <c r="X546" s="175"/>
      <c r="Y546" s="175"/>
      <c r="Z546" s="175"/>
      <c r="AA546" s="175"/>
      <c r="AB546" s="175"/>
      <c r="AC546" s="175"/>
      <c r="AD546" s="175"/>
      <c r="AE546" s="175"/>
      <c r="AF546" s="175"/>
      <c r="AG546" s="175"/>
      <c r="AH546" s="175"/>
      <c r="AI546" s="175"/>
    </row>
    <row r="547">
      <c r="A547" s="154">
        <v>45933.0</v>
      </c>
      <c r="B547" s="155">
        <v>7639916.0</v>
      </c>
      <c r="C547" s="156" t="s">
        <v>82</v>
      </c>
      <c r="D547" s="156" t="s">
        <v>35</v>
      </c>
      <c r="E547" s="155">
        <v>6.751987107E9</v>
      </c>
      <c r="F547" s="156" t="s">
        <v>812</v>
      </c>
      <c r="G547" s="154">
        <v>46138.0</v>
      </c>
      <c r="H547" s="157">
        <v>46139.0</v>
      </c>
      <c r="I547" s="158">
        <v>1.0</v>
      </c>
      <c r="J547" s="159" t="s">
        <v>87</v>
      </c>
      <c r="K547" s="156" t="s">
        <v>79</v>
      </c>
      <c r="L547" s="156" t="s">
        <v>80</v>
      </c>
      <c r="M547" s="155">
        <v>2.0</v>
      </c>
      <c r="N547" s="160">
        <v>0.19999999999999996</v>
      </c>
      <c r="O547" s="161">
        <v>160.44</v>
      </c>
      <c r="P547" s="161">
        <v>128.352</v>
      </c>
      <c r="Q547" s="203">
        <v>0.0</v>
      </c>
      <c r="R547" s="162">
        <v>128.352</v>
      </c>
      <c r="S547" s="162">
        <v>0.0</v>
      </c>
      <c r="T547" s="162">
        <v>165.44</v>
      </c>
      <c r="U547" s="163" t="s">
        <v>353</v>
      </c>
      <c r="V547" s="154">
        <v>45933.0</v>
      </c>
      <c r="W547" s="175"/>
      <c r="X547" s="175"/>
      <c r="Y547" s="175"/>
      <c r="Z547" s="175"/>
      <c r="AA547" s="175"/>
      <c r="AB547" s="175"/>
      <c r="AC547" s="175"/>
      <c r="AD547" s="175"/>
      <c r="AE547" s="175"/>
      <c r="AF547" s="175"/>
      <c r="AG547" s="175"/>
      <c r="AH547" s="175"/>
      <c r="AI547" s="175"/>
    </row>
    <row r="548">
      <c r="A548" s="165">
        <v>46034.0</v>
      </c>
      <c r="B548" s="166">
        <v>8024992.0</v>
      </c>
      <c r="C548" s="166" t="s">
        <v>82</v>
      </c>
      <c r="D548" s="166" t="s">
        <v>35</v>
      </c>
      <c r="E548" s="166">
        <v>5.75268987E9</v>
      </c>
      <c r="F548" s="166" t="s">
        <v>813</v>
      </c>
      <c r="G548" s="165">
        <v>46138.0</v>
      </c>
      <c r="H548" s="167">
        <v>46142.0</v>
      </c>
      <c r="I548" s="168">
        <v>4.0</v>
      </c>
      <c r="J548" s="169" t="s">
        <v>78</v>
      </c>
      <c r="K548" s="166" t="s">
        <v>79</v>
      </c>
      <c r="L548" s="166" t="s">
        <v>80</v>
      </c>
      <c r="M548" s="166">
        <v>2.0</v>
      </c>
      <c r="N548" s="170">
        <v>0.19999999999999996</v>
      </c>
      <c r="O548" s="171">
        <v>154.37</v>
      </c>
      <c r="P548" s="171">
        <v>123.49600000000001</v>
      </c>
      <c r="Q548" s="172">
        <v>0.0</v>
      </c>
      <c r="R548" s="173">
        <v>493.98400000000004</v>
      </c>
      <c r="S548" s="173">
        <v>0.0</v>
      </c>
      <c r="T548" s="173">
        <v>637.48</v>
      </c>
      <c r="U548" s="201" t="s">
        <v>107</v>
      </c>
      <c r="V548" s="165">
        <v>46034.0</v>
      </c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</row>
    <row r="549">
      <c r="A549" s="165">
        <v>46059.0</v>
      </c>
      <c r="B549" s="166">
        <v>8136747.0</v>
      </c>
      <c r="C549" s="166" t="s">
        <v>82</v>
      </c>
      <c r="D549" s="166" t="s">
        <v>35</v>
      </c>
      <c r="E549" s="166">
        <v>6.248940736E9</v>
      </c>
      <c r="F549" s="166" t="s">
        <v>814</v>
      </c>
      <c r="G549" s="165">
        <v>46138.0</v>
      </c>
      <c r="H549" s="167">
        <v>46139.0</v>
      </c>
      <c r="I549" s="168">
        <v>1.0</v>
      </c>
      <c r="J549" s="169" t="s">
        <v>78</v>
      </c>
      <c r="K549" s="166" t="s">
        <v>79</v>
      </c>
      <c r="L549" s="166" t="s">
        <v>80</v>
      </c>
      <c r="M549" s="205">
        <v>2.0</v>
      </c>
      <c r="N549" s="170">
        <v>0.19999999999999996</v>
      </c>
      <c r="O549" s="171">
        <v>202.99</v>
      </c>
      <c r="P549" s="171">
        <v>162.39200000000002</v>
      </c>
      <c r="Q549" s="172">
        <v>0.0</v>
      </c>
      <c r="R549" s="173">
        <v>162.39200000000002</v>
      </c>
      <c r="S549" s="173">
        <v>0.0</v>
      </c>
      <c r="T549" s="173">
        <v>858.17</v>
      </c>
      <c r="U549" s="174" t="s">
        <v>353</v>
      </c>
      <c r="V549" s="165">
        <v>46059.0</v>
      </c>
      <c r="W549" s="175"/>
      <c r="X549" s="175"/>
      <c r="Y549" s="175"/>
      <c r="Z549" s="175"/>
      <c r="AA549" s="175"/>
      <c r="AB549" s="175"/>
      <c r="AC549" s="175"/>
      <c r="AD549" s="175"/>
      <c r="AE549" s="175"/>
      <c r="AF549" s="175"/>
      <c r="AG549" s="175"/>
      <c r="AH549" s="175"/>
      <c r="AI549" s="175"/>
    </row>
    <row r="550">
      <c r="A550" s="165">
        <v>46059.0</v>
      </c>
      <c r="B550" s="166">
        <v>8136747.0</v>
      </c>
      <c r="C550" s="166" t="s">
        <v>82</v>
      </c>
      <c r="D550" s="166" t="s">
        <v>35</v>
      </c>
      <c r="E550" s="166">
        <v>6.248940736E9</v>
      </c>
      <c r="F550" s="166" t="s">
        <v>814</v>
      </c>
      <c r="G550" s="165">
        <v>46138.0</v>
      </c>
      <c r="H550" s="167">
        <v>46139.0</v>
      </c>
      <c r="I550" s="168">
        <v>1.0</v>
      </c>
      <c r="J550" s="169" t="s">
        <v>114</v>
      </c>
      <c r="K550" s="166" t="s">
        <v>79</v>
      </c>
      <c r="L550" s="166" t="s">
        <v>80</v>
      </c>
      <c r="M550" s="166">
        <v>2.0</v>
      </c>
      <c r="N550" s="170">
        <v>0.19999999999999996</v>
      </c>
      <c r="O550" s="171">
        <v>229.2</v>
      </c>
      <c r="P550" s="171">
        <v>183.36</v>
      </c>
      <c r="Q550" s="172">
        <v>0.0</v>
      </c>
      <c r="R550" s="173">
        <v>183.36</v>
      </c>
      <c r="S550" s="173">
        <v>0.0</v>
      </c>
      <c r="T550" s="173">
        <v>858.17</v>
      </c>
      <c r="U550" s="174" t="s">
        <v>353</v>
      </c>
      <c r="V550" s="165">
        <v>46059.0</v>
      </c>
      <c r="W550" s="175"/>
      <c r="X550" s="175"/>
      <c r="Y550" s="175"/>
      <c r="Z550" s="175"/>
      <c r="AA550" s="175"/>
      <c r="AB550" s="175"/>
      <c r="AC550" s="175"/>
      <c r="AD550" s="175"/>
      <c r="AE550" s="175"/>
      <c r="AF550" s="175"/>
      <c r="AG550" s="175"/>
      <c r="AH550" s="175"/>
      <c r="AI550" s="175"/>
    </row>
    <row r="551">
      <c r="A551" s="176">
        <v>46059.0</v>
      </c>
      <c r="B551" s="177">
        <v>8136747.0</v>
      </c>
      <c r="C551" s="178" t="s">
        <v>82</v>
      </c>
      <c r="D551" s="178" t="s">
        <v>35</v>
      </c>
      <c r="E551" s="177">
        <v>6.248940736E9</v>
      </c>
      <c r="F551" s="178" t="s">
        <v>814</v>
      </c>
      <c r="G551" s="176">
        <v>46138.0</v>
      </c>
      <c r="H551" s="179">
        <v>46139.0</v>
      </c>
      <c r="I551" s="180">
        <v>1.0</v>
      </c>
      <c r="J551" s="181" t="s">
        <v>78</v>
      </c>
      <c r="K551" s="178" t="s">
        <v>79</v>
      </c>
      <c r="L551" s="178" t="s">
        <v>80</v>
      </c>
      <c r="M551" s="182">
        <v>2.0</v>
      </c>
      <c r="N551" s="183">
        <v>0.19999999999999996</v>
      </c>
      <c r="O551" s="184">
        <v>202.99</v>
      </c>
      <c r="P551" s="184">
        <v>162.39200000000002</v>
      </c>
      <c r="Q551" s="185">
        <v>0.0</v>
      </c>
      <c r="R551" s="186">
        <v>162.39200000000002</v>
      </c>
      <c r="S551" s="186">
        <v>0.0</v>
      </c>
      <c r="T551" s="186">
        <v>858.17</v>
      </c>
      <c r="U551" s="187" t="s">
        <v>353</v>
      </c>
      <c r="V551" s="176">
        <v>46059.0</v>
      </c>
      <c r="W551" s="175"/>
      <c r="X551" s="175"/>
      <c r="Y551" s="175"/>
      <c r="Z551" s="175"/>
      <c r="AA551" s="175"/>
      <c r="AB551" s="175"/>
      <c r="AC551" s="175"/>
      <c r="AD551" s="175"/>
      <c r="AE551" s="175"/>
      <c r="AF551" s="175"/>
      <c r="AG551" s="175"/>
      <c r="AH551" s="175"/>
      <c r="AI551" s="175"/>
    </row>
    <row r="552">
      <c r="A552" s="165">
        <v>46059.0</v>
      </c>
      <c r="B552" s="166">
        <v>8136747.0</v>
      </c>
      <c r="C552" s="166" t="s">
        <v>82</v>
      </c>
      <c r="D552" s="166" t="s">
        <v>35</v>
      </c>
      <c r="E552" s="166">
        <v>6.248940736E9</v>
      </c>
      <c r="F552" s="166" t="s">
        <v>814</v>
      </c>
      <c r="G552" s="165">
        <v>46138.0</v>
      </c>
      <c r="H552" s="167">
        <v>46139.0</v>
      </c>
      <c r="I552" s="168">
        <v>1.0</v>
      </c>
      <c r="J552" s="169" t="s">
        <v>78</v>
      </c>
      <c r="K552" s="166" t="s">
        <v>79</v>
      </c>
      <c r="L552" s="166" t="s">
        <v>80</v>
      </c>
      <c r="M552" s="166">
        <v>2.0</v>
      </c>
      <c r="N552" s="169">
        <v>0.19999999999999996</v>
      </c>
      <c r="O552" s="171">
        <v>202.99</v>
      </c>
      <c r="P552" s="171">
        <v>162.39200000000002</v>
      </c>
      <c r="Q552" s="169">
        <v>0.0</v>
      </c>
      <c r="R552" s="173">
        <v>162.39200000000002</v>
      </c>
      <c r="S552" s="173">
        <v>0.0</v>
      </c>
      <c r="T552" s="173">
        <v>858.17</v>
      </c>
      <c r="U552" s="201" t="s">
        <v>353</v>
      </c>
      <c r="V552" s="165">
        <v>46059.0</v>
      </c>
      <c r="W552" s="175"/>
      <c r="X552" s="175"/>
      <c r="Y552" s="175"/>
      <c r="Z552" s="175"/>
      <c r="AA552" s="175"/>
      <c r="AB552" s="175"/>
      <c r="AC552" s="175"/>
      <c r="AD552" s="175"/>
      <c r="AE552" s="175"/>
      <c r="AF552" s="175"/>
      <c r="AG552" s="175"/>
      <c r="AH552" s="175"/>
      <c r="AI552" s="175"/>
    </row>
    <row r="553">
      <c r="A553" s="176">
        <v>46065.0</v>
      </c>
      <c r="B553" s="177">
        <v>8163021.0</v>
      </c>
      <c r="C553" s="178" t="s">
        <v>82</v>
      </c>
      <c r="D553" s="178" t="s">
        <v>35</v>
      </c>
      <c r="E553" s="177">
        <v>6.149835017E9</v>
      </c>
      <c r="F553" s="178" t="s">
        <v>816</v>
      </c>
      <c r="G553" s="176">
        <v>46138.0</v>
      </c>
      <c r="H553" s="179">
        <v>46145.0</v>
      </c>
      <c r="I553" s="180">
        <v>7.0</v>
      </c>
      <c r="J553" s="181" t="s">
        <v>111</v>
      </c>
      <c r="K553" s="178" t="s">
        <v>79</v>
      </c>
      <c r="L553" s="178" t="s">
        <v>80</v>
      </c>
      <c r="M553" s="182">
        <v>2.0</v>
      </c>
      <c r="N553" s="183">
        <v>0.19999999999999996</v>
      </c>
      <c r="O553" s="184">
        <v>254.69</v>
      </c>
      <c r="P553" s="184">
        <v>203.752</v>
      </c>
      <c r="Q553" s="185">
        <v>0.0</v>
      </c>
      <c r="R553" s="186">
        <v>1426.2640000000001</v>
      </c>
      <c r="S553" s="186">
        <v>0.0</v>
      </c>
      <c r="T553" s="186">
        <v>1782.83</v>
      </c>
      <c r="U553" s="187" t="s">
        <v>353</v>
      </c>
      <c r="V553" s="176">
        <v>46065.0</v>
      </c>
      <c r="W553" s="175"/>
      <c r="X553" s="175"/>
      <c r="Y553" s="175"/>
      <c r="Z553" s="175"/>
      <c r="AA553" s="175"/>
      <c r="AB553" s="175"/>
      <c r="AC553" s="175"/>
      <c r="AD553" s="175"/>
      <c r="AE553" s="175"/>
      <c r="AF553" s="175"/>
      <c r="AG553" s="175"/>
      <c r="AH553" s="175"/>
      <c r="AI553" s="175"/>
    </row>
    <row r="554">
      <c r="A554" s="176">
        <v>46071.0</v>
      </c>
      <c r="B554" s="177">
        <v>8192954.0</v>
      </c>
      <c r="C554" s="178" t="s">
        <v>82</v>
      </c>
      <c r="D554" s="178" t="s">
        <v>35</v>
      </c>
      <c r="E554" s="177">
        <v>5.360475428E9</v>
      </c>
      <c r="F554" s="178" t="s">
        <v>817</v>
      </c>
      <c r="G554" s="176">
        <v>46138.0</v>
      </c>
      <c r="H554" s="179">
        <v>46142.0</v>
      </c>
      <c r="I554" s="180">
        <v>4.0</v>
      </c>
      <c r="J554" s="181" t="s">
        <v>91</v>
      </c>
      <c r="K554" s="178" t="s">
        <v>79</v>
      </c>
      <c r="L554" s="178" t="s">
        <v>80</v>
      </c>
      <c r="M554" s="182">
        <v>4.0</v>
      </c>
      <c r="N554" s="183">
        <v>0.19999999999999996</v>
      </c>
      <c r="O554" s="184">
        <v>499.88</v>
      </c>
      <c r="P554" s="184">
        <v>399.904</v>
      </c>
      <c r="Q554" s="185">
        <v>0.0</v>
      </c>
      <c r="R554" s="186">
        <v>1599.616</v>
      </c>
      <c r="S554" s="186">
        <v>0.0</v>
      </c>
      <c r="T554" s="186">
        <v>2039.52</v>
      </c>
      <c r="U554" s="187" t="s">
        <v>88</v>
      </c>
      <c r="V554" s="176">
        <v>46071.0</v>
      </c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</row>
    <row r="555">
      <c r="A555" s="154">
        <v>45931.0</v>
      </c>
      <c r="B555" s="155">
        <v>7631670.0</v>
      </c>
      <c r="C555" s="156" t="s">
        <v>82</v>
      </c>
      <c r="D555" s="156" t="s">
        <v>35</v>
      </c>
      <c r="E555" s="155">
        <v>5.650380334E9</v>
      </c>
      <c r="F555" s="156" t="s">
        <v>819</v>
      </c>
      <c r="G555" s="154">
        <v>46139.0</v>
      </c>
      <c r="H555" s="157">
        <v>46142.0</v>
      </c>
      <c r="I555" s="158">
        <v>3.0</v>
      </c>
      <c r="J555" s="159" t="s">
        <v>87</v>
      </c>
      <c r="K555" s="156" t="s">
        <v>79</v>
      </c>
      <c r="L555" s="156" t="s">
        <v>80</v>
      </c>
      <c r="M555" s="155">
        <v>2.0</v>
      </c>
      <c r="N555" s="160">
        <v>0.19999999999999996</v>
      </c>
      <c r="O555" s="161">
        <v>168.96</v>
      </c>
      <c r="P555" s="161">
        <v>135.168</v>
      </c>
      <c r="Q555" s="203">
        <v>0.0</v>
      </c>
      <c r="R555" s="162">
        <v>405.504</v>
      </c>
      <c r="S555" s="162">
        <v>0.0</v>
      </c>
      <c r="T555" s="162">
        <v>521.88</v>
      </c>
      <c r="U555" s="163" t="s">
        <v>303</v>
      </c>
      <c r="V555" s="154">
        <v>45931.0</v>
      </c>
      <c r="W555" s="164"/>
      <c r="X555" s="164"/>
      <c r="Y555" s="164"/>
      <c r="Z555" s="164"/>
      <c r="AA555" s="164"/>
      <c r="AB555" s="164"/>
      <c r="AC555" s="164"/>
      <c r="AD555" s="164"/>
      <c r="AE555" s="164"/>
      <c r="AF555" s="164"/>
      <c r="AG555" s="164"/>
      <c r="AH555" s="164"/>
      <c r="AI555" s="164"/>
    </row>
    <row r="556">
      <c r="A556" s="165">
        <v>46054.0</v>
      </c>
      <c r="B556" s="166">
        <v>8112510.0</v>
      </c>
      <c r="C556" s="166" t="s">
        <v>82</v>
      </c>
      <c r="D556" s="166" t="s">
        <v>35</v>
      </c>
      <c r="E556" s="166">
        <v>5.069113333E9</v>
      </c>
      <c r="F556" s="166" t="s">
        <v>820</v>
      </c>
      <c r="G556" s="165">
        <v>46139.0</v>
      </c>
      <c r="H556" s="167">
        <v>46141.0</v>
      </c>
      <c r="I556" s="168">
        <v>2.0</v>
      </c>
      <c r="J556" s="169" t="s">
        <v>78</v>
      </c>
      <c r="K556" s="166" t="s">
        <v>79</v>
      </c>
      <c r="L556" s="166" t="s">
        <v>80</v>
      </c>
      <c r="M556" s="166">
        <v>2.0</v>
      </c>
      <c r="N556" s="170">
        <v>0.19999999999999996</v>
      </c>
      <c r="O556" s="171">
        <v>167.11</v>
      </c>
      <c r="P556" s="171">
        <v>133.68800000000002</v>
      </c>
      <c r="Q556" s="172">
        <v>0.0</v>
      </c>
      <c r="R556" s="173">
        <v>267.37600000000003</v>
      </c>
      <c r="S556" s="173">
        <v>0.0</v>
      </c>
      <c r="T556" s="173">
        <v>344.22</v>
      </c>
      <c r="U556" s="174" t="s">
        <v>107</v>
      </c>
      <c r="V556" s="165">
        <v>46054.0</v>
      </c>
      <c r="W556" s="175"/>
      <c r="X556" s="175"/>
      <c r="Y556" s="175"/>
      <c r="Z556" s="175"/>
      <c r="AA556" s="175"/>
      <c r="AB556" s="175"/>
      <c r="AC556" s="175"/>
      <c r="AD556" s="175"/>
      <c r="AE556" s="175"/>
      <c r="AF556" s="175"/>
      <c r="AG556" s="175"/>
      <c r="AH556" s="175"/>
      <c r="AI556" s="175"/>
    </row>
    <row r="557">
      <c r="A557" s="154">
        <v>45890.0</v>
      </c>
      <c r="B557" s="155">
        <v>7451982.0</v>
      </c>
      <c r="C557" s="156" t="s">
        <v>89</v>
      </c>
      <c r="D557" s="156" t="s">
        <v>35</v>
      </c>
      <c r="E557" s="155">
        <v>5.0411894E9</v>
      </c>
      <c r="F557" s="156" t="s">
        <v>821</v>
      </c>
      <c r="G557" s="154">
        <v>46140.0</v>
      </c>
      <c r="H557" s="157">
        <v>46147.0</v>
      </c>
      <c r="I557" s="158">
        <v>7.0</v>
      </c>
      <c r="J557" s="159" t="s">
        <v>114</v>
      </c>
      <c r="K557" s="156" t="s">
        <v>79</v>
      </c>
      <c r="L557" s="156" t="s">
        <v>80</v>
      </c>
      <c r="M557" s="155">
        <v>0.0</v>
      </c>
      <c r="N557" s="160">
        <v>0.0</v>
      </c>
      <c r="O557" s="161">
        <v>0.0</v>
      </c>
      <c r="P557" s="161">
        <v>0.0</v>
      </c>
      <c r="Q557" s="159">
        <v>0.0</v>
      </c>
      <c r="R557" s="162">
        <v>0.0</v>
      </c>
      <c r="S557" s="162">
        <v>0.0</v>
      </c>
      <c r="T557" s="162">
        <v>0.0</v>
      </c>
      <c r="U557" s="163" t="s">
        <v>822</v>
      </c>
      <c r="V557" s="154">
        <v>46049.0</v>
      </c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</row>
    <row r="558">
      <c r="A558" s="154">
        <v>46013.0</v>
      </c>
      <c r="B558" s="155">
        <v>7945830.0</v>
      </c>
      <c r="C558" s="156" t="s">
        <v>82</v>
      </c>
      <c r="D558" s="156" t="s">
        <v>36</v>
      </c>
      <c r="E558" s="155">
        <v>7945830.0</v>
      </c>
      <c r="F558" s="156" t="s">
        <v>823</v>
      </c>
      <c r="G558" s="154">
        <v>46140.0</v>
      </c>
      <c r="H558" s="157">
        <v>46141.0</v>
      </c>
      <c r="I558" s="158">
        <v>1.0</v>
      </c>
      <c r="J558" s="159" t="s">
        <v>78</v>
      </c>
      <c r="K558" s="156" t="s">
        <v>79</v>
      </c>
      <c r="L558" s="156" t="s">
        <v>96</v>
      </c>
      <c r="M558" s="202">
        <v>1.0</v>
      </c>
      <c r="N558" s="160">
        <v>0.0</v>
      </c>
      <c r="O558" s="161">
        <v>194.81</v>
      </c>
      <c r="P558" s="161">
        <v>192.8619</v>
      </c>
      <c r="Q558" s="203">
        <v>0.0</v>
      </c>
      <c r="R558" s="162">
        <v>192.8619</v>
      </c>
      <c r="S558" s="162">
        <v>0.0</v>
      </c>
      <c r="T558" s="162">
        <v>394.61</v>
      </c>
      <c r="U558" s="163" t="s">
        <v>97</v>
      </c>
      <c r="V558" s="154">
        <v>46013.0</v>
      </c>
      <c r="W558" s="175"/>
      <c r="X558" s="175"/>
      <c r="Y558" s="175"/>
      <c r="Z558" s="175"/>
      <c r="AA558" s="175"/>
      <c r="AB558" s="175"/>
      <c r="AC558" s="175"/>
      <c r="AD558" s="175"/>
      <c r="AE558" s="175"/>
      <c r="AF558" s="175"/>
      <c r="AG558" s="175"/>
      <c r="AH558" s="175"/>
      <c r="AI558" s="175"/>
    </row>
    <row r="559">
      <c r="A559" s="154">
        <v>46013.0</v>
      </c>
      <c r="B559" s="155">
        <v>7945830.0</v>
      </c>
      <c r="C559" s="156" t="s">
        <v>82</v>
      </c>
      <c r="D559" s="156" t="s">
        <v>36</v>
      </c>
      <c r="E559" s="155">
        <v>7945830.0</v>
      </c>
      <c r="F559" s="156" t="s">
        <v>823</v>
      </c>
      <c r="G559" s="154">
        <v>46140.0</v>
      </c>
      <c r="H559" s="157">
        <v>46141.0</v>
      </c>
      <c r="I559" s="158">
        <v>1.0</v>
      </c>
      <c r="J559" s="159" t="s">
        <v>78</v>
      </c>
      <c r="K559" s="156" t="s">
        <v>79</v>
      </c>
      <c r="L559" s="156" t="s">
        <v>96</v>
      </c>
      <c r="M559" s="155">
        <v>1.0</v>
      </c>
      <c r="N559" s="160">
        <v>0.0</v>
      </c>
      <c r="O559" s="161">
        <v>194.81</v>
      </c>
      <c r="P559" s="161">
        <v>192.8619</v>
      </c>
      <c r="Q559" s="203">
        <v>0.0</v>
      </c>
      <c r="R559" s="162">
        <v>192.8619</v>
      </c>
      <c r="S559" s="162">
        <v>0.0</v>
      </c>
      <c r="T559" s="162">
        <v>394.61</v>
      </c>
      <c r="U559" s="163" t="s">
        <v>97</v>
      </c>
      <c r="V559" s="154">
        <v>46013.0</v>
      </c>
      <c r="W559" s="164"/>
      <c r="X559" s="164"/>
      <c r="Y559" s="164"/>
      <c r="Z559" s="164"/>
      <c r="AA559" s="164"/>
      <c r="AB559" s="164"/>
      <c r="AC559" s="164"/>
      <c r="AD559" s="164"/>
      <c r="AE559" s="164"/>
      <c r="AF559" s="164"/>
      <c r="AG559" s="164"/>
      <c r="AH559" s="164"/>
      <c r="AI559" s="164"/>
    </row>
    <row r="560">
      <c r="A560" s="176">
        <v>46070.0</v>
      </c>
      <c r="B560" s="177">
        <v>8185928.0</v>
      </c>
      <c r="C560" s="178" t="s">
        <v>89</v>
      </c>
      <c r="D560" s="178" t="s">
        <v>35</v>
      </c>
      <c r="E560" s="177">
        <v>6.52285458E9</v>
      </c>
      <c r="F560" s="178" t="s">
        <v>825</v>
      </c>
      <c r="G560" s="176">
        <v>46140.0</v>
      </c>
      <c r="H560" s="179">
        <v>46143.0</v>
      </c>
      <c r="I560" s="180">
        <v>3.0</v>
      </c>
      <c r="J560" s="181" t="s">
        <v>114</v>
      </c>
      <c r="K560" s="178" t="s">
        <v>79</v>
      </c>
      <c r="L560" s="178" t="s">
        <v>80</v>
      </c>
      <c r="M560" s="182">
        <v>0.0</v>
      </c>
      <c r="N560" s="183">
        <v>0.0</v>
      </c>
      <c r="O560" s="184">
        <v>0.0</v>
      </c>
      <c r="P560" s="184">
        <v>0.0</v>
      </c>
      <c r="Q560" s="185">
        <v>0.0</v>
      </c>
      <c r="R560" s="186">
        <v>0.0</v>
      </c>
      <c r="S560" s="186">
        <v>0.0</v>
      </c>
      <c r="T560" s="186">
        <v>0.0</v>
      </c>
      <c r="U560" s="187" t="s">
        <v>826</v>
      </c>
      <c r="V560" s="176">
        <v>46140.0</v>
      </c>
      <c r="W560" s="175"/>
      <c r="X560" s="175"/>
      <c r="Y560" s="175"/>
      <c r="Z560" s="175"/>
      <c r="AA560" s="175"/>
      <c r="AB560" s="175"/>
      <c r="AC560" s="175"/>
      <c r="AD560" s="175"/>
      <c r="AE560" s="175"/>
      <c r="AF560" s="175"/>
      <c r="AG560" s="175"/>
      <c r="AH560" s="175"/>
      <c r="AI560" s="175"/>
    </row>
    <row r="561">
      <c r="A561" s="176">
        <v>46076.0</v>
      </c>
      <c r="B561" s="177">
        <v>8211770.0</v>
      </c>
      <c r="C561" s="178" t="s">
        <v>89</v>
      </c>
      <c r="D561" s="178" t="s">
        <v>35</v>
      </c>
      <c r="E561" s="177">
        <v>5.033128843E9</v>
      </c>
      <c r="F561" s="178" t="s">
        <v>827</v>
      </c>
      <c r="G561" s="176">
        <v>46140.0</v>
      </c>
      <c r="H561" s="179">
        <v>46142.0</v>
      </c>
      <c r="I561" s="180">
        <v>2.0</v>
      </c>
      <c r="J561" s="181" t="s">
        <v>78</v>
      </c>
      <c r="K561" s="178" t="s">
        <v>79</v>
      </c>
      <c r="L561" s="178" t="s">
        <v>80</v>
      </c>
      <c r="M561" s="182">
        <v>0.0</v>
      </c>
      <c r="N561" s="183">
        <v>0.0</v>
      </c>
      <c r="O561" s="184">
        <v>0.0</v>
      </c>
      <c r="P561" s="184">
        <v>0.0</v>
      </c>
      <c r="Q561" s="185">
        <v>0.0</v>
      </c>
      <c r="R561" s="186">
        <v>0.0</v>
      </c>
      <c r="S561" s="186">
        <v>0.0</v>
      </c>
      <c r="T561" s="186">
        <v>0.0</v>
      </c>
      <c r="U561" s="187" t="s">
        <v>828</v>
      </c>
      <c r="V561" s="176">
        <v>46090.0</v>
      </c>
      <c r="W561" s="175"/>
      <c r="X561" s="175"/>
      <c r="Y561" s="175"/>
      <c r="Z561" s="175"/>
      <c r="AA561" s="175"/>
      <c r="AB561" s="175"/>
      <c r="AC561" s="175"/>
      <c r="AD561" s="175"/>
      <c r="AE561" s="175"/>
      <c r="AF561" s="175"/>
      <c r="AG561" s="175"/>
      <c r="AH561" s="175"/>
      <c r="AI561" s="175"/>
    </row>
    <row r="562">
      <c r="A562" s="176">
        <v>45730.0</v>
      </c>
      <c r="B562" s="177">
        <v>6783387.0</v>
      </c>
      <c r="C562" s="178" t="s">
        <v>75</v>
      </c>
      <c r="D562" s="178" t="s">
        <v>35</v>
      </c>
      <c r="E562" s="177">
        <v>4.381149578E9</v>
      </c>
      <c r="F562" s="178" t="s">
        <v>829</v>
      </c>
      <c r="G562" s="176">
        <v>46141.0</v>
      </c>
      <c r="H562" s="179">
        <v>46146.0</v>
      </c>
      <c r="I562" s="180">
        <v>5.0</v>
      </c>
      <c r="J562" s="181" t="s">
        <v>114</v>
      </c>
      <c r="K562" s="178" t="s">
        <v>79</v>
      </c>
      <c r="L562" s="178" t="s">
        <v>80</v>
      </c>
      <c r="M562" s="182">
        <v>2.0</v>
      </c>
      <c r="N562" s="183">
        <v>0.19999999999999996</v>
      </c>
      <c r="O562" s="184">
        <v>227.59</v>
      </c>
      <c r="P562" s="184">
        <v>182.072</v>
      </c>
      <c r="Q562" s="185">
        <v>0.0</v>
      </c>
      <c r="R562" s="186">
        <v>910.36</v>
      </c>
      <c r="S562" s="186">
        <v>0.0</v>
      </c>
      <c r="T562" s="186">
        <v>1162.95</v>
      </c>
      <c r="U562" s="187" t="s">
        <v>830</v>
      </c>
      <c r="V562" s="176">
        <v>45730.0</v>
      </c>
      <c r="W562" s="175"/>
      <c r="X562" s="175"/>
      <c r="Y562" s="175"/>
      <c r="Z562" s="175"/>
      <c r="AA562" s="175"/>
      <c r="AB562" s="175"/>
      <c r="AC562" s="175"/>
      <c r="AD562" s="175"/>
      <c r="AE562" s="175"/>
      <c r="AF562" s="175"/>
      <c r="AG562" s="175"/>
      <c r="AH562" s="175"/>
      <c r="AI562" s="175"/>
    </row>
    <row r="563">
      <c r="A563" s="154">
        <v>45775.0</v>
      </c>
      <c r="B563" s="155">
        <v>6959491.0</v>
      </c>
      <c r="C563" s="156" t="s">
        <v>75</v>
      </c>
      <c r="D563" s="156" t="s">
        <v>36</v>
      </c>
      <c r="E563" s="155">
        <v>6959491.0</v>
      </c>
      <c r="F563" s="156" t="s">
        <v>831</v>
      </c>
      <c r="G563" s="154">
        <v>46142.0</v>
      </c>
      <c r="H563" s="157">
        <v>46144.0</v>
      </c>
      <c r="I563" s="158">
        <v>2.0</v>
      </c>
      <c r="J563" s="159" t="s">
        <v>78</v>
      </c>
      <c r="K563" s="156" t="s">
        <v>138</v>
      </c>
      <c r="L563" s="156" t="s">
        <v>80</v>
      </c>
      <c r="M563" s="155">
        <v>2.0</v>
      </c>
      <c r="N563" s="160">
        <v>0.0</v>
      </c>
      <c r="O563" s="161">
        <v>290.2</v>
      </c>
      <c r="P563" s="161">
        <v>287.298</v>
      </c>
      <c r="Q563" s="203">
        <v>36.0</v>
      </c>
      <c r="R563" s="162">
        <v>574.596</v>
      </c>
      <c r="S563" s="162">
        <v>72.0</v>
      </c>
      <c r="T563" s="162">
        <v>662.4</v>
      </c>
      <c r="U563" s="163" t="s">
        <v>832</v>
      </c>
      <c r="V563" s="154">
        <v>45775.0</v>
      </c>
      <c r="W563" s="164"/>
      <c r="X563" s="164"/>
      <c r="Y563" s="164"/>
      <c r="Z563" s="164"/>
      <c r="AA563" s="164"/>
      <c r="AB563" s="164"/>
      <c r="AC563" s="164"/>
      <c r="AD563" s="164"/>
      <c r="AE563" s="164"/>
      <c r="AF563" s="164"/>
      <c r="AG563" s="164"/>
      <c r="AH563" s="164"/>
      <c r="AI563" s="164"/>
    </row>
    <row r="564">
      <c r="A564" s="165">
        <v>45957.0</v>
      </c>
      <c r="B564" s="166">
        <v>7735645.0</v>
      </c>
      <c r="C564" s="166" t="s">
        <v>82</v>
      </c>
      <c r="D564" s="166" t="s">
        <v>36</v>
      </c>
      <c r="E564" s="166">
        <v>7735645.0</v>
      </c>
      <c r="F564" s="166" t="s">
        <v>834</v>
      </c>
      <c r="G564" s="165">
        <v>46142.0</v>
      </c>
      <c r="H564" s="167">
        <v>46145.0</v>
      </c>
      <c r="I564" s="168">
        <v>3.0</v>
      </c>
      <c r="J564" s="169" t="s">
        <v>91</v>
      </c>
      <c r="K564" s="166" t="s">
        <v>79</v>
      </c>
      <c r="L564" s="166" t="s">
        <v>80</v>
      </c>
      <c r="M564" s="166">
        <v>2.0</v>
      </c>
      <c r="N564" s="170">
        <v>0.0</v>
      </c>
      <c r="O564" s="171">
        <v>451.09999999999997</v>
      </c>
      <c r="P564" s="171">
        <v>446.58899999999994</v>
      </c>
      <c r="Q564" s="172">
        <v>0.0</v>
      </c>
      <c r="R564" s="173">
        <v>1339.7669999999998</v>
      </c>
      <c r="S564" s="173">
        <v>0.0</v>
      </c>
      <c r="T564" s="173">
        <v>1578.3</v>
      </c>
      <c r="U564" s="201" t="s">
        <v>492</v>
      </c>
      <c r="V564" s="165">
        <v>45957.0</v>
      </c>
      <c r="W564" s="175"/>
      <c r="X564" s="175"/>
      <c r="Y564" s="175"/>
      <c r="Z564" s="175"/>
      <c r="AA564" s="175"/>
      <c r="AB564" s="175"/>
      <c r="AC564" s="175"/>
      <c r="AD564" s="175"/>
      <c r="AE564" s="175"/>
      <c r="AF564" s="175"/>
      <c r="AG564" s="175"/>
      <c r="AH564" s="175"/>
      <c r="AI564" s="175"/>
    </row>
    <row r="565">
      <c r="A565" s="154">
        <v>45960.0</v>
      </c>
      <c r="B565" s="155">
        <v>7747150.0</v>
      </c>
      <c r="C565" s="156" t="s">
        <v>75</v>
      </c>
      <c r="D565" s="156" t="s">
        <v>94</v>
      </c>
      <c r="E565" s="155">
        <v>7747150.0</v>
      </c>
      <c r="F565" s="156" t="s">
        <v>698</v>
      </c>
      <c r="G565" s="154">
        <v>46142.0</v>
      </c>
      <c r="H565" s="157">
        <v>46143.0</v>
      </c>
      <c r="I565" s="158">
        <v>1.0</v>
      </c>
      <c r="J565" s="159" t="s">
        <v>111</v>
      </c>
      <c r="K565" s="156" t="s">
        <v>79</v>
      </c>
      <c r="L565" s="156" t="s">
        <v>96</v>
      </c>
      <c r="M565" s="202">
        <v>2.0</v>
      </c>
      <c r="N565" s="160">
        <v>0.0</v>
      </c>
      <c r="O565" s="161">
        <v>300.24</v>
      </c>
      <c r="P565" s="161">
        <v>300.24</v>
      </c>
      <c r="Q565" s="203">
        <v>0.0</v>
      </c>
      <c r="R565" s="162">
        <v>300.24</v>
      </c>
      <c r="S565" s="162">
        <v>0.0</v>
      </c>
      <c r="T565" s="162">
        <v>1039.52</v>
      </c>
      <c r="U565" s="163" t="s">
        <v>835</v>
      </c>
      <c r="V565" s="154">
        <v>45960.0</v>
      </c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</row>
    <row r="566">
      <c r="A566" s="154">
        <v>45960.0</v>
      </c>
      <c r="B566" s="155">
        <v>7747150.0</v>
      </c>
      <c r="C566" s="156" t="s">
        <v>75</v>
      </c>
      <c r="D566" s="156" t="s">
        <v>94</v>
      </c>
      <c r="E566" s="155">
        <v>7747150.0</v>
      </c>
      <c r="F566" s="156" t="s">
        <v>698</v>
      </c>
      <c r="G566" s="154">
        <v>46142.0</v>
      </c>
      <c r="H566" s="157">
        <v>46143.0</v>
      </c>
      <c r="I566" s="158">
        <v>1.0</v>
      </c>
      <c r="J566" s="159" t="s">
        <v>78</v>
      </c>
      <c r="K566" s="156" t="s">
        <v>79</v>
      </c>
      <c r="L566" s="156" t="s">
        <v>96</v>
      </c>
      <c r="M566" s="155">
        <v>2.0</v>
      </c>
      <c r="N566" s="160">
        <v>0.0</v>
      </c>
      <c r="O566" s="161">
        <v>239.76</v>
      </c>
      <c r="P566" s="161">
        <v>239.76</v>
      </c>
      <c r="Q566" s="159">
        <v>0.0</v>
      </c>
      <c r="R566" s="162">
        <v>239.76</v>
      </c>
      <c r="S566" s="162">
        <v>0.0</v>
      </c>
      <c r="T566" s="162">
        <v>1039.52</v>
      </c>
      <c r="U566" s="163" t="s">
        <v>835</v>
      </c>
      <c r="V566" s="154">
        <v>45960.0</v>
      </c>
      <c r="W566" s="175"/>
      <c r="X566" s="175"/>
      <c r="Y566" s="175"/>
      <c r="Z566" s="175"/>
      <c r="AA566" s="175"/>
      <c r="AB566" s="175"/>
      <c r="AC566" s="175"/>
      <c r="AD566" s="175"/>
      <c r="AE566" s="175"/>
      <c r="AF566" s="175"/>
      <c r="AG566" s="175"/>
      <c r="AH566" s="175"/>
      <c r="AI566" s="175"/>
    </row>
    <row r="567">
      <c r="A567" s="154">
        <v>45960.0</v>
      </c>
      <c r="B567" s="155">
        <v>7747150.0</v>
      </c>
      <c r="C567" s="156" t="s">
        <v>75</v>
      </c>
      <c r="D567" s="156" t="s">
        <v>94</v>
      </c>
      <c r="E567" s="155">
        <v>7747150.0</v>
      </c>
      <c r="F567" s="156" t="s">
        <v>698</v>
      </c>
      <c r="G567" s="154">
        <v>46142.0</v>
      </c>
      <c r="H567" s="157">
        <v>46143.0</v>
      </c>
      <c r="I567" s="158">
        <v>1.0</v>
      </c>
      <c r="J567" s="159" t="s">
        <v>78</v>
      </c>
      <c r="K567" s="156" t="s">
        <v>79</v>
      </c>
      <c r="L567" s="156" t="s">
        <v>96</v>
      </c>
      <c r="M567" s="155">
        <v>2.0</v>
      </c>
      <c r="N567" s="160">
        <v>0.0</v>
      </c>
      <c r="O567" s="161">
        <v>239.76</v>
      </c>
      <c r="P567" s="161">
        <v>239.76</v>
      </c>
      <c r="Q567" s="203">
        <v>0.0</v>
      </c>
      <c r="R567" s="162">
        <v>239.76</v>
      </c>
      <c r="S567" s="162">
        <v>0.0</v>
      </c>
      <c r="T567" s="162">
        <v>1039.52</v>
      </c>
      <c r="U567" s="163" t="s">
        <v>835</v>
      </c>
      <c r="V567" s="154">
        <v>45960.0</v>
      </c>
      <c r="W567" s="175"/>
      <c r="X567" s="175"/>
      <c r="Y567" s="175"/>
      <c r="Z567" s="175"/>
      <c r="AA567" s="175"/>
      <c r="AB567" s="175"/>
      <c r="AC567" s="175"/>
      <c r="AD567" s="175"/>
      <c r="AE567" s="175"/>
      <c r="AF567" s="175"/>
      <c r="AG567" s="175"/>
      <c r="AH567" s="175"/>
      <c r="AI567" s="175"/>
    </row>
    <row r="568">
      <c r="A568" s="154">
        <v>45960.0</v>
      </c>
      <c r="B568" s="155">
        <v>7747150.0</v>
      </c>
      <c r="C568" s="156" t="s">
        <v>75</v>
      </c>
      <c r="D568" s="156" t="s">
        <v>94</v>
      </c>
      <c r="E568" s="155">
        <v>7747150.0</v>
      </c>
      <c r="F568" s="156" t="s">
        <v>698</v>
      </c>
      <c r="G568" s="154">
        <v>46142.0</v>
      </c>
      <c r="H568" s="157">
        <v>46143.0</v>
      </c>
      <c r="I568" s="158">
        <v>1.0</v>
      </c>
      <c r="J568" s="159" t="s">
        <v>78</v>
      </c>
      <c r="K568" s="156" t="s">
        <v>79</v>
      </c>
      <c r="L568" s="156" t="s">
        <v>96</v>
      </c>
      <c r="M568" s="155">
        <v>2.0</v>
      </c>
      <c r="N568" s="160">
        <v>0.0</v>
      </c>
      <c r="O568" s="161">
        <v>239.76</v>
      </c>
      <c r="P568" s="161">
        <v>239.76</v>
      </c>
      <c r="Q568" s="203">
        <v>0.0</v>
      </c>
      <c r="R568" s="162">
        <v>239.76</v>
      </c>
      <c r="S568" s="162">
        <v>0.0</v>
      </c>
      <c r="T568" s="162">
        <v>1039.52</v>
      </c>
      <c r="U568" s="163" t="s">
        <v>835</v>
      </c>
      <c r="V568" s="154">
        <v>45960.0</v>
      </c>
      <c r="W568" s="175"/>
      <c r="X568" s="175"/>
      <c r="Y568" s="175"/>
      <c r="Z568" s="175"/>
      <c r="AA568" s="175"/>
      <c r="AB568" s="175"/>
      <c r="AC568" s="175"/>
      <c r="AD568" s="175"/>
      <c r="AE568" s="175"/>
      <c r="AF568" s="175"/>
      <c r="AG568" s="175"/>
      <c r="AH568" s="175"/>
      <c r="AI568" s="175"/>
    </row>
    <row r="569">
      <c r="A569" s="165">
        <v>46024.0</v>
      </c>
      <c r="B569" s="166">
        <v>7984660.0</v>
      </c>
      <c r="C569" s="166" t="s">
        <v>89</v>
      </c>
      <c r="D569" s="166" t="s">
        <v>35</v>
      </c>
      <c r="E569" s="166">
        <v>5.767689117E9</v>
      </c>
      <c r="F569" s="166" t="s">
        <v>837</v>
      </c>
      <c r="G569" s="165">
        <v>46142.0</v>
      </c>
      <c r="H569" s="167">
        <v>46144.0</v>
      </c>
      <c r="I569" s="168">
        <v>2.0</v>
      </c>
      <c r="J569" s="169" t="s">
        <v>87</v>
      </c>
      <c r="K569" s="166" t="s">
        <v>79</v>
      </c>
      <c r="L569" s="166" t="s">
        <v>80</v>
      </c>
      <c r="M569" s="205">
        <v>0.0</v>
      </c>
      <c r="N569" s="170">
        <v>0.0</v>
      </c>
      <c r="O569" s="171">
        <v>0.0</v>
      </c>
      <c r="P569" s="171">
        <v>0.0</v>
      </c>
      <c r="Q569" s="172">
        <v>0.0</v>
      </c>
      <c r="R569" s="173">
        <v>0.0</v>
      </c>
      <c r="S569" s="173">
        <v>0.0</v>
      </c>
      <c r="T569" s="173">
        <v>0.0</v>
      </c>
      <c r="U569" s="201" t="s">
        <v>838</v>
      </c>
      <c r="V569" s="165">
        <v>46024.0</v>
      </c>
      <c r="W569" s="175"/>
      <c r="X569" s="175"/>
      <c r="Y569" s="175"/>
      <c r="Z569" s="175"/>
      <c r="AA569" s="175"/>
      <c r="AB569" s="175"/>
      <c r="AC569" s="175"/>
      <c r="AD569" s="175"/>
      <c r="AE569" s="175"/>
      <c r="AF569" s="175"/>
      <c r="AG569" s="175"/>
      <c r="AH569" s="175"/>
      <c r="AI569" s="175"/>
    </row>
    <row r="570">
      <c r="A570" s="165">
        <v>46029.0</v>
      </c>
      <c r="B570" s="166">
        <v>8003367.0</v>
      </c>
      <c r="C570" s="166" t="s">
        <v>89</v>
      </c>
      <c r="D570" s="166" t="s">
        <v>35</v>
      </c>
      <c r="E570" s="166">
        <v>6.68902879E9</v>
      </c>
      <c r="F570" s="166" t="s">
        <v>839</v>
      </c>
      <c r="G570" s="165">
        <v>46142.0</v>
      </c>
      <c r="H570" s="167">
        <v>46145.0</v>
      </c>
      <c r="I570" s="168">
        <v>3.0</v>
      </c>
      <c r="J570" s="169" t="s">
        <v>87</v>
      </c>
      <c r="K570" s="166" t="s">
        <v>79</v>
      </c>
      <c r="L570" s="166" t="s">
        <v>80</v>
      </c>
      <c r="M570" s="205">
        <v>0.0</v>
      </c>
      <c r="N570" s="170">
        <v>0.0</v>
      </c>
      <c r="O570" s="171">
        <v>0.0</v>
      </c>
      <c r="P570" s="171">
        <v>0.0</v>
      </c>
      <c r="Q570" s="172">
        <v>0.0</v>
      </c>
      <c r="R570" s="173">
        <v>0.0</v>
      </c>
      <c r="S570" s="173">
        <v>0.0</v>
      </c>
      <c r="T570" s="173">
        <v>0.0</v>
      </c>
      <c r="U570" s="174" t="s">
        <v>840</v>
      </c>
      <c r="V570" s="165">
        <v>46029.0</v>
      </c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</row>
    <row r="571">
      <c r="A571" s="176">
        <v>46046.0</v>
      </c>
      <c r="B571" s="177">
        <v>8077886.0</v>
      </c>
      <c r="C571" s="178" t="s">
        <v>89</v>
      </c>
      <c r="D571" s="178" t="s">
        <v>35</v>
      </c>
      <c r="E571" s="177">
        <v>5.860272644E9</v>
      </c>
      <c r="F571" s="178" t="s">
        <v>841</v>
      </c>
      <c r="G571" s="176">
        <v>46142.0</v>
      </c>
      <c r="H571" s="179">
        <v>46144.0</v>
      </c>
      <c r="I571" s="180">
        <v>2.0</v>
      </c>
      <c r="J571" s="181" t="s">
        <v>87</v>
      </c>
      <c r="K571" s="178" t="s">
        <v>79</v>
      </c>
      <c r="L571" s="178" t="s">
        <v>80</v>
      </c>
      <c r="M571" s="182">
        <v>0.0</v>
      </c>
      <c r="N571" s="183">
        <v>0.0</v>
      </c>
      <c r="O571" s="184">
        <v>0.0</v>
      </c>
      <c r="P571" s="184">
        <v>0.0</v>
      </c>
      <c r="Q571" s="185">
        <v>0.0</v>
      </c>
      <c r="R571" s="186">
        <v>0.0</v>
      </c>
      <c r="S571" s="186">
        <v>0.0</v>
      </c>
      <c r="T571" s="186">
        <v>0.0</v>
      </c>
      <c r="U571" s="187" t="s">
        <v>842</v>
      </c>
      <c r="V571" s="176">
        <v>46142.0</v>
      </c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</row>
    <row r="572">
      <c r="A572" s="165">
        <v>45862.0</v>
      </c>
      <c r="B572" s="166">
        <v>7323045.0</v>
      </c>
      <c r="C572" s="166" t="s">
        <v>89</v>
      </c>
      <c r="D572" s="166" t="s">
        <v>35</v>
      </c>
      <c r="E572" s="166">
        <v>5.050976904E9</v>
      </c>
      <c r="F572" s="166" t="s">
        <v>843</v>
      </c>
      <c r="G572" s="165">
        <v>46143.0</v>
      </c>
      <c r="H572" s="167">
        <v>46145.0</v>
      </c>
      <c r="I572" s="168">
        <v>2.0</v>
      </c>
      <c r="J572" s="169" t="s">
        <v>111</v>
      </c>
      <c r="K572" s="166" t="s">
        <v>79</v>
      </c>
      <c r="L572" s="166" t="s">
        <v>80</v>
      </c>
      <c r="M572" s="205">
        <v>0.0</v>
      </c>
      <c r="N572" s="170">
        <v>0.0</v>
      </c>
      <c r="O572" s="171">
        <v>0.0</v>
      </c>
      <c r="P572" s="171">
        <v>0.0</v>
      </c>
      <c r="Q572" s="172">
        <v>0.0</v>
      </c>
      <c r="R572" s="173">
        <v>0.0</v>
      </c>
      <c r="S572" s="173">
        <v>0.0</v>
      </c>
      <c r="T572" s="173">
        <v>0.0</v>
      </c>
      <c r="U572" s="174" t="s">
        <v>844</v>
      </c>
      <c r="V572" s="165">
        <v>45978.0</v>
      </c>
      <c r="W572" s="175"/>
      <c r="X572" s="175"/>
      <c r="Y572" s="175"/>
      <c r="Z572" s="175"/>
      <c r="AA572" s="175"/>
      <c r="AB572" s="175"/>
      <c r="AC572" s="175"/>
      <c r="AD572" s="175"/>
      <c r="AE572" s="175"/>
      <c r="AF572" s="175"/>
      <c r="AG572" s="175"/>
      <c r="AH572" s="175"/>
      <c r="AI572" s="175"/>
    </row>
    <row r="573">
      <c r="A573" s="154">
        <v>45921.0</v>
      </c>
      <c r="B573" s="155">
        <v>7587056.0</v>
      </c>
      <c r="C573" s="156" t="s">
        <v>89</v>
      </c>
      <c r="D573" s="156" t="s">
        <v>35</v>
      </c>
      <c r="E573" s="155">
        <v>5.333983715E9</v>
      </c>
      <c r="F573" s="156" t="s">
        <v>845</v>
      </c>
      <c r="G573" s="154">
        <v>46143.0</v>
      </c>
      <c r="H573" s="157">
        <v>46147.0</v>
      </c>
      <c r="I573" s="158">
        <v>4.0</v>
      </c>
      <c r="J573" s="159" t="s">
        <v>78</v>
      </c>
      <c r="K573" s="156" t="s">
        <v>79</v>
      </c>
      <c r="L573" s="156" t="s">
        <v>80</v>
      </c>
      <c r="M573" s="155">
        <v>0.0</v>
      </c>
      <c r="N573" s="160">
        <v>0.0</v>
      </c>
      <c r="O573" s="161">
        <v>0.0</v>
      </c>
      <c r="P573" s="161">
        <v>0.0</v>
      </c>
      <c r="Q573" s="159">
        <v>0.0</v>
      </c>
      <c r="R573" s="162">
        <v>0.0</v>
      </c>
      <c r="S573" s="162">
        <v>0.0</v>
      </c>
      <c r="T573" s="162">
        <v>0.0</v>
      </c>
      <c r="U573" s="163" t="s">
        <v>561</v>
      </c>
      <c r="V573" s="154">
        <v>46087.0</v>
      </c>
      <c r="W573" s="164"/>
      <c r="X573" s="164"/>
      <c r="Y573" s="164"/>
      <c r="Z573" s="164"/>
      <c r="AA573" s="164"/>
      <c r="AB573" s="164"/>
      <c r="AC573" s="164"/>
      <c r="AD573" s="164"/>
      <c r="AE573" s="164"/>
      <c r="AF573" s="164"/>
      <c r="AG573" s="164"/>
      <c r="AH573" s="164"/>
      <c r="AI573" s="164"/>
    </row>
    <row r="574">
      <c r="A574" s="165">
        <v>45950.0</v>
      </c>
      <c r="B574" s="166">
        <v>7706378.0</v>
      </c>
      <c r="C574" s="166" t="s">
        <v>82</v>
      </c>
      <c r="D574" s="166" t="s">
        <v>35</v>
      </c>
      <c r="E574" s="166">
        <v>5.165806374E9</v>
      </c>
      <c r="F574" s="166" t="s">
        <v>847</v>
      </c>
      <c r="G574" s="165">
        <v>46143.0</v>
      </c>
      <c r="H574" s="167">
        <v>46147.0</v>
      </c>
      <c r="I574" s="168">
        <v>4.0</v>
      </c>
      <c r="J574" s="169" t="s">
        <v>111</v>
      </c>
      <c r="K574" s="166" t="s">
        <v>79</v>
      </c>
      <c r="L574" s="166" t="s">
        <v>80</v>
      </c>
      <c r="M574" s="166">
        <v>2.0</v>
      </c>
      <c r="N574" s="170">
        <v>0.19999999999999996</v>
      </c>
      <c r="O574" s="171">
        <v>165.81</v>
      </c>
      <c r="P574" s="171">
        <v>132.648</v>
      </c>
      <c r="Q574" s="172">
        <v>0.0</v>
      </c>
      <c r="R574" s="173">
        <v>530.592</v>
      </c>
      <c r="S574" s="173">
        <v>0.0</v>
      </c>
      <c r="T574" s="173">
        <v>683.24</v>
      </c>
      <c r="U574" s="201" t="s">
        <v>107</v>
      </c>
      <c r="V574" s="165">
        <v>45950.0</v>
      </c>
      <c r="W574" s="175"/>
      <c r="X574" s="175"/>
      <c r="Y574" s="175"/>
      <c r="Z574" s="175"/>
      <c r="AA574" s="175"/>
      <c r="AB574" s="175"/>
      <c r="AC574" s="175"/>
      <c r="AD574" s="175"/>
      <c r="AE574" s="175"/>
      <c r="AF574" s="175"/>
      <c r="AG574" s="175"/>
      <c r="AH574" s="175"/>
      <c r="AI574" s="175"/>
    </row>
    <row r="575">
      <c r="A575" s="165">
        <v>46004.0</v>
      </c>
      <c r="B575" s="166">
        <v>7914598.0</v>
      </c>
      <c r="C575" s="166" t="s">
        <v>89</v>
      </c>
      <c r="D575" s="166" t="s">
        <v>35</v>
      </c>
      <c r="E575" s="166">
        <v>6.56299554E9</v>
      </c>
      <c r="F575" s="166" t="s">
        <v>848</v>
      </c>
      <c r="G575" s="165">
        <v>46143.0</v>
      </c>
      <c r="H575" s="167">
        <v>46147.0</v>
      </c>
      <c r="I575" s="168">
        <v>4.0</v>
      </c>
      <c r="J575" s="169" t="s">
        <v>111</v>
      </c>
      <c r="K575" s="166" t="s">
        <v>79</v>
      </c>
      <c r="L575" s="166" t="s">
        <v>80</v>
      </c>
      <c r="M575" s="166">
        <v>0.0</v>
      </c>
      <c r="N575" s="170">
        <v>0.0</v>
      </c>
      <c r="O575" s="171">
        <v>0.0</v>
      </c>
      <c r="P575" s="171">
        <v>0.0</v>
      </c>
      <c r="Q575" s="172">
        <v>0.0</v>
      </c>
      <c r="R575" s="173">
        <v>0.0</v>
      </c>
      <c r="S575" s="173">
        <v>0.0</v>
      </c>
      <c r="T575" s="173">
        <v>0.0</v>
      </c>
      <c r="U575" s="174" t="s">
        <v>849</v>
      </c>
      <c r="V575" s="165">
        <v>46019.0</v>
      </c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</row>
    <row r="576">
      <c r="A576" s="154">
        <v>46022.0</v>
      </c>
      <c r="B576" s="155">
        <v>7974718.0</v>
      </c>
      <c r="C576" s="156" t="s">
        <v>89</v>
      </c>
      <c r="D576" s="156" t="s">
        <v>35</v>
      </c>
      <c r="E576" s="155">
        <v>6.154241656E9</v>
      </c>
      <c r="F576" s="156" t="s">
        <v>850</v>
      </c>
      <c r="G576" s="154">
        <v>46143.0</v>
      </c>
      <c r="H576" s="157">
        <v>46145.0</v>
      </c>
      <c r="I576" s="158">
        <v>2.0</v>
      </c>
      <c r="J576" s="159" t="s">
        <v>111</v>
      </c>
      <c r="K576" s="156" t="s">
        <v>79</v>
      </c>
      <c r="L576" s="156" t="s">
        <v>80</v>
      </c>
      <c r="M576" s="155">
        <v>0.0</v>
      </c>
      <c r="N576" s="160">
        <v>0.0</v>
      </c>
      <c r="O576" s="161">
        <v>0.0</v>
      </c>
      <c r="P576" s="161">
        <v>0.0</v>
      </c>
      <c r="Q576" s="203">
        <v>0.0</v>
      </c>
      <c r="R576" s="162">
        <v>0.0</v>
      </c>
      <c r="S576" s="162">
        <v>0.0</v>
      </c>
      <c r="T576" s="162">
        <v>0.0</v>
      </c>
      <c r="U576" s="163" t="s">
        <v>851</v>
      </c>
      <c r="V576" s="154">
        <v>46058.0</v>
      </c>
      <c r="W576" s="175"/>
      <c r="X576" s="175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  <c r="AI576" s="175"/>
    </row>
    <row r="577">
      <c r="A577" s="190">
        <v>46025.0</v>
      </c>
      <c r="B577" s="191">
        <v>7984898.0</v>
      </c>
      <c r="C577" s="192" t="s">
        <v>75</v>
      </c>
      <c r="D577" s="192" t="s">
        <v>35</v>
      </c>
      <c r="E577" s="191">
        <v>5.966280055E9</v>
      </c>
      <c r="F577" s="192" t="s">
        <v>837</v>
      </c>
      <c r="G577" s="190">
        <v>46143.0</v>
      </c>
      <c r="H577" s="193">
        <v>46144.0</v>
      </c>
      <c r="I577" s="194">
        <v>1.0</v>
      </c>
      <c r="J577" s="195" t="s">
        <v>78</v>
      </c>
      <c r="K577" s="192" t="s">
        <v>79</v>
      </c>
      <c r="L577" s="192" t="s">
        <v>80</v>
      </c>
      <c r="M577" s="211">
        <v>2.0</v>
      </c>
      <c r="N577" s="196">
        <v>0.19999999999999996</v>
      </c>
      <c r="O577" s="197">
        <v>182.21</v>
      </c>
      <c r="P577" s="197">
        <v>145.768</v>
      </c>
      <c r="Q577" s="195">
        <v>0.0</v>
      </c>
      <c r="R577" s="199">
        <v>145.768</v>
      </c>
      <c r="S577" s="199">
        <v>0.0</v>
      </c>
      <c r="T577" s="199">
        <v>187.21</v>
      </c>
      <c r="U577" s="200" t="s">
        <v>852</v>
      </c>
      <c r="V577" s="190">
        <v>46025.0</v>
      </c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</row>
    <row r="578">
      <c r="A578" s="165">
        <v>46040.0</v>
      </c>
      <c r="B578" s="166">
        <v>8048317.0</v>
      </c>
      <c r="C578" s="166" t="s">
        <v>82</v>
      </c>
      <c r="D578" s="166" t="s">
        <v>35</v>
      </c>
      <c r="E578" s="166">
        <v>6.435244288E9</v>
      </c>
      <c r="F578" s="166" t="s">
        <v>853</v>
      </c>
      <c r="G578" s="165">
        <v>46143.0</v>
      </c>
      <c r="H578" s="167">
        <v>46145.0</v>
      </c>
      <c r="I578" s="168">
        <v>2.0</v>
      </c>
      <c r="J578" s="169" t="s">
        <v>78</v>
      </c>
      <c r="K578" s="166" t="s">
        <v>79</v>
      </c>
      <c r="L578" s="166" t="s">
        <v>80</v>
      </c>
      <c r="M578" s="166">
        <v>2.0</v>
      </c>
      <c r="N578" s="170">
        <v>0.19999999999999996</v>
      </c>
      <c r="O578" s="171">
        <v>140.67</v>
      </c>
      <c r="P578" s="171">
        <v>112.536</v>
      </c>
      <c r="Q578" s="172">
        <v>0.0</v>
      </c>
      <c r="R578" s="173">
        <v>225.072</v>
      </c>
      <c r="S578" s="173">
        <v>0.0</v>
      </c>
      <c r="T578" s="173">
        <v>291.34</v>
      </c>
      <c r="U578" s="174" t="s">
        <v>107</v>
      </c>
      <c r="V578" s="165">
        <v>46040.0</v>
      </c>
      <c r="W578" s="164"/>
      <c r="X578" s="164"/>
      <c r="Y578" s="164"/>
      <c r="Z578" s="164"/>
      <c r="AA578" s="164"/>
      <c r="AB578" s="164"/>
      <c r="AC578" s="164"/>
      <c r="AD578" s="164"/>
      <c r="AE578" s="164"/>
      <c r="AF578" s="164"/>
      <c r="AG578" s="164"/>
      <c r="AH578" s="164"/>
      <c r="AI578" s="164"/>
    </row>
    <row r="579">
      <c r="A579" s="165">
        <v>45919.0</v>
      </c>
      <c r="B579" s="166">
        <v>7578794.0</v>
      </c>
      <c r="C579" s="166" t="s">
        <v>89</v>
      </c>
      <c r="D579" s="166" t="s">
        <v>35</v>
      </c>
      <c r="E579" s="166">
        <v>6.796616104E9</v>
      </c>
      <c r="F579" s="166" t="s">
        <v>845</v>
      </c>
      <c r="G579" s="165">
        <v>46144.0</v>
      </c>
      <c r="H579" s="167">
        <v>46147.0</v>
      </c>
      <c r="I579" s="168">
        <v>3.0</v>
      </c>
      <c r="J579" s="169" t="s">
        <v>78</v>
      </c>
      <c r="K579" s="166" t="s">
        <v>79</v>
      </c>
      <c r="L579" s="166" t="s">
        <v>80</v>
      </c>
      <c r="M579" s="205">
        <v>0.0</v>
      </c>
      <c r="N579" s="170">
        <v>0.0</v>
      </c>
      <c r="O579" s="171">
        <v>0.0</v>
      </c>
      <c r="P579" s="171">
        <v>0.0</v>
      </c>
      <c r="Q579" s="172">
        <v>0.0</v>
      </c>
      <c r="R579" s="173">
        <v>0.0</v>
      </c>
      <c r="S579" s="173">
        <v>0.0</v>
      </c>
      <c r="T579" s="162">
        <v>0.0</v>
      </c>
      <c r="U579" s="163" t="s">
        <v>307</v>
      </c>
      <c r="V579" s="154">
        <v>45921.0</v>
      </c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  <c r="AG579" s="164"/>
      <c r="AH579" s="164"/>
      <c r="AI579" s="164"/>
    </row>
    <row r="580">
      <c r="A580" s="165">
        <v>46011.0</v>
      </c>
      <c r="B580" s="166">
        <v>7940914.0</v>
      </c>
      <c r="C580" s="166" t="s">
        <v>75</v>
      </c>
      <c r="D580" s="166" t="s">
        <v>35</v>
      </c>
      <c r="E580" s="166">
        <v>6.495229584E9</v>
      </c>
      <c r="F580" s="166" t="s">
        <v>854</v>
      </c>
      <c r="G580" s="165">
        <v>46144.0</v>
      </c>
      <c r="H580" s="167">
        <v>46148.0</v>
      </c>
      <c r="I580" s="168">
        <v>4.0</v>
      </c>
      <c r="J580" s="169" t="s">
        <v>78</v>
      </c>
      <c r="K580" s="166" t="s">
        <v>79</v>
      </c>
      <c r="L580" s="166" t="s">
        <v>80</v>
      </c>
      <c r="M580" s="205">
        <v>1.0</v>
      </c>
      <c r="N580" s="170">
        <v>0.19999999999999996</v>
      </c>
      <c r="O580" s="171">
        <v>156.41</v>
      </c>
      <c r="P580" s="171">
        <v>125.128</v>
      </c>
      <c r="Q580" s="172">
        <v>0.0</v>
      </c>
      <c r="R580" s="173">
        <v>500.512</v>
      </c>
      <c r="S580" s="173">
        <v>0.0</v>
      </c>
      <c r="T580" s="173">
        <v>1916.92</v>
      </c>
      <c r="U580" s="201" t="s">
        <v>689</v>
      </c>
      <c r="V580" s="165">
        <v>46011.0</v>
      </c>
      <c r="W580" s="175"/>
      <c r="X580" s="175"/>
      <c r="Y580" s="175"/>
      <c r="Z580" s="175"/>
      <c r="AA580" s="175"/>
      <c r="AB580" s="175"/>
      <c r="AC580" s="175"/>
      <c r="AD580" s="175"/>
      <c r="AE580" s="175"/>
      <c r="AF580" s="175"/>
      <c r="AG580" s="175"/>
      <c r="AH580" s="175"/>
      <c r="AI580" s="175"/>
    </row>
    <row r="581">
      <c r="A581" s="154">
        <v>46011.0</v>
      </c>
      <c r="B581" s="155">
        <v>7940914.0</v>
      </c>
      <c r="C581" s="156" t="s">
        <v>75</v>
      </c>
      <c r="D581" s="156" t="s">
        <v>35</v>
      </c>
      <c r="E581" s="155">
        <v>6.495229584E9</v>
      </c>
      <c r="F581" s="156" t="s">
        <v>854</v>
      </c>
      <c r="G581" s="154">
        <v>46144.0</v>
      </c>
      <c r="H581" s="157">
        <v>46148.0</v>
      </c>
      <c r="I581" s="158">
        <v>4.0</v>
      </c>
      <c r="J581" s="159" t="s">
        <v>78</v>
      </c>
      <c r="K581" s="156" t="s">
        <v>79</v>
      </c>
      <c r="L581" s="156" t="s">
        <v>80</v>
      </c>
      <c r="M581" s="202">
        <v>2.0</v>
      </c>
      <c r="N581" s="160">
        <v>0.19999999999999996</v>
      </c>
      <c r="O581" s="161">
        <v>156.41</v>
      </c>
      <c r="P581" s="161">
        <v>125.128</v>
      </c>
      <c r="Q581" s="203">
        <v>0.0</v>
      </c>
      <c r="R581" s="162">
        <v>500.512</v>
      </c>
      <c r="S581" s="162">
        <v>0.0</v>
      </c>
      <c r="T581" s="162">
        <v>1916.92</v>
      </c>
      <c r="U581" s="156" t="s">
        <v>689</v>
      </c>
      <c r="V581" s="154">
        <v>46011.0</v>
      </c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</row>
    <row r="582">
      <c r="A582" s="176">
        <v>46011.0</v>
      </c>
      <c r="B582" s="177">
        <v>7940914.0</v>
      </c>
      <c r="C582" s="178" t="s">
        <v>75</v>
      </c>
      <c r="D582" s="178" t="s">
        <v>35</v>
      </c>
      <c r="E582" s="177">
        <v>6.495229584E9</v>
      </c>
      <c r="F582" s="178" t="s">
        <v>854</v>
      </c>
      <c r="G582" s="176">
        <v>46144.0</v>
      </c>
      <c r="H582" s="179">
        <v>46148.0</v>
      </c>
      <c r="I582" s="180">
        <v>4.0</v>
      </c>
      <c r="J582" s="181" t="s">
        <v>78</v>
      </c>
      <c r="K582" s="178" t="s">
        <v>79</v>
      </c>
      <c r="L582" s="178" t="s">
        <v>80</v>
      </c>
      <c r="M582" s="182">
        <v>1.0</v>
      </c>
      <c r="N582" s="183">
        <v>0.19999999999999996</v>
      </c>
      <c r="O582" s="184">
        <v>156.41</v>
      </c>
      <c r="P582" s="184">
        <v>125.128</v>
      </c>
      <c r="Q582" s="181">
        <v>0.0</v>
      </c>
      <c r="R582" s="186">
        <v>500.512</v>
      </c>
      <c r="S582" s="186">
        <v>0.0</v>
      </c>
      <c r="T582" s="186">
        <v>1916.92</v>
      </c>
      <c r="U582" s="187" t="s">
        <v>689</v>
      </c>
      <c r="V582" s="176">
        <v>46011.0</v>
      </c>
      <c r="W582" s="175"/>
      <c r="X582" s="175"/>
      <c r="Y582" s="175"/>
      <c r="Z582" s="175"/>
      <c r="AA582" s="175"/>
      <c r="AB582" s="175"/>
      <c r="AC582" s="175"/>
      <c r="AD582" s="175"/>
      <c r="AE582" s="175"/>
      <c r="AF582" s="175"/>
      <c r="AG582" s="175"/>
      <c r="AH582" s="175"/>
      <c r="AI582" s="175"/>
    </row>
    <row r="583">
      <c r="A583" s="176">
        <v>46053.0</v>
      </c>
      <c r="B583" s="177">
        <v>8106706.0</v>
      </c>
      <c r="C583" s="178" t="s">
        <v>82</v>
      </c>
      <c r="D583" s="178" t="s">
        <v>35</v>
      </c>
      <c r="E583" s="177">
        <v>6.694669454E9</v>
      </c>
      <c r="F583" s="178" t="s">
        <v>855</v>
      </c>
      <c r="G583" s="176">
        <v>46144.0</v>
      </c>
      <c r="H583" s="179">
        <v>46145.0</v>
      </c>
      <c r="I583" s="180">
        <v>1.0</v>
      </c>
      <c r="J583" s="181" t="s">
        <v>87</v>
      </c>
      <c r="K583" s="178" t="s">
        <v>79</v>
      </c>
      <c r="L583" s="178" t="s">
        <v>80</v>
      </c>
      <c r="M583" s="182">
        <v>2.0</v>
      </c>
      <c r="N583" s="183">
        <v>0.19999999999999996</v>
      </c>
      <c r="O583" s="184">
        <v>135.31</v>
      </c>
      <c r="P583" s="184">
        <v>108.248</v>
      </c>
      <c r="Q583" s="185">
        <v>0.0</v>
      </c>
      <c r="R583" s="186">
        <v>108.248</v>
      </c>
      <c r="S583" s="186">
        <v>0.0</v>
      </c>
      <c r="T583" s="186">
        <v>140.31</v>
      </c>
      <c r="U583" s="187" t="s">
        <v>107</v>
      </c>
      <c r="V583" s="176">
        <v>46053.0</v>
      </c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</row>
    <row r="584">
      <c r="A584" s="165">
        <v>45948.0</v>
      </c>
      <c r="B584" s="166">
        <v>7700973.0</v>
      </c>
      <c r="C584" s="166" t="s">
        <v>82</v>
      </c>
      <c r="D584" s="166" t="s">
        <v>35</v>
      </c>
      <c r="E584" s="166">
        <v>6.63594956E9</v>
      </c>
      <c r="F584" s="166" t="s">
        <v>856</v>
      </c>
      <c r="G584" s="165">
        <v>46145.0</v>
      </c>
      <c r="H584" s="167">
        <v>46148.0</v>
      </c>
      <c r="I584" s="168">
        <v>3.0</v>
      </c>
      <c r="J584" s="169" t="s">
        <v>87</v>
      </c>
      <c r="K584" s="166" t="s">
        <v>79</v>
      </c>
      <c r="L584" s="166" t="s">
        <v>80</v>
      </c>
      <c r="M584" s="166">
        <v>2.0</v>
      </c>
      <c r="N584" s="170">
        <v>0.19999999999999996</v>
      </c>
      <c r="O584" s="171">
        <v>114.89</v>
      </c>
      <c r="P584" s="171">
        <v>91.912</v>
      </c>
      <c r="Q584" s="172">
        <v>0.0</v>
      </c>
      <c r="R584" s="173">
        <v>275.736</v>
      </c>
      <c r="S584" s="173">
        <v>0.0</v>
      </c>
      <c r="T584" s="173">
        <v>359.67</v>
      </c>
      <c r="U584" s="174" t="s">
        <v>107</v>
      </c>
      <c r="V584" s="165">
        <v>45948.0</v>
      </c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</row>
    <row r="585">
      <c r="A585" s="165">
        <v>46009.0</v>
      </c>
      <c r="B585" s="166">
        <v>7932088.0</v>
      </c>
      <c r="C585" s="166" t="s">
        <v>82</v>
      </c>
      <c r="D585" s="166" t="s">
        <v>35</v>
      </c>
      <c r="E585" s="166">
        <v>5.67122586E9</v>
      </c>
      <c r="F585" s="166" t="s">
        <v>857</v>
      </c>
      <c r="G585" s="165">
        <v>46145.0</v>
      </c>
      <c r="H585" s="167">
        <v>46146.0</v>
      </c>
      <c r="I585" s="168">
        <v>1.0</v>
      </c>
      <c r="J585" s="169" t="s">
        <v>78</v>
      </c>
      <c r="K585" s="166" t="s">
        <v>79</v>
      </c>
      <c r="L585" s="166" t="s">
        <v>80</v>
      </c>
      <c r="M585" s="205">
        <v>1.0</v>
      </c>
      <c r="N585" s="170">
        <v>0.19999999999999996</v>
      </c>
      <c r="O585" s="171">
        <v>156.92</v>
      </c>
      <c r="P585" s="171">
        <v>125.536</v>
      </c>
      <c r="Q585" s="169">
        <v>0.0</v>
      </c>
      <c r="R585" s="173">
        <v>125.536</v>
      </c>
      <c r="S585" s="173">
        <v>0.0</v>
      </c>
      <c r="T585" s="173">
        <v>159.42</v>
      </c>
      <c r="U585" s="174" t="s">
        <v>107</v>
      </c>
      <c r="V585" s="165">
        <v>46009.0</v>
      </c>
      <c r="W585" s="175"/>
      <c r="X585" s="175"/>
      <c r="Y585" s="175"/>
      <c r="Z585" s="175"/>
      <c r="AA585" s="175"/>
      <c r="AB585" s="175"/>
      <c r="AC585" s="175"/>
      <c r="AD585" s="175"/>
      <c r="AE585" s="175"/>
      <c r="AF585" s="175"/>
      <c r="AG585" s="175"/>
      <c r="AH585" s="175"/>
      <c r="AI585" s="175"/>
    </row>
    <row r="586">
      <c r="A586" s="165">
        <v>46059.0</v>
      </c>
      <c r="B586" s="166">
        <v>8134520.0</v>
      </c>
      <c r="C586" s="166" t="s">
        <v>82</v>
      </c>
      <c r="D586" s="166" t="s">
        <v>35</v>
      </c>
      <c r="E586" s="166">
        <v>6.944691709E9</v>
      </c>
      <c r="F586" s="166" t="s">
        <v>858</v>
      </c>
      <c r="G586" s="165">
        <v>46145.0</v>
      </c>
      <c r="H586" s="167">
        <v>46146.0</v>
      </c>
      <c r="I586" s="168">
        <v>1.0</v>
      </c>
      <c r="J586" s="169" t="s">
        <v>111</v>
      </c>
      <c r="K586" s="166" t="s">
        <v>79</v>
      </c>
      <c r="L586" s="166" t="s">
        <v>80</v>
      </c>
      <c r="M586" s="166">
        <v>2.0</v>
      </c>
      <c r="N586" s="170">
        <v>0.19999999999999996</v>
      </c>
      <c r="O586" s="171">
        <v>210.29</v>
      </c>
      <c r="P586" s="171">
        <v>168.232</v>
      </c>
      <c r="Q586" s="172">
        <v>0.0</v>
      </c>
      <c r="R586" s="173">
        <v>168.232</v>
      </c>
      <c r="S586" s="173">
        <v>0.0</v>
      </c>
      <c r="T586" s="173">
        <v>215.29</v>
      </c>
      <c r="U586" s="174" t="s">
        <v>107</v>
      </c>
      <c r="V586" s="165">
        <v>46059.0</v>
      </c>
      <c r="W586" s="175"/>
      <c r="X586" s="175"/>
      <c r="Y586" s="175"/>
      <c r="Z586" s="175"/>
      <c r="AA586" s="175"/>
      <c r="AB586" s="175"/>
      <c r="AC586" s="175"/>
      <c r="AD586" s="175"/>
      <c r="AE586" s="175"/>
      <c r="AF586" s="175"/>
      <c r="AG586" s="175"/>
      <c r="AH586" s="175"/>
      <c r="AI586" s="175"/>
    </row>
    <row r="587">
      <c r="A587" s="176">
        <v>45913.0</v>
      </c>
      <c r="B587" s="177">
        <v>7556202.0</v>
      </c>
      <c r="C587" s="178" t="s">
        <v>75</v>
      </c>
      <c r="D587" s="178" t="s">
        <v>35</v>
      </c>
      <c r="E587" s="177">
        <v>5.077466693E9</v>
      </c>
      <c r="F587" s="178" t="s">
        <v>859</v>
      </c>
      <c r="G587" s="176">
        <v>46146.0</v>
      </c>
      <c r="H587" s="179">
        <v>46153.0</v>
      </c>
      <c r="I587" s="180">
        <v>7.0</v>
      </c>
      <c r="J587" s="181" t="s">
        <v>78</v>
      </c>
      <c r="K587" s="178" t="s">
        <v>79</v>
      </c>
      <c r="L587" s="178" t="s">
        <v>80</v>
      </c>
      <c r="M587" s="182">
        <v>2.0</v>
      </c>
      <c r="N587" s="183">
        <v>0.19999999999999996</v>
      </c>
      <c r="O587" s="184">
        <v>184.9</v>
      </c>
      <c r="P587" s="184">
        <v>147.92000000000002</v>
      </c>
      <c r="Q587" s="185">
        <v>0.0</v>
      </c>
      <c r="R587" s="186">
        <v>1035.44</v>
      </c>
      <c r="S587" s="186">
        <v>0.0</v>
      </c>
      <c r="T587" s="186">
        <v>1294.3</v>
      </c>
      <c r="U587" s="187" t="s">
        <v>860</v>
      </c>
      <c r="V587" s="176">
        <v>45913.0</v>
      </c>
      <c r="W587" s="164"/>
      <c r="X587" s="164"/>
      <c r="Y587" s="164"/>
      <c r="Z587" s="164"/>
      <c r="AA587" s="164"/>
      <c r="AB587" s="164"/>
      <c r="AC587" s="164"/>
      <c r="AD587" s="164"/>
      <c r="AE587" s="164"/>
      <c r="AF587" s="164"/>
      <c r="AG587" s="164"/>
      <c r="AH587" s="164"/>
      <c r="AI587" s="164"/>
    </row>
    <row r="588">
      <c r="A588" s="154">
        <v>46052.0</v>
      </c>
      <c r="B588" s="155">
        <v>8104257.0</v>
      </c>
      <c r="C588" s="156" t="s">
        <v>82</v>
      </c>
      <c r="D588" s="156" t="s">
        <v>35</v>
      </c>
      <c r="E588" s="155">
        <v>6.165247859E9</v>
      </c>
      <c r="F588" s="156" t="s">
        <v>861</v>
      </c>
      <c r="G588" s="154">
        <v>46146.0</v>
      </c>
      <c r="H588" s="157">
        <v>46150.0</v>
      </c>
      <c r="I588" s="158">
        <v>4.0</v>
      </c>
      <c r="J588" s="159" t="s">
        <v>91</v>
      </c>
      <c r="K588" s="156" t="s">
        <v>79</v>
      </c>
      <c r="L588" s="156" t="s">
        <v>80</v>
      </c>
      <c r="M588" s="155">
        <v>5.0</v>
      </c>
      <c r="N588" s="160">
        <v>0.19999999999999996</v>
      </c>
      <c r="O588" s="161">
        <v>376.73</v>
      </c>
      <c r="P588" s="161">
        <v>301.384</v>
      </c>
      <c r="Q588" s="203">
        <v>0.0</v>
      </c>
      <c r="R588" s="162">
        <v>1205.536</v>
      </c>
      <c r="S588" s="162">
        <v>0.0</v>
      </c>
      <c r="T588" s="162">
        <v>1556.92</v>
      </c>
      <c r="U588" s="163" t="s">
        <v>107</v>
      </c>
      <c r="V588" s="154">
        <v>46052.0</v>
      </c>
      <c r="W588" s="175"/>
      <c r="X588" s="175"/>
      <c r="Y588" s="175"/>
      <c r="Z588" s="175"/>
      <c r="AA588" s="175"/>
      <c r="AB588" s="175"/>
      <c r="AC588" s="175"/>
      <c r="AD588" s="175"/>
      <c r="AE588" s="175"/>
      <c r="AF588" s="175"/>
      <c r="AG588" s="175"/>
      <c r="AH588" s="175"/>
      <c r="AI588" s="175"/>
    </row>
    <row r="589">
      <c r="A589" s="176">
        <v>46053.0</v>
      </c>
      <c r="B589" s="177">
        <v>8105978.0</v>
      </c>
      <c r="C589" s="178" t="s">
        <v>82</v>
      </c>
      <c r="D589" s="178" t="s">
        <v>35</v>
      </c>
      <c r="E589" s="177">
        <v>6.950589344E9</v>
      </c>
      <c r="F589" s="178" t="s">
        <v>862</v>
      </c>
      <c r="G589" s="176">
        <v>46146.0</v>
      </c>
      <c r="H589" s="179">
        <v>46147.0</v>
      </c>
      <c r="I589" s="180">
        <v>1.0</v>
      </c>
      <c r="J589" s="181" t="s">
        <v>114</v>
      </c>
      <c r="K589" s="178" t="s">
        <v>79</v>
      </c>
      <c r="L589" s="178" t="s">
        <v>80</v>
      </c>
      <c r="M589" s="182">
        <v>2.0</v>
      </c>
      <c r="N589" s="183">
        <v>0.19999999999999996</v>
      </c>
      <c r="O589" s="184">
        <v>172.64</v>
      </c>
      <c r="P589" s="184">
        <v>138.112</v>
      </c>
      <c r="Q589" s="185">
        <v>0.0</v>
      </c>
      <c r="R589" s="186">
        <v>138.112</v>
      </c>
      <c r="S589" s="186">
        <v>0.0</v>
      </c>
      <c r="T589" s="186">
        <v>177.64</v>
      </c>
      <c r="U589" s="187" t="s">
        <v>107</v>
      </c>
      <c r="V589" s="176">
        <v>46053.0</v>
      </c>
      <c r="W589" s="175"/>
      <c r="X589" s="175"/>
      <c r="Y589" s="175"/>
      <c r="Z589" s="175"/>
      <c r="AA589" s="175"/>
      <c r="AB589" s="175"/>
      <c r="AC589" s="175"/>
      <c r="AD589" s="175"/>
      <c r="AE589" s="175"/>
      <c r="AF589" s="175"/>
      <c r="AG589" s="175"/>
      <c r="AH589" s="175"/>
      <c r="AI589" s="175"/>
    </row>
    <row r="590">
      <c r="A590" s="165">
        <v>46074.0</v>
      </c>
      <c r="B590" s="166">
        <v>8201921.0</v>
      </c>
      <c r="C590" s="166" t="s">
        <v>82</v>
      </c>
      <c r="D590" s="166" t="s">
        <v>35</v>
      </c>
      <c r="E590" s="166">
        <v>5.435798127E9</v>
      </c>
      <c r="F590" s="166" t="s">
        <v>863</v>
      </c>
      <c r="G590" s="165">
        <v>46146.0</v>
      </c>
      <c r="H590" s="167">
        <v>46149.0</v>
      </c>
      <c r="I590" s="168">
        <v>3.0</v>
      </c>
      <c r="J590" s="169" t="s">
        <v>111</v>
      </c>
      <c r="K590" s="166" t="s">
        <v>79</v>
      </c>
      <c r="L590" s="166" t="s">
        <v>80</v>
      </c>
      <c r="M590" s="205">
        <v>3.0</v>
      </c>
      <c r="N590" s="170">
        <v>0.19999999999999996</v>
      </c>
      <c r="O590" s="171">
        <v>215.97</v>
      </c>
      <c r="P590" s="171">
        <v>172.776</v>
      </c>
      <c r="Q590" s="172">
        <v>0.0</v>
      </c>
      <c r="R590" s="173">
        <v>518.328</v>
      </c>
      <c r="S590" s="173">
        <v>0.0</v>
      </c>
      <c r="T590" s="173">
        <v>670.41</v>
      </c>
      <c r="U590" s="201" t="s">
        <v>161</v>
      </c>
      <c r="V590" s="165">
        <v>46074.0</v>
      </c>
      <c r="W590" s="164"/>
      <c r="X590" s="164"/>
      <c r="Y590" s="164"/>
      <c r="Z590" s="164"/>
      <c r="AA590" s="164"/>
      <c r="AB590" s="164"/>
      <c r="AC590" s="164"/>
      <c r="AD590" s="164"/>
      <c r="AE590" s="164"/>
      <c r="AF590" s="164"/>
      <c r="AG590" s="164"/>
      <c r="AH590" s="164"/>
      <c r="AI590" s="164"/>
    </row>
    <row r="591">
      <c r="A591" s="176">
        <v>45775.0</v>
      </c>
      <c r="B591" s="177">
        <v>6959496.0</v>
      </c>
      <c r="C591" s="178" t="s">
        <v>75</v>
      </c>
      <c r="D591" s="178" t="s">
        <v>36</v>
      </c>
      <c r="E591" s="177">
        <v>6959496.0</v>
      </c>
      <c r="F591" s="178" t="s">
        <v>831</v>
      </c>
      <c r="G591" s="176">
        <v>46147.0</v>
      </c>
      <c r="H591" s="179">
        <v>46151.0</v>
      </c>
      <c r="I591" s="180">
        <v>4.0</v>
      </c>
      <c r="J591" s="181" t="s">
        <v>78</v>
      </c>
      <c r="K591" s="178" t="s">
        <v>138</v>
      </c>
      <c r="L591" s="178" t="s">
        <v>80</v>
      </c>
      <c r="M591" s="182">
        <v>2.0</v>
      </c>
      <c r="N591" s="183">
        <v>0.0</v>
      </c>
      <c r="O591" s="184">
        <v>290.2</v>
      </c>
      <c r="P591" s="184">
        <v>287.298</v>
      </c>
      <c r="Q591" s="185">
        <v>36.0</v>
      </c>
      <c r="R591" s="186">
        <v>1149.192</v>
      </c>
      <c r="S591" s="186">
        <v>144.0</v>
      </c>
      <c r="T591" s="186">
        <v>1324.8</v>
      </c>
      <c r="U591" s="187" t="s">
        <v>832</v>
      </c>
      <c r="V591" s="176">
        <v>45775.0</v>
      </c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</row>
    <row r="592">
      <c r="A592" s="154">
        <v>45962.0</v>
      </c>
      <c r="B592" s="155">
        <v>7754661.0</v>
      </c>
      <c r="C592" s="156" t="s">
        <v>75</v>
      </c>
      <c r="D592" s="156" t="s">
        <v>35</v>
      </c>
      <c r="E592" s="155">
        <v>5.956666704E9</v>
      </c>
      <c r="F592" s="156" t="s">
        <v>864</v>
      </c>
      <c r="G592" s="154">
        <v>46148.0</v>
      </c>
      <c r="H592" s="157">
        <v>46152.0</v>
      </c>
      <c r="I592" s="158">
        <v>4.0</v>
      </c>
      <c r="J592" s="159" t="s">
        <v>78</v>
      </c>
      <c r="K592" s="156" t="s">
        <v>79</v>
      </c>
      <c r="L592" s="156" t="s">
        <v>80</v>
      </c>
      <c r="M592" s="202">
        <v>2.0</v>
      </c>
      <c r="N592" s="160">
        <v>0.19999999999999996</v>
      </c>
      <c r="O592" s="161">
        <v>138.88</v>
      </c>
      <c r="P592" s="161">
        <v>111.104</v>
      </c>
      <c r="Q592" s="203">
        <v>0.0</v>
      </c>
      <c r="R592" s="162">
        <v>444.416</v>
      </c>
      <c r="S592" s="162">
        <v>0.0</v>
      </c>
      <c r="T592" s="162">
        <v>1385.84</v>
      </c>
      <c r="U592" s="163" t="s">
        <v>865</v>
      </c>
      <c r="V592" s="154">
        <v>45962.0</v>
      </c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  <c r="AG592" s="164"/>
      <c r="AH592" s="164"/>
      <c r="AI592" s="164"/>
    </row>
    <row r="593">
      <c r="A593" s="165">
        <v>45962.0</v>
      </c>
      <c r="B593" s="166">
        <v>7754661.0</v>
      </c>
      <c r="C593" s="166" t="s">
        <v>75</v>
      </c>
      <c r="D593" s="166" t="s">
        <v>35</v>
      </c>
      <c r="E593" s="166">
        <v>5.956666704E9</v>
      </c>
      <c r="F593" s="166" t="s">
        <v>864</v>
      </c>
      <c r="G593" s="165">
        <v>46148.0</v>
      </c>
      <c r="H593" s="167">
        <v>46152.0</v>
      </c>
      <c r="I593" s="168">
        <v>4.0</v>
      </c>
      <c r="J593" s="169" t="s">
        <v>111</v>
      </c>
      <c r="K593" s="166" t="s">
        <v>79</v>
      </c>
      <c r="L593" s="166" t="s">
        <v>80</v>
      </c>
      <c r="M593" s="166">
        <v>1.0</v>
      </c>
      <c r="N593" s="170">
        <v>0.19999999999999996</v>
      </c>
      <c r="O593" s="171">
        <v>200.08</v>
      </c>
      <c r="P593" s="171">
        <v>160.06400000000002</v>
      </c>
      <c r="Q593" s="172">
        <v>0.0</v>
      </c>
      <c r="R593" s="173">
        <v>640.2560000000001</v>
      </c>
      <c r="S593" s="173">
        <v>0.0</v>
      </c>
      <c r="T593" s="173">
        <v>1385.84</v>
      </c>
      <c r="U593" s="174" t="s">
        <v>865</v>
      </c>
      <c r="V593" s="165">
        <v>45962.0</v>
      </c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</row>
    <row r="594">
      <c r="A594" s="176">
        <v>45964.0</v>
      </c>
      <c r="B594" s="177">
        <v>7763716.0</v>
      </c>
      <c r="C594" s="178" t="s">
        <v>82</v>
      </c>
      <c r="D594" s="178" t="s">
        <v>35</v>
      </c>
      <c r="E594" s="177">
        <v>5.29204793E9</v>
      </c>
      <c r="F594" s="178" t="s">
        <v>866</v>
      </c>
      <c r="G594" s="176">
        <v>46148.0</v>
      </c>
      <c r="H594" s="179">
        <v>46153.0</v>
      </c>
      <c r="I594" s="180">
        <v>5.0</v>
      </c>
      <c r="J594" s="181" t="s">
        <v>114</v>
      </c>
      <c r="K594" s="178" t="s">
        <v>79</v>
      </c>
      <c r="L594" s="178" t="s">
        <v>80</v>
      </c>
      <c r="M594" s="182">
        <v>2.0</v>
      </c>
      <c r="N594" s="183">
        <v>0.19999999999999996</v>
      </c>
      <c r="O594" s="184">
        <v>250.2</v>
      </c>
      <c r="P594" s="184">
        <v>200.16</v>
      </c>
      <c r="Q594" s="185">
        <v>0.0</v>
      </c>
      <c r="R594" s="186">
        <v>1000.8</v>
      </c>
      <c r="S594" s="186">
        <v>0.0</v>
      </c>
      <c r="T594" s="186">
        <v>1276.0</v>
      </c>
      <c r="U594" s="187" t="s">
        <v>353</v>
      </c>
      <c r="V594" s="176">
        <v>45964.0</v>
      </c>
      <c r="W594" s="175"/>
      <c r="X594" s="175"/>
      <c r="Y594" s="175"/>
      <c r="Z594" s="175"/>
      <c r="AA594" s="175"/>
      <c r="AB594" s="175"/>
      <c r="AC594" s="175"/>
      <c r="AD594" s="175"/>
      <c r="AE594" s="175"/>
      <c r="AF594" s="175"/>
      <c r="AG594" s="175"/>
      <c r="AH594" s="175"/>
      <c r="AI594" s="175"/>
    </row>
    <row r="595">
      <c r="A595" s="165">
        <v>45995.0</v>
      </c>
      <c r="B595" s="166">
        <v>7883167.0</v>
      </c>
      <c r="C595" s="166" t="s">
        <v>82</v>
      </c>
      <c r="D595" s="166" t="s">
        <v>94</v>
      </c>
      <c r="E595" s="166">
        <v>7883167.0</v>
      </c>
      <c r="F595" s="166" t="s">
        <v>867</v>
      </c>
      <c r="G595" s="165">
        <v>46148.0</v>
      </c>
      <c r="H595" s="167">
        <v>46154.0</v>
      </c>
      <c r="I595" s="168">
        <v>6.0</v>
      </c>
      <c r="J595" s="169" t="s">
        <v>114</v>
      </c>
      <c r="K595" s="166" t="s">
        <v>79</v>
      </c>
      <c r="L595" s="166" t="s">
        <v>96</v>
      </c>
      <c r="M595" s="166">
        <v>2.0</v>
      </c>
      <c r="N595" s="170">
        <v>0.0</v>
      </c>
      <c r="O595" s="171">
        <v>270.0</v>
      </c>
      <c r="P595" s="171">
        <v>270.0</v>
      </c>
      <c r="Q595" s="172">
        <v>0.0</v>
      </c>
      <c r="R595" s="173">
        <v>1620.0</v>
      </c>
      <c r="S595" s="173">
        <v>0.0</v>
      </c>
      <c r="T595" s="173">
        <v>2941.44</v>
      </c>
      <c r="U595" s="201" t="s">
        <v>97</v>
      </c>
      <c r="V595" s="165">
        <v>45995.0</v>
      </c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</row>
    <row r="596">
      <c r="A596" s="176">
        <v>45995.0</v>
      </c>
      <c r="B596" s="177">
        <v>7883167.0</v>
      </c>
      <c r="C596" s="178" t="s">
        <v>82</v>
      </c>
      <c r="D596" s="178" t="s">
        <v>94</v>
      </c>
      <c r="E596" s="177">
        <v>7883167.0</v>
      </c>
      <c r="F596" s="178" t="s">
        <v>867</v>
      </c>
      <c r="G596" s="176">
        <v>46148.0</v>
      </c>
      <c r="H596" s="179">
        <v>46154.0</v>
      </c>
      <c r="I596" s="180">
        <v>6.0</v>
      </c>
      <c r="J596" s="181" t="s">
        <v>87</v>
      </c>
      <c r="K596" s="178" t="s">
        <v>79</v>
      </c>
      <c r="L596" s="178" t="s">
        <v>96</v>
      </c>
      <c r="M596" s="182">
        <v>2.0</v>
      </c>
      <c r="N596" s="183">
        <v>0.0</v>
      </c>
      <c r="O596" s="184">
        <v>210.24</v>
      </c>
      <c r="P596" s="184">
        <v>210.24</v>
      </c>
      <c r="Q596" s="185">
        <v>0.0</v>
      </c>
      <c r="R596" s="186">
        <v>1261.44</v>
      </c>
      <c r="S596" s="186">
        <v>0.0</v>
      </c>
      <c r="T596" s="186">
        <v>2941.44</v>
      </c>
      <c r="U596" s="187" t="s">
        <v>97</v>
      </c>
      <c r="V596" s="176">
        <v>45995.0</v>
      </c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</row>
    <row r="597">
      <c r="A597" s="165">
        <v>45915.0</v>
      </c>
      <c r="B597" s="166">
        <v>7561942.0</v>
      </c>
      <c r="C597" s="166" t="s">
        <v>75</v>
      </c>
      <c r="D597" s="166" t="s">
        <v>35</v>
      </c>
      <c r="E597" s="166">
        <v>6.424757832E9</v>
      </c>
      <c r="F597" s="166" t="s">
        <v>868</v>
      </c>
      <c r="G597" s="165">
        <v>46149.0</v>
      </c>
      <c r="H597" s="167">
        <v>46151.0</v>
      </c>
      <c r="I597" s="168">
        <v>2.0</v>
      </c>
      <c r="J597" s="169" t="s">
        <v>78</v>
      </c>
      <c r="K597" s="166" t="s">
        <v>79</v>
      </c>
      <c r="L597" s="166" t="s">
        <v>80</v>
      </c>
      <c r="M597" s="166">
        <v>2.0</v>
      </c>
      <c r="N597" s="170">
        <v>0.19999999999999996</v>
      </c>
      <c r="O597" s="171">
        <v>191.97</v>
      </c>
      <c r="P597" s="171">
        <v>153.576</v>
      </c>
      <c r="Q597" s="172">
        <v>0.0</v>
      </c>
      <c r="R597" s="173">
        <v>307.152</v>
      </c>
      <c r="S597" s="173">
        <v>0.0</v>
      </c>
      <c r="T597" s="173">
        <v>393.94</v>
      </c>
      <c r="U597" s="201" t="s">
        <v>869</v>
      </c>
      <c r="V597" s="165">
        <v>45915.0</v>
      </c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</row>
    <row r="598">
      <c r="A598" s="165">
        <v>46018.0</v>
      </c>
      <c r="B598" s="166">
        <v>7963481.0</v>
      </c>
      <c r="C598" s="166" t="s">
        <v>89</v>
      </c>
      <c r="D598" s="166" t="s">
        <v>35</v>
      </c>
      <c r="E598" s="166">
        <v>5.372916669E9</v>
      </c>
      <c r="F598" s="166" t="s">
        <v>870</v>
      </c>
      <c r="G598" s="165">
        <v>46149.0</v>
      </c>
      <c r="H598" s="167">
        <v>46152.0</v>
      </c>
      <c r="I598" s="168">
        <v>3.0</v>
      </c>
      <c r="J598" s="169" t="s">
        <v>78</v>
      </c>
      <c r="K598" s="166" t="s">
        <v>79</v>
      </c>
      <c r="L598" s="166" t="s">
        <v>80</v>
      </c>
      <c r="M598" s="166">
        <v>0.0</v>
      </c>
      <c r="N598" s="170">
        <v>0.0</v>
      </c>
      <c r="O598" s="171">
        <v>0.0</v>
      </c>
      <c r="P598" s="171">
        <v>0.0</v>
      </c>
      <c r="Q598" s="172">
        <v>0.0</v>
      </c>
      <c r="R598" s="173">
        <v>0.0</v>
      </c>
      <c r="S598" s="173">
        <v>0.0</v>
      </c>
      <c r="T598" s="173">
        <v>0.0</v>
      </c>
      <c r="U598" s="174" t="s">
        <v>871</v>
      </c>
      <c r="V598" s="207">
        <v>46100.0</v>
      </c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</row>
    <row r="599">
      <c r="A599" s="176">
        <v>45936.0</v>
      </c>
      <c r="B599" s="177">
        <v>7651094.0</v>
      </c>
      <c r="C599" s="178" t="s">
        <v>89</v>
      </c>
      <c r="D599" s="178" t="s">
        <v>35</v>
      </c>
      <c r="E599" s="177">
        <v>6.803056126E9</v>
      </c>
      <c r="F599" s="178" t="s">
        <v>872</v>
      </c>
      <c r="G599" s="176">
        <v>46150.0</v>
      </c>
      <c r="H599" s="179">
        <v>46154.0</v>
      </c>
      <c r="I599" s="180">
        <v>4.0</v>
      </c>
      <c r="J599" s="181" t="s">
        <v>111</v>
      </c>
      <c r="K599" s="178" t="s">
        <v>79</v>
      </c>
      <c r="L599" s="178" t="s">
        <v>80</v>
      </c>
      <c r="M599" s="182">
        <v>0.0</v>
      </c>
      <c r="N599" s="183">
        <v>0.0</v>
      </c>
      <c r="O599" s="184">
        <v>0.0</v>
      </c>
      <c r="P599" s="184">
        <v>0.0</v>
      </c>
      <c r="Q599" s="185">
        <v>0.0</v>
      </c>
      <c r="R599" s="186">
        <v>0.0</v>
      </c>
      <c r="S599" s="186">
        <v>0.0</v>
      </c>
      <c r="T599" s="186">
        <v>0.0</v>
      </c>
      <c r="U599" s="187" t="s">
        <v>873</v>
      </c>
      <c r="V599" s="176">
        <v>46137.0</v>
      </c>
      <c r="W599" s="175"/>
      <c r="X599" s="175"/>
      <c r="Y599" s="175"/>
      <c r="Z599" s="175"/>
      <c r="AA599" s="175"/>
      <c r="AB599" s="175"/>
      <c r="AC599" s="175"/>
      <c r="AD599" s="175"/>
      <c r="AE599" s="175"/>
      <c r="AF599" s="175"/>
      <c r="AG599" s="175"/>
      <c r="AH599" s="175"/>
      <c r="AI599" s="175"/>
    </row>
    <row r="600">
      <c r="A600" s="165">
        <v>45983.0</v>
      </c>
      <c r="B600" s="166">
        <v>7835128.0</v>
      </c>
      <c r="C600" s="166" t="s">
        <v>89</v>
      </c>
      <c r="D600" s="166" t="s">
        <v>35</v>
      </c>
      <c r="E600" s="166">
        <v>5.758343723E9</v>
      </c>
      <c r="F600" s="166" t="s">
        <v>874</v>
      </c>
      <c r="G600" s="165">
        <v>46150.0</v>
      </c>
      <c r="H600" s="167">
        <v>46153.0</v>
      </c>
      <c r="I600" s="168">
        <v>3.0</v>
      </c>
      <c r="J600" s="169" t="s">
        <v>78</v>
      </c>
      <c r="K600" s="166" t="s">
        <v>79</v>
      </c>
      <c r="L600" s="166" t="s">
        <v>80</v>
      </c>
      <c r="M600" s="205">
        <v>0.0</v>
      </c>
      <c r="N600" s="170">
        <v>0.0</v>
      </c>
      <c r="O600" s="171">
        <v>0.0</v>
      </c>
      <c r="P600" s="171">
        <v>0.0</v>
      </c>
      <c r="Q600" s="172">
        <v>0.0</v>
      </c>
      <c r="R600" s="173">
        <v>0.0</v>
      </c>
      <c r="S600" s="173">
        <v>0.0</v>
      </c>
      <c r="T600" s="173">
        <v>0.0</v>
      </c>
      <c r="U600" s="174" t="s">
        <v>875</v>
      </c>
      <c r="V600" s="165">
        <v>46017.0</v>
      </c>
      <c r="W600" s="175"/>
      <c r="X600" s="175"/>
      <c r="Y600" s="175"/>
      <c r="Z600" s="175"/>
      <c r="AA600" s="175"/>
      <c r="AB600" s="175"/>
      <c r="AC600" s="175"/>
      <c r="AD600" s="175"/>
      <c r="AE600" s="175"/>
      <c r="AF600" s="175"/>
      <c r="AG600" s="175"/>
      <c r="AH600" s="175"/>
      <c r="AI600" s="175"/>
    </row>
    <row r="601">
      <c r="A601" s="154">
        <v>45973.0</v>
      </c>
      <c r="B601" s="155">
        <v>7798877.0</v>
      </c>
      <c r="C601" s="156" t="s">
        <v>82</v>
      </c>
      <c r="D601" s="156" t="s">
        <v>35</v>
      </c>
      <c r="E601" s="155">
        <v>6.694779844E9</v>
      </c>
      <c r="F601" s="156" t="s">
        <v>876</v>
      </c>
      <c r="G601" s="154">
        <v>46151.0</v>
      </c>
      <c r="H601" s="157">
        <v>46154.0</v>
      </c>
      <c r="I601" s="158">
        <v>3.0</v>
      </c>
      <c r="J601" s="159" t="s">
        <v>78</v>
      </c>
      <c r="K601" s="156" t="s">
        <v>79</v>
      </c>
      <c r="L601" s="156" t="s">
        <v>80</v>
      </c>
      <c r="M601" s="155">
        <v>2.0</v>
      </c>
      <c r="N601" s="160">
        <v>0.19999999999999996</v>
      </c>
      <c r="O601" s="161">
        <v>170.10999999999999</v>
      </c>
      <c r="P601" s="161">
        <v>136.088</v>
      </c>
      <c r="Q601" s="203">
        <v>0.0</v>
      </c>
      <c r="R601" s="162">
        <v>408.264</v>
      </c>
      <c r="S601" s="162">
        <v>0.0</v>
      </c>
      <c r="T601" s="162">
        <v>510.33</v>
      </c>
      <c r="U601" s="163" t="s">
        <v>161</v>
      </c>
      <c r="V601" s="215">
        <v>45973.0</v>
      </c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</row>
    <row r="602">
      <c r="A602" s="176">
        <v>46040.0</v>
      </c>
      <c r="B602" s="177">
        <v>8049879.0</v>
      </c>
      <c r="C602" s="178" t="s">
        <v>82</v>
      </c>
      <c r="D602" s="178" t="s">
        <v>35</v>
      </c>
      <c r="E602" s="177">
        <v>6.242627989E9</v>
      </c>
      <c r="F602" s="178" t="s">
        <v>877</v>
      </c>
      <c r="G602" s="176">
        <v>46151.0</v>
      </c>
      <c r="H602" s="179">
        <v>46152.0</v>
      </c>
      <c r="I602" s="180">
        <v>1.0</v>
      </c>
      <c r="J602" s="181" t="s">
        <v>78</v>
      </c>
      <c r="K602" s="178" t="s">
        <v>79</v>
      </c>
      <c r="L602" s="178" t="s">
        <v>80</v>
      </c>
      <c r="M602" s="182">
        <v>2.0</v>
      </c>
      <c r="N602" s="183">
        <v>0.19999999999999996</v>
      </c>
      <c r="O602" s="184">
        <v>197.66</v>
      </c>
      <c r="P602" s="184">
        <v>158.12800000000001</v>
      </c>
      <c r="Q602" s="185">
        <v>0.0</v>
      </c>
      <c r="R602" s="186">
        <v>158.12800000000001</v>
      </c>
      <c r="S602" s="186">
        <v>0.0</v>
      </c>
      <c r="T602" s="186">
        <v>202.66</v>
      </c>
      <c r="U602" s="187" t="s">
        <v>353</v>
      </c>
      <c r="V602" s="176">
        <v>46040.0</v>
      </c>
      <c r="W602" s="164"/>
      <c r="X602" s="164"/>
      <c r="Y602" s="164"/>
      <c r="Z602" s="164"/>
      <c r="AA602" s="164"/>
      <c r="AB602" s="164"/>
      <c r="AC602" s="164"/>
      <c r="AD602" s="164"/>
      <c r="AE602" s="164"/>
      <c r="AF602" s="164"/>
      <c r="AG602" s="164"/>
      <c r="AH602" s="164"/>
      <c r="AI602" s="164"/>
    </row>
    <row r="603">
      <c r="A603" s="165">
        <v>46024.0</v>
      </c>
      <c r="B603" s="166">
        <v>7983923.0</v>
      </c>
      <c r="C603" s="166" t="s">
        <v>82</v>
      </c>
      <c r="D603" s="166" t="s">
        <v>35</v>
      </c>
      <c r="E603" s="166">
        <v>5.066071713E9</v>
      </c>
      <c r="F603" s="166" t="s">
        <v>878</v>
      </c>
      <c r="G603" s="165">
        <v>46152.0</v>
      </c>
      <c r="H603" s="167">
        <v>46155.0</v>
      </c>
      <c r="I603" s="168">
        <v>3.0</v>
      </c>
      <c r="J603" s="169" t="s">
        <v>111</v>
      </c>
      <c r="K603" s="166" t="s">
        <v>79</v>
      </c>
      <c r="L603" s="166" t="s">
        <v>80</v>
      </c>
      <c r="M603" s="205">
        <v>2.0</v>
      </c>
      <c r="N603" s="170">
        <v>0.19999999999999996</v>
      </c>
      <c r="O603" s="171">
        <v>214.44000000000003</v>
      </c>
      <c r="P603" s="171">
        <v>171.55200000000002</v>
      </c>
      <c r="Q603" s="172">
        <v>0.0</v>
      </c>
      <c r="R603" s="173">
        <v>514.6560000000001</v>
      </c>
      <c r="S603" s="173">
        <v>0.0</v>
      </c>
      <c r="T603" s="173">
        <v>643.32</v>
      </c>
      <c r="U603" s="174" t="s">
        <v>107</v>
      </c>
      <c r="V603" s="165">
        <v>46024.0</v>
      </c>
      <c r="W603" s="175"/>
      <c r="X603" s="175"/>
      <c r="Y603" s="175"/>
      <c r="Z603" s="175"/>
      <c r="AA603" s="175"/>
      <c r="AB603" s="175"/>
      <c r="AC603" s="175"/>
      <c r="AD603" s="175"/>
      <c r="AE603" s="175"/>
      <c r="AF603" s="175"/>
      <c r="AG603" s="175"/>
      <c r="AH603" s="175"/>
      <c r="AI603" s="175"/>
    </row>
    <row r="604">
      <c r="A604" s="165">
        <v>46045.0</v>
      </c>
      <c r="B604" s="166">
        <v>8071927.0</v>
      </c>
      <c r="C604" s="166" t="s">
        <v>82</v>
      </c>
      <c r="D604" s="166" t="s">
        <v>35</v>
      </c>
      <c r="E604" s="166">
        <v>5.468163371E9</v>
      </c>
      <c r="F604" s="166" t="s">
        <v>879</v>
      </c>
      <c r="G604" s="165">
        <v>46152.0</v>
      </c>
      <c r="H604" s="167">
        <v>46156.0</v>
      </c>
      <c r="I604" s="168">
        <v>4.0</v>
      </c>
      <c r="J604" s="169" t="s">
        <v>78</v>
      </c>
      <c r="K604" s="166" t="s">
        <v>138</v>
      </c>
      <c r="L604" s="166" t="s">
        <v>80</v>
      </c>
      <c r="M604" s="166">
        <v>2.0</v>
      </c>
      <c r="N604" s="169">
        <v>0.19999999999999996</v>
      </c>
      <c r="O604" s="171">
        <v>198.67999999999998</v>
      </c>
      <c r="P604" s="171">
        <v>158.944</v>
      </c>
      <c r="Q604" s="169">
        <v>36.0</v>
      </c>
      <c r="R604" s="173">
        <v>635.776</v>
      </c>
      <c r="S604" s="173">
        <v>144.0</v>
      </c>
      <c r="T604" s="173">
        <v>929.92</v>
      </c>
      <c r="U604" s="201" t="s">
        <v>140</v>
      </c>
      <c r="V604" s="165">
        <v>46045.0</v>
      </c>
      <c r="W604" s="175"/>
      <c r="X604" s="175"/>
      <c r="Y604" s="175"/>
      <c r="Z604" s="175"/>
      <c r="AA604" s="175"/>
      <c r="AB604" s="175"/>
      <c r="AC604" s="175"/>
      <c r="AD604" s="175"/>
      <c r="AE604" s="175"/>
      <c r="AF604" s="175"/>
      <c r="AG604" s="175"/>
      <c r="AH604" s="175"/>
      <c r="AI604" s="175"/>
    </row>
    <row r="605">
      <c r="A605" s="165">
        <v>46047.0</v>
      </c>
      <c r="B605" s="166">
        <v>8082139.0</v>
      </c>
      <c r="C605" s="166" t="s">
        <v>82</v>
      </c>
      <c r="D605" s="166" t="s">
        <v>35</v>
      </c>
      <c r="E605" s="166">
        <v>6.016886595E9</v>
      </c>
      <c r="F605" s="166" t="s">
        <v>880</v>
      </c>
      <c r="G605" s="165">
        <v>46152.0</v>
      </c>
      <c r="H605" s="167">
        <v>46155.0</v>
      </c>
      <c r="I605" s="168">
        <v>3.0</v>
      </c>
      <c r="J605" s="169" t="s">
        <v>78</v>
      </c>
      <c r="K605" s="166" t="s">
        <v>79</v>
      </c>
      <c r="L605" s="166" t="s">
        <v>80</v>
      </c>
      <c r="M605" s="166">
        <v>2.0</v>
      </c>
      <c r="N605" s="170">
        <v>0.19999999999999996</v>
      </c>
      <c r="O605" s="171">
        <v>200.33</v>
      </c>
      <c r="P605" s="171">
        <v>160.264</v>
      </c>
      <c r="Q605" s="172">
        <v>0.0</v>
      </c>
      <c r="R605" s="173">
        <v>480.79200000000003</v>
      </c>
      <c r="S605" s="173">
        <v>0.0</v>
      </c>
      <c r="T605" s="173">
        <v>615.99</v>
      </c>
      <c r="U605" s="201" t="s">
        <v>353</v>
      </c>
      <c r="V605" s="165">
        <v>46047.0</v>
      </c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</row>
    <row r="606">
      <c r="A606" s="154">
        <v>46047.0</v>
      </c>
      <c r="B606" s="155">
        <v>8082913.0</v>
      </c>
      <c r="C606" s="156" t="s">
        <v>82</v>
      </c>
      <c r="D606" s="156" t="s">
        <v>35</v>
      </c>
      <c r="E606" s="155">
        <v>5.163417837E9</v>
      </c>
      <c r="F606" s="156" t="s">
        <v>881</v>
      </c>
      <c r="G606" s="154">
        <v>46152.0</v>
      </c>
      <c r="H606" s="157">
        <v>46154.0</v>
      </c>
      <c r="I606" s="158">
        <v>2.0</v>
      </c>
      <c r="J606" s="159" t="s">
        <v>78</v>
      </c>
      <c r="K606" s="156" t="s">
        <v>79</v>
      </c>
      <c r="L606" s="156" t="s">
        <v>80</v>
      </c>
      <c r="M606" s="155">
        <v>2.0</v>
      </c>
      <c r="N606" s="160">
        <v>0.19999999999999996</v>
      </c>
      <c r="O606" s="161">
        <v>151.82</v>
      </c>
      <c r="P606" s="161">
        <v>121.456</v>
      </c>
      <c r="Q606" s="203">
        <v>0.0</v>
      </c>
      <c r="R606" s="162">
        <v>242.912</v>
      </c>
      <c r="S606" s="162">
        <v>0.0</v>
      </c>
      <c r="T606" s="162">
        <v>313.64</v>
      </c>
      <c r="U606" s="163" t="s">
        <v>107</v>
      </c>
      <c r="V606" s="154">
        <v>46047.0</v>
      </c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</row>
    <row r="607">
      <c r="A607" s="154">
        <v>46001.0</v>
      </c>
      <c r="B607" s="155">
        <v>7905775.0</v>
      </c>
      <c r="C607" s="156" t="s">
        <v>82</v>
      </c>
      <c r="D607" s="156" t="s">
        <v>35</v>
      </c>
      <c r="E607" s="155">
        <v>5.099467339E9</v>
      </c>
      <c r="F607" s="156" t="s">
        <v>882</v>
      </c>
      <c r="G607" s="154">
        <v>46154.0</v>
      </c>
      <c r="H607" s="157">
        <v>46158.0</v>
      </c>
      <c r="I607" s="158">
        <v>4.0</v>
      </c>
      <c r="J607" s="159" t="s">
        <v>78</v>
      </c>
      <c r="K607" s="156" t="s">
        <v>79</v>
      </c>
      <c r="L607" s="156" t="s">
        <v>80</v>
      </c>
      <c r="M607" s="155">
        <v>2.0</v>
      </c>
      <c r="N607" s="160">
        <v>0.19999999999999996</v>
      </c>
      <c r="O607" s="161">
        <v>220.98</v>
      </c>
      <c r="P607" s="161">
        <v>176.784</v>
      </c>
      <c r="Q607" s="159">
        <v>0.0</v>
      </c>
      <c r="R607" s="162">
        <v>707.136</v>
      </c>
      <c r="S607" s="162">
        <v>0.0</v>
      </c>
      <c r="T607" s="186">
        <v>903.92</v>
      </c>
      <c r="U607" s="187" t="s">
        <v>353</v>
      </c>
      <c r="V607" s="176">
        <v>46001.0</v>
      </c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</row>
    <row r="608">
      <c r="A608" s="154">
        <v>46048.0</v>
      </c>
      <c r="B608" s="155">
        <v>8087116.0</v>
      </c>
      <c r="C608" s="156" t="s">
        <v>82</v>
      </c>
      <c r="D608" s="156" t="s">
        <v>35</v>
      </c>
      <c r="E608" s="155">
        <v>6.02652831E9</v>
      </c>
      <c r="F608" s="156" t="s">
        <v>883</v>
      </c>
      <c r="G608" s="154">
        <v>46154.0</v>
      </c>
      <c r="H608" s="157">
        <v>46156.0</v>
      </c>
      <c r="I608" s="158">
        <v>2.0</v>
      </c>
      <c r="J608" s="159" t="s">
        <v>78</v>
      </c>
      <c r="K608" s="156" t="s">
        <v>79</v>
      </c>
      <c r="L608" s="156" t="s">
        <v>80</v>
      </c>
      <c r="M608" s="155">
        <v>3.0</v>
      </c>
      <c r="N608" s="160">
        <v>0.19999999999999996</v>
      </c>
      <c r="O608" s="161">
        <v>217.65</v>
      </c>
      <c r="P608" s="161">
        <v>174.12</v>
      </c>
      <c r="Q608" s="203">
        <v>0.0</v>
      </c>
      <c r="R608" s="162">
        <v>348.24</v>
      </c>
      <c r="S608" s="162">
        <v>0.0</v>
      </c>
      <c r="T608" s="162">
        <v>450.3</v>
      </c>
      <c r="U608" s="163" t="s">
        <v>353</v>
      </c>
      <c r="V608" s="154">
        <v>46048.0</v>
      </c>
      <c r="W608" s="175"/>
      <c r="X608" s="175"/>
      <c r="Y608" s="175"/>
      <c r="Z608" s="175"/>
      <c r="AA608" s="175"/>
      <c r="AB608" s="175"/>
      <c r="AC608" s="175"/>
      <c r="AD608" s="175"/>
      <c r="AE608" s="175"/>
      <c r="AF608" s="175"/>
      <c r="AG608" s="175"/>
      <c r="AH608" s="175"/>
      <c r="AI608" s="175"/>
    </row>
    <row r="609">
      <c r="A609" s="165">
        <v>45995.0</v>
      </c>
      <c r="B609" s="166">
        <v>7884622.0</v>
      </c>
      <c r="C609" s="166" t="s">
        <v>82</v>
      </c>
      <c r="D609" s="166" t="s">
        <v>35</v>
      </c>
      <c r="E609" s="166">
        <v>5.750845162E9</v>
      </c>
      <c r="F609" s="166" t="s">
        <v>884</v>
      </c>
      <c r="G609" s="165">
        <v>46155.0</v>
      </c>
      <c r="H609" s="167">
        <v>46158.0</v>
      </c>
      <c r="I609" s="168">
        <v>3.0</v>
      </c>
      <c r="J609" s="169" t="s">
        <v>78</v>
      </c>
      <c r="K609" s="166" t="s">
        <v>79</v>
      </c>
      <c r="L609" s="166" t="s">
        <v>80</v>
      </c>
      <c r="M609" s="166">
        <v>2.0</v>
      </c>
      <c r="N609" s="170">
        <v>0.19999999999999996</v>
      </c>
      <c r="O609" s="171">
        <v>174.14</v>
      </c>
      <c r="P609" s="171">
        <v>139.31199999999998</v>
      </c>
      <c r="Q609" s="172">
        <v>0.0</v>
      </c>
      <c r="R609" s="173">
        <v>417.9359999999999</v>
      </c>
      <c r="S609" s="173">
        <v>0.0</v>
      </c>
      <c r="T609" s="173">
        <v>1044.84</v>
      </c>
      <c r="U609" s="201" t="s">
        <v>107</v>
      </c>
      <c r="V609" s="207">
        <v>45995.0</v>
      </c>
      <c r="W609" s="175"/>
      <c r="X609" s="175"/>
      <c r="Y609" s="175"/>
      <c r="Z609" s="175"/>
      <c r="AA609" s="175"/>
      <c r="AB609" s="175"/>
      <c r="AC609" s="175"/>
      <c r="AD609" s="175"/>
      <c r="AE609" s="175"/>
      <c r="AF609" s="175"/>
      <c r="AG609" s="175"/>
      <c r="AH609" s="175"/>
      <c r="AI609" s="175"/>
    </row>
    <row r="610">
      <c r="A610" s="154">
        <v>45995.0</v>
      </c>
      <c r="B610" s="155">
        <v>7884622.0</v>
      </c>
      <c r="C610" s="156" t="s">
        <v>82</v>
      </c>
      <c r="D610" s="156" t="s">
        <v>35</v>
      </c>
      <c r="E610" s="155">
        <v>5.750845162E9</v>
      </c>
      <c r="F610" s="156" t="s">
        <v>884</v>
      </c>
      <c r="G610" s="154">
        <v>46155.0</v>
      </c>
      <c r="H610" s="157">
        <v>46158.0</v>
      </c>
      <c r="I610" s="158">
        <v>3.0</v>
      </c>
      <c r="J610" s="159" t="s">
        <v>78</v>
      </c>
      <c r="K610" s="156" t="s">
        <v>79</v>
      </c>
      <c r="L610" s="156" t="s">
        <v>80</v>
      </c>
      <c r="M610" s="155">
        <v>2.0</v>
      </c>
      <c r="N610" s="160">
        <v>0.19999999999999996</v>
      </c>
      <c r="O610" s="161">
        <v>174.14</v>
      </c>
      <c r="P610" s="161">
        <v>139.31199999999998</v>
      </c>
      <c r="Q610" s="203">
        <v>0.0</v>
      </c>
      <c r="R610" s="162">
        <v>417.9359999999999</v>
      </c>
      <c r="S610" s="162">
        <v>0.0</v>
      </c>
      <c r="T610" s="162">
        <v>1044.84</v>
      </c>
      <c r="U610" s="163" t="s">
        <v>107</v>
      </c>
      <c r="V610" s="154">
        <v>45995.0</v>
      </c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</row>
    <row r="611">
      <c r="A611" s="154">
        <v>46025.0</v>
      </c>
      <c r="B611" s="155">
        <v>7988128.0</v>
      </c>
      <c r="C611" s="156" t="s">
        <v>82</v>
      </c>
      <c r="D611" s="156" t="s">
        <v>35</v>
      </c>
      <c r="E611" s="155">
        <v>5.994359499E9</v>
      </c>
      <c r="F611" s="156" t="s">
        <v>885</v>
      </c>
      <c r="G611" s="154">
        <v>46155.0</v>
      </c>
      <c r="H611" s="157">
        <v>46158.0</v>
      </c>
      <c r="I611" s="158">
        <v>3.0</v>
      </c>
      <c r="J611" s="159" t="s">
        <v>114</v>
      </c>
      <c r="K611" s="156" t="s">
        <v>79</v>
      </c>
      <c r="L611" s="156" t="s">
        <v>80</v>
      </c>
      <c r="M611" s="155">
        <v>2.0</v>
      </c>
      <c r="N611" s="160">
        <v>0.19999999999999996</v>
      </c>
      <c r="O611" s="161">
        <v>267.75</v>
      </c>
      <c r="P611" s="161">
        <v>214.20000000000002</v>
      </c>
      <c r="Q611" s="203">
        <v>0.0</v>
      </c>
      <c r="R611" s="162">
        <v>642.6</v>
      </c>
      <c r="S611" s="162">
        <v>0.0</v>
      </c>
      <c r="T611" s="162">
        <v>818.25</v>
      </c>
      <c r="U611" s="163" t="s">
        <v>303</v>
      </c>
      <c r="V611" s="154">
        <v>46025.0</v>
      </c>
      <c r="W611" s="175"/>
      <c r="X611" s="175"/>
      <c r="Y611" s="175"/>
      <c r="Z611" s="175"/>
      <c r="AA611" s="175"/>
      <c r="AB611" s="175"/>
      <c r="AC611" s="175"/>
      <c r="AD611" s="175"/>
      <c r="AE611" s="175"/>
      <c r="AF611" s="175"/>
      <c r="AG611" s="175"/>
      <c r="AH611" s="175"/>
      <c r="AI611" s="175"/>
    </row>
    <row r="612">
      <c r="A612" s="165">
        <v>46028.0</v>
      </c>
      <c r="B612" s="166">
        <v>7996567.0</v>
      </c>
      <c r="C612" s="166" t="s">
        <v>82</v>
      </c>
      <c r="D612" s="166" t="s">
        <v>36</v>
      </c>
      <c r="E612" s="166">
        <v>7996567.0</v>
      </c>
      <c r="F612" s="166" t="s">
        <v>886</v>
      </c>
      <c r="G612" s="165">
        <v>46155.0</v>
      </c>
      <c r="H612" s="167">
        <v>46156.0</v>
      </c>
      <c r="I612" s="168">
        <v>1.0</v>
      </c>
      <c r="J612" s="169" t="s">
        <v>87</v>
      </c>
      <c r="K612" s="166" t="s">
        <v>79</v>
      </c>
      <c r="L612" s="166" t="s">
        <v>96</v>
      </c>
      <c r="M612" s="166">
        <v>2.0</v>
      </c>
      <c r="N612" s="170">
        <v>0.0</v>
      </c>
      <c r="O612" s="171">
        <v>170.82</v>
      </c>
      <c r="P612" s="171">
        <v>169.1118</v>
      </c>
      <c r="Q612" s="172">
        <v>0.0</v>
      </c>
      <c r="R612" s="173">
        <v>169.1118</v>
      </c>
      <c r="S612" s="173">
        <v>0.0</v>
      </c>
      <c r="T612" s="173">
        <v>175.82</v>
      </c>
      <c r="U612" s="201" t="s">
        <v>97</v>
      </c>
      <c r="V612" s="165">
        <v>46028.0</v>
      </c>
      <c r="W612" s="175"/>
      <c r="X612" s="175"/>
      <c r="Y612" s="175"/>
      <c r="Z612" s="175"/>
      <c r="AA612" s="175"/>
      <c r="AB612" s="175"/>
      <c r="AC612" s="175"/>
      <c r="AD612" s="175"/>
      <c r="AE612" s="175"/>
      <c r="AF612" s="175"/>
      <c r="AG612" s="175"/>
      <c r="AH612" s="175"/>
      <c r="AI612" s="175"/>
    </row>
    <row r="613">
      <c r="A613" s="176">
        <v>46051.0</v>
      </c>
      <c r="B613" s="177">
        <v>8097458.0</v>
      </c>
      <c r="C613" s="178" t="s">
        <v>89</v>
      </c>
      <c r="D613" s="178" t="s">
        <v>35</v>
      </c>
      <c r="E613" s="177">
        <v>6.234599611E9</v>
      </c>
      <c r="F613" s="178" t="s">
        <v>887</v>
      </c>
      <c r="G613" s="176">
        <v>46155.0</v>
      </c>
      <c r="H613" s="179">
        <v>46159.0</v>
      </c>
      <c r="I613" s="180">
        <v>4.0</v>
      </c>
      <c r="J613" s="181" t="s">
        <v>111</v>
      </c>
      <c r="K613" s="178" t="s">
        <v>79</v>
      </c>
      <c r="L613" s="178" t="s">
        <v>80</v>
      </c>
      <c r="M613" s="182">
        <v>0.0</v>
      </c>
      <c r="N613" s="183">
        <v>0.0</v>
      </c>
      <c r="O613" s="184">
        <v>0.0</v>
      </c>
      <c r="P613" s="184">
        <v>0.0</v>
      </c>
      <c r="Q613" s="185">
        <v>0.0</v>
      </c>
      <c r="R613" s="186">
        <v>0.0</v>
      </c>
      <c r="S613" s="186">
        <v>0.0</v>
      </c>
      <c r="T613" s="186">
        <v>0.0</v>
      </c>
      <c r="U613" s="187" t="s">
        <v>888</v>
      </c>
      <c r="V613" s="176">
        <v>46091.0</v>
      </c>
      <c r="W613" s="175"/>
      <c r="X613" s="175"/>
      <c r="Y613" s="175"/>
      <c r="Z613" s="175"/>
      <c r="AA613" s="175"/>
      <c r="AB613" s="175"/>
      <c r="AC613" s="175"/>
      <c r="AD613" s="175"/>
      <c r="AE613" s="175"/>
      <c r="AF613" s="175"/>
      <c r="AG613" s="175"/>
      <c r="AH613" s="175"/>
      <c r="AI613" s="175"/>
    </row>
    <row r="614">
      <c r="A614" s="165">
        <v>46006.0</v>
      </c>
      <c r="B614" s="166">
        <v>7922852.0</v>
      </c>
      <c r="C614" s="166" t="s">
        <v>89</v>
      </c>
      <c r="D614" s="166" t="s">
        <v>12</v>
      </c>
      <c r="E614" s="166" t="s">
        <v>889</v>
      </c>
      <c r="F614" s="166" t="s">
        <v>890</v>
      </c>
      <c r="G614" s="165">
        <v>46158.0</v>
      </c>
      <c r="H614" s="167">
        <v>46159.0</v>
      </c>
      <c r="I614" s="168">
        <v>1.0</v>
      </c>
      <c r="J614" s="169" t="s">
        <v>78</v>
      </c>
      <c r="K614" s="166" t="s">
        <v>79</v>
      </c>
      <c r="L614" s="166" t="s">
        <v>123</v>
      </c>
      <c r="M614" s="166">
        <v>0.0</v>
      </c>
      <c r="N614" s="170">
        <v>0.0</v>
      </c>
      <c r="O614" s="171">
        <v>0.0</v>
      </c>
      <c r="P614" s="171">
        <v>0.0</v>
      </c>
      <c r="Q614" s="172">
        <v>0.0</v>
      </c>
      <c r="R614" s="173">
        <v>0.0</v>
      </c>
      <c r="S614" s="173">
        <v>0.0</v>
      </c>
      <c r="T614" s="173">
        <v>0.0</v>
      </c>
      <c r="U614" s="174" t="s">
        <v>891</v>
      </c>
      <c r="V614" s="165">
        <v>46142.0</v>
      </c>
      <c r="W614" s="175"/>
      <c r="X614" s="175"/>
      <c r="Y614" s="175"/>
      <c r="Z614" s="175"/>
      <c r="AA614" s="175"/>
      <c r="AB614" s="175"/>
      <c r="AC614" s="175"/>
      <c r="AD614" s="175"/>
      <c r="AE614" s="175"/>
      <c r="AF614" s="175"/>
      <c r="AG614" s="175"/>
      <c r="AH614" s="175"/>
      <c r="AI614" s="175"/>
    </row>
    <row r="615">
      <c r="A615" s="165">
        <v>46062.0</v>
      </c>
      <c r="B615" s="166">
        <v>8149682.0</v>
      </c>
      <c r="C615" s="166" t="s">
        <v>89</v>
      </c>
      <c r="D615" s="166" t="s">
        <v>94</v>
      </c>
      <c r="E615" s="166">
        <v>8149682.0</v>
      </c>
      <c r="F615" s="166" t="s">
        <v>892</v>
      </c>
      <c r="G615" s="165">
        <v>46155.0</v>
      </c>
      <c r="H615" s="167">
        <v>46156.0</v>
      </c>
      <c r="I615" s="168">
        <v>1.0</v>
      </c>
      <c r="J615" s="169" t="s">
        <v>114</v>
      </c>
      <c r="K615" s="166" t="s">
        <v>79</v>
      </c>
      <c r="L615" s="166" t="s">
        <v>96</v>
      </c>
      <c r="M615" s="205">
        <v>0.0</v>
      </c>
      <c r="N615" s="170">
        <v>0.0</v>
      </c>
      <c r="O615" s="171">
        <v>0.0</v>
      </c>
      <c r="P615" s="171">
        <v>0.0</v>
      </c>
      <c r="Q615" s="172">
        <v>0.0</v>
      </c>
      <c r="R615" s="173">
        <v>0.0</v>
      </c>
      <c r="S615" s="173">
        <v>0.0</v>
      </c>
      <c r="T615" s="173">
        <v>0.0</v>
      </c>
      <c r="U615" s="174" t="s">
        <v>893</v>
      </c>
      <c r="V615" s="165">
        <v>46091.0</v>
      </c>
      <c r="W615" s="164"/>
      <c r="X615" s="164"/>
      <c r="Y615" s="164"/>
      <c r="Z615" s="164"/>
      <c r="AA615" s="164"/>
      <c r="AB615" s="164"/>
      <c r="AC615" s="164"/>
      <c r="AD615" s="164"/>
      <c r="AE615" s="164"/>
      <c r="AF615" s="164"/>
      <c r="AG615" s="164"/>
      <c r="AH615" s="164"/>
      <c r="AI615" s="164"/>
    </row>
    <row r="616">
      <c r="A616" s="176">
        <v>46012.0</v>
      </c>
      <c r="B616" s="177">
        <v>7943071.0</v>
      </c>
      <c r="C616" s="178" t="s">
        <v>89</v>
      </c>
      <c r="D616" s="178" t="s">
        <v>35</v>
      </c>
      <c r="E616" s="177">
        <v>5.538887993E9</v>
      </c>
      <c r="F616" s="178" t="s">
        <v>894</v>
      </c>
      <c r="G616" s="176">
        <v>46156.0</v>
      </c>
      <c r="H616" s="179">
        <v>46159.0</v>
      </c>
      <c r="I616" s="180">
        <v>3.0</v>
      </c>
      <c r="J616" s="181" t="s">
        <v>114</v>
      </c>
      <c r="K616" s="178" t="s">
        <v>79</v>
      </c>
      <c r="L616" s="178" t="s">
        <v>80</v>
      </c>
      <c r="M616" s="182">
        <v>0.0</v>
      </c>
      <c r="N616" s="183">
        <v>0.0</v>
      </c>
      <c r="O616" s="184">
        <v>0.0</v>
      </c>
      <c r="P616" s="184">
        <v>0.0</v>
      </c>
      <c r="Q616" s="185">
        <v>0.0</v>
      </c>
      <c r="R616" s="186">
        <v>0.0</v>
      </c>
      <c r="S616" s="186">
        <v>0.0</v>
      </c>
      <c r="T616" s="186">
        <v>0.0</v>
      </c>
      <c r="U616" s="187" t="s">
        <v>895</v>
      </c>
      <c r="V616" s="176">
        <v>46127.0</v>
      </c>
      <c r="W616" s="164"/>
      <c r="X616" s="164"/>
      <c r="Y616" s="164"/>
      <c r="Z616" s="164"/>
      <c r="AA616" s="164"/>
      <c r="AB616" s="164"/>
      <c r="AC616" s="164"/>
      <c r="AD616" s="164"/>
      <c r="AE616" s="164"/>
      <c r="AF616" s="164"/>
      <c r="AG616" s="164"/>
      <c r="AH616" s="164"/>
      <c r="AI616" s="164"/>
    </row>
    <row r="617">
      <c r="A617" s="165">
        <v>46033.0</v>
      </c>
      <c r="B617" s="166">
        <v>8019966.0</v>
      </c>
      <c r="C617" s="166" t="s">
        <v>82</v>
      </c>
      <c r="D617" s="166" t="s">
        <v>35</v>
      </c>
      <c r="E617" s="166">
        <v>5.89934263E9</v>
      </c>
      <c r="F617" s="166" t="s">
        <v>896</v>
      </c>
      <c r="G617" s="165">
        <v>46156.0</v>
      </c>
      <c r="H617" s="167">
        <v>46161.0</v>
      </c>
      <c r="I617" s="168">
        <v>5.0</v>
      </c>
      <c r="J617" s="169" t="s">
        <v>78</v>
      </c>
      <c r="K617" s="166" t="s">
        <v>79</v>
      </c>
      <c r="L617" s="166" t="s">
        <v>80</v>
      </c>
      <c r="M617" s="166">
        <v>2.0</v>
      </c>
      <c r="N617" s="169">
        <v>0.19999999999999996</v>
      </c>
      <c r="O617" s="171">
        <v>182.5</v>
      </c>
      <c r="P617" s="171">
        <v>146.0</v>
      </c>
      <c r="Q617" s="169">
        <v>0.0</v>
      </c>
      <c r="R617" s="173">
        <v>730.0</v>
      </c>
      <c r="S617" s="173">
        <v>0.0</v>
      </c>
      <c r="T617" s="173">
        <v>937.5</v>
      </c>
      <c r="U617" s="201" t="s">
        <v>161</v>
      </c>
      <c r="V617" s="165">
        <v>46033.0</v>
      </c>
      <c r="W617" s="175"/>
      <c r="X617" s="175"/>
      <c r="Y617" s="175"/>
      <c r="Z617" s="175"/>
      <c r="AA617" s="175"/>
      <c r="AB617" s="175"/>
      <c r="AC617" s="175"/>
      <c r="AD617" s="175"/>
      <c r="AE617" s="175"/>
      <c r="AF617" s="175"/>
      <c r="AG617" s="175"/>
      <c r="AH617" s="175"/>
      <c r="AI617" s="175"/>
    </row>
    <row r="618">
      <c r="A618" s="165">
        <v>46050.0</v>
      </c>
      <c r="B618" s="166">
        <v>8096310.0</v>
      </c>
      <c r="C618" s="166" t="s">
        <v>82</v>
      </c>
      <c r="D618" s="166" t="s">
        <v>35</v>
      </c>
      <c r="E618" s="166">
        <v>5.293350227E9</v>
      </c>
      <c r="F618" s="166" t="s">
        <v>897</v>
      </c>
      <c r="G618" s="165">
        <v>46156.0</v>
      </c>
      <c r="H618" s="167">
        <v>46158.0</v>
      </c>
      <c r="I618" s="168">
        <v>2.0</v>
      </c>
      <c r="J618" s="169" t="s">
        <v>111</v>
      </c>
      <c r="K618" s="166" t="s">
        <v>79</v>
      </c>
      <c r="L618" s="166" t="s">
        <v>80</v>
      </c>
      <c r="M618" s="166">
        <v>2.0</v>
      </c>
      <c r="N618" s="170">
        <v>0.19999999999999996</v>
      </c>
      <c r="O618" s="171">
        <v>210.29</v>
      </c>
      <c r="P618" s="171">
        <v>168.232</v>
      </c>
      <c r="Q618" s="172">
        <v>0.0</v>
      </c>
      <c r="R618" s="173">
        <v>336.464</v>
      </c>
      <c r="S618" s="173">
        <v>0.0</v>
      </c>
      <c r="T618" s="173">
        <v>430.58</v>
      </c>
      <c r="U618" s="174" t="s">
        <v>107</v>
      </c>
      <c r="V618" s="165">
        <v>46050.0</v>
      </c>
      <c r="W618" s="164"/>
      <c r="X618" s="164"/>
      <c r="Y618" s="164"/>
      <c r="Z618" s="164"/>
      <c r="AA618" s="164"/>
      <c r="AB618" s="164"/>
      <c r="AC618" s="164"/>
      <c r="AD618" s="164"/>
      <c r="AE618" s="164"/>
      <c r="AF618" s="164"/>
      <c r="AG618" s="164"/>
      <c r="AH618" s="164"/>
      <c r="AI618" s="164"/>
    </row>
    <row r="619">
      <c r="A619" s="165">
        <v>45875.0</v>
      </c>
      <c r="B619" s="166">
        <v>7380615.0</v>
      </c>
      <c r="C619" s="166" t="s">
        <v>89</v>
      </c>
      <c r="D619" s="166" t="s">
        <v>12</v>
      </c>
      <c r="E619" s="166" t="s">
        <v>898</v>
      </c>
      <c r="F619" s="166" t="s">
        <v>899</v>
      </c>
      <c r="G619" s="165">
        <v>46156.0</v>
      </c>
      <c r="H619" s="167">
        <v>46157.0</v>
      </c>
      <c r="I619" s="168">
        <v>1.0</v>
      </c>
      <c r="J619" s="169" t="s">
        <v>78</v>
      </c>
      <c r="K619" s="166" t="s">
        <v>79</v>
      </c>
      <c r="L619" s="166" t="s">
        <v>123</v>
      </c>
      <c r="M619" s="205">
        <v>0.0</v>
      </c>
      <c r="N619" s="170">
        <v>0.0</v>
      </c>
      <c r="O619" s="171">
        <v>0.0</v>
      </c>
      <c r="P619" s="171">
        <v>0.0</v>
      </c>
      <c r="Q619" s="172">
        <v>0.0</v>
      </c>
      <c r="R619" s="173">
        <v>0.0</v>
      </c>
      <c r="S619" s="173">
        <v>0.0</v>
      </c>
      <c r="T619" s="173">
        <v>0.0</v>
      </c>
      <c r="U619" s="174" t="s">
        <v>900</v>
      </c>
      <c r="V619" s="165">
        <v>46090.0</v>
      </c>
      <c r="W619" s="175"/>
      <c r="X619" s="175"/>
      <c r="Y619" s="175"/>
      <c r="Z619" s="175"/>
      <c r="AA619" s="175"/>
      <c r="AB619" s="175"/>
      <c r="AC619" s="175"/>
      <c r="AD619" s="175"/>
      <c r="AE619" s="175"/>
      <c r="AF619" s="175"/>
      <c r="AG619" s="175"/>
      <c r="AH619" s="175"/>
      <c r="AI619" s="175"/>
    </row>
    <row r="620">
      <c r="A620" s="165">
        <v>45874.0</v>
      </c>
      <c r="B620" s="166">
        <v>7380562.0</v>
      </c>
      <c r="C620" s="166" t="s">
        <v>82</v>
      </c>
      <c r="D620" s="166" t="s">
        <v>12</v>
      </c>
      <c r="E620" s="166" t="s">
        <v>901</v>
      </c>
      <c r="F620" s="166" t="s">
        <v>902</v>
      </c>
      <c r="G620" s="165">
        <v>46156.0</v>
      </c>
      <c r="H620" s="167">
        <v>46157.0</v>
      </c>
      <c r="I620" s="168">
        <v>1.0</v>
      </c>
      <c r="J620" s="169" t="s">
        <v>87</v>
      </c>
      <c r="K620" s="166" t="s">
        <v>79</v>
      </c>
      <c r="L620" s="166" t="s">
        <v>123</v>
      </c>
      <c r="M620" s="166">
        <v>2.0</v>
      </c>
      <c r="N620" s="170">
        <v>0.0</v>
      </c>
      <c r="O620" s="171">
        <v>194.4</v>
      </c>
      <c r="P620" s="171">
        <v>155.52</v>
      </c>
      <c r="Q620" s="169">
        <v>0.0</v>
      </c>
      <c r="R620" s="173">
        <v>155.52</v>
      </c>
      <c r="S620" s="173">
        <v>0.0</v>
      </c>
      <c r="T620" s="173" t="s">
        <v>127</v>
      </c>
      <c r="U620" s="174" t="s">
        <v>903</v>
      </c>
      <c r="V620" s="165">
        <v>45874.0</v>
      </c>
      <c r="W620" s="175"/>
      <c r="X620" s="175"/>
      <c r="Y620" s="175"/>
      <c r="Z620" s="175"/>
      <c r="AA620" s="175"/>
      <c r="AB620" s="175"/>
      <c r="AC620" s="175"/>
      <c r="AD620" s="175"/>
      <c r="AE620" s="175"/>
      <c r="AF620" s="175"/>
      <c r="AG620" s="175"/>
      <c r="AH620" s="175"/>
      <c r="AI620" s="175"/>
    </row>
    <row r="621">
      <c r="A621" s="154">
        <v>45952.0</v>
      </c>
      <c r="B621" s="155">
        <v>7717983.0</v>
      </c>
      <c r="C621" s="156" t="s">
        <v>89</v>
      </c>
      <c r="D621" s="156" t="s">
        <v>109</v>
      </c>
      <c r="E621" s="155">
        <v>5.91246423E8</v>
      </c>
      <c r="F621" s="156" t="s">
        <v>904</v>
      </c>
      <c r="G621" s="154">
        <v>46157.0</v>
      </c>
      <c r="H621" s="157">
        <v>46160.0</v>
      </c>
      <c r="I621" s="158">
        <v>3.0</v>
      </c>
      <c r="J621" s="159" t="s">
        <v>87</v>
      </c>
      <c r="K621" s="156" t="s">
        <v>79</v>
      </c>
      <c r="L621" s="156" t="s">
        <v>80</v>
      </c>
      <c r="M621" s="155">
        <v>0.0</v>
      </c>
      <c r="N621" s="160">
        <v>0.0</v>
      </c>
      <c r="O621" s="161">
        <v>0.0</v>
      </c>
      <c r="P621" s="161">
        <v>0.0</v>
      </c>
      <c r="Q621" s="159">
        <v>0.0</v>
      </c>
      <c r="R621" s="162">
        <v>0.0</v>
      </c>
      <c r="S621" s="162">
        <v>0.0</v>
      </c>
      <c r="T621" s="162">
        <v>0.0</v>
      </c>
      <c r="U621" s="163" t="s">
        <v>905</v>
      </c>
      <c r="V621" s="215">
        <v>45993.0</v>
      </c>
      <c r="W621" s="175"/>
      <c r="X621" s="175"/>
      <c r="Y621" s="175"/>
      <c r="Z621" s="175"/>
      <c r="AA621" s="175"/>
      <c r="AB621" s="175"/>
      <c r="AC621" s="175"/>
      <c r="AD621" s="175"/>
      <c r="AE621" s="175"/>
      <c r="AF621" s="175"/>
      <c r="AG621" s="175"/>
      <c r="AH621" s="175"/>
      <c r="AI621" s="175"/>
    </row>
    <row r="622">
      <c r="A622" s="165">
        <v>46072.0</v>
      </c>
      <c r="B622" s="166">
        <v>8196501.0</v>
      </c>
      <c r="C622" s="166" t="s">
        <v>82</v>
      </c>
      <c r="D622" s="166" t="s">
        <v>35</v>
      </c>
      <c r="E622" s="166">
        <v>5.345799037E9</v>
      </c>
      <c r="F622" s="166" t="s">
        <v>906</v>
      </c>
      <c r="G622" s="165">
        <v>46157.0</v>
      </c>
      <c r="H622" s="167">
        <v>46160.0</v>
      </c>
      <c r="I622" s="168">
        <v>3.0</v>
      </c>
      <c r="J622" s="169" t="s">
        <v>87</v>
      </c>
      <c r="K622" s="166" t="s">
        <v>79</v>
      </c>
      <c r="L622" s="166" t="s">
        <v>80</v>
      </c>
      <c r="M622" s="166">
        <v>2.0</v>
      </c>
      <c r="N622" s="170">
        <v>0.19999999999999996</v>
      </c>
      <c r="O622" s="171">
        <v>143.28</v>
      </c>
      <c r="P622" s="171">
        <v>114.62400000000001</v>
      </c>
      <c r="Q622" s="172">
        <v>0.0</v>
      </c>
      <c r="R622" s="173">
        <v>343.872</v>
      </c>
      <c r="S622" s="173">
        <v>0.0</v>
      </c>
      <c r="T622" s="173">
        <v>429.84</v>
      </c>
      <c r="U622" s="201" t="s">
        <v>107</v>
      </c>
      <c r="V622" s="165">
        <v>46072.0</v>
      </c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</row>
    <row r="623">
      <c r="A623" s="176">
        <v>45949.0</v>
      </c>
      <c r="B623" s="177">
        <v>7704717.0</v>
      </c>
      <c r="C623" s="178" t="s">
        <v>82</v>
      </c>
      <c r="D623" s="178" t="s">
        <v>35</v>
      </c>
      <c r="E623" s="177">
        <v>6.881957203E9</v>
      </c>
      <c r="F623" s="178" t="s">
        <v>907</v>
      </c>
      <c r="G623" s="176">
        <v>46158.0</v>
      </c>
      <c r="H623" s="179">
        <v>46159.0</v>
      </c>
      <c r="I623" s="180">
        <v>1.0</v>
      </c>
      <c r="J623" s="181" t="s">
        <v>78</v>
      </c>
      <c r="K623" s="178" t="s">
        <v>79</v>
      </c>
      <c r="L623" s="178" t="s">
        <v>80</v>
      </c>
      <c r="M623" s="182">
        <v>2.0</v>
      </c>
      <c r="N623" s="183">
        <v>0.19999999999999996</v>
      </c>
      <c r="O623" s="184">
        <v>160.44</v>
      </c>
      <c r="P623" s="184">
        <v>128.352</v>
      </c>
      <c r="Q623" s="185">
        <v>0.0</v>
      </c>
      <c r="R623" s="186">
        <v>128.352</v>
      </c>
      <c r="S623" s="186">
        <v>0.0</v>
      </c>
      <c r="T623" s="162">
        <v>165.44</v>
      </c>
      <c r="U623" s="163" t="s">
        <v>353</v>
      </c>
      <c r="V623" s="154">
        <v>45949.0</v>
      </c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</row>
    <row r="624">
      <c r="A624" s="165">
        <v>46042.0</v>
      </c>
      <c r="B624" s="166">
        <v>8058032.0</v>
      </c>
      <c r="C624" s="166" t="s">
        <v>82</v>
      </c>
      <c r="D624" s="166" t="s">
        <v>35</v>
      </c>
      <c r="E624" s="166">
        <v>6.183577478E9</v>
      </c>
      <c r="F624" s="166" t="s">
        <v>908</v>
      </c>
      <c r="G624" s="165">
        <v>46158.0</v>
      </c>
      <c r="H624" s="167">
        <v>46161.0</v>
      </c>
      <c r="I624" s="168">
        <v>3.0</v>
      </c>
      <c r="J624" s="169" t="s">
        <v>114</v>
      </c>
      <c r="K624" s="166" t="s">
        <v>79</v>
      </c>
      <c r="L624" s="166" t="s">
        <v>80</v>
      </c>
      <c r="M624" s="166">
        <v>2.0</v>
      </c>
      <c r="N624" s="170">
        <v>0.19999999999999996</v>
      </c>
      <c r="O624" s="171">
        <v>183.6</v>
      </c>
      <c r="P624" s="171">
        <v>146.88</v>
      </c>
      <c r="Q624" s="172">
        <v>0.0</v>
      </c>
      <c r="R624" s="173">
        <v>440.64</v>
      </c>
      <c r="S624" s="173">
        <v>0.0</v>
      </c>
      <c r="T624" s="173">
        <v>2078.16</v>
      </c>
      <c r="U624" s="174" t="s">
        <v>107</v>
      </c>
      <c r="V624" s="165">
        <v>46042.0</v>
      </c>
      <c r="W624" s="175"/>
      <c r="X624" s="175"/>
      <c r="Y624" s="175"/>
      <c r="Z624" s="175"/>
      <c r="AA624" s="175"/>
      <c r="AB624" s="175"/>
      <c r="AC624" s="175"/>
      <c r="AD624" s="175"/>
      <c r="AE624" s="175"/>
      <c r="AF624" s="175"/>
      <c r="AG624" s="175"/>
      <c r="AH624" s="175"/>
      <c r="AI624" s="175"/>
    </row>
    <row r="625">
      <c r="A625" s="176">
        <v>46042.0</v>
      </c>
      <c r="B625" s="177">
        <v>8058032.0</v>
      </c>
      <c r="C625" s="178" t="s">
        <v>82</v>
      </c>
      <c r="D625" s="178" t="s">
        <v>35</v>
      </c>
      <c r="E625" s="177">
        <v>6.183577478E9</v>
      </c>
      <c r="F625" s="178" t="s">
        <v>908</v>
      </c>
      <c r="G625" s="176">
        <v>46158.0</v>
      </c>
      <c r="H625" s="179">
        <v>46161.0</v>
      </c>
      <c r="I625" s="180">
        <v>3.0</v>
      </c>
      <c r="J625" s="181" t="s">
        <v>78</v>
      </c>
      <c r="K625" s="178" t="s">
        <v>79</v>
      </c>
      <c r="L625" s="178" t="s">
        <v>80</v>
      </c>
      <c r="M625" s="177">
        <v>2.0</v>
      </c>
      <c r="N625" s="183">
        <v>0.19999999999999996</v>
      </c>
      <c r="O625" s="184">
        <v>163.04</v>
      </c>
      <c r="P625" s="184">
        <v>130.432</v>
      </c>
      <c r="Q625" s="185">
        <v>0.0</v>
      </c>
      <c r="R625" s="186">
        <v>391.29599999999994</v>
      </c>
      <c r="S625" s="186">
        <v>0.0</v>
      </c>
      <c r="T625" s="186">
        <v>2078.16</v>
      </c>
      <c r="U625" s="187" t="s">
        <v>107</v>
      </c>
      <c r="V625" s="189">
        <v>46042.0</v>
      </c>
      <c r="W625" s="164"/>
      <c r="X625" s="164"/>
      <c r="Y625" s="164"/>
      <c r="Z625" s="164"/>
      <c r="AA625" s="164"/>
      <c r="AB625" s="164"/>
      <c r="AC625" s="164"/>
      <c r="AD625" s="164"/>
      <c r="AE625" s="164"/>
      <c r="AF625" s="164"/>
      <c r="AG625" s="164"/>
      <c r="AH625" s="164"/>
      <c r="AI625" s="164"/>
    </row>
    <row r="626">
      <c r="A626" s="165">
        <v>46042.0</v>
      </c>
      <c r="B626" s="166">
        <v>8058032.0</v>
      </c>
      <c r="C626" s="166" t="s">
        <v>82</v>
      </c>
      <c r="D626" s="166" t="s">
        <v>35</v>
      </c>
      <c r="E626" s="166">
        <v>6.183577478E9</v>
      </c>
      <c r="F626" s="166" t="s">
        <v>908</v>
      </c>
      <c r="G626" s="165">
        <v>46158.0</v>
      </c>
      <c r="H626" s="167">
        <v>46161.0</v>
      </c>
      <c r="I626" s="168">
        <v>3.0</v>
      </c>
      <c r="J626" s="169" t="s">
        <v>78</v>
      </c>
      <c r="K626" s="166" t="s">
        <v>79</v>
      </c>
      <c r="L626" s="166" t="s">
        <v>80</v>
      </c>
      <c r="M626" s="205">
        <v>2.0</v>
      </c>
      <c r="N626" s="170">
        <v>0.19999999999999996</v>
      </c>
      <c r="O626" s="171">
        <v>163.04</v>
      </c>
      <c r="P626" s="171">
        <v>130.432</v>
      </c>
      <c r="Q626" s="172">
        <v>0.0</v>
      </c>
      <c r="R626" s="173">
        <v>391.29599999999994</v>
      </c>
      <c r="S626" s="173">
        <v>0.0</v>
      </c>
      <c r="T626" s="173">
        <v>2078.16</v>
      </c>
      <c r="U626" s="174" t="s">
        <v>107</v>
      </c>
      <c r="V626" s="165">
        <v>46042.0</v>
      </c>
      <c r="W626" s="175"/>
      <c r="X626" s="175"/>
      <c r="Y626" s="175"/>
      <c r="Z626" s="175"/>
      <c r="AA626" s="175"/>
      <c r="AB626" s="175"/>
      <c r="AC626" s="175"/>
      <c r="AD626" s="175"/>
      <c r="AE626" s="175"/>
      <c r="AF626" s="175"/>
      <c r="AG626" s="175"/>
      <c r="AH626" s="175"/>
      <c r="AI626" s="175"/>
    </row>
    <row r="627">
      <c r="A627" s="165">
        <v>46042.0</v>
      </c>
      <c r="B627" s="166">
        <v>8058032.0</v>
      </c>
      <c r="C627" s="166" t="s">
        <v>82</v>
      </c>
      <c r="D627" s="166" t="s">
        <v>35</v>
      </c>
      <c r="E627" s="166">
        <v>6.183577478E9</v>
      </c>
      <c r="F627" s="166" t="s">
        <v>908</v>
      </c>
      <c r="G627" s="165">
        <v>46158.0</v>
      </c>
      <c r="H627" s="167">
        <v>46161.0</v>
      </c>
      <c r="I627" s="168">
        <v>3.0</v>
      </c>
      <c r="J627" s="169" t="s">
        <v>78</v>
      </c>
      <c r="K627" s="166" t="s">
        <v>79</v>
      </c>
      <c r="L627" s="166" t="s">
        <v>80</v>
      </c>
      <c r="M627" s="205">
        <v>2.0</v>
      </c>
      <c r="N627" s="170">
        <v>0.19999999999999996</v>
      </c>
      <c r="O627" s="171">
        <v>163.04</v>
      </c>
      <c r="P627" s="171">
        <v>130.432</v>
      </c>
      <c r="Q627" s="172">
        <v>0.0</v>
      </c>
      <c r="R627" s="173">
        <v>391.29599999999994</v>
      </c>
      <c r="S627" s="173">
        <v>0.0</v>
      </c>
      <c r="T627" s="173">
        <v>2078.16</v>
      </c>
      <c r="U627" s="174" t="s">
        <v>107</v>
      </c>
      <c r="V627" s="165">
        <v>46042.0</v>
      </c>
      <c r="W627" s="175"/>
      <c r="X627" s="175"/>
      <c r="Y627" s="175"/>
      <c r="Z627" s="175"/>
      <c r="AA627" s="175"/>
      <c r="AB627" s="175"/>
      <c r="AC627" s="175"/>
      <c r="AD627" s="175"/>
      <c r="AE627" s="175"/>
      <c r="AF627" s="175"/>
      <c r="AG627" s="175"/>
      <c r="AH627" s="175"/>
      <c r="AI627" s="175"/>
    </row>
    <row r="628">
      <c r="A628" s="165">
        <v>45997.0</v>
      </c>
      <c r="B628" s="166">
        <v>7891759.0</v>
      </c>
      <c r="C628" s="166" t="s">
        <v>82</v>
      </c>
      <c r="D628" s="166" t="s">
        <v>35</v>
      </c>
      <c r="E628" s="166">
        <v>5.520660144E9</v>
      </c>
      <c r="F628" s="166" t="s">
        <v>909</v>
      </c>
      <c r="G628" s="165">
        <v>46159.0</v>
      </c>
      <c r="H628" s="167">
        <v>46161.0</v>
      </c>
      <c r="I628" s="168">
        <v>2.0</v>
      </c>
      <c r="J628" s="169" t="s">
        <v>78</v>
      </c>
      <c r="K628" s="166" t="s">
        <v>79</v>
      </c>
      <c r="L628" s="166" t="s">
        <v>80</v>
      </c>
      <c r="M628" s="205">
        <v>3.0</v>
      </c>
      <c r="N628" s="170">
        <v>0.19999999999999996</v>
      </c>
      <c r="O628" s="171">
        <v>156.92</v>
      </c>
      <c r="P628" s="171">
        <v>125.536</v>
      </c>
      <c r="Q628" s="172">
        <v>0.0</v>
      </c>
      <c r="R628" s="173">
        <v>251.072</v>
      </c>
      <c r="S628" s="173">
        <v>0.0</v>
      </c>
      <c r="T628" s="173">
        <v>328.84</v>
      </c>
      <c r="U628" s="174" t="s">
        <v>107</v>
      </c>
      <c r="V628" s="165">
        <v>45997.0</v>
      </c>
      <c r="W628" s="175"/>
      <c r="X628" s="175"/>
      <c r="Y628" s="175"/>
      <c r="Z628" s="175"/>
      <c r="AA628" s="175"/>
      <c r="AB628" s="175"/>
      <c r="AC628" s="175"/>
      <c r="AD628" s="175"/>
      <c r="AE628" s="175"/>
      <c r="AF628" s="175"/>
      <c r="AG628" s="175"/>
      <c r="AH628" s="175"/>
      <c r="AI628" s="175"/>
    </row>
    <row r="629">
      <c r="A629" s="190">
        <v>46001.0</v>
      </c>
      <c r="B629" s="191">
        <v>7903808.0</v>
      </c>
      <c r="C629" s="192" t="s">
        <v>82</v>
      </c>
      <c r="D629" s="192" t="s">
        <v>101</v>
      </c>
      <c r="E629" s="191">
        <v>2.348856433E9</v>
      </c>
      <c r="F629" s="192" t="s">
        <v>910</v>
      </c>
      <c r="G629" s="190">
        <v>46160.0</v>
      </c>
      <c r="H629" s="193">
        <v>46163.0</v>
      </c>
      <c r="I629" s="194">
        <v>3.0</v>
      </c>
      <c r="J629" s="195" t="s">
        <v>87</v>
      </c>
      <c r="K629" s="192"/>
      <c r="L629" s="192"/>
      <c r="M629" s="211">
        <v>2.0</v>
      </c>
      <c r="N629" s="196">
        <v>0.0</v>
      </c>
      <c r="O629" s="197">
        <v>0.0</v>
      </c>
      <c r="P629" s="197">
        <v>0.0</v>
      </c>
      <c r="Q629" s="198">
        <v>0.0</v>
      </c>
      <c r="R629" s="199">
        <v>0.0</v>
      </c>
      <c r="S629" s="199">
        <v>0.0</v>
      </c>
      <c r="T629" s="199">
        <v>0.0</v>
      </c>
      <c r="U629" s="200" t="s">
        <v>180</v>
      </c>
      <c r="V629" s="190">
        <v>46001.0</v>
      </c>
      <c r="W629" s="175"/>
      <c r="X629" s="175"/>
      <c r="Y629" s="175"/>
      <c r="Z629" s="175"/>
      <c r="AA629" s="175"/>
      <c r="AB629" s="175"/>
      <c r="AC629" s="175"/>
      <c r="AD629" s="175"/>
      <c r="AE629" s="175"/>
      <c r="AF629" s="175"/>
      <c r="AG629" s="175"/>
      <c r="AH629" s="175"/>
      <c r="AI629" s="175"/>
    </row>
    <row r="630">
      <c r="A630" s="165">
        <v>46070.0</v>
      </c>
      <c r="B630" s="166">
        <v>8188402.0</v>
      </c>
      <c r="C630" s="166" t="s">
        <v>89</v>
      </c>
      <c r="D630" s="166" t="s">
        <v>35</v>
      </c>
      <c r="E630" s="166">
        <v>5.872415423E9</v>
      </c>
      <c r="F630" s="166" t="s">
        <v>911</v>
      </c>
      <c r="G630" s="165">
        <v>46160.0</v>
      </c>
      <c r="H630" s="167">
        <v>46165.0</v>
      </c>
      <c r="I630" s="168">
        <v>5.0</v>
      </c>
      <c r="J630" s="169" t="s">
        <v>91</v>
      </c>
      <c r="K630" s="166" t="s">
        <v>79</v>
      </c>
      <c r="L630" s="166" t="s">
        <v>80</v>
      </c>
      <c r="M630" s="166">
        <v>0.0</v>
      </c>
      <c r="N630" s="170">
        <v>0.0</v>
      </c>
      <c r="O630" s="171">
        <v>0.0</v>
      </c>
      <c r="P630" s="171">
        <v>0.0</v>
      </c>
      <c r="Q630" s="172">
        <v>0.0</v>
      </c>
      <c r="R630" s="173">
        <v>0.0</v>
      </c>
      <c r="S630" s="173">
        <v>0.0</v>
      </c>
      <c r="T630" s="173">
        <v>0.0</v>
      </c>
      <c r="U630" s="201" t="s">
        <v>912</v>
      </c>
      <c r="V630" s="165">
        <v>46077.0</v>
      </c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</row>
    <row r="631">
      <c r="A631" s="176">
        <v>45934.0</v>
      </c>
      <c r="B631" s="177">
        <v>7644092.0</v>
      </c>
      <c r="C631" s="178" t="s">
        <v>89</v>
      </c>
      <c r="D631" s="178" t="s">
        <v>35</v>
      </c>
      <c r="E631" s="177">
        <v>5.715707168E9</v>
      </c>
      <c r="F631" s="178" t="s">
        <v>913</v>
      </c>
      <c r="G631" s="176">
        <v>46163.0</v>
      </c>
      <c r="H631" s="179">
        <v>46166.0</v>
      </c>
      <c r="I631" s="180">
        <v>3.0</v>
      </c>
      <c r="J631" s="181" t="s">
        <v>78</v>
      </c>
      <c r="K631" s="178" t="s">
        <v>79</v>
      </c>
      <c r="L631" s="178" t="s">
        <v>80</v>
      </c>
      <c r="M631" s="182">
        <v>0.0</v>
      </c>
      <c r="N631" s="183">
        <v>0.0</v>
      </c>
      <c r="O631" s="184">
        <v>0.0</v>
      </c>
      <c r="P631" s="184">
        <v>0.0</v>
      </c>
      <c r="Q631" s="185">
        <v>0.0</v>
      </c>
      <c r="R631" s="186">
        <v>0.0</v>
      </c>
      <c r="S631" s="186">
        <v>0.0</v>
      </c>
      <c r="T631" s="186">
        <v>0.0</v>
      </c>
      <c r="U631" s="187" t="s">
        <v>914</v>
      </c>
      <c r="V631" s="176">
        <v>46005.0</v>
      </c>
      <c r="W631" s="175"/>
      <c r="X631" s="175"/>
      <c r="Y631" s="175"/>
      <c r="Z631" s="175"/>
      <c r="AA631" s="175"/>
      <c r="AB631" s="175"/>
      <c r="AC631" s="175"/>
      <c r="AD631" s="175"/>
      <c r="AE631" s="175"/>
      <c r="AF631" s="175"/>
      <c r="AG631" s="175"/>
      <c r="AH631" s="175"/>
      <c r="AI631" s="175"/>
    </row>
    <row r="632">
      <c r="A632" s="154">
        <v>45980.0</v>
      </c>
      <c r="B632" s="155">
        <v>7823644.0</v>
      </c>
      <c r="C632" s="156" t="s">
        <v>82</v>
      </c>
      <c r="D632" s="156" t="s">
        <v>35</v>
      </c>
      <c r="E632" s="155">
        <v>5.05115488E9</v>
      </c>
      <c r="F632" s="156" t="s">
        <v>915</v>
      </c>
      <c r="G632" s="154">
        <v>46163.0</v>
      </c>
      <c r="H632" s="157">
        <v>46166.0</v>
      </c>
      <c r="I632" s="158">
        <v>3.0</v>
      </c>
      <c r="J632" s="159" t="s">
        <v>78</v>
      </c>
      <c r="K632" s="156" t="s">
        <v>79</v>
      </c>
      <c r="L632" s="156" t="s">
        <v>80</v>
      </c>
      <c r="M632" s="155">
        <v>2.0</v>
      </c>
      <c r="N632" s="160">
        <v>0.19999999999999996</v>
      </c>
      <c r="O632" s="161">
        <v>155.74</v>
      </c>
      <c r="P632" s="161">
        <v>124.59200000000001</v>
      </c>
      <c r="Q632" s="159">
        <v>0.0</v>
      </c>
      <c r="R632" s="162">
        <v>373.77600000000007</v>
      </c>
      <c r="S632" s="162">
        <v>0.0</v>
      </c>
      <c r="T632" s="162">
        <v>482.22</v>
      </c>
      <c r="U632" s="163" t="s">
        <v>161</v>
      </c>
      <c r="V632" s="154">
        <v>45980.0</v>
      </c>
      <c r="W632" s="164"/>
      <c r="X632" s="164"/>
      <c r="Y632" s="164"/>
      <c r="Z632" s="164"/>
      <c r="AA632" s="164"/>
      <c r="AB632" s="164"/>
      <c r="AC632" s="164"/>
      <c r="AD632" s="164"/>
      <c r="AE632" s="164"/>
      <c r="AF632" s="164"/>
      <c r="AG632" s="164"/>
      <c r="AH632" s="164"/>
      <c r="AI632" s="164"/>
    </row>
    <row r="633">
      <c r="A633" s="165">
        <v>45981.0</v>
      </c>
      <c r="B633" s="166">
        <v>7827674.0</v>
      </c>
      <c r="C633" s="166" t="s">
        <v>89</v>
      </c>
      <c r="D633" s="166" t="s">
        <v>36</v>
      </c>
      <c r="E633" s="166">
        <v>7827674.0</v>
      </c>
      <c r="F633" s="166" t="s">
        <v>916</v>
      </c>
      <c r="G633" s="165">
        <v>46163.0</v>
      </c>
      <c r="H633" s="167">
        <v>46166.0</v>
      </c>
      <c r="I633" s="168">
        <v>3.0</v>
      </c>
      <c r="J633" s="169" t="s">
        <v>87</v>
      </c>
      <c r="K633" s="166" t="s">
        <v>79</v>
      </c>
      <c r="L633" s="166" t="s">
        <v>96</v>
      </c>
      <c r="M633" s="166">
        <v>0.0</v>
      </c>
      <c r="N633" s="170">
        <v>0.0</v>
      </c>
      <c r="O633" s="171">
        <v>0.0</v>
      </c>
      <c r="P633" s="171">
        <v>0.0</v>
      </c>
      <c r="Q633" s="172">
        <v>0.0</v>
      </c>
      <c r="R633" s="173">
        <v>0.0</v>
      </c>
      <c r="S633" s="173">
        <v>0.0</v>
      </c>
      <c r="T633" s="173">
        <v>0.0</v>
      </c>
      <c r="U633" s="201" t="s">
        <v>917</v>
      </c>
      <c r="V633" s="165">
        <v>45981.0</v>
      </c>
      <c r="W633" s="175"/>
      <c r="X633" s="175"/>
      <c r="Y633" s="175"/>
      <c r="Z633" s="175"/>
      <c r="AA633" s="175"/>
      <c r="AB633" s="175"/>
      <c r="AC633" s="175"/>
      <c r="AD633" s="175"/>
      <c r="AE633" s="175"/>
      <c r="AF633" s="175"/>
      <c r="AG633" s="175"/>
      <c r="AH633" s="175"/>
      <c r="AI633" s="175"/>
    </row>
    <row r="634">
      <c r="A634" s="176">
        <v>45981.0</v>
      </c>
      <c r="B634" s="177">
        <v>7827682.0</v>
      </c>
      <c r="C634" s="178" t="s">
        <v>89</v>
      </c>
      <c r="D634" s="178" t="s">
        <v>94</v>
      </c>
      <c r="E634" s="177">
        <v>7827682.0</v>
      </c>
      <c r="F634" s="178" t="s">
        <v>916</v>
      </c>
      <c r="G634" s="176">
        <v>46163.0</v>
      </c>
      <c r="H634" s="179">
        <v>46166.0</v>
      </c>
      <c r="I634" s="180">
        <v>3.0</v>
      </c>
      <c r="J634" s="181" t="s">
        <v>78</v>
      </c>
      <c r="K634" s="178" t="s">
        <v>79</v>
      </c>
      <c r="L634" s="178" t="s">
        <v>96</v>
      </c>
      <c r="M634" s="182">
        <v>0.0</v>
      </c>
      <c r="N634" s="183">
        <v>0.0</v>
      </c>
      <c r="O634" s="184">
        <v>0.0</v>
      </c>
      <c r="P634" s="184">
        <v>0.0</v>
      </c>
      <c r="Q634" s="185">
        <v>0.0</v>
      </c>
      <c r="R634" s="186">
        <v>0.0</v>
      </c>
      <c r="S634" s="186">
        <v>0.0</v>
      </c>
      <c r="T634" s="186">
        <v>0.0</v>
      </c>
      <c r="U634" s="187" t="s">
        <v>917</v>
      </c>
      <c r="V634" s="176">
        <v>45981.0</v>
      </c>
      <c r="W634" s="175"/>
      <c r="X634" s="175"/>
      <c r="Y634" s="175"/>
      <c r="Z634" s="175"/>
      <c r="AA634" s="175"/>
      <c r="AB634" s="175"/>
      <c r="AC634" s="175"/>
      <c r="AD634" s="175"/>
      <c r="AE634" s="175"/>
      <c r="AF634" s="175"/>
      <c r="AG634" s="175"/>
      <c r="AH634" s="175"/>
      <c r="AI634" s="175"/>
    </row>
    <row r="635">
      <c r="A635" s="165">
        <v>45981.0</v>
      </c>
      <c r="B635" s="166">
        <v>7827828.0</v>
      </c>
      <c r="C635" s="166" t="s">
        <v>82</v>
      </c>
      <c r="D635" s="166" t="s">
        <v>94</v>
      </c>
      <c r="E635" s="166">
        <v>7827828.0</v>
      </c>
      <c r="F635" s="166" t="s">
        <v>916</v>
      </c>
      <c r="G635" s="165">
        <v>46163.0</v>
      </c>
      <c r="H635" s="167">
        <v>46166.0</v>
      </c>
      <c r="I635" s="168">
        <v>3.0</v>
      </c>
      <c r="J635" s="169" t="s">
        <v>87</v>
      </c>
      <c r="K635" s="166" t="s">
        <v>79</v>
      </c>
      <c r="L635" s="166" t="s">
        <v>96</v>
      </c>
      <c r="M635" s="205">
        <v>2.0</v>
      </c>
      <c r="N635" s="170">
        <v>0.0</v>
      </c>
      <c r="O635" s="171">
        <v>210.24</v>
      </c>
      <c r="P635" s="171">
        <v>210.24</v>
      </c>
      <c r="Q635" s="172">
        <v>0.0</v>
      </c>
      <c r="R635" s="173">
        <v>630.72</v>
      </c>
      <c r="S635" s="173">
        <v>0.0</v>
      </c>
      <c r="T635" s="173">
        <v>4498.56</v>
      </c>
      <c r="U635" s="174" t="s">
        <v>97</v>
      </c>
      <c r="V635" s="165">
        <v>45981.0</v>
      </c>
      <c r="W635" s="175"/>
      <c r="X635" s="175"/>
      <c r="Y635" s="175"/>
      <c r="Z635" s="175"/>
      <c r="AA635" s="175"/>
      <c r="AB635" s="175"/>
      <c r="AC635" s="175"/>
      <c r="AD635" s="175"/>
      <c r="AE635" s="175"/>
      <c r="AF635" s="175"/>
      <c r="AG635" s="175"/>
      <c r="AH635" s="175"/>
      <c r="AI635" s="175"/>
    </row>
    <row r="636">
      <c r="A636" s="176">
        <v>45981.0</v>
      </c>
      <c r="B636" s="177">
        <v>7827828.0</v>
      </c>
      <c r="C636" s="178" t="s">
        <v>82</v>
      </c>
      <c r="D636" s="178" t="s">
        <v>94</v>
      </c>
      <c r="E636" s="177">
        <v>7827828.0</v>
      </c>
      <c r="F636" s="178" t="s">
        <v>916</v>
      </c>
      <c r="G636" s="176">
        <v>46163.0</v>
      </c>
      <c r="H636" s="179">
        <v>46166.0</v>
      </c>
      <c r="I636" s="180">
        <v>3.0</v>
      </c>
      <c r="J636" s="181" t="s">
        <v>78</v>
      </c>
      <c r="K636" s="178" t="s">
        <v>79</v>
      </c>
      <c r="L636" s="178" t="s">
        <v>96</v>
      </c>
      <c r="M636" s="182">
        <v>2.0</v>
      </c>
      <c r="N636" s="183">
        <v>0.0</v>
      </c>
      <c r="O636" s="184">
        <v>239.76</v>
      </c>
      <c r="P636" s="184">
        <v>239.76</v>
      </c>
      <c r="Q636" s="185">
        <v>0.0</v>
      </c>
      <c r="R636" s="186">
        <v>719.28</v>
      </c>
      <c r="S636" s="186">
        <v>0.0</v>
      </c>
      <c r="T636" s="186">
        <v>4498.56</v>
      </c>
      <c r="U636" s="187" t="s">
        <v>97</v>
      </c>
      <c r="V636" s="176">
        <v>45981.0</v>
      </c>
      <c r="W636" s="164"/>
      <c r="X636" s="164"/>
      <c r="Y636" s="164"/>
      <c r="Z636" s="164"/>
      <c r="AA636" s="164"/>
      <c r="AB636" s="164"/>
      <c r="AC636" s="164"/>
      <c r="AD636" s="164"/>
      <c r="AE636" s="164"/>
      <c r="AF636" s="164"/>
      <c r="AG636" s="164"/>
      <c r="AH636" s="164"/>
      <c r="AI636" s="164"/>
    </row>
    <row r="637">
      <c r="A637" s="165">
        <v>45981.0</v>
      </c>
      <c r="B637" s="166">
        <v>7827828.0</v>
      </c>
      <c r="C637" s="166" t="s">
        <v>82</v>
      </c>
      <c r="D637" s="166" t="s">
        <v>94</v>
      </c>
      <c r="E637" s="166">
        <v>7827828.0</v>
      </c>
      <c r="F637" s="166" t="s">
        <v>916</v>
      </c>
      <c r="G637" s="165">
        <v>46163.0</v>
      </c>
      <c r="H637" s="167">
        <v>46166.0</v>
      </c>
      <c r="I637" s="168">
        <v>3.0</v>
      </c>
      <c r="J637" s="169" t="s">
        <v>78</v>
      </c>
      <c r="K637" s="166" t="s">
        <v>79</v>
      </c>
      <c r="L637" s="166" t="s">
        <v>96</v>
      </c>
      <c r="M637" s="166">
        <v>2.0</v>
      </c>
      <c r="N637" s="170">
        <v>0.0</v>
      </c>
      <c r="O637" s="171">
        <v>239.76</v>
      </c>
      <c r="P637" s="171">
        <v>239.76</v>
      </c>
      <c r="Q637" s="172">
        <v>0.0</v>
      </c>
      <c r="R637" s="173">
        <v>719.28</v>
      </c>
      <c r="S637" s="173">
        <v>0.0</v>
      </c>
      <c r="T637" s="173">
        <v>4498.56</v>
      </c>
      <c r="U637" s="201" t="s">
        <v>97</v>
      </c>
      <c r="V637" s="165">
        <v>45981.0</v>
      </c>
      <c r="W637" s="175"/>
      <c r="X637" s="175"/>
      <c r="Y637" s="175"/>
      <c r="Z637" s="175"/>
      <c r="AA637" s="175"/>
      <c r="AB637" s="175"/>
      <c r="AC637" s="175"/>
      <c r="AD637" s="175"/>
      <c r="AE637" s="175"/>
      <c r="AF637" s="175"/>
      <c r="AG637" s="175"/>
      <c r="AH637" s="175"/>
      <c r="AI637" s="175"/>
    </row>
    <row r="638">
      <c r="A638" s="165">
        <v>45981.0</v>
      </c>
      <c r="B638" s="166">
        <v>7827828.0</v>
      </c>
      <c r="C638" s="166" t="s">
        <v>82</v>
      </c>
      <c r="D638" s="166" t="s">
        <v>94</v>
      </c>
      <c r="E638" s="166">
        <v>7827828.0</v>
      </c>
      <c r="F638" s="166" t="s">
        <v>916</v>
      </c>
      <c r="G638" s="165">
        <v>46163.0</v>
      </c>
      <c r="H638" s="167">
        <v>46166.0</v>
      </c>
      <c r="I638" s="168">
        <v>3.0</v>
      </c>
      <c r="J638" s="169" t="s">
        <v>78</v>
      </c>
      <c r="K638" s="166" t="s">
        <v>79</v>
      </c>
      <c r="L638" s="166" t="s">
        <v>96</v>
      </c>
      <c r="M638" s="166">
        <v>2.0</v>
      </c>
      <c r="N638" s="170">
        <v>0.0</v>
      </c>
      <c r="O638" s="171">
        <v>239.76</v>
      </c>
      <c r="P638" s="171">
        <v>239.76</v>
      </c>
      <c r="Q638" s="172">
        <v>0.0</v>
      </c>
      <c r="R638" s="173">
        <v>719.28</v>
      </c>
      <c r="S638" s="173">
        <v>0.0</v>
      </c>
      <c r="T638" s="173">
        <v>4498.56</v>
      </c>
      <c r="U638" s="201" t="s">
        <v>97</v>
      </c>
      <c r="V638" s="165">
        <v>45981.0</v>
      </c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</row>
    <row r="639">
      <c r="A639" s="165">
        <v>45981.0</v>
      </c>
      <c r="B639" s="166">
        <v>7827828.0</v>
      </c>
      <c r="C639" s="166" t="s">
        <v>82</v>
      </c>
      <c r="D639" s="166" t="s">
        <v>94</v>
      </c>
      <c r="E639" s="166">
        <v>7827828.0</v>
      </c>
      <c r="F639" s="166" t="s">
        <v>916</v>
      </c>
      <c r="G639" s="165">
        <v>46163.0</v>
      </c>
      <c r="H639" s="167">
        <v>46166.0</v>
      </c>
      <c r="I639" s="168">
        <v>3.0</v>
      </c>
      <c r="J639" s="169" t="s">
        <v>114</v>
      </c>
      <c r="K639" s="166" t="s">
        <v>79</v>
      </c>
      <c r="L639" s="166" t="s">
        <v>96</v>
      </c>
      <c r="M639" s="205">
        <v>2.0</v>
      </c>
      <c r="N639" s="170">
        <v>0.0</v>
      </c>
      <c r="O639" s="171">
        <v>270.0</v>
      </c>
      <c r="P639" s="171">
        <v>270.0</v>
      </c>
      <c r="Q639" s="172">
        <v>0.0</v>
      </c>
      <c r="R639" s="173">
        <v>810.0</v>
      </c>
      <c r="S639" s="173">
        <v>0.0</v>
      </c>
      <c r="T639" s="173">
        <v>4498.56</v>
      </c>
      <c r="U639" s="201" t="s">
        <v>97</v>
      </c>
      <c r="V639" s="165">
        <v>45981.0</v>
      </c>
      <c r="W639" s="175"/>
      <c r="X639" s="175"/>
      <c r="Y639" s="175"/>
      <c r="Z639" s="175"/>
      <c r="AA639" s="175"/>
      <c r="AB639" s="175"/>
      <c r="AC639" s="175"/>
      <c r="AD639" s="175"/>
      <c r="AE639" s="175"/>
      <c r="AF639" s="175"/>
      <c r="AG639" s="175"/>
      <c r="AH639" s="175"/>
      <c r="AI639" s="175"/>
    </row>
    <row r="640">
      <c r="A640" s="165">
        <v>45981.0</v>
      </c>
      <c r="B640" s="166">
        <v>7827828.0</v>
      </c>
      <c r="C640" s="166" t="s">
        <v>82</v>
      </c>
      <c r="D640" s="166" t="s">
        <v>94</v>
      </c>
      <c r="E640" s="166">
        <v>7827828.0</v>
      </c>
      <c r="F640" s="166" t="s">
        <v>916</v>
      </c>
      <c r="G640" s="165">
        <v>46163.0</v>
      </c>
      <c r="H640" s="167">
        <v>46166.0</v>
      </c>
      <c r="I640" s="168">
        <v>3.0</v>
      </c>
      <c r="J640" s="169" t="s">
        <v>114</v>
      </c>
      <c r="K640" s="166" t="s">
        <v>79</v>
      </c>
      <c r="L640" s="166" t="s">
        <v>96</v>
      </c>
      <c r="M640" s="205">
        <v>2.0</v>
      </c>
      <c r="N640" s="170">
        <v>0.0</v>
      </c>
      <c r="O640" s="171">
        <v>270.0</v>
      </c>
      <c r="P640" s="171">
        <v>270.0</v>
      </c>
      <c r="Q640" s="172">
        <v>0.0</v>
      </c>
      <c r="R640" s="173">
        <v>810.0</v>
      </c>
      <c r="S640" s="173">
        <v>0.0</v>
      </c>
      <c r="T640" s="173">
        <v>4498.56</v>
      </c>
      <c r="U640" s="174" t="s">
        <v>97</v>
      </c>
      <c r="V640" s="165">
        <v>45981.0</v>
      </c>
      <c r="W640" s="175"/>
      <c r="X640" s="175"/>
      <c r="Y640" s="175"/>
      <c r="Z640" s="175"/>
      <c r="AA640" s="175"/>
      <c r="AB640" s="175"/>
      <c r="AC640" s="175"/>
      <c r="AD640" s="175"/>
      <c r="AE640" s="175"/>
      <c r="AF640" s="175"/>
      <c r="AG640" s="175"/>
      <c r="AH640" s="175"/>
      <c r="AI640" s="175"/>
    </row>
    <row r="641">
      <c r="A641" s="165">
        <v>45983.0</v>
      </c>
      <c r="B641" s="166">
        <v>7836741.0</v>
      </c>
      <c r="C641" s="166" t="s">
        <v>89</v>
      </c>
      <c r="D641" s="166" t="s">
        <v>35</v>
      </c>
      <c r="E641" s="166">
        <v>6.384229907E9</v>
      </c>
      <c r="F641" s="166" t="s">
        <v>918</v>
      </c>
      <c r="G641" s="165">
        <v>46163.0</v>
      </c>
      <c r="H641" s="167">
        <v>46166.0</v>
      </c>
      <c r="I641" s="168">
        <v>3.0</v>
      </c>
      <c r="J641" s="169" t="s">
        <v>111</v>
      </c>
      <c r="K641" s="166" t="s">
        <v>79</v>
      </c>
      <c r="L641" s="166" t="s">
        <v>80</v>
      </c>
      <c r="M641" s="205">
        <v>0.0</v>
      </c>
      <c r="N641" s="170">
        <v>0.0</v>
      </c>
      <c r="O641" s="171">
        <v>0.0</v>
      </c>
      <c r="P641" s="171">
        <v>0.0</v>
      </c>
      <c r="Q641" s="172">
        <v>0.0</v>
      </c>
      <c r="R641" s="173">
        <v>0.0</v>
      </c>
      <c r="S641" s="173">
        <v>0.0</v>
      </c>
      <c r="T641" s="173">
        <v>0.0</v>
      </c>
      <c r="U641" s="174" t="s">
        <v>743</v>
      </c>
      <c r="V641" s="165">
        <v>45998.0</v>
      </c>
      <c r="W641" s="175"/>
      <c r="X641" s="175"/>
      <c r="Y641" s="175"/>
      <c r="Z641" s="175"/>
      <c r="AA641" s="175"/>
      <c r="AB641" s="175"/>
      <c r="AC641" s="175"/>
      <c r="AD641" s="175"/>
      <c r="AE641" s="175"/>
      <c r="AF641" s="175"/>
      <c r="AG641" s="175"/>
      <c r="AH641" s="175"/>
      <c r="AI641" s="175"/>
    </row>
    <row r="642">
      <c r="A642" s="165">
        <v>46043.0</v>
      </c>
      <c r="B642" s="166">
        <v>8065440.0</v>
      </c>
      <c r="C642" s="166" t="s">
        <v>82</v>
      </c>
      <c r="D642" s="166" t="s">
        <v>35</v>
      </c>
      <c r="E642" s="166">
        <v>5.256177341E9</v>
      </c>
      <c r="F642" s="166" t="s">
        <v>919</v>
      </c>
      <c r="G642" s="165">
        <v>46163.0</v>
      </c>
      <c r="H642" s="167">
        <v>46168.0</v>
      </c>
      <c r="I642" s="168">
        <v>5.0</v>
      </c>
      <c r="J642" s="169" t="s">
        <v>111</v>
      </c>
      <c r="K642" s="166" t="s">
        <v>79</v>
      </c>
      <c r="L642" s="166" t="s">
        <v>80</v>
      </c>
      <c r="M642" s="166">
        <v>2.0</v>
      </c>
      <c r="N642" s="170">
        <v>0.19999999999999996</v>
      </c>
      <c r="O642" s="171">
        <v>212.84</v>
      </c>
      <c r="P642" s="171">
        <v>170.27200000000002</v>
      </c>
      <c r="Q642" s="172">
        <v>0.0</v>
      </c>
      <c r="R642" s="173">
        <v>851.3600000000001</v>
      </c>
      <c r="S642" s="173">
        <v>0.0</v>
      </c>
      <c r="T642" s="173">
        <v>1089.2</v>
      </c>
      <c r="U642" s="201" t="s">
        <v>107</v>
      </c>
      <c r="V642" s="212">
        <v>46043.0</v>
      </c>
      <c r="W642" s="175"/>
      <c r="X642" s="175"/>
      <c r="Y642" s="175"/>
      <c r="Z642" s="175"/>
      <c r="AA642" s="175"/>
      <c r="AB642" s="175"/>
      <c r="AC642" s="175"/>
      <c r="AD642" s="175"/>
      <c r="AE642" s="175"/>
      <c r="AF642" s="175"/>
      <c r="AG642" s="175"/>
      <c r="AH642" s="175"/>
      <c r="AI642" s="175"/>
    </row>
    <row r="643">
      <c r="A643" s="176">
        <v>46020.0</v>
      </c>
      <c r="B643" s="177">
        <v>7969727.0</v>
      </c>
      <c r="C643" s="178" t="s">
        <v>82</v>
      </c>
      <c r="D643" s="178" t="s">
        <v>35</v>
      </c>
      <c r="E643" s="177">
        <v>5.032512483E9</v>
      </c>
      <c r="F643" s="178" t="s">
        <v>920</v>
      </c>
      <c r="G643" s="176">
        <v>46164.0</v>
      </c>
      <c r="H643" s="179">
        <v>46165.0</v>
      </c>
      <c r="I643" s="180">
        <v>1.0</v>
      </c>
      <c r="J643" s="181" t="s">
        <v>78</v>
      </c>
      <c r="K643" s="178" t="s">
        <v>79</v>
      </c>
      <c r="L643" s="178" t="s">
        <v>80</v>
      </c>
      <c r="M643" s="182">
        <v>2.0</v>
      </c>
      <c r="N643" s="181">
        <v>0.19999999999999996</v>
      </c>
      <c r="O643" s="184">
        <v>218.98</v>
      </c>
      <c r="P643" s="184">
        <v>175.184</v>
      </c>
      <c r="Q643" s="181">
        <v>0.0</v>
      </c>
      <c r="R643" s="186">
        <v>175.184</v>
      </c>
      <c r="S643" s="186">
        <v>0.0</v>
      </c>
      <c r="T643" s="186">
        <v>223.98</v>
      </c>
      <c r="U643" s="187" t="s">
        <v>353</v>
      </c>
      <c r="V643" s="176">
        <v>46020.0</v>
      </c>
      <c r="W643" s="175"/>
      <c r="X643" s="175"/>
      <c r="Y643" s="175"/>
      <c r="Z643" s="175"/>
      <c r="AA643" s="175"/>
      <c r="AB643" s="175"/>
      <c r="AC643" s="175"/>
      <c r="AD643" s="175"/>
      <c r="AE643" s="175"/>
      <c r="AF643" s="175"/>
      <c r="AG643" s="175"/>
      <c r="AH643" s="175"/>
      <c r="AI643" s="175"/>
    </row>
    <row r="644">
      <c r="A644" s="154">
        <v>46068.0</v>
      </c>
      <c r="B644" s="155">
        <v>8175987.0</v>
      </c>
      <c r="C644" s="156" t="s">
        <v>89</v>
      </c>
      <c r="D644" s="156" t="s">
        <v>35</v>
      </c>
      <c r="E644" s="155">
        <v>5.4890087E9</v>
      </c>
      <c r="F644" s="156" t="s">
        <v>921</v>
      </c>
      <c r="G644" s="154">
        <v>46164.0</v>
      </c>
      <c r="H644" s="157">
        <v>46168.0</v>
      </c>
      <c r="I644" s="158">
        <v>4.0</v>
      </c>
      <c r="J644" s="159" t="s">
        <v>111</v>
      </c>
      <c r="K644" s="156" t="s">
        <v>79</v>
      </c>
      <c r="L644" s="156" t="s">
        <v>80</v>
      </c>
      <c r="M644" s="155">
        <v>0.0</v>
      </c>
      <c r="N644" s="160">
        <v>0.0</v>
      </c>
      <c r="O644" s="161">
        <v>0.0</v>
      </c>
      <c r="P644" s="161">
        <v>0.0</v>
      </c>
      <c r="Q644" s="203">
        <v>0.0</v>
      </c>
      <c r="R644" s="162">
        <v>0.0</v>
      </c>
      <c r="S644" s="162">
        <v>0.0</v>
      </c>
      <c r="T644" s="162">
        <v>0.0</v>
      </c>
      <c r="U644" s="163" t="s">
        <v>757</v>
      </c>
      <c r="V644" s="154">
        <v>46070.0</v>
      </c>
      <c r="W644" s="175"/>
      <c r="X644" s="175"/>
      <c r="Y644" s="175"/>
      <c r="Z644" s="175"/>
      <c r="AA644" s="175"/>
      <c r="AB644" s="175"/>
      <c r="AC644" s="175"/>
      <c r="AD644" s="175"/>
      <c r="AE644" s="175"/>
      <c r="AF644" s="175"/>
      <c r="AG644" s="175"/>
      <c r="AH644" s="175"/>
      <c r="AI644" s="175"/>
    </row>
    <row r="645">
      <c r="A645" s="176">
        <v>46029.0</v>
      </c>
      <c r="B645" s="177">
        <v>8001262.0</v>
      </c>
      <c r="C645" s="178" t="s">
        <v>82</v>
      </c>
      <c r="D645" s="178" t="s">
        <v>35</v>
      </c>
      <c r="E645" s="177">
        <v>5.616894933E9</v>
      </c>
      <c r="F645" s="178" t="s">
        <v>922</v>
      </c>
      <c r="G645" s="176">
        <v>46165.0</v>
      </c>
      <c r="H645" s="179">
        <v>46167.0</v>
      </c>
      <c r="I645" s="180">
        <v>2.0</v>
      </c>
      <c r="J645" s="181" t="s">
        <v>91</v>
      </c>
      <c r="K645" s="178" t="s">
        <v>79</v>
      </c>
      <c r="L645" s="178" t="s">
        <v>80</v>
      </c>
      <c r="M645" s="182">
        <v>4.0</v>
      </c>
      <c r="N645" s="183">
        <v>0.19999999999999996</v>
      </c>
      <c r="O645" s="184">
        <v>453.08</v>
      </c>
      <c r="P645" s="184">
        <v>362.464</v>
      </c>
      <c r="Q645" s="185">
        <v>0.0</v>
      </c>
      <c r="R645" s="186">
        <v>724.928</v>
      </c>
      <c r="S645" s="186">
        <v>0.0</v>
      </c>
      <c r="T645" s="186">
        <v>926.16</v>
      </c>
      <c r="U645" s="187" t="s">
        <v>161</v>
      </c>
      <c r="V645" s="176">
        <v>46029.0</v>
      </c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</row>
    <row r="646">
      <c r="A646" s="165">
        <v>46039.0</v>
      </c>
      <c r="B646" s="166">
        <v>8047849.0</v>
      </c>
      <c r="C646" s="166" t="s">
        <v>89</v>
      </c>
      <c r="D646" s="166" t="s">
        <v>35</v>
      </c>
      <c r="E646" s="166">
        <v>5.119352957E9</v>
      </c>
      <c r="F646" s="166" t="s">
        <v>923</v>
      </c>
      <c r="G646" s="165">
        <v>46165.0</v>
      </c>
      <c r="H646" s="167">
        <v>46169.0</v>
      </c>
      <c r="I646" s="168">
        <v>4.0</v>
      </c>
      <c r="J646" s="169" t="s">
        <v>78</v>
      </c>
      <c r="K646" s="166" t="s">
        <v>79</v>
      </c>
      <c r="L646" s="166" t="s">
        <v>80</v>
      </c>
      <c r="M646" s="166">
        <v>0.0</v>
      </c>
      <c r="N646" s="170">
        <v>0.0</v>
      </c>
      <c r="O646" s="171">
        <v>0.0</v>
      </c>
      <c r="P646" s="171">
        <v>0.0</v>
      </c>
      <c r="Q646" s="172">
        <v>0.0</v>
      </c>
      <c r="R646" s="173">
        <v>0.0</v>
      </c>
      <c r="S646" s="173">
        <v>0.0</v>
      </c>
      <c r="T646" s="173">
        <v>0.0</v>
      </c>
      <c r="U646" s="201" t="s">
        <v>924</v>
      </c>
      <c r="V646" s="165">
        <v>46084.0</v>
      </c>
      <c r="W646" s="175"/>
      <c r="X646" s="175"/>
      <c r="Y646" s="175"/>
      <c r="Z646" s="175"/>
      <c r="AA646" s="175"/>
      <c r="AB646" s="175"/>
      <c r="AC646" s="175"/>
      <c r="AD646" s="175"/>
      <c r="AE646" s="175"/>
      <c r="AF646" s="175"/>
      <c r="AG646" s="175"/>
      <c r="AH646" s="175"/>
      <c r="AI646" s="175"/>
    </row>
    <row r="647">
      <c r="A647" s="190">
        <v>46074.0</v>
      </c>
      <c r="B647" s="191">
        <v>8202672.0</v>
      </c>
      <c r="C647" s="192" t="s">
        <v>89</v>
      </c>
      <c r="D647" s="192" t="s">
        <v>35</v>
      </c>
      <c r="E647" s="191">
        <v>5.687968557E9</v>
      </c>
      <c r="F647" s="192" t="s">
        <v>925</v>
      </c>
      <c r="G647" s="190">
        <v>46165.0</v>
      </c>
      <c r="H647" s="193">
        <v>46168.0</v>
      </c>
      <c r="I647" s="194">
        <v>3.0</v>
      </c>
      <c r="J647" s="195" t="s">
        <v>111</v>
      </c>
      <c r="K647" s="192" t="s">
        <v>79</v>
      </c>
      <c r="L647" s="192" t="s">
        <v>80</v>
      </c>
      <c r="M647" s="211">
        <v>0.0</v>
      </c>
      <c r="N647" s="196">
        <v>0.0</v>
      </c>
      <c r="O647" s="197">
        <v>0.0</v>
      </c>
      <c r="P647" s="197">
        <v>0.0</v>
      </c>
      <c r="Q647" s="198">
        <v>0.0</v>
      </c>
      <c r="R647" s="199">
        <v>0.0</v>
      </c>
      <c r="S647" s="199">
        <v>0.0</v>
      </c>
      <c r="T647" s="199">
        <v>0.0</v>
      </c>
      <c r="U647" s="200" t="s">
        <v>926</v>
      </c>
      <c r="V647" s="190">
        <v>46165.0</v>
      </c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</row>
    <row r="648">
      <c r="A648" s="176">
        <v>45883.0</v>
      </c>
      <c r="B648" s="177">
        <v>7418801.0</v>
      </c>
      <c r="C648" s="178" t="s">
        <v>89</v>
      </c>
      <c r="D648" s="178" t="s">
        <v>35</v>
      </c>
      <c r="E648" s="177">
        <v>6.452099679E9</v>
      </c>
      <c r="F648" s="178" t="s">
        <v>927</v>
      </c>
      <c r="G648" s="176">
        <v>46166.0</v>
      </c>
      <c r="H648" s="179">
        <v>46169.0</v>
      </c>
      <c r="I648" s="180">
        <v>3.0</v>
      </c>
      <c r="J648" s="181" t="s">
        <v>87</v>
      </c>
      <c r="K648" s="178" t="s">
        <v>79</v>
      </c>
      <c r="L648" s="178" t="s">
        <v>80</v>
      </c>
      <c r="M648" s="182">
        <v>0.0</v>
      </c>
      <c r="N648" s="183">
        <v>0.0</v>
      </c>
      <c r="O648" s="184">
        <v>0.0</v>
      </c>
      <c r="P648" s="184">
        <v>0.0</v>
      </c>
      <c r="Q648" s="185">
        <v>0.0</v>
      </c>
      <c r="R648" s="186">
        <v>0.0</v>
      </c>
      <c r="S648" s="186">
        <v>0.0</v>
      </c>
      <c r="T648" s="186">
        <v>0.0</v>
      </c>
      <c r="U648" s="187" t="s">
        <v>928</v>
      </c>
      <c r="V648" s="176">
        <v>46131.0</v>
      </c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</row>
    <row r="649">
      <c r="A649" s="154">
        <v>45859.0</v>
      </c>
      <c r="B649" s="155">
        <v>7307120.0</v>
      </c>
      <c r="C649" s="156" t="s">
        <v>89</v>
      </c>
      <c r="D649" s="156" t="s">
        <v>35</v>
      </c>
      <c r="E649" s="155">
        <v>5.40664599E9</v>
      </c>
      <c r="F649" s="156" t="s">
        <v>929</v>
      </c>
      <c r="G649" s="154">
        <v>46167.0</v>
      </c>
      <c r="H649" s="157">
        <v>46171.0</v>
      </c>
      <c r="I649" s="158">
        <v>4.0</v>
      </c>
      <c r="J649" s="159" t="s">
        <v>78</v>
      </c>
      <c r="K649" s="156" t="s">
        <v>79</v>
      </c>
      <c r="L649" s="156" t="s">
        <v>80</v>
      </c>
      <c r="M649" s="155">
        <v>0.0</v>
      </c>
      <c r="N649" s="160">
        <v>0.0</v>
      </c>
      <c r="O649" s="161">
        <v>0.0</v>
      </c>
      <c r="P649" s="161">
        <v>0.0</v>
      </c>
      <c r="Q649" s="203">
        <v>0.0</v>
      </c>
      <c r="R649" s="162">
        <v>0.0</v>
      </c>
      <c r="S649" s="162">
        <v>0.0</v>
      </c>
      <c r="T649" s="162">
        <v>0.0</v>
      </c>
      <c r="U649" s="156" t="s">
        <v>930</v>
      </c>
      <c r="V649" s="154">
        <v>45972.0</v>
      </c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</row>
    <row r="650">
      <c r="A650" s="154">
        <v>46059.0</v>
      </c>
      <c r="B650" s="155">
        <v>8137166.0</v>
      </c>
      <c r="C650" s="156" t="s">
        <v>82</v>
      </c>
      <c r="D650" s="156" t="s">
        <v>94</v>
      </c>
      <c r="E650" s="155">
        <v>8137166.0</v>
      </c>
      <c r="F650" s="156" t="s">
        <v>931</v>
      </c>
      <c r="G650" s="154">
        <v>46167.0</v>
      </c>
      <c r="H650" s="157">
        <v>46170.0</v>
      </c>
      <c r="I650" s="158">
        <v>3.0</v>
      </c>
      <c r="J650" s="159" t="s">
        <v>78</v>
      </c>
      <c r="K650" s="156" t="s">
        <v>79</v>
      </c>
      <c r="L650" s="156" t="s">
        <v>96</v>
      </c>
      <c r="M650" s="155">
        <v>2.0</v>
      </c>
      <c r="N650" s="160">
        <v>0.0</v>
      </c>
      <c r="O650" s="161">
        <v>239.76</v>
      </c>
      <c r="P650" s="161">
        <v>239.76</v>
      </c>
      <c r="Q650" s="203">
        <v>0.0</v>
      </c>
      <c r="R650" s="162">
        <v>719.28</v>
      </c>
      <c r="S650" s="162">
        <v>0.0</v>
      </c>
      <c r="T650" s="162">
        <v>734.28</v>
      </c>
      <c r="U650" s="163" t="s">
        <v>97</v>
      </c>
      <c r="V650" s="154">
        <v>46059.0</v>
      </c>
      <c r="W650" s="175"/>
      <c r="X650" s="175"/>
      <c r="Y650" s="175"/>
      <c r="Z650" s="175"/>
      <c r="AA650" s="175"/>
      <c r="AB650" s="175"/>
      <c r="AC650" s="175"/>
      <c r="AD650" s="175"/>
      <c r="AE650" s="175"/>
      <c r="AF650" s="175"/>
      <c r="AG650" s="175"/>
      <c r="AH650" s="175"/>
      <c r="AI650" s="175"/>
    </row>
    <row r="651">
      <c r="A651" s="165">
        <v>46061.0</v>
      </c>
      <c r="B651" s="166">
        <v>8145397.0</v>
      </c>
      <c r="C651" s="166" t="s">
        <v>82</v>
      </c>
      <c r="D651" s="166" t="s">
        <v>35</v>
      </c>
      <c r="E651" s="166">
        <v>6.365238622E9</v>
      </c>
      <c r="F651" s="166" t="s">
        <v>932</v>
      </c>
      <c r="G651" s="165">
        <v>46167.0</v>
      </c>
      <c r="H651" s="167">
        <v>46168.0</v>
      </c>
      <c r="I651" s="168">
        <v>1.0</v>
      </c>
      <c r="J651" s="169" t="s">
        <v>114</v>
      </c>
      <c r="K651" s="166" t="s">
        <v>138</v>
      </c>
      <c r="L651" s="166" t="s">
        <v>80</v>
      </c>
      <c r="M651" s="166">
        <v>2.0</v>
      </c>
      <c r="N651" s="170">
        <v>0.19999999999999996</v>
      </c>
      <c r="O651" s="171">
        <v>227.49</v>
      </c>
      <c r="P651" s="171">
        <v>181.99200000000002</v>
      </c>
      <c r="Q651" s="172">
        <v>36.0</v>
      </c>
      <c r="R651" s="173">
        <v>181.99200000000002</v>
      </c>
      <c r="S651" s="173">
        <v>36.0</v>
      </c>
      <c r="T651" s="173">
        <v>256.29</v>
      </c>
      <c r="U651" s="201" t="s">
        <v>678</v>
      </c>
      <c r="V651" s="207">
        <v>46061.0</v>
      </c>
      <c r="W651" s="164"/>
      <c r="X651" s="164"/>
      <c r="Y651" s="164"/>
      <c r="Z651" s="164"/>
      <c r="AA651" s="164"/>
      <c r="AB651" s="164"/>
      <c r="AC651" s="164"/>
      <c r="AD651" s="164"/>
      <c r="AE651" s="164"/>
      <c r="AF651" s="164"/>
      <c r="AG651" s="164"/>
      <c r="AH651" s="164"/>
      <c r="AI651" s="164"/>
    </row>
    <row r="652">
      <c r="A652" s="176">
        <v>45905.0</v>
      </c>
      <c r="B652" s="177">
        <v>7518140.0</v>
      </c>
      <c r="C652" s="178" t="s">
        <v>89</v>
      </c>
      <c r="D652" s="178" t="s">
        <v>35</v>
      </c>
      <c r="E652" s="177">
        <v>6.085401698E9</v>
      </c>
      <c r="F652" s="178" t="s">
        <v>933</v>
      </c>
      <c r="G652" s="176">
        <v>46168.0</v>
      </c>
      <c r="H652" s="179">
        <v>46169.0</v>
      </c>
      <c r="I652" s="180">
        <v>1.0</v>
      </c>
      <c r="J652" s="181" t="s">
        <v>78</v>
      </c>
      <c r="K652" s="178" t="s">
        <v>79</v>
      </c>
      <c r="L652" s="178" t="s">
        <v>80</v>
      </c>
      <c r="M652" s="182">
        <v>0.0</v>
      </c>
      <c r="N652" s="183">
        <v>0.0</v>
      </c>
      <c r="O652" s="184">
        <v>0.0</v>
      </c>
      <c r="P652" s="184">
        <v>0.0</v>
      </c>
      <c r="Q652" s="185">
        <v>0.0</v>
      </c>
      <c r="R652" s="186">
        <v>0.0</v>
      </c>
      <c r="S652" s="186">
        <v>0.0</v>
      </c>
      <c r="T652" s="186">
        <v>0.0</v>
      </c>
      <c r="U652" s="187" t="s">
        <v>934</v>
      </c>
      <c r="V652" s="176">
        <v>46097.0</v>
      </c>
      <c r="W652" s="175"/>
      <c r="X652" s="175"/>
      <c r="Y652" s="175"/>
      <c r="Z652" s="175"/>
      <c r="AA652" s="175"/>
      <c r="AB652" s="175"/>
      <c r="AC652" s="175"/>
      <c r="AD652" s="175"/>
      <c r="AE652" s="175"/>
      <c r="AF652" s="175"/>
      <c r="AG652" s="175"/>
      <c r="AH652" s="175"/>
      <c r="AI652" s="175"/>
    </row>
    <row r="653">
      <c r="A653" s="154">
        <v>46035.0</v>
      </c>
      <c r="B653" s="155">
        <v>8030549.0</v>
      </c>
      <c r="C653" s="156" t="s">
        <v>82</v>
      </c>
      <c r="D653" s="156" t="s">
        <v>35</v>
      </c>
      <c r="E653" s="155">
        <v>6.558069349E9</v>
      </c>
      <c r="F653" s="156" t="s">
        <v>935</v>
      </c>
      <c r="G653" s="154">
        <v>46169.0</v>
      </c>
      <c r="H653" s="157">
        <v>46171.0</v>
      </c>
      <c r="I653" s="158">
        <v>2.0</v>
      </c>
      <c r="J653" s="159" t="s">
        <v>78</v>
      </c>
      <c r="K653" s="156" t="s">
        <v>79</v>
      </c>
      <c r="L653" s="156" t="s">
        <v>80</v>
      </c>
      <c r="M653" s="155">
        <v>2.0</v>
      </c>
      <c r="N653" s="160">
        <v>0.19999999999999996</v>
      </c>
      <c r="O653" s="161">
        <v>184.54</v>
      </c>
      <c r="P653" s="161">
        <v>147.632</v>
      </c>
      <c r="Q653" s="203">
        <v>0.0</v>
      </c>
      <c r="R653" s="162">
        <v>295.264</v>
      </c>
      <c r="S653" s="162">
        <v>0.0</v>
      </c>
      <c r="T653" s="162">
        <v>379.08</v>
      </c>
      <c r="U653" s="163" t="s">
        <v>353</v>
      </c>
      <c r="V653" s="154">
        <v>46035.0</v>
      </c>
      <c r="W653" s="175"/>
      <c r="X653" s="175"/>
      <c r="Y653" s="175"/>
      <c r="Z653" s="175"/>
      <c r="AA653" s="175"/>
      <c r="AB653" s="175"/>
      <c r="AC653" s="175"/>
      <c r="AD653" s="175"/>
      <c r="AE653" s="175"/>
      <c r="AF653" s="175"/>
      <c r="AG653" s="175"/>
      <c r="AH653" s="175"/>
      <c r="AI653" s="175"/>
    </row>
    <row r="654">
      <c r="A654" s="165">
        <v>46039.0</v>
      </c>
      <c r="B654" s="166">
        <v>8045625.0</v>
      </c>
      <c r="C654" s="166" t="s">
        <v>82</v>
      </c>
      <c r="D654" s="166" t="s">
        <v>35</v>
      </c>
      <c r="E654" s="166">
        <v>5.638036855E9</v>
      </c>
      <c r="F654" s="166" t="s">
        <v>936</v>
      </c>
      <c r="G654" s="165">
        <v>46169.0</v>
      </c>
      <c r="H654" s="167">
        <v>46171.0</v>
      </c>
      <c r="I654" s="168">
        <v>2.0</v>
      </c>
      <c r="J654" s="169" t="s">
        <v>78</v>
      </c>
      <c r="K654" s="166" t="s">
        <v>79</v>
      </c>
      <c r="L654" s="166" t="s">
        <v>80</v>
      </c>
      <c r="M654" s="166">
        <v>2.0</v>
      </c>
      <c r="N654" s="170">
        <v>0.19999999999999996</v>
      </c>
      <c r="O654" s="171">
        <v>201.61</v>
      </c>
      <c r="P654" s="171">
        <v>161.288</v>
      </c>
      <c r="Q654" s="172">
        <v>0.0</v>
      </c>
      <c r="R654" s="173">
        <v>322.576</v>
      </c>
      <c r="S654" s="173">
        <v>0.0</v>
      </c>
      <c r="T654" s="173">
        <v>413.22</v>
      </c>
      <c r="U654" s="201" t="s">
        <v>303</v>
      </c>
      <c r="V654" s="165">
        <v>46039.0</v>
      </c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</row>
    <row r="655">
      <c r="A655" s="165">
        <v>46067.0</v>
      </c>
      <c r="B655" s="166">
        <v>8174242.0</v>
      </c>
      <c r="C655" s="166" t="s">
        <v>82</v>
      </c>
      <c r="D655" s="166" t="s">
        <v>35</v>
      </c>
      <c r="E655" s="166">
        <v>5.817999176E9</v>
      </c>
      <c r="F655" s="166" t="s">
        <v>937</v>
      </c>
      <c r="G655" s="165">
        <v>46169.0</v>
      </c>
      <c r="H655" s="167">
        <v>46171.0</v>
      </c>
      <c r="I655" s="168">
        <v>2.0</v>
      </c>
      <c r="J655" s="169" t="s">
        <v>78</v>
      </c>
      <c r="K655" s="166" t="s">
        <v>79</v>
      </c>
      <c r="L655" s="166" t="s">
        <v>80</v>
      </c>
      <c r="M655" s="166">
        <v>2.0</v>
      </c>
      <c r="N655" s="170">
        <v>0.19999999999999996</v>
      </c>
      <c r="O655" s="171">
        <v>146.93</v>
      </c>
      <c r="P655" s="171">
        <v>117.54400000000001</v>
      </c>
      <c r="Q655" s="169">
        <v>0.0</v>
      </c>
      <c r="R655" s="173">
        <v>235.08800000000002</v>
      </c>
      <c r="S655" s="173">
        <v>0.0</v>
      </c>
      <c r="T655" s="173">
        <v>303.86</v>
      </c>
      <c r="U655" s="201" t="s">
        <v>107</v>
      </c>
      <c r="V655" s="165">
        <v>46067.0</v>
      </c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</row>
    <row r="656">
      <c r="A656" s="176">
        <v>45965.0</v>
      </c>
      <c r="B656" s="177">
        <v>7767489.0</v>
      </c>
      <c r="C656" s="178" t="s">
        <v>82</v>
      </c>
      <c r="D656" s="178" t="s">
        <v>35</v>
      </c>
      <c r="E656" s="177">
        <v>6.666091903E9</v>
      </c>
      <c r="F656" s="178" t="s">
        <v>938</v>
      </c>
      <c r="G656" s="176">
        <v>46170.0</v>
      </c>
      <c r="H656" s="179">
        <v>46173.0</v>
      </c>
      <c r="I656" s="180">
        <v>3.0</v>
      </c>
      <c r="J656" s="181" t="s">
        <v>78</v>
      </c>
      <c r="K656" s="178" t="s">
        <v>79</v>
      </c>
      <c r="L656" s="178" t="s">
        <v>80</v>
      </c>
      <c r="M656" s="177">
        <v>2.0</v>
      </c>
      <c r="N656" s="183">
        <v>0.19999999999999996</v>
      </c>
      <c r="O656" s="184">
        <v>138.88</v>
      </c>
      <c r="P656" s="184">
        <v>111.104</v>
      </c>
      <c r="Q656" s="185">
        <v>0.0</v>
      </c>
      <c r="R656" s="186">
        <v>333.312</v>
      </c>
      <c r="S656" s="186">
        <v>0.0</v>
      </c>
      <c r="T656" s="186">
        <v>431.64</v>
      </c>
      <c r="U656" s="187" t="s">
        <v>107</v>
      </c>
      <c r="V656" s="189">
        <v>45965.0</v>
      </c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</row>
    <row r="657">
      <c r="A657" s="165">
        <v>46074.0</v>
      </c>
      <c r="B657" s="166">
        <v>8203972.0</v>
      </c>
      <c r="C657" s="166" t="s">
        <v>89</v>
      </c>
      <c r="D657" s="166" t="s">
        <v>36</v>
      </c>
      <c r="E657" s="166">
        <v>8203972.0</v>
      </c>
      <c r="F657" s="166" t="s">
        <v>939</v>
      </c>
      <c r="G657" s="165">
        <v>46170.0</v>
      </c>
      <c r="H657" s="167">
        <v>46175.0</v>
      </c>
      <c r="I657" s="168">
        <v>5.0</v>
      </c>
      <c r="J657" s="169" t="s">
        <v>111</v>
      </c>
      <c r="K657" s="166" t="s">
        <v>138</v>
      </c>
      <c r="L657" s="166" t="s">
        <v>80</v>
      </c>
      <c r="M657" s="166">
        <v>0.0</v>
      </c>
      <c r="N657" s="170">
        <v>0.0</v>
      </c>
      <c r="O657" s="171">
        <v>0.0</v>
      </c>
      <c r="P657" s="171">
        <v>0.0</v>
      </c>
      <c r="Q657" s="172">
        <v>0.0</v>
      </c>
      <c r="R657" s="173">
        <v>0.0</v>
      </c>
      <c r="S657" s="173">
        <v>0.0</v>
      </c>
      <c r="T657" s="173">
        <v>0.0</v>
      </c>
      <c r="U657" s="174" t="s">
        <v>940</v>
      </c>
      <c r="V657" s="165">
        <v>46074.0</v>
      </c>
      <c r="W657" s="164"/>
      <c r="X657" s="164"/>
      <c r="Y657" s="164"/>
      <c r="Z657" s="164"/>
      <c r="AA657" s="164"/>
      <c r="AB657" s="164"/>
      <c r="AC657" s="164"/>
      <c r="AD657" s="164"/>
      <c r="AE657" s="164"/>
      <c r="AF657" s="164"/>
      <c r="AG657" s="164"/>
      <c r="AH657" s="164"/>
      <c r="AI657" s="164"/>
    </row>
    <row r="658">
      <c r="A658" s="176">
        <v>45910.0</v>
      </c>
      <c r="B658" s="177">
        <v>7543133.0</v>
      </c>
      <c r="C658" s="178" t="s">
        <v>82</v>
      </c>
      <c r="D658" s="178" t="s">
        <v>35</v>
      </c>
      <c r="E658" s="177">
        <v>5.638589874E9</v>
      </c>
      <c r="F658" s="178" t="s">
        <v>941</v>
      </c>
      <c r="G658" s="176">
        <v>46172.0</v>
      </c>
      <c r="H658" s="179">
        <v>46175.0</v>
      </c>
      <c r="I658" s="180">
        <v>3.0</v>
      </c>
      <c r="J658" s="181" t="s">
        <v>78</v>
      </c>
      <c r="K658" s="178" t="s">
        <v>79</v>
      </c>
      <c r="L658" s="178" t="s">
        <v>80</v>
      </c>
      <c r="M658" s="182">
        <v>2.0</v>
      </c>
      <c r="N658" s="183">
        <v>0.19999999999999996</v>
      </c>
      <c r="O658" s="184">
        <v>157.46</v>
      </c>
      <c r="P658" s="184">
        <v>125.96800000000002</v>
      </c>
      <c r="Q658" s="185">
        <v>0.0</v>
      </c>
      <c r="R658" s="186">
        <v>377.90400000000005</v>
      </c>
      <c r="S658" s="186">
        <v>0.0</v>
      </c>
      <c r="T658" s="186">
        <v>487.38</v>
      </c>
      <c r="U658" s="187" t="s">
        <v>303</v>
      </c>
      <c r="V658" s="176">
        <v>45910.0</v>
      </c>
      <c r="W658" s="175"/>
      <c r="X658" s="175"/>
      <c r="Y658" s="175"/>
      <c r="Z658" s="175"/>
      <c r="AA658" s="175"/>
      <c r="AB658" s="175"/>
      <c r="AC658" s="175"/>
      <c r="AD658" s="175"/>
      <c r="AE658" s="175"/>
      <c r="AF658" s="175"/>
      <c r="AG658" s="175"/>
      <c r="AH658" s="175"/>
      <c r="AI658" s="175"/>
    </row>
    <row r="659">
      <c r="A659" s="190">
        <v>45906.0</v>
      </c>
      <c r="B659" s="191">
        <v>7524857.0</v>
      </c>
      <c r="C659" s="192" t="s">
        <v>89</v>
      </c>
      <c r="D659" s="192" t="s">
        <v>35</v>
      </c>
      <c r="E659" s="191">
        <v>6.83992982E9</v>
      </c>
      <c r="F659" s="192" t="s">
        <v>942</v>
      </c>
      <c r="G659" s="190">
        <v>46172.0</v>
      </c>
      <c r="H659" s="193">
        <v>46175.0</v>
      </c>
      <c r="I659" s="194">
        <v>3.0</v>
      </c>
      <c r="J659" s="195" t="s">
        <v>114</v>
      </c>
      <c r="K659" s="192" t="s">
        <v>79</v>
      </c>
      <c r="L659" s="192" t="s">
        <v>80</v>
      </c>
      <c r="M659" s="191">
        <v>0.0</v>
      </c>
      <c r="N659" s="196">
        <v>0.0</v>
      </c>
      <c r="O659" s="197">
        <v>0.0</v>
      </c>
      <c r="P659" s="197">
        <v>0.0</v>
      </c>
      <c r="Q659" s="198">
        <v>0.0</v>
      </c>
      <c r="R659" s="199">
        <v>0.0</v>
      </c>
      <c r="S659" s="199">
        <v>0.0</v>
      </c>
      <c r="T659" s="199">
        <v>0.0</v>
      </c>
      <c r="U659" s="200" t="s">
        <v>943</v>
      </c>
      <c r="V659" s="190">
        <v>45929.0</v>
      </c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</row>
    <row r="660">
      <c r="A660" s="154">
        <v>45906.0</v>
      </c>
      <c r="B660" s="155">
        <v>7524857.0</v>
      </c>
      <c r="C660" s="156" t="s">
        <v>89</v>
      </c>
      <c r="D660" s="156" t="s">
        <v>35</v>
      </c>
      <c r="E660" s="155">
        <v>6.83992982E9</v>
      </c>
      <c r="F660" s="156" t="s">
        <v>942</v>
      </c>
      <c r="G660" s="154">
        <v>46172.0</v>
      </c>
      <c r="H660" s="157">
        <v>46175.0</v>
      </c>
      <c r="I660" s="158">
        <v>3.0</v>
      </c>
      <c r="J660" s="159" t="s">
        <v>114</v>
      </c>
      <c r="K660" s="156" t="s">
        <v>79</v>
      </c>
      <c r="L660" s="156" t="s">
        <v>80</v>
      </c>
      <c r="M660" s="202">
        <v>0.0</v>
      </c>
      <c r="N660" s="160">
        <v>0.0</v>
      </c>
      <c r="O660" s="161">
        <v>0.0</v>
      </c>
      <c r="P660" s="161">
        <v>0.0</v>
      </c>
      <c r="Q660" s="203">
        <v>0.0</v>
      </c>
      <c r="R660" s="162">
        <v>0.0</v>
      </c>
      <c r="S660" s="162">
        <v>0.0</v>
      </c>
      <c r="T660" s="162">
        <v>0.0</v>
      </c>
      <c r="U660" s="163" t="s">
        <v>943</v>
      </c>
      <c r="V660" s="154">
        <v>45929.0</v>
      </c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</row>
    <row r="661">
      <c r="A661" s="154">
        <v>45896.0</v>
      </c>
      <c r="B661" s="155">
        <v>7478471.0</v>
      </c>
      <c r="C661" s="156" t="s">
        <v>89</v>
      </c>
      <c r="D661" s="156" t="s">
        <v>35</v>
      </c>
      <c r="E661" s="155">
        <v>5.285598046E9</v>
      </c>
      <c r="F661" s="156" t="s">
        <v>942</v>
      </c>
      <c r="G661" s="154">
        <v>46172.0</v>
      </c>
      <c r="H661" s="157">
        <v>46175.0</v>
      </c>
      <c r="I661" s="158">
        <v>3.0</v>
      </c>
      <c r="J661" s="159" t="s">
        <v>78</v>
      </c>
      <c r="K661" s="156" t="s">
        <v>79</v>
      </c>
      <c r="L661" s="156" t="s">
        <v>80</v>
      </c>
      <c r="M661" s="202">
        <v>0.0</v>
      </c>
      <c r="N661" s="160">
        <v>0.0</v>
      </c>
      <c r="O661" s="161">
        <v>0.0</v>
      </c>
      <c r="P661" s="161">
        <v>0.0</v>
      </c>
      <c r="Q661" s="203">
        <v>0.0</v>
      </c>
      <c r="R661" s="162">
        <v>0.0</v>
      </c>
      <c r="S661" s="162">
        <v>0.0</v>
      </c>
      <c r="T661" s="162">
        <v>0.0</v>
      </c>
      <c r="U661" s="163" t="s">
        <v>944</v>
      </c>
      <c r="V661" s="154">
        <v>45906.0</v>
      </c>
      <c r="W661" s="175"/>
      <c r="X661" s="175"/>
      <c r="Y661" s="175"/>
      <c r="Z661" s="175"/>
      <c r="AA661" s="175"/>
      <c r="AB661" s="175"/>
      <c r="AC661" s="175"/>
      <c r="AD661" s="175"/>
      <c r="AE661" s="175"/>
      <c r="AF661" s="175"/>
      <c r="AG661" s="175"/>
      <c r="AH661" s="175"/>
      <c r="AI661" s="175"/>
    </row>
    <row r="662">
      <c r="A662" s="165">
        <v>45896.0</v>
      </c>
      <c r="B662" s="166">
        <v>7478471.0</v>
      </c>
      <c r="C662" s="166" t="s">
        <v>89</v>
      </c>
      <c r="D662" s="166" t="s">
        <v>35</v>
      </c>
      <c r="E662" s="166">
        <v>5.285598046E9</v>
      </c>
      <c r="F662" s="166" t="s">
        <v>942</v>
      </c>
      <c r="G662" s="165">
        <v>46172.0</v>
      </c>
      <c r="H662" s="167">
        <v>46175.0</v>
      </c>
      <c r="I662" s="168">
        <v>3.0</v>
      </c>
      <c r="J662" s="169" t="s">
        <v>78</v>
      </c>
      <c r="K662" s="166" t="s">
        <v>79</v>
      </c>
      <c r="L662" s="166" t="s">
        <v>80</v>
      </c>
      <c r="M662" s="166">
        <v>0.0</v>
      </c>
      <c r="N662" s="170">
        <v>0.0</v>
      </c>
      <c r="O662" s="171">
        <v>0.0</v>
      </c>
      <c r="P662" s="171">
        <v>0.0</v>
      </c>
      <c r="Q662" s="172">
        <v>0.0</v>
      </c>
      <c r="R662" s="173">
        <v>0.0</v>
      </c>
      <c r="S662" s="173">
        <v>0.0</v>
      </c>
      <c r="T662" s="173">
        <v>0.0</v>
      </c>
      <c r="U662" s="201" t="s">
        <v>944</v>
      </c>
      <c r="V662" s="165">
        <v>45906.0</v>
      </c>
      <c r="W662" s="175"/>
      <c r="X662" s="175"/>
      <c r="Y662" s="175"/>
      <c r="Z662" s="175"/>
      <c r="AA662" s="175"/>
      <c r="AB662" s="175"/>
      <c r="AC662" s="175"/>
      <c r="AD662" s="175"/>
      <c r="AE662" s="175"/>
      <c r="AF662" s="175"/>
      <c r="AG662" s="175"/>
      <c r="AH662" s="175"/>
      <c r="AI662" s="175"/>
    </row>
    <row r="663">
      <c r="A663" s="165">
        <v>45919.0</v>
      </c>
      <c r="B663" s="166">
        <v>7581341.0</v>
      </c>
      <c r="C663" s="166" t="s">
        <v>89</v>
      </c>
      <c r="D663" s="166" t="s">
        <v>35</v>
      </c>
      <c r="E663" s="166">
        <v>6.796612651E9</v>
      </c>
      <c r="F663" s="166" t="s">
        <v>945</v>
      </c>
      <c r="G663" s="165">
        <v>46172.0</v>
      </c>
      <c r="H663" s="167">
        <v>46178.0</v>
      </c>
      <c r="I663" s="168">
        <v>6.0</v>
      </c>
      <c r="J663" s="169" t="s">
        <v>78</v>
      </c>
      <c r="K663" s="166" t="s">
        <v>79</v>
      </c>
      <c r="L663" s="166" t="s">
        <v>80</v>
      </c>
      <c r="M663" s="166">
        <v>0.0</v>
      </c>
      <c r="N663" s="170">
        <v>0.0</v>
      </c>
      <c r="O663" s="171">
        <v>0.0</v>
      </c>
      <c r="P663" s="171">
        <v>0.0</v>
      </c>
      <c r="Q663" s="172">
        <v>0.0</v>
      </c>
      <c r="R663" s="173">
        <v>0.0</v>
      </c>
      <c r="S663" s="173">
        <v>0.0</v>
      </c>
      <c r="T663" s="173">
        <v>0.0</v>
      </c>
      <c r="U663" s="201" t="s">
        <v>307</v>
      </c>
      <c r="V663" s="165">
        <v>46149.0</v>
      </c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  <c r="AG663" s="164"/>
      <c r="AH663" s="164"/>
      <c r="AI663" s="164"/>
    </row>
    <row r="664">
      <c r="A664" s="154">
        <v>45943.0</v>
      </c>
      <c r="B664" s="155">
        <v>7679109.0</v>
      </c>
      <c r="C664" s="156" t="s">
        <v>82</v>
      </c>
      <c r="D664" s="156" t="s">
        <v>35</v>
      </c>
      <c r="E664" s="155">
        <v>5.563013866E9</v>
      </c>
      <c r="F664" s="156" t="s">
        <v>946</v>
      </c>
      <c r="G664" s="154">
        <v>46172.0</v>
      </c>
      <c r="H664" s="157">
        <v>46176.0</v>
      </c>
      <c r="I664" s="158">
        <v>4.0</v>
      </c>
      <c r="J664" s="159" t="s">
        <v>78</v>
      </c>
      <c r="K664" s="156" t="s">
        <v>79</v>
      </c>
      <c r="L664" s="156" t="s">
        <v>80</v>
      </c>
      <c r="M664" s="155">
        <v>2.0</v>
      </c>
      <c r="N664" s="160">
        <v>0.19999999999999996</v>
      </c>
      <c r="O664" s="161">
        <v>122.56</v>
      </c>
      <c r="P664" s="161">
        <v>98.048</v>
      </c>
      <c r="Q664" s="159">
        <v>0.0</v>
      </c>
      <c r="R664" s="162">
        <v>392.192</v>
      </c>
      <c r="S664" s="162">
        <v>0.0</v>
      </c>
      <c r="T664" s="162">
        <v>510.24</v>
      </c>
      <c r="U664" s="163" t="s">
        <v>353</v>
      </c>
      <c r="V664" s="154">
        <v>45943.0</v>
      </c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  <c r="AG664" s="164"/>
      <c r="AH664" s="164"/>
      <c r="AI664" s="164"/>
    </row>
    <row r="665">
      <c r="A665" s="165">
        <v>45949.0</v>
      </c>
      <c r="B665" s="166">
        <v>7705276.0</v>
      </c>
      <c r="C665" s="166" t="s">
        <v>89</v>
      </c>
      <c r="D665" s="166" t="s">
        <v>35</v>
      </c>
      <c r="E665" s="166">
        <v>5.964726965E9</v>
      </c>
      <c r="F665" s="166" t="s">
        <v>947</v>
      </c>
      <c r="G665" s="165">
        <v>46172.0</v>
      </c>
      <c r="H665" s="167">
        <v>46176.0</v>
      </c>
      <c r="I665" s="168">
        <v>4.0</v>
      </c>
      <c r="J665" s="169" t="s">
        <v>114</v>
      </c>
      <c r="K665" s="166" t="s">
        <v>79</v>
      </c>
      <c r="L665" s="166" t="s">
        <v>80</v>
      </c>
      <c r="M665" s="166">
        <v>0.0</v>
      </c>
      <c r="N665" s="169">
        <v>0.0</v>
      </c>
      <c r="O665" s="171">
        <v>0.0</v>
      </c>
      <c r="P665" s="171">
        <v>0.0</v>
      </c>
      <c r="Q665" s="169">
        <v>0.0</v>
      </c>
      <c r="R665" s="173">
        <v>0.0</v>
      </c>
      <c r="S665" s="173">
        <v>0.0</v>
      </c>
      <c r="T665" s="173">
        <v>0.0</v>
      </c>
      <c r="U665" s="174" t="s">
        <v>948</v>
      </c>
      <c r="V665" s="165">
        <v>46011.0</v>
      </c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64"/>
    </row>
    <row r="666">
      <c r="A666" s="154">
        <v>46028.0</v>
      </c>
      <c r="B666" s="155">
        <v>7997190.0</v>
      </c>
      <c r="C666" s="156" t="s">
        <v>89</v>
      </c>
      <c r="D666" s="156" t="s">
        <v>35</v>
      </c>
      <c r="E666" s="155">
        <v>6.030434304E9</v>
      </c>
      <c r="F666" s="156" t="s">
        <v>949</v>
      </c>
      <c r="G666" s="154">
        <v>46172.0</v>
      </c>
      <c r="H666" s="157">
        <v>46176.0</v>
      </c>
      <c r="I666" s="158">
        <v>4.0</v>
      </c>
      <c r="J666" s="159" t="s">
        <v>114</v>
      </c>
      <c r="K666" s="156" t="s">
        <v>79</v>
      </c>
      <c r="L666" s="156" t="s">
        <v>80</v>
      </c>
      <c r="M666" s="155">
        <v>0.0</v>
      </c>
      <c r="N666" s="160">
        <v>0.0</v>
      </c>
      <c r="O666" s="161">
        <v>0.0</v>
      </c>
      <c r="P666" s="161">
        <v>0.0</v>
      </c>
      <c r="Q666" s="203">
        <v>0.0</v>
      </c>
      <c r="R666" s="162">
        <v>0.0</v>
      </c>
      <c r="S666" s="162">
        <v>0.0</v>
      </c>
      <c r="T666" s="162">
        <v>0.0</v>
      </c>
      <c r="U666" s="163" t="s">
        <v>950</v>
      </c>
      <c r="V666" s="154">
        <v>46119.0</v>
      </c>
      <c r="W666" s="175"/>
      <c r="X666" s="175"/>
      <c r="Y666" s="175"/>
      <c r="Z666" s="175"/>
      <c r="AA666" s="175"/>
      <c r="AB666" s="175"/>
      <c r="AC666" s="175"/>
      <c r="AD666" s="175"/>
      <c r="AE666" s="175"/>
      <c r="AF666" s="175"/>
      <c r="AG666" s="175"/>
      <c r="AH666" s="175"/>
      <c r="AI666" s="175"/>
    </row>
    <row r="667">
      <c r="A667" s="165">
        <v>46046.0</v>
      </c>
      <c r="B667" s="166">
        <v>8075933.0</v>
      </c>
      <c r="C667" s="166" t="s">
        <v>82</v>
      </c>
      <c r="D667" s="166" t="s">
        <v>35</v>
      </c>
      <c r="E667" s="166">
        <v>6.482629021E9</v>
      </c>
      <c r="F667" s="166" t="s">
        <v>936</v>
      </c>
      <c r="G667" s="165">
        <v>46172.0</v>
      </c>
      <c r="H667" s="167">
        <v>46173.0</v>
      </c>
      <c r="I667" s="168">
        <v>1.0</v>
      </c>
      <c r="J667" s="169" t="s">
        <v>78</v>
      </c>
      <c r="K667" s="166" t="s">
        <v>138</v>
      </c>
      <c r="L667" s="166" t="s">
        <v>80</v>
      </c>
      <c r="M667" s="166">
        <v>2.0</v>
      </c>
      <c r="N667" s="170">
        <v>0.19999999999999996</v>
      </c>
      <c r="O667" s="171">
        <v>239.95999999999998</v>
      </c>
      <c r="P667" s="171">
        <v>191.968</v>
      </c>
      <c r="Q667" s="172">
        <v>36.0</v>
      </c>
      <c r="R667" s="173">
        <v>191.968</v>
      </c>
      <c r="S667" s="173">
        <v>36.0</v>
      </c>
      <c r="T667" s="173">
        <v>273.76</v>
      </c>
      <c r="U667" s="174" t="s">
        <v>751</v>
      </c>
      <c r="V667" s="165">
        <v>46046.0</v>
      </c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  <c r="AG667" s="164"/>
      <c r="AH667" s="164"/>
      <c r="AI667" s="164"/>
    </row>
    <row r="668">
      <c r="A668" s="165">
        <v>46072.0</v>
      </c>
      <c r="B668" s="166">
        <v>8194594.0</v>
      </c>
      <c r="C668" s="166" t="s">
        <v>82</v>
      </c>
      <c r="D668" s="166" t="s">
        <v>35</v>
      </c>
      <c r="E668" s="166">
        <v>6.302188769E9</v>
      </c>
      <c r="F668" s="166" t="s">
        <v>951</v>
      </c>
      <c r="G668" s="165">
        <v>46172.0</v>
      </c>
      <c r="H668" s="167">
        <v>46179.0</v>
      </c>
      <c r="I668" s="168">
        <v>7.0</v>
      </c>
      <c r="J668" s="169" t="s">
        <v>114</v>
      </c>
      <c r="K668" s="166" t="s">
        <v>79</v>
      </c>
      <c r="L668" s="166" t="s">
        <v>80</v>
      </c>
      <c r="M668" s="166">
        <v>3.0</v>
      </c>
      <c r="N668" s="170">
        <v>0.19999999999999996</v>
      </c>
      <c r="O668" s="171">
        <v>197.27428571428572</v>
      </c>
      <c r="P668" s="171">
        <v>157.8194285714286</v>
      </c>
      <c r="Q668" s="172">
        <v>0.0</v>
      </c>
      <c r="R668" s="173">
        <v>1104.7360000000003</v>
      </c>
      <c r="S668" s="173">
        <v>0.0</v>
      </c>
      <c r="T668" s="173">
        <v>1433.42</v>
      </c>
      <c r="U668" s="201" t="s">
        <v>161</v>
      </c>
      <c r="V668" s="165">
        <v>46072.0</v>
      </c>
      <c r="W668" s="175"/>
      <c r="X668" s="175"/>
      <c r="Y668" s="175"/>
      <c r="Z668" s="175"/>
      <c r="AA668" s="175"/>
      <c r="AB668" s="175"/>
      <c r="AC668" s="175"/>
      <c r="AD668" s="175"/>
      <c r="AE668" s="175"/>
      <c r="AF668" s="175"/>
      <c r="AG668" s="175"/>
      <c r="AH668" s="175"/>
      <c r="AI668" s="175"/>
    </row>
    <row r="669">
      <c r="A669" s="176">
        <v>45901.0</v>
      </c>
      <c r="B669" s="177">
        <v>7501398.0</v>
      </c>
      <c r="C669" s="178" t="s">
        <v>89</v>
      </c>
      <c r="D669" s="178" t="s">
        <v>35</v>
      </c>
      <c r="E669" s="177">
        <v>5.598635338E9</v>
      </c>
      <c r="F669" s="178" t="s">
        <v>952</v>
      </c>
      <c r="G669" s="176">
        <v>46173.0</v>
      </c>
      <c r="H669" s="179">
        <v>46175.0</v>
      </c>
      <c r="I669" s="180">
        <v>2.0</v>
      </c>
      <c r="J669" s="181" t="s">
        <v>78</v>
      </c>
      <c r="K669" s="178" t="s">
        <v>79</v>
      </c>
      <c r="L669" s="178" t="s">
        <v>80</v>
      </c>
      <c r="M669" s="182">
        <v>0.0</v>
      </c>
      <c r="N669" s="183">
        <v>0.0</v>
      </c>
      <c r="O669" s="184">
        <v>0.0</v>
      </c>
      <c r="P669" s="184">
        <v>0.0</v>
      </c>
      <c r="Q669" s="185">
        <v>0.0</v>
      </c>
      <c r="R669" s="186">
        <v>0.0</v>
      </c>
      <c r="S669" s="186">
        <v>0.0</v>
      </c>
      <c r="T669" s="186">
        <v>0.0</v>
      </c>
      <c r="U669" s="187" t="s">
        <v>953</v>
      </c>
      <c r="V669" s="176">
        <v>46082.0</v>
      </c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  <c r="AG669" s="164"/>
      <c r="AH669" s="164"/>
      <c r="AI669" s="164"/>
    </row>
    <row r="670">
      <c r="A670" s="176">
        <v>45953.0</v>
      </c>
      <c r="B670" s="177">
        <v>7720838.0</v>
      </c>
      <c r="C670" s="178" t="s">
        <v>82</v>
      </c>
      <c r="D670" s="178" t="s">
        <v>35</v>
      </c>
      <c r="E670" s="178">
        <v>5.1577406E9</v>
      </c>
      <c r="F670" s="178" t="s">
        <v>954</v>
      </c>
      <c r="G670" s="176">
        <v>46173.0</v>
      </c>
      <c r="H670" s="179">
        <v>46176.0</v>
      </c>
      <c r="I670" s="180">
        <v>3.0</v>
      </c>
      <c r="J670" s="181" t="s">
        <v>87</v>
      </c>
      <c r="K670" s="178" t="s">
        <v>79</v>
      </c>
      <c r="L670" s="178" t="s">
        <v>80</v>
      </c>
      <c r="M670" s="177">
        <v>2.0</v>
      </c>
      <c r="N670" s="183">
        <v>0.19999999999999996</v>
      </c>
      <c r="O670" s="184">
        <v>91.81</v>
      </c>
      <c r="P670" s="184">
        <v>73.44800000000001</v>
      </c>
      <c r="Q670" s="181">
        <v>0.0</v>
      </c>
      <c r="R670" s="186">
        <v>220.34400000000002</v>
      </c>
      <c r="S670" s="186">
        <v>0.0</v>
      </c>
      <c r="T670" s="186">
        <v>290.43</v>
      </c>
      <c r="U670" s="187" t="s">
        <v>107</v>
      </c>
      <c r="V670" s="189">
        <v>45953.0</v>
      </c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64"/>
    </row>
    <row r="671">
      <c r="A671" s="165">
        <v>45930.0</v>
      </c>
      <c r="B671" s="166">
        <v>7625685.0</v>
      </c>
      <c r="C671" s="166" t="s">
        <v>89</v>
      </c>
      <c r="D671" s="166" t="s">
        <v>35</v>
      </c>
      <c r="E671" s="166">
        <v>6.345748563E9</v>
      </c>
      <c r="F671" s="166" t="s">
        <v>955</v>
      </c>
      <c r="G671" s="165">
        <v>46174.0</v>
      </c>
      <c r="H671" s="167">
        <v>46177.0</v>
      </c>
      <c r="I671" s="168">
        <v>3.0</v>
      </c>
      <c r="J671" s="169" t="s">
        <v>78</v>
      </c>
      <c r="K671" s="166" t="s">
        <v>79</v>
      </c>
      <c r="L671" s="166" t="s">
        <v>80</v>
      </c>
      <c r="M671" s="166">
        <v>0.0</v>
      </c>
      <c r="N671" s="169">
        <v>0.0</v>
      </c>
      <c r="O671" s="171">
        <v>0.0</v>
      </c>
      <c r="P671" s="171">
        <v>0.0</v>
      </c>
      <c r="Q671" s="169">
        <v>0.0</v>
      </c>
      <c r="R671" s="173">
        <v>0.0</v>
      </c>
      <c r="S671" s="173">
        <v>0.0</v>
      </c>
      <c r="T671" s="173">
        <v>0.0</v>
      </c>
      <c r="U671" s="201" t="s">
        <v>956</v>
      </c>
      <c r="V671" s="165">
        <v>46121.0</v>
      </c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</row>
    <row r="672">
      <c r="A672" s="165">
        <v>45932.0</v>
      </c>
      <c r="B672" s="166">
        <v>7635576.0</v>
      </c>
      <c r="C672" s="166" t="s">
        <v>82</v>
      </c>
      <c r="D672" s="166" t="s">
        <v>35</v>
      </c>
      <c r="E672" s="166">
        <v>5.576073185E9</v>
      </c>
      <c r="F672" s="166" t="s">
        <v>957</v>
      </c>
      <c r="G672" s="165">
        <v>46175.0</v>
      </c>
      <c r="H672" s="167">
        <v>46183.0</v>
      </c>
      <c r="I672" s="168">
        <v>8.0</v>
      </c>
      <c r="J672" s="169" t="s">
        <v>78</v>
      </c>
      <c r="K672" s="166" t="s">
        <v>79</v>
      </c>
      <c r="L672" s="166" t="s">
        <v>80</v>
      </c>
      <c r="M672" s="205">
        <v>2.0</v>
      </c>
      <c r="N672" s="170">
        <v>0.19999999999999996</v>
      </c>
      <c r="O672" s="171">
        <v>81.03</v>
      </c>
      <c r="P672" s="171">
        <v>64.824</v>
      </c>
      <c r="Q672" s="172">
        <v>0.0</v>
      </c>
      <c r="R672" s="173">
        <v>518.592</v>
      </c>
      <c r="S672" s="173">
        <v>0.0</v>
      </c>
      <c r="T672" s="173">
        <v>648.24</v>
      </c>
      <c r="U672" s="201" t="s">
        <v>107</v>
      </c>
      <c r="V672" s="165">
        <v>45932.0</v>
      </c>
      <c r="W672" s="175"/>
      <c r="X672" s="175"/>
      <c r="Y672" s="175"/>
      <c r="Z672" s="175"/>
      <c r="AA672" s="175"/>
      <c r="AB672" s="175"/>
      <c r="AC672" s="175"/>
      <c r="AD672" s="175"/>
      <c r="AE672" s="175"/>
      <c r="AF672" s="175"/>
      <c r="AG672" s="175"/>
      <c r="AH672" s="175"/>
      <c r="AI672" s="175"/>
    </row>
    <row r="673">
      <c r="A673" s="165">
        <v>46028.0</v>
      </c>
      <c r="B673" s="166">
        <v>7997067.0</v>
      </c>
      <c r="C673" s="166" t="s">
        <v>89</v>
      </c>
      <c r="D673" s="166" t="s">
        <v>35</v>
      </c>
      <c r="E673" s="166">
        <v>6.602058164E9</v>
      </c>
      <c r="F673" s="166" t="s">
        <v>949</v>
      </c>
      <c r="G673" s="165">
        <v>46175.0</v>
      </c>
      <c r="H673" s="167">
        <v>46177.0</v>
      </c>
      <c r="I673" s="168">
        <v>2.0</v>
      </c>
      <c r="J673" s="169" t="s">
        <v>78</v>
      </c>
      <c r="K673" s="166" t="s">
        <v>79</v>
      </c>
      <c r="L673" s="166" t="s">
        <v>80</v>
      </c>
      <c r="M673" s="205">
        <v>0.0</v>
      </c>
      <c r="N673" s="170">
        <v>0.0</v>
      </c>
      <c r="O673" s="171">
        <v>0.0</v>
      </c>
      <c r="P673" s="171">
        <v>0.0</v>
      </c>
      <c r="Q673" s="172">
        <v>0.0</v>
      </c>
      <c r="R673" s="173">
        <v>0.0</v>
      </c>
      <c r="S673" s="173">
        <v>0.0</v>
      </c>
      <c r="T673" s="173">
        <v>0.0</v>
      </c>
      <c r="U673" s="174" t="s">
        <v>950</v>
      </c>
      <c r="V673" s="165">
        <v>46028.0</v>
      </c>
      <c r="W673" s="175"/>
      <c r="X673" s="175"/>
      <c r="Y673" s="175"/>
      <c r="Z673" s="175"/>
      <c r="AA673" s="175"/>
      <c r="AB673" s="175"/>
      <c r="AC673" s="175"/>
      <c r="AD673" s="175"/>
      <c r="AE673" s="175"/>
      <c r="AF673" s="175"/>
      <c r="AG673" s="175"/>
      <c r="AH673" s="175"/>
      <c r="AI673" s="175"/>
    </row>
    <row r="674">
      <c r="A674" s="154">
        <v>46058.0</v>
      </c>
      <c r="B674" s="155">
        <v>8131649.0</v>
      </c>
      <c r="C674" s="156" t="s">
        <v>82</v>
      </c>
      <c r="D674" s="156" t="s">
        <v>35</v>
      </c>
      <c r="E674" s="155">
        <v>6.93904053E9</v>
      </c>
      <c r="F674" s="156" t="s">
        <v>958</v>
      </c>
      <c r="G674" s="154">
        <v>46175.0</v>
      </c>
      <c r="H674" s="157">
        <v>46179.0</v>
      </c>
      <c r="I674" s="158">
        <v>4.0</v>
      </c>
      <c r="J674" s="159" t="s">
        <v>78</v>
      </c>
      <c r="K674" s="156" t="s">
        <v>79</v>
      </c>
      <c r="L674" s="156" t="s">
        <v>80</v>
      </c>
      <c r="M674" s="202">
        <v>2.0</v>
      </c>
      <c r="N674" s="160">
        <v>0.19999999999999996</v>
      </c>
      <c r="O674" s="161">
        <v>143.78</v>
      </c>
      <c r="P674" s="161">
        <v>115.024</v>
      </c>
      <c r="Q674" s="203">
        <v>0.0</v>
      </c>
      <c r="R674" s="162">
        <v>460.096</v>
      </c>
      <c r="S674" s="162">
        <v>0.0</v>
      </c>
      <c r="T674" s="162">
        <v>595.12</v>
      </c>
      <c r="U674" s="163" t="s">
        <v>161</v>
      </c>
      <c r="V674" s="215">
        <v>46058.0</v>
      </c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</row>
    <row r="675">
      <c r="A675" s="176">
        <v>45875.0</v>
      </c>
      <c r="B675" s="166">
        <v>7384508.0</v>
      </c>
      <c r="C675" s="166" t="s">
        <v>89</v>
      </c>
      <c r="D675" s="166" t="s">
        <v>35</v>
      </c>
      <c r="E675" s="166">
        <v>5.603449667E9</v>
      </c>
      <c r="F675" s="166" t="s">
        <v>959</v>
      </c>
      <c r="G675" s="165">
        <v>46176.0</v>
      </c>
      <c r="H675" s="167">
        <v>46186.0</v>
      </c>
      <c r="I675" s="168">
        <v>10.0</v>
      </c>
      <c r="J675" s="169" t="s">
        <v>78</v>
      </c>
      <c r="K675" s="166" t="s">
        <v>138</v>
      </c>
      <c r="L675" s="166" t="s">
        <v>80</v>
      </c>
      <c r="M675" s="166">
        <v>0.0</v>
      </c>
      <c r="N675" s="170">
        <v>0.0</v>
      </c>
      <c r="O675" s="171">
        <v>0.0</v>
      </c>
      <c r="P675" s="171">
        <v>0.0</v>
      </c>
      <c r="Q675" s="172">
        <v>0.0</v>
      </c>
      <c r="R675" s="173">
        <v>0.0</v>
      </c>
      <c r="S675" s="173">
        <v>0.0</v>
      </c>
      <c r="T675" s="173">
        <v>0.0</v>
      </c>
      <c r="U675" s="174" t="s">
        <v>960</v>
      </c>
      <c r="V675" s="165">
        <v>46014.0</v>
      </c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</row>
    <row r="676">
      <c r="A676" s="165">
        <v>45920.0</v>
      </c>
      <c r="B676" s="166">
        <v>7583091.0</v>
      </c>
      <c r="C676" s="166" t="s">
        <v>82</v>
      </c>
      <c r="D676" s="166" t="s">
        <v>35</v>
      </c>
      <c r="E676" s="166">
        <v>5.413500752E9</v>
      </c>
      <c r="F676" s="166" t="s">
        <v>961</v>
      </c>
      <c r="G676" s="165">
        <v>46176.0</v>
      </c>
      <c r="H676" s="167">
        <v>46180.0</v>
      </c>
      <c r="I676" s="168">
        <v>4.0</v>
      </c>
      <c r="J676" s="169" t="s">
        <v>78</v>
      </c>
      <c r="K676" s="166" t="s">
        <v>79</v>
      </c>
      <c r="L676" s="166" t="s">
        <v>80</v>
      </c>
      <c r="M676" s="166">
        <v>2.0</v>
      </c>
      <c r="N676" s="170">
        <v>0.19999999999999996</v>
      </c>
      <c r="O676" s="171">
        <v>94.4</v>
      </c>
      <c r="P676" s="171">
        <v>75.52000000000001</v>
      </c>
      <c r="Q676" s="172">
        <v>0.0</v>
      </c>
      <c r="R676" s="173">
        <v>302.08000000000004</v>
      </c>
      <c r="S676" s="173">
        <v>0.0</v>
      </c>
      <c r="T676" s="173">
        <v>397.6</v>
      </c>
      <c r="U676" s="174" t="s">
        <v>353</v>
      </c>
      <c r="V676" s="165">
        <v>45920.0</v>
      </c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</row>
    <row r="677">
      <c r="A677" s="165">
        <v>45914.0</v>
      </c>
      <c r="B677" s="166">
        <v>7558028.0</v>
      </c>
      <c r="C677" s="166" t="s">
        <v>89</v>
      </c>
      <c r="D677" s="166" t="s">
        <v>35</v>
      </c>
      <c r="E677" s="166">
        <v>6.975265122E9</v>
      </c>
      <c r="F677" s="166" t="s">
        <v>962</v>
      </c>
      <c r="G677" s="165">
        <v>46177.0</v>
      </c>
      <c r="H677" s="167">
        <v>46180.0</v>
      </c>
      <c r="I677" s="168">
        <v>3.0</v>
      </c>
      <c r="J677" s="169" t="s">
        <v>114</v>
      </c>
      <c r="K677" s="166" t="s">
        <v>79</v>
      </c>
      <c r="L677" s="166" t="s">
        <v>80</v>
      </c>
      <c r="M677" s="166">
        <v>0.0</v>
      </c>
      <c r="N677" s="170">
        <v>0.0</v>
      </c>
      <c r="O677" s="171">
        <v>0.0</v>
      </c>
      <c r="P677" s="171">
        <v>0.0</v>
      </c>
      <c r="Q677" s="169">
        <v>0.0</v>
      </c>
      <c r="R677" s="173">
        <v>0.0</v>
      </c>
      <c r="S677" s="173">
        <v>0.0</v>
      </c>
      <c r="T677" s="173">
        <v>0.0</v>
      </c>
      <c r="U677" s="174" t="s">
        <v>963</v>
      </c>
      <c r="V677" s="165">
        <v>46052.0</v>
      </c>
      <c r="W677" s="175"/>
      <c r="X677" s="175"/>
      <c r="Y677" s="175"/>
      <c r="Z677" s="175"/>
      <c r="AA677" s="175"/>
      <c r="AB677" s="175"/>
      <c r="AC677" s="175"/>
      <c r="AD677" s="175"/>
      <c r="AE677" s="175"/>
      <c r="AF677" s="175"/>
      <c r="AG677" s="175"/>
      <c r="AH677" s="175"/>
      <c r="AI677" s="175"/>
    </row>
    <row r="678">
      <c r="A678" s="154">
        <v>45941.0</v>
      </c>
      <c r="B678" s="155">
        <v>7672229.0</v>
      </c>
      <c r="C678" s="156" t="s">
        <v>89</v>
      </c>
      <c r="D678" s="156" t="s">
        <v>35</v>
      </c>
      <c r="E678" s="155">
        <v>6.266542213E9</v>
      </c>
      <c r="F678" s="156" t="s">
        <v>964</v>
      </c>
      <c r="G678" s="154">
        <v>46177.0</v>
      </c>
      <c r="H678" s="157">
        <v>46180.0</v>
      </c>
      <c r="I678" s="158">
        <v>3.0</v>
      </c>
      <c r="J678" s="159" t="s">
        <v>87</v>
      </c>
      <c r="K678" s="156" t="s">
        <v>79</v>
      </c>
      <c r="L678" s="156" t="s">
        <v>80</v>
      </c>
      <c r="M678" s="202">
        <v>0.0</v>
      </c>
      <c r="N678" s="160">
        <v>0.0</v>
      </c>
      <c r="O678" s="161">
        <v>0.0</v>
      </c>
      <c r="P678" s="161">
        <v>0.0</v>
      </c>
      <c r="Q678" s="203">
        <v>0.0</v>
      </c>
      <c r="R678" s="162">
        <v>0.0</v>
      </c>
      <c r="S678" s="162">
        <v>0.0</v>
      </c>
      <c r="T678" s="162">
        <v>0.0</v>
      </c>
      <c r="U678" s="163" t="s">
        <v>965</v>
      </c>
      <c r="V678" s="243">
        <v>46151.0</v>
      </c>
      <c r="W678" s="175"/>
      <c r="X678" s="175"/>
      <c r="Y678" s="175"/>
      <c r="Z678" s="175"/>
      <c r="AA678" s="175"/>
      <c r="AB678" s="175"/>
      <c r="AC678" s="175"/>
      <c r="AD678" s="175"/>
      <c r="AE678" s="175"/>
      <c r="AF678" s="175"/>
      <c r="AG678" s="175"/>
      <c r="AH678" s="175"/>
      <c r="AI678" s="175"/>
    </row>
    <row r="679">
      <c r="A679" s="165">
        <v>45945.0</v>
      </c>
      <c r="B679" s="166">
        <v>7689890.0</v>
      </c>
      <c r="C679" s="166" t="s">
        <v>89</v>
      </c>
      <c r="D679" s="166" t="s">
        <v>35</v>
      </c>
      <c r="E679" s="166">
        <v>5.726678977E9</v>
      </c>
      <c r="F679" s="166" t="s">
        <v>966</v>
      </c>
      <c r="G679" s="165">
        <v>46177.0</v>
      </c>
      <c r="H679" s="167">
        <v>46180.0</v>
      </c>
      <c r="I679" s="168">
        <v>3.0</v>
      </c>
      <c r="J679" s="169" t="s">
        <v>78</v>
      </c>
      <c r="K679" s="166" t="s">
        <v>79</v>
      </c>
      <c r="L679" s="166" t="s">
        <v>80</v>
      </c>
      <c r="M679" s="166">
        <v>0.0</v>
      </c>
      <c r="N679" s="170">
        <v>0.0</v>
      </c>
      <c r="O679" s="171">
        <v>0.0</v>
      </c>
      <c r="P679" s="171">
        <v>0.0</v>
      </c>
      <c r="Q679" s="172">
        <v>0.0</v>
      </c>
      <c r="R679" s="173">
        <v>0.0</v>
      </c>
      <c r="S679" s="173">
        <v>0.0</v>
      </c>
      <c r="T679" s="173">
        <v>0.0</v>
      </c>
      <c r="U679" s="174" t="s">
        <v>967</v>
      </c>
      <c r="V679" s="165">
        <v>45946.0</v>
      </c>
      <c r="W679" s="175"/>
      <c r="X679" s="175"/>
      <c r="Y679" s="175"/>
      <c r="Z679" s="175"/>
      <c r="AA679" s="175"/>
      <c r="AB679" s="175"/>
      <c r="AC679" s="175"/>
      <c r="AD679" s="175"/>
      <c r="AE679" s="175"/>
      <c r="AF679" s="175"/>
      <c r="AG679" s="175"/>
      <c r="AH679" s="175"/>
      <c r="AI679" s="175"/>
    </row>
    <row r="680">
      <c r="A680" s="165">
        <v>45894.0</v>
      </c>
      <c r="B680" s="166">
        <v>7467894.0</v>
      </c>
      <c r="C680" s="166" t="s">
        <v>89</v>
      </c>
      <c r="D680" s="166" t="s">
        <v>35</v>
      </c>
      <c r="E680" s="166">
        <v>6.782525445E9</v>
      </c>
      <c r="F680" s="166" t="s">
        <v>968</v>
      </c>
      <c r="G680" s="165">
        <v>46178.0</v>
      </c>
      <c r="H680" s="167">
        <v>46182.0</v>
      </c>
      <c r="I680" s="168">
        <v>4.0</v>
      </c>
      <c r="J680" s="169" t="s">
        <v>111</v>
      </c>
      <c r="K680" s="166" t="s">
        <v>79</v>
      </c>
      <c r="L680" s="166" t="s">
        <v>80</v>
      </c>
      <c r="M680" s="166">
        <v>0.0</v>
      </c>
      <c r="N680" s="170">
        <v>0.0</v>
      </c>
      <c r="O680" s="171">
        <v>0.0</v>
      </c>
      <c r="P680" s="171">
        <v>0.0</v>
      </c>
      <c r="Q680" s="172">
        <v>0.0</v>
      </c>
      <c r="R680" s="173">
        <v>0.0</v>
      </c>
      <c r="S680" s="173">
        <v>0.0</v>
      </c>
      <c r="T680" s="173">
        <v>0.0</v>
      </c>
      <c r="U680" s="174" t="s">
        <v>969</v>
      </c>
      <c r="V680" s="165">
        <v>45946.0</v>
      </c>
      <c r="W680" s="175"/>
      <c r="X680" s="175"/>
      <c r="Y680" s="175"/>
      <c r="Z680" s="175"/>
      <c r="AA680" s="175"/>
      <c r="AB680" s="175"/>
      <c r="AC680" s="175"/>
      <c r="AD680" s="175"/>
      <c r="AE680" s="175"/>
      <c r="AF680" s="175"/>
      <c r="AG680" s="175"/>
      <c r="AH680" s="175"/>
      <c r="AI680" s="175"/>
    </row>
    <row r="681">
      <c r="A681" s="154">
        <v>45935.0</v>
      </c>
      <c r="B681" s="155">
        <v>7646252.0</v>
      </c>
      <c r="C681" s="156" t="s">
        <v>89</v>
      </c>
      <c r="D681" s="156" t="s">
        <v>35</v>
      </c>
      <c r="E681" s="155">
        <v>5.352553749E9</v>
      </c>
      <c r="F681" s="156" t="s">
        <v>970</v>
      </c>
      <c r="G681" s="154">
        <v>46178.0</v>
      </c>
      <c r="H681" s="157">
        <v>46185.0</v>
      </c>
      <c r="I681" s="158">
        <v>7.0</v>
      </c>
      <c r="J681" s="159" t="s">
        <v>111</v>
      </c>
      <c r="K681" s="156" t="s">
        <v>79</v>
      </c>
      <c r="L681" s="156" t="s">
        <v>80</v>
      </c>
      <c r="M681" s="155">
        <v>0.0</v>
      </c>
      <c r="N681" s="160">
        <v>0.0</v>
      </c>
      <c r="O681" s="161">
        <v>0.0</v>
      </c>
      <c r="P681" s="161">
        <v>0.0</v>
      </c>
      <c r="Q681" s="203">
        <v>0.0</v>
      </c>
      <c r="R681" s="162">
        <v>0.0</v>
      </c>
      <c r="S681" s="162">
        <v>0.0</v>
      </c>
      <c r="T681" s="162">
        <v>0.0</v>
      </c>
      <c r="U681" s="163" t="s">
        <v>971</v>
      </c>
      <c r="V681" s="154">
        <v>46066.0</v>
      </c>
      <c r="W681" s="175"/>
      <c r="X681" s="175"/>
      <c r="Y681" s="175"/>
      <c r="Z681" s="175"/>
      <c r="AA681" s="175"/>
      <c r="AB681" s="175"/>
      <c r="AC681" s="175"/>
      <c r="AD681" s="175"/>
      <c r="AE681" s="175"/>
      <c r="AF681" s="175"/>
      <c r="AG681" s="175"/>
      <c r="AH681" s="175"/>
      <c r="AI681" s="175"/>
    </row>
    <row r="682">
      <c r="A682" s="176">
        <v>45946.0</v>
      </c>
      <c r="B682" s="177">
        <v>7692250.0</v>
      </c>
      <c r="C682" s="178" t="s">
        <v>82</v>
      </c>
      <c r="D682" s="178" t="s">
        <v>35</v>
      </c>
      <c r="E682" s="177">
        <v>5.065625122E9</v>
      </c>
      <c r="F682" s="178" t="s">
        <v>968</v>
      </c>
      <c r="G682" s="176">
        <v>46178.0</v>
      </c>
      <c r="H682" s="179">
        <v>46183.0</v>
      </c>
      <c r="I682" s="180">
        <v>5.0</v>
      </c>
      <c r="J682" s="181" t="s">
        <v>114</v>
      </c>
      <c r="K682" s="178" t="s">
        <v>79</v>
      </c>
      <c r="L682" s="178" t="s">
        <v>80</v>
      </c>
      <c r="M682" s="182">
        <v>2.0</v>
      </c>
      <c r="N682" s="183">
        <v>0.19999999999999996</v>
      </c>
      <c r="O682" s="184">
        <v>136.0</v>
      </c>
      <c r="P682" s="184">
        <v>108.80000000000001</v>
      </c>
      <c r="Q682" s="185">
        <v>0.0</v>
      </c>
      <c r="R682" s="186">
        <v>544.0</v>
      </c>
      <c r="S682" s="186">
        <v>0.0</v>
      </c>
      <c r="T682" s="186">
        <v>705.0</v>
      </c>
      <c r="U682" s="187" t="s">
        <v>353</v>
      </c>
      <c r="V682" s="176">
        <v>45946.0</v>
      </c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</row>
    <row r="683">
      <c r="A683" s="165">
        <v>46035.0</v>
      </c>
      <c r="B683" s="166">
        <v>8029841.0</v>
      </c>
      <c r="C683" s="166" t="s">
        <v>82</v>
      </c>
      <c r="D683" s="166" t="s">
        <v>35</v>
      </c>
      <c r="E683" s="166">
        <v>5.371367877E9</v>
      </c>
      <c r="F683" s="166" t="s">
        <v>972</v>
      </c>
      <c r="G683" s="165">
        <v>46178.0</v>
      </c>
      <c r="H683" s="167">
        <v>46180.0</v>
      </c>
      <c r="I683" s="168">
        <v>2.0</v>
      </c>
      <c r="J683" s="169" t="s">
        <v>111</v>
      </c>
      <c r="K683" s="166" t="s">
        <v>79</v>
      </c>
      <c r="L683" s="166" t="s">
        <v>80</v>
      </c>
      <c r="M683" s="205">
        <v>2.0</v>
      </c>
      <c r="N683" s="170">
        <v>0.19999999999999996</v>
      </c>
      <c r="O683" s="171">
        <v>169.68</v>
      </c>
      <c r="P683" s="171">
        <v>135.744</v>
      </c>
      <c r="Q683" s="172">
        <v>0.0</v>
      </c>
      <c r="R683" s="173">
        <v>271.488</v>
      </c>
      <c r="S683" s="173">
        <v>0.0</v>
      </c>
      <c r="T683" s="173">
        <v>349.36</v>
      </c>
      <c r="U683" s="174" t="s">
        <v>107</v>
      </c>
      <c r="V683" s="165">
        <v>46035.0</v>
      </c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</row>
    <row r="684">
      <c r="A684" s="176">
        <v>46057.0</v>
      </c>
      <c r="B684" s="177">
        <v>8126438.0</v>
      </c>
      <c r="C684" s="178" t="s">
        <v>82</v>
      </c>
      <c r="D684" s="178" t="s">
        <v>35</v>
      </c>
      <c r="E684" s="177">
        <v>5.963206666E9</v>
      </c>
      <c r="F684" s="178" t="s">
        <v>973</v>
      </c>
      <c r="G684" s="176">
        <v>46178.0</v>
      </c>
      <c r="H684" s="179">
        <v>46181.0</v>
      </c>
      <c r="I684" s="180">
        <v>3.0</v>
      </c>
      <c r="J684" s="181" t="s">
        <v>78</v>
      </c>
      <c r="K684" s="178" t="s">
        <v>79</v>
      </c>
      <c r="L684" s="178" t="s">
        <v>80</v>
      </c>
      <c r="M684" s="182">
        <v>2.0</v>
      </c>
      <c r="N684" s="183">
        <v>0.19999999999999996</v>
      </c>
      <c r="O684" s="184">
        <v>172.29999999999998</v>
      </c>
      <c r="P684" s="184">
        <v>137.84</v>
      </c>
      <c r="Q684" s="185">
        <v>0.0</v>
      </c>
      <c r="R684" s="186">
        <v>413.52</v>
      </c>
      <c r="S684" s="186">
        <v>0.0</v>
      </c>
      <c r="T684" s="186">
        <v>516.9</v>
      </c>
      <c r="U684" s="187" t="s">
        <v>161</v>
      </c>
      <c r="V684" s="176">
        <v>46057.0</v>
      </c>
      <c r="W684" s="175"/>
      <c r="X684" s="175"/>
      <c r="Y684" s="175"/>
      <c r="Z684" s="175"/>
      <c r="AA684" s="175"/>
      <c r="AB684" s="175"/>
      <c r="AC684" s="175"/>
      <c r="AD684" s="175"/>
      <c r="AE684" s="175"/>
      <c r="AF684" s="175"/>
      <c r="AG684" s="175"/>
      <c r="AH684" s="175"/>
      <c r="AI684" s="175"/>
    </row>
    <row r="685">
      <c r="A685" s="165">
        <v>46058.0</v>
      </c>
      <c r="B685" s="166">
        <v>8132860.0</v>
      </c>
      <c r="C685" s="166" t="s">
        <v>89</v>
      </c>
      <c r="D685" s="166" t="s">
        <v>35</v>
      </c>
      <c r="E685" s="166">
        <v>6.401983588E9</v>
      </c>
      <c r="F685" s="166" t="s">
        <v>974</v>
      </c>
      <c r="G685" s="165">
        <v>46178.0</v>
      </c>
      <c r="H685" s="167">
        <v>46181.0</v>
      </c>
      <c r="I685" s="168">
        <v>3.0</v>
      </c>
      <c r="J685" s="169" t="s">
        <v>78</v>
      </c>
      <c r="K685" s="166" t="s">
        <v>79</v>
      </c>
      <c r="L685" s="166" t="s">
        <v>80</v>
      </c>
      <c r="M685" s="166">
        <v>0.0</v>
      </c>
      <c r="N685" s="170">
        <v>0.0</v>
      </c>
      <c r="O685" s="171">
        <v>0.0</v>
      </c>
      <c r="P685" s="171">
        <v>0.0</v>
      </c>
      <c r="Q685" s="172">
        <v>0.0</v>
      </c>
      <c r="R685" s="173">
        <v>0.0</v>
      </c>
      <c r="S685" s="173">
        <v>0.0</v>
      </c>
      <c r="T685" s="173">
        <v>0.0</v>
      </c>
      <c r="U685" s="174" t="s">
        <v>975</v>
      </c>
      <c r="V685" s="165">
        <v>46090.0</v>
      </c>
      <c r="W685" s="175"/>
      <c r="X685" s="175"/>
      <c r="Y685" s="175"/>
      <c r="Z685" s="175"/>
      <c r="AA685" s="175"/>
      <c r="AB685" s="175"/>
      <c r="AC685" s="175"/>
      <c r="AD685" s="175"/>
      <c r="AE685" s="175"/>
      <c r="AF685" s="175"/>
      <c r="AG685" s="175"/>
      <c r="AH685" s="175"/>
      <c r="AI685" s="175"/>
    </row>
    <row r="686">
      <c r="A686" s="165">
        <v>46066.0</v>
      </c>
      <c r="B686" s="166">
        <v>8169230.0</v>
      </c>
      <c r="C686" s="166" t="s">
        <v>89</v>
      </c>
      <c r="D686" s="166" t="s">
        <v>35</v>
      </c>
      <c r="E686" s="166">
        <v>5.030573437E9</v>
      </c>
      <c r="F686" s="166" t="s">
        <v>970</v>
      </c>
      <c r="G686" s="165">
        <v>46178.0</v>
      </c>
      <c r="H686" s="167">
        <v>46181.0</v>
      </c>
      <c r="I686" s="168">
        <v>3.0</v>
      </c>
      <c r="J686" s="169" t="s">
        <v>114</v>
      </c>
      <c r="K686" s="166" t="s">
        <v>79</v>
      </c>
      <c r="L686" s="166" t="s">
        <v>80</v>
      </c>
      <c r="M686" s="166">
        <v>0.0</v>
      </c>
      <c r="N686" s="170">
        <v>0.0</v>
      </c>
      <c r="O686" s="171">
        <v>0.0</v>
      </c>
      <c r="P686" s="171">
        <v>0.0</v>
      </c>
      <c r="Q686" s="172">
        <v>0.0</v>
      </c>
      <c r="R686" s="173">
        <v>0.0</v>
      </c>
      <c r="S686" s="173">
        <v>0.0</v>
      </c>
      <c r="T686" s="173">
        <v>0.0</v>
      </c>
      <c r="U686" s="174" t="s">
        <v>976</v>
      </c>
      <c r="V686" s="165">
        <v>46066.0</v>
      </c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</row>
    <row r="687">
      <c r="A687" s="176">
        <v>46066.0</v>
      </c>
      <c r="B687" s="177">
        <v>8169279.0</v>
      </c>
      <c r="C687" s="178" t="s">
        <v>82</v>
      </c>
      <c r="D687" s="178" t="s">
        <v>35</v>
      </c>
      <c r="E687" s="177">
        <v>6.923241656E9</v>
      </c>
      <c r="F687" s="178" t="s">
        <v>970</v>
      </c>
      <c r="G687" s="176">
        <v>46178.0</v>
      </c>
      <c r="H687" s="179">
        <v>46181.0</v>
      </c>
      <c r="I687" s="180">
        <v>3.0</v>
      </c>
      <c r="J687" s="181" t="s">
        <v>111</v>
      </c>
      <c r="K687" s="178" t="s">
        <v>79</v>
      </c>
      <c r="L687" s="178" t="s">
        <v>80</v>
      </c>
      <c r="M687" s="182">
        <v>2.0</v>
      </c>
      <c r="N687" s="183">
        <v>0.19999999999999996</v>
      </c>
      <c r="O687" s="184">
        <v>176.05999999999997</v>
      </c>
      <c r="P687" s="184">
        <v>140.84799999999998</v>
      </c>
      <c r="Q687" s="185">
        <v>0.0</v>
      </c>
      <c r="R687" s="186">
        <v>422.544</v>
      </c>
      <c r="S687" s="186">
        <v>0.0</v>
      </c>
      <c r="T687" s="186">
        <v>528.18</v>
      </c>
      <c r="U687" s="187" t="s">
        <v>107</v>
      </c>
      <c r="V687" s="176">
        <v>46066.0</v>
      </c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</row>
    <row r="688">
      <c r="A688" s="176">
        <v>45920.0</v>
      </c>
      <c r="B688" s="177">
        <v>7585170.0</v>
      </c>
      <c r="C688" s="178" t="s">
        <v>82</v>
      </c>
      <c r="D688" s="178" t="s">
        <v>35</v>
      </c>
      <c r="E688" s="177">
        <v>5.865597657E9</v>
      </c>
      <c r="F688" s="178" t="s">
        <v>977</v>
      </c>
      <c r="G688" s="176">
        <v>46179.0</v>
      </c>
      <c r="H688" s="179">
        <v>46183.0</v>
      </c>
      <c r="I688" s="180">
        <v>4.0</v>
      </c>
      <c r="J688" s="181" t="s">
        <v>78</v>
      </c>
      <c r="K688" s="178" t="s">
        <v>79</v>
      </c>
      <c r="L688" s="178" t="s">
        <v>80</v>
      </c>
      <c r="M688" s="182">
        <v>2.0</v>
      </c>
      <c r="N688" s="183">
        <v>0.19999999999999996</v>
      </c>
      <c r="O688" s="184">
        <v>94.4</v>
      </c>
      <c r="P688" s="184">
        <v>75.52000000000001</v>
      </c>
      <c r="Q688" s="185">
        <v>0.0</v>
      </c>
      <c r="R688" s="186">
        <v>302.08000000000004</v>
      </c>
      <c r="S688" s="186">
        <v>0.0</v>
      </c>
      <c r="T688" s="186">
        <v>397.6</v>
      </c>
      <c r="U688" s="187" t="s">
        <v>353</v>
      </c>
      <c r="V688" s="176">
        <v>45920.0</v>
      </c>
      <c r="W688" s="175"/>
      <c r="X688" s="175"/>
      <c r="Y688" s="175"/>
      <c r="Z688" s="175"/>
      <c r="AA688" s="175"/>
      <c r="AB688" s="175"/>
      <c r="AC688" s="175"/>
      <c r="AD688" s="175"/>
      <c r="AE688" s="175"/>
      <c r="AF688" s="175"/>
      <c r="AG688" s="175"/>
      <c r="AH688" s="175"/>
      <c r="AI688" s="175"/>
    </row>
    <row r="689">
      <c r="A689" s="165">
        <v>45934.0</v>
      </c>
      <c r="B689" s="166">
        <v>7644130.0</v>
      </c>
      <c r="C689" s="166" t="s">
        <v>89</v>
      </c>
      <c r="D689" s="166" t="s">
        <v>35</v>
      </c>
      <c r="E689" s="166">
        <v>5.352560243E9</v>
      </c>
      <c r="F689" s="166" t="s">
        <v>913</v>
      </c>
      <c r="G689" s="165">
        <v>46179.0</v>
      </c>
      <c r="H689" s="167">
        <v>46180.0</v>
      </c>
      <c r="I689" s="168">
        <v>1.0</v>
      </c>
      <c r="J689" s="169" t="s">
        <v>78</v>
      </c>
      <c r="K689" s="166" t="s">
        <v>138</v>
      </c>
      <c r="L689" s="166" t="s">
        <v>80</v>
      </c>
      <c r="M689" s="166">
        <v>0.0</v>
      </c>
      <c r="N689" s="170">
        <v>0.0</v>
      </c>
      <c r="O689" s="171">
        <v>0.0</v>
      </c>
      <c r="P689" s="171">
        <v>0.0</v>
      </c>
      <c r="Q689" s="172">
        <v>0.0</v>
      </c>
      <c r="R689" s="173">
        <v>0.0</v>
      </c>
      <c r="S689" s="173">
        <v>0.0</v>
      </c>
      <c r="T689" s="173">
        <v>0.0</v>
      </c>
      <c r="U689" s="174" t="s">
        <v>978</v>
      </c>
      <c r="V689" s="165">
        <v>45942.0</v>
      </c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  <c r="AG689" s="164"/>
      <c r="AH689" s="164"/>
      <c r="AI689" s="164"/>
    </row>
    <row r="690">
      <c r="A690" s="176">
        <v>46025.0</v>
      </c>
      <c r="B690" s="177">
        <v>7985845.0</v>
      </c>
      <c r="C690" s="178" t="s">
        <v>75</v>
      </c>
      <c r="D690" s="178" t="s">
        <v>35</v>
      </c>
      <c r="E690" s="177">
        <v>5.55694213E9</v>
      </c>
      <c r="F690" s="178" t="s">
        <v>979</v>
      </c>
      <c r="G690" s="176">
        <v>46180.0</v>
      </c>
      <c r="H690" s="179">
        <v>46182.0</v>
      </c>
      <c r="I690" s="180">
        <v>2.0</v>
      </c>
      <c r="J690" s="181" t="s">
        <v>78</v>
      </c>
      <c r="K690" s="178" t="s">
        <v>79</v>
      </c>
      <c r="L690" s="178" t="s">
        <v>80</v>
      </c>
      <c r="M690" s="182">
        <v>3.0</v>
      </c>
      <c r="N690" s="183">
        <v>0.19999999999999996</v>
      </c>
      <c r="O690" s="184">
        <v>127.43</v>
      </c>
      <c r="P690" s="184">
        <v>101.94400000000002</v>
      </c>
      <c r="Q690" s="185">
        <v>0.0</v>
      </c>
      <c r="R690" s="186">
        <v>203.88800000000003</v>
      </c>
      <c r="S690" s="186">
        <v>0.0</v>
      </c>
      <c r="T690" s="186">
        <v>269.86</v>
      </c>
      <c r="U690" s="187" t="s">
        <v>689</v>
      </c>
      <c r="V690" s="176">
        <v>46025.0</v>
      </c>
      <c r="W690" s="175"/>
      <c r="X690" s="175"/>
      <c r="Y690" s="175"/>
      <c r="Z690" s="175"/>
      <c r="AA690" s="175"/>
      <c r="AB690" s="175"/>
      <c r="AC690" s="175"/>
      <c r="AD690" s="175"/>
      <c r="AE690" s="175"/>
      <c r="AF690" s="175"/>
      <c r="AG690" s="175"/>
      <c r="AH690" s="175"/>
      <c r="AI690" s="175"/>
    </row>
    <row r="691">
      <c r="A691" s="165">
        <v>45956.0</v>
      </c>
      <c r="B691" s="166">
        <v>7732197.0</v>
      </c>
      <c r="C691" s="166" t="s">
        <v>82</v>
      </c>
      <c r="D691" s="166" t="s">
        <v>35</v>
      </c>
      <c r="E691" s="166">
        <v>5.10167824E9</v>
      </c>
      <c r="F691" s="166" t="s">
        <v>980</v>
      </c>
      <c r="G691" s="165">
        <v>46181.0</v>
      </c>
      <c r="H691" s="167">
        <v>46187.0</v>
      </c>
      <c r="I691" s="168">
        <v>6.0</v>
      </c>
      <c r="J691" s="169" t="s">
        <v>114</v>
      </c>
      <c r="K691" s="166" t="s">
        <v>79</v>
      </c>
      <c r="L691" s="166" t="s">
        <v>80</v>
      </c>
      <c r="M691" s="205">
        <v>2.0</v>
      </c>
      <c r="N691" s="170">
        <v>0.19999999999999996</v>
      </c>
      <c r="O691" s="171">
        <v>144.79999999999998</v>
      </c>
      <c r="P691" s="171">
        <v>115.83999999999999</v>
      </c>
      <c r="Q691" s="172">
        <v>0.0</v>
      </c>
      <c r="R691" s="173">
        <v>695.04</v>
      </c>
      <c r="S691" s="173">
        <v>0.0</v>
      </c>
      <c r="T691" s="173">
        <v>898.8</v>
      </c>
      <c r="U691" s="174" t="s">
        <v>353</v>
      </c>
      <c r="V691" s="165">
        <v>45956.0</v>
      </c>
      <c r="W691" s="175"/>
      <c r="X691" s="175"/>
      <c r="Y691" s="175"/>
      <c r="Z691" s="175"/>
      <c r="AA691" s="175"/>
      <c r="AB691" s="175"/>
      <c r="AC691" s="175"/>
      <c r="AD691" s="175"/>
      <c r="AE691" s="175"/>
      <c r="AF691" s="175"/>
      <c r="AG691" s="175"/>
      <c r="AH691" s="175"/>
      <c r="AI691" s="175"/>
    </row>
    <row r="692">
      <c r="A692" s="165">
        <v>46021.0</v>
      </c>
      <c r="B692" s="166">
        <v>7971333.0</v>
      </c>
      <c r="C692" s="166" t="s">
        <v>82</v>
      </c>
      <c r="D692" s="166" t="s">
        <v>35</v>
      </c>
      <c r="E692" s="166">
        <v>6.198587741E9</v>
      </c>
      <c r="F692" s="166" t="s">
        <v>981</v>
      </c>
      <c r="G692" s="165">
        <v>46181.0</v>
      </c>
      <c r="H692" s="167">
        <v>46184.0</v>
      </c>
      <c r="I692" s="168">
        <v>3.0</v>
      </c>
      <c r="J692" s="169" t="s">
        <v>78</v>
      </c>
      <c r="K692" s="166" t="s">
        <v>79</v>
      </c>
      <c r="L692" s="166" t="s">
        <v>80</v>
      </c>
      <c r="M692" s="166">
        <v>2.0</v>
      </c>
      <c r="N692" s="170">
        <v>0.19999999999999996</v>
      </c>
      <c r="O692" s="171">
        <v>171.9</v>
      </c>
      <c r="P692" s="171">
        <v>137.52</v>
      </c>
      <c r="Q692" s="172">
        <v>0.0</v>
      </c>
      <c r="R692" s="173">
        <v>412.56000000000006</v>
      </c>
      <c r="S692" s="173">
        <v>0.0</v>
      </c>
      <c r="T692" s="173">
        <v>530.7</v>
      </c>
      <c r="U692" s="174" t="s">
        <v>353</v>
      </c>
      <c r="V692" s="165">
        <v>46021.0</v>
      </c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64"/>
    </row>
    <row r="693">
      <c r="A693" s="176">
        <v>46070.0</v>
      </c>
      <c r="B693" s="177">
        <v>8184603.0</v>
      </c>
      <c r="C693" s="178" t="s">
        <v>89</v>
      </c>
      <c r="D693" s="178" t="s">
        <v>35</v>
      </c>
      <c r="E693" s="177">
        <v>6.992892842E9</v>
      </c>
      <c r="F693" s="178" t="s">
        <v>982</v>
      </c>
      <c r="G693" s="176">
        <v>46181.0</v>
      </c>
      <c r="H693" s="179">
        <v>46184.0</v>
      </c>
      <c r="I693" s="180">
        <v>3.0</v>
      </c>
      <c r="J693" s="181" t="s">
        <v>111</v>
      </c>
      <c r="K693" s="178" t="s">
        <v>79</v>
      </c>
      <c r="L693" s="178" t="s">
        <v>80</v>
      </c>
      <c r="M693" s="182">
        <v>0.0</v>
      </c>
      <c r="N693" s="181">
        <v>0.0</v>
      </c>
      <c r="O693" s="184">
        <v>0.0</v>
      </c>
      <c r="P693" s="184">
        <v>0.0</v>
      </c>
      <c r="Q693" s="181">
        <v>0.0</v>
      </c>
      <c r="R693" s="186">
        <v>0.0</v>
      </c>
      <c r="S693" s="186">
        <v>0.0</v>
      </c>
      <c r="T693" s="186">
        <v>0.0</v>
      </c>
      <c r="U693" s="187" t="s">
        <v>983</v>
      </c>
      <c r="V693" s="176">
        <v>46115.0</v>
      </c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64"/>
    </row>
    <row r="694">
      <c r="A694" s="176">
        <v>45877.0</v>
      </c>
      <c r="B694" s="177">
        <v>7392038.0</v>
      </c>
      <c r="C694" s="178" t="s">
        <v>89</v>
      </c>
      <c r="D694" s="178" t="s">
        <v>35</v>
      </c>
      <c r="E694" s="177">
        <v>5.025206969E9</v>
      </c>
      <c r="F694" s="178" t="s">
        <v>984</v>
      </c>
      <c r="G694" s="176">
        <v>46182.0</v>
      </c>
      <c r="H694" s="179">
        <v>46188.0</v>
      </c>
      <c r="I694" s="180">
        <v>6.0</v>
      </c>
      <c r="J694" s="181" t="s">
        <v>78</v>
      </c>
      <c r="K694" s="178" t="s">
        <v>79</v>
      </c>
      <c r="L694" s="178" t="s">
        <v>80</v>
      </c>
      <c r="M694" s="182">
        <v>0.0</v>
      </c>
      <c r="N694" s="183">
        <v>0.0</v>
      </c>
      <c r="O694" s="184">
        <v>0.0</v>
      </c>
      <c r="P694" s="184">
        <v>0.0</v>
      </c>
      <c r="Q694" s="185">
        <v>0.0</v>
      </c>
      <c r="R694" s="186">
        <v>0.0</v>
      </c>
      <c r="S694" s="186">
        <v>0.0</v>
      </c>
      <c r="T694" s="186">
        <v>0.0</v>
      </c>
      <c r="U694" s="187" t="s">
        <v>985</v>
      </c>
      <c r="V694" s="176">
        <v>45925.0</v>
      </c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64"/>
    </row>
    <row r="695">
      <c r="A695" s="154">
        <v>45936.0</v>
      </c>
      <c r="B695" s="155">
        <v>7652322.0</v>
      </c>
      <c r="C695" s="156" t="s">
        <v>82</v>
      </c>
      <c r="D695" s="156" t="s">
        <v>35</v>
      </c>
      <c r="E695" s="155">
        <v>6.051471261E9</v>
      </c>
      <c r="F695" s="156" t="s">
        <v>986</v>
      </c>
      <c r="G695" s="154">
        <v>46182.0</v>
      </c>
      <c r="H695" s="157">
        <v>46185.0</v>
      </c>
      <c r="I695" s="158">
        <v>3.0</v>
      </c>
      <c r="J695" s="159" t="s">
        <v>78</v>
      </c>
      <c r="K695" s="156" t="s">
        <v>79</v>
      </c>
      <c r="L695" s="156" t="s">
        <v>80</v>
      </c>
      <c r="M695" s="155">
        <v>2.0</v>
      </c>
      <c r="N695" s="160">
        <v>0.19999999999999996</v>
      </c>
      <c r="O695" s="161">
        <v>81.06</v>
      </c>
      <c r="P695" s="161">
        <v>64.848</v>
      </c>
      <c r="Q695" s="203">
        <v>0.0</v>
      </c>
      <c r="R695" s="162">
        <v>194.54399999999998</v>
      </c>
      <c r="S695" s="162">
        <v>0.0</v>
      </c>
      <c r="T695" s="162">
        <v>258.18</v>
      </c>
      <c r="U695" s="163" t="s">
        <v>107</v>
      </c>
      <c r="V695" s="154">
        <v>45936.0</v>
      </c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64"/>
    </row>
    <row r="696">
      <c r="A696" s="165">
        <v>45943.0</v>
      </c>
      <c r="B696" s="166">
        <v>7678732.0</v>
      </c>
      <c r="C696" s="166" t="s">
        <v>89</v>
      </c>
      <c r="D696" s="166" t="s">
        <v>35</v>
      </c>
      <c r="E696" s="166">
        <v>6.570688466E9</v>
      </c>
      <c r="F696" s="166" t="s">
        <v>987</v>
      </c>
      <c r="G696" s="165">
        <v>46182.0</v>
      </c>
      <c r="H696" s="167">
        <v>46186.0</v>
      </c>
      <c r="I696" s="168">
        <v>4.0</v>
      </c>
      <c r="J696" s="169" t="s">
        <v>78</v>
      </c>
      <c r="K696" s="166" t="s">
        <v>79</v>
      </c>
      <c r="L696" s="166" t="s">
        <v>80</v>
      </c>
      <c r="M696" s="205">
        <v>0.0</v>
      </c>
      <c r="N696" s="170">
        <v>0.0</v>
      </c>
      <c r="O696" s="171">
        <v>0.0</v>
      </c>
      <c r="P696" s="171">
        <v>0.0</v>
      </c>
      <c r="Q696" s="172">
        <v>0.0</v>
      </c>
      <c r="R696" s="173">
        <v>0.0</v>
      </c>
      <c r="S696" s="173">
        <v>0.0</v>
      </c>
      <c r="T696" s="173">
        <v>0.0</v>
      </c>
      <c r="U696" s="174" t="s">
        <v>322</v>
      </c>
      <c r="V696" s="165">
        <v>46137.0</v>
      </c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</row>
    <row r="697">
      <c r="A697" s="154">
        <v>45943.0</v>
      </c>
      <c r="B697" s="155">
        <v>7678732.0</v>
      </c>
      <c r="C697" s="156" t="s">
        <v>89</v>
      </c>
      <c r="D697" s="156" t="s">
        <v>35</v>
      </c>
      <c r="E697" s="155">
        <v>6.570688466E9</v>
      </c>
      <c r="F697" s="156" t="s">
        <v>987</v>
      </c>
      <c r="G697" s="154">
        <v>46182.0</v>
      </c>
      <c r="H697" s="157">
        <v>46186.0</v>
      </c>
      <c r="I697" s="158">
        <v>4.0</v>
      </c>
      <c r="J697" s="159" t="s">
        <v>87</v>
      </c>
      <c r="K697" s="156" t="s">
        <v>79</v>
      </c>
      <c r="L697" s="156" t="s">
        <v>80</v>
      </c>
      <c r="M697" s="155">
        <v>0.0</v>
      </c>
      <c r="N697" s="160">
        <v>0.0</v>
      </c>
      <c r="O697" s="161">
        <v>0.0</v>
      </c>
      <c r="P697" s="161">
        <v>0.0</v>
      </c>
      <c r="Q697" s="159">
        <v>0.0</v>
      </c>
      <c r="R697" s="162">
        <v>0.0</v>
      </c>
      <c r="S697" s="162">
        <v>0.0</v>
      </c>
      <c r="T697" s="162">
        <v>0.0</v>
      </c>
      <c r="U697" s="163" t="s">
        <v>322</v>
      </c>
      <c r="V697" s="154">
        <v>46137.0</v>
      </c>
      <c r="W697" s="175"/>
      <c r="X697" s="175"/>
      <c r="Y697" s="175"/>
      <c r="Z697" s="175"/>
      <c r="AA697" s="175"/>
      <c r="AB697" s="175"/>
      <c r="AC697" s="175"/>
      <c r="AD697" s="175"/>
      <c r="AE697" s="175"/>
      <c r="AF697" s="175"/>
      <c r="AG697" s="175"/>
      <c r="AH697" s="175"/>
      <c r="AI697" s="175"/>
    </row>
    <row r="698">
      <c r="A698" s="165">
        <v>45993.0</v>
      </c>
      <c r="B698" s="166">
        <v>7877171.0</v>
      </c>
      <c r="C698" s="166" t="s">
        <v>82</v>
      </c>
      <c r="D698" s="166" t="s">
        <v>35</v>
      </c>
      <c r="E698" s="166">
        <v>5.533026625E9</v>
      </c>
      <c r="F698" s="166" t="s">
        <v>988</v>
      </c>
      <c r="G698" s="165">
        <v>46182.0</v>
      </c>
      <c r="H698" s="167">
        <v>46185.0</v>
      </c>
      <c r="I698" s="168">
        <v>3.0</v>
      </c>
      <c r="J698" s="169" t="s">
        <v>111</v>
      </c>
      <c r="K698" s="166" t="s">
        <v>79</v>
      </c>
      <c r="L698" s="166" t="s">
        <v>80</v>
      </c>
      <c r="M698" s="205">
        <v>3.0</v>
      </c>
      <c r="N698" s="170">
        <v>0.19999999999999996</v>
      </c>
      <c r="O698" s="171">
        <v>229.67999999999998</v>
      </c>
      <c r="P698" s="171">
        <v>183.744</v>
      </c>
      <c r="Q698" s="172">
        <v>0.0</v>
      </c>
      <c r="R698" s="173">
        <v>551.232</v>
      </c>
      <c r="S698" s="173">
        <v>0.0</v>
      </c>
      <c r="T698" s="173">
        <v>711.54</v>
      </c>
      <c r="U698" s="201" t="s">
        <v>107</v>
      </c>
      <c r="V698" s="207">
        <v>45993.0</v>
      </c>
      <c r="W698" s="175"/>
      <c r="X698" s="175"/>
      <c r="Y698" s="175"/>
      <c r="Z698" s="175"/>
      <c r="AA698" s="175"/>
      <c r="AB698" s="175"/>
      <c r="AC698" s="175"/>
      <c r="AD698" s="175"/>
      <c r="AE698" s="175"/>
      <c r="AF698" s="175"/>
      <c r="AG698" s="175"/>
      <c r="AH698" s="175"/>
      <c r="AI698" s="175"/>
    </row>
    <row r="699">
      <c r="A699" s="176">
        <v>46000.0</v>
      </c>
      <c r="B699" s="177">
        <v>7899570.0</v>
      </c>
      <c r="C699" s="178" t="s">
        <v>82</v>
      </c>
      <c r="D699" s="178" t="s">
        <v>35</v>
      </c>
      <c r="E699" s="177">
        <v>5.03415062E9</v>
      </c>
      <c r="F699" s="178" t="s">
        <v>989</v>
      </c>
      <c r="G699" s="176">
        <v>46183.0</v>
      </c>
      <c r="H699" s="179">
        <v>46187.0</v>
      </c>
      <c r="I699" s="180">
        <v>4.0</v>
      </c>
      <c r="J699" s="181" t="s">
        <v>114</v>
      </c>
      <c r="K699" s="178" t="s">
        <v>79</v>
      </c>
      <c r="L699" s="178" t="s">
        <v>80</v>
      </c>
      <c r="M699" s="182">
        <v>3.0</v>
      </c>
      <c r="N699" s="183">
        <v>0.19999999999999996</v>
      </c>
      <c r="O699" s="184">
        <v>151.98</v>
      </c>
      <c r="P699" s="184">
        <v>121.584</v>
      </c>
      <c r="Q699" s="185">
        <v>0.0</v>
      </c>
      <c r="R699" s="186">
        <v>486.336</v>
      </c>
      <c r="S699" s="186">
        <v>0.0</v>
      </c>
      <c r="T699" s="186">
        <v>637.92</v>
      </c>
      <c r="U699" s="187" t="s">
        <v>107</v>
      </c>
      <c r="V699" s="176">
        <v>46000.0</v>
      </c>
      <c r="W699" s="175"/>
      <c r="X699" s="175"/>
      <c r="Y699" s="175"/>
      <c r="Z699" s="175"/>
      <c r="AA699" s="175"/>
      <c r="AB699" s="175"/>
      <c r="AC699" s="175"/>
      <c r="AD699" s="175"/>
      <c r="AE699" s="175"/>
      <c r="AF699" s="175"/>
      <c r="AG699" s="175"/>
      <c r="AH699" s="175"/>
      <c r="AI699" s="175"/>
    </row>
    <row r="700">
      <c r="A700" s="165">
        <v>46045.0</v>
      </c>
      <c r="B700" s="166">
        <v>8073754.0</v>
      </c>
      <c r="C700" s="166" t="s">
        <v>82</v>
      </c>
      <c r="D700" s="166" t="s">
        <v>36</v>
      </c>
      <c r="E700" s="166">
        <v>8073754.0</v>
      </c>
      <c r="F700" s="166" t="s">
        <v>990</v>
      </c>
      <c r="G700" s="165">
        <v>46184.0</v>
      </c>
      <c r="H700" s="167">
        <v>46188.0</v>
      </c>
      <c r="I700" s="168">
        <v>4.0</v>
      </c>
      <c r="J700" s="169" t="s">
        <v>78</v>
      </c>
      <c r="K700" s="166" t="s">
        <v>79</v>
      </c>
      <c r="L700" s="166" t="s">
        <v>96</v>
      </c>
      <c r="M700" s="166">
        <v>2.0</v>
      </c>
      <c r="N700" s="170">
        <v>0.0</v>
      </c>
      <c r="O700" s="171">
        <v>159.12</v>
      </c>
      <c r="P700" s="171">
        <v>157.5288</v>
      </c>
      <c r="Q700" s="172">
        <v>0.0</v>
      </c>
      <c r="R700" s="173">
        <v>630.1152</v>
      </c>
      <c r="S700" s="173">
        <v>0.0</v>
      </c>
      <c r="T700" s="173">
        <v>656.48</v>
      </c>
      <c r="U700" s="174" t="s">
        <v>97</v>
      </c>
      <c r="V700" s="165">
        <v>46045.0</v>
      </c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</row>
    <row r="701">
      <c r="A701" s="165">
        <v>46054.0</v>
      </c>
      <c r="B701" s="166">
        <v>8113384.0</v>
      </c>
      <c r="C701" s="166" t="s">
        <v>82</v>
      </c>
      <c r="D701" s="166" t="s">
        <v>109</v>
      </c>
      <c r="E701" s="166">
        <v>6.23702655E8</v>
      </c>
      <c r="F701" s="166" t="s">
        <v>991</v>
      </c>
      <c r="G701" s="165">
        <v>46185.0</v>
      </c>
      <c r="H701" s="167">
        <v>46187.0</v>
      </c>
      <c r="I701" s="168">
        <v>2.0</v>
      </c>
      <c r="J701" s="169" t="s">
        <v>78</v>
      </c>
      <c r="K701" s="166" t="s">
        <v>79</v>
      </c>
      <c r="L701" s="166" t="s">
        <v>96</v>
      </c>
      <c r="M701" s="166">
        <v>2.0</v>
      </c>
      <c r="N701" s="170">
        <v>0.19999999999999996</v>
      </c>
      <c r="O701" s="171">
        <v>173.4</v>
      </c>
      <c r="P701" s="171">
        <v>138.72</v>
      </c>
      <c r="Q701" s="172">
        <v>0.0</v>
      </c>
      <c r="R701" s="173">
        <v>277.44</v>
      </c>
      <c r="S701" s="173">
        <v>0.0</v>
      </c>
      <c r="T701" s="173">
        <v>346.8</v>
      </c>
      <c r="U701" s="174" t="s">
        <v>112</v>
      </c>
      <c r="V701" s="165">
        <v>46054.0</v>
      </c>
      <c r="W701" s="175"/>
      <c r="X701" s="175"/>
      <c r="Y701" s="175"/>
      <c r="Z701" s="175"/>
      <c r="AA701" s="175"/>
      <c r="AB701" s="175"/>
      <c r="AC701" s="175"/>
      <c r="AD701" s="175"/>
      <c r="AE701" s="175"/>
      <c r="AF701" s="175"/>
      <c r="AG701" s="175"/>
      <c r="AH701" s="175"/>
      <c r="AI701" s="175"/>
    </row>
    <row r="702">
      <c r="A702" s="165">
        <v>45901.0</v>
      </c>
      <c r="B702" s="166">
        <v>7503764.0</v>
      </c>
      <c r="C702" s="166" t="s">
        <v>75</v>
      </c>
      <c r="D702" s="166" t="s">
        <v>35</v>
      </c>
      <c r="E702" s="166">
        <v>6.586317112E9</v>
      </c>
      <c r="F702" s="166" t="s">
        <v>992</v>
      </c>
      <c r="G702" s="165">
        <v>46189.0</v>
      </c>
      <c r="H702" s="167">
        <v>46192.0</v>
      </c>
      <c r="I702" s="168">
        <v>3.0</v>
      </c>
      <c r="J702" s="169" t="s">
        <v>78</v>
      </c>
      <c r="K702" s="166" t="s">
        <v>79</v>
      </c>
      <c r="L702" s="166" t="s">
        <v>80</v>
      </c>
      <c r="M702" s="205">
        <v>2.0</v>
      </c>
      <c r="N702" s="170">
        <v>0.19999999999999996</v>
      </c>
      <c r="O702" s="171">
        <v>154.85</v>
      </c>
      <c r="P702" s="171">
        <v>123.88</v>
      </c>
      <c r="Q702" s="172">
        <v>0.0</v>
      </c>
      <c r="R702" s="173">
        <v>371.64</v>
      </c>
      <c r="S702" s="173">
        <v>0.0</v>
      </c>
      <c r="T702" s="173">
        <v>2974.2</v>
      </c>
      <c r="U702" s="174" t="s">
        <v>993</v>
      </c>
      <c r="V702" s="165">
        <v>45901.0</v>
      </c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  <c r="AG702" s="164"/>
      <c r="AH702" s="164"/>
      <c r="AI702" s="164"/>
    </row>
    <row r="703">
      <c r="A703" s="176">
        <v>45901.0</v>
      </c>
      <c r="B703" s="177">
        <v>7503764.0</v>
      </c>
      <c r="C703" s="178" t="s">
        <v>75</v>
      </c>
      <c r="D703" s="178" t="s">
        <v>35</v>
      </c>
      <c r="E703" s="178">
        <v>6.586317112E9</v>
      </c>
      <c r="F703" s="178" t="s">
        <v>992</v>
      </c>
      <c r="G703" s="176">
        <v>46189.0</v>
      </c>
      <c r="H703" s="179">
        <v>46192.0</v>
      </c>
      <c r="I703" s="180">
        <v>3.0</v>
      </c>
      <c r="J703" s="181" t="s">
        <v>78</v>
      </c>
      <c r="K703" s="178" t="s">
        <v>79</v>
      </c>
      <c r="L703" s="178" t="s">
        <v>80</v>
      </c>
      <c r="M703" s="182">
        <v>2.0</v>
      </c>
      <c r="N703" s="183">
        <v>0.19999999999999996</v>
      </c>
      <c r="O703" s="184">
        <v>154.85</v>
      </c>
      <c r="P703" s="184">
        <v>123.88</v>
      </c>
      <c r="Q703" s="185">
        <v>0.0</v>
      </c>
      <c r="R703" s="186">
        <v>371.64</v>
      </c>
      <c r="S703" s="186">
        <v>0.0</v>
      </c>
      <c r="T703" s="186">
        <v>2974.2</v>
      </c>
      <c r="U703" s="187" t="s">
        <v>993</v>
      </c>
      <c r="V703" s="189">
        <v>45901.0</v>
      </c>
      <c r="W703" s="175"/>
      <c r="X703" s="175"/>
      <c r="Y703" s="175"/>
      <c r="Z703" s="175"/>
      <c r="AA703" s="175"/>
      <c r="AB703" s="175"/>
      <c r="AC703" s="175"/>
      <c r="AD703" s="175"/>
      <c r="AE703" s="175"/>
      <c r="AF703" s="175"/>
      <c r="AG703" s="175"/>
      <c r="AH703" s="175"/>
      <c r="AI703" s="175"/>
    </row>
    <row r="704">
      <c r="A704" s="176">
        <v>45901.0</v>
      </c>
      <c r="B704" s="177">
        <v>7503764.0</v>
      </c>
      <c r="C704" s="178" t="s">
        <v>75</v>
      </c>
      <c r="D704" s="178" t="s">
        <v>35</v>
      </c>
      <c r="E704" s="178">
        <v>6.586317112E9</v>
      </c>
      <c r="F704" s="178" t="s">
        <v>992</v>
      </c>
      <c r="G704" s="176">
        <v>46189.0</v>
      </c>
      <c r="H704" s="179">
        <v>46192.0</v>
      </c>
      <c r="I704" s="180">
        <v>3.0</v>
      </c>
      <c r="J704" s="181" t="s">
        <v>111</v>
      </c>
      <c r="K704" s="178" t="s">
        <v>79</v>
      </c>
      <c r="L704" s="178" t="s">
        <v>80</v>
      </c>
      <c r="M704" s="177">
        <v>1.0</v>
      </c>
      <c r="N704" s="183">
        <v>0.19999999999999996</v>
      </c>
      <c r="O704" s="184">
        <v>213.1</v>
      </c>
      <c r="P704" s="184">
        <v>170.48000000000002</v>
      </c>
      <c r="Q704" s="185">
        <v>0.0</v>
      </c>
      <c r="R704" s="186">
        <v>511.44000000000005</v>
      </c>
      <c r="S704" s="186">
        <v>0.0</v>
      </c>
      <c r="T704" s="186">
        <v>2974.2</v>
      </c>
      <c r="U704" s="220" t="s">
        <v>993</v>
      </c>
      <c r="V704" s="189">
        <v>45901.0</v>
      </c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</row>
    <row r="705">
      <c r="A705" s="154">
        <v>45901.0</v>
      </c>
      <c r="B705" s="155">
        <v>7503764.0</v>
      </c>
      <c r="C705" s="156" t="s">
        <v>75</v>
      </c>
      <c r="D705" s="156" t="s">
        <v>35</v>
      </c>
      <c r="E705" s="155">
        <v>6.586317112E9</v>
      </c>
      <c r="F705" s="156" t="s">
        <v>992</v>
      </c>
      <c r="G705" s="154">
        <v>46189.0</v>
      </c>
      <c r="H705" s="157">
        <v>46192.0</v>
      </c>
      <c r="I705" s="158">
        <v>3.0</v>
      </c>
      <c r="J705" s="159" t="s">
        <v>78</v>
      </c>
      <c r="K705" s="156" t="s">
        <v>79</v>
      </c>
      <c r="L705" s="156" t="s">
        <v>80</v>
      </c>
      <c r="M705" s="155">
        <v>2.0</v>
      </c>
      <c r="N705" s="160">
        <v>0.19999999999999996</v>
      </c>
      <c r="O705" s="161">
        <v>154.85</v>
      </c>
      <c r="P705" s="161">
        <v>123.88</v>
      </c>
      <c r="Q705" s="203">
        <v>0.0</v>
      </c>
      <c r="R705" s="162">
        <v>371.64</v>
      </c>
      <c r="S705" s="162">
        <v>0.0</v>
      </c>
      <c r="T705" s="162">
        <v>2974.2</v>
      </c>
      <c r="U705" s="163" t="s">
        <v>993</v>
      </c>
      <c r="V705" s="154">
        <v>45901.0</v>
      </c>
      <c r="W705" s="175"/>
      <c r="X705" s="175"/>
      <c r="Y705" s="175"/>
      <c r="Z705" s="175"/>
      <c r="AA705" s="175"/>
      <c r="AB705" s="175"/>
      <c r="AC705" s="175"/>
      <c r="AD705" s="175"/>
      <c r="AE705" s="175"/>
      <c r="AF705" s="175"/>
      <c r="AG705" s="175"/>
      <c r="AH705" s="175"/>
      <c r="AI705" s="175"/>
    </row>
    <row r="706">
      <c r="A706" s="154">
        <v>45901.0</v>
      </c>
      <c r="B706" s="155">
        <v>7503764.0</v>
      </c>
      <c r="C706" s="156" t="s">
        <v>75</v>
      </c>
      <c r="D706" s="156" t="s">
        <v>35</v>
      </c>
      <c r="E706" s="155">
        <v>6.586317112E9</v>
      </c>
      <c r="F706" s="156" t="s">
        <v>992</v>
      </c>
      <c r="G706" s="154">
        <v>46189.0</v>
      </c>
      <c r="H706" s="157">
        <v>46192.0</v>
      </c>
      <c r="I706" s="158">
        <v>3.0</v>
      </c>
      <c r="J706" s="159" t="s">
        <v>87</v>
      </c>
      <c r="K706" s="156" t="s">
        <v>79</v>
      </c>
      <c r="L706" s="156" t="s">
        <v>80</v>
      </c>
      <c r="M706" s="155">
        <v>2.0</v>
      </c>
      <c r="N706" s="160">
        <v>0.19999999999999996</v>
      </c>
      <c r="O706" s="161">
        <v>130.54999999999998</v>
      </c>
      <c r="P706" s="161">
        <v>104.44</v>
      </c>
      <c r="Q706" s="203">
        <v>0.0</v>
      </c>
      <c r="R706" s="162">
        <v>313.32</v>
      </c>
      <c r="S706" s="162">
        <v>0.0</v>
      </c>
      <c r="T706" s="162">
        <v>2974.2</v>
      </c>
      <c r="U706" s="163" t="s">
        <v>993</v>
      </c>
      <c r="V706" s="154">
        <v>45901.0</v>
      </c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64"/>
    </row>
    <row r="707">
      <c r="A707" s="154">
        <v>45901.0</v>
      </c>
      <c r="B707" s="155">
        <v>7503764.0</v>
      </c>
      <c r="C707" s="156" t="s">
        <v>75</v>
      </c>
      <c r="D707" s="156" t="s">
        <v>35</v>
      </c>
      <c r="E707" s="155">
        <v>6.586317112E9</v>
      </c>
      <c r="F707" s="156" t="s">
        <v>992</v>
      </c>
      <c r="G707" s="154">
        <v>46189.0</v>
      </c>
      <c r="H707" s="157">
        <v>46192.0</v>
      </c>
      <c r="I707" s="158">
        <v>3.0</v>
      </c>
      <c r="J707" s="159" t="s">
        <v>114</v>
      </c>
      <c r="K707" s="156" t="s">
        <v>79</v>
      </c>
      <c r="L707" s="156" t="s">
        <v>80</v>
      </c>
      <c r="M707" s="155">
        <v>2.0</v>
      </c>
      <c r="N707" s="160">
        <v>0.19999999999999996</v>
      </c>
      <c r="O707" s="161">
        <v>183.20000000000002</v>
      </c>
      <c r="P707" s="161">
        <v>146.56000000000003</v>
      </c>
      <c r="Q707" s="159">
        <v>0.0</v>
      </c>
      <c r="R707" s="162">
        <v>439.68000000000006</v>
      </c>
      <c r="S707" s="162">
        <v>0.0</v>
      </c>
      <c r="T707" s="162">
        <v>2974.2</v>
      </c>
      <c r="U707" s="163" t="s">
        <v>993</v>
      </c>
      <c r="V707" s="154">
        <v>45901.0</v>
      </c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</row>
    <row r="708">
      <c r="A708" s="165">
        <v>46010.0</v>
      </c>
      <c r="B708" s="166">
        <v>7936036.0</v>
      </c>
      <c r="C708" s="166" t="s">
        <v>89</v>
      </c>
      <c r="D708" s="166" t="s">
        <v>35</v>
      </c>
      <c r="E708" s="166">
        <v>6.22928672E9</v>
      </c>
      <c r="F708" s="166" t="s">
        <v>994</v>
      </c>
      <c r="G708" s="165">
        <v>46189.0</v>
      </c>
      <c r="H708" s="167">
        <v>46194.0</v>
      </c>
      <c r="I708" s="168">
        <v>5.0</v>
      </c>
      <c r="J708" s="169" t="s">
        <v>78</v>
      </c>
      <c r="K708" s="166" t="s">
        <v>79</v>
      </c>
      <c r="L708" s="166" t="s">
        <v>80</v>
      </c>
      <c r="M708" s="205">
        <v>0.0</v>
      </c>
      <c r="N708" s="170">
        <v>0.0</v>
      </c>
      <c r="O708" s="171">
        <v>0.0</v>
      </c>
      <c r="P708" s="171">
        <v>0.0</v>
      </c>
      <c r="Q708" s="172">
        <v>0.0</v>
      </c>
      <c r="R708" s="173">
        <v>0.0</v>
      </c>
      <c r="S708" s="173">
        <v>0.0</v>
      </c>
      <c r="T708" s="173">
        <v>0.0</v>
      </c>
      <c r="U708" s="174" t="s">
        <v>995</v>
      </c>
      <c r="V708" s="165">
        <v>46116.0</v>
      </c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</row>
    <row r="709">
      <c r="A709" s="165">
        <v>45939.0</v>
      </c>
      <c r="B709" s="166">
        <v>7661806.0</v>
      </c>
      <c r="C709" s="166" t="s">
        <v>89</v>
      </c>
      <c r="D709" s="166" t="s">
        <v>35</v>
      </c>
      <c r="E709" s="166">
        <v>5.866538037E9</v>
      </c>
      <c r="F709" s="166" t="s">
        <v>996</v>
      </c>
      <c r="G709" s="165">
        <v>46191.0</v>
      </c>
      <c r="H709" s="167">
        <v>46194.0</v>
      </c>
      <c r="I709" s="168">
        <v>3.0</v>
      </c>
      <c r="J709" s="169" t="s">
        <v>78</v>
      </c>
      <c r="K709" s="166" t="s">
        <v>79</v>
      </c>
      <c r="L709" s="166" t="s">
        <v>80</v>
      </c>
      <c r="M709" s="166">
        <v>0.0</v>
      </c>
      <c r="N709" s="170">
        <v>0.0</v>
      </c>
      <c r="O709" s="171">
        <v>0.0</v>
      </c>
      <c r="P709" s="171">
        <v>0.0</v>
      </c>
      <c r="Q709" s="172">
        <v>0.0</v>
      </c>
      <c r="R709" s="173">
        <v>0.0</v>
      </c>
      <c r="S709" s="173">
        <v>0.0</v>
      </c>
      <c r="T709" s="173">
        <v>0.0</v>
      </c>
      <c r="U709" s="174" t="s">
        <v>997</v>
      </c>
      <c r="V709" s="165">
        <v>45941.0</v>
      </c>
      <c r="W709" s="175"/>
      <c r="X709" s="175"/>
      <c r="Y709" s="175"/>
      <c r="Z709" s="175"/>
      <c r="AA709" s="175"/>
      <c r="AB709" s="175"/>
      <c r="AC709" s="175"/>
      <c r="AD709" s="175"/>
      <c r="AE709" s="175"/>
      <c r="AF709" s="175"/>
      <c r="AG709" s="175"/>
      <c r="AH709" s="175"/>
      <c r="AI709" s="175"/>
    </row>
    <row r="710">
      <c r="A710" s="154">
        <v>46058.0</v>
      </c>
      <c r="B710" s="155">
        <v>8131584.0</v>
      </c>
      <c r="C710" s="156" t="s">
        <v>82</v>
      </c>
      <c r="D710" s="156" t="s">
        <v>35</v>
      </c>
      <c r="E710" s="155">
        <v>6.959999736E9</v>
      </c>
      <c r="F710" s="156" t="s">
        <v>998</v>
      </c>
      <c r="G710" s="154">
        <v>46191.0</v>
      </c>
      <c r="H710" s="157">
        <v>46195.0</v>
      </c>
      <c r="I710" s="158">
        <v>4.0</v>
      </c>
      <c r="J710" s="159" t="s">
        <v>78</v>
      </c>
      <c r="K710" s="156" t="s">
        <v>79</v>
      </c>
      <c r="L710" s="156" t="s">
        <v>80</v>
      </c>
      <c r="M710" s="155">
        <v>2.0</v>
      </c>
      <c r="N710" s="160">
        <v>0.19999999999999996</v>
      </c>
      <c r="O710" s="161">
        <v>127.43</v>
      </c>
      <c r="P710" s="161">
        <v>101.94400000000002</v>
      </c>
      <c r="Q710" s="203">
        <v>0.0</v>
      </c>
      <c r="R710" s="162">
        <v>407.77600000000007</v>
      </c>
      <c r="S710" s="162">
        <v>0.0</v>
      </c>
      <c r="T710" s="162">
        <v>529.72</v>
      </c>
      <c r="U710" s="163" t="s">
        <v>107</v>
      </c>
      <c r="V710" s="154">
        <v>46058.0</v>
      </c>
      <c r="W710" s="175"/>
      <c r="X710" s="175"/>
      <c r="Y710" s="175"/>
      <c r="Z710" s="175"/>
      <c r="AA710" s="175"/>
      <c r="AB710" s="175"/>
      <c r="AC710" s="175"/>
      <c r="AD710" s="175"/>
      <c r="AE710" s="175"/>
      <c r="AF710" s="175"/>
      <c r="AG710" s="175"/>
      <c r="AH710" s="175"/>
      <c r="AI710" s="175"/>
    </row>
    <row r="711">
      <c r="A711" s="154">
        <v>46038.0</v>
      </c>
      <c r="B711" s="155">
        <v>8042738.0</v>
      </c>
      <c r="C711" s="156" t="s">
        <v>89</v>
      </c>
      <c r="D711" s="156" t="s">
        <v>35</v>
      </c>
      <c r="E711" s="155">
        <v>5.667532286E9</v>
      </c>
      <c r="F711" s="156" t="s">
        <v>999</v>
      </c>
      <c r="G711" s="154">
        <v>46193.0</v>
      </c>
      <c r="H711" s="157">
        <v>46195.0</v>
      </c>
      <c r="I711" s="158">
        <v>2.0</v>
      </c>
      <c r="J711" s="159" t="s">
        <v>111</v>
      </c>
      <c r="K711" s="156" t="s">
        <v>79</v>
      </c>
      <c r="L711" s="156" t="s">
        <v>80</v>
      </c>
      <c r="M711" s="202">
        <v>0.0</v>
      </c>
      <c r="N711" s="160">
        <v>0.0</v>
      </c>
      <c r="O711" s="161">
        <v>0.0</v>
      </c>
      <c r="P711" s="161">
        <v>0.0</v>
      </c>
      <c r="Q711" s="203">
        <v>0.0</v>
      </c>
      <c r="R711" s="162">
        <v>0.0</v>
      </c>
      <c r="S711" s="162">
        <v>0.0</v>
      </c>
      <c r="T711" s="162">
        <v>0.0</v>
      </c>
      <c r="U711" s="163" t="s">
        <v>1000</v>
      </c>
      <c r="V711" s="215">
        <v>46132.0</v>
      </c>
      <c r="W711" s="175"/>
      <c r="X711" s="175"/>
      <c r="Y711" s="175"/>
      <c r="Z711" s="175"/>
      <c r="AA711" s="175"/>
      <c r="AB711" s="175"/>
      <c r="AC711" s="175"/>
      <c r="AD711" s="175"/>
      <c r="AE711" s="175"/>
      <c r="AF711" s="175"/>
      <c r="AG711" s="175"/>
      <c r="AH711" s="175"/>
      <c r="AI711" s="175"/>
    </row>
    <row r="712">
      <c r="A712" s="176">
        <v>45950.0</v>
      </c>
      <c r="B712" s="177">
        <v>7706246.0</v>
      </c>
      <c r="C712" s="178" t="s">
        <v>82</v>
      </c>
      <c r="D712" s="178" t="s">
        <v>35</v>
      </c>
      <c r="E712" s="178">
        <v>6.886082768E9</v>
      </c>
      <c r="F712" s="178" t="s">
        <v>1001</v>
      </c>
      <c r="G712" s="176">
        <v>46194.0</v>
      </c>
      <c r="H712" s="179">
        <v>46198.0</v>
      </c>
      <c r="I712" s="180">
        <v>4.0</v>
      </c>
      <c r="J712" s="181" t="s">
        <v>114</v>
      </c>
      <c r="K712" s="178" t="s">
        <v>79</v>
      </c>
      <c r="L712" s="178" t="s">
        <v>80</v>
      </c>
      <c r="M712" s="177">
        <v>2.0</v>
      </c>
      <c r="N712" s="183">
        <v>0.19999999999999996</v>
      </c>
      <c r="O712" s="184">
        <v>110.36</v>
      </c>
      <c r="P712" s="184">
        <v>88.28800000000001</v>
      </c>
      <c r="Q712" s="185">
        <v>0.0</v>
      </c>
      <c r="R712" s="186">
        <v>353.15200000000004</v>
      </c>
      <c r="S712" s="186">
        <v>0.0</v>
      </c>
      <c r="T712" s="186">
        <v>461.44</v>
      </c>
      <c r="U712" s="187" t="s">
        <v>107</v>
      </c>
      <c r="V712" s="189">
        <v>45950.0</v>
      </c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  <c r="AG712" s="164"/>
      <c r="AH712" s="164"/>
      <c r="AI712" s="164"/>
    </row>
    <row r="713">
      <c r="A713" s="176">
        <v>45996.0</v>
      </c>
      <c r="B713" s="177">
        <v>7888191.0</v>
      </c>
      <c r="C713" s="178" t="s">
        <v>89</v>
      </c>
      <c r="D713" s="178" t="s">
        <v>35</v>
      </c>
      <c r="E713" s="177">
        <v>6.653843973E9</v>
      </c>
      <c r="F713" s="178" t="s">
        <v>1002</v>
      </c>
      <c r="G713" s="176">
        <v>46195.0</v>
      </c>
      <c r="H713" s="179">
        <v>46199.0</v>
      </c>
      <c r="I713" s="180">
        <v>4.0</v>
      </c>
      <c r="J713" s="181" t="s">
        <v>114</v>
      </c>
      <c r="K713" s="178" t="s">
        <v>79</v>
      </c>
      <c r="L713" s="178" t="s">
        <v>80</v>
      </c>
      <c r="M713" s="182">
        <v>0.0</v>
      </c>
      <c r="N713" s="183">
        <v>0.0</v>
      </c>
      <c r="O713" s="184">
        <v>0.0</v>
      </c>
      <c r="P713" s="184">
        <v>0.0</v>
      </c>
      <c r="Q713" s="185">
        <v>0.0</v>
      </c>
      <c r="R713" s="186">
        <v>0.0</v>
      </c>
      <c r="S713" s="186">
        <v>0.0</v>
      </c>
      <c r="T713" s="186">
        <v>0.0</v>
      </c>
      <c r="U713" s="187" t="s">
        <v>622</v>
      </c>
      <c r="V713" s="176">
        <v>46091.0</v>
      </c>
      <c r="W713" s="175"/>
      <c r="X713" s="175"/>
      <c r="Y713" s="175"/>
      <c r="Z713" s="175"/>
      <c r="AA713" s="175"/>
      <c r="AB713" s="175"/>
      <c r="AC713" s="175"/>
      <c r="AD713" s="175"/>
      <c r="AE713" s="175"/>
      <c r="AF713" s="175"/>
      <c r="AG713" s="175"/>
      <c r="AH713" s="175"/>
      <c r="AI713" s="175"/>
    </row>
    <row r="714">
      <c r="A714" s="165">
        <v>45931.0</v>
      </c>
      <c r="B714" s="166">
        <v>7629646.0</v>
      </c>
      <c r="C714" s="166" t="s">
        <v>89</v>
      </c>
      <c r="D714" s="166" t="s">
        <v>35</v>
      </c>
      <c r="E714" s="166">
        <v>6.023109393E9</v>
      </c>
      <c r="F714" s="166" t="s">
        <v>1003</v>
      </c>
      <c r="G714" s="165">
        <v>46198.0</v>
      </c>
      <c r="H714" s="167">
        <v>46201.0</v>
      </c>
      <c r="I714" s="168">
        <v>3.0</v>
      </c>
      <c r="J714" s="169" t="s">
        <v>78</v>
      </c>
      <c r="K714" s="166" t="s">
        <v>138</v>
      </c>
      <c r="L714" s="166" t="s">
        <v>80</v>
      </c>
      <c r="M714" s="166">
        <v>0.0</v>
      </c>
      <c r="N714" s="170">
        <v>0.0</v>
      </c>
      <c r="O714" s="171">
        <v>0.0</v>
      </c>
      <c r="P714" s="171">
        <v>0.0</v>
      </c>
      <c r="Q714" s="172">
        <v>0.0</v>
      </c>
      <c r="R714" s="173">
        <v>0.0</v>
      </c>
      <c r="S714" s="173">
        <v>0.0</v>
      </c>
      <c r="T714" s="173">
        <v>0.0</v>
      </c>
      <c r="U714" s="201" t="s">
        <v>1004</v>
      </c>
      <c r="V714" s="165">
        <v>46030.0</v>
      </c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</row>
    <row r="715">
      <c r="A715" s="176">
        <v>45944.0</v>
      </c>
      <c r="B715" s="177">
        <v>7681785.0</v>
      </c>
      <c r="C715" s="178" t="s">
        <v>89</v>
      </c>
      <c r="D715" s="178" t="s">
        <v>35</v>
      </c>
      <c r="E715" s="177">
        <v>6.54933903E9</v>
      </c>
      <c r="F715" s="178" t="s">
        <v>1005</v>
      </c>
      <c r="G715" s="176">
        <v>46199.0</v>
      </c>
      <c r="H715" s="179">
        <v>46201.0</v>
      </c>
      <c r="I715" s="180">
        <v>2.0</v>
      </c>
      <c r="J715" s="181" t="s">
        <v>111</v>
      </c>
      <c r="K715" s="178" t="s">
        <v>79</v>
      </c>
      <c r="L715" s="178" t="s">
        <v>80</v>
      </c>
      <c r="M715" s="182">
        <v>0.0</v>
      </c>
      <c r="N715" s="183">
        <v>0.0</v>
      </c>
      <c r="O715" s="184">
        <v>0.0</v>
      </c>
      <c r="P715" s="184">
        <v>0.0</v>
      </c>
      <c r="Q715" s="185">
        <v>0.0</v>
      </c>
      <c r="R715" s="186">
        <v>0.0</v>
      </c>
      <c r="S715" s="186">
        <v>0.0</v>
      </c>
      <c r="T715" s="186">
        <v>0.0</v>
      </c>
      <c r="U715" s="187" t="s">
        <v>496</v>
      </c>
      <c r="V715" s="189">
        <v>45991.0</v>
      </c>
      <c r="W715" s="175"/>
      <c r="X715" s="175"/>
      <c r="Y715" s="175"/>
      <c r="Z715" s="175"/>
      <c r="AA715" s="175"/>
      <c r="AB715" s="175"/>
      <c r="AC715" s="175"/>
      <c r="AD715" s="175"/>
      <c r="AE715" s="175"/>
      <c r="AF715" s="175"/>
      <c r="AG715" s="175"/>
      <c r="AH715" s="175"/>
      <c r="AI715" s="175"/>
    </row>
    <row r="716">
      <c r="A716" s="176">
        <v>45991.0</v>
      </c>
      <c r="B716" s="177">
        <v>7866204.0</v>
      </c>
      <c r="C716" s="178" t="s">
        <v>89</v>
      </c>
      <c r="D716" s="178" t="s">
        <v>35</v>
      </c>
      <c r="E716" s="177">
        <v>5.925697969E9</v>
      </c>
      <c r="F716" s="178" t="s">
        <v>1005</v>
      </c>
      <c r="G716" s="176">
        <v>46199.0</v>
      </c>
      <c r="H716" s="179">
        <v>46202.0</v>
      </c>
      <c r="I716" s="180">
        <v>3.0</v>
      </c>
      <c r="J716" s="181" t="s">
        <v>87</v>
      </c>
      <c r="K716" s="178" t="s">
        <v>79</v>
      </c>
      <c r="L716" s="178" t="s">
        <v>80</v>
      </c>
      <c r="M716" s="182">
        <v>0.0</v>
      </c>
      <c r="N716" s="183">
        <v>0.0</v>
      </c>
      <c r="O716" s="184">
        <v>0.0</v>
      </c>
      <c r="P716" s="184">
        <v>0.0</v>
      </c>
      <c r="Q716" s="185">
        <v>0.0</v>
      </c>
      <c r="R716" s="186">
        <v>0.0</v>
      </c>
      <c r="S716" s="186">
        <v>0.0</v>
      </c>
      <c r="T716" s="186">
        <v>0.0</v>
      </c>
      <c r="U716" s="187" t="s">
        <v>1006</v>
      </c>
      <c r="V716" s="176">
        <v>46059.0</v>
      </c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  <c r="AG716" s="164"/>
      <c r="AH716" s="164"/>
      <c r="AI716" s="164"/>
    </row>
    <row r="717">
      <c r="A717" s="154">
        <v>46059.0</v>
      </c>
      <c r="B717" s="155">
        <v>8134668.0</v>
      </c>
      <c r="C717" s="156" t="s">
        <v>89</v>
      </c>
      <c r="D717" s="156" t="s">
        <v>35</v>
      </c>
      <c r="E717" s="155">
        <v>5.059861009E9</v>
      </c>
      <c r="F717" s="156" t="s">
        <v>1005</v>
      </c>
      <c r="G717" s="154">
        <v>46199.0</v>
      </c>
      <c r="H717" s="157">
        <v>46200.0</v>
      </c>
      <c r="I717" s="158">
        <v>1.0</v>
      </c>
      <c r="J717" s="159" t="s">
        <v>87</v>
      </c>
      <c r="K717" s="156" t="s">
        <v>79</v>
      </c>
      <c r="L717" s="156" t="s">
        <v>80</v>
      </c>
      <c r="M717" s="155">
        <v>0.0</v>
      </c>
      <c r="N717" s="160">
        <v>0.0</v>
      </c>
      <c r="O717" s="161">
        <v>0.0</v>
      </c>
      <c r="P717" s="161">
        <v>0.0</v>
      </c>
      <c r="Q717" s="203">
        <v>0.0</v>
      </c>
      <c r="R717" s="162">
        <v>0.0</v>
      </c>
      <c r="S717" s="162">
        <v>0.0</v>
      </c>
      <c r="T717" s="162">
        <v>0.0</v>
      </c>
      <c r="U717" s="163" t="s">
        <v>1007</v>
      </c>
      <c r="V717" s="215">
        <v>46165.0</v>
      </c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</row>
    <row r="718">
      <c r="A718" s="154">
        <v>46063.0</v>
      </c>
      <c r="B718" s="155">
        <v>8153817.0</v>
      </c>
      <c r="C718" s="156" t="s">
        <v>82</v>
      </c>
      <c r="D718" s="156" t="s">
        <v>94</v>
      </c>
      <c r="E718" s="155">
        <v>8153817.0</v>
      </c>
      <c r="F718" s="156" t="s">
        <v>1008</v>
      </c>
      <c r="G718" s="154">
        <v>46200.0</v>
      </c>
      <c r="H718" s="157">
        <v>46204.0</v>
      </c>
      <c r="I718" s="158">
        <v>4.0</v>
      </c>
      <c r="J718" s="159" t="s">
        <v>78</v>
      </c>
      <c r="K718" s="156" t="s">
        <v>79</v>
      </c>
      <c r="L718" s="156" t="s">
        <v>96</v>
      </c>
      <c r="M718" s="155">
        <v>2.0</v>
      </c>
      <c r="N718" s="160">
        <v>0.0</v>
      </c>
      <c r="O718" s="161">
        <v>195.84</v>
      </c>
      <c r="P718" s="161">
        <v>195.84</v>
      </c>
      <c r="Q718" s="203">
        <v>0.0</v>
      </c>
      <c r="R718" s="162">
        <v>783.36</v>
      </c>
      <c r="S718" s="162">
        <v>0.0</v>
      </c>
      <c r="T718" s="162">
        <v>803.36</v>
      </c>
      <c r="U718" s="163" t="s">
        <v>97</v>
      </c>
      <c r="V718" s="154">
        <v>46063.0</v>
      </c>
      <c r="W718" s="175"/>
      <c r="X718" s="175"/>
      <c r="Y718" s="175"/>
      <c r="Z718" s="175"/>
      <c r="AA718" s="175"/>
      <c r="AB718" s="175"/>
      <c r="AC718" s="175"/>
      <c r="AD718" s="175"/>
      <c r="AE718" s="175"/>
      <c r="AF718" s="175"/>
      <c r="AG718" s="175"/>
      <c r="AH718" s="175"/>
      <c r="AI718" s="175"/>
    </row>
    <row r="719">
      <c r="A719" s="165">
        <v>46066.0</v>
      </c>
      <c r="B719" s="166">
        <v>8168816.0</v>
      </c>
      <c r="C719" s="166" t="s">
        <v>89</v>
      </c>
      <c r="D719" s="166" t="s">
        <v>35</v>
      </c>
      <c r="E719" s="166">
        <v>5.003898512E9</v>
      </c>
      <c r="F719" s="166" t="s">
        <v>1009</v>
      </c>
      <c r="G719" s="165">
        <v>46200.0</v>
      </c>
      <c r="H719" s="167">
        <v>46203.0</v>
      </c>
      <c r="I719" s="168">
        <v>3.0</v>
      </c>
      <c r="J719" s="169" t="s">
        <v>114</v>
      </c>
      <c r="K719" s="166" t="s">
        <v>79</v>
      </c>
      <c r="L719" s="166" t="s">
        <v>80</v>
      </c>
      <c r="M719" s="205">
        <v>0.0</v>
      </c>
      <c r="N719" s="170">
        <v>0.0</v>
      </c>
      <c r="O719" s="171">
        <v>0.0</v>
      </c>
      <c r="P719" s="171">
        <v>0.0</v>
      </c>
      <c r="Q719" s="172">
        <v>0.0</v>
      </c>
      <c r="R719" s="173">
        <v>0.0</v>
      </c>
      <c r="S719" s="173">
        <v>0.0</v>
      </c>
      <c r="T719" s="173">
        <v>0.0</v>
      </c>
      <c r="U719" s="174" t="s">
        <v>1010</v>
      </c>
      <c r="V719" s="165">
        <v>46100.0</v>
      </c>
      <c r="W719" s="175"/>
      <c r="X719" s="175"/>
      <c r="Y719" s="175"/>
      <c r="Z719" s="175"/>
      <c r="AA719" s="175"/>
      <c r="AB719" s="175"/>
      <c r="AC719" s="175"/>
      <c r="AD719" s="175"/>
      <c r="AE719" s="175"/>
      <c r="AF719" s="175"/>
      <c r="AG719" s="175"/>
      <c r="AH719" s="175"/>
      <c r="AI719" s="175"/>
    </row>
    <row r="720">
      <c r="A720" s="165">
        <v>45944.0</v>
      </c>
      <c r="B720" s="166">
        <v>7682598.0</v>
      </c>
      <c r="C720" s="166" t="s">
        <v>82</v>
      </c>
      <c r="D720" s="166" t="s">
        <v>35</v>
      </c>
      <c r="E720" s="166">
        <v>6.85657194E9</v>
      </c>
      <c r="F720" s="166" t="s">
        <v>1011</v>
      </c>
      <c r="G720" s="165">
        <v>46202.0</v>
      </c>
      <c r="H720" s="167">
        <v>46203.0</v>
      </c>
      <c r="I720" s="168">
        <v>1.0</v>
      </c>
      <c r="J720" s="169" t="s">
        <v>78</v>
      </c>
      <c r="K720" s="166" t="s">
        <v>79</v>
      </c>
      <c r="L720" s="166" t="s">
        <v>80</v>
      </c>
      <c r="M720" s="166">
        <v>2.0</v>
      </c>
      <c r="N720" s="170">
        <v>0.19999999999999996</v>
      </c>
      <c r="O720" s="171">
        <v>81.06</v>
      </c>
      <c r="P720" s="171">
        <v>64.848</v>
      </c>
      <c r="Q720" s="172">
        <v>0.0</v>
      </c>
      <c r="R720" s="173">
        <v>64.848</v>
      </c>
      <c r="S720" s="173">
        <v>0.0</v>
      </c>
      <c r="T720" s="173">
        <v>86.06</v>
      </c>
      <c r="U720" s="201" t="s">
        <v>107</v>
      </c>
      <c r="V720" s="165">
        <v>45944.0</v>
      </c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</row>
    <row r="721">
      <c r="A721" s="165">
        <v>46028.0</v>
      </c>
      <c r="B721" s="166">
        <v>7997136.0</v>
      </c>
      <c r="C721" s="166" t="s">
        <v>82</v>
      </c>
      <c r="D721" s="166" t="s">
        <v>35</v>
      </c>
      <c r="E721" s="166">
        <v>5.703083083E9</v>
      </c>
      <c r="F721" s="166" t="s">
        <v>1012</v>
      </c>
      <c r="G721" s="165">
        <v>46203.0</v>
      </c>
      <c r="H721" s="167">
        <v>46206.0</v>
      </c>
      <c r="I721" s="168">
        <v>3.0</v>
      </c>
      <c r="J721" s="169" t="s">
        <v>114</v>
      </c>
      <c r="K721" s="166" t="s">
        <v>79</v>
      </c>
      <c r="L721" s="166" t="s">
        <v>80</v>
      </c>
      <c r="M721" s="205">
        <v>2.0</v>
      </c>
      <c r="N721" s="170">
        <v>0.19999999999999996</v>
      </c>
      <c r="O721" s="171">
        <v>174.78</v>
      </c>
      <c r="P721" s="171">
        <v>139.824</v>
      </c>
      <c r="Q721" s="172">
        <v>0.0</v>
      </c>
      <c r="R721" s="173">
        <v>419.47200000000004</v>
      </c>
      <c r="S721" s="173">
        <v>0.0</v>
      </c>
      <c r="T721" s="173">
        <v>524.34</v>
      </c>
      <c r="U721" s="174" t="s">
        <v>161</v>
      </c>
      <c r="V721" s="165">
        <v>46028.0</v>
      </c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</row>
    <row r="722">
      <c r="A722" s="176">
        <v>46028.0</v>
      </c>
      <c r="B722" s="177">
        <v>7997138.0</v>
      </c>
      <c r="C722" s="178" t="s">
        <v>82</v>
      </c>
      <c r="D722" s="178" t="s">
        <v>35</v>
      </c>
      <c r="E722" s="177">
        <v>6.980518814E9</v>
      </c>
      <c r="F722" s="178" t="s">
        <v>1013</v>
      </c>
      <c r="G722" s="176">
        <v>46203.0</v>
      </c>
      <c r="H722" s="179">
        <v>46206.0</v>
      </c>
      <c r="I722" s="180">
        <v>3.0</v>
      </c>
      <c r="J722" s="181" t="s">
        <v>114</v>
      </c>
      <c r="K722" s="178" t="s">
        <v>79</v>
      </c>
      <c r="L722" s="178" t="s">
        <v>80</v>
      </c>
      <c r="M722" s="182">
        <v>2.0</v>
      </c>
      <c r="N722" s="183">
        <v>0.19999999999999996</v>
      </c>
      <c r="O722" s="184">
        <v>212.4</v>
      </c>
      <c r="P722" s="184">
        <v>169.92000000000002</v>
      </c>
      <c r="Q722" s="185">
        <v>0.0</v>
      </c>
      <c r="R722" s="186">
        <v>509.76000000000005</v>
      </c>
      <c r="S722" s="186">
        <v>0.0</v>
      </c>
      <c r="T722" s="186">
        <v>652.2</v>
      </c>
      <c r="U722" s="187" t="s">
        <v>303</v>
      </c>
      <c r="V722" s="176">
        <v>46028.0</v>
      </c>
      <c r="W722" s="175"/>
      <c r="X722" s="175"/>
      <c r="Y722" s="175"/>
      <c r="Z722" s="175"/>
      <c r="AA722" s="175"/>
      <c r="AB722" s="175"/>
      <c r="AC722" s="175"/>
      <c r="AD722" s="175"/>
      <c r="AE722" s="175"/>
      <c r="AF722" s="175"/>
      <c r="AG722" s="175"/>
      <c r="AH722" s="175"/>
      <c r="AI722" s="175"/>
    </row>
    <row r="723">
      <c r="A723" s="165">
        <v>46000.0</v>
      </c>
      <c r="B723" s="166">
        <v>7901691.0</v>
      </c>
      <c r="C723" s="166" t="s">
        <v>89</v>
      </c>
      <c r="D723" s="166" t="s">
        <v>12</v>
      </c>
      <c r="E723" s="166" t="s">
        <v>1014</v>
      </c>
      <c r="F723" s="166" t="s">
        <v>1015</v>
      </c>
      <c r="G723" s="165">
        <v>46203.0</v>
      </c>
      <c r="H723" s="167">
        <v>46207.0</v>
      </c>
      <c r="I723" s="168">
        <v>4.0</v>
      </c>
      <c r="J723" s="169" t="s">
        <v>1016</v>
      </c>
      <c r="K723" s="166" t="s">
        <v>79</v>
      </c>
      <c r="L723" s="166" t="s">
        <v>123</v>
      </c>
      <c r="M723" s="166">
        <v>0.0</v>
      </c>
      <c r="N723" s="169">
        <v>0.0</v>
      </c>
      <c r="O723" s="171">
        <v>0.0</v>
      </c>
      <c r="P723" s="171">
        <v>0.0</v>
      </c>
      <c r="Q723" s="169">
        <v>0.0</v>
      </c>
      <c r="R723" s="173">
        <v>0.0</v>
      </c>
      <c r="S723" s="173">
        <v>0.0</v>
      </c>
      <c r="T723" s="173">
        <v>0.0</v>
      </c>
      <c r="U723" s="174" t="s">
        <v>1017</v>
      </c>
      <c r="V723" s="165">
        <v>46091.0</v>
      </c>
      <c r="W723" s="164"/>
      <c r="X723" s="164"/>
      <c r="Y723" s="164"/>
      <c r="Z723" s="164"/>
      <c r="AA723" s="164"/>
      <c r="AB723" s="164"/>
      <c r="AC723" s="164"/>
      <c r="AD723" s="164"/>
      <c r="AE723" s="164"/>
      <c r="AF723" s="164"/>
      <c r="AG723" s="164"/>
      <c r="AH723" s="164"/>
      <c r="AI723" s="164"/>
    </row>
    <row r="724">
      <c r="A724" s="165">
        <v>45978.0</v>
      </c>
      <c r="B724" s="166">
        <v>7815770.0</v>
      </c>
      <c r="C724" s="166" t="s">
        <v>89</v>
      </c>
      <c r="D724" s="166" t="s">
        <v>35</v>
      </c>
      <c r="E724" s="166">
        <v>5.26719625E9</v>
      </c>
      <c r="F724" s="166" t="s">
        <v>1018</v>
      </c>
      <c r="G724" s="165">
        <v>46207.0</v>
      </c>
      <c r="H724" s="167">
        <v>46210.0</v>
      </c>
      <c r="I724" s="168">
        <v>3.0</v>
      </c>
      <c r="J724" s="169" t="s">
        <v>111</v>
      </c>
      <c r="K724" s="166" t="s">
        <v>138</v>
      </c>
      <c r="L724" s="166" t="s">
        <v>80</v>
      </c>
      <c r="M724" s="205">
        <v>0.0</v>
      </c>
      <c r="N724" s="170">
        <v>0.0</v>
      </c>
      <c r="O724" s="171">
        <v>0.0</v>
      </c>
      <c r="P724" s="171">
        <v>0.0</v>
      </c>
      <c r="Q724" s="172">
        <v>0.0</v>
      </c>
      <c r="R724" s="173">
        <v>0.0</v>
      </c>
      <c r="S724" s="173">
        <v>0.0</v>
      </c>
      <c r="T724" s="173">
        <v>0.0</v>
      </c>
      <c r="U724" s="174" t="s">
        <v>1019</v>
      </c>
      <c r="V724" s="210">
        <v>45978.0</v>
      </c>
      <c r="W724" s="175"/>
      <c r="X724" s="175"/>
      <c r="Y724" s="175"/>
      <c r="Z724" s="175"/>
      <c r="AA724" s="175"/>
      <c r="AB724" s="175"/>
      <c r="AC724" s="175"/>
      <c r="AD724" s="175"/>
      <c r="AE724" s="175"/>
      <c r="AF724" s="175"/>
      <c r="AG724" s="175"/>
      <c r="AH724" s="175"/>
      <c r="AI724" s="175"/>
    </row>
    <row r="725">
      <c r="A725" s="165">
        <v>45978.0</v>
      </c>
      <c r="B725" s="166">
        <v>7815770.0</v>
      </c>
      <c r="C725" s="166" t="s">
        <v>89</v>
      </c>
      <c r="D725" s="166" t="s">
        <v>35</v>
      </c>
      <c r="E725" s="166">
        <v>5.26719625E9</v>
      </c>
      <c r="F725" s="166" t="s">
        <v>1018</v>
      </c>
      <c r="G725" s="165">
        <v>46207.0</v>
      </c>
      <c r="H725" s="167">
        <v>46210.0</v>
      </c>
      <c r="I725" s="168">
        <v>3.0</v>
      </c>
      <c r="J725" s="169" t="s">
        <v>78</v>
      </c>
      <c r="K725" s="166" t="s">
        <v>79</v>
      </c>
      <c r="L725" s="166" t="s">
        <v>80</v>
      </c>
      <c r="M725" s="166">
        <v>0.0</v>
      </c>
      <c r="N725" s="170">
        <v>0.0</v>
      </c>
      <c r="O725" s="171">
        <v>0.0</v>
      </c>
      <c r="P725" s="171">
        <v>0.0</v>
      </c>
      <c r="Q725" s="172">
        <v>0.0</v>
      </c>
      <c r="R725" s="173">
        <v>0.0</v>
      </c>
      <c r="S725" s="173">
        <v>0.0</v>
      </c>
      <c r="T725" s="173">
        <v>0.0</v>
      </c>
      <c r="U725" s="174" t="s">
        <v>1020</v>
      </c>
      <c r="V725" s="165">
        <v>45978.0</v>
      </c>
      <c r="W725" s="175"/>
      <c r="X725" s="175"/>
      <c r="Y725" s="175"/>
      <c r="Z725" s="175"/>
      <c r="AA725" s="175"/>
      <c r="AB725" s="175"/>
      <c r="AC725" s="175"/>
      <c r="AD725" s="175"/>
      <c r="AE725" s="175"/>
      <c r="AF725" s="175"/>
      <c r="AG725" s="175"/>
      <c r="AH725" s="175"/>
      <c r="AI725" s="175"/>
    </row>
    <row r="726">
      <c r="A726" s="165">
        <v>45978.0</v>
      </c>
      <c r="B726" s="166">
        <v>7815833.0</v>
      </c>
      <c r="C726" s="166" t="s">
        <v>82</v>
      </c>
      <c r="D726" s="166" t="s">
        <v>35</v>
      </c>
      <c r="E726" s="166">
        <v>6.171750091E9</v>
      </c>
      <c r="F726" s="166" t="s">
        <v>1018</v>
      </c>
      <c r="G726" s="165">
        <v>46207.0</v>
      </c>
      <c r="H726" s="167">
        <v>46211.0</v>
      </c>
      <c r="I726" s="168">
        <v>4.0</v>
      </c>
      <c r="J726" s="169" t="s">
        <v>78</v>
      </c>
      <c r="K726" s="166" t="s">
        <v>138</v>
      </c>
      <c r="L726" s="166" t="s">
        <v>80</v>
      </c>
      <c r="M726" s="166">
        <v>2.0</v>
      </c>
      <c r="N726" s="170">
        <v>0.19999999999999996</v>
      </c>
      <c r="O726" s="171">
        <v>134.39999999999998</v>
      </c>
      <c r="P726" s="171">
        <v>107.51999999999998</v>
      </c>
      <c r="Q726" s="172">
        <v>36.0</v>
      </c>
      <c r="R726" s="173">
        <v>430.0799999999999</v>
      </c>
      <c r="S726" s="173">
        <v>144.0</v>
      </c>
      <c r="T726" s="173">
        <v>1508.8</v>
      </c>
      <c r="U726" s="174" t="s">
        <v>498</v>
      </c>
      <c r="V726" s="165">
        <v>45978.0</v>
      </c>
      <c r="W726" s="175"/>
      <c r="X726" s="175"/>
      <c r="Y726" s="175"/>
      <c r="Z726" s="175"/>
      <c r="AA726" s="175"/>
      <c r="AB726" s="175"/>
      <c r="AC726" s="175"/>
      <c r="AD726" s="175"/>
      <c r="AE726" s="175"/>
      <c r="AF726" s="175"/>
      <c r="AG726" s="175"/>
      <c r="AH726" s="175"/>
      <c r="AI726" s="175"/>
    </row>
    <row r="727">
      <c r="A727" s="165">
        <v>45978.0</v>
      </c>
      <c r="B727" s="166">
        <v>7815833.0</v>
      </c>
      <c r="C727" s="166" t="s">
        <v>82</v>
      </c>
      <c r="D727" s="166" t="s">
        <v>35</v>
      </c>
      <c r="E727" s="166">
        <v>6.171750091E9</v>
      </c>
      <c r="F727" s="166" t="s">
        <v>1018</v>
      </c>
      <c r="G727" s="165">
        <v>46207.0</v>
      </c>
      <c r="H727" s="167">
        <v>46211.0</v>
      </c>
      <c r="I727" s="168">
        <v>4.0</v>
      </c>
      <c r="J727" s="169" t="s">
        <v>114</v>
      </c>
      <c r="K727" s="166" t="s">
        <v>138</v>
      </c>
      <c r="L727" s="166" t="s">
        <v>80</v>
      </c>
      <c r="M727" s="166">
        <v>2.0</v>
      </c>
      <c r="N727" s="170">
        <v>0.19999999999999996</v>
      </c>
      <c r="O727" s="171">
        <v>175.2</v>
      </c>
      <c r="P727" s="171">
        <v>140.16</v>
      </c>
      <c r="Q727" s="169">
        <v>36.0</v>
      </c>
      <c r="R727" s="173">
        <v>560.64</v>
      </c>
      <c r="S727" s="173">
        <v>144.0</v>
      </c>
      <c r="T727" s="173">
        <v>1508.8</v>
      </c>
      <c r="U727" s="201" t="s">
        <v>498</v>
      </c>
      <c r="V727" s="165">
        <v>45978.0</v>
      </c>
      <c r="W727" s="175"/>
      <c r="X727" s="175"/>
      <c r="Y727" s="175"/>
      <c r="Z727" s="175"/>
      <c r="AA727" s="175"/>
      <c r="AB727" s="175"/>
      <c r="AC727" s="175"/>
      <c r="AD727" s="175"/>
      <c r="AE727" s="175"/>
      <c r="AF727" s="175"/>
      <c r="AG727" s="175"/>
      <c r="AH727" s="175"/>
      <c r="AI727" s="175"/>
    </row>
    <row r="728">
      <c r="A728" s="154">
        <v>45989.0</v>
      </c>
      <c r="B728" s="155">
        <v>7859693.0</v>
      </c>
      <c r="C728" s="156" t="s">
        <v>82</v>
      </c>
      <c r="D728" s="156" t="s">
        <v>35</v>
      </c>
      <c r="E728" s="155">
        <v>6.507416051E9</v>
      </c>
      <c r="F728" s="156" t="s">
        <v>1021</v>
      </c>
      <c r="G728" s="154">
        <v>46208.0</v>
      </c>
      <c r="H728" s="157">
        <v>46209.0</v>
      </c>
      <c r="I728" s="158">
        <v>1.0</v>
      </c>
      <c r="J728" s="159" t="s">
        <v>78</v>
      </c>
      <c r="K728" s="156" t="s">
        <v>79</v>
      </c>
      <c r="L728" s="156" t="s">
        <v>80</v>
      </c>
      <c r="M728" s="155">
        <v>2.0</v>
      </c>
      <c r="N728" s="160">
        <v>0.19999999999999996</v>
      </c>
      <c r="O728" s="161">
        <v>129.5</v>
      </c>
      <c r="P728" s="161">
        <v>103.60000000000001</v>
      </c>
      <c r="Q728" s="203">
        <v>0.0</v>
      </c>
      <c r="R728" s="162">
        <v>103.60000000000001</v>
      </c>
      <c r="S728" s="162">
        <v>0.0</v>
      </c>
      <c r="T728" s="162">
        <v>382.5</v>
      </c>
      <c r="U728" s="163" t="s">
        <v>442</v>
      </c>
      <c r="V728" s="154">
        <v>45989.0</v>
      </c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</row>
    <row r="729">
      <c r="A729" s="165">
        <v>45989.0</v>
      </c>
      <c r="B729" s="166">
        <v>7859693.0</v>
      </c>
      <c r="C729" s="166" t="s">
        <v>82</v>
      </c>
      <c r="D729" s="166" t="s">
        <v>35</v>
      </c>
      <c r="E729" s="166">
        <v>6.507416051E9</v>
      </c>
      <c r="F729" s="166" t="s">
        <v>1021</v>
      </c>
      <c r="G729" s="165">
        <v>46208.0</v>
      </c>
      <c r="H729" s="167">
        <v>46209.0</v>
      </c>
      <c r="I729" s="168">
        <v>1.0</v>
      </c>
      <c r="J729" s="169" t="s">
        <v>78</v>
      </c>
      <c r="K729" s="166" t="s">
        <v>79</v>
      </c>
      <c r="L729" s="166" t="s">
        <v>80</v>
      </c>
      <c r="M729" s="205">
        <v>2.0</v>
      </c>
      <c r="N729" s="170">
        <v>0.19999999999999996</v>
      </c>
      <c r="O729" s="171">
        <v>129.5</v>
      </c>
      <c r="P729" s="171">
        <v>103.60000000000001</v>
      </c>
      <c r="Q729" s="172">
        <v>0.0</v>
      </c>
      <c r="R729" s="173">
        <v>103.60000000000001</v>
      </c>
      <c r="S729" s="173">
        <v>0.0</v>
      </c>
      <c r="T729" s="173">
        <v>382.5</v>
      </c>
      <c r="U729" s="174" t="s">
        <v>442</v>
      </c>
      <c r="V729" s="165">
        <v>45989.0</v>
      </c>
      <c r="W729" s="175"/>
      <c r="X729" s="175"/>
      <c r="Y729" s="175"/>
      <c r="Z729" s="175"/>
      <c r="AA729" s="175"/>
      <c r="AB729" s="175"/>
      <c r="AC729" s="175"/>
      <c r="AD729" s="175"/>
      <c r="AE729" s="175"/>
      <c r="AF729" s="175"/>
      <c r="AG729" s="175"/>
      <c r="AH729" s="175"/>
      <c r="AI729" s="175"/>
    </row>
    <row r="730">
      <c r="A730" s="176">
        <v>45989.0</v>
      </c>
      <c r="B730" s="177">
        <v>7859693.0</v>
      </c>
      <c r="C730" s="178" t="s">
        <v>82</v>
      </c>
      <c r="D730" s="178" t="s">
        <v>35</v>
      </c>
      <c r="E730" s="177">
        <v>6.507416051E9</v>
      </c>
      <c r="F730" s="178" t="s">
        <v>1021</v>
      </c>
      <c r="G730" s="176">
        <v>46208.0</v>
      </c>
      <c r="H730" s="179">
        <v>46209.0</v>
      </c>
      <c r="I730" s="180">
        <v>1.0</v>
      </c>
      <c r="J730" s="181" t="s">
        <v>87</v>
      </c>
      <c r="K730" s="178" t="s">
        <v>79</v>
      </c>
      <c r="L730" s="178" t="s">
        <v>80</v>
      </c>
      <c r="M730" s="182">
        <v>2.0</v>
      </c>
      <c r="N730" s="183">
        <v>0.19999999999999996</v>
      </c>
      <c r="O730" s="184">
        <v>108.5</v>
      </c>
      <c r="P730" s="184">
        <v>86.80000000000001</v>
      </c>
      <c r="Q730" s="185">
        <v>0.0</v>
      </c>
      <c r="R730" s="186">
        <v>86.80000000000001</v>
      </c>
      <c r="S730" s="186">
        <v>0.0</v>
      </c>
      <c r="T730" s="186">
        <v>382.5</v>
      </c>
      <c r="U730" s="187" t="s">
        <v>442</v>
      </c>
      <c r="V730" s="176">
        <v>45989.0</v>
      </c>
      <c r="W730" s="175"/>
      <c r="X730" s="175"/>
      <c r="Y730" s="175"/>
      <c r="Z730" s="175"/>
      <c r="AA730" s="175"/>
      <c r="AB730" s="175"/>
      <c r="AC730" s="175"/>
      <c r="AD730" s="175"/>
      <c r="AE730" s="175"/>
      <c r="AF730" s="175"/>
      <c r="AG730" s="175"/>
      <c r="AH730" s="175"/>
      <c r="AI730" s="175"/>
    </row>
    <row r="731">
      <c r="A731" s="165">
        <v>45999.0</v>
      </c>
      <c r="B731" s="166">
        <v>7897457.0</v>
      </c>
      <c r="C731" s="166" t="s">
        <v>89</v>
      </c>
      <c r="D731" s="166" t="s">
        <v>35</v>
      </c>
      <c r="E731" s="166">
        <v>5.577347134E9</v>
      </c>
      <c r="F731" s="166" t="s">
        <v>1022</v>
      </c>
      <c r="G731" s="165">
        <v>46208.0</v>
      </c>
      <c r="H731" s="167">
        <v>46211.0</v>
      </c>
      <c r="I731" s="168">
        <v>3.0</v>
      </c>
      <c r="J731" s="169" t="s">
        <v>111</v>
      </c>
      <c r="K731" s="166" t="s">
        <v>79</v>
      </c>
      <c r="L731" s="166" t="s">
        <v>80</v>
      </c>
      <c r="M731" s="166">
        <v>0.0</v>
      </c>
      <c r="N731" s="170">
        <v>0.0</v>
      </c>
      <c r="O731" s="171">
        <v>0.0</v>
      </c>
      <c r="P731" s="171">
        <v>0.0</v>
      </c>
      <c r="Q731" s="172">
        <v>0.0</v>
      </c>
      <c r="R731" s="173">
        <v>0.0</v>
      </c>
      <c r="S731" s="173">
        <v>0.0</v>
      </c>
      <c r="T731" s="173">
        <v>0.0</v>
      </c>
      <c r="U731" s="201" t="s">
        <v>1023</v>
      </c>
      <c r="V731" s="165">
        <v>46175.0</v>
      </c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</row>
    <row r="732">
      <c r="A732" s="165">
        <v>45999.0</v>
      </c>
      <c r="B732" s="166">
        <v>7897473.0</v>
      </c>
      <c r="C732" s="166" t="s">
        <v>89</v>
      </c>
      <c r="D732" s="166" t="s">
        <v>35</v>
      </c>
      <c r="E732" s="166">
        <v>5.907534021E9</v>
      </c>
      <c r="F732" s="166" t="s">
        <v>1022</v>
      </c>
      <c r="G732" s="165">
        <v>46208.0</v>
      </c>
      <c r="H732" s="167">
        <v>46211.0</v>
      </c>
      <c r="I732" s="168">
        <v>3.0</v>
      </c>
      <c r="J732" s="169" t="s">
        <v>111</v>
      </c>
      <c r="K732" s="166" t="s">
        <v>79</v>
      </c>
      <c r="L732" s="166" t="s">
        <v>80</v>
      </c>
      <c r="M732" s="166">
        <v>0.0</v>
      </c>
      <c r="N732" s="170">
        <v>0.0</v>
      </c>
      <c r="O732" s="171">
        <v>0.0</v>
      </c>
      <c r="P732" s="171">
        <v>0.0</v>
      </c>
      <c r="Q732" s="172">
        <v>0.0</v>
      </c>
      <c r="R732" s="173">
        <v>0.0</v>
      </c>
      <c r="S732" s="173">
        <v>0.0</v>
      </c>
      <c r="T732" s="173">
        <v>0.0</v>
      </c>
      <c r="U732" s="174" t="s">
        <v>1023</v>
      </c>
      <c r="V732" s="165">
        <v>46175.0</v>
      </c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  <c r="AG732" s="164"/>
      <c r="AH732" s="164"/>
      <c r="AI732" s="164"/>
    </row>
    <row r="733">
      <c r="A733" s="165">
        <v>45986.0</v>
      </c>
      <c r="B733" s="166">
        <v>7844692.0</v>
      </c>
      <c r="C733" s="166" t="s">
        <v>75</v>
      </c>
      <c r="D733" s="166" t="s">
        <v>35</v>
      </c>
      <c r="E733" s="166">
        <v>6.918462548E9</v>
      </c>
      <c r="F733" s="166" t="s">
        <v>1024</v>
      </c>
      <c r="G733" s="165">
        <v>46210.0</v>
      </c>
      <c r="H733" s="167">
        <v>46212.0</v>
      </c>
      <c r="I733" s="168">
        <v>2.0</v>
      </c>
      <c r="J733" s="169" t="s">
        <v>114</v>
      </c>
      <c r="K733" s="166" t="s">
        <v>79</v>
      </c>
      <c r="L733" s="166" t="s">
        <v>80</v>
      </c>
      <c r="M733" s="166">
        <v>2.0</v>
      </c>
      <c r="N733" s="170">
        <v>0.19999999999999996</v>
      </c>
      <c r="O733" s="171">
        <v>165.9</v>
      </c>
      <c r="P733" s="171">
        <v>132.72</v>
      </c>
      <c r="Q733" s="172">
        <v>0.0</v>
      </c>
      <c r="R733" s="173">
        <v>265.44</v>
      </c>
      <c r="S733" s="173">
        <v>0.0</v>
      </c>
      <c r="T733" s="173">
        <v>341.8</v>
      </c>
      <c r="U733" s="174" t="s">
        <v>1025</v>
      </c>
      <c r="V733" s="165">
        <v>45986.0</v>
      </c>
      <c r="W733" s="175"/>
      <c r="X733" s="175"/>
      <c r="Y733" s="175"/>
      <c r="Z733" s="175"/>
      <c r="AA733" s="175"/>
      <c r="AB733" s="175"/>
      <c r="AC733" s="175"/>
      <c r="AD733" s="175"/>
      <c r="AE733" s="175"/>
      <c r="AF733" s="175"/>
      <c r="AG733" s="175"/>
      <c r="AH733" s="175"/>
      <c r="AI733" s="175"/>
    </row>
    <row r="734">
      <c r="A734" s="165">
        <v>45978.0</v>
      </c>
      <c r="B734" s="166">
        <v>7816569.0</v>
      </c>
      <c r="C734" s="166" t="s">
        <v>82</v>
      </c>
      <c r="D734" s="166" t="s">
        <v>35</v>
      </c>
      <c r="E734" s="166">
        <v>5.220813496E9</v>
      </c>
      <c r="F734" s="166" t="s">
        <v>1026</v>
      </c>
      <c r="G734" s="165">
        <v>46212.0</v>
      </c>
      <c r="H734" s="167">
        <v>46219.0</v>
      </c>
      <c r="I734" s="168">
        <v>7.0</v>
      </c>
      <c r="J734" s="169" t="s">
        <v>78</v>
      </c>
      <c r="K734" s="166" t="s">
        <v>79</v>
      </c>
      <c r="L734" s="166" t="s">
        <v>80</v>
      </c>
      <c r="M734" s="205">
        <v>2.0</v>
      </c>
      <c r="N734" s="170">
        <v>0.19999999999999996</v>
      </c>
      <c r="O734" s="171">
        <v>97.16</v>
      </c>
      <c r="P734" s="171">
        <v>77.72800000000001</v>
      </c>
      <c r="Q734" s="172">
        <v>0.0</v>
      </c>
      <c r="R734" s="173">
        <v>544.096</v>
      </c>
      <c r="S734" s="173">
        <v>0.0</v>
      </c>
      <c r="T734" s="173">
        <v>2022.86</v>
      </c>
      <c r="U734" s="174" t="s">
        <v>107</v>
      </c>
      <c r="V734" s="165">
        <v>45978.0</v>
      </c>
      <c r="W734" s="175"/>
      <c r="X734" s="175"/>
      <c r="Y734" s="175"/>
      <c r="Z734" s="175"/>
      <c r="AA734" s="175"/>
      <c r="AB734" s="175"/>
      <c r="AC734" s="175"/>
      <c r="AD734" s="175"/>
      <c r="AE734" s="175"/>
      <c r="AF734" s="175"/>
      <c r="AG734" s="175"/>
      <c r="AH734" s="175"/>
      <c r="AI734" s="175"/>
    </row>
    <row r="735">
      <c r="A735" s="165">
        <v>45978.0</v>
      </c>
      <c r="B735" s="166">
        <v>7816569.0</v>
      </c>
      <c r="C735" s="166" t="s">
        <v>82</v>
      </c>
      <c r="D735" s="166" t="s">
        <v>35</v>
      </c>
      <c r="E735" s="166">
        <v>5.220813496E9</v>
      </c>
      <c r="F735" s="166" t="s">
        <v>1026</v>
      </c>
      <c r="G735" s="165">
        <v>46212.0</v>
      </c>
      <c r="H735" s="167">
        <v>46219.0</v>
      </c>
      <c r="I735" s="168">
        <v>7.0</v>
      </c>
      <c r="J735" s="169" t="s">
        <v>78</v>
      </c>
      <c r="K735" s="166" t="s">
        <v>79</v>
      </c>
      <c r="L735" s="166" t="s">
        <v>80</v>
      </c>
      <c r="M735" s="205">
        <v>1.0</v>
      </c>
      <c r="N735" s="170">
        <v>0.19999999999999996</v>
      </c>
      <c r="O735" s="171">
        <v>94.66</v>
      </c>
      <c r="P735" s="171">
        <v>75.728</v>
      </c>
      <c r="Q735" s="172">
        <v>0.0</v>
      </c>
      <c r="R735" s="173">
        <v>530.096</v>
      </c>
      <c r="S735" s="173">
        <v>0.0</v>
      </c>
      <c r="T735" s="173">
        <v>2022.86</v>
      </c>
      <c r="U735" s="174" t="s">
        <v>107</v>
      </c>
      <c r="V735" s="165">
        <v>45978.0</v>
      </c>
      <c r="W735" s="175"/>
      <c r="X735" s="175"/>
      <c r="Y735" s="175"/>
      <c r="Z735" s="175"/>
      <c r="AA735" s="175"/>
      <c r="AB735" s="175"/>
      <c r="AC735" s="175"/>
      <c r="AD735" s="175"/>
      <c r="AE735" s="175"/>
      <c r="AF735" s="175"/>
      <c r="AG735" s="175"/>
      <c r="AH735" s="175"/>
      <c r="AI735" s="175"/>
    </row>
    <row r="736">
      <c r="A736" s="176">
        <v>45978.0</v>
      </c>
      <c r="B736" s="177">
        <v>7816569.0</v>
      </c>
      <c r="C736" s="178" t="s">
        <v>82</v>
      </c>
      <c r="D736" s="178" t="s">
        <v>35</v>
      </c>
      <c r="E736" s="177">
        <v>5.220813496E9</v>
      </c>
      <c r="F736" s="178" t="s">
        <v>1026</v>
      </c>
      <c r="G736" s="176">
        <v>46212.0</v>
      </c>
      <c r="H736" s="179">
        <v>46219.0</v>
      </c>
      <c r="I736" s="180">
        <v>7.0</v>
      </c>
      <c r="J736" s="181" t="s">
        <v>78</v>
      </c>
      <c r="K736" s="178" t="s">
        <v>79</v>
      </c>
      <c r="L736" s="178" t="s">
        <v>80</v>
      </c>
      <c r="M736" s="182">
        <v>2.0</v>
      </c>
      <c r="N736" s="183">
        <v>0.19999999999999996</v>
      </c>
      <c r="O736" s="184">
        <v>97.16</v>
      </c>
      <c r="P736" s="184">
        <v>77.72800000000001</v>
      </c>
      <c r="Q736" s="185">
        <v>0.0</v>
      </c>
      <c r="R736" s="186">
        <v>544.096</v>
      </c>
      <c r="S736" s="186">
        <v>0.0</v>
      </c>
      <c r="T736" s="186">
        <v>2022.86</v>
      </c>
      <c r="U736" s="187" t="s">
        <v>107</v>
      </c>
      <c r="V736" s="176">
        <v>45978.0</v>
      </c>
      <c r="W736" s="175"/>
      <c r="X736" s="175"/>
      <c r="Y736" s="175"/>
      <c r="Z736" s="175"/>
      <c r="AA736" s="175"/>
      <c r="AB736" s="175"/>
      <c r="AC736" s="175"/>
      <c r="AD736" s="175"/>
      <c r="AE736" s="175"/>
      <c r="AF736" s="175"/>
      <c r="AG736" s="175"/>
      <c r="AH736" s="175"/>
      <c r="AI736" s="175"/>
    </row>
    <row r="737">
      <c r="A737" s="176">
        <v>45989.0</v>
      </c>
      <c r="B737" s="177">
        <v>7859721.0</v>
      </c>
      <c r="C737" s="178" t="s">
        <v>82</v>
      </c>
      <c r="D737" s="178" t="s">
        <v>35</v>
      </c>
      <c r="E737" s="178">
        <v>6.521111954E9</v>
      </c>
      <c r="F737" s="178" t="s">
        <v>1021</v>
      </c>
      <c r="G737" s="176">
        <v>46212.0</v>
      </c>
      <c r="H737" s="179">
        <v>46214.0</v>
      </c>
      <c r="I737" s="180">
        <v>2.0</v>
      </c>
      <c r="J737" s="181" t="s">
        <v>87</v>
      </c>
      <c r="K737" s="178" t="s">
        <v>79</v>
      </c>
      <c r="L737" s="178" t="s">
        <v>80</v>
      </c>
      <c r="M737" s="182">
        <v>2.0</v>
      </c>
      <c r="N737" s="183">
        <v>0.19999999999999996</v>
      </c>
      <c r="O737" s="184">
        <v>108.5</v>
      </c>
      <c r="P737" s="184">
        <v>86.80000000000001</v>
      </c>
      <c r="Q737" s="185">
        <v>0.0</v>
      </c>
      <c r="R737" s="186">
        <v>173.60000000000002</v>
      </c>
      <c r="S737" s="186">
        <v>0.0</v>
      </c>
      <c r="T737" s="186">
        <v>765.0</v>
      </c>
      <c r="U737" s="187" t="s">
        <v>442</v>
      </c>
      <c r="V737" s="189">
        <v>45989.0</v>
      </c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</row>
    <row r="738">
      <c r="A738" s="165">
        <v>45989.0</v>
      </c>
      <c r="B738" s="166">
        <v>7859721.0</v>
      </c>
      <c r="C738" s="166" t="s">
        <v>82</v>
      </c>
      <c r="D738" s="166" t="s">
        <v>35</v>
      </c>
      <c r="E738" s="166">
        <v>6.521111954E9</v>
      </c>
      <c r="F738" s="166" t="s">
        <v>1021</v>
      </c>
      <c r="G738" s="165">
        <v>46212.0</v>
      </c>
      <c r="H738" s="167">
        <v>46214.0</v>
      </c>
      <c r="I738" s="168">
        <v>2.0</v>
      </c>
      <c r="J738" s="169" t="s">
        <v>78</v>
      </c>
      <c r="K738" s="166" t="s">
        <v>79</v>
      </c>
      <c r="L738" s="166" t="s">
        <v>80</v>
      </c>
      <c r="M738" s="166">
        <v>2.0</v>
      </c>
      <c r="N738" s="170">
        <v>0.19999999999999996</v>
      </c>
      <c r="O738" s="171">
        <v>129.5</v>
      </c>
      <c r="P738" s="171">
        <v>103.60000000000001</v>
      </c>
      <c r="Q738" s="172">
        <v>0.0</v>
      </c>
      <c r="R738" s="173">
        <v>207.20000000000002</v>
      </c>
      <c r="S738" s="173">
        <v>0.0</v>
      </c>
      <c r="T738" s="173">
        <v>765.0</v>
      </c>
      <c r="U738" s="201" t="s">
        <v>442</v>
      </c>
      <c r="V738" s="165">
        <v>45989.0</v>
      </c>
      <c r="W738" s="164"/>
      <c r="X738" s="164"/>
      <c r="Y738" s="164"/>
      <c r="Z738" s="164"/>
      <c r="AA738" s="164"/>
      <c r="AB738" s="164"/>
      <c r="AC738" s="164"/>
      <c r="AD738" s="164"/>
      <c r="AE738" s="164"/>
      <c r="AF738" s="164"/>
      <c r="AG738" s="164"/>
      <c r="AH738" s="164"/>
      <c r="AI738" s="164"/>
    </row>
    <row r="739">
      <c r="A739" s="165">
        <v>45989.0</v>
      </c>
      <c r="B739" s="166">
        <v>7859721.0</v>
      </c>
      <c r="C739" s="166" t="s">
        <v>82</v>
      </c>
      <c r="D739" s="166" t="s">
        <v>35</v>
      </c>
      <c r="E739" s="166">
        <v>6.521111954E9</v>
      </c>
      <c r="F739" s="166" t="s">
        <v>1021</v>
      </c>
      <c r="G739" s="165">
        <v>46212.0</v>
      </c>
      <c r="H739" s="167">
        <v>46214.0</v>
      </c>
      <c r="I739" s="168">
        <v>2.0</v>
      </c>
      <c r="J739" s="169" t="s">
        <v>78</v>
      </c>
      <c r="K739" s="166" t="s">
        <v>79</v>
      </c>
      <c r="L739" s="166" t="s">
        <v>80</v>
      </c>
      <c r="M739" s="166">
        <v>2.0</v>
      </c>
      <c r="N739" s="170">
        <v>0.19999999999999996</v>
      </c>
      <c r="O739" s="171">
        <v>129.5</v>
      </c>
      <c r="P739" s="171">
        <v>103.60000000000001</v>
      </c>
      <c r="Q739" s="172">
        <v>0.0</v>
      </c>
      <c r="R739" s="173">
        <v>207.20000000000002</v>
      </c>
      <c r="S739" s="173">
        <v>0.0</v>
      </c>
      <c r="T739" s="173">
        <v>765.0</v>
      </c>
      <c r="U739" s="174" t="s">
        <v>442</v>
      </c>
      <c r="V739" s="165">
        <v>45989.0</v>
      </c>
      <c r="W739" s="175"/>
      <c r="X739" s="175"/>
      <c r="Y739" s="175"/>
      <c r="Z739" s="175"/>
      <c r="AA739" s="175"/>
      <c r="AB739" s="175"/>
      <c r="AC739" s="175"/>
      <c r="AD739" s="175"/>
      <c r="AE739" s="175"/>
      <c r="AF739" s="175"/>
      <c r="AG739" s="175"/>
      <c r="AH739" s="175"/>
      <c r="AI739" s="175"/>
    </row>
    <row r="740">
      <c r="A740" s="165">
        <v>45973.0</v>
      </c>
      <c r="B740" s="166">
        <v>7798142.0</v>
      </c>
      <c r="C740" s="166" t="s">
        <v>89</v>
      </c>
      <c r="D740" s="166" t="s">
        <v>35</v>
      </c>
      <c r="E740" s="166">
        <v>5.491038448E9</v>
      </c>
      <c r="F740" s="166" t="s">
        <v>1027</v>
      </c>
      <c r="G740" s="165">
        <v>46214.0</v>
      </c>
      <c r="H740" s="167">
        <v>46217.0</v>
      </c>
      <c r="I740" s="168">
        <v>3.0</v>
      </c>
      <c r="J740" s="169" t="s">
        <v>87</v>
      </c>
      <c r="K740" s="166" t="s">
        <v>79</v>
      </c>
      <c r="L740" s="166" t="s">
        <v>80</v>
      </c>
      <c r="M740" s="205">
        <v>0.0</v>
      </c>
      <c r="N740" s="170">
        <v>0.0</v>
      </c>
      <c r="O740" s="171">
        <v>0.0</v>
      </c>
      <c r="P740" s="171">
        <v>0.0</v>
      </c>
      <c r="Q740" s="172">
        <v>0.0</v>
      </c>
      <c r="R740" s="173">
        <v>0.0</v>
      </c>
      <c r="S740" s="173">
        <v>0.0</v>
      </c>
      <c r="T740" s="173">
        <v>0.0</v>
      </c>
      <c r="U740" s="174" t="s">
        <v>1028</v>
      </c>
      <c r="V740" s="165">
        <v>46200.0</v>
      </c>
      <c r="W740" s="175"/>
      <c r="X740" s="175"/>
      <c r="Y740" s="175"/>
      <c r="Z740" s="175"/>
      <c r="AA740" s="175"/>
      <c r="AB740" s="175"/>
      <c r="AC740" s="175"/>
      <c r="AD740" s="175"/>
      <c r="AE740" s="175"/>
      <c r="AF740" s="175"/>
      <c r="AG740" s="175"/>
      <c r="AH740" s="175"/>
      <c r="AI740" s="175"/>
    </row>
    <row r="741">
      <c r="A741" s="154">
        <v>45928.0</v>
      </c>
      <c r="B741" s="155">
        <v>7618239.0</v>
      </c>
      <c r="C741" s="156" t="s">
        <v>82</v>
      </c>
      <c r="D741" s="156" t="s">
        <v>35</v>
      </c>
      <c r="E741" s="155">
        <v>6.349713903E9</v>
      </c>
      <c r="F741" s="156" t="s">
        <v>1029</v>
      </c>
      <c r="G741" s="154">
        <v>46215.0</v>
      </c>
      <c r="H741" s="157">
        <v>46218.0</v>
      </c>
      <c r="I741" s="158">
        <v>3.0</v>
      </c>
      <c r="J741" s="159" t="s">
        <v>114</v>
      </c>
      <c r="K741" s="156" t="s">
        <v>79</v>
      </c>
      <c r="L741" s="156" t="s">
        <v>80</v>
      </c>
      <c r="M741" s="202">
        <v>3.0</v>
      </c>
      <c r="N741" s="160">
        <v>0.19999999999999996</v>
      </c>
      <c r="O741" s="161">
        <v>136.0</v>
      </c>
      <c r="P741" s="161">
        <v>108.80000000000001</v>
      </c>
      <c r="Q741" s="203">
        <v>0.0</v>
      </c>
      <c r="R741" s="162">
        <v>326.40000000000003</v>
      </c>
      <c r="S741" s="162">
        <v>0.0</v>
      </c>
      <c r="T741" s="162">
        <v>430.5</v>
      </c>
      <c r="U741" s="163" t="s">
        <v>353</v>
      </c>
      <c r="V741" s="154">
        <v>45928.0</v>
      </c>
      <c r="W741" s="175"/>
      <c r="X741" s="175"/>
      <c r="Y741" s="175"/>
      <c r="Z741" s="175"/>
      <c r="AA741" s="175"/>
      <c r="AB741" s="175"/>
      <c r="AC741" s="175"/>
      <c r="AD741" s="175"/>
      <c r="AE741" s="175"/>
      <c r="AF741" s="175"/>
      <c r="AG741" s="175"/>
      <c r="AH741" s="175"/>
      <c r="AI741" s="175"/>
    </row>
    <row r="742">
      <c r="A742" s="176">
        <v>45959.0</v>
      </c>
      <c r="B742" s="177">
        <v>7742789.0</v>
      </c>
      <c r="C742" s="178" t="s">
        <v>89</v>
      </c>
      <c r="D742" s="178" t="s">
        <v>35</v>
      </c>
      <c r="E742" s="177">
        <v>6.38215601E9</v>
      </c>
      <c r="F742" s="178" t="s">
        <v>1030</v>
      </c>
      <c r="G742" s="176">
        <v>46215.0</v>
      </c>
      <c r="H742" s="179">
        <v>46217.0</v>
      </c>
      <c r="I742" s="180">
        <v>2.0</v>
      </c>
      <c r="J742" s="181" t="s">
        <v>78</v>
      </c>
      <c r="K742" s="178" t="s">
        <v>79</v>
      </c>
      <c r="L742" s="178" t="s">
        <v>80</v>
      </c>
      <c r="M742" s="182">
        <v>0.0</v>
      </c>
      <c r="N742" s="183">
        <v>0.0</v>
      </c>
      <c r="O742" s="184">
        <v>0.0</v>
      </c>
      <c r="P742" s="184">
        <v>0.0</v>
      </c>
      <c r="Q742" s="185">
        <v>0.0</v>
      </c>
      <c r="R742" s="186">
        <v>0.0</v>
      </c>
      <c r="S742" s="186">
        <v>0.0</v>
      </c>
      <c r="T742" s="186">
        <v>0.0</v>
      </c>
      <c r="U742" s="187" t="s">
        <v>1031</v>
      </c>
      <c r="V742" s="176">
        <v>45989.0</v>
      </c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  <c r="AG742" s="164"/>
      <c r="AH742" s="164"/>
      <c r="AI742" s="164"/>
    </row>
    <row r="743">
      <c r="A743" s="165">
        <v>45989.0</v>
      </c>
      <c r="B743" s="166">
        <v>7856977.0</v>
      </c>
      <c r="C743" s="166" t="s">
        <v>82</v>
      </c>
      <c r="D743" s="166" t="s">
        <v>35</v>
      </c>
      <c r="E743" s="166">
        <v>5.368418442E9</v>
      </c>
      <c r="F743" s="166" t="s">
        <v>1030</v>
      </c>
      <c r="G743" s="165">
        <v>46215.0</v>
      </c>
      <c r="H743" s="167">
        <v>46217.0</v>
      </c>
      <c r="I743" s="168">
        <v>2.0</v>
      </c>
      <c r="J743" s="169" t="s">
        <v>78</v>
      </c>
      <c r="K743" s="166" t="s">
        <v>79</v>
      </c>
      <c r="L743" s="166" t="s">
        <v>80</v>
      </c>
      <c r="M743" s="166">
        <v>3.0</v>
      </c>
      <c r="N743" s="170">
        <v>0.19999999999999996</v>
      </c>
      <c r="O743" s="171">
        <v>90.58</v>
      </c>
      <c r="P743" s="171">
        <v>72.464</v>
      </c>
      <c r="Q743" s="172">
        <v>0.0</v>
      </c>
      <c r="R743" s="173">
        <v>144.928</v>
      </c>
      <c r="S743" s="173">
        <v>0.0</v>
      </c>
      <c r="T743" s="173">
        <v>196.16</v>
      </c>
      <c r="U743" s="174" t="s">
        <v>107</v>
      </c>
      <c r="V743" s="165">
        <v>45989.0</v>
      </c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</row>
    <row r="744">
      <c r="A744" s="176">
        <v>46068.0</v>
      </c>
      <c r="B744" s="177">
        <v>8177678.0</v>
      </c>
      <c r="C744" s="178" t="s">
        <v>89</v>
      </c>
      <c r="D744" s="178" t="s">
        <v>35</v>
      </c>
      <c r="E744" s="178">
        <v>6.834625699E9</v>
      </c>
      <c r="F744" s="178" t="s">
        <v>1032</v>
      </c>
      <c r="G744" s="176">
        <v>46219.0</v>
      </c>
      <c r="H744" s="179">
        <v>46220.0</v>
      </c>
      <c r="I744" s="180">
        <v>1.0</v>
      </c>
      <c r="J744" s="181" t="s">
        <v>78</v>
      </c>
      <c r="K744" s="178" t="s">
        <v>79</v>
      </c>
      <c r="L744" s="178" t="s">
        <v>80</v>
      </c>
      <c r="M744" s="182">
        <v>0.0</v>
      </c>
      <c r="N744" s="183">
        <v>0.0</v>
      </c>
      <c r="O744" s="184">
        <v>0.0</v>
      </c>
      <c r="P744" s="184">
        <v>0.0</v>
      </c>
      <c r="Q744" s="185">
        <v>0.0</v>
      </c>
      <c r="R744" s="186">
        <v>0.0</v>
      </c>
      <c r="S744" s="186">
        <v>0.0</v>
      </c>
      <c r="T744" s="186">
        <v>0.0</v>
      </c>
      <c r="U744" s="187" t="s">
        <v>757</v>
      </c>
      <c r="V744" s="189">
        <v>46186.0</v>
      </c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  <c r="AG744" s="164"/>
      <c r="AH744" s="164"/>
      <c r="AI744" s="164"/>
    </row>
    <row r="745">
      <c r="A745" s="176">
        <v>45928.0</v>
      </c>
      <c r="B745" s="177">
        <v>7618281.0</v>
      </c>
      <c r="C745" s="178" t="s">
        <v>82</v>
      </c>
      <c r="D745" s="178" t="s">
        <v>35</v>
      </c>
      <c r="E745" s="177">
        <v>6.056675445E9</v>
      </c>
      <c r="F745" s="178" t="s">
        <v>1029</v>
      </c>
      <c r="G745" s="176">
        <v>46220.0</v>
      </c>
      <c r="H745" s="179">
        <v>46221.0</v>
      </c>
      <c r="I745" s="180">
        <v>1.0</v>
      </c>
      <c r="J745" s="181" t="s">
        <v>78</v>
      </c>
      <c r="K745" s="178" t="s">
        <v>79</v>
      </c>
      <c r="L745" s="178" t="s">
        <v>80</v>
      </c>
      <c r="M745" s="182">
        <v>3.0</v>
      </c>
      <c r="N745" s="183">
        <v>0.19999999999999996</v>
      </c>
      <c r="O745" s="184">
        <v>113.6</v>
      </c>
      <c r="P745" s="184">
        <v>90.88</v>
      </c>
      <c r="Q745" s="185">
        <v>0.0</v>
      </c>
      <c r="R745" s="186">
        <v>90.88</v>
      </c>
      <c r="S745" s="186">
        <v>0.0</v>
      </c>
      <c r="T745" s="186">
        <v>121.1</v>
      </c>
      <c r="U745" s="187" t="s">
        <v>353</v>
      </c>
      <c r="V745" s="189">
        <v>45928.0</v>
      </c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  <c r="AG745" s="164"/>
      <c r="AH745" s="164"/>
      <c r="AI745" s="164"/>
    </row>
    <row r="746">
      <c r="A746" s="176">
        <v>45962.0</v>
      </c>
      <c r="B746" s="177">
        <v>7754316.0</v>
      </c>
      <c r="C746" s="178" t="s">
        <v>89</v>
      </c>
      <c r="D746" s="178" t="s">
        <v>35</v>
      </c>
      <c r="E746" s="177">
        <v>5.921272861E9</v>
      </c>
      <c r="F746" s="178" t="s">
        <v>1033</v>
      </c>
      <c r="G746" s="176">
        <v>46220.0</v>
      </c>
      <c r="H746" s="179">
        <v>46223.0</v>
      </c>
      <c r="I746" s="180">
        <v>3.0</v>
      </c>
      <c r="J746" s="181" t="s">
        <v>78</v>
      </c>
      <c r="K746" s="178" t="s">
        <v>79</v>
      </c>
      <c r="L746" s="178" t="s">
        <v>80</v>
      </c>
      <c r="M746" s="182">
        <v>0.0</v>
      </c>
      <c r="N746" s="183">
        <v>0.0</v>
      </c>
      <c r="O746" s="184">
        <v>0.0</v>
      </c>
      <c r="P746" s="184">
        <v>0.0</v>
      </c>
      <c r="Q746" s="185">
        <v>0.0</v>
      </c>
      <c r="R746" s="186">
        <v>0.0</v>
      </c>
      <c r="S746" s="186">
        <v>0.0</v>
      </c>
      <c r="T746" s="186">
        <v>0.0</v>
      </c>
      <c r="U746" s="187" t="s">
        <v>1034</v>
      </c>
      <c r="V746" s="176">
        <v>46013.0</v>
      </c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  <c r="AG746" s="164"/>
      <c r="AH746" s="164"/>
      <c r="AI746" s="164"/>
    </row>
    <row r="747">
      <c r="A747" s="176">
        <v>46068.0</v>
      </c>
      <c r="B747" s="177">
        <v>8177690.0</v>
      </c>
      <c r="C747" s="178" t="s">
        <v>89</v>
      </c>
      <c r="D747" s="178" t="s">
        <v>35</v>
      </c>
      <c r="E747" s="177">
        <v>5.688037762E9</v>
      </c>
      <c r="F747" s="178" t="s">
        <v>1032</v>
      </c>
      <c r="G747" s="176">
        <v>46222.0</v>
      </c>
      <c r="H747" s="179">
        <v>46223.0</v>
      </c>
      <c r="I747" s="180">
        <v>1.0</v>
      </c>
      <c r="J747" s="181" t="s">
        <v>78</v>
      </c>
      <c r="K747" s="178" t="s">
        <v>79</v>
      </c>
      <c r="L747" s="178" t="s">
        <v>80</v>
      </c>
      <c r="M747" s="182">
        <v>0.0</v>
      </c>
      <c r="N747" s="183">
        <v>0.0</v>
      </c>
      <c r="O747" s="184">
        <v>0.0</v>
      </c>
      <c r="P747" s="184">
        <v>0.0</v>
      </c>
      <c r="Q747" s="185">
        <v>0.0</v>
      </c>
      <c r="R747" s="186">
        <v>0.0</v>
      </c>
      <c r="S747" s="186">
        <v>0.0</v>
      </c>
      <c r="T747" s="186">
        <v>0.0</v>
      </c>
      <c r="U747" s="187" t="s">
        <v>757</v>
      </c>
      <c r="V747" s="176">
        <v>46208.0</v>
      </c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</row>
    <row r="748">
      <c r="A748" s="165">
        <v>45986.0</v>
      </c>
      <c r="B748" s="166">
        <v>7845874.0</v>
      </c>
      <c r="C748" s="166" t="s">
        <v>82</v>
      </c>
      <c r="D748" s="166" t="s">
        <v>35</v>
      </c>
      <c r="E748" s="166">
        <v>5.526786932E9</v>
      </c>
      <c r="F748" s="166" t="s">
        <v>1035</v>
      </c>
      <c r="G748" s="165">
        <v>46223.0</v>
      </c>
      <c r="H748" s="167">
        <v>46227.0</v>
      </c>
      <c r="I748" s="168">
        <v>4.0</v>
      </c>
      <c r="J748" s="169" t="s">
        <v>78</v>
      </c>
      <c r="K748" s="166" t="s">
        <v>79</v>
      </c>
      <c r="L748" s="166" t="s">
        <v>80</v>
      </c>
      <c r="M748" s="205">
        <v>2.0</v>
      </c>
      <c r="N748" s="170">
        <v>0.19999999999999996</v>
      </c>
      <c r="O748" s="171">
        <v>85.61</v>
      </c>
      <c r="P748" s="171">
        <v>68.488</v>
      </c>
      <c r="Q748" s="172">
        <v>0.0</v>
      </c>
      <c r="R748" s="173">
        <v>273.952</v>
      </c>
      <c r="S748" s="173">
        <v>0.0</v>
      </c>
      <c r="T748" s="173">
        <v>362.44</v>
      </c>
      <c r="U748" s="174" t="s">
        <v>161</v>
      </c>
      <c r="V748" s="165">
        <v>45986.0</v>
      </c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</row>
    <row r="749">
      <c r="A749" s="176">
        <v>45951.0</v>
      </c>
      <c r="B749" s="177">
        <v>7713489.0</v>
      </c>
      <c r="C749" s="178" t="s">
        <v>89</v>
      </c>
      <c r="D749" s="178" t="s">
        <v>35</v>
      </c>
      <c r="E749" s="178">
        <v>5.331009908E9</v>
      </c>
      <c r="F749" s="178" t="s">
        <v>1036</v>
      </c>
      <c r="G749" s="176">
        <v>46224.0</v>
      </c>
      <c r="H749" s="179">
        <v>46227.0</v>
      </c>
      <c r="I749" s="180">
        <v>3.0</v>
      </c>
      <c r="J749" s="181" t="s">
        <v>78</v>
      </c>
      <c r="K749" s="178" t="s">
        <v>79</v>
      </c>
      <c r="L749" s="178" t="s">
        <v>80</v>
      </c>
      <c r="M749" s="177">
        <v>0.0</v>
      </c>
      <c r="N749" s="183">
        <v>0.0</v>
      </c>
      <c r="O749" s="184">
        <v>0.0</v>
      </c>
      <c r="P749" s="184">
        <v>0.0</v>
      </c>
      <c r="Q749" s="185">
        <v>0.0</v>
      </c>
      <c r="R749" s="186">
        <v>0.0</v>
      </c>
      <c r="S749" s="186">
        <v>0.0</v>
      </c>
      <c r="T749" s="186">
        <v>0.0</v>
      </c>
      <c r="U749" s="187" t="s">
        <v>1037</v>
      </c>
      <c r="V749" s="189">
        <v>45951.0</v>
      </c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</row>
    <row r="750">
      <c r="A750" s="176">
        <v>46012.0</v>
      </c>
      <c r="B750" s="177">
        <v>7942634.0</v>
      </c>
      <c r="C750" s="178" t="s">
        <v>82</v>
      </c>
      <c r="D750" s="178" t="s">
        <v>35</v>
      </c>
      <c r="E750" s="177">
        <v>6.977625676E9</v>
      </c>
      <c r="F750" s="178" t="s">
        <v>1038</v>
      </c>
      <c r="G750" s="176">
        <v>46226.0</v>
      </c>
      <c r="H750" s="179">
        <v>46228.0</v>
      </c>
      <c r="I750" s="180">
        <v>2.0</v>
      </c>
      <c r="J750" s="181" t="s">
        <v>78</v>
      </c>
      <c r="K750" s="178" t="s">
        <v>79</v>
      </c>
      <c r="L750" s="178" t="s">
        <v>80</v>
      </c>
      <c r="M750" s="182">
        <v>2.0</v>
      </c>
      <c r="N750" s="183">
        <v>0.19999999999999996</v>
      </c>
      <c r="O750" s="184">
        <v>144.72</v>
      </c>
      <c r="P750" s="184">
        <v>115.77600000000001</v>
      </c>
      <c r="Q750" s="185">
        <v>0.0</v>
      </c>
      <c r="R750" s="186">
        <v>231.55200000000002</v>
      </c>
      <c r="S750" s="186">
        <v>0.0</v>
      </c>
      <c r="T750" s="186">
        <v>867.46</v>
      </c>
      <c r="U750" s="187" t="s">
        <v>161</v>
      </c>
      <c r="V750" s="176">
        <v>46012.0</v>
      </c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  <c r="AG750" s="164"/>
      <c r="AH750" s="164"/>
      <c r="AI750" s="164"/>
    </row>
    <row r="751">
      <c r="A751" s="176">
        <v>46012.0</v>
      </c>
      <c r="B751" s="177">
        <v>7942634.0</v>
      </c>
      <c r="C751" s="178" t="s">
        <v>82</v>
      </c>
      <c r="D751" s="178" t="s">
        <v>35</v>
      </c>
      <c r="E751" s="177">
        <v>6.977625676E9</v>
      </c>
      <c r="F751" s="178" t="s">
        <v>1038</v>
      </c>
      <c r="G751" s="176">
        <v>46226.0</v>
      </c>
      <c r="H751" s="179">
        <v>46228.0</v>
      </c>
      <c r="I751" s="180">
        <v>2.0</v>
      </c>
      <c r="J751" s="181" t="s">
        <v>87</v>
      </c>
      <c r="K751" s="178" t="s">
        <v>79</v>
      </c>
      <c r="L751" s="178" t="s">
        <v>80</v>
      </c>
      <c r="M751" s="182">
        <v>2.0</v>
      </c>
      <c r="N751" s="183">
        <v>0.19999999999999996</v>
      </c>
      <c r="O751" s="184">
        <v>129.29</v>
      </c>
      <c r="P751" s="184">
        <v>103.432</v>
      </c>
      <c r="Q751" s="185">
        <v>0.0</v>
      </c>
      <c r="R751" s="186">
        <v>206.864</v>
      </c>
      <c r="S751" s="186">
        <v>0.0</v>
      </c>
      <c r="T751" s="186">
        <v>867.46</v>
      </c>
      <c r="U751" s="187" t="s">
        <v>161</v>
      </c>
      <c r="V751" s="176">
        <v>46012.0</v>
      </c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  <c r="AG751" s="164"/>
      <c r="AH751" s="164"/>
      <c r="AI751" s="164"/>
    </row>
    <row r="752">
      <c r="A752" s="154">
        <v>46012.0</v>
      </c>
      <c r="B752" s="155">
        <v>7942634.0</v>
      </c>
      <c r="C752" s="156" t="s">
        <v>82</v>
      </c>
      <c r="D752" s="156" t="s">
        <v>35</v>
      </c>
      <c r="E752" s="155">
        <v>6.977625676E9</v>
      </c>
      <c r="F752" s="156" t="s">
        <v>1038</v>
      </c>
      <c r="G752" s="154">
        <v>46226.0</v>
      </c>
      <c r="H752" s="157">
        <v>46228.0</v>
      </c>
      <c r="I752" s="158">
        <v>2.0</v>
      </c>
      <c r="J752" s="159" t="s">
        <v>78</v>
      </c>
      <c r="K752" s="156" t="s">
        <v>79</v>
      </c>
      <c r="L752" s="156" t="s">
        <v>80</v>
      </c>
      <c r="M752" s="155">
        <v>2.0</v>
      </c>
      <c r="N752" s="160">
        <v>0.19999999999999996</v>
      </c>
      <c r="O752" s="161">
        <v>144.72</v>
      </c>
      <c r="P752" s="161">
        <v>115.77600000000001</v>
      </c>
      <c r="Q752" s="159">
        <v>0.0</v>
      </c>
      <c r="R752" s="162">
        <v>231.55200000000002</v>
      </c>
      <c r="S752" s="162">
        <v>0.0</v>
      </c>
      <c r="T752" s="162">
        <v>867.46</v>
      </c>
      <c r="U752" s="163" t="s">
        <v>161</v>
      </c>
      <c r="V752" s="154">
        <v>46012.0</v>
      </c>
      <c r="W752" s="175"/>
      <c r="X752" s="175"/>
      <c r="Y752" s="175"/>
      <c r="Z752" s="175"/>
      <c r="AA752" s="175"/>
      <c r="AB752" s="175"/>
      <c r="AC752" s="175"/>
      <c r="AD752" s="175"/>
      <c r="AE752" s="175"/>
      <c r="AF752" s="175"/>
      <c r="AG752" s="175"/>
      <c r="AH752" s="175"/>
      <c r="AI752" s="175"/>
    </row>
    <row r="753">
      <c r="A753" s="165">
        <v>45951.0</v>
      </c>
      <c r="B753" s="166">
        <v>7713609.0</v>
      </c>
      <c r="C753" s="166" t="s">
        <v>89</v>
      </c>
      <c r="D753" s="166" t="s">
        <v>35</v>
      </c>
      <c r="E753" s="166">
        <v>6.816822004E9</v>
      </c>
      <c r="F753" s="166" t="s">
        <v>1036</v>
      </c>
      <c r="G753" s="165">
        <v>46227.0</v>
      </c>
      <c r="H753" s="167">
        <v>46229.0</v>
      </c>
      <c r="I753" s="168">
        <v>2.0</v>
      </c>
      <c r="J753" s="169" t="s">
        <v>78</v>
      </c>
      <c r="K753" s="166" t="s">
        <v>79</v>
      </c>
      <c r="L753" s="166" t="s">
        <v>80</v>
      </c>
      <c r="M753" s="166">
        <v>0.0</v>
      </c>
      <c r="N753" s="170">
        <v>0.0</v>
      </c>
      <c r="O753" s="171">
        <v>0.0</v>
      </c>
      <c r="P753" s="171">
        <v>0.0</v>
      </c>
      <c r="Q753" s="172">
        <v>0.0</v>
      </c>
      <c r="R753" s="173">
        <v>0.0</v>
      </c>
      <c r="S753" s="173">
        <v>0.0</v>
      </c>
      <c r="T753" s="173">
        <v>0.0</v>
      </c>
      <c r="U753" s="201" t="s">
        <v>1039</v>
      </c>
      <c r="V753" s="165">
        <v>46125.0</v>
      </c>
      <c r="W753" s="175"/>
      <c r="X753" s="175"/>
      <c r="Y753" s="175"/>
      <c r="Z753" s="175"/>
      <c r="AA753" s="175"/>
      <c r="AB753" s="175"/>
      <c r="AC753" s="175"/>
      <c r="AD753" s="175"/>
      <c r="AE753" s="175"/>
      <c r="AF753" s="175"/>
      <c r="AG753" s="175"/>
      <c r="AH753" s="175"/>
      <c r="AI753" s="175"/>
    </row>
    <row r="754">
      <c r="A754" s="165">
        <v>45979.0</v>
      </c>
      <c r="B754" s="166">
        <v>7821217.0</v>
      </c>
      <c r="C754" s="166" t="s">
        <v>89</v>
      </c>
      <c r="D754" s="166" t="s">
        <v>35</v>
      </c>
      <c r="E754" s="166">
        <v>6.210429082E9</v>
      </c>
      <c r="F754" s="166" t="s">
        <v>1040</v>
      </c>
      <c r="G754" s="165">
        <v>46227.0</v>
      </c>
      <c r="H754" s="167">
        <v>46230.0</v>
      </c>
      <c r="I754" s="168">
        <v>3.0</v>
      </c>
      <c r="J754" s="169" t="s">
        <v>78</v>
      </c>
      <c r="K754" s="166" t="s">
        <v>79</v>
      </c>
      <c r="L754" s="166" t="s">
        <v>80</v>
      </c>
      <c r="M754" s="205">
        <v>0.0</v>
      </c>
      <c r="N754" s="170">
        <v>0.0</v>
      </c>
      <c r="O754" s="171">
        <v>0.0</v>
      </c>
      <c r="P754" s="171">
        <v>0.0</v>
      </c>
      <c r="Q754" s="172">
        <v>0.0</v>
      </c>
      <c r="R754" s="173">
        <v>0.0</v>
      </c>
      <c r="S754" s="173">
        <v>0.0</v>
      </c>
      <c r="T754" s="173">
        <v>0.0</v>
      </c>
      <c r="U754" s="174" t="s">
        <v>1041</v>
      </c>
      <c r="V754" s="165">
        <v>46082.0</v>
      </c>
      <c r="W754" s="175"/>
      <c r="X754" s="175"/>
      <c r="Y754" s="175"/>
      <c r="Z754" s="175"/>
      <c r="AA754" s="175"/>
      <c r="AB754" s="175"/>
      <c r="AC754" s="175"/>
      <c r="AD754" s="175"/>
      <c r="AE754" s="175"/>
      <c r="AF754" s="175"/>
      <c r="AG754" s="175"/>
      <c r="AH754" s="175"/>
      <c r="AI754" s="175"/>
    </row>
    <row r="755">
      <c r="A755" s="165">
        <v>45966.0</v>
      </c>
      <c r="B755" s="166">
        <v>7771960.0</v>
      </c>
      <c r="C755" s="166" t="s">
        <v>89</v>
      </c>
      <c r="D755" s="166" t="s">
        <v>35</v>
      </c>
      <c r="E755" s="166">
        <v>5.774341243E9</v>
      </c>
      <c r="F755" s="166" t="s">
        <v>1042</v>
      </c>
      <c r="G755" s="165">
        <v>46229.0</v>
      </c>
      <c r="H755" s="167">
        <v>46233.0</v>
      </c>
      <c r="I755" s="168">
        <v>4.0</v>
      </c>
      <c r="J755" s="169" t="s">
        <v>91</v>
      </c>
      <c r="K755" s="166" t="s">
        <v>79</v>
      </c>
      <c r="L755" s="166" t="s">
        <v>80</v>
      </c>
      <c r="M755" s="205">
        <v>0.0</v>
      </c>
      <c r="N755" s="170">
        <v>0.0</v>
      </c>
      <c r="O755" s="171">
        <v>0.0</v>
      </c>
      <c r="P755" s="171">
        <v>0.0</v>
      </c>
      <c r="Q755" s="172">
        <v>0.0</v>
      </c>
      <c r="R755" s="173">
        <v>0.0</v>
      </c>
      <c r="S755" s="173">
        <v>0.0</v>
      </c>
      <c r="T755" s="173">
        <v>0.0</v>
      </c>
      <c r="U755" s="201" t="s">
        <v>1043</v>
      </c>
      <c r="V755" s="165">
        <v>45967.0</v>
      </c>
      <c r="W755" s="175"/>
      <c r="X755" s="175"/>
      <c r="Y755" s="175"/>
      <c r="Z755" s="175"/>
      <c r="AA755" s="175"/>
      <c r="AB755" s="175"/>
      <c r="AC755" s="175"/>
      <c r="AD755" s="175"/>
      <c r="AE755" s="175"/>
      <c r="AF755" s="175"/>
      <c r="AG755" s="175"/>
      <c r="AH755" s="175"/>
      <c r="AI755" s="175"/>
    </row>
    <row r="756">
      <c r="A756" s="165">
        <v>45926.0</v>
      </c>
      <c r="B756" s="166">
        <v>7611495.0</v>
      </c>
      <c r="C756" s="166" t="s">
        <v>89</v>
      </c>
      <c r="D756" s="166" t="s">
        <v>35</v>
      </c>
      <c r="E756" s="166">
        <v>6.555044025E9</v>
      </c>
      <c r="F756" s="166" t="s">
        <v>1044</v>
      </c>
      <c r="G756" s="165">
        <v>46230.0</v>
      </c>
      <c r="H756" s="167">
        <v>46243.0</v>
      </c>
      <c r="I756" s="168">
        <v>13.0</v>
      </c>
      <c r="J756" s="169" t="s">
        <v>78</v>
      </c>
      <c r="K756" s="166" t="s">
        <v>138</v>
      </c>
      <c r="L756" s="166" t="s">
        <v>80</v>
      </c>
      <c r="M756" s="205">
        <v>0.0</v>
      </c>
      <c r="N756" s="170">
        <v>0.0</v>
      </c>
      <c r="O756" s="171">
        <v>0.0</v>
      </c>
      <c r="P756" s="171">
        <v>0.0</v>
      </c>
      <c r="Q756" s="172">
        <v>0.0</v>
      </c>
      <c r="R756" s="173">
        <v>0.0</v>
      </c>
      <c r="S756" s="173">
        <v>0.0</v>
      </c>
      <c r="T756" s="173">
        <v>0.0</v>
      </c>
      <c r="U756" s="174" t="s">
        <v>1045</v>
      </c>
      <c r="V756" s="165">
        <v>46036.0</v>
      </c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</row>
    <row r="757">
      <c r="A757" s="165">
        <v>45939.0</v>
      </c>
      <c r="B757" s="166">
        <v>7662447.0</v>
      </c>
      <c r="C757" s="166" t="s">
        <v>82</v>
      </c>
      <c r="D757" s="166" t="s">
        <v>35</v>
      </c>
      <c r="E757" s="166">
        <v>5.730090424E9</v>
      </c>
      <c r="F757" s="166" t="s">
        <v>1046</v>
      </c>
      <c r="G757" s="165">
        <v>46230.0</v>
      </c>
      <c r="H757" s="167">
        <v>46237.0</v>
      </c>
      <c r="I757" s="168">
        <v>7.0</v>
      </c>
      <c r="J757" s="169" t="s">
        <v>78</v>
      </c>
      <c r="K757" s="166" t="s">
        <v>79</v>
      </c>
      <c r="L757" s="166" t="s">
        <v>80</v>
      </c>
      <c r="M757" s="205">
        <v>2.0</v>
      </c>
      <c r="N757" s="170">
        <v>0.19999999999999996</v>
      </c>
      <c r="O757" s="171">
        <v>107.89</v>
      </c>
      <c r="P757" s="171">
        <v>86.31200000000001</v>
      </c>
      <c r="Q757" s="172">
        <v>0.0</v>
      </c>
      <c r="R757" s="173">
        <v>604.1840000000001</v>
      </c>
      <c r="S757" s="173">
        <v>0.0</v>
      </c>
      <c r="T757" s="173">
        <v>790.23</v>
      </c>
      <c r="U757" s="174" t="s">
        <v>107</v>
      </c>
      <c r="V757" s="165">
        <v>45939.0</v>
      </c>
      <c r="W757" s="175"/>
      <c r="X757" s="175"/>
      <c r="Y757" s="175"/>
      <c r="Z757" s="175"/>
      <c r="AA757" s="175"/>
      <c r="AB757" s="175"/>
      <c r="AC757" s="175"/>
      <c r="AD757" s="175"/>
      <c r="AE757" s="175"/>
      <c r="AF757" s="175"/>
      <c r="AG757" s="175"/>
      <c r="AH757" s="175"/>
      <c r="AI757" s="175"/>
    </row>
    <row r="758">
      <c r="A758" s="176">
        <v>45968.0</v>
      </c>
      <c r="B758" s="177">
        <v>7778318.0</v>
      </c>
      <c r="C758" s="178" t="s">
        <v>82</v>
      </c>
      <c r="D758" s="178" t="s">
        <v>35</v>
      </c>
      <c r="E758" s="177">
        <v>5.446664236E9</v>
      </c>
      <c r="F758" s="178" t="s">
        <v>1047</v>
      </c>
      <c r="G758" s="176">
        <v>46231.0</v>
      </c>
      <c r="H758" s="179">
        <v>46234.0</v>
      </c>
      <c r="I758" s="180">
        <v>3.0</v>
      </c>
      <c r="J758" s="181" t="s">
        <v>78</v>
      </c>
      <c r="K758" s="178" t="s">
        <v>138</v>
      </c>
      <c r="L758" s="178" t="s">
        <v>80</v>
      </c>
      <c r="M758" s="177">
        <v>3.0</v>
      </c>
      <c r="N758" s="183">
        <v>0.19999999999999996</v>
      </c>
      <c r="O758" s="184">
        <v>131.60999999999996</v>
      </c>
      <c r="P758" s="184">
        <v>105.28799999999997</v>
      </c>
      <c r="Q758" s="185">
        <v>54.0</v>
      </c>
      <c r="R758" s="186">
        <v>315.8639999999999</v>
      </c>
      <c r="S758" s="186">
        <v>162.0</v>
      </c>
      <c r="T758" s="186">
        <v>524.43</v>
      </c>
      <c r="U758" s="187" t="s">
        <v>678</v>
      </c>
      <c r="V758" s="176">
        <v>45968.0</v>
      </c>
      <c r="W758" s="175"/>
      <c r="X758" s="175"/>
      <c r="Y758" s="175"/>
      <c r="Z758" s="175"/>
      <c r="AA758" s="175"/>
      <c r="AB758" s="175"/>
      <c r="AC758" s="175"/>
      <c r="AD758" s="175"/>
      <c r="AE758" s="175"/>
      <c r="AF758" s="175"/>
      <c r="AG758" s="175"/>
      <c r="AH758" s="175"/>
      <c r="AI758" s="175"/>
    </row>
    <row r="759">
      <c r="A759" s="176">
        <v>45951.0</v>
      </c>
      <c r="B759" s="166">
        <v>7711054.0</v>
      </c>
      <c r="C759" s="166" t="s">
        <v>89</v>
      </c>
      <c r="D759" s="166" t="s">
        <v>35</v>
      </c>
      <c r="E759" s="166">
        <v>5.925884704E9</v>
      </c>
      <c r="F759" s="166" t="s">
        <v>1048</v>
      </c>
      <c r="G759" s="165">
        <v>46233.0</v>
      </c>
      <c r="H759" s="167">
        <v>46236.0</v>
      </c>
      <c r="I759" s="168">
        <v>3.0</v>
      </c>
      <c r="J759" s="169" t="s">
        <v>78</v>
      </c>
      <c r="K759" s="166" t="s">
        <v>79</v>
      </c>
      <c r="L759" s="166" t="s">
        <v>80</v>
      </c>
      <c r="M759" s="166">
        <v>0.0</v>
      </c>
      <c r="N759" s="170">
        <v>0.0</v>
      </c>
      <c r="O759" s="171">
        <v>0.0</v>
      </c>
      <c r="P759" s="171">
        <v>0.0</v>
      </c>
      <c r="Q759" s="172">
        <v>0.0</v>
      </c>
      <c r="R759" s="173">
        <v>0.0</v>
      </c>
      <c r="S759" s="173">
        <v>0.0</v>
      </c>
      <c r="T759" s="162">
        <v>0.0</v>
      </c>
      <c r="U759" s="163" t="s">
        <v>1049</v>
      </c>
      <c r="V759" s="154">
        <v>46134.0</v>
      </c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</row>
    <row r="760">
      <c r="A760" s="176">
        <v>45989.0</v>
      </c>
      <c r="B760" s="177">
        <v>7860343.0</v>
      </c>
      <c r="C760" s="178" t="s">
        <v>82</v>
      </c>
      <c r="D760" s="178" t="s">
        <v>35</v>
      </c>
      <c r="E760" s="178">
        <v>6.849628509E9</v>
      </c>
      <c r="F760" s="178" t="s">
        <v>1050</v>
      </c>
      <c r="G760" s="176">
        <v>46233.0</v>
      </c>
      <c r="H760" s="179">
        <v>46236.0</v>
      </c>
      <c r="I760" s="180">
        <v>3.0</v>
      </c>
      <c r="J760" s="181" t="s">
        <v>87</v>
      </c>
      <c r="K760" s="178" t="s">
        <v>79</v>
      </c>
      <c r="L760" s="178" t="s">
        <v>80</v>
      </c>
      <c r="M760" s="177">
        <v>2.0</v>
      </c>
      <c r="N760" s="183">
        <v>0.19999999999999996</v>
      </c>
      <c r="O760" s="184">
        <v>85.37</v>
      </c>
      <c r="P760" s="184">
        <v>68.296</v>
      </c>
      <c r="Q760" s="185">
        <v>0.0</v>
      </c>
      <c r="R760" s="186">
        <v>204.88800000000003</v>
      </c>
      <c r="S760" s="186">
        <v>0.0</v>
      </c>
      <c r="T760" s="186">
        <v>591.81</v>
      </c>
      <c r="U760" s="187" t="s">
        <v>107</v>
      </c>
      <c r="V760" s="189">
        <v>45989.0</v>
      </c>
      <c r="W760" s="175"/>
      <c r="X760" s="175"/>
      <c r="Y760" s="175"/>
      <c r="Z760" s="175"/>
      <c r="AA760" s="175"/>
      <c r="AB760" s="175"/>
      <c r="AC760" s="175"/>
      <c r="AD760" s="175"/>
      <c r="AE760" s="175"/>
      <c r="AF760" s="175"/>
      <c r="AG760" s="175"/>
      <c r="AH760" s="175"/>
      <c r="AI760" s="175"/>
    </row>
    <row r="761">
      <c r="A761" s="154">
        <v>45989.0</v>
      </c>
      <c r="B761" s="155">
        <v>7860343.0</v>
      </c>
      <c r="C761" s="156" t="s">
        <v>82</v>
      </c>
      <c r="D761" s="156" t="s">
        <v>35</v>
      </c>
      <c r="E761" s="155">
        <v>6.849628509E9</v>
      </c>
      <c r="F761" s="156" t="s">
        <v>1050</v>
      </c>
      <c r="G761" s="154">
        <v>46233.0</v>
      </c>
      <c r="H761" s="157">
        <v>46236.0</v>
      </c>
      <c r="I761" s="158">
        <v>3.0</v>
      </c>
      <c r="J761" s="159" t="s">
        <v>78</v>
      </c>
      <c r="K761" s="156" t="s">
        <v>79</v>
      </c>
      <c r="L761" s="156" t="s">
        <v>80</v>
      </c>
      <c r="M761" s="155">
        <v>2.0</v>
      </c>
      <c r="N761" s="160">
        <v>0.19999999999999996</v>
      </c>
      <c r="O761" s="161">
        <v>101.89999999999999</v>
      </c>
      <c r="P761" s="161">
        <v>81.52</v>
      </c>
      <c r="Q761" s="159">
        <v>0.0</v>
      </c>
      <c r="R761" s="162">
        <v>244.56</v>
      </c>
      <c r="S761" s="162">
        <v>0.0</v>
      </c>
      <c r="T761" s="162">
        <v>591.81</v>
      </c>
      <c r="U761" s="163" t="s">
        <v>107</v>
      </c>
      <c r="V761" s="154">
        <v>45989.0</v>
      </c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</row>
    <row r="762">
      <c r="A762" s="154">
        <v>45992.0</v>
      </c>
      <c r="B762" s="155">
        <v>7871588.0</v>
      </c>
      <c r="C762" s="156" t="s">
        <v>89</v>
      </c>
      <c r="D762" s="156" t="s">
        <v>35</v>
      </c>
      <c r="E762" s="155">
        <v>5.932061509E9</v>
      </c>
      <c r="F762" s="156" t="s">
        <v>1051</v>
      </c>
      <c r="G762" s="154">
        <v>46235.0</v>
      </c>
      <c r="H762" s="157">
        <v>46238.0</v>
      </c>
      <c r="I762" s="158">
        <v>3.0</v>
      </c>
      <c r="J762" s="159" t="s">
        <v>78</v>
      </c>
      <c r="K762" s="156" t="s">
        <v>138</v>
      </c>
      <c r="L762" s="156" t="s">
        <v>80</v>
      </c>
      <c r="M762" s="202">
        <v>0.0</v>
      </c>
      <c r="N762" s="160">
        <v>0.0</v>
      </c>
      <c r="O762" s="161">
        <v>0.0</v>
      </c>
      <c r="P762" s="161">
        <v>0.0</v>
      </c>
      <c r="Q762" s="203">
        <v>0.0</v>
      </c>
      <c r="R762" s="162">
        <v>0.0</v>
      </c>
      <c r="S762" s="162">
        <v>0.0</v>
      </c>
      <c r="T762" s="162">
        <v>0.0</v>
      </c>
      <c r="U762" s="163" t="s">
        <v>1052</v>
      </c>
      <c r="V762" s="154">
        <v>45992.0</v>
      </c>
      <c r="W762" s="175"/>
      <c r="X762" s="175"/>
      <c r="Y762" s="175"/>
      <c r="Z762" s="175"/>
      <c r="AA762" s="175"/>
      <c r="AB762" s="175"/>
      <c r="AC762" s="175"/>
      <c r="AD762" s="175"/>
      <c r="AE762" s="175"/>
      <c r="AF762" s="175"/>
      <c r="AG762" s="175"/>
      <c r="AH762" s="175"/>
      <c r="AI762" s="175"/>
    </row>
    <row r="763">
      <c r="A763" s="165">
        <v>46034.0</v>
      </c>
      <c r="B763" s="166">
        <v>8022165.0</v>
      </c>
      <c r="C763" s="166" t="s">
        <v>89</v>
      </c>
      <c r="D763" s="166" t="s">
        <v>35</v>
      </c>
      <c r="E763" s="166">
        <v>6.36555178E9</v>
      </c>
      <c r="F763" s="166" t="s">
        <v>1053</v>
      </c>
      <c r="G763" s="165">
        <v>46238.0</v>
      </c>
      <c r="H763" s="167">
        <v>46242.0</v>
      </c>
      <c r="I763" s="168">
        <v>4.0</v>
      </c>
      <c r="J763" s="169" t="s">
        <v>111</v>
      </c>
      <c r="K763" s="166" t="s">
        <v>79</v>
      </c>
      <c r="L763" s="166" t="s">
        <v>80</v>
      </c>
      <c r="M763" s="205">
        <v>0.0</v>
      </c>
      <c r="N763" s="170">
        <v>0.0</v>
      </c>
      <c r="O763" s="171">
        <v>0.0</v>
      </c>
      <c r="P763" s="171">
        <v>0.0</v>
      </c>
      <c r="Q763" s="172">
        <v>0.0</v>
      </c>
      <c r="R763" s="173">
        <v>0.0</v>
      </c>
      <c r="S763" s="173">
        <v>0.0</v>
      </c>
      <c r="T763" s="173">
        <v>0.0</v>
      </c>
      <c r="U763" s="174" t="s">
        <v>1054</v>
      </c>
      <c r="V763" s="165">
        <v>46224.0</v>
      </c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</row>
    <row r="764">
      <c r="A764" s="176">
        <v>45976.0</v>
      </c>
      <c r="B764" s="177">
        <v>7810373.0</v>
      </c>
      <c r="C764" s="178" t="s">
        <v>89</v>
      </c>
      <c r="D764" s="178" t="s">
        <v>35</v>
      </c>
      <c r="E764" s="177">
        <v>5.326105075E9</v>
      </c>
      <c r="F764" s="178" t="s">
        <v>1055</v>
      </c>
      <c r="G764" s="176">
        <v>46240.0</v>
      </c>
      <c r="H764" s="179">
        <v>46245.0</v>
      </c>
      <c r="I764" s="180">
        <v>5.0</v>
      </c>
      <c r="J764" s="181" t="s">
        <v>78</v>
      </c>
      <c r="K764" s="178" t="s">
        <v>79</v>
      </c>
      <c r="L764" s="178" t="s">
        <v>80</v>
      </c>
      <c r="M764" s="177">
        <v>0.0</v>
      </c>
      <c r="N764" s="183">
        <v>0.0</v>
      </c>
      <c r="O764" s="184">
        <v>0.0</v>
      </c>
      <c r="P764" s="184">
        <v>0.0</v>
      </c>
      <c r="Q764" s="181">
        <v>0.0</v>
      </c>
      <c r="R764" s="186">
        <v>0.0</v>
      </c>
      <c r="S764" s="186">
        <v>0.0</v>
      </c>
      <c r="T764" s="186">
        <v>0.0</v>
      </c>
      <c r="U764" s="187" t="s">
        <v>1056</v>
      </c>
      <c r="V764" s="189">
        <v>46054.0</v>
      </c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</row>
    <row r="765">
      <c r="A765" s="176">
        <v>45858.0</v>
      </c>
      <c r="B765" s="177">
        <v>7304702.0</v>
      </c>
      <c r="C765" s="178" t="s">
        <v>82</v>
      </c>
      <c r="D765" s="178" t="s">
        <v>35</v>
      </c>
      <c r="E765" s="177">
        <v>5.406670989E9</v>
      </c>
      <c r="F765" s="178" t="s">
        <v>1057</v>
      </c>
      <c r="G765" s="176">
        <v>46242.0</v>
      </c>
      <c r="H765" s="179">
        <v>46244.0</v>
      </c>
      <c r="I765" s="180">
        <v>2.0</v>
      </c>
      <c r="J765" s="181" t="s">
        <v>114</v>
      </c>
      <c r="K765" s="178" t="s">
        <v>79</v>
      </c>
      <c r="L765" s="178" t="s">
        <v>80</v>
      </c>
      <c r="M765" s="182">
        <v>2.0</v>
      </c>
      <c r="N765" s="183">
        <v>0.19999999999999996</v>
      </c>
      <c r="O765" s="184">
        <v>183.43</v>
      </c>
      <c r="P765" s="184">
        <v>146.744</v>
      </c>
      <c r="Q765" s="185">
        <v>0.0</v>
      </c>
      <c r="R765" s="186">
        <v>293.488</v>
      </c>
      <c r="S765" s="186">
        <v>0.0</v>
      </c>
      <c r="T765" s="186">
        <v>753.72</v>
      </c>
      <c r="U765" s="187" t="s">
        <v>303</v>
      </c>
      <c r="V765" s="176">
        <v>45858.0</v>
      </c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</row>
    <row r="766">
      <c r="A766" s="165">
        <v>45858.0</v>
      </c>
      <c r="B766" s="166">
        <v>7304702.0</v>
      </c>
      <c r="C766" s="166" t="s">
        <v>82</v>
      </c>
      <c r="D766" s="166" t="s">
        <v>35</v>
      </c>
      <c r="E766" s="166">
        <v>5.406670989E9</v>
      </c>
      <c r="F766" s="166" t="s">
        <v>1057</v>
      </c>
      <c r="G766" s="165">
        <v>46242.0</v>
      </c>
      <c r="H766" s="167">
        <v>46244.0</v>
      </c>
      <c r="I766" s="168">
        <v>2.0</v>
      </c>
      <c r="J766" s="169" t="s">
        <v>114</v>
      </c>
      <c r="K766" s="166" t="s">
        <v>79</v>
      </c>
      <c r="L766" s="166" t="s">
        <v>80</v>
      </c>
      <c r="M766" s="205">
        <v>2.0</v>
      </c>
      <c r="N766" s="170">
        <v>0.19999999999999996</v>
      </c>
      <c r="O766" s="171">
        <v>183.43</v>
      </c>
      <c r="P766" s="171">
        <v>146.744</v>
      </c>
      <c r="Q766" s="172">
        <v>0.0</v>
      </c>
      <c r="R766" s="173">
        <v>293.488</v>
      </c>
      <c r="S766" s="173">
        <v>0.0</v>
      </c>
      <c r="T766" s="173">
        <v>753.72</v>
      </c>
      <c r="U766" s="174" t="s">
        <v>303</v>
      </c>
      <c r="V766" s="165">
        <v>45858.0</v>
      </c>
      <c r="W766" s="175"/>
      <c r="X766" s="175"/>
      <c r="Y766" s="175"/>
      <c r="Z766" s="175"/>
      <c r="AA766" s="175"/>
      <c r="AB766" s="175"/>
      <c r="AC766" s="175"/>
      <c r="AD766" s="175"/>
      <c r="AE766" s="175"/>
      <c r="AF766" s="175"/>
      <c r="AG766" s="175"/>
      <c r="AH766" s="175"/>
      <c r="AI766" s="175"/>
    </row>
    <row r="767">
      <c r="A767" s="165">
        <v>45858.0</v>
      </c>
      <c r="B767" s="166">
        <v>7304745.0</v>
      </c>
      <c r="C767" s="166" t="s">
        <v>89</v>
      </c>
      <c r="D767" s="166" t="s">
        <v>35</v>
      </c>
      <c r="E767" s="166">
        <v>6.214191999E9</v>
      </c>
      <c r="F767" s="166" t="s">
        <v>1057</v>
      </c>
      <c r="G767" s="165">
        <v>46242.0</v>
      </c>
      <c r="H767" s="167">
        <v>46244.0</v>
      </c>
      <c r="I767" s="168">
        <v>2.0</v>
      </c>
      <c r="J767" s="169" t="s">
        <v>111</v>
      </c>
      <c r="K767" s="166" t="s">
        <v>79</v>
      </c>
      <c r="L767" s="166" t="s">
        <v>80</v>
      </c>
      <c r="M767" s="166">
        <v>0.0</v>
      </c>
      <c r="N767" s="170">
        <v>0.0</v>
      </c>
      <c r="O767" s="171">
        <v>0.0</v>
      </c>
      <c r="P767" s="171">
        <v>0.0</v>
      </c>
      <c r="Q767" s="172">
        <v>0.0</v>
      </c>
      <c r="R767" s="173">
        <v>0.0</v>
      </c>
      <c r="S767" s="173">
        <v>0.0</v>
      </c>
      <c r="T767" s="173">
        <v>0.0</v>
      </c>
      <c r="U767" s="174" t="s">
        <v>1058</v>
      </c>
      <c r="V767" s="165">
        <v>45916.0</v>
      </c>
      <c r="W767" s="175"/>
      <c r="X767" s="175"/>
      <c r="Y767" s="175"/>
      <c r="Z767" s="175"/>
      <c r="AA767" s="175"/>
      <c r="AB767" s="175"/>
      <c r="AC767" s="175"/>
      <c r="AD767" s="175"/>
      <c r="AE767" s="175"/>
      <c r="AF767" s="175"/>
      <c r="AG767" s="175"/>
      <c r="AH767" s="175"/>
      <c r="AI767" s="175"/>
    </row>
    <row r="768">
      <c r="A768" s="165">
        <v>45858.0</v>
      </c>
      <c r="B768" s="166">
        <v>7304745.0</v>
      </c>
      <c r="C768" s="166" t="s">
        <v>89</v>
      </c>
      <c r="D768" s="166" t="s">
        <v>35</v>
      </c>
      <c r="E768" s="166">
        <v>6.214191999E9</v>
      </c>
      <c r="F768" s="166" t="s">
        <v>1057</v>
      </c>
      <c r="G768" s="165">
        <v>46242.0</v>
      </c>
      <c r="H768" s="167">
        <v>46244.0</v>
      </c>
      <c r="I768" s="168">
        <v>2.0</v>
      </c>
      <c r="J768" s="169" t="s">
        <v>111</v>
      </c>
      <c r="K768" s="166" t="s">
        <v>79</v>
      </c>
      <c r="L768" s="166" t="s">
        <v>80</v>
      </c>
      <c r="M768" s="166">
        <v>0.0</v>
      </c>
      <c r="N768" s="170">
        <v>0.0</v>
      </c>
      <c r="O768" s="171">
        <v>0.0</v>
      </c>
      <c r="P768" s="171">
        <v>0.0</v>
      </c>
      <c r="Q768" s="172">
        <v>0.0</v>
      </c>
      <c r="R768" s="173">
        <v>0.0</v>
      </c>
      <c r="S768" s="173">
        <v>0.0</v>
      </c>
      <c r="T768" s="173">
        <v>0.0</v>
      </c>
      <c r="U768" s="174" t="s">
        <v>1058</v>
      </c>
      <c r="V768" s="165">
        <v>45916.0</v>
      </c>
      <c r="W768" s="175"/>
      <c r="X768" s="175"/>
      <c r="Y768" s="175"/>
      <c r="Z768" s="175"/>
      <c r="AA768" s="175"/>
      <c r="AB768" s="175"/>
      <c r="AC768" s="175"/>
      <c r="AD768" s="175"/>
      <c r="AE768" s="175"/>
      <c r="AF768" s="175"/>
      <c r="AG768" s="175"/>
      <c r="AH768" s="175"/>
      <c r="AI768" s="175"/>
    </row>
    <row r="769">
      <c r="A769" s="154">
        <v>45977.0</v>
      </c>
      <c r="B769" s="155">
        <v>7812743.0</v>
      </c>
      <c r="C769" s="156" t="s">
        <v>89</v>
      </c>
      <c r="D769" s="156" t="s">
        <v>35</v>
      </c>
      <c r="E769" s="155">
        <v>5.524392261E9</v>
      </c>
      <c r="F769" s="156" t="s">
        <v>1059</v>
      </c>
      <c r="G769" s="154">
        <v>46242.0</v>
      </c>
      <c r="H769" s="157">
        <v>46245.0</v>
      </c>
      <c r="I769" s="158">
        <v>3.0</v>
      </c>
      <c r="J769" s="159" t="s">
        <v>78</v>
      </c>
      <c r="K769" s="156" t="s">
        <v>79</v>
      </c>
      <c r="L769" s="156" t="s">
        <v>80</v>
      </c>
      <c r="M769" s="155">
        <v>0.0</v>
      </c>
      <c r="N769" s="160">
        <v>0.0</v>
      </c>
      <c r="O769" s="161">
        <v>0.0</v>
      </c>
      <c r="P769" s="161">
        <v>0.0</v>
      </c>
      <c r="Q769" s="203">
        <v>0.0</v>
      </c>
      <c r="R769" s="162">
        <v>0.0</v>
      </c>
      <c r="S769" s="162">
        <v>0.0</v>
      </c>
      <c r="T769" s="162">
        <v>0.0</v>
      </c>
      <c r="U769" s="163" t="s">
        <v>1060</v>
      </c>
      <c r="V769" s="154">
        <v>46071.0</v>
      </c>
      <c r="W769" s="175"/>
      <c r="X769" s="175"/>
      <c r="Y769" s="175"/>
      <c r="Z769" s="175"/>
      <c r="AA769" s="175"/>
      <c r="AB769" s="175"/>
      <c r="AC769" s="175"/>
      <c r="AD769" s="175"/>
      <c r="AE769" s="175"/>
      <c r="AF769" s="175"/>
      <c r="AG769" s="175"/>
      <c r="AH769" s="175"/>
      <c r="AI769" s="175"/>
    </row>
    <row r="770">
      <c r="A770" s="154">
        <v>45878.0</v>
      </c>
      <c r="B770" s="155">
        <v>7398675.0</v>
      </c>
      <c r="C770" s="156" t="s">
        <v>82</v>
      </c>
      <c r="D770" s="156" t="s">
        <v>1061</v>
      </c>
      <c r="E770" s="155">
        <v>2.264438466E9</v>
      </c>
      <c r="F770" s="156" t="s">
        <v>1062</v>
      </c>
      <c r="G770" s="154">
        <v>46246.0</v>
      </c>
      <c r="H770" s="157">
        <v>46251.0</v>
      </c>
      <c r="I770" s="158">
        <v>5.0</v>
      </c>
      <c r="J770" s="159" t="s">
        <v>78</v>
      </c>
      <c r="K770" s="156" t="s">
        <v>79</v>
      </c>
      <c r="L770" s="156" t="s">
        <v>103</v>
      </c>
      <c r="M770" s="202">
        <v>1.0</v>
      </c>
      <c r="N770" s="160">
        <v>0.0</v>
      </c>
      <c r="O770" s="161">
        <v>185.0</v>
      </c>
      <c r="P770" s="161">
        <v>148.0</v>
      </c>
      <c r="Q770" s="203">
        <v>0.0</v>
      </c>
      <c r="R770" s="162">
        <v>740.0</v>
      </c>
      <c r="S770" s="162">
        <v>0.0</v>
      </c>
      <c r="T770" s="162">
        <v>925.0</v>
      </c>
      <c r="U770" s="163" t="s">
        <v>164</v>
      </c>
      <c r="V770" s="154">
        <v>45878.0</v>
      </c>
      <c r="W770" s="175"/>
      <c r="X770" s="175"/>
      <c r="Y770" s="175"/>
      <c r="Z770" s="175"/>
      <c r="AA770" s="175"/>
      <c r="AB770" s="175"/>
      <c r="AC770" s="175"/>
      <c r="AD770" s="175"/>
      <c r="AE770" s="175"/>
      <c r="AF770" s="175"/>
      <c r="AG770" s="175"/>
      <c r="AH770" s="175"/>
      <c r="AI770" s="175"/>
    </row>
    <row r="771">
      <c r="A771" s="154">
        <v>45878.0</v>
      </c>
      <c r="B771" s="155">
        <v>7398677.0</v>
      </c>
      <c r="C771" s="156" t="s">
        <v>82</v>
      </c>
      <c r="D771" s="156" t="s">
        <v>1061</v>
      </c>
      <c r="E771" s="155">
        <v>2.264438462E9</v>
      </c>
      <c r="F771" s="156" t="s">
        <v>1062</v>
      </c>
      <c r="G771" s="154">
        <v>46246.0</v>
      </c>
      <c r="H771" s="157">
        <v>46251.0</v>
      </c>
      <c r="I771" s="158">
        <v>5.0</v>
      </c>
      <c r="J771" s="159" t="s">
        <v>78</v>
      </c>
      <c r="K771" s="156" t="s">
        <v>79</v>
      </c>
      <c r="L771" s="156" t="s">
        <v>103</v>
      </c>
      <c r="M771" s="155">
        <v>1.0</v>
      </c>
      <c r="N771" s="160">
        <v>0.0</v>
      </c>
      <c r="O771" s="161">
        <v>185.0</v>
      </c>
      <c r="P771" s="161">
        <v>148.0</v>
      </c>
      <c r="Q771" s="203">
        <v>0.0</v>
      </c>
      <c r="R771" s="162">
        <v>740.0</v>
      </c>
      <c r="S771" s="162">
        <v>0.0</v>
      </c>
      <c r="T771" s="162">
        <v>925.0</v>
      </c>
      <c r="U771" s="163" t="s">
        <v>164</v>
      </c>
      <c r="V771" s="216">
        <v>45878.0</v>
      </c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</row>
    <row r="772">
      <c r="A772" s="154">
        <v>45878.0</v>
      </c>
      <c r="B772" s="155">
        <v>7398678.0</v>
      </c>
      <c r="C772" s="156" t="s">
        <v>82</v>
      </c>
      <c r="D772" s="156" t="s">
        <v>1061</v>
      </c>
      <c r="E772" s="155">
        <v>2.264438469E9</v>
      </c>
      <c r="F772" s="156" t="s">
        <v>1062</v>
      </c>
      <c r="G772" s="154">
        <v>46246.0</v>
      </c>
      <c r="H772" s="157">
        <v>46251.0</v>
      </c>
      <c r="I772" s="158">
        <v>5.0</v>
      </c>
      <c r="J772" s="159" t="s">
        <v>78</v>
      </c>
      <c r="K772" s="156" t="s">
        <v>79</v>
      </c>
      <c r="L772" s="156" t="s">
        <v>103</v>
      </c>
      <c r="M772" s="155">
        <v>1.0</v>
      </c>
      <c r="N772" s="160">
        <v>0.0</v>
      </c>
      <c r="O772" s="161">
        <v>185.0</v>
      </c>
      <c r="P772" s="161">
        <v>148.0</v>
      </c>
      <c r="Q772" s="203">
        <v>0.0</v>
      </c>
      <c r="R772" s="162">
        <v>740.0</v>
      </c>
      <c r="S772" s="162">
        <v>0.0</v>
      </c>
      <c r="T772" s="162">
        <v>925.0</v>
      </c>
      <c r="U772" s="163" t="s">
        <v>164</v>
      </c>
      <c r="V772" s="154">
        <v>45878.0</v>
      </c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</row>
    <row r="773">
      <c r="A773" s="176">
        <v>45878.0</v>
      </c>
      <c r="B773" s="177">
        <v>7398680.0</v>
      </c>
      <c r="C773" s="178" t="s">
        <v>82</v>
      </c>
      <c r="D773" s="178" t="s">
        <v>1061</v>
      </c>
      <c r="E773" s="177">
        <v>2.264438459E9</v>
      </c>
      <c r="F773" s="178" t="s">
        <v>1062</v>
      </c>
      <c r="G773" s="176">
        <v>46246.0</v>
      </c>
      <c r="H773" s="179">
        <v>46251.0</v>
      </c>
      <c r="I773" s="180">
        <v>5.0</v>
      </c>
      <c r="J773" s="181" t="s">
        <v>78</v>
      </c>
      <c r="K773" s="178" t="s">
        <v>79</v>
      </c>
      <c r="L773" s="178" t="s">
        <v>103</v>
      </c>
      <c r="M773" s="182">
        <v>1.0</v>
      </c>
      <c r="N773" s="183">
        <v>0.0</v>
      </c>
      <c r="O773" s="184">
        <v>185.0</v>
      </c>
      <c r="P773" s="184">
        <v>148.0</v>
      </c>
      <c r="Q773" s="185">
        <v>0.0</v>
      </c>
      <c r="R773" s="186">
        <v>740.0</v>
      </c>
      <c r="S773" s="186">
        <v>0.0</v>
      </c>
      <c r="T773" s="186">
        <v>925.0</v>
      </c>
      <c r="U773" s="187" t="s">
        <v>164</v>
      </c>
      <c r="V773" s="176">
        <v>45878.0</v>
      </c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</row>
    <row r="774">
      <c r="A774" s="176">
        <v>45878.0</v>
      </c>
      <c r="B774" s="177">
        <v>7398679.0</v>
      </c>
      <c r="C774" s="178" t="s">
        <v>82</v>
      </c>
      <c r="D774" s="178" t="s">
        <v>1061</v>
      </c>
      <c r="E774" s="177">
        <v>2.264438463E9</v>
      </c>
      <c r="F774" s="178" t="s">
        <v>1062</v>
      </c>
      <c r="G774" s="176">
        <v>46246.0</v>
      </c>
      <c r="H774" s="179">
        <v>46251.0</v>
      </c>
      <c r="I774" s="180">
        <v>5.0</v>
      </c>
      <c r="J774" s="181" t="s">
        <v>78</v>
      </c>
      <c r="K774" s="178" t="s">
        <v>79</v>
      </c>
      <c r="L774" s="178" t="s">
        <v>103</v>
      </c>
      <c r="M774" s="182">
        <v>1.0</v>
      </c>
      <c r="N774" s="183">
        <v>0.0</v>
      </c>
      <c r="O774" s="184">
        <v>185.0</v>
      </c>
      <c r="P774" s="184">
        <v>148.0</v>
      </c>
      <c r="Q774" s="185">
        <v>0.0</v>
      </c>
      <c r="R774" s="186">
        <v>740.0</v>
      </c>
      <c r="S774" s="186">
        <v>0.0</v>
      </c>
      <c r="T774" s="186">
        <v>925.0</v>
      </c>
      <c r="U774" s="187" t="s">
        <v>164</v>
      </c>
      <c r="V774" s="189">
        <v>45878.0</v>
      </c>
      <c r="W774" s="175"/>
      <c r="X774" s="175"/>
      <c r="Y774" s="175"/>
      <c r="Z774" s="175"/>
      <c r="AA774" s="175"/>
      <c r="AB774" s="175"/>
      <c r="AC774" s="175"/>
      <c r="AD774" s="175"/>
      <c r="AE774" s="175"/>
      <c r="AF774" s="175"/>
      <c r="AG774" s="175"/>
      <c r="AH774" s="175"/>
      <c r="AI774" s="175"/>
    </row>
    <row r="775">
      <c r="A775" s="154">
        <v>45958.0</v>
      </c>
      <c r="B775" s="155">
        <v>7739326.0</v>
      </c>
      <c r="C775" s="156" t="s">
        <v>82</v>
      </c>
      <c r="D775" s="156" t="s">
        <v>35</v>
      </c>
      <c r="E775" s="155">
        <v>6.246141196E9</v>
      </c>
      <c r="F775" s="156" t="s">
        <v>1063</v>
      </c>
      <c r="G775" s="154">
        <v>46248.0</v>
      </c>
      <c r="H775" s="157">
        <v>46251.0</v>
      </c>
      <c r="I775" s="158">
        <v>3.0</v>
      </c>
      <c r="J775" s="159" t="s">
        <v>87</v>
      </c>
      <c r="K775" s="156" t="s">
        <v>79</v>
      </c>
      <c r="L775" s="156" t="s">
        <v>80</v>
      </c>
      <c r="M775" s="155">
        <v>2.0</v>
      </c>
      <c r="N775" s="160">
        <v>0.19999999999999996</v>
      </c>
      <c r="O775" s="161">
        <v>85.37</v>
      </c>
      <c r="P775" s="161">
        <v>68.296</v>
      </c>
      <c r="Q775" s="159">
        <v>0.0</v>
      </c>
      <c r="R775" s="162">
        <v>204.88800000000003</v>
      </c>
      <c r="S775" s="162">
        <v>0.0</v>
      </c>
      <c r="T775" s="162">
        <v>271.11</v>
      </c>
      <c r="U775" s="163" t="s">
        <v>107</v>
      </c>
      <c r="V775" s="154">
        <v>45958.0</v>
      </c>
      <c r="W775" s="175"/>
      <c r="X775" s="175"/>
      <c r="Y775" s="175"/>
      <c r="Z775" s="175"/>
      <c r="AA775" s="175"/>
      <c r="AB775" s="175"/>
      <c r="AC775" s="175"/>
      <c r="AD775" s="175"/>
      <c r="AE775" s="175"/>
      <c r="AF775" s="175"/>
      <c r="AG775" s="175"/>
      <c r="AH775" s="175"/>
      <c r="AI775" s="175"/>
    </row>
    <row r="776">
      <c r="A776" s="165">
        <v>45986.0</v>
      </c>
      <c r="B776" s="166">
        <v>7848333.0</v>
      </c>
      <c r="C776" s="166" t="s">
        <v>89</v>
      </c>
      <c r="D776" s="166" t="s">
        <v>35</v>
      </c>
      <c r="E776" s="166">
        <v>5.138871161E9</v>
      </c>
      <c r="F776" s="166" t="s">
        <v>1064</v>
      </c>
      <c r="G776" s="165">
        <v>46251.0</v>
      </c>
      <c r="H776" s="167">
        <v>46254.0</v>
      </c>
      <c r="I776" s="168">
        <v>3.0</v>
      </c>
      <c r="J776" s="169" t="s">
        <v>78</v>
      </c>
      <c r="K776" s="166" t="s">
        <v>79</v>
      </c>
      <c r="L776" s="166" t="s">
        <v>80</v>
      </c>
      <c r="M776" s="166">
        <v>0.0</v>
      </c>
      <c r="N776" s="170">
        <v>0.0</v>
      </c>
      <c r="O776" s="171">
        <v>0.0</v>
      </c>
      <c r="P776" s="171">
        <v>0.0</v>
      </c>
      <c r="Q776" s="172">
        <v>0.0</v>
      </c>
      <c r="R776" s="173">
        <v>0.0</v>
      </c>
      <c r="S776" s="173">
        <v>0.0</v>
      </c>
      <c r="T776" s="173">
        <v>0.0</v>
      </c>
      <c r="U776" s="174" t="s">
        <v>1065</v>
      </c>
      <c r="V776" s="165">
        <v>46025.0</v>
      </c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  <c r="AG776" s="164"/>
      <c r="AH776" s="164"/>
      <c r="AI776" s="164"/>
    </row>
    <row r="777">
      <c r="A777" s="154">
        <v>45939.0</v>
      </c>
      <c r="B777" s="155">
        <v>7662949.0</v>
      </c>
      <c r="C777" s="156" t="s">
        <v>89</v>
      </c>
      <c r="D777" s="156" t="s">
        <v>35</v>
      </c>
      <c r="E777" s="155">
        <v>6.76166474E9</v>
      </c>
      <c r="F777" s="156" t="s">
        <v>1066</v>
      </c>
      <c r="G777" s="154">
        <v>46255.0</v>
      </c>
      <c r="H777" s="157">
        <v>46259.0</v>
      </c>
      <c r="I777" s="158">
        <v>4.0</v>
      </c>
      <c r="J777" s="159" t="s">
        <v>111</v>
      </c>
      <c r="K777" s="156" t="s">
        <v>138</v>
      </c>
      <c r="L777" s="156" t="s">
        <v>80</v>
      </c>
      <c r="M777" s="155">
        <v>0.0</v>
      </c>
      <c r="N777" s="160">
        <v>0.0</v>
      </c>
      <c r="O777" s="161">
        <v>0.0</v>
      </c>
      <c r="P777" s="161">
        <v>0.0</v>
      </c>
      <c r="Q777" s="159">
        <v>0.0</v>
      </c>
      <c r="R777" s="162">
        <v>0.0</v>
      </c>
      <c r="S777" s="162">
        <v>0.0</v>
      </c>
      <c r="T777" s="162">
        <v>0.0</v>
      </c>
      <c r="U777" s="163" t="s">
        <v>1067</v>
      </c>
      <c r="V777" s="154">
        <v>45946.0</v>
      </c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64"/>
    </row>
    <row r="778">
      <c r="A778" s="165">
        <v>45987.0</v>
      </c>
      <c r="B778" s="166">
        <v>7852171.0</v>
      </c>
      <c r="C778" s="166" t="s">
        <v>82</v>
      </c>
      <c r="D778" s="166" t="s">
        <v>35</v>
      </c>
      <c r="E778" s="166">
        <v>6.392299872E9</v>
      </c>
      <c r="F778" s="166" t="s">
        <v>1068</v>
      </c>
      <c r="G778" s="165">
        <v>46255.0</v>
      </c>
      <c r="H778" s="167">
        <v>46259.0</v>
      </c>
      <c r="I778" s="168">
        <v>4.0</v>
      </c>
      <c r="J778" s="169" t="s">
        <v>78</v>
      </c>
      <c r="K778" s="166" t="s">
        <v>79</v>
      </c>
      <c r="L778" s="166" t="s">
        <v>80</v>
      </c>
      <c r="M778" s="166">
        <v>2.0</v>
      </c>
      <c r="N778" s="169">
        <v>0.19999999999999996</v>
      </c>
      <c r="O778" s="171">
        <v>94.4</v>
      </c>
      <c r="P778" s="171">
        <v>75.52000000000001</v>
      </c>
      <c r="Q778" s="169">
        <v>0.0</v>
      </c>
      <c r="R778" s="173">
        <v>302.08000000000004</v>
      </c>
      <c r="S778" s="173">
        <v>0.0</v>
      </c>
      <c r="T778" s="173">
        <v>397.6</v>
      </c>
      <c r="U778" s="174" t="s">
        <v>353</v>
      </c>
      <c r="V778" s="165">
        <v>45987.0</v>
      </c>
      <c r="W778" s="175"/>
      <c r="X778" s="175"/>
      <c r="Y778" s="175"/>
      <c r="Z778" s="175"/>
      <c r="AA778" s="175"/>
      <c r="AB778" s="175"/>
      <c r="AC778" s="175"/>
      <c r="AD778" s="175"/>
      <c r="AE778" s="175"/>
      <c r="AF778" s="175"/>
      <c r="AG778" s="175"/>
      <c r="AH778" s="175"/>
      <c r="AI778" s="175"/>
    </row>
    <row r="779">
      <c r="A779" s="154">
        <v>46024.0</v>
      </c>
      <c r="B779" s="155">
        <v>7981242.0</v>
      </c>
      <c r="C779" s="156" t="s">
        <v>82</v>
      </c>
      <c r="D779" s="156" t="s">
        <v>35</v>
      </c>
      <c r="E779" s="155">
        <v>5.813600821E9</v>
      </c>
      <c r="F779" s="156" t="s">
        <v>1069</v>
      </c>
      <c r="G779" s="154">
        <v>46255.0</v>
      </c>
      <c r="H779" s="157">
        <v>46257.0</v>
      </c>
      <c r="I779" s="158">
        <v>2.0</v>
      </c>
      <c r="J779" s="159" t="s">
        <v>78</v>
      </c>
      <c r="K779" s="156" t="s">
        <v>79</v>
      </c>
      <c r="L779" s="156" t="s">
        <v>80</v>
      </c>
      <c r="M779" s="155">
        <v>2.0</v>
      </c>
      <c r="N779" s="160">
        <v>0.19999999999999996</v>
      </c>
      <c r="O779" s="161">
        <v>119.46</v>
      </c>
      <c r="P779" s="161">
        <v>95.568</v>
      </c>
      <c r="Q779" s="203">
        <v>0.0</v>
      </c>
      <c r="R779" s="162">
        <v>191.136</v>
      </c>
      <c r="S779" s="162">
        <v>0.0</v>
      </c>
      <c r="T779" s="162">
        <v>248.92</v>
      </c>
      <c r="U779" s="163" t="s">
        <v>107</v>
      </c>
      <c r="V779" s="154">
        <v>46024.0</v>
      </c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  <c r="AG779" s="164"/>
      <c r="AH779" s="164"/>
      <c r="AI779" s="164"/>
    </row>
    <row r="780">
      <c r="A780" s="165">
        <v>45971.0</v>
      </c>
      <c r="B780" s="166">
        <v>7790753.0</v>
      </c>
      <c r="C780" s="166" t="s">
        <v>89</v>
      </c>
      <c r="D780" s="166" t="s">
        <v>35</v>
      </c>
      <c r="E780" s="166">
        <v>6.317058628E9</v>
      </c>
      <c r="F780" s="166" t="s">
        <v>1070</v>
      </c>
      <c r="G780" s="165">
        <v>46257.0</v>
      </c>
      <c r="H780" s="167">
        <v>46265.0</v>
      </c>
      <c r="I780" s="168">
        <v>8.0</v>
      </c>
      <c r="J780" s="169" t="s">
        <v>78</v>
      </c>
      <c r="K780" s="166" t="s">
        <v>79</v>
      </c>
      <c r="L780" s="166" t="s">
        <v>80</v>
      </c>
      <c r="M780" s="205">
        <v>0.0</v>
      </c>
      <c r="N780" s="170">
        <v>0.0</v>
      </c>
      <c r="O780" s="171">
        <v>0.0</v>
      </c>
      <c r="P780" s="171">
        <v>0.0</v>
      </c>
      <c r="Q780" s="172">
        <v>0.0</v>
      </c>
      <c r="R780" s="173">
        <v>0.0</v>
      </c>
      <c r="S780" s="173">
        <v>0.0</v>
      </c>
      <c r="T780" s="173">
        <v>0.0</v>
      </c>
      <c r="U780" s="174" t="s">
        <v>1071</v>
      </c>
      <c r="V780" s="165">
        <v>46061.0</v>
      </c>
      <c r="W780" s="175"/>
      <c r="X780" s="175"/>
      <c r="Y780" s="175"/>
      <c r="Z780" s="175"/>
      <c r="AA780" s="175"/>
      <c r="AB780" s="175"/>
      <c r="AC780" s="175"/>
      <c r="AD780" s="175"/>
      <c r="AE780" s="175"/>
      <c r="AF780" s="175"/>
      <c r="AG780" s="175"/>
      <c r="AH780" s="175"/>
      <c r="AI780" s="175"/>
    </row>
    <row r="781">
      <c r="A781" s="154">
        <v>45991.0</v>
      </c>
      <c r="B781" s="155">
        <v>7868252.0</v>
      </c>
      <c r="C781" s="156" t="s">
        <v>82</v>
      </c>
      <c r="D781" s="156" t="s">
        <v>35</v>
      </c>
      <c r="E781" s="155">
        <v>5.659938403E9</v>
      </c>
      <c r="F781" s="156" t="s">
        <v>1072</v>
      </c>
      <c r="G781" s="154">
        <v>46258.0</v>
      </c>
      <c r="H781" s="157">
        <v>46261.0</v>
      </c>
      <c r="I781" s="158">
        <v>3.0</v>
      </c>
      <c r="J781" s="159" t="s">
        <v>78</v>
      </c>
      <c r="K781" s="156" t="s">
        <v>79</v>
      </c>
      <c r="L781" s="156" t="s">
        <v>80</v>
      </c>
      <c r="M781" s="155">
        <v>2.0</v>
      </c>
      <c r="N781" s="160">
        <v>0.19999999999999996</v>
      </c>
      <c r="O781" s="161">
        <v>99.39999999999999</v>
      </c>
      <c r="P781" s="161">
        <v>79.52</v>
      </c>
      <c r="Q781" s="203">
        <v>0.0</v>
      </c>
      <c r="R781" s="162">
        <v>238.56</v>
      </c>
      <c r="S781" s="162">
        <v>0.0</v>
      </c>
      <c r="T781" s="162">
        <v>298.2</v>
      </c>
      <c r="U781" s="163" t="s">
        <v>353</v>
      </c>
      <c r="V781" s="154">
        <v>45991.0</v>
      </c>
      <c r="W781" s="175"/>
      <c r="X781" s="175"/>
      <c r="Y781" s="175"/>
      <c r="Z781" s="175"/>
      <c r="AA781" s="175"/>
      <c r="AB781" s="175"/>
      <c r="AC781" s="175"/>
      <c r="AD781" s="175"/>
      <c r="AE781" s="175"/>
      <c r="AF781" s="175"/>
      <c r="AG781" s="175"/>
      <c r="AH781" s="175"/>
      <c r="AI781" s="175"/>
    </row>
    <row r="782">
      <c r="A782" s="165">
        <v>45991.0</v>
      </c>
      <c r="B782" s="166">
        <v>7868401.0</v>
      </c>
      <c r="C782" s="166" t="s">
        <v>89</v>
      </c>
      <c r="D782" s="166" t="s">
        <v>35</v>
      </c>
      <c r="E782" s="166">
        <v>6.808919827E9</v>
      </c>
      <c r="F782" s="166" t="s">
        <v>1073</v>
      </c>
      <c r="G782" s="165">
        <v>46258.0</v>
      </c>
      <c r="H782" s="167">
        <v>46260.0</v>
      </c>
      <c r="I782" s="168">
        <v>2.0</v>
      </c>
      <c r="J782" s="169" t="s">
        <v>78</v>
      </c>
      <c r="K782" s="166" t="s">
        <v>79</v>
      </c>
      <c r="L782" s="166" t="s">
        <v>80</v>
      </c>
      <c r="M782" s="166">
        <v>0.0</v>
      </c>
      <c r="N782" s="169">
        <v>0.0</v>
      </c>
      <c r="O782" s="171">
        <v>0.0</v>
      </c>
      <c r="P782" s="171">
        <v>0.0</v>
      </c>
      <c r="Q782" s="169">
        <v>0.0</v>
      </c>
      <c r="R782" s="173">
        <v>0.0</v>
      </c>
      <c r="S782" s="173">
        <v>0.0</v>
      </c>
      <c r="T782" s="173">
        <v>0.0</v>
      </c>
      <c r="U782" s="201" t="s">
        <v>1074</v>
      </c>
      <c r="V782" s="165">
        <v>46215.0</v>
      </c>
      <c r="W782" s="175"/>
      <c r="X782" s="175"/>
      <c r="Y782" s="175"/>
      <c r="Z782" s="175"/>
      <c r="AA782" s="175"/>
      <c r="AB782" s="175"/>
      <c r="AC782" s="175"/>
      <c r="AD782" s="175"/>
      <c r="AE782" s="175"/>
      <c r="AF782" s="175"/>
      <c r="AG782" s="175"/>
      <c r="AH782" s="175"/>
      <c r="AI782" s="175"/>
    </row>
    <row r="783">
      <c r="A783" s="176">
        <v>45991.0</v>
      </c>
      <c r="B783" s="177">
        <v>7868597.0</v>
      </c>
      <c r="C783" s="178" t="s">
        <v>89</v>
      </c>
      <c r="D783" s="178" t="s">
        <v>35</v>
      </c>
      <c r="E783" s="177">
        <v>6.247222966E9</v>
      </c>
      <c r="F783" s="178" t="s">
        <v>1072</v>
      </c>
      <c r="G783" s="176">
        <v>46258.0</v>
      </c>
      <c r="H783" s="179">
        <v>46259.0</v>
      </c>
      <c r="I783" s="180">
        <v>1.0</v>
      </c>
      <c r="J783" s="181" t="s">
        <v>78</v>
      </c>
      <c r="K783" s="178" t="s">
        <v>79</v>
      </c>
      <c r="L783" s="178" t="s">
        <v>80</v>
      </c>
      <c r="M783" s="182">
        <v>0.0</v>
      </c>
      <c r="N783" s="183">
        <v>0.0</v>
      </c>
      <c r="O783" s="184">
        <v>0.0</v>
      </c>
      <c r="P783" s="184">
        <v>0.0</v>
      </c>
      <c r="Q783" s="185">
        <v>0.0</v>
      </c>
      <c r="R783" s="186">
        <v>0.0</v>
      </c>
      <c r="S783" s="186">
        <v>0.0</v>
      </c>
      <c r="T783" s="186">
        <v>0.0</v>
      </c>
      <c r="U783" s="187" t="s">
        <v>1074</v>
      </c>
      <c r="V783" s="176">
        <v>46046.0</v>
      </c>
      <c r="W783" s="175"/>
      <c r="X783" s="175"/>
      <c r="Y783" s="175"/>
      <c r="Z783" s="175"/>
      <c r="AA783" s="175"/>
      <c r="AB783" s="175"/>
      <c r="AC783" s="175"/>
      <c r="AD783" s="175"/>
      <c r="AE783" s="175"/>
      <c r="AF783" s="175"/>
      <c r="AG783" s="175"/>
      <c r="AH783" s="175"/>
      <c r="AI783" s="175"/>
    </row>
    <row r="784">
      <c r="A784" s="176">
        <v>45994.0</v>
      </c>
      <c r="B784" s="177">
        <v>7879577.0</v>
      </c>
      <c r="C784" s="178" t="s">
        <v>82</v>
      </c>
      <c r="D784" s="178" t="s">
        <v>35</v>
      </c>
      <c r="E784" s="177">
        <v>5.66857201E9</v>
      </c>
      <c r="F784" s="178" t="s">
        <v>1075</v>
      </c>
      <c r="G784" s="176">
        <v>46259.0</v>
      </c>
      <c r="H784" s="179">
        <v>46260.0</v>
      </c>
      <c r="I784" s="180">
        <v>1.0</v>
      </c>
      <c r="J784" s="181" t="s">
        <v>78</v>
      </c>
      <c r="K784" s="178" t="s">
        <v>79</v>
      </c>
      <c r="L784" s="178" t="s">
        <v>80</v>
      </c>
      <c r="M784" s="182">
        <v>1.0</v>
      </c>
      <c r="N784" s="183">
        <v>0.19999999999999996</v>
      </c>
      <c r="O784" s="184">
        <v>113.6</v>
      </c>
      <c r="P784" s="184">
        <v>90.88</v>
      </c>
      <c r="Q784" s="181">
        <v>0.0</v>
      </c>
      <c r="R784" s="186">
        <v>90.88</v>
      </c>
      <c r="S784" s="186">
        <v>0.0</v>
      </c>
      <c r="T784" s="186">
        <v>215.5</v>
      </c>
      <c r="U784" s="187" t="s">
        <v>353</v>
      </c>
      <c r="V784" s="176">
        <v>45994.0</v>
      </c>
      <c r="W784" s="164"/>
      <c r="X784" s="164"/>
      <c r="Y784" s="164"/>
      <c r="Z784" s="164"/>
      <c r="AA784" s="164"/>
      <c r="AB784" s="164"/>
      <c r="AC784" s="164"/>
      <c r="AD784" s="164"/>
      <c r="AE784" s="164"/>
      <c r="AF784" s="164"/>
      <c r="AG784" s="164"/>
      <c r="AH784" s="164"/>
      <c r="AI784" s="164"/>
    </row>
    <row r="785">
      <c r="A785" s="165">
        <v>45994.0</v>
      </c>
      <c r="B785" s="166">
        <v>7879577.0</v>
      </c>
      <c r="C785" s="166" t="s">
        <v>82</v>
      </c>
      <c r="D785" s="166" t="s">
        <v>35</v>
      </c>
      <c r="E785" s="166">
        <v>5.66857201E9</v>
      </c>
      <c r="F785" s="166" t="s">
        <v>1075</v>
      </c>
      <c r="G785" s="165">
        <v>46259.0</v>
      </c>
      <c r="H785" s="167">
        <v>46260.0</v>
      </c>
      <c r="I785" s="168">
        <v>1.0</v>
      </c>
      <c r="J785" s="169" t="s">
        <v>87</v>
      </c>
      <c r="K785" s="166" t="s">
        <v>79</v>
      </c>
      <c r="L785" s="166" t="s">
        <v>80</v>
      </c>
      <c r="M785" s="205">
        <v>2.0</v>
      </c>
      <c r="N785" s="170">
        <v>0.19999999999999996</v>
      </c>
      <c r="O785" s="171">
        <v>94.4</v>
      </c>
      <c r="P785" s="171">
        <v>75.52000000000001</v>
      </c>
      <c r="Q785" s="172">
        <v>0.0</v>
      </c>
      <c r="R785" s="173">
        <v>75.52000000000001</v>
      </c>
      <c r="S785" s="173">
        <v>0.0</v>
      </c>
      <c r="T785" s="173">
        <v>215.5</v>
      </c>
      <c r="U785" s="174" t="s">
        <v>353</v>
      </c>
      <c r="V785" s="165">
        <v>45994.0</v>
      </c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</row>
    <row r="786">
      <c r="A786" s="165">
        <v>45986.0</v>
      </c>
      <c r="B786" s="166">
        <v>7847687.0</v>
      </c>
      <c r="C786" s="166" t="s">
        <v>89</v>
      </c>
      <c r="D786" s="166" t="s">
        <v>35</v>
      </c>
      <c r="E786" s="166">
        <v>6.711101574E9</v>
      </c>
      <c r="F786" s="166" t="s">
        <v>1076</v>
      </c>
      <c r="G786" s="165">
        <v>46262.0</v>
      </c>
      <c r="H786" s="167">
        <v>46264.0</v>
      </c>
      <c r="I786" s="168">
        <v>2.0</v>
      </c>
      <c r="J786" s="169" t="s">
        <v>78</v>
      </c>
      <c r="K786" s="166" t="s">
        <v>79</v>
      </c>
      <c r="L786" s="166" t="s">
        <v>80</v>
      </c>
      <c r="M786" s="205">
        <v>0.0</v>
      </c>
      <c r="N786" s="170">
        <v>0.0</v>
      </c>
      <c r="O786" s="171">
        <v>0.0</v>
      </c>
      <c r="P786" s="171">
        <v>0.0</v>
      </c>
      <c r="Q786" s="172">
        <v>0.0</v>
      </c>
      <c r="R786" s="173">
        <v>0.0</v>
      </c>
      <c r="S786" s="173">
        <v>0.0</v>
      </c>
      <c r="T786" s="173">
        <v>0.0</v>
      </c>
      <c r="U786" s="174" t="s">
        <v>1065</v>
      </c>
      <c r="V786" s="165">
        <v>45996.0</v>
      </c>
      <c r="W786" s="164"/>
      <c r="X786" s="164"/>
      <c r="Y786" s="164"/>
      <c r="Z786" s="164"/>
      <c r="AA786" s="164"/>
      <c r="AB786" s="164"/>
      <c r="AC786" s="164"/>
      <c r="AD786" s="164"/>
      <c r="AE786" s="164"/>
      <c r="AF786" s="164"/>
      <c r="AG786" s="164"/>
      <c r="AH786" s="164"/>
      <c r="AI786" s="164"/>
    </row>
    <row r="787">
      <c r="A787" s="176">
        <v>45880.0</v>
      </c>
      <c r="B787" s="177">
        <v>7407954.0</v>
      </c>
      <c r="C787" s="178" t="s">
        <v>82</v>
      </c>
      <c r="D787" s="178" t="s">
        <v>36</v>
      </c>
      <c r="E787" s="177">
        <v>7407954.0</v>
      </c>
      <c r="F787" s="178" t="s">
        <v>1077</v>
      </c>
      <c r="G787" s="176">
        <v>46263.0</v>
      </c>
      <c r="H787" s="179">
        <v>46264.0</v>
      </c>
      <c r="I787" s="180">
        <v>1.0</v>
      </c>
      <c r="J787" s="181" t="s">
        <v>114</v>
      </c>
      <c r="K787" s="178" t="s">
        <v>79</v>
      </c>
      <c r="L787" s="178" t="s">
        <v>96</v>
      </c>
      <c r="M787" s="182">
        <v>2.0</v>
      </c>
      <c r="N787" s="183">
        <v>0.0</v>
      </c>
      <c r="O787" s="184">
        <v>158.4</v>
      </c>
      <c r="P787" s="184">
        <v>156.816</v>
      </c>
      <c r="Q787" s="185">
        <v>0.0</v>
      </c>
      <c r="R787" s="186">
        <v>156.816</v>
      </c>
      <c r="S787" s="186">
        <v>0.0</v>
      </c>
      <c r="T787" s="186">
        <v>163.4</v>
      </c>
      <c r="U787" s="187" t="s">
        <v>97</v>
      </c>
      <c r="V787" s="176">
        <v>45880.0</v>
      </c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</row>
    <row r="788">
      <c r="A788" s="165">
        <v>46074.0</v>
      </c>
      <c r="B788" s="166">
        <v>8204266.0</v>
      </c>
      <c r="C788" s="166" t="s">
        <v>82</v>
      </c>
      <c r="D788" s="166" t="s">
        <v>35</v>
      </c>
      <c r="E788" s="166">
        <v>6.24544904E9</v>
      </c>
      <c r="F788" s="166" t="s">
        <v>1078</v>
      </c>
      <c r="G788" s="165">
        <v>46266.0</v>
      </c>
      <c r="H788" s="167">
        <v>46269.0</v>
      </c>
      <c r="I788" s="168">
        <v>3.0</v>
      </c>
      <c r="J788" s="169" t="s">
        <v>78</v>
      </c>
      <c r="K788" s="166" t="s">
        <v>79</v>
      </c>
      <c r="L788" s="166" t="s">
        <v>80</v>
      </c>
      <c r="M788" s="166">
        <v>2.0</v>
      </c>
      <c r="N788" s="170">
        <v>0.19999999999999996</v>
      </c>
      <c r="O788" s="171">
        <v>118.49000000000001</v>
      </c>
      <c r="P788" s="171">
        <v>94.79200000000002</v>
      </c>
      <c r="Q788" s="172">
        <v>0.0</v>
      </c>
      <c r="R788" s="173">
        <v>284.37600000000003</v>
      </c>
      <c r="S788" s="173">
        <v>0.0</v>
      </c>
      <c r="T788" s="173">
        <v>355.47</v>
      </c>
      <c r="U788" s="201" t="s">
        <v>107</v>
      </c>
      <c r="V788" s="165">
        <v>46074.0</v>
      </c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</row>
    <row r="789">
      <c r="A789" s="165">
        <v>46054.0</v>
      </c>
      <c r="B789" s="166">
        <v>8113523.0</v>
      </c>
      <c r="C789" s="166" t="s">
        <v>89</v>
      </c>
      <c r="D789" s="166" t="s">
        <v>35</v>
      </c>
      <c r="E789" s="166">
        <v>6.894852569E9</v>
      </c>
      <c r="F789" s="166" t="s">
        <v>1079</v>
      </c>
      <c r="G789" s="165">
        <v>46267.0</v>
      </c>
      <c r="H789" s="167">
        <v>46270.0</v>
      </c>
      <c r="I789" s="168">
        <v>3.0</v>
      </c>
      <c r="J789" s="169" t="s">
        <v>78</v>
      </c>
      <c r="K789" s="166" t="s">
        <v>79</v>
      </c>
      <c r="L789" s="166" t="s">
        <v>80</v>
      </c>
      <c r="M789" s="166">
        <v>0.0</v>
      </c>
      <c r="N789" s="170">
        <v>0.0</v>
      </c>
      <c r="O789" s="171">
        <v>0.0</v>
      </c>
      <c r="P789" s="171">
        <v>0.0</v>
      </c>
      <c r="Q789" s="172">
        <v>0.0</v>
      </c>
      <c r="R789" s="173">
        <v>0.0</v>
      </c>
      <c r="S789" s="173">
        <v>0.0</v>
      </c>
      <c r="T789" s="173">
        <v>0.0</v>
      </c>
      <c r="U789" s="201" t="s">
        <v>1080</v>
      </c>
      <c r="V789" s="165">
        <v>46094.0</v>
      </c>
      <c r="W789" s="175"/>
      <c r="X789" s="175"/>
      <c r="Y789" s="175"/>
      <c r="Z789" s="175"/>
      <c r="AA789" s="175"/>
      <c r="AB789" s="175"/>
      <c r="AC789" s="175"/>
      <c r="AD789" s="175"/>
      <c r="AE789" s="175"/>
      <c r="AF789" s="175"/>
      <c r="AG789" s="175"/>
      <c r="AH789" s="175"/>
      <c r="AI789" s="175"/>
    </row>
    <row r="790">
      <c r="A790" s="165">
        <v>45943.0</v>
      </c>
      <c r="B790" s="166">
        <v>7678141.0</v>
      </c>
      <c r="C790" s="166" t="s">
        <v>82</v>
      </c>
      <c r="D790" s="166" t="s">
        <v>35</v>
      </c>
      <c r="E790" s="166">
        <v>6.343093123E9</v>
      </c>
      <c r="F790" s="166" t="s">
        <v>1081</v>
      </c>
      <c r="G790" s="165">
        <v>46268.0</v>
      </c>
      <c r="H790" s="167">
        <v>46271.0</v>
      </c>
      <c r="I790" s="168">
        <v>3.0</v>
      </c>
      <c r="J790" s="169" t="s">
        <v>78</v>
      </c>
      <c r="K790" s="166" t="s">
        <v>79</v>
      </c>
      <c r="L790" s="166" t="s">
        <v>80</v>
      </c>
      <c r="M790" s="166">
        <v>2.0</v>
      </c>
      <c r="N790" s="170">
        <v>0.19999999999999996</v>
      </c>
      <c r="O790" s="171">
        <v>112.83999999999999</v>
      </c>
      <c r="P790" s="171">
        <v>90.27199999999999</v>
      </c>
      <c r="Q790" s="172">
        <v>0.0</v>
      </c>
      <c r="R790" s="173">
        <v>270.816</v>
      </c>
      <c r="S790" s="173">
        <v>0.0</v>
      </c>
      <c r="T790" s="173">
        <v>353.52</v>
      </c>
      <c r="U790" s="201" t="s">
        <v>107</v>
      </c>
      <c r="V790" s="165">
        <v>45943.0</v>
      </c>
      <c r="W790" s="175"/>
      <c r="X790" s="175"/>
      <c r="Y790" s="175"/>
      <c r="Z790" s="175"/>
      <c r="AA790" s="175"/>
      <c r="AB790" s="175"/>
      <c r="AC790" s="175"/>
      <c r="AD790" s="175"/>
      <c r="AE790" s="175"/>
      <c r="AF790" s="175"/>
      <c r="AG790" s="175"/>
      <c r="AH790" s="175"/>
      <c r="AI790" s="175"/>
    </row>
    <row r="791">
      <c r="A791" s="176">
        <v>46054.0</v>
      </c>
      <c r="B791" s="177">
        <v>8114243.0</v>
      </c>
      <c r="C791" s="178" t="s">
        <v>75</v>
      </c>
      <c r="D791" s="244" t="s">
        <v>616</v>
      </c>
      <c r="E791" s="177">
        <v>2.384009185E9</v>
      </c>
      <c r="F791" s="178" t="s">
        <v>1082</v>
      </c>
      <c r="G791" s="176">
        <v>46270.0</v>
      </c>
      <c r="H791" s="179">
        <v>46271.0</v>
      </c>
      <c r="I791" s="180">
        <v>1.0</v>
      </c>
      <c r="J791" s="181" t="s">
        <v>114</v>
      </c>
      <c r="K791" s="178" t="s">
        <v>79</v>
      </c>
      <c r="L791" s="178" t="s">
        <v>103</v>
      </c>
      <c r="M791" s="182">
        <v>1.0</v>
      </c>
      <c r="N791" s="183">
        <v>0.0</v>
      </c>
      <c r="O791" s="184">
        <v>216.0</v>
      </c>
      <c r="P791" s="184">
        <v>172.8</v>
      </c>
      <c r="Q791" s="185">
        <v>0.0</v>
      </c>
      <c r="R791" s="186">
        <v>172.8</v>
      </c>
      <c r="S791" s="186">
        <v>0.0</v>
      </c>
      <c r="T791" s="186">
        <v>216.0</v>
      </c>
      <c r="U791" s="187" t="s">
        <v>1083</v>
      </c>
      <c r="V791" s="176">
        <v>46054.0</v>
      </c>
      <c r="W791" s="175"/>
      <c r="X791" s="175"/>
      <c r="Y791" s="175"/>
      <c r="Z791" s="175"/>
      <c r="AA791" s="175"/>
      <c r="AB791" s="175"/>
      <c r="AC791" s="175"/>
      <c r="AD791" s="175"/>
      <c r="AE791" s="175"/>
      <c r="AF791" s="175"/>
      <c r="AG791" s="175"/>
      <c r="AH791" s="175"/>
      <c r="AI791" s="175"/>
    </row>
    <row r="792">
      <c r="A792" s="165">
        <v>45975.0</v>
      </c>
      <c r="B792" s="166">
        <v>7806354.0</v>
      </c>
      <c r="C792" s="166" t="s">
        <v>89</v>
      </c>
      <c r="D792" s="166" t="s">
        <v>35</v>
      </c>
      <c r="E792" s="166">
        <v>5.262540654E9</v>
      </c>
      <c r="F792" s="166" t="s">
        <v>1084</v>
      </c>
      <c r="G792" s="165">
        <v>46271.0</v>
      </c>
      <c r="H792" s="167">
        <v>46277.0</v>
      </c>
      <c r="I792" s="168">
        <v>6.0</v>
      </c>
      <c r="J792" s="169" t="s">
        <v>78</v>
      </c>
      <c r="K792" s="166" t="s">
        <v>79</v>
      </c>
      <c r="L792" s="166" t="s">
        <v>80</v>
      </c>
      <c r="M792" s="166">
        <v>0.0</v>
      </c>
      <c r="N792" s="170">
        <v>0.0</v>
      </c>
      <c r="O792" s="171">
        <v>0.0</v>
      </c>
      <c r="P792" s="171">
        <v>0.0</v>
      </c>
      <c r="Q792" s="172">
        <v>0.0</v>
      </c>
      <c r="R792" s="173">
        <v>0.0</v>
      </c>
      <c r="S792" s="173">
        <v>0.0</v>
      </c>
      <c r="T792" s="173">
        <v>0.0</v>
      </c>
      <c r="U792" s="174" t="s">
        <v>1085</v>
      </c>
      <c r="V792" s="165">
        <v>45996.0</v>
      </c>
      <c r="W792" s="175"/>
      <c r="X792" s="175"/>
      <c r="Y792" s="175"/>
      <c r="Z792" s="175"/>
      <c r="AA792" s="175"/>
      <c r="AB792" s="175"/>
      <c r="AC792" s="175"/>
      <c r="AD792" s="175"/>
      <c r="AE792" s="175"/>
      <c r="AF792" s="175"/>
      <c r="AG792" s="175"/>
      <c r="AH792" s="175"/>
      <c r="AI792" s="175"/>
    </row>
    <row r="793">
      <c r="A793" s="176">
        <v>45984.0</v>
      </c>
      <c r="B793" s="177">
        <v>7839296.0</v>
      </c>
      <c r="C793" s="178" t="s">
        <v>82</v>
      </c>
      <c r="D793" s="178" t="s">
        <v>35</v>
      </c>
      <c r="E793" s="178">
        <v>5.754995636E9</v>
      </c>
      <c r="F793" s="178" t="s">
        <v>1086</v>
      </c>
      <c r="G793" s="176">
        <v>46277.0</v>
      </c>
      <c r="H793" s="179">
        <v>46279.0</v>
      </c>
      <c r="I793" s="180">
        <v>2.0</v>
      </c>
      <c r="J793" s="181" t="s">
        <v>87</v>
      </c>
      <c r="K793" s="178" t="s">
        <v>79</v>
      </c>
      <c r="L793" s="178" t="s">
        <v>80</v>
      </c>
      <c r="M793" s="182">
        <v>2.0</v>
      </c>
      <c r="N793" s="183">
        <v>0.19999999999999996</v>
      </c>
      <c r="O793" s="184">
        <v>162.72</v>
      </c>
      <c r="P793" s="184">
        <v>130.17600000000002</v>
      </c>
      <c r="Q793" s="185">
        <v>0.0</v>
      </c>
      <c r="R793" s="186">
        <v>260.35200000000003</v>
      </c>
      <c r="S793" s="186">
        <v>0.0</v>
      </c>
      <c r="T793" s="186">
        <v>335.44</v>
      </c>
      <c r="U793" s="187" t="s">
        <v>268</v>
      </c>
      <c r="V793" s="189">
        <v>45984.0</v>
      </c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</row>
    <row r="794">
      <c r="A794" s="176">
        <v>46036.0</v>
      </c>
      <c r="B794" s="177">
        <v>8032859.0</v>
      </c>
      <c r="C794" s="178" t="s">
        <v>89</v>
      </c>
      <c r="D794" s="178" t="s">
        <v>35</v>
      </c>
      <c r="E794" s="177">
        <v>5.736337931E9</v>
      </c>
      <c r="F794" s="178" t="s">
        <v>1087</v>
      </c>
      <c r="G794" s="176">
        <v>46277.0</v>
      </c>
      <c r="H794" s="179">
        <v>46280.0</v>
      </c>
      <c r="I794" s="180">
        <v>3.0</v>
      </c>
      <c r="J794" s="181" t="s">
        <v>78</v>
      </c>
      <c r="K794" s="178" t="s">
        <v>79</v>
      </c>
      <c r="L794" s="178" t="s">
        <v>80</v>
      </c>
      <c r="M794" s="182">
        <v>0.0</v>
      </c>
      <c r="N794" s="183">
        <v>0.0</v>
      </c>
      <c r="O794" s="184">
        <v>0.0</v>
      </c>
      <c r="P794" s="184">
        <v>0.0</v>
      </c>
      <c r="Q794" s="185">
        <v>0.0</v>
      </c>
      <c r="R794" s="186">
        <v>0.0</v>
      </c>
      <c r="S794" s="186">
        <v>0.0</v>
      </c>
      <c r="T794" s="186">
        <v>0.0</v>
      </c>
      <c r="U794" s="187" t="s">
        <v>1088</v>
      </c>
      <c r="V794" s="176">
        <v>46230.0</v>
      </c>
      <c r="W794" s="164"/>
      <c r="X794" s="164"/>
      <c r="Y794" s="164"/>
      <c r="Z794" s="164"/>
      <c r="AA794" s="164"/>
      <c r="AB794" s="164"/>
      <c r="AC794" s="164"/>
      <c r="AD794" s="164"/>
      <c r="AE794" s="164"/>
      <c r="AF794" s="164"/>
      <c r="AG794" s="164"/>
      <c r="AH794" s="164"/>
      <c r="AI794" s="164"/>
    </row>
    <row r="795">
      <c r="A795" s="154">
        <v>45817.0</v>
      </c>
      <c r="B795" s="155">
        <v>7131231.0</v>
      </c>
      <c r="C795" s="156" t="s">
        <v>89</v>
      </c>
      <c r="D795" s="156" t="s">
        <v>35</v>
      </c>
      <c r="E795" s="155">
        <v>6.292542586E9</v>
      </c>
      <c r="F795" s="156" t="s">
        <v>1089</v>
      </c>
      <c r="G795" s="154">
        <v>46279.0</v>
      </c>
      <c r="H795" s="157">
        <v>46283.0</v>
      </c>
      <c r="I795" s="158">
        <v>4.0</v>
      </c>
      <c r="J795" s="159" t="s">
        <v>87</v>
      </c>
      <c r="K795" s="156" t="s">
        <v>79</v>
      </c>
      <c r="L795" s="156" t="s">
        <v>80</v>
      </c>
      <c r="M795" s="202">
        <v>0.0</v>
      </c>
      <c r="N795" s="160">
        <v>0.0</v>
      </c>
      <c r="O795" s="161">
        <v>0.0</v>
      </c>
      <c r="P795" s="161">
        <v>0.0</v>
      </c>
      <c r="Q795" s="203">
        <v>0.0</v>
      </c>
      <c r="R795" s="162">
        <v>0.0</v>
      </c>
      <c r="S795" s="162">
        <v>0.0</v>
      </c>
      <c r="T795" s="162">
        <v>0.0</v>
      </c>
      <c r="U795" s="163" t="s">
        <v>1090</v>
      </c>
      <c r="V795" s="154">
        <v>45929.0</v>
      </c>
      <c r="W795" s="175"/>
      <c r="X795" s="175"/>
      <c r="Y795" s="175"/>
      <c r="Z795" s="175"/>
      <c r="AA795" s="175"/>
      <c r="AB795" s="175"/>
      <c r="AC795" s="175"/>
      <c r="AD795" s="175"/>
      <c r="AE795" s="175"/>
      <c r="AF795" s="175"/>
      <c r="AG795" s="175"/>
      <c r="AH795" s="175"/>
      <c r="AI795" s="175"/>
    </row>
    <row r="796">
      <c r="A796" s="176">
        <v>45952.0</v>
      </c>
      <c r="B796" s="177">
        <v>7715900.0</v>
      </c>
      <c r="C796" s="178" t="s">
        <v>89</v>
      </c>
      <c r="D796" s="178" t="s">
        <v>36</v>
      </c>
      <c r="E796" s="177">
        <v>7715900.0</v>
      </c>
      <c r="F796" s="178" t="s">
        <v>1091</v>
      </c>
      <c r="G796" s="176">
        <v>46279.0</v>
      </c>
      <c r="H796" s="179">
        <v>46283.0</v>
      </c>
      <c r="I796" s="180">
        <v>4.0</v>
      </c>
      <c r="J796" s="181" t="s">
        <v>114</v>
      </c>
      <c r="K796" s="178" t="s">
        <v>79</v>
      </c>
      <c r="L796" s="178" t="s">
        <v>96</v>
      </c>
      <c r="M796" s="182">
        <v>0.0</v>
      </c>
      <c r="N796" s="183">
        <v>0.0</v>
      </c>
      <c r="O796" s="184">
        <v>0.0</v>
      </c>
      <c r="P796" s="184">
        <v>0.0</v>
      </c>
      <c r="Q796" s="185">
        <v>0.0</v>
      </c>
      <c r="R796" s="186">
        <v>0.0</v>
      </c>
      <c r="S796" s="186">
        <v>0.0</v>
      </c>
      <c r="T796" s="186">
        <v>0.0</v>
      </c>
      <c r="U796" s="187" t="s">
        <v>172</v>
      </c>
      <c r="V796" s="176">
        <v>45968.0</v>
      </c>
      <c r="W796" s="164"/>
      <c r="X796" s="164"/>
      <c r="Y796" s="164"/>
      <c r="Z796" s="164"/>
      <c r="AA796" s="164"/>
      <c r="AB796" s="164"/>
      <c r="AC796" s="164"/>
      <c r="AD796" s="164"/>
      <c r="AE796" s="164"/>
      <c r="AF796" s="164"/>
      <c r="AG796" s="164"/>
      <c r="AH796" s="164"/>
      <c r="AI796" s="164"/>
    </row>
    <row r="797">
      <c r="A797" s="165">
        <v>46037.0</v>
      </c>
      <c r="B797" s="166">
        <v>8038165.0</v>
      </c>
      <c r="C797" s="166" t="s">
        <v>82</v>
      </c>
      <c r="D797" s="166" t="s">
        <v>35</v>
      </c>
      <c r="E797" s="166">
        <v>6.41476011E9</v>
      </c>
      <c r="F797" s="166" t="s">
        <v>1092</v>
      </c>
      <c r="G797" s="165">
        <v>46279.0</v>
      </c>
      <c r="H797" s="167">
        <v>46281.0</v>
      </c>
      <c r="I797" s="168">
        <v>2.0</v>
      </c>
      <c r="J797" s="169" t="s">
        <v>78</v>
      </c>
      <c r="K797" s="166" t="s">
        <v>79</v>
      </c>
      <c r="L797" s="166" t="s">
        <v>80</v>
      </c>
      <c r="M797" s="166">
        <v>2.0</v>
      </c>
      <c r="N797" s="170">
        <v>0.19999999999999996</v>
      </c>
      <c r="O797" s="171">
        <v>204.12</v>
      </c>
      <c r="P797" s="171">
        <v>163.29600000000002</v>
      </c>
      <c r="Q797" s="172">
        <v>0.0</v>
      </c>
      <c r="R797" s="173">
        <v>326.59200000000004</v>
      </c>
      <c r="S797" s="173">
        <v>0.0</v>
      </c>
      <c r="T797" s="173">
        <v>836.48</v>
      </c>
      <c r="U797" s="201" t="s">
        <v>303</v>
      </c>
      <c r="V797" s="165">
        <v>46037.0</v>
      </c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  <c r="AG797" s="164"/>
      <c r="AH797" s="164"/>
      <c r="AI797" s="164"/>
    </row>
    <row r="798">
      <c r="A798" s="176">
        <v>46037.0</v>
      </c>
      <c r="B798" s="177">
        <v>8038165.0</v>
      </c>
      <c r="C798" s="178" t="s">
        <v>82</v>
      </c>
      <c r="D798" s="178" t="s">
        <v>35</v>
      </c>
      <c r="E798" s="177">
        <v>6.41476011E9</v>
      </c>
      <c r="F798" s="178" t="s">
        <v>1092</v>
      </c>
      <c r="G798" s="176">
        <v>46279.0</v>
      </c>
      <c r="H798" s="179">
        <v>46281.0</v>
      </c>
      <c r="I798" s="180">
        <v>2.0</v>
      </c>
      <c r="J798" s="181" t="s">
        <v>78</v>
      </c>
      <c r="K798" s="178" t="s">
        <v>79</v>
      </c>
      <c r="L798" s="178" t="s">
        <v>80</v>
      </c>
      <c r="M798" s="182">
        <v>2.0</v>
      </c>
      <c r="N798" s="183">
        <v>0.19999999999999996</v>
      </c>
      <c r="O798" s="184">
        <v>204.12</v>
      </c>
      <c r="P798" s="184">
        <v>163.29600000000002</v>
      </c>
      <c r="Q798" s="185">
        <v>0.0</v>
      </c>
      <c r="R798" s="186">
        <v>326.59200000000004</v>
      </c>
      <c r="S798" s="186">
        <v>0.0</v>
      </c>
      <c r="T798" s="186">
        <v>836.48</v>
      </c>
      <c r="U798" s="187" t="s">
        <v>303</v>
      </c>
      <c r="V798" s="176">
        <v>46037.0</v>
      </c>
      <c r="W798" s="164"/>
      <c r="X798" s="164"/>
      <c r="Y798" s="164"/>
      <c r="Z798" s="164"/>
      <c r="AA798" s="164"/>
      <c r="AB798" s="164"/>
      <c r="AC798" s="164"/>
      <c r="AD798" s="164"/>
      <c r="AE798" s="164"/>
      <c r="AF798" s="164"/>
      <c r="AG798" s="164"/>
      <c r="AH798" s="164"/>
      <c r="AI798" s="164"/>
    </row>
    <row r="799">
      <c r="A799" s="176">
        <v>46044.0</v>
      </c>
      <c r="B799" s="177">
        <v>8070138.0</v>
      </c>
      <c r="C799" s="178" t="s">
        <v>89</v>
      </c>
      <c r="D799" s="236" t="s">
        <v>35</v>
      </c>
      <c r="E799" s="177">
        <v>5.680996877E9</v>
      </c>
      <c r="F799" s="178" t="s">
        <v>1093</v>
      </c>
      <c r="G799" s="176">
        <v>46280.0</v>
      </c>
      <c r="H799" s="179">
        <v>46292.20833333333</v>
      </c>
      <c r="I799" s="180">
        <v>8.0</v>
      </c>
      <c r="J799" s="181" t="s">
        <v>111</v>
      </c>
      <c r="K799" s="178" t="s">
        <v>79</v>
      </c>
      <c r="L799" s="178" t="s">
        <v>80</v>
      </c>
      <c r="M799" s="177">
        <v>0.0</v>
      </c>
      <c r="N799" s="183">
        <v>0.0</v>
      </c>
      <c r="O799" s="184">
        <v>0.0</v>
      </c>
      <c r="P799" s="184">
        <v>0.0</v>
      </c>
      <c r="Q799" s="185">
        <v>0.0</v>
      </c>
      <c r="R799" s="186">
        <v>0.0</v>
      </c>
      <c r="S799" s="186">
        <v>0.0</v>
      </c>
      <c r="T799" s="186">
        <v>0.0</v>
      </c>
      <c r="U799" s="187" t="s">
        <v>1094</v>
      </c>
      <c r="V799" s="189">
        <v>46046.0</v>
      </c>
      <c r="W799" s="175"/>
      <c r="X799" s="175"/>
      <c r="Y799" s="175"/>
      <c r="Z799" s="175"/>
      <c r="AA799" s="175"/>
      <c r="AB799" s="175"/>
      <c r="AC799" s="175"/>
      <c r="AD799" s="175"/>
      <c r="AE799" s="175"/>
      <c r="AF799" s="175"/>
      <c r="AG799" s="175"/>
      <c r="AH799" s="175"/>
      <c r="AI799" s="175"/>
    </row>
    <row r="800">
      <c r="A800" s="176">
        <v>46047.0</v>
      </c>
      <c r="B800" s="177">
        <v>8081900.0</v>
      </c>
      <c r="C800" s="178" t="s">
        <v>82</v>
      </c>
      <c r="D800" s="178" t="s">
        <v>35</v>
      </c>
      <c r="E800" s="177">
        <v>6.737709806E9</v>
      </c>
      <c r="F800" s="178" t="s">
        <v>1095</v>
      </c>
      <c r="G800" s="176">
        <v>46281.0</v>
      </c>
      <c r="H800" s="179">
        <v>46284.0</v>
      </c>
      <c r="I800" s="180">
        <v>3.0</v>
      </c>
      <c r="J800" s="181" t="s">
        <v>78</v>
      </c>
      <c r="K800" s="178" t="s">
        <v>79</v>
      </c>
      <c r="L800" s="178" t="s">
        <v>80</v>
      </c>
      <c r="M800" s="182">
        <v>2.0</v>
      </c>
      <c r="N800" s="181">
        <v>0.19999999999999996</v>
      </c>
      <c r="O800" s="184">
        <v>142.38</v>
      </c>
      <c r="P800" s="184">
        <v>113.904</v>
      </c>
      <c r="Q800" s="181">
        <v>0.0</v>
      </c>
      <c r="R800" s="186">
        <v>341.712</v>
      </c>
      <c r="S800" s="186">
        <v>0.0</v>
      </c>
      <c r="T800" s="186">
        <v>442.14</v>
      </c>
      <c r="U800" s="187" t="s">
        <v>161</v>
      </c>
      <c r="V800" s="176">
        <v>46047.0</v>
      </c>
      <c r="W800" s="175"/>
      <c r="X800" s="175"/>
      <c r="Y800" s="175"/>
      <c r="Z800" s="175"/>
      <c r="AA800" s="175"/>
      <c r="AB800" s="175"/>
      <c r="AC800" s="175"/>
      <c r="AD800" s="175"/>
      <c r="AE800" s="175"/>
      <c r="AF800" s="175"/>
      <c r="AG800" s="175"/>
      <c r="AH800" s="175"/>
      <c r="AI800" s="175"/>
    </row>
    <row r="801">
      <c r="A801" s="165">
        <v>45949.0</v>
      </c>
      <c r="B801" s="166">
        <v>7704654.0</v>
      </c>
      <c r="C801" s="166" t="s">
        <v>82</v>
      </c>
      <c r="D801" s="166" t="s">
        <v>35</v>
      </c>
      <c r="E801" s="166">
        <v>5.490631169E9</v>
      </c>
      <c r="F801" s="166" t="s">
        <v>1096</v>
      </c>
      <c r="G801" s="165">
        <v>46283.0</v>
      </c>
      <c r="H801" s="167">
        <v>46290.20833333333</v>
      </c>
      <c r="I801" s="168">
        <v>3.0</v>
      </c>
      <c r="J801" s="169" t="s">
        <v>87</v>
      </c>
      <c r="K801" s="166" t="s">
        <v>79</v>
      </c>
      <c r="L801" s="166" t="s">
        <v>80</v>
      </c>
      <c r="M801" s="166">
        <v>2.0</v>
      </c>
      <c r="N801" s="170">
        <v>0.19999999999999996</v>
      </c>
      <c r="O801" s="171">
        <v>124.48</v>
      </c>
      <c r="P801" s="171">
        <v>99.584</v>
      </c>
      <c r="Q801" s="172">
        <v>0.0</v>
      </c>
      <c r="R801" s="173">
        <v>298.752</v>
      </c>
      <c r="S801" s="173">
        <v>0.0</v>
      </c>
      <c r="T801" s="173">
        <v>388.44</v>
      </c>
      <c r="U801" s="201" t="s">
        <v>107</v>
      </c>
      <c r="V801" s="165">
        <v>45949.0</v>
      </c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</row>
    <row r="802">
      <c r="A802" s="165">
        <v>46048.0</v>
      </c>
      <c r="B802" s="166">
        <v>8083743.0</v>
      </c>
      <c r="C802" s="166" t="s">
        <v>89</v>
      </c>
      <c r="D802" s="166" t="s">
        <v>35</v>
      </c>
      <c r="E802" s="166">
        <v>5.465373192E9</v>
      </c>
      <c r="F802" s="166" t="s">
        <v>1097</v>
      </c>
      <c r="G802" s="165">
        <v>46283.0</v>
      </c>
      <c r="H802" s="167">
        <v>46284.0</v>
      </c>
      <c r="I802" s="168">
        <v>1.0</v>
      </c>
      <c r="J802" s="169" t="s">
        <v>78</v>
      </c>
      <c r="K802" s="166" t="s">
        <v>79</v>
      </c>
      <c r="L802" s="166" t="s">
        <v>80</v>
      </c>
      <c r="M802" s="166">
        <v>0.0</v>
      </c>
      <c r="N802" s="170">
        <v>0.0</v>
      </c>
      <c r="O802" s="171">
        <v>0.0</v>
      </c>
      <c r="P802" s="171">
        <v>0.0</v>
      </c>
      <c r="Q802" s="172">
        <v>0.0</v>
      </c>
      <c r="R802" s="173">
        <v>0.0</v>
      </c>
      <c r="S802" s="173">
        <v>0.0</v>
      </c>
      <c r="T802" s="173">
        <v>0.0</v>
      </c>
      <c r="U802" s="201" t="s">
        <v>1098</v>
      </c>
      <c r="V802" s="165">
        <v>46228.0</v>
      </c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</row>
    <row r="803">
      <c r="A803" s="154">
        <v>46064.0</v>
      </c>
      <c r="B803" s="155">
        <v>8158508.0</v>
      </c>
      <c r="C803" s="156" t="s">
        <v>82</v>
      </c>
      <c r="D803" s="156" t="s">
        <v>35</v>
      </c>
      <c r="E803" s="155">
        <v>5.077888274E9</v>
      </c>
      <c r="F803" s="156" t="s">
        <v>1099</v>
      </c>
      <c r="G803" s="154">
        <v>46283.0</v>
      </c>
      <c r="H803" s="157">
        <v>46290.20833333333</v>
      </c>
      <c r="I803" s="158">
        <v>3.0</v>
      </c>
      <c r="J803" s="159" t="s">
        <v>114</v>
      </c>
      <c r="K803" s="156" t="s">
        <v>79</v>
      </c>
      <c r="L803" s="156" t="s">
        <v>80</v>
      </c>
      <c r="M803" s="155">
        <v>2.0</v>
      </c>
      <c r="N803" s="160">
        <v>0.19999999999999996</v>
      </c>
      <c r="O803" s="161">
        <v>172.26</v>
      </c>
      <c r="P803" s="161">
        <v>137.808</v>
      </c>
      <c r="Q803" s="159">
        <v>0.0</v>
      </c>
      <c r="R803" s="162">
        <v>413.424</v>
      </c>
      <c r="S803" s="162">
        <v>0.0</v>
      </c>
      <c r="T803" s="162">
        <v>531.78</v>
      </c>
      <c r="U803" s="163" t="s">
        <v>161</v>
      </c>
      <c r="V803" s="154">
        <v>46064.0</v>
      </c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</row>
    <row r="804">
      <c r="A804" s="154">
        <v>46064.0</v>
      </c>
      <c r="B804" s="155">
        <v>8158557.0</v>
      </c>
      <c r="C804" s="156" t="s">
        <v>82</v>
      </c>
      <c r="D804" s="156" t="s">
        <v>35</v>
      </c>
      <c r="E804" s="155">
        <v>5.601344109E9</v>
      </c>
      <c r="F804" s="156" t="s">
        <v>1100</v>
      </c>
      <c r="G804" s="154">
        <v>46283.0</v>
      </c>
      <c r="H804" s="157">
        <v>46290.20833333333</v>
      </c>
      <c r="I804" s="158">
        <v>3.0</v>
      </c>
      <c r="J804" s="159" t="s">
        <v>78</v>
      </c>
      <c r="K804" s="156" t="s">
        <v>79</v>
      </c>
      <c r="L804" s="156" t="s">
        <v>80</v>
      </c>
      <c r="M804" s="202">
        <v>2.0</v>
      </c>
      <c r="N804" s="160">
        <v>0.19999999999999996</v>
      </c>
      <c r="O804" s="161">
        <v>161.15</v>
      </c>
      <c r="P804" s="161">
        <v>128.92000000000002</v>
      </c>
      <c r="Q804" s="203">
        <v>0.0</v>
      </c>
      <c r="R804" s="162">
        <v>386.76000000000005</v>
      </c>
      <c r="S804" s="162">
        <v>0.0</v>
      </c>
      <c r="T804" s="162">
        <v>483.45</v>
      </c>
      <c r="U804" s="163" t="s">
        <v>161</v>
      </c>
      <c r="V804" s="154">
        <v>46064.0</v>
      </c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</row>
    <row r="805">
      <c r="A805" s="176">
        <v>45962.0</v>
      </c>
      <c r="B805" s="177">
        <v>7755011.0</v>
      </c>
      <c r="C805" s="178" t="s">
        <v>89</v>
      </c>
      <c r="D805" s="178" t="s">
        <v>35</v>
      </c>
      <c r="E805" s="177">
        <v>5.095735519E9</v>
      </c>
      <c r="F805" s="178" t="s">
        <v>1101</v>
      </c>
      <c r="G805" s="176">
        <v>46284.0</v>
      </c>
      <c r="H805" s="179">
        <v>46291.20833333333</v>
      </c>
      <c r="I805" s="180">
        <v>3.0</v>
      </c>
      <c r="J805" s="181" t="s">
        <v>114</v>
      </c>
      <c r="K805" s="178" t="s">
        <v>79</v>
      </c>
      <c r="L805" s="178" t="s">
        <v>80</v>
      </c>
      <c r="M805" s="182">
        <v>0.0</v>
      </c>
      <c r="N805" s="183">
        <v>0.0</v>
      </c>
      <c r="O805" s="184">
        <v>0.0</v>
      </c>
      <c r="P805" s="184">
        <v>0.0</v>
      </c>
      <c r="Q805" s="185">
        <v>0.0</v>
      </c>
      <c r="R805" s="186">
        <v>0.0</v>
      </c>
      <c r="S805" s="186">
        <v>0.0</v>
      </c>
      <c r="T805" s="186">
        <v>0.0</v>
      </c>
      <c r="U805" s="187" t="s">
        <v>1034</v>
      </c>
      <c r="V805" s="176">
        <v>46191.0</v>
      </c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</row>
    <row r="806">
      <c r="A806" s="165">
        <v>45984.0</v>
      </c>
      <c r="B806" s="166">
        <v>7837641.0</v>
      </c>
      <c r="C806" s="166" t="s">
        <v>82</v>
      </c>
      <c r="D806" s="166" t="s">
        <v>35</v>
      </c>
      <c r="E806" s="166">
        <v>6.718796004E9</v>
      </c>
      <c r="F806" s="166" t="s">
        <v>1102</v>
      </c>
      <c r="G806" s="165">
        <v>46290.20833333333</v>
      </c>
      <c r="H806" s="167">
        <v>46296.20833333333</v>
      </c>
      <c r="I806" s="168">
        <v>6.0</v>
      </c>
      <c r="J806" s="169" t="s">
        <v>78</v>
      </c>
      <c r="K806" s="166" t="s">
        <v>79</v>
      </c>
      <c r="L806" s="166" t="s">
        <v>80</v>
      </c>
      <c r="M806" s="166">
        <v>2.0</v>
      </c>
      <c r="N806" s="170">
        <v>0.19999999999999996</v>
      </c>
      <c r="O806" s="171">
        <v>148.88</v>
      </c>
      <c r="P806" s="171">
        <v>119.104</v>
      </c>
      <c r="Q806" s="172">
        <v>0.0</v>
      </c>
      <c r="R806" s="173">
        <v>714.624</v>
      </c>
      <c r="S806" s="173">
        <v>0.0</v>
      </c>
      <c r="T806" s="173">
        <v>923.28</v>
      </c>
      <c r="U806" s="174" t="s">
        <v>353</v>
      </c>
      <c r="V806" s="165">
        <v>45984.0</v>
      </c>
      <c r="W806" s="175"/>
      <c r="X806" s="175"/>
      <c r="Y806" s="175"/>
      <c r="Z806" s="175"/>
      <c r="AA806" s="175"/>
      <c r="AB806" s="175"/>
      <c r="AC806" s="175"/>
      <c r="AD806" s="175"/>
      <c r="AE806" s="175"/>
      <c r="AF806" s="175"/>
      <c r="AG806" s="175"/>
      <c r="AH806" s="175"/>
      <c r="AI806" s="175"/>
    </row>
    <row r="807">
      <c r="A807" s="176">
        <v>45994.0</v>
      </c>
      <c r="B807" s="177">
        <v>7879039.0</v>
      </c>
      <c r="C807" s="178" t="s">
        <v>82</v>
      </c>
      <c r="D807" s="178" t="s">
        <v>94</v>
      </c>
      <c r="E807" s="177">
        <v>7879039.0</v>
      </c>
      <c r="F807" s="178" t="s">
        <v>698</v>
      </c>
      <c r="G807" s="176">
        <v>46290.20833333333</v>
      </c>
      <c r="H807" s="179">
        <v>46291.20833333333</v>
      </c>
      <c r="I807" s="180">
        <v>1.0</v>
      </c>
      <c r="J807" s="181" t="s">
        <v>78</v>
      </c>
      <c r="K807" s="178" t="s">
        <v>79</v>
      </c>
      <c r="L807" s="178" t="s">
        <v>96</v>
      </c>
      <c r="M807" s="182">
        <v>2.0</v>
      </c>
      <c r="N807" s="183">
        <v>0.0</v>
      </c>
      <c r="O807" s="184">
        <v>181.44</v>
      </c>
      <c r="P807" s="184">
        <v>181.44</v>
      </c>
      <c r="Q807" s="185">
        <v>0.0</v>
      </c>
      <c r="R807" s="186">
        <v>181.44</v>
      </c>
      <c r="S807" s="186">
        <v>0.0</v>
      </c>
      <c r="T807" s="186">
        <v>950.92</v>
      </c>
      <c r="U807" s="187" t="s">
        <v>97</v>
      </c>
      <c r="V807" s="176">
        <v>45994.0</v>
      </c>
      <c r="W807" s="164"/>
      <c r="X807" s="164"/>
      <c r="Y807" s="164"/>
      <c r="Z807" s="164"/>
      <c r="AA807" s="164"/>
      <c r="AB807" s="164"/>
      <c r="AC807" s="164"/>
      <c r="AD807" s="164"/>
      <c r="AE807" s="164"/>
      <c r="AF807" s="164"/>
      <c r="AG807" s="164"/>
      <c r="AH807" s="164"/>
      <c r="AI807" s="164"/>
    </row>
    <row r="808">
      <c r="A808" s="165">
        <v>45994.0</v>
      </c>
      <c r="B808" s="166">
        <v>7879039.0</v>
      </c>
      <c r="C808" s="166" t="s">
        <v>82</v>
      </c>
      <c r="D808" s="166" t="s">
        <v>94</v>
      </c>
      <c r="E808" s="166">
        <v>7879039.0</v>
      </c>
      <c r="F808" s="166" t="s">
        <v>698</v>
      </c>
      <c r="G808" s="165">
        <v>46290.20833333333</v>
      </c>
      <c r="H808" s="167">
        <v>46291.20833333333</v>
      </c>
      <c r="I808" s="168">
        <v>1.0</v>
      </c>
      <c r="J808" s="169" t="s">
        <v>78</v>
      </c>
      <c r="K808" s="166" t="s">
        <v>79</v>
      </c>
      <c r="L808" s="166" t="s">
        <v>96</v>
      </c>
      <c r="M808" s="205">
        <v>2.0</v>
      </c>
      <c r="N808" s="170">
        <v>0.0</v>
      </c>
      <c r="O808" s="171">
        <v>181.44</v>
      </c>
      <c r="P808" s="171">
        <v>181.44</v>
      </c>
      <c r="Q808" s="172">
        <v>0.0</v>
      </c>
      <c r="R808" s="173">
        <v>181.44</v>
      </c>
      <c r="S808" s="173">
        <v>0.0</v>
      </c>
      <c r="T808" s="173">
        <v>950.92</v>
      </c>
      <c r="U808" s="174" t="s">
        <v>97</v>
      </c>
      <c r="V808" s="165">
        <v>45994.0</v>
      </c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</row>
    <row r="809">
      <c r="A809" s="176">
        <v>45994.0</v>
      </c>
      <c r="B809" s="177">
        <v>7879039.0</v>
      </c>
      <c r="C809" s="178" t="s">
        <v>82</v>
      </c>
      <c r="D809" s="178" t="s">
        <v>94</v>
      </c>
      <c r="E809" s="177">
        <v>7879039.0</v>
      </c>
      <c r="F809" s="178" t="s">
        <v>698</v>
      </c>
      <c r="G809" s="176">
        <v>46290.20833333333</v>
      </c>
      <c r="H809" s="179">
        <v>46291.20833333333</v>
      </c>
      <c r="I809" s="180">
        <v>1.0</v>
      </c>
      <c r="J809" s="181" t="s">
        <v>78</v>
      </c>
      <c r="K809" s="178" t="s">
        <v>79</v>
      </c>
      <c r="L809" s="178" t="s">
        <v>96</v>
      </c>
      <c r="M809" s="182">
        <v>2.0</v>
      </c>
      <c r="N809" s="183">
        <v>0.0</v>
      </c>
      <c r="O809" s="184">
        <v>181.44</v>
      </c>
      <c r="P809" s="184">
        <v>181.44</v>
      </c>
      <c r="Q809" s="185">
        <v>0.0</v>
      </c>
      <c r="R809" s="186">
        <v>181.44</v>
      </c>
      <c r="S809" s="186">
        <v>0.0</v>
      </c>
      <c r="T809" s="186">
        <v>950.92</v>
      </c>
      <c r="U809" s="187" t="s">
        <v>97</v>
      </c>
      <c r="V809" s="176">
        <v>45994.0</v>
      </c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</row>
    <row r="810">
      <c r="A810" s="176">
        <v>45994.0</v>
      </c>
      <c r="B810" s="177">
        <v>7879039.0</v>
      </c>
      <c r="C810" s="178" t="s">
        <v>82</v>
      </c>
      <c r="D810" s="178" t="s">
        <v>94</v>
      </c>
      <c r="E810" s="177">
        <v>7879039.0</v>
      </c>
      <c r="F810" s="178" t="s">
        <v>698</v>
      </c>
      <c r="G810" s="176">
        <v>46290.20833333333</v>
      </c>
      <c r="H810" s="179">
        <v>46291.20833333333</v>
      </c>
      <c r="I810" s="180">
        <v>1.0</v>
      </c>
      <c r="J810" s="181" t="s">
        <v>78</v>
      </c>
      <c r="K810" s="178" t="s">
        <v>79</v>
      </c>
      <c r="L810" s="178" t="s">
        <v>96</v>
      </c>
      <c r="M810" s="177">
        <v>2.0</v>
      </c>
      <c r="N810" s="183">
        <v>0.0</v>
      </c>
      <c r="O810" s="184">
        <v>181.44</v>
      </c>
      <c r="P810" s="184">
        <v>181.44</v>
      </c>
      <c r="Q810" s="185">
        <v>0.0</v>
      </c>
      <c r="R810" s="186">
        <v>181.44</v>
      </c>
      <c r="S810" s="186">
        <v>0.0</v>
      </c>
      <c r="T810" s="186">
        <v>950.92</v>
      </c>
      <c r="U810" s="187" t="s">
        <v>97</v>
      </c>
      <c r="V810" s="189">
        <v>45994.0</v>
      </c>
      <c r="W810" s="164"/>
      <c r="X810" s="164"/>
      <c r="Y810" s="164"/>
      <c r="Z810" s="164"/>
      <c r="AA810" s="164"/>
      <c r="AB810" s="164"/>
      <c r="AC810" s="164"/>
      <c r="AD810" s="164"/>
      <c r="AE810" s="164"/>
      <c r="AF810" s="164"/>
      <c r="AG810" s="164"/>
      <c r="AH810" s="164"/>
      <c r="AI810" s="164"/>
    </row>
    <row r="811">
      <c r="A811" s="165">
        <v>45994.0</v>
      </c>
      <c r="B811" s="166">
        <v>7879039.0</v>
      </c>
      <c r="C811" s="166" t="s">
        <v>82</v>
      </c>
      <c r="D811" s="166" t="s">
        <v>94</v>
      </c>
      <c r="E811" s="166">
        <v>7879039.0</v>
      </c>
      <c r="F811" s="166" t="s">
        <v>698</v>
      </c>
      <c r="G811" s="165">
        <v>46290.20833333333</v>
      </c>
      <c r="H811" s="167">
        <v>46291.20833333333</v>
      </c>
      <c r="I811" s="168">
        <v>1.0</v>
      </c>
      <c r="J811" s="169" t="s">
        <v>114</v>
      </c>
      <c r="K811" s="166" t="s">
        <v>79</v>
      </c>
      <c r="L811" s="166" t="s">
        <v>96</v>
      </c>
      <c r="M811" s="166">
        <v>2.0</v>
      </c>
      <c r="N811" s="170">
        <v>0.0</v>
      </c>
      <c r="O811" s="171">
        <v>200.16</v>
      </c>
      <c r="P811" s="171">
        <v>200.16</v>
      </c>
      <c r="Q811" s="172">
        <v>0.0</v>
      </c>
      <c r="R811" s="173">
        <v>200.16</v>
      </c>
      <c r="S811" s="173">
        <v>0.0</v>
      </c>
      <c r="T811" s="173">
        <v>950.92</v>
      </c>
      <c r="U811" s="201" t="s">
        <v>97</v>
      </c>
      <c r="V811" s="210">
        <v>45994.0</v>
      </c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</row>
    <row r="812">
      <c r="A812" s="176">
        <v>46067.0</v>
      </c>
      <c r="B812" s="177">
        <v>8173093.0</v>
      </c>
      <c r="C812" s="178" t="s">
        <v>82</v>
      </c>
      <c r="D812" s="178" t="s">
        <v>35</v>
      </c>
      <c r="E812" s="177">
        <v>6.445039342E9</v>
      </c>
      <c r="F812" s="178" t="s">
        <v>1103</v>
      </c>
      <c r="G812" s="176">
        <v>46291.20833333333</v>
      </c>
      <c r="H812" s="179">
        <v>46294.20833333333</v>
      </c>
      <c r="I812" s="180">
        <v>3.0</v>
      </c>
      <c r="J812" s="181" t="s">
        <v>78</v>
      </c>
      <c r="K812" s="178" t="s">
        <v>79</v>
      </c>
      <c r="L812" s="178" t="s">
        <v>80</v>
      </c>
      <c r="M812" s="182">
        <v>2.0</v>
      </c>
      <c r="N812" s="183">
        <v>0.19999999999999996</v>
      </c>
      <c r="O812" s="184">
        <v>171.89</v>
      </c>
      <c r="P812" s="184">
        <v>137.512</v>
      </c>
      <c r="Q812" s="185">
        <v>0.0</v>
      </c>
      <c r="R812" s="186">
        <v>412.536</v>
      </c>
      <c r="S812" s="186">
        <v>0.0</v>
      </c>
      <c r="T812" s="186">
        <v>515.67</v>
      </c>
      <c r="U812" s="187" t="s">
        <v>303</v>
      </c>
      <c r="V812" s="176">
        <v>46067.0</v>
      </c>
      <c r="W812" s="175"/>
      <c r="X812" s="175"/>
      <c r="Y812" s="175"/>
      <c r="Z812" s="175"/>
      <c r="AA812" s="175"/>
      <c r="AB812" s="175"/>
      <c r="AC812" s="175"/>
      <c r="AD812" s="175"/>
      <c r="AE812" s="175"/>
      <c r="AF812" s="175"/>
      <c r="AG812" s="175"/>
      <c r="AH812" s="175"/>
      <c r="AI812" s="175"/>
    </row>
    <row r="813">
      <c r="A813" s="176">
        <v>46017.0</v>
      </c>
      <c r="B813" s="177">
        <v>7959577.0</v>
      </c>
      <c r="C813" s="178" t="s">
        <v>89</v>
      </c>
      <c r="D813" s="178" t="s">
        <v>94</v>
      </c>
      <c r="E813" s="177">
        <v>7959577.0</v>
      </c>
      <c r="F813" s="178" t="s">
        <v>874</v>
      </c>
      <c r="G813" s="176">
        <v>46293.20833333333</v>
      </c>
      <c r="H813" s="179">
        <v>46296.20833333333</v>
      </c>
      <c r="I813" s="180">
        <v>3.0</v>
      </c>
      <c r="J813" s="181" t="s">
        <v>78</v>
      </c>
      <c r="K813" s="178" t="s">
        <v>79</v>
      </c>
      <c r="L813" s="178" t="s">
        <v>96</v>
      </c>
      <c r="M813" s="182">
        <v>0.0</v>
      </c>
      <c r="N813" s="181">
        <v>0.0</v>
      </c>
      <c r="O813" s="184">
        <v>0.0</v>
      </c>
      <c r="P813" s="184">
        <v>0.0</v>
      </c>
      <c r="Q813" s="181">
        <v>0.0</v>
      </c>
      <c r="R813" s="186">
        <v>0.0</v>
      </c>
      <c r="S813" s="186">
        <v>0.0</v>
      </c>
      <c r="T813" s="186">
        <v>0.0</v>
      </c>
      <c r="U813" s="187" t="s">
        <v>1104</v>
      </c>
      <c r="V813" s="176">
        <v>46126.0</v>
      </c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</row>
    <row r="814">
      <c r="A814" s="176">
        <v>46072.0</v>
      </c>
      <c r="B814" s="177">
        <v>8193696.0</v>
      </c>
      <c r="C814" s="178" t="s">
        <v>82</v>
      </c>
      <c r="D814" s="178" t="s">
        <v>109</v>
      </c>
      <c r="E814" s="177">
        <v>6.30056643E8</v>
      </c>
      <c r="F814" s="178" t="s">
        <v>1105</v>
      </c>
      <c r="G814" s="176">
        <v>46293.20833333333</v>
      </c>
      <c r="H814" s="179">
        <v>46296.20833333333</v>
      </c>
      <c r="I814" s="180">
        <v>3.0</v>
      </c>
      <c r="J814" s="181" t="s">
        <v>87</v>
      </c>
      <c r="K814" s="178" t="s">
        <v>79</v>
      </c>
      <c r="L814" s="178" t="s">
        <v>96</v>
      </c>
      <c r="M814" s="182">
        <v>3.0</v>
      </c>
      <c r="N814" s="183">
        <v>0.19999999999999996</v>
      </c>
      <c r="O814" s="184">
        <v>144.07</v>
      </c>
      <c r="P814" s="184">
        <v>115.256</v>
      </c>
      <c r="Q814" s="185">
        <v>0.0</v>
      </c>
      <c r="R814" s="186">
        <v>345.76800000000003</v>
      </c>
      <c r="S814" s="186">
        <v>0.0</v>
      </c>
      <c r="T814" s="186">
        <v>432.21</v>
      </c>
      <c r="U814" s="187" t="s">
        <v>112</v>
      </c>
      <c r="V814" s="176">
        <v>46072.0</v>
      </c>
      <c r="W814" s="164"/>
      <c r="X814" s="164"/>
      <c r="Y814" s="164"/>
      <c r="Z814" s="164"/>
      <c r="AA814" s="164"/>
      <c r="AB814" s="164"/>
      <c r="AC814" s="164"/>
      <c r="AD814" s="164"/>
      <c r="AE814" s="164"/>
      <c r="AF814" s="164"/>
      <c r="AG814" s="164"/>
      <c r="AH814" s="164"/>
      <c r="AI814" s="164"/>
    </row>
    <row r="815">
      <c r="A815" s="176">
        <v>46064.0</v>
      </c>
      <c r="B815" s="177">
        <v>8159428.0</v>
      </c>
      <c r="C815" s="178" t="s">
        <v>82</v>
      </c>
      <c r="D815" s="178" t="s">
        <v>35</v>
      </c>
      <c r="E815" s="177">
        <v>5.889986409E9</v>
      </c>
      <c r="F815" s="178" t="s">
        <v>1106</v>
      </c>
      <c r="G815" s="176">
        <v>46293.20833333333</v>
      </c>
      <c r="H815" s="179">
        <v>46294.20833333333</v>
      </c>
      <c r="I815" s="180">
        <v>1.0</v>
      </c>
      <c r="J815" s="181" t="s">
        <v>78</v>
      </c>
      <c r="K815" s="178" t="s">
        <v>79</v>
      </c>
      <c r="L815" s="178" t="s">
        <v>80</v>
      </c>
      <c r="M815" s="182">
        <v>2.0</v>
      </c>
      <c r="N815" s="183">
        <v>0.19999999999999996</v>
      </c>
      <c r="O815" s="184">
        <v>106.57</v>
      </c>
      <c r="P815" s="184">
        <v>85.256</v>
      </c>
      <c r="Q815" s="185">
        <v>0.0</v>
      </c>
      <c r="R815" s="186">
        <v>85.256</v>
      </c>
      <c r="S815" s="186">
        <v>0.0</v>
      </c>
      <c r="T815" s="186">
        <v>111.57</v>
      </c>
      <c r="U815" s="187" t="s">
        <v>107</v>
      </c>
      <c r="V815" s="176">
        <v>46064.0</v>
      </c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</row>
    <row r="816">
      <c r="A816" s="165">
        <v>45976.0</v>
      </c>
      <c r="B816" s="166">
        <v>7807806.0</v>
      </c>
      <c r="C816" s="166" t="s">
        <v>82</v>
      </c>
      <c r="D816" s="166" t="s">
        <v>35</v>
      </c>
      <c r="E816" s="166">
        <v>6.396101271E9</v>
      </c>
      <c r="F816" s="166" t="s">
        <v>1107</v>
      </c>
      <c r="G816" s="165">
        <v>46294.20833333333</v>
      </c>
      <c r="H816" s="167">
        <v>46297.20833333333</v>
      </c>
      <c r="I816" s="168">
        <v>3.0</v>
      </c>
      <c r="J816" s="169" t="s">
        <v>78</v>
      </c>
      <c r="K816" s="166" t="s">
        <v>79</v>
      </c>
      <c r="L816" s="166" t="s">
        <v>80</v>
      </c>
      <c r="M816" s="205">
        <v>2.0</v>
      </c>
      <c r="N816" s="170">
        <v>0.19999999999999996</v>
      </c>
      <c r="O816" s="171">
        <v>139.84</v>
      </c>
      <c r="P816" s="171">
        <v>111.87200000000001</v>
      </c>
      <c r="Q816" s="172">
        <v>0.0</v>
      </c>
      <c r="R816" s="173">
        <v>335.61600000000004</v>
      </c>
      <c r="S816" s="173">
        <v>0.0</v>
      </c>
      <c r="T816" s="173">
        <v>434.52</v>
      </c>
      <c r="U816" s="174" t="s">
        <v>353</v>
      </c>
      <c r="V816" s="165">
        <v>45976.0</v>
      </c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</row>
    <row r="817">
      <c r="A817" s="176">
        <v>45976.0</v>
      </c>
      <c r="B817" s="177">
        <v>7807809.0</v>
      </c>
      <c r="C817" s="178" t="s">
        <v>82</v>
      </c>
      <c r="D817" s="178" t="s">
        <v>35</v>
      </c>
      <c r="E817" s="177">
        <v>5.262544726E9</v>
      </c>
      <c r="F817" s="178" t="s">
        <v>1107</v>
      </c>
      <c r="G817" s="176">
        <v>46294.20833333333</v>
      </c>
      <c r="H817" s="179">
        <v>46297.20833333333</v>
      </c>
      <c r="I817" s="180">
        <v>3.0</v>
      </c>
      <c r="J817" s="181" t="s">
        <v>78</v>
      </c>
      <c r="K817" s="178" t="s">
        <v>79</v>
      </c>
      <c r="L817" s="178" t="s">
        <v>80</v>
      </c>
      <c r="M817" s="182">
        <v>2.0</v>
      </c>
      <c r="N817" s="183">
        <v>0.19999999999999996</v>
      </c>
      <c r="O817" s="184">
        <v>139.84</v>
      </c>
      <c r="P817" s="184">
        <v>111.87200000000001</v>
      </c>
      <c r="Q817" s="185">
        <v>0.0</v>
      </c>
      <c r="R817" s="186">
        <v>335.61600000000004</v>
      </c>
      <c r="S817" s="186">
        <v>0.0</v>
      </c>
      <c r="T817" s="186">
        <v>434.52</v>
      </c>
      <c r="U817" s="187" t="s">
        <v>353</v>
      </c>
      <c r="V817" s="176">
        <v>45976.0</v>
      </c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</row>
    <row r="818">
      <c r="A818" s="154">
        <v>46072.0</v>
      </c>
      <c r="B818" s="155">
        <v>8193828.0</v>
      </c>
      <c r="C818" s="156" t="s">
        <v>89</v>
      </c>
      <c r="D818" s="156" t="s">
        <v>35</v>
      </c>
      <c r="E818" s="155">
        <v>5.211866335E9</v>
      </c>
      <c r="F818" s="156" t="s">
        <v>1108</v>
      </c>
      <c r="G818" s="154">
        <v>46294.20833333333</v>
      </c>
      <c r="H818" s="157">
        <v>46298.20833333333</v>
      </c>
      <c r="I818" s="158">
        <v>4.0</v>
      </c>
      <c r="J818" s="159" t="s">
        <v>114</v>
      </c>
      <c r="K818" s="156" t="s">
        <v>79</v>
      </c>
      <c r="L818" s="156" t="s">
        <v>80</v>
      </c>
      <c r="M818" s="155">
        <v>0.0</v>
      </c>
      <c r="N818" s="160">
        <v>0.0</v>
      </c>
      <c r="O818" s="161">
        <v>0.0</v>
      </c>
      <c r="P818" s="161">
        <v>0.0</v>
      </c>
      <c r="Q818" s="203">
        <v>0.0</v>
      </c>
      <c r="R818" s="162">
        <v>0.0</v>
      </c>
      <c r="S818" s="162">
        <v>0.0</v>
      </c>
      <c r="T818" s="162">
        <v>0.0</v>
      </c>
      <c r="U818" s="163" t="s">
        <v>1109</v>
      </c>
      <c r="V818" s="154">
        <v>46148.0</v>
      </c>
      <c r="W818" s="175"/>
      <c r="X818" s="175"/>
      <c r="Y818" s="175"/>
      <c r="Z818" s="175"/>
      <c r="AA818" s="175"/>
      <c r="AB818" s="175"/>
      <c r="AC818" s="175"/>
      <c r="AD818" s="175"/>
      <c r="AE818" s="175"/>
      <c r="AF818" s="175"/>
      <c r="AG818" s="175"/>
      <c r="AH818" s="175"/>
      <c r="AI818" s="175"/>
    </row>
    <row r="819">
      <c r="A819" s="176">
        <v>45990.0</v>
      </c>
      <c r="B819" s="177">
        <v>7862695.0</v>
      </c>
      <c r="C819" s="178" t="s">
        <v>82</v>
      </c>
      <c r="D819" s="178" t="s">
        <v>35</v>
      </c>
      <c r="E819" s="177">
        <v>6.454015759E9</v>
      </c>
      <c r="F819" s="178" t="s">
        <v>1110</v>
      </c>
      <c r="G819" s="176">
        <v>46295.20833333333</v>
      </c>
      <c r="H819" s="179">
        <v>46297.20833333333</v>
      </c>
      <c r="I819" s="180">
        <v>2.0</v>
      </c>
      <c r="J819" s="181" t="s">
        <v>78</v>
      </c>
      <c r="K819" s="178" t="s">
        <v>79</v>
      </c>
      <c r="L819" s="178" t="s">
        <v>80</v>
      </c>
      <c r="M819" s="182">
        <v>2.0</v>
      </c>
      <c r="N819" s="183">
        <v>0.19999999999999996</v>
      </c>
      <c r="O819" s="184">
        <v>119.38</v>
      </c>
      <c r="P819" s="184">
        <v>95.504</v>
      </c>
      <c r="Q819" s="185">
        <v>0.0</v>
      </c>
      <c r="R819" s="186">
        <v>191.008</v>
      </c>
      <c r="S819" s="186">
        <v>0.0</v>
      </c>
      <c r="T819" s="186">
        <v>248.76</v>
      </c>
      <c r="U819" s="187" t="s">
        <v>161</v>
      </c>
      <c r="V819" s="176">
        <v>45990.0</v>
      </c>
      <c r="W819" s="175"/>
      <c r="X819" s="175"/>
      <c r="Y819" s="175"/>
      <c r="Z819" s="175"/>
      <c r="AA819" s="175"/>
      <c r="AB819" s="175"/>
      <c r="AC819" s="175"/>
      <c r="AD819" s="175"/>
      <c r="AE819" s="175"/>
      <c r="AF819" s="175"/>
      <c r="AG819" s="175"/>
      <c r="AH819" s="175"/>
      <c r="AI819" s="175"/>
    </row>
    <row r="820">
      <c r="A820" s="165">
        <v>46028.0</v>
      </c>
      <c r="B820" s="166">
        <v>8000690.0</v>
      </c>
      <c r="C820" s="166" t="s">
        <v>75</v>
      </c>
      <c r="D820" s="166" t="s">
        <v>35</v>
      </c>
      <c r="E820" s="166">
        <v>5.890920277E9</v>
      </c>
      <c r="F820" s="166" t="s">
        <v>1111</v>
      </c>
      <c r="G820" s="165">
        <v>46295.20833333333</v>
      </c>
      <c r="H820" s="167">
        <v>46299.20833333333</v>
      </c>
      <c r="I820" s="168">
        <v>4.0</v>
      </c>
      <c r="J820" s="169" t="s">
        <v>114</v>
      </c>
      <c r="K820" s="166" t="s">
        <v>79</v>
      </c>
      <c r="L820" s="166" t="s">
        <v>80</v>
      </c>
      <c r="M820" s="166">
        <v>3.0</v>
      </c>
      <c r="N820" s="170">
        <v>0.19999999999999996</v>
      </c>
      <c r="O820" s="171">
        <v>140.54</v>
      </c>
      <c r="P820" s="171">
        <v>112.432</v>
      </c>
      <c r="Q820" s="172">
        <v>0.0</v>
      </c>
      <c r="R820" s="173">
        <v>449.728</v>
      </c>
      <c r="S820" s="173">
        <v>0.0</v>
      </c>
      <c r="T820" s="173">
        <v>592.16</v>
      </c>
      <c r="U820" s="174" t="s">
        <v>689</v>
      </c>
      <c r="V820" s="210">
        <v>46028.0</v>
      </c>
      <c r="W820" s="175"/>
      <c r="X820" s="175"/>
      <c r="Y820" s="175"/>
      <c r="Z820" s="175"/>
      <c r="AA820" s="175"/>
      <c r="AB820" s="175"/>
      <c r="AC820" s="175"/>
      <c r="AD820" s="175"/>
      <c r="AE820" s="175"/>
      <c r="AF820" s="175"/>
      <c r="AG820" s="175"/>
      <c r="AH820" s="175"/>
      <c r="AI820" s="175"/>
    </row>
    <row r="821">
      <c r="A821" s="176">
        <v>46052.0</v>
      </c>
      <c r="B821" s="177">
        <v>8101845.0</v>
      </c>
      <c r="C821" s="178" t="s">
        <v>89</v>
      </c>
      <c r="D821" s="178" t="s">
        <v>35</v>
      </c>
      <c r="E821" s="177">
        <v>5.30590337E9</v>
      </c>
      <c r="F821" s="178" t="s">
        <v>1112</v>
      </c>
      <c r="G821" s="176">
        <v>46296.20833333333</v>
      </c>
      <c r="H821" s="179">
        <v>46297.20833333333</v>
      </c>
      <c r="I821" s="180">
        <v>1.0</v>
      </c>
      <c r="J821" s="181" t="s">
        <v>78</v>
      </c>
      <c r="K821" s="178" t="s">
        <v>79</v>
      </c>
      <c r="L821" s="178" t="s">
        <v>80</v>
      </c>
      <c r="M821" s="182">
        <v>0.0</v>
      </c>
      <c r="N821" s="183">
        <v>0.0</v>
      </c>
      <c r="O821" s="184">
        <v>0.0</v>
      </c>
      <c r="P821" s="184">
        <v>0.0</v>
      </c>
      <c r="Q821" s="185">
        <v>0.0</v>
      </c>
      <c r="R821" s="186">
        <v>0.0</v>
      </c>
      <c r="S821" s="186">
        <v>0.0</v>
      </c>
      <c r="T821" s="186">
        <v>0.0</v>
      </c>
      <c r="U821" s="187" t="s">
        <v>1113</v>
      </c>
      <c r="V821" s="176">
        <v>46236.0</v>
      </c>
      <c r="W821" s="175"/>
      <c r="X821" s="175"/>
      <c r="Y821" s="175"/>
      <c r="Z821" s="175"/>
      <c r="AA821" s="175"/>
      <c r="AB821" s="175"/>
      <c r="AC821" s="175"/>
      <c r="AD821" s="175"/>
      <c r="AE821" s="175"/>
      <c r="AF821" s="175"/>
      <c r="AG821" s="175"/>
      <c r="AH821" s="175"/>
      <c r="AI821" s="175"/>
    </row>
    <row r="822">
      <c r="A822" s="154">
        <v>46071.0</v>
      </c>
      <c r="B822" s="155">
        <v>8191737.0</v>
      </c>
      <c r="C822" s="156" t="s">
        <v>82</v>
      </c>
      <c r="D822" s="156" t="s">
        <v>35</v>
      </c>
      <c r="E822" s="155">
        <v>5.510784162E9</v>
      </c>
      <c r="F822" s="156" t="s">
        <v>1114</v>
      </c>
      <c r="G822" s="154">
        <v>46296.20833333333</v>
      </c>
      <c r="H822" s="157">
        <v>46300.20833333333</v>
      </c>
      <c r="I822" s="158">
        <v>4.0</v>
      </c>
      <c r="J822" s="159" t="s">
        <v>78</v>
      </c>
      <c r="K822" s="156" t="s">
        <v>79</v>
      </c>
      <c r="L822" s="156" t="s">
        <v>80</v>
      </c>
      <c r="M822" s="155">
        <v>2.0</v>
      </c>
      <c r="N822" s="160">
        <v>0.19999999999999996</v>
      </c>
      <c r="O822" s="161">
        <v>132.01</v>
      </c>
      <c r="P822" s="161">
        <v>105.608</v>
      </c>
      <c r="Q822" s="203">
        <v>0.0</v>
      </c>
      <c r="R822" s="162">
        <v>422.432</v>
      </c>
      <c r="S822" s="162">
        <v>0.0</v>
      </c>
      <c r="T822" s="162">
        <v>528.04</v>
      </c>
      <c r="U822" s="163" t="s">
        <v>107</v>
      </c>
      <c r="V822" s="154">
        <v>46071.0</v>
      </c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</row>
    <row r="823">
      <c r="A823" s="165">
        <v>46074.0</v>
      </c>
      <c r="B823" s="166">
        <v>8201322.0</v>
      </c>
      <c r="C823" s="166" t="s">
        <v>82</v>
      </c>
      <c r="D823" s="166" t="s">
        <v>101</v>
      </c>
      <c r="E823" s="166">
        <v>2.398241987E9</v>
      </c>
      <c r="F823" s="166" t="s">
        <v>1115</v>
      </c>
      <c r="G823" s="165">
        <v>46296.20833333333</v>
      </c>
      <c r="H823" s="167">
        <v>46299.20833333333</v>
      </c>
      <c r="I823" s="168">
        <v>3.0</v>
      </c>
      <c r="J823" s="169" t="s">
        <v>87</v>
      </c>
      <c r="K823" s="166" t="s">
        <v>79</v>
      </c>
      <c r="L823" s="166" t="s">
        <v>103</v>
      </c>
      <c r="M823" s="166">
        <v>1.0</v>
      </c>
      <c r="N823" s="169">
        <v>0.0</v>
      </c>
      <c r="O823" s="171">
        <v>180.79999999999998</v>
      </c>
      <c r="P823" s="171">
        <v>144.64</v>
      </c>
      <c r="Q823" s="169">
        <v>0.0</v>
      </c>
      <c r="R823" s="173">
        <v>433.91999999999996</v>
      </c>
      <c r="S823" s="173">
        <v>0.0</v>
      </c>
      <c r="T823" s="173">
        <v>542.4</v>
      </c>
      <c r="U823" s="174" t="s">
        <v>164</v>
      </c>
      <c r="V823" s="165">
        <v>46074.0</v>
      </c>
      <c r="W823" s="164"/>
      <c r="X823" s="164"/>
      <c r="Y823" s="164"/>
      <c r="Z823" s="164"/>
      <c r="AA823" s="164"/>
      <c r="AB823" s="164"/>
      <c r="AC823" s="164"/>
      <c r="AD823" s="164"/>
      <c r="AE823" s="164"/>
      <c r="AF823" s="164"/>
      <c r="AG823" s="164"/>
      <c r="AH823" s="164"/>
      <c r="AI823" s="164"/>
    </row>
    <row r="824">
      <c r="A824" s="165">
        <v>45992.0</v>
      </c>
      <c r="B824" s="166">
        <v>7870943.0</v>
      </c>
      <c r="C824" s="166" t="s">
        <v>89</v>
      </c>
      <c r="D824" s="166" t="s">
        <v>35</v>
      </c>
      <c r="E824" s="166">
        <v>5.224137645E9</v>
      </c>
      <c r="F824" s="166" t="s">
        <v>1116</v>
      </c>
      <c r="G824" s="165">
        <v>46297.20833333333</v>
      </c>
      <c r="H824" s="167">
        <v>46302.20833333333</v>
      </c>
      <c r="I824" s="168">
        <v>5.0</v>
      </c>
      <c r="J824" s="169" t="s">
        <v>87</v>
      </c>
      <c r="K824" s="166" t="s">
        <v>79</v>
      </c>
      <c r="L824" s="166" t="s">
        <v>80</v>
      </c>
      <c r="M824" s="166">
        <v>0.0</v>
      </c>
      <c r="N824" s="169">
        <v>0.0</v>
      </c>
      <c r="O824" s="171">
        <v>0.0</v>
      </c>
      <c r="P824" s="171">
        <v>0.0</v>
      </c>
      <c r="Q824" s="169">
        <v>0.0</v>
      </c>
      <c r="R824" s="173">
        <v>0.0</v>
      </c>
      <c r="S824" s="173">
        <v>0.0</v>
      </c>
      <c r="T824" s="173">
        <v>0.0</v>
      </c>
      <c r="U824" s="174" t="s">
        <v>1117</v>
      </c>
      <c r="V824" s="165">
        <v>46004.0</v>
      </c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</row>
    <row r="825">
      <c r="A825" s="176">
        <v>45992.0</v>
      </c>
      <c r="B825" s="177">
        <v>7870943.0</v>
      </c>
      <c r="C825" s="178" t="s">
        <v>89</v>
      </c>
      <c r="D825" s="178" t="s">
        <v>35</v>
      </c>
      <c r="E825" s="177">
        <v>5.224137645E9</v>
      </c>
      <c r="F825" s="178" t="s">
        <v>1116</v>
      </c>
      <c r="G825" s="176">
        <v>46297.20833333333</v>
      </c>
      <c r="H825" s="179">
        <v>46302.20833333333</v>
      </c>
      <c r="I825" s="180">
        <v>5.0</v>
      </c>
      <c r="J825" s="181" t="s">
        <v>78</v>
      </c>
      <c r="K825" s="178" t="s">
        <v>79</v>
      </c>
      <c r="L825" s="178" t="s">
        <v>80</v>
      </c>
      <c r="M825" s="182">
        <v>0.0</v>
      </c>
      <c r="N825" s="183">
        <v>0.0</v>
      </c>
      <c r="O825" s="184">
        <v>0.0</v>
      </c>
      <c r="P825" s="184">
        <v>0.0</v>
      </c>
      <c r="Q825" s="185">
        <v>0.0</v>
      </c>
      <c r="R825" s="186">
        <v>0.0</v>
      </c>
      <c r="S825" s="186">
        <v>0.0</v>
      </c>
      <c r="T825" s="186">
        <v>0.0</v>
      </c>
      <c r="U825" s="187" t="s">
        <v>1117</v>
      </c>
      <c r="V825" s="176">
        <v>46004.0</v>
      </c>
      <c r="W825" s="175"/>
      <c r="X825" s="175"/>
      <c r="Y825" s="175"/>
      <c r="Z825" s="175"/>
      <c r="AA825" s="175"/>
      <c r="AB825" s="175"/>
      <c r="AC825" s="175"/>
      <c r="AD825" s="175"/>
      <c r="AE825" s="175"/>
      <c r="AF825" s="175"/>
      <c r="AG825" s="175"/>
      <c r="AH825" s="175"/>
      <c r="AI825" s="175"/>
    </row>
    <row r="826">
      <c r="A826" s="176">
        <v>45990.0</v>
      </c>
      <c r="B826" s="177">
        <v>7863829.0</v>
      </c>
      <c r="C826" s="178" t="s">
        <v>82</v>
      </c>
      <c r="D826" s="178" t="s">
        <v>35</v>
      </c>
      <c r="E826" s="177">
        <v>6.5926046E9</v>
      </c>
      <c r="F826" s="178" t="s">
        <v>1110</v>
      </c>
      <c r="G826" s="176">
        <v>46299.20833333333</v>
      </c>
      <c r="H826" s="179">
        <v>46300.20833333333</v>
      </c>
      <c r="I826" s="180">
        <v>1.0</v>
      </c>
      <c r="J826" s="181" t="s">
        <v>78</v>
      </c>
      <c r="K826" s="178" t="s">
        <v>79</v>
      </c>
      <c r="L826" s="178" t="s">
        <v>80</v>
      </c>
      <c r="M826" s="182">
        <v>2.0</v>
      </c>
      <c r="N826" s="183">
        <v>0.19999999999999996</v>
      </c>
      <c r="O826" s="184">
        <v>119.38</v>
      </c>
      <c r="P826" s="184">
        <v>95.504</v>
      </c>
      <c r="Q826" s="185">
        <v>0.0</v>
      </c>
      <c r="R826" s="186">
        <v>95.504</v>
      </c>
      <c r="S826" s="186">
        <v>0.0</v>
      </c>
      <c r="T826" s="186">
        <v>124.38</v>
      </c>
      <c r="U826" s="187" t="s">
        <v>161</v>
      </c>
      <c r="V826" s="176">
        <v>45990.0</v>
      </c>
      <c r="W826" s="164"/>
      <c r="X826" s="164"/>
      <c r="Y826" s="164"/>
      <c r="Z826" s="164"/>
      <c r="AA826" s="164"/>
      <c r="AB826" s="164"/>
      <c r="AC826" s="164"/>
      <c r="AD826" s="164"/>
      <c r="AE826" s="164"/>
      <c r="AF826" s="164"/>
      <c r="AG826" s="164"/>
      <c r="AH826" s="164"/>
      <c r="AI826" s="164"/>
    </row>
    <row r="827">
      <c r="A827" s="176">
        <v>46019.0</v>
      </c>
      <c r="B827" s="177">
        <v>7967079.0</v>
      </c>
      <c r="C827" s="178" t="s">
        <v>89</v>
      </c>
      <c r="D827" s="178" t="s">
        <v>36</v>
      </c>
      <c r="E827" s="177">
        <v>7967079.0</v>
      </c>
      <c r="F827" s="178" t="s">
        <v>1118</v>
      </c>
      <c r="G827" s="176">
        <v>46299.20833333333</v>
      </c>
      <c r="H827" s="179">
        <v>46302.20833333333</v>
      </c>
      <c r="I827" s="180">
        <v>3.0</v>
      </c>
      <c r="J827" s="181" t="s">
        <v>78</v>
      </c>
      <c r="K827" s="178" t="s">
        <v>79</v>
      </c>
      <c r="L827" s="178" t="s">
        <v>96</v>
      </c>
      <c r="M827" s="182">
        <v>0.0</v>
      </c>
      <c r="N827" s="183">
        <v>0.0</v>
      </c>
      <c r="O827" s="184">
        <v>0.0</v>
      </c>
      <c r="P827" s="184">
        <v>0.0</v>
      </c>
      <c r="Q827" s="185">
        <v>0.0</v>
      </c>
      <c r="R827" s="186">
        <v>0.0</v>
      </c>
      <c r="S827" s="186">
        <v>0.0</v>
      </c>
      <c r="T827" s="186">
        <v>0.0</v>
      </c>
      <c r="U827" s="187" t="s">
        <v>1119</v>
      </c>
      <c r="V827" s="176">
        <v>46209.0</v>
      </c>
      <c r="W827" s="175"/>
      <c r="X827" s="175"/>
      <c r="Y827" s="175"/>
      <c r="Z827" s="175"/>
      <c r="AA827" s="175"/>
      <c r="AB827" s="175"/>
      <c r="AC827" s="175"/>
      <c r="AD827" s="175"/>
      <c r="AE827" s="175"/>
      <c r="AF827" s="175"/>
      <c r="AG827" s="175"/>
      <c r="AH827" s="175"/>
      <c r="AI827" s="175"/>
    </row>
    <row r="828">
      <c r="A828" s="176">
        <v>46019.0</v>
      </c>
      <c r="B828" s="177">
        <v>7967079.0</v>
      </c>
      <c r="C828" s="178" t="s">
        <v>89</v>
      </c>
      <c r="D828" s="178" t="s">
        <v>36</v>
      </c>
      <c r="E828" s="177">
        <v>7967079.0</v>
      </c>
      <c r="F828" s="178" t="s">
        <v>1118</v>
      </c>
      <c r="G828" s="176">
        <v>46299.20833333333</v>
      </c>
      <c r="H828" s="179">
        <v>46302.20833333333</v>
      </c>
      <c r="I828" s="180">
        <v>3.0</v>
      </c>
      <c r="J828" s="181" t="s">
        <v>78</v>
      </c>
      <c r="K828" s="178" t="s">
        <v>79</v>
      </c>
      <c r="L828" s="178" t="s">
        <v>96</v>
      </c>
      <c r="M828" s="182">
        <v>0.0</v>
      </c>
      <c r="N828" s="183">
        <v>0.0</v>
      </c>
      <c r="O828" s="184">
        <v>0.0</v>
      </c>
      <c r="P828" s="184">
        <v>0.0</v>
      </c>
      <c r="Q828" s="185">
        <v>0.0</v>
      </c>
      <c r="R828" s="186">
        <v>0.0</v>
      </c>
      <c r="S828" s="186">
        <v>0.0</v>
      </c>
      <c r="T828" s="186">
        <v>0.0</v>
      </c>
      <c r="U828" s="187" t="s">
        <v>1119</v>
      </c>
      <c r="V828" s="176">
        <v>46209.0</v>
      </c>
      <c r="W828" s="175"/>
      <c r="X828" s="175"/>
      <c r="Y828" s="175"/>
      <c r="Z828" s="175"/>
      <c r="AA828" s="175"/>
      <c r="AB828" s="175"/>
      <c r="AC828" s="175"/>
      <c r="AD828" s="175"/>
      <c r="AE828" s="175"/>
      <c r="AF828" s="175"/>
      <c r="AG828" s="175"/>
      <c r="AH828" s="175"/>
      <c r="AI828" s="175"/>
    </row>
    <row r="829">
      <c r="A829" s="176">
        <v>46019.0</v>
      </c>
      <c r="B829" s="177">
        <v>7967079.0</v>
      </c>
      <c r="C829" s="178" t="s">
        <v>89</v>
      </c>
      <c r="D829" s="178" t="s">
        <v>36</v>
      </c>
      <c r="E829" s="177">
        <v>7967079.0</v>
      </c>
      <c r="F829" s="178" t="s">
        <v>1118</v>
      </c>
      <c r="G829" s="176">
        <v>46299.20833333333</v>
      </c>
      <c r="H829" s="179">
        <v>46302.20833333333</v>
      </c>
      <c r="I829" s="180">
        <v>3.0</v>
      </c>
      <c r="J829" s="181" t="s">
        <v>78</v>
      </c>
      <c r="K829" s="178" t="s">
        <v>79</v>
      </c>
      <c r="L829" s="178" t="s">
        <v>96</v>
      </c>
      <c r="M829" s="177">
        <v>0.0</v>
      </c>
      <c r="N829" s="183">
        <v>0.0</v>
      </c>
      <c r="O829" s="184">
        <v>0.0</v>
      </c>
      <c r="P829" s="184">
        <v>0.0</v>
      </c>
      <c r="Q829" s="185">
        <v>0.0</v>
      </c>
      <c r="R829" s="186">
        <v>0.0</v>
      </c>
      <c r="S829" s="186">
        <v>0.0</v>
      </c>
      <c r="T829" s="186">
        <v>0.0</v>
      </c>
      <c r="U829" s="187" t="s">
        <v>1119</v>
      </c>
      <c r="V829" s="218">
        <v>46209.0</v>
      </c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</row>
    <row r="830">
      <c r="A830" s="165">
        <v>46019.0</v>
      </c>
      <c r="B830" s="166">
        <v>7967079.0</v>
      </c>
      <c r="C830" s="166" t="s">
        <v>89</v>
      </c>
      <c r="D830" s="166" t="s">
        <v>36</v>
      </c>
      <c r="E830" s="166">
        <v>7967079.0</v>
      </c>
      <c r="F830" s="166" t="s">
        <v>1118</v>
      </c>
      <c r="G830" s="165">
        <v>46299.20833333333</v>
      </c>
      <c r="H830" s="167">
        <v>46302.20833333333</v>
      </c>
      <c r="I830" s="168">
        <v>3.0</v>
      </c>
      <c r="J830" s="169" t="s">
        <v>87</v>
      </c>
      <c r="K830" s="166" t="s">
        <v>79</v>
      </c>
      <c r="L830" s="166" t="s">
        <v>96</v>
      </c>
      <c r="M830" s="166">
        <v>0.0</v>
      </c>
      <c r="N830" s="170">
        <v>0.0</v>
      </c>
      <c r="O830" s="171">
        <v>0.0</v>
      </c>
      <c r="P830" s="171">
        <v>0.0</v>
      </c>
      <c r="Q830" s="172">
        <v>0.0</v>
      </c>
      <c r="R830" s="173">
        <v>0.0</v>
      </c>
      <c r="S830" s="173">
        <v>0.0</v>
      </c>
      <c r="T830" s="173">
        <v>0.0</v>
      </c>
      <c r="U830" s="174" t="s">
        <v>1119</v>
      </c>
      <c r="V830" s="165">
        <v>46209.0</v>
      </c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</row>
    <row r="831">
      <c r="A831" s="165">
        <v>46019.0</v>
      </c>
      <c r="B831" s="166">
        <v>7967079.0</v>
      </c>
      <c r="C831" s="166" t="s">
        <v>89</v>
      </c>
      <c r="D831" s="166" t="s">
        <v>36</v>
      </c>
      <c r="E831" s="166">
        <v>7967079.0</v>
      </c>
      <c r="F831" s="166" t="s">
        <v>1118</v>
      </c>
      <c r="G831" s="165">
        <v>46299.20833333333</v>
      </c>
      <c r="H831" s="167">
        <v>46302.20833333333</v>
      </c>
      <c r="I831" s="168">
        <v>3.0</v>
      </c>
      <c r="J831" s="169" t="s">
        <v>114</v>
      </c>
      <c r="K831" s="166" t="s">
        <v>79</v>
      </c>
      <c r="L831" s="166" t="s">
        <v>96</v>
      </c>
      <c r="M831" s="205">
        <v>0.0</v>
      </c>
      <c r="N831" s="170">
        <v>0.0</v>
      </c>
      <c r="O831" s="171">
        <v>0.0</v>
      </c>
      <c r="P831" s="171">
        <v>0.0</v>
      </c>
      <c r="Q831" s="172">
        <v>0.0</v>
      </c>
      <c r="R831" s="173">
        <v>0.0</v>
      </c>
      <c r="S831" s="173">
        <v>0.0</v>
      </c>
      <c r="T831" s="162">
        <v>0.0</v>
      </c>
      <c r="U831" s="163" t="s">
        <v>1119</v>
      </c>
      <c r="V831" s="154">
        <v>46209.0</v>
      </c>
      <c r="W831" s="175"/>
      <c r="X831" s="175"/>
      <c r="Y831" s="175"/>
      <c r="Z831" s="175"/>
      <c r="AA831" s="175"/>
      <c r="AB831" s="175"/>
      <c r="AC831" s="175"/>
      <c r="AD831" s="175"/>
      <c r="AE831" s="175"/>
      <c r="AF831" s="175"/>
      <c r="AG831" s="175"/>
      <c r="AH831" s="175"/>
      <c r="AI831" s="175"/>
    </row>
    <row r="832">
      <c r="A832" s="165">
        <v>45956.0</v>
      </c>
      <c r="B832" s="166">
        <v>7730802.0</v>
      </c>
      <c r="C832" s="166" t="s">
        <v>89</v>
      </c>
      <c r="D832" s="166" t="s">
        <v>35</v>
      </c>
      <c r="E832" s="166">
        <v>6.588252364E9</v>
      </c>
      <c r="F832" s="166" t="s">
        <v>1120</v>
      </c>
      <c r="G832" s="165">
        <v>46301.20833333333</v>
      </c>
      <c r="H832" s="167">
        <v>46303.20833333333</v>
      </c>
      <c r="I832" s="168">
        <v>2.0</v>
      </c>
      <c r="J832" s="169" t="s">
        <v>78</v>
      </c>
      <c r="K832" s="166" t="s">
        <v>79</v>
      </c>
      <c r="L832" s="166" t="s">
        <v>80</v>
      </c>
      <c r="M832" s="166">
        <v>0.0</v>
      </c>
      <c r="N832" s="170">
        <v>0.0</v>
      </c>
      <c r="O832" s="171">
        <v>0.0</v>
      </c>
      <c r="P832" s="171">
        <v>0.0</v>
      </c>
      <c r="Q832" s="172">
        <v>0.0</v>
      </c>
      <c r="R832" s="173">
        <v>0.0</v>
      </c>
      <c r="S832" s="173">
        <v>0.0</v>
      </c>
      <c r="T832" s="173">
        <v>0.0</v>
      </c>
      <c r="U832" s="174" t="s">
        <v>1121</v>
      </c>
      <c r="V832" s="165">
        <v>45983.0</v>
      </c>
      <c r="W832" s="175"/>
      <c r="X832" s="175"/>
      <c r="Y832" s="175"/>
      <c r="Z832" s="175"/>
      <c r="AA832" s="175"/>
      <c r="AB832" s="175"/>
      <c r="AC832" s="175"/>
      <c r="AD832" s="175"/>
      <c r="AE832" s="175"/>
      <c r="AF832" s="175"/>
      <c r="AG832" s="175"/>
      <c r="AH832" s="175"/>
      <c r="AI832" s="175"/>
    </row>
    <row r="833">
      <c r="A833" s="165">
        <v>45956.0</v>
      </c>
      <c r="B833" s="166">
        <v>7730828.0</v>
      </c>
      <c r="C833" s="166" t="s">
        <v>89</v>
      </c>
      <c r="D833" s="166" t="s">
        <v>35</v>
      </c>
      <c r="E833" s="166">
        <v>6.34182151E9</v>
      </c>
      <c r="F833" s="166" t="s">
        <v>1120</v>
      </c>
      <c r="G833" s="165">
        <v>46301.20833333333</v>
      </c>
      <c r="H833" s="167">
        <v>46303.20833333333</v>
      </c>
      <c r="I833" s="168">
        <v>2.0</v>
      </c>
      <c r="J833" s="169" t="s">
        <v>78</v>
      </c>
      <c r="K833" s="166" t="s">
        <v>79</v>
      </c>
      <c r="L833" s="166" t="s">
        <v>80</v>
      </c>
      <c r="M833" s="166">
        <v>0.0</v>
      </c>
      <c r="N833" s="170">
        <v>0.0</v>
      </c>
      <c r="O833" s="171">
        <v>0.0</v>
      </c>
      <c r="P833" s="171">
        <v>0.0</v>
      </c>
      <c r="Q833" s="172">
        <v>0.0</v>
      </c>
      <c r="R833" s="173">
        <v>0.0</v>
      </c>
      <c r="S833" s="173">
        <v>0.0</v>
      </c>
      <c r="T833" s="173">
        <v>0.0</v>
      </c>
      <c r="U833" s="174" t="s">
        <v>1121</v>
      </c>
      <c r="V833" s="165">
        <v>45983.0</v>
      </c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  <c r="AG833" s="164"/>
      <c r="AH833" s="164"/>
      <c r="AI833" s="164"/>
    </row>
    <row r="834">
      <c r="A834" s="154">
        <v>45983.0</v>
      </c>
      <c r="B834" s="155">
        <v>7834020.0</v>
      </c>
      <c r="C834" s="156" t="s">
        <v>82</v>
      </c>
      <c r="D834" s="156" t="s">
        <v>35</v>
      </c>
      <c r="E834" s="155">
        <v>5.688796513E9</v>
      </c>
      <c r="F834" s="156" t="s">
        <v>1120</v>
      </c>
      <c r="G834" s="154">
        <v>46301.20833333333</v>
      </c>
      <c r="H834" s="157">
        <v>46303.20833333333</v>
      </c>
      <c r="I834" s="158">
        <v>2.0</v>
      </c>
      <c r="J834" s="159" t="s">
        <v>78</v>
      </c>
      <c r="K834" s="156" t="s">
        <v>79</v>
      </c>
      <c r="L834" s="156" t="s">
        <v>80</v>
      </c>
      <c r="M834" s="155">
        <v>2.0</v>
      </c>
      <c r="N834" s="160">
        <v>0.19999999999999996</v>
      </c>
      <c r="O834" s="161">
        <v>128.74</v>
      </c>
      <c r="P834" s="161">
        <v>102.99200000000002</v>
      </c>
      <c r="Q834" s="159">
        <v>0.0</v>
      </c>
      <c r="R834" s="162">
        <v>205.98400000000004</v>
      </c>
      <c r="S834" s="162">
        <v>0.0</v>
      </c>
      <c r="T834" s="162">
        <v>267.48</v>
      </c>
      <c r="U834" s="163" t="s">
        <v>161</v>
      </c>
      <c r="V834" s="154">
        <v>45983.0</v>
      </c>
      <c r="W834" s="164"/>
      <c r="X834" s="164"/>
      <c r="Y834" s="164"/>
      <c r="Z834" s="164"/>
      <c r="AA834" s="164"/>
      <c r="AB834" s="164"/>
      <c r="AC834" s="164"/>
      <c r="AD834" s="164"/>
      <c r="AE834" s="164"/>
      <c r="AF834" s="164"/>
      <c r="AG834" s="164"/>
      <c r="AH834" s="164"/>
      <c r="AI834" s="164"/>
    </row>
    <row r="835">
      <c r="A835" s="154">
        <v>45983.0</v>
      </c>
      <c r="B835" s="155">
        <v>7834026.0</v>
      </c>
      <c r="C835" s="156" t="s">
        <v>82</v>
      </c>
      <c r="D835" s="156" t="s">
        <v>35</v>
      </c>
      <c r="E835" s="155">
        <v>6.411597116E9</v>
      </c>
      <c r="F835" s="156" t="s">
        <v>1120</v>
      </c>
      <c r="G835" s="154">
        <v>46301.20833333333</v>
      </c>
      <c r="H835" s="157">
        <v>46303.20833333333</v>
      </c>
      <c r="I835" s="158">
        <v>2.0</v>
      </c>
      <c r="J835" s="159" t="s">
        <v>78</v>
      </c>
      <c r="K835" s="156" t="s">
        <v>79</v>
      </c>
      <c r="L835" s="156" t="s">
        <v>80</v>
      </c>
      <c r="M835" s="155">
        <v>2.0</v>
      </c>
      <c r="N835" s="160">
        <v>0.19999999999999996</v>
      </c>
      <c r="O835" s="161">
        <v>128.74</v>
      </c>
      <c r="P835" s="161">
        <v>102.99200000000002</v>
      </c>
      <c r="Q835" s="203">
        <v>0.0</v>
      </c>
      <c r="R835" s="162">
        <v>205.98400000000004</v>
      </c>
      <c r="S835" s="162">
        <v>0.0</v>
      </c>
      <c r="T835" s="162">
        <v>267.48</v>
      </c>
      <c r="U835" s="163" t="s">
        <v>161</v>
      </c>
      <c r="V835" s="154">
        <v>45983.0</v>
      </c>
      <c r="W835" s="164"/>
      <c r="X835" s="164"/>
      <c r="Y835" s="164"/>
      <c r="Z835" s="164"/>
      <c r="AA835" s="164"/>
      <c r="AB835" s="164"/>
      <c r="AC835" s="164"/>
      <c r="AD835" s="164"/>
      <c r="AE835" s="164"/>
      <c r="AF835" s="164"/>
      <c r="AG835" s="164"/>
      <c r="AH835" s="164"/>
      <c r="AI835" s="164"/>
    </row>
    <row r="836">
      <c r="A836" s="165">
        <v>46024.0</v>
      </c>
      <c r="B836" s="166">
        <v>7984684.0</v>
      </c>
      <c r="C836" s="166" t="s">
        <v>89</v>
      </c>
      <c r="D836" s="166" t="s">
        <v>35</v>
      </c>
      <c r="E836" s="166">
        <v>5.551349266E9</v>
      </c>
      <c r="F836" s="166" t="s">
        <v>1122</v>
      </c>
      <c r="G836" s="165">
        <v>46301.20833333333</v>
      </c>
      <c r="H836" s="167">
        <v>46304.20833333333</v>
      </c>
      <c r="I836" s="168">
        <v>3.0</v>
      </c>
      <c r="J836" s="169" t="s">
        <v>91</v>
      </c>
      <c r="K836" s="166" t="s">
        <v>79</v>
      </c>
      <c r="L836" s="166" t="s">
        <v>80</v>
      </c>
      <c r="M836" s="166">
        <v>0.0</v>
      </c>
      <c r="N836" s="170">
        <v>0.0</v>
      </c>
      <c r="O836" s="171">
        <v>0.0</v>
      </c>
      <c r="P836" s="171">
        <v>0.0</v>
      </c>
      <c r="Q836" s="172">
        <v>0.0</v>
      </c>
      <c r="R836" s="173">
        <v>0.0</v>
      </c>
      <c r="S836" s="173">
        <v>0.0</v>
      </c>
      <c r="T836" s="173">
        <v>0.0</v>
      </c>
      <c r="U836" s="174" t="s">
        <v>838</v>
      </c>
      <c r="V836" s="165">
        <v>46035.0</v>
      </c>
      <c r="W836" s="175"/>
      <c r="X836" s="175"/>
      <c r="Y836" s="175"/>
      <c r="Z836" s="175"/>
      <c r="AA836" s="175"/>
      <c r="AB836" s="175"/>
      <c r="AC836" s="175"/>
      <c r="AD836" s="175"/>
      <c r="AE836" s="175"/>
      <c r="AF836" s="175"/>
      <c r="AG836" s="175"/>
      <c r="AH836" s="175"/>
      <c r="AI836" s="175"/>
    </row>
    <row r="837">
      <c r="A837" s="165">
        <v>46067.0</v>
      </c>
      <c r="B837" s="166">
        <v>8172718.0</v>
      </c>
      <c r="C837" s="166" t="s">
        <v>82</v>
      </c>
      <c r="D837" s="166" t="s">
        <v>35</v>
      </c>
      <c r="E837" s="166">
        <v>5.003881875E9</v>
      </c>
      <c r="F837" s="166" t="s">
        <v>1123</v>
      </c>
      <c r="G837" s="165">
        <v>46301.20833333333</v>
      </c>
      <c r="H837" s="167">
        <v>46303.20833333333</v>
      </c>
      <c r="I837" s="168">
        <v>2.0</v>
      </c>
      <c r="J837" s="169" t="s">
        <v>114</v>
      </c>
      <c r="K837" s="166" t="s">
        <v>79</v>
      </c>
      <c r="L837" s="166" t="s">
        <v>80</v>
      </c>
      <c r="M837" s="166">
        <v>2.0</v>
      </c>
      <c r="N837" s="170">
        <v>0.19999999999999996</v>
      </c>
      <c r="O837" s="171">
        <v>178.08</v>
      </c>
      <c r="P837" s="171">
        <v>142.46400000000003</v>
      </c>
      <c r="Q837" s="172">
        <v>0.0</v>
      </c>
      <c r="R837" s="173">
        <v>284.92800000000005</v>
      </c>
      <c r="S837" s="173">
        <v>0.0</v>
      </c>
      <c r="T837" s="173">
        <v>366.16</v>
      </c>
      <c r="U837" s="174" t="s">
        <v>161</v>
      </c>
      <c r="V837" s="165">
        <v>46067.0</v>
      </c>
      <c r="W837" s="164"/>
      <c r="X837" s="164"/>
      <c r="Y837" s="164"/>
      <c r="Z837" s="164"/>
      <c r="AA837" s="164"/>
      <c r="AB837" s="164"/>
      <c r="AC837" s="164"/>
      <c r="AD837" s="164"/>
      <c r="AE837" s="164"/>
      <c r="AF837" s="164"/>
      <c r="AG837" s="164"/>
      <c r="AH837" s="164"/>
      <c r="AI837" s="164"/>
    </row>
    <row r="838">
      <c r="A838" s="176">
        <v>46037.0</v>
      </c>
      <c r="B838" s="177">
        <v>8035415.0</v>
      </c>
      <c r="C838" s="178" t="s">
        <v>89</v>
      </c>
      <c r="D838" s="178" t="s">
        <v>35</v>
      </c>
      <c r="E838" s="177">
        <v>5.12510748E9</v>
      </c>
      <c r="F838" s="178" t="s">
        <v>1124</v>
      </c>
      <c r="G838" s="176">
        <v>46304.20833333333</v>
      </c>
      <c r="H838" s="179">
        <v>46309.20833333333</v>
      </c>
      <c r="I838" s="180">
        <v>5.0</v>
      </c>
      <c r="J838" s="181" t="s">
        <v>78</v>
      </c>
      <c r="K838" s="178" t="s">
        <v>138</v>
      </c>
      <c r="L838" s="178" t="s">
        <v>80</v>
      </c>
      <c r="M838" s="182">
        <v>0.0</v>
      </c>
      <c r="N838" s="183">
        <v>0.0</v>
      </c>
      <c r="O838" s="184">
        <v>0.0</v>
      </c>
      <c r="P838" s="184">
        <v>0.0</v>
      </c>
      <c r="Q838" s="185">
        <v>0.0</v>
      </c>
      <c r="R838" s="186">
        <v>0.0</v>
      </c>
      <c r="S838" s="186">
        <v>0.0</v>
      </c>
      <c r="T838" s="186">
        <v>0.0</v>
      </c>
      <c r="U838" s="187" t="s">
        <v>1125</v>
      </c>
      <c r="V838" s="176">
        <v>46075.0</v>
      </c>
      <c r="W838" s="164"/>
      <c r="X838" s="164"/>
      <c r="Y838" s="164"/>
      <c r="Z838" s="164"/>
      <c r="AA838" s="164"/>
      <c r="AB838" s="164"/>
      <c r="AC838" s="164"/>
      <c r="AD838" s="164"/>
      <c r="AE838" s="164"/>
      <c r="AF838" s="164"/>
      <c r="AG838" s="164"/>
      <c r="AH838" s="164"/>
      <c r="AI838" s="164"/>
    </row>
    <row r="839">
      <c r="A839" s="165">
        <v>46004.0</v>
      </c>
      <c r="B839" s="166">
        <v>7915814.0</v>
      </c>
      <c r="C839" s="166" t="s">
        <v>89</v>
      </c>
      <c r="D839" s="166" t="s">
        <v>35</v>
      </c>
      <c r="E839" s="166">
        <v>6.291189677E9</v>
      </c>
      <c r="F839" s="166" t="s">
        <v>1126</v>
      </c>
      <c r="G839" s="165">
        <v>46305.20833333333</v>
      </c>
      <c r="H839" s="167">
        <v>46309.20833333333</v>
      </c>
      <c r="I839" s="168">
        <v>4.0</v>
      </c>
      <c r="J839" s="169" t="s">
        <v>78</v>
      </c>
      <c r="K839" s="166" t="s">
        <v>79</v>
      </c>
      <c r="L839" s="166" t="s">
        <v>80</v>
      </c>
      <c r="M839" s="166">
        <v>0.0</v>
      </c>
      <c r="N839" s="170">
        <v>0.0</v>
      </c>
      <c r="O839" s="171">
        <v>0.0</v>
      </c>
      <c r="P839" s="171">
        <v>0.0</v>
      </c>
      <c r="Q839" s="172">
        <v>0.0</v>
      </c>
      <c r="R839" s="173">
        <v>0.0</v>
      </c>
      <c r="S839" s="173">
        <v>0.0</v>
      </c>
      <c r="T839" s="173">
        <v>0.0</v>
      </c>
      <c r="U839" s="174" t="s">
        <v>849</v>
      </c>
      <c r="V839" s="165">
        <v>46203.0</v>
      </c>
      <c r="W839" s="164"/>
      <c r="X839" s="164"/>
      <c r="Y839" s="164"/>
      <c r="Z839" s="164"/>
      <c r="AA839" s="164"/>
      <c r="AB839" s="164"/>
      <c r="AC839" s="164"/>
      <c r="AD839" s="164"/>
      <c r="AE839" s="164"/>
      <c r="AF839" s="164"/>
      <c r="AG839" s="164"/>
      <c r="AH839" s="164"/>
      <c r="AI839" s="164"/>
    </row>
    <row r="840">
      <c r="A840" s="176">
        <v>46032.0</v>
      </c>
      <c r="B840" s="177">
        <v>8015794.0</v>
      </c>
      <c r="C840" s="178" t="s">
        <v>82</v>
      </c>
      <c r="D840" s="178" t="s">
        <v>94</v>
      </c>
      <c r="E840" s="177">
        <v>8015794.0</v>
      </c>
      <c r="F840" s="178" t="s">
        <v>1127</v>
      </c>
      <c r="G840" s="176">
        <v>46307.20833333333</v>
      </c>
      <c r="H840" s="179">
        <v>46310.20833333333</v>
      </c>
      <c r="I840" s="180">
        <v>3.0</v>
      </c>
      <c r="J840" s="181" t="s">
        <v>87</v>
      </c>
      <c r="K840" s="178" t="s">
        <v>79</v>
      </c>
      <c r="L840" s="178" t="s">
        <v>96</v>
      </c>
      <c r="M840" s="182">
        <v>2.0</v>
      </c>
      <c r="N840" s="183">
        <v>0.0</v>
      </c>
      <c r="O840" s="184">
        <v>174.96</v>
      </c>
      <c r="P840" s="184">
        <v>174.96</v>
      </c>
      <c r="Q840" s="185">
        <v>0.0</v>
      </c>
      <c r="R840" s="186">
        <v>524.88</v>
      </c>
      <c r="S840" s="186">
        <v>0.0</v>
      </c>
      <c r="T840" s="186">
        <v>4200.6</v>
      </c>
      <c r="U840" s="187" t="s">
        <v>97</v>
      </c>
      <c r="V840" s="176">
        <v>46032.0</v>
      </c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</row>
    <row r="841">
      <c r="A841" s="176">
        <v>46032.0</v>
      </c>
      <c r="B841" s="177">
        <v>8015794.0</v>
      </c>
      <c r="C841" s="178" t="s">
        <v>82</v>
      </c>
      <c r="D841" s="178" t="s">
        <v>94</v>
      </c>
      <c r="E841" s="177">
        <v>8015794.0</v>
      </c>
      <c r="F841" s="178" t="s">
        <v>1127</v>
      </c>
      <c r="G841" s="176">
        <v>46307.20833333333</v>
      </c>
      <c r="H841" s="179">
        <v>46310.20833333333</v>
      </c>
      <c r="I841" s="180">
        <v>3.0</v>
      </c>
      <c r="J841" s="181" t="s">
        <v>114</v>
      </c>
      <c r="K841" s="178" t="s">
        <v>79</v>
      </c>
      <c r="L841" s="178" t="s">
        <v>96</v>
      </c>
      <c r="M841" s="182">
        <v>2.0</v>
      </c>
      <c r="N841" s="183">
        <v>0.0</v>
      </c>
      <c r="O841" s="184">
        <v>225.36</v>
      </c>
      <c r="P841" s="184">
        <v>225.36</v>
      </c>
      <c r="Q841" s="185">
        <v>0.0</v>
      </c>
      <c r="R841" s="186">
        <v>676.08</v>
      </c>
      <c r="S841" s="186">
        <v>0.0</v>
      </c>
      <c r="T841" s="186">
        <v>4200.6</v>
      </c>
      <c r="U841" s="187" t="s">
        <v>97</v>
      </c>
      <c r="V841" s="176">
        <v>46032.0</v>
      </c>
      <c r="W841" s="164"/>
      <c r="X841" s="164"/>
      <c r="Y841" s="164"/>
      <c r="Z841" s="164"/>
      <c r="AA841" s="164"/>
      <c r="AB841" s="164"/>
      <c r="AC841" s="164"/>
      <c r="AD841" s="164"/>
      <c r="AE841" s="164"/>
      <c r="AF841" s="164"/>
      <c r="AG841" s="164"/>
      <c r="AH841" s="164"/>
      <c r="AI841" s="164"/>
    </row>
    <row r="842">
      <c r="A842" s="176">
        <v>46032.0</v>
      </c>
      <c r="B842" s="177">
        <v>8015794.0</v>
      </c>
      <c r="C842" s="178" t="s">
        <v>82</v>
      </c>
      <c r="D842" s="178" t="s">
        <v>94</v>
      </c>
      <c r="E842" s="177">
        <v>8015794.0</v>
      </c>
      <c r="F842" s="178" t="s">
        <v>1127</v>
      </c>
      <c r="G842" s="176">
        <v>46307.20833333333</v>
      </c>
      <c r="H842" s="179">
        <v>46310.20833333333</v>
      </c>
      <c r="I842" s="180">
        <v>3.0</v>
      </c>
      <c r="J842" s="181" t="s">
        <v>114</v>
      </c>
      <c r="K842" s="178" t="s">
        <v>79</v>
      </c>
      <c r="L842" s="178" t="s">
        <v>96</v>
      </c>
      <c r="M842" s="182">
        <v>2.0</v>
      </c>
      <c r="N842" s="183">
        <v>0.0</v>
      </c>
      <c r="O842" s="184">
        <v>225.36</v>
      </c>
      <c r="P842" s="184">
        <v>225.36</v>
      </c>
      <c r="Q842" s="185">
        <v>0.0</v>
      </c>
      <c r="R842" s="186">
        <v>676.08</v>
      </c>
      <c r="S842" s="186">
        <v>0.0</v>
      </c>
      <c r="T842" s="186">
        <v>4200.6</v>
      </c>
      <c r="U842" s="187" t="s">
        <v>97</v>
      </c>
      <c r="V842" s="176">
        <v>46032.0</v>
      </c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</row>
    <row r="843">
      <c r="A843" s="165">
        <v>46032.0</v>
      </c>
      <c r="B843" s="166">
        <v>8015794.0</v>
      </c>
      <c r="C843" s="166" t="s">
        <v>82</v>
      </c>
      <c r="D843" s="166" t="s">
        <v>94</v>
      </c>
      <c r="E843" s="166">
        <v>8015794.0</v>
      </c>
      <c r="F843" s="166" t="s">
        <v>1127</v>
      </c>
      <c r="G843" s="165">
        <v>46307.20833333333</v>
      </c>
      <c r="H843" s="167">
        <v>46310.20833333333</v>
      </c>
      <c r="I843" s="168">
        <v>3.0</v>
      </c>
      <c r="J843" s="169" t="s">
        <v>111</v>
      </c>
      <c r="K843" s="166" t="s">
        <v>79</v>
      </c>
      <c r="L843" s="166" t="s">
        <v>96</v>
      </c>
      <c r="M843" s="166">
        <v>2.0</v>
      </c>
      <c r="N843" s="170">
        <v>0.0</v>
      </c>
      <c r="O843" s="171">
        <v>249.84</v>
      </c>
      <c r="P843" s="171">
        <v>249.84</v>
      </c>
      <c r="Q843" s="172">
        <v>0.0</v>
      </c>
      <c r="R843" s="173">
        <v>749.52</v>
      </c>
      <c r="S843" s="173">
        <v>0.0</v>
      </c>
      <c r="T843" s="173">
        <v>4200.6</v>
      </c>
      <c r="U843" s="174" t="s">
        <v>97</v>
      </c>
      <c r="V843" s="165">
        <v>46032.0</v>
      </c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  <c r="AG843" s="164"/>
      <c r="AH843" s="164"/>
      <c r="AI843" s="164"/>
    </row>
    <row r="844">
      <c r="A844" s="165">
        <v>46032.0</v>
      </c>
      <c r="B844" s="166">
        <v>8015794.0</v>
      </c>
      <c r="C844" s="166" t="s">
        <v>82</v>
      </c>
      <c r="D844" s="166" t="s">
        <v>94</v>
      </c>
      <c r="E844" s="166">
        <v>8015794.0</v>
      </c>
      <c r="F844" s="166" t="s">
        <v>1127</v>
      </c>
      <c r="G844" s="165">
        <v>46307.20833333333</v>
      </c>
      <c r="H844" s="167">
        <v>46310.20833333333</v>
      </c>
      <c r="I844" s="168">
        <v>3.0</v>
      </c>
      <c r="J844" s="169" t="s">
        <v>91</v>
      </c>
      <c r="K844" s="166" t="s">
        <v>79</v>
      </c>
      <c r="L844" s="166" t="s">
        <v>96</v>
      </c>
      <c r="M844" s="166">
        <v>2.0</v>
      </c>
      <c r="N844" s="170">
        <v>0.0</v>
      </c>
      <c r="O844" s="171">
        <v>499.68</v>
      </c>
      <c r="P844" s="171">
        <v>499.68</v>
      </c>
      <c r="Q844" s="172">
        <v>0.0</v>
      </c>
      <c r="R844" s="173">
        <v>1499.04</v>
      </c>
      <c r="S844" s="173">
        <v>0.0</v>
      </c>
      <c r="T844" s="173">
        <v>4200.6</v>
      </c>
      <c r="U844" s="174" t="s">
        <v>97</v>
      </c>
      <c r="V844" s="165">
        <v>46032.0</v>
      </c>
      <c r="W844" s="175"/>
      <c r="X844" s="175"/>
      <c r="Y844" s="175"/>
      <c r="Z844" s="175"/>
      <c r="AA844" s="175"/>
      <c r="AB844" s="175"/>
      <c r="AC844" s="175"/>
      <c r="AD844" s="175"/>
      <c r="AE844" s="175"/>
      <c r="AF844" s="175"/>
      <c r="AG844" s="175"/>
      <c r="AH844" s="175"/>
      <c r="AI844" s="175"/>
    </row>
    <row r="845">
      <c r="A845" s="165">
        <v>46040.0</v>
      </c>
      <c r="B845" s="166">
        <v>8051376.0</v>
      </c>
      <c r="C845" s="166" t="s">
        <v>82</v>
      </c>
      <c r="D845" s="166" t="s">
        <v>36</v>
      </c>
      <c r="E845" s="166">
        <v>8051376.0</v>
      </c>
      <c r="F845" s="166" t="s">
        <v>1128</v>
      </c>
      <c r="G845" s="165">
        <v>46307.20833333333</v>
      </c>
      <c r="H845" s="167">
        <v>46309.20833333333</v>
      </c>
      <c r="I845" s="168">
        <v>2.0</v>
      </c>
      <c r="J845" s="169" t="s">
        <v>78</v>
      </c>
      <c r="K845" s="166" t="s">
        <v>79</v>
      </c>
      <c r="L845" s="166" t="s">
        <v>96</v>
      </c>
      <c r="M845" s="166">
        <v>2.0</v>
      </c>
      <c r="N845" s="170">
        <v>0.0</v>
      </c>
      <c r="O845" s="171">
        <v>200.16</v>
      </c>
      <c r="P845" s="171">
        <v>198.1584</v>
      </c>
      <c r="Q845" s="172">
        <v>0.0</v>
      </c>
      <c r="R845" s="173">
        <v>396.3168</v>
      </c>
      <c r="S845" s="173">
        <v>0.0</v>
      </c>
      <c r="T845" s="173">
        <v>410.32</v>
      </c>
      <c r="U845" s="174" t="s">
        <v>97</v>
      </c>
      <c r="V845" s="165">
        <v>46040.0</v>
      </c>
      <c r="W845" s="175"/>
      <c r="X845" s="175"/>
      <c r="Y845" s="175"/>
      <c r="Z845" s="175"/>
      <c r="AA845" s="175"/>
      <c r="AB845" s="175"/>
      <c r="AC845" s="175"/>
      <c r="AD845" s="175"/>
      <c r="AE845" s="175"/>
      <c r="AF845" s="175"/>
      <c r="AG845" s="175"/>
      <c r="AH845" s="175"/>
      <c r="AI845" s="175"/>
    </row>
    <row r="846">
      <c r="A846" s="165">
        <v>46031.0</v>
      </c>
      <c r="B846" s="166">
        <v>8013501.0</v>
      </c>
      <c r="C846" s="166" t="s">
        <v>82</v>
      </c>
      <c r="D846" s="166" t="s">
        <v>35</v>
      </c>
      <c r="E846" s="166">
        <v>5.166880542E9</v>
      </c>
      <c r="F846" s="166" t="s">
        <v>1129</v>
      </c>
      <c r="G846" s="165">
        <v>46308.20833333333</v>
      </c>
      <c r="H846" s="167">
        <v>46309.20833333333</v>
      </c>
      <c r="I846" s="168">
        <v>1.0</v>
      </c>
      <c r="J846" s="169" t="s">
        <v>111</v>
      </c>
      <c r="K846" s="166" t="s">
        <v>138</v>
      </c>
      <c r="L846" s="166" t="s">
        <v>80</v>
      </c>
      <c r="M846" s="166">
        <v>2.0</v>
      </c>
      <c r="N846" s="170">
        <v>0.19999999999999996</v>
      </c>
      <c r="O846" s="171">
        <v>303.21</v>
      </c>
      <c r="P846" s="171">
        <v>242.56799999999998</v>
      </c>
      <c r="Q846" s="172">
        <v>36.0</v>
      </c>
      <c r="R846" s="173">
        <v>242.56799999999998</v>
      </c>
      <c r="S846" s="173">
        <v>36.0</v>
      </c>
      <c r="T846" s="162">
        <v>337.01</v>
      </c>
      <c r="U846" s="163" t="s">
        <v>751</v>
      </c>
      <c r="V846" s="154">
        <v>46031.0</v>
      </c>
      <c r="W846" s="175"/>
      <c r="X846" s="175"/>
      <c r="Y846" s="175"/>
      <c r="Z846" s="175"/>
      <c r="AA846" s="175"/>
      <c r="AB846" s="175"/>
      <c r="AC846" s="175"/>
      <c r="AD846" s="175"/>
      <c r="AE846" s="175"/>
      <c r="AF846" s="175"/>
      <c r="AG846" s="175"/>
      <c r="AH846" s="175"/>
      <c r="AI846" s="175"/>
    </row>
    <row r="847">
      <c r="A847" s="165">
        <v>46076.0</v>
      </c>
      <c r="B847" s="166">
        <v>8212070.0</v>
      </c>
      <c r="C847" s="166" t="s">
        <v>82</v>
      </c>
      <c r="D847" s="166" t="s">
        <v>101</v>
      </c>
      <c r="E847" s="166">
        <v>2.400013936E9</v>
      </c>
      <c r="F847" s="166" t="s">
        <v>1130</v>
      </c>
      <c r="G847" s="165">
        <v>46308.20833333333</v>
      </c>
      <c r="H847" s="167">
        <v>46309.20833333333</v>
      </c>
      <c r="I847" s="168">
        <v>1.0</v>
      </c>
      <c r="J847" s="169" t="s">
        <v>78</v>
      </c>
      <c r="K847" s="166" t="s">
        <v>79</v>
      </c>
      <c r="L847" s="166" t="s">
        <v>103</v>
      </c>
      <c r="M847" s="205">
        <v>2.0</v>
      </c>
      <c r="N847" s="170">
        <v>0.0</v>
      </c>
      <c r="O847" s="171">
        <v>200.16</v>
      </c>
      <c r="P847" s="171">
        <v>160.12800000000001</v>
      </c>
      <c r="Q847" s="172">
        <v>0.0</v>
      </c>
      <c r="R847" s="173">
        <v>160.12800000000001</v>
      </c>
      <c r="S847" s="173">
        <v>0.0</v>
      </c>
      <c r="T847" s="173">
        <v>200.16</v>
      </c>
      <c r="U847" s="174" t="s">
        <v>104</v>
      </c>
      <c r="V847" s="165">
        <v>46076.0</v>
      </c>
      <c r="W847" s="175"/>
      <c r="X847" s="175"/>
      <c r="Y847" s="175"/>
      <c r="Z847" s="175"/>
      <c r="AA847" s="175"/>
      <c r="AB847" s="175"/>
      <c r="AC847" s="175"/>
      <c r="AD847" s="175"/>
      <c r="AE847" s="175"/>
      <c r="AF847" s="175"/>
      <c r="AG847" s="175"/>
      <c r="AH847" s="175"/>
      <c r="AI847" s="175"/>
    </row>
    <row r="848">
      <c r="A848" s="165">
        <v>46076.0</v>
      </c>
      <c r="B848" s="166">
        <v>8212072.0</v>
      </c>
      <c r="C848" s="166" t="s">
        <v>82</v>
      </c>
      <c r="D848" s="166" t="s">
        <v>101</v>
      </c>
      <c r="E848" s="166">
        <v>2.40001393E9</v>
      </c>
      <c r="F848" s="166" t="s">
        <v>1131</v>
      </c>
      <c r="G848" s="165">
        <v>46308.20833333333</v>
      </c>
      <c r="H848" s="167">
        <v>46309.20833333333</v>
      </c>
      <c r="I848" s="168">
        <v>1.0</v>
      </c>
      <c r="J848" s="169" t="s">
        <v>78</v>
      </c>
      <c r="K848" s="166" t="s">
        <v>79</v>
      </c>
      <c r="L848" s="166" t="s">
        <v>103</v>
      </c>
      <c r="M848" s="166">
        <v>2.0</v>
      </c>
      <c r="N848" s="170">
        <v>0.0</v>
      </c>
      <c r="O848" s="171">
        <v>200.16</v>
      </c>
      <c r="P848" s="171">
        <v>160.12800000000001</v>
      </c>
      <c r="Q848" s="172">
        <v>0.0</v>
      </c>
      <c r="R848" s="173">
        <v>160.12800000000001</v>
      </c>
      <c r="S848" s="173">
        <v>0.0</v>
      </c>
      <c r="T848" s="173">
        <v>200.16</v>
      </c>
      <c r="U848" s="174" t="s">
        <v>104</v>
      </c>
      <c r="V848" s="165">
        <v>46076.0</v>
      </c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</row>
    <row r="849">
      <c r="A849" s="154">
        <v>45994.0</v>
      </c>
      <c r="B849" s="155">
        <v>7879060.0</v>
      </c>
      <c r="C849" s="156" t="s">
        <v>75</v>
      </c>
      <c r="D849" s="156" t="s">
        <v>94</v>
      </c>
      <c r="E849" s="155">
        <v>7879060.0</v>
      </c>
      <c r="F849" s="156" t="s">
        <v>698</v>
      </c>
      <c r="G849" s="154">
        <v>46309.20833333333</v>
      </c>
      <c r="H849" s="157">
        <v>46310.20833333333</v>
      </c>
      <c r="I849" s="158">
        <v>1.0</v>
      </c>
      <c r="J849" s="159" t="s">
        <v>111</v>
      </c>
      <c r="K849" s="156" t="s">
        <v>79</v>
      </c>
      <c r="L849" s="156" t="s">
        <v>96</v>
      </c>
      <c r="M849" s="155">
        <v>2.0</v>
      </c>
      <c r="N849" s="160">
        <v>0.0</v>
      </c>
      <c r="O849" s="161">
        <v>249.84</v>
      </c>
      <c r="P849" s="161">
        <v>249.84</v>
      </c>
      <c r="Q849" s="203">
        <v>0.0</v>
      </c>
      <c r="R849" s="162">
        <v>249.84</v>
      </c>
      <c r="S849" s="162">
        <v>0.0</v>
      </c>
      <c r="T849" s="162">
        <v>1075.48</v>
      </c>
      <c r="U849" s="163" t="s">
        <v>1132</v>
      </c>
      <c r="V849" s="154">
        <v>45994.0</v>
      </c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</row>
    <row r="850">
      <c r="A850" s="176">
        <v>45994.0</v>
      </c>
      <c r="B850" s="177">
        <v>7879060.0</v>
      </c>
      <c r="C850" s="178" t="s">
        <v>75</v>
      </c>
      <c r="D850" s="178" t="s">
        <v>94</v>
      </c>
      <c r="E850" s="177">
        <v>7879060.0</v>
      </c>
      <c r="F850" s="178" t="s">
        <v>698</v>
      </c>
      <c r="G850" s="176">
        <v>46309.20833333333</v>
      </c>
      <c r="H850" s="179">
        <v>46310.20833333333</v>
      </c>
      <c r="I850" s="180">
        <v>1.0</v>
      </c>
      <c r="J850" s="181" t="s">
        <v>78</v>
      </c>
      <c r="K850" s="178" t="s">
        <v>79</v>
      </c>
      <c r="L850" s="178" t="s">
        <v>96</v>
      </c>
      <c r="M850" s="182">
        <v>2.0</v>
      </c>
      <c r="N850" s="183">
        <v>0.0</v>
      </c>
      <c r="O850" s="184">
        <v>200.16</v>
      </c>
      <c r="P850" s="184">
        <v>200.16</v>
      </c>
      <c r="Q850" s="185">
        <v>0.0</v>
      </c>
      <c r="R850" s="186">
        <v>200.16</v>
      </c>
      <c r="S850" s="186">
        <v>0.0</v>
      </c>
      <c r="T850" s="186">
        <v>1075.48</v>
      </c>
      <c r="U850" s="187" t="s">
        <v>1132</v>
      </c>
      <c r="V850" s="176">
        <v>45994.0</v>
      </c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</row>
    <row r="851">
      <c r="A851" s="176">
        <v>45994.0</v>
      </c>
      <c r="B851" s="177">
        <v>7879060.0</v>
      </c>
      <c r="C851" s="178" t="s">
        <v>75</v>
      </c>
      <c r="D851" s="178" t="s">
        <v>94</v>
      </c>
      <c r="E851" s="177">
        <v>7879060.0</v>
      </c>
      <c r="F851" s="178" t="s">
        <v>698</v>
      </c>
      <c r="G851" s="176">
        <v>46309.20833333333</v>
      </c>
      <c r="H851" s="179">
        <v>46310.20833333333</v>
      </c>
      <c r="I851" s="180">
        <v>1.0</v>
      </c>
      <c r="J851" s="181" t="s">
        <v>78</v>
      </c>
      <c r="K851" s="178" t="s">
        <v>79</v>
      </c>
      <c r="L851" s="178" t="s">
        <v>96</v>
      </c>
      <c r="M851" s="182">
        <v>2.0</v>
      </c>
      <c r="N851" s="183">
        <v>0.0</v>
      </c>
      <c r="O851" s="184">
        <v>200.16</v>
      </c>
      <c r="P851" s="184">
        <v>200.16</v>
      </c>
      <c r="Q851" s="185">
        <v>0.0</v>
      </c>
      <c r="R851" s="186">
        <v>200.16</v>
      </c>
      <c r="S851" s="186">
        <v>0.0</v>
      </c>
      <c r="T851" s="186">
        <v>1075.48</v>
      </c>
      <c r="U851" s="187" t="s">
        <v>1132</v>
      </c>
      <c r="V851" s="176">
        <v>45994.0</v>
      </c>
      <c r="W851" s="175"/>
      <c r="X851" s="175"/>
      <c r="Y851" s="175"/>
      <c r="Z851" s="175"/>
      <c r="AA851" s="175"/>
      <c r="AB851" s="175"/>
      <c r="AC851" s="175"/>
      <c r="AD851" s="175"/>
      <c r="AE851" s="175"/>
      <c r="AF851" s="175"/>
      <c r="AG851" s="175"/>
      <c r="AH851" s="175"/>
      <c r="AI851" s="175"/>
    </row>
    <row r="852">
      <c r="A852" s="165">
        <v>45994.0</v>
      </c>
      <c r="B852" s="166">
        <v>7879060.0</v>
      </c>
      <c r="C852" s="166" t="s">
        <v>75</v>
      </c>
      <c r="D852" s="166" t="s">
        <v>94</v>
      </c>
      <c r="E852" s="166">
        <v>7879060.0</v>
      </c>
      <c r="F852" s="166" t="s">
        <v>698</v>
      </c>
      <c r="G852" s="165">
        <v>46309.20833333333</v>
      </c>
      <c r="H852" s="167">
        <v>46310.20833333333</v>
      </c>
      <c r="I852" s="168">
        <v>1.0</v>
      </c>
      <c r="J852" s="169" t="s">
        <v>78</v>
      </c>
      <c r="K852" s="166" t="s">
        <v>79</v>
      </c>
      <c r="L852" s="166" t="s">
        <v>96</v>
      </c>
      <c r="M852" s="205">
        <v>2.0</v>
      </c>
      <c r="N852" s="170">
        <v>0.0</v>
      </c>
      <c r="O852" s="171">
        <v>200.16</v>
      </c>
      <c r="P852" s="171">
        <v>200.16</v>
      </c>
      <c r="Q852" s="172">
        <v>0.0</v>
      </c>
      <c r="R852" s="173">
        <v>200.16</v>
      </c>
      <c r="S852" s="173">
        <v>0.0</v>
      </c>
      <c r="T852" s="173">
        <v>1075.48</v>
      </c>
      <c r="U852" s="174" t="s">
        <v>1132</v>
      </c>
      <c r="V852" s="207">
        <v>45994.0</v>
      </c>
      <c r="W852" s="164"/>
      <c r="X852" s="164"/>
      <c r="Y852" s="164"/>
      <c r="Z852" s="164"/>
      <c r="AA852" s="164"/>
      <c r="AB852" s="164"/>
      <c r="AC852" s="164"/>
      <c r="AD852" s="164"/>
      <c r="AE852" s="164"/>
      <c r="AF852" s="164"/>
      <c r="AG852" s="164"/>
      <c r="AH852" s="164"/>
      <c r="AI852" s="164"/>
    </row>
    <row r="853">
      <c r="A853" s="176">
        <v>45994.0</v>
      </c>
      <c r="B853" s="177">
        <v>7879060.0</v>
      </c>
      <c r="C853" s="178" t="s">
        <v>75</v>
      </c>
      <c r="D853" s="178" t="s">
        <v>94</v>
      </c>
      <c r="E853" s="177">
        <v>7879060.0</v>
      </c>
      <c r="F853" s="178" t="s">
        <v>698</v>
      </c>
      <c r="G853" s="176">
        <v>46309.20833333333</v>
      </c>
      <c r="H853" s="179">
        <v>46310.20833333333</v>
      </c>
      <c r="I853" s="180">
        <v>1.0</v>
      </c>
      <c r="J853" s="181" t="s">
        <v>78</v>
      </c>
      <c r="K853" s="178" t="s">
        <v>79</v>
      </c>
      <c r="L853" s="178" t="s">
        <v>96</v>
      </c>
      <c r="M853" s="182">
        <v>2.0</v>
      </c>
      <c r="N853" s="183">
        <v>0.0</v>
      </c>
      <c r="O853" s="184">
        <v>200.16</v>
      </c>
      <c r="P853" s="184">
        <v>200.16</v>
      </c>
      <c r="Q853" s="185">
        <v>0.0</v>
      </c>
      <c r="R853" s="186">
        <v>200.16</v>
      </c>
      <c r="S853" s="186">
        <v>0.0</v>
      </c>
      <c r="T853" s="186">
        <v>1075.48</v>
      </c>
      <c r="U853" s="187" t="s">
        <v>1132</v>
      </c>
      <c r="V853" s="176">
        <v>45994.0</v>
      </c>
      <c r="W853" s="164"/>
      <c r="X853" s="164"/>
      <c r="Y853" s="164"/>
      <c r="Z853" s="164"/>
      <c r="AA853" s="164"/>
      <c r="AB853" s="164"/>
      <c r="AC853" s="164"/>
      <c r="AD853" s="164"/>
      <c r="AE853" s="164"/>
      <c r="AF853" s="164"/>
      <c r="AG853" s="164"/>
      <c r="AH853" s="164"/>
      <c r="AI853" s="164"/>
    </row>
    <row r="854">
      <c r="A854" s="176">
        <v>46006.0</v>
      </c>
      <c r="B854" s="177">
        <v>7920733.0</v>
      </c>
      <c r="C854" s="178" t="s">
        <v>82</v>
      </c>
      <c r="D854" s="178" t="s">
        <v>35</v>
      </c>
      <c r="E854" s="177">
        <v>5.763165972E9</v>
      </c>
      <c r="F854" s="178" t="s">
        <v>1133</v>
      </c>
      <c r="G854" s="176">
        <v>46309.20833333333</v>
      </c>
      <c r="H854" s="179">
        <v>46312.20833333333</v>
      </c>
      <c r="I854" s="180">
        <v>3.0</v>
      </c>
      <c r="J854" s="181" t="s">
        <v>78</v>
      </c>
      <c r="K854" s="178" t="s">
        <v>79</v>
      </c>
      <c r="L854" s="178" t="s">
        <v>80</v>
      </c>
      <c r="M854" s="182">
        <v>2.0</v>
      </c>
      <c r="N854" s="183">
        <v>0.19999999999999996</v>
      </c>
      <c r="O854" s="184">
        <v>155.72</v>
      </c>
      <c r="P854" s="184">
        <v>124.57600000000001</v>
      </c>
      <c r="Q854" s="185">
        <v>0.0</v>
      </c>
      <c r="R854" s="186">
        <v>373.728</v>
      </c>
      <c r="S854" s="186">
        <v>0.0</v>
      </c>
      <c r="T854" s="186">
        <v>467.16</v>
      </c>
      <c r="U854" s="187" t="s">
        <v>353</v>
      </c>
      <c r="V854" s="176">
        <v>46006.0</v>
      </c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</row>
    <row r="855">
      <c r="A855" s="165">
        <v>46075.0</v>
      </c>
      <c r="B855" s="166">
        <v>8207066.0</v>
      </c>
      <c r="C855" s="166" t="s">
        <v>75</v>
      </c>
      <c r="D855" s="166" t="s">
        <v>35</v>
      </c>
      <c r="E855" s="166">
        <v>6.494654601E9</v>
      </c>
      <c r="F855" s="166" t="s">
        <v>1134</v>
      </c>
      <c r="G855" s="165">
        <v>46309.20833333333</v>
      </c>
      <c r="H855" s="167">
        <v>46310.20833333333</v>
      </c>
      <c r="I855" s="168">
        <v>1.0</v>
      </c>
      <c r="J855" s="169" t="s">
        <v>78</v>
      </c>
      <c r="K855" s="166" t="s">
        <v>79</v>
      </c>
      <c r="L855" s="166" t="s">
        <v>80</v>
      </c>
      <c r="M855" s="205">
        <v>2.0</v>
      </c>
      <c r="N855" s="170">
        <v>0.19999999999999996</v>
      </c>
      <c r="O855" s="171">
        <v>128.74</v>
      </c>
      <c r="P855" s="171">
        <v>102.99200000000002</v>
      </c>
      <c r="Q855" s="172">
        <v>0.0</v>
      </c>
      <c r="R855" s="173">
        <v>102.99200000000002</v>
      </c>
      <c r="S855" s="173">
        <v>0.0</v>
      </c>
      <c r="T855" s="173">
        <v>133.74</v>
      </c>
      <c r="U855" s="174" t="s">
        <v>1135</v>
      </c>
      <c r="V855" s="165">
        <v>46075.0</v>
      </c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</row>
    <row r="856">
      <c r="A856" s="165">
        <v>46032.0</v>
      </c>
      <c r="B856" s="166">
        <v>8015801.0</v>
      </c>
      <c r="C856" s="166" t="s">
        <v>82</v>
      </c>
      <c r="D856" s="166" t="s">
        <v>94</v>
      </c>
      <c r="E856" s="166">
        <v>8015801.0</v>
      </c>
      <c r="F856" s="166" t="s">
        <v>1136</v>
      </c>
      <c r="G856" s="165">
        <v>46310.20833333333</v>
      </c>
      <c r="H856" s="167">
        <v>46311.20833333333</v>
      </c>
      <c r="I856" s="168">
        <v>1.0</v>
      </c>
      <c r="J856" s="169" t="s">
        <v>114</v>
      </c>
      <c r="K856" s="166" t="s">
        <v>79</v>
      </c>
      <c r="L856" s="166" t="s">
        <v>96</v>
      </c>
      <c r="M856" s="166">
        <v>2.0</v>
      </c>
      <c r="N856" s="170">
        <v>0.0</v>
      </c>
      <c r="O856" s="171">
        <v>225.36</v>
      </c>
      <c r="P856" s="171">
        <v>225.36</v>
      </c>
      <c r="Q856" s="172">
        <v>0.0</v>
      </c>
      <c r="R856" s="173">
        <v>225.36</v>
      </c>
      <c r="S856" s="173">
        <v>0.0</v>
      </c>
      <c r="T856" s="173">
        <v>485.2</v>
      </c>
      <c r="U856" s="174" t="s">
        <v>97</v>
      </c>
      <c r="V856" s="165">
        <v>46032.0</v>
      </c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</row>
    <row r="857">
      <c r="A857" s="165">
        <v>46032.0</v>
      </c>
      <c r="B857" s="166">
        <v>8015801.0</v>
      </c>
      <c r="C857" s="166" t="s">
        <v>82</v>
      </c>
      <c r="D857" s="166" t="s">
        <v>94</v>
      </c>
      <c r="E857" s="166">
        <v>8015801.0</v>
      </c>
      <c r="F857" s="166" t="s">
        <v>1136</v>
      </c>
      <c r="G857" s="165">
        <v>46310.20833333333</v>
      </c>
      <c r="H857" s="167">
        <v>46311.20833333333</v>
      </c>
      <c r="I857" s="168">
        <v>1.0</v>
      </c>
      <c r="J857" s="169" t="s">
        <v>111</v>
      </c>
      <c r="K857" s="166" t="s">
        <v>79</v>
      </c>
      <c r="L857" s="166" t="s">
        <v>96</v>
      </c>
      <c r="M857" s="205">
        <v>2.0</v>
      </c>
      <c r="N857" s="170">
        <v>0.0</v>
      </c>
      <c r="O857" s="171">
        <v>249.84</v>
      </c>
      <c r="P857" s="171">
        <v>249.84</v>
      </c>
      <c r="Q857" s="172">
        <v>0.0</v>
      </c>
      <c r="R857" s="173">
        <v>249.84</v>
      </c>
      <c r="S857" s="173">
        <v>0.0</v>
      </c>
      <c r="T857" s="173">
        <v>485.2</v>
      </c>
      <c r="U857" s="201" t="s">
        <v>97</v>
      </c>
      <c r="V857" s="165">
        <v>46032.0</v>
      </c>
      <c r="W857" s="175"/>
      <c r="X857" s="175"/>
      <c r="Y857" s="175"/>
      <c r="Z857" s="175"/>
      <c r="AA857" s="175"/>
      <c r="AB857" s="175"/>
      <c r="AC857" s="175"/>
      <c r="AD857" s="175"/>
      <c r="AE857" s="175"/>
      <c r="AF857" s="175"/>
      <c r="AG857" s="175"/>
      <c r="AH857" s="175"/>
      <c r="AI857" s="175"/>
    </row>
    <row r="858">
      <c r="A858" s="176">
        <v>46073.0</v>
      </c>
      <c r="B858" s="177">
        <v>8199455.0</v>
      </c>
      <c r="C858" s="178" t="s">
        <v>82</v>
      </c>
      <c r="D858" s="178" t="s">
        <v>35</v>
      </c>
      <c r="E858" s="177">
        <v>6.127905498E9</v>
      </c>
      <c r="F858" s="178" t="s">
        <v>1137</v>
      </c>
      <c r="G858" s="176">
        <v>46310.20833333333</v>
      </c>
      <c r="H858" s="179">
        <v>46313.20833333333</v>
      </c>
      <c r="I858" s="180">
        <v>3.0</v>
      </c>
      <c r="J858" s="181" t="s">
        <v>78</v>
      </c>
      <c r="K858" s="178" t="s">
        <v>79</v>
      </c>
      <c r="L858" s="178" t="s">
        <v>80</v>
      </c>
      <c r="M858" s="182">
        <v>2.0</v>
      </c>
      <c r="N858" s="183">
        <v>0.19999999999999996</v>
      </c>
      <c r="O858" s="184">
        <v>153.12</v>
      </c>
      <c r="P858" s="184">
        <v>122.49600000000001</v>
      </c>
      <c r="Q858" s="185">
        <v>0.0</v>
      </c>
      <c r="R858" s="186">
        <v>367.48800000000006</v>
      </c>
      <c r="S858" s="186">
        <v>0.0</v>
      </c>
      <c r="T858" s="186">
        <v>474.36</v>
      </c>
      <c r="U858" s="187" t="s">
        <v>107</v>
      </c>
      <c r="V858" s="176">
        <v>46073.0</v>
      </c>
      <c r="W858" s="175"/>
      <c r="X858" s="175"/>
      <c r="Y858" s="175"/>
      <c r="Z858" s="175"/>
      <c r="AA858" s="175"/>
      <c r="AB858" s="175"/>
      <c r="AC858" s="175"/>
      <c r="AD858" s="175"/>
      <c r="AE858" s="175"/>
      <c r="AF858" s="175"/>
      <c r="AG858" s="175"/>
      <c r="AH858" s="175"/>
      <c r="AI858" s="175"/>
    </row>
    <row r="859">
      <c r="A859" s="165">
        <v>46046.0</v>
      </c>
      <c r="B859" s="166">
        <v>8076677.0</v>
      </c>
      <c r="C859" s="166" t="s">
        <v>82</v>
      </c>
      <c r="D859" s="166" t="s">
        <v>35</v>
      </c>
      <c r="E859" s="166">
        <v>5.238102797E9</v>
      </c>
      <c r="F859" s="166" t="s">
        <v>1138</v>
      </c>
      <c r="G859" s="165">
        <v>46311.20833333333</v>
      </c>
      <c r="H859" s="167">
        <v>46315.20833333333</v>
      </c>
      <c r="I859" s="168">
        <v>4.0</v>
      </c>
      <c r="J859" s="169" t="s">
        <v>78</v>
      </c>
      <c r="K859" s="166" t="s">
        <v>79</v>
      </c>
      <c r="L859" s="166" t="s">
        <v>80</v>
      </c>
      <c r="M859" s="166">
        <v>2.0</v>
      </c>
      <c r="N859" s="170">
        <v>0.19999999999999996</v>
      </c>
      <c r="O859" s="171">
        <v>114.89</v>
      </c>
      <c r="P859" s="171">
        <v>91.912</v>
      </c>
      <c r="Q859" s="172">
        <v>0.0</v>
      </c>
      <c r="R859" s="173">
        <v>367.648</v>
      </c>
      <c r="S859" s="173">
        <v>0.0</v>
      </c>
      <c r="T859" s="173">
        <v>479.56</v>
      </c>
      <c r="U859" s="174" t="s">
        <v>107</v>
      </c>
      <c r="V859" s="165">
        <v>46046.0</v>
      </c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</row>
    <row r="860">
      <c r="A860" s="165">
        <v>46053.0</v>
      </c>
      <c r="B860" s="166">
        <v>8106723.0</v>
      </c>
      <c r="C860" s="166" t="s">
        <v>82</v>
      </c>
      <c r="D860" s="166" t="s">
        <v>35</v>
      </c>
      <c r="E860" s="166">
        <v>5.713088666E9</v>
      </c>
      <c r="F860" s="166" t="s">
        <v>1139</v>
      </c>
      <c r="G860" s="165">
        <v>46311.20833333333</v>
      </c>
      <c r="H860" s="167">
        <v>46315.20833333333</v>
      </c>
      <c r="I860" s="168">
        <v>4.0</v>
      </c>
      <c r="J860" s="169" t="s">
        <v>114</v>
      </c>
      <c r="K860" s="166" t="s">
        <v>79</v>
      </c>
      <c r="L860" s="166" t="s">
        <v>80</v>
      </c>
      <c r="M860" s="166">
        <v>2.0</v>
      </c>
      <c r="N860" s="170">
        <v>0.19999999999999996</v>
      </c>
      <c r="O860" s="171">
        <v>158.75</v>
      </c>
      <c r="P860" s="171">
        <v>127.0</v>
      </c>
      <c r="Q860" s="169">
        <v>0.0</v>
      </c>
      <c r="R860" s="173">
        <v>508.0</v>
      </c>
      <c r="S860" s="173">
        <v>0.0</v>
      </c>
      <c r="T860" s="173">
        <v>655.0</v>
      </c>
      <c r="U860" s="201" t="s">
        <v>107</v>
      </c>
      <c r="V860" s="165">
        <v>46053.0</v>
      </c>
      <c r="W860" s="164"/>
      <c r="X860" s="164"/>
      <c r="Y860" s="164"/>
      <c r="Z860" s="164"/>
      <c r="AA860" s="164"/>
      <c r="AB860" s="164"/>
      <c r="AC860" s="164"/>
      <c r="AD860" s="164"/>
      <c r="AE860" s="164"/>
      <c r="AF860" s="164"/>
      <c r="AG860" s="164"/>
      <c r="AH860" s="164"/>
      <c r="AI860" s="164"/>
    </row>
    <row r="861">
      <c r="A861" s="176">
        <v>46015.0</v>
      </c>
      <c r="B861" s="177">
        <v>7952219.0</v>
      </c>
      <c r="C861" s="178" t="s">
        <v>75</v>
      </c>
      <c r="D861" s="178" t="s">
        <v>35</v>
      </c>
      <c r="E861" s="177">
        <v>5.994952306E9</v>
      </c>
      <c r="F861" s="178" t="s">
        <v>1140</v>
      </c>
      <c r="G861" s="176">
        <v>46312.20833333333</v>
      </c>
      <c r="H861" s="179">
        <v>46314.20833333333</v>
      </c>
      <c r="I861" s="180">
        <v>2.0</v>
      </c>
      <c r="J861" s="181" t="s">
        <v>78</v>
      </c>
      <c r="K861" s="178" t="s">
        <v>79</v>
      </c>
      <c r="L861" s="178" t="s">
        <v>80</v>
      </c>
      <c r="M861" s="182">
        <v>2.0</v>
      </c>
      <c r="N861" s="183">
        <v>0.19999999999999996</v>
      </c>
      <c r="O861" s="184">
        <v>164.14</v>
      </c>
      <c r="P861" s="184">
        <v>131.31199999999998</v>
      </c>
      <c r="Q861" s="185">
        <v>0.0</v>
      </c>
      <c r="R861" s="186">
        <v>262.62399999999997</v>
      </c>
      <c r="S861" s="186">
        <v>0.0</v>
      </c>
      <c r="T861" s="186">
        <v>338.28</v>
      </c>
      <c r="U861" s="187" t="s">
        <v>1141</v>
      </c>
      <c r="V861" s="176">
        <v>46015.0</v>
      </c>
      <c r="W861" s="175"/>
      <c r="X861" s="175"/>
      <c r="Y861" s="175"/>
      <c r="Z861" s="175"/>
      <c r="AA861" s="175"/>
      <c r="AB861" s="175"/>
      <c r="AC861" s="175"/>
      <c r="AD861" s="175"/>
      <c r="AE861" s="175"/>
      <c r="AF861" s="175"/>
      <c r="AG861" s="175"/>
      <c r="AH861" s="175"/>
      <c r="AI861" s="175"/>
    </row>
    <row r="862">
      <c r="A862" s="190">
        <v>46060.0</v>
      </c>
      <c r="B862" s="191">
        <v>8139834.0</v>
      </c>
      <c r="C862" s="192" t="s">
        <v>89</v>
      </c>
      <c r="D862" s="192" t="s">
        <v>35</v>
      </c>
      <c r="E862" s="191">
        <v>5.008447477E9</v>
      </c>
      <c r="F862" s="192" t="s">
        <v>1142</v>
      </c>
      <c r="G862" s="190">
        <v>46312.20833333333</v>
      </c>
      <c r="H862" s="193">
        <v>46313.20833333333</v>
      </c>
      <c r="I862" s="194">
        <v>1.0</v>
      </c>
      <c r="J862" s="195" t="s">
        <v>87</v>
      </c>
      <c r="K862" s="192" t="s">
        <v>79</v>
      </c>
      <c r="L862" s="192" t="s">
        <v>80</v>
      </c>
      <c r="M862" s="191">
        <v>0.0</v>
      </c>
      <c r="N862" s="196">
        <v>0.0</v>
      </c>
      <c r="O862" s="197">
        <v>0.0</v>
      </c>
      <c r="P862" s="197">
        <v>0.0</v>
      </c>
      <c r="Q862" s="198">
        <v>0.0</v>
      </c>
      <c r="R862" s="199">
        <v>0.0</v>
      </c>
      <c r="S862" s="199">
        <v>0.0</v>
      </c>
      <c r="T862" s="199">
        <v>0.0</v>
      </c>
      <c r="U862" s="200" t="s">
        <v>1143</v>
      </c>
      <c r="V862" s="190">
        <v>46068.0</v>
      </c>
      <c r="W862" s="164"/>
      <c r="X862" s="164"/>
      <c r="Y862" s="164"/>
      <c r="Z862" s="164"/>
      <c r="AA862" s="164"/>
      <c r="AB862" s="164"/>
      <c r="AC862" s="164"/>
      <c r="AD862" s="164"/>
      <c r="AE862" s="164"/>
      <c r="AF862" s="164"/>
      <c r="AG862" s="164"/>
      <c r="AH862" s="164"/>
      <c r="AI862" s="164"/>
    </row>
    <row r="863">
      <c r="A863" s="176">
        <v>45959.0</v>
      </c>
      <c r="B863" s="177">
        <v>7745271.0</v>
      </c>
      <c r="C863" s="178" t="s">
        <v>82</v>
      </c>
      <c r="D863" s="178" t="s">
        <v>35</v>
      </c>
      <c r="E863" s="177">
        <v>5.091205158E9</v>
      </c>
      <c r="F863" s="178" t="s">
        <v>1144</v>
      </c>
      <c r="G863" s="176">
        <v>46313.20833333333</v>
      </c>
      <c r="H863" s="179">
        <v>46317.20833333333</v>
      </c>
      <c r="I863" s="180">
        <v>4.0</v>
      </c>
      <c r="J863" s="181" t="s">
        <v>78</v>
      </c>
      <c r="K863" s="178" t="s">
        <v>79</v>
      </c>
      <c r="L863" s="178" t="s">
        <v>80</v>
      </c>
      <c r="M863" s="177">
        <v>2.0</v>
      </c>
      <c r="N863" s="183">
        <v>0.19999999999999996</v>
      </c>
      <c r="O863" s="184">
        <v>114.89</v>
      </c>
      <c r="P863" s="184">
        <v>91.912</v>
      </c>
      <c r="Q863" s="181">
        <v>0.0</v>
      </c>
      <c r="R863" s="186">
        <v>367.648</v>
      </c>
      <c r="S863" s="186">
        <v>0.0</v>
      </c>
      <c r="T863" s="186">
        <v>479.56</v>
      </c>
      <c r="U863" s="187" t="s">
        <v>107</v>
      </c>
      <c r="V863" s="176">
        <v>45959.0</v>
      </c>
      <c r="W863" s="175"/>
      <c r="X863" s="175"/>
      <c r="Y863" s="175"/>
      <c r="Z863" s="175"/>
      <c r="AA863" s="175"/>
      <c r="AB863" s="175"/>
      <c r="AC863" s="175"/>
      <c r="AD863" s="175"/>
      <c r="AE863" s="175"/>
      <c r="AF863" s="175"/>
      <c r="AG863" s="175"/>
      <c r="AH863" s="175"/>
      <c r="AI863" s="175"/>
    </row>
    <row r="864">
      <c r="A864" s="154">
        <v>46006.0</v>
      </c>
      <c r="B864" s="155">
        <v>7920737.0</v>
      </c>
      <c r="C864" s="156" t="s">
        <v>82</v>
      </c>
      <c r="D864" s="156" t="s">
        <v>35</v>
      </c>
      <c r="E864" s="155">
        <v>6.575027285E9</v>
      </c>
      <c r="F864" s="156" t="s">
        <v>1133</v>
      </c>
      <c r="G864" s="154">
        <v>46313.20833333333</v>
      </c>
      <c r="H864" s="157">
        <v>46314.20833333333</v>
      </c>
      <c r="I864" s="158">
        <v>1.0</v>
      </c>
      <c r="J864" s="159" t="s">
        <v>78</v>
      </c>
      <c r="K864" s="156" t="s">
        <v>79</v>
      </c>
      <c r="L864" s="156" t="s">
        <v>80</v>
      </c>
      <c r="M864" s="202">
        <v>2.0</v>
      </c>
      <c r="N864" s="160">
        <v>0.19999999999999996</v>
      </c>
      <c r="O864" s="161">
        <v>150.72</v>
      </c>
      <c r="P864" s="161">
        <v>120.57600000000001</v>
      </c>
      <c r="Q864" s="203">
        <v>0.0</v>
      </c>
      <c r="R864" s="162">
        <v>120.57600000000001</v>
      </c>
      <c r="S864" s="162">
        <v>0.0</v>
      </c>
      <c r="T864" s="162">
        <v>155.72</v>
      </c>
      <c r="U864" s="163" t="s">
        <v>353</v>
      </c>
      <c r="V864" s="154">
        <v>46006.0</v>
      </c>
      <c r="W864" s="175"/>
      <c r="X864" s="175"/>
      <c r="Y864" s="175"/>
      <c r="Z864" s="175"/>
      <c r="AA864" s="175"/>
      <c r="AB864" s="175"/>
      <c r="AC864" s="175"/>
      <c r="AD864" s="175"/>
      <c r="AE864" s="175"/>
      <c r="AF864" s="175"/>
      <c r="AG864" s="175"/>
      <c r="AH864" s="175"/>
      <c r="AI864" s="175"/>
    </row>
    <row r="865">
      <c r="A865" s="176">
        <v>46021.0</v>
      </c>
      <c r="B865" s="177">
        <v>7972101.0</v>
      </c>
      <c r="C865" s="178" t="s">
        <v>89</v>
      </c>
      <c r="D865" s="178" t="s">
        <v>35</v>
      </c>
      <c r="E865" s="177">
        <v>5.832424783E9</v>
      </c>
      <c r="F865" s="178" t="s">
        <v>1145</v>
      </c>
      <c r="G865" s="176">
        <v>46314.20833333333</v>
      </c>
      <c r="H865" s="179">
        <v>46320.20833333333</v>
      </c>
      <c r="I865" s="180">
        <v>6.0</v>
      </c>
      <c r="J865" s="181" t="s">
        <v>78</v>
      </c>
      <c r="K865" s="178" t="s">
        <v>79</v>
      </c>
      <c r="L865" s="178" t="s">
        <v>80</v>
      </c>
      <c r="M865" s="177">
        <v>0.0</v>
      </c>
      <c r="N865" s="183">
        <v>0.0</v>
      </c>
      <c r="O865" s="184">
        <v>0.0</v>
      </c>
      <c r="P865" s="184">
        <v>0.0</v>
      </c>
      <c r="Q865" s="181">
        <v>0.0</v>
      </c>
      <c r="R865" s="186">
        <v>0.0</v>
      </c>
      <c r="S865" s="186">
        <v>0.0</v>
      </c>
      <c r="T865" s="186">
        <v>0.0</v>
      </c>
      <c r="U865" s="187" t="s">
        <v>1146</v>
      </c>
      <c r="V865" s="189">
        <v>46093.0</v>
      </c>
      <c r="W865" s="175"/>
      <c r="X865" s="175"/>
      <c r="Y865" s="175"/>
      <c r="Z865" s="175"/>
      <c r="AA865" s="175"/>
      <c r="AB865" s="175"/>
      <c r="AC865" s="175"/>
      <c r="AD865" s="175"/>
      <c r="AE865" s="175"/>
      <c r="AF865" s="175"/>
      <c r="AG865" s="175"/>
      <c r="AH865" s="175"/>
      <c r="AI865" s="175"/>
    </row>
    <row r="866">
      <c r="A866" s="154">
        <v>46075.0</v>
      </c>
      <c r="B866" s="155">
        <v>8209211.0</v>
      </c>
      <c r="C866" s="156" t="s">
        <v>82</v>
      </c>
      <c r="D866" s="156" t="s">
        <v>35</v>
      </c>
      <c r="E866" s="155">
        <v>5.807544837E9</v>
      </c>
      <c r="F866" s="156" t="s">
        <v>1147</v>
      </c>
      <c r="G866" s="154">
        <v>46314.20833333333</v>
      </c>
      <c r="H866" s="157">
        <v>46318.20833333333</v>
      </c>
      <c r="I866" s="158">
        <v>4.0</v>
      </c>
      <c r="J866" s="159" t="s">
        <v>114</v>
      </c>
      <c r="K866" s="156" t="s">
        <v>79</v>
      </c>
      <c r="L866" s="156" t="s">
        <v>80</v>
      </c>
      <c r="M866" s="155">
        <v>2.0</v>
      </c>
      <c r="N866" s="160">
        <v>0.19999999999999996</v>
      </c>
      <c r="O866" s="161">
        <v>149.16</v>
      </c>
      <c r="P866" s="161">
        <v>119.328</v>
      </c>
      <c r="Q866" s="203">
        <v>0.0</v>
      </c>
      <c r="R866" s="162">
        <v>477.312</v>
      </c>
      <c r="S866" s="162">
        <v>0.0</v>
      </c>
      <c r="T866" s="162">
        <v>616.64</v>
      </c>
      <c r="U866" s="163" t="s">
        <v>107</v>
      </c>
      <c r="V866" s="154">
        <v>46075.0</v>
      </c>
      <c r="W866" s="175"/>
      <c r="X866" s="175"/>
      <c r="Y866" s="175"/>
      <c r="Z866" s="175"/>
      <c r="AA866" s="175"/>
      <c r="AB866" s="175"/>
      <c r="AC866" s="175"/>
      <c r="AD866" s="175"/>
      <c r="AE866" s="175"/>
      <c r="AF866" s="175"/>
      <c r="AG866" s="175"/>
      <c r="AH866" s="175"/>
      <c r="AI866" s="175"/>
    </row>
    <row r="867">
      <c r="A867" s="165">
        <v>46024.0</v>
      </c>
      <c r="B867" s="166">
        <v>7982665.0</v>
      </c>
      <c r="C867" s="166" t="s">
        <v>89</v>
      </c>
      <c r="D867" s="166" t="s">
        <v>35</v>
      </c>
      <c r="E867" s="166">
        <v>6.77214887E9</v>
      </c>
      <c r="F867" s="166" t="s">
        <v>1148</v>
      </c>
      <c r="G867" s="165">
        <v>46315.20833333333</v>
      </c>
      <c r="H867" s="167">
        <v>46319.20833333333</v>
      </c>
      <c r="I867" s="168">
        <v>4.0</v>
      </c>
      <c r="J867" s="169" t="s">
        <v>78</v>
      </c>
      <c r="K867" s="166" t="s">
        <v>79</v>
      </c>
      <c r="L867" s="166" t="s">
        <v>80</v>
      </c>
      <c r="M867" s="205">
        <v>0.0</v>
      </c>
      <c r="N867" s="170">
        <v>0.0</v>
      </c>
      <c r="O867" s="171">
        <v>0.0</v>
      </c>
      <c r="P867" s="171">
        <v>0.0</v>
      </c>
      <c r="Q867" s="172">
        <v>0.0</v>
      </c>
      <c r="R867" s="173">
        <v>0.0</v>
      </c>
      <c r="S867" s="173">
        <v>0.0</v>
      </c>
      <c r="T867" s="173">
        <v>0.0</v>
      </c>
      <c r="U867" s="201" t="s">
        <v>838</v>
      </c>
      <c r="V867" s="165">
        <v>46024.0</v>
      </c>
      <c r="W867" s="164"/>
      <c r="X867" s="164"/>
      <c r="Y867" s="164"/>
      <c r="Z867" s="164"/>
      <c r="AA867" s="164"/>
      <c r="AB867" s="164"/>
      <c r="AC867" s="164"/>
      <c r="AD867" s="164"/>
      <c r="AE867" s="164"/>
      <c r="AF867" s="164"/>
      <c r="AG867" s="164"/>
      <c r="AH867" s="164"/>
      <c r="AI867" s="164"/>
    </row>
    <row r="868">
      <c r="A868" s="190">
        <v>46013.0</v>
      </c>
      <c r="B868" s="191">
        <v>7945143.0</v>
      </c>
      <c r="C868" s="192" t="s">
        <v>82</v>
      </c>
      <c r="D868" s="192" t="s">
        <v>36</v>
      </c>
      <c r="E868" s="191">
        <v>7945143.0</v>
      </c>
      <c r="F868" s="192" t="s">
        <v>1149</v>
      </c>
      <c r="G868" s="190">
        <v>46317.20833333333</v>
      </c>
      <c r="H868" s="193">
        <v>46321.20833333333</v>
      </c>
      <c r="I868" s="194">
        <v>4.0</v>
      </c>
      <c r="J868" s="195" t="s">
        <v>78</v>
      </c>
      <c r="K868" s="192" t="s">
        <v>79</v>
      </c>
      <c r="L868" s="192" t="s">
        <v>96</v>
      </c>
      <c r="M868" s="191">
        <v>2.0</v>
      </c>
      <c r="N868" s="196">
        <v>0.0</v>
      </c>
      <c r="O868" s="197">
        <v>162.63</v>
      </c>
      <c r="P868" s="197">
        <v>161.00369999999998</v>
      </c>
      <c r="Q868" s="198">
        <v>0.0</v>
      </c>
      <c r="R868" s="199">
        <v>644.0147999999999</v>
      </c>
      <c r="S868" s="199">
        <v>0.0</v>
      </c>
      <c r="T868" s="199">
        <v>670.52</v>
      </c>
      <c r="U868" s="200" t="s">
        <v>97</v>
      </c>
      <c r="V868" s="190">
        <v>46013.0</v>
      </c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</row>
    <row r="869">
      <c r="A869" s="176">
        <v>46023.0</v>
      </c>
      <c r="B869" s="177">
        <v>7980614.0</v>
      </c>
      <c r="C869" s="178" t="s">
        <v>75</v>
      </c>
      <c r="D869" s="178" t="s">
        <v>35</v>
      </c>
      <c r="E869" s="177">
        <v>5.671733373E9</v>
      </c>
      <c r="F869" s="178" t="s">
        <v>1150</v>
      </c>
      <c r="G869" s="176">
        <v>46318.20833333333</v>
      </c>
      <c r="H869" s="179">
        <v>46323.20833333333</v>
      </c>
      <c r="I869" s="180">
        <v>5.0</v>
      </c>
      <c r="J869" s="181" t="s">
        <v>114</v>
      </c>
      <c r="K869" s="178" t="s">
        <v>79</v>
      </c>
      <c r="L869" s="178" t="s">
        <v>80</v>
      </c>
      <c r="M869" s="182">
        <v>2.0</v>
      </c>
      <c r="N869" s="183">
        <v>0.19999999999999996</v>
      </c>
      <c r="O869" s="184">
        <v>200.32</v>
      </c>
      <c r="P869" s="184">
        <v>160.256</v>
      </c>
      <c r="Q869" s="185">
        <v>0.0</v>
      </c>
      <c r="R869" s="186">
        <v>801.28</v>
      </c>
      <c r="S869" s="186">
        <v>0.0</v>
      </c>
      <c r="T869" s="186">
        <v>1829.2</v>
      </c>
      <c r="U869" s="187" t="s">
        <v>1151</v>
      </c>
      <c r="V869" s="176">
        <v>46023.0</v>
      </c>
      <c r="W869" s="175"/>
      <c r="X869" s="175"/>
      <c r="Y869" s="175"/>
      <c r="Z869" s="175"/>
      <c r="AA869" s="175"/>
      <c r="AB869" s="175"/>
      <c r="AC869" s="175"/>
      <c r="AD869" s="175"/>
      <c r="AE869" s="175"/>
      <c r="AF869" s="175"/>
      <c r="AG869" s="175"/>
      <c r="AH869" s="175"/>
      <c r="AI869" s="175"/>
    </row>
    <row r="870">
      <c r="A870" s="165">
        <v>46023.0</v>
      </c>
      <c r="B870" s="166">
        <v>7980614.0</v>
      </c>
      <c r="C870" s="166" t="s">
        <v>75</v>
      </c>
      <c r="D870" s="166" t="s">
        <v>35</v>
      </c>
      <c r="E870" s="166">
        <v>5.671733373E9</v>
      </c>
      <c r="F870" s="166" t="s">
        <v>1150</v>
      </c>
      <c r="G870" s="165">
        <v>46318.20833333333</v>
      </c>
      <c r="H870" s="167">
        <v>46323.20833333333</v>
      </c>
      <c r="I870" s="168">
        <v>5.0</v>
      </c>
      <c r="J870" s="169" t="s">
        <v>78</v>
      </c>
      <c r="K870" s="166" t="s">
        <v>79</v>
      </c>
      <c r="L870" s="166" t="s">
        <v>80</v>
      </c>
      <c r="M870" s="166">
        <v>2.0</v>
      </c>
      <c r="N870" s="170">
        <v>0.19999999999999996</v>
      </c>
      <c r="O870" s="171">
        <v>155.52</v>
      </c>
      <c r="P870" s="171">
        <v>124.41600000000001</v>
      </c>
      <c r="Q870" s="172">
        <v>0.0</v>
      </c>
      <c r="R870" s="173">
        <v>622.08</v>
      </c>
      <c r="S870" s="173">
        <v>0.0</v>
      </c>
      <c r="T870" s="173">
        <v>1829.2</v>
      </c>
      <c r="U870" s="174" t="s">
        <v>1151</v>
      </c>
      <c r="V870" s="165">
        <v>46023.0</v>
      </c>
      <c r="W870" s="175"/>
      <c r="X870" s="175"/>
      <c r="Y870" s="175"/>
      <c r="Z870" s="175"/>
      <c r="AA870" s="175"/>
      <c r="AB870" s="175"/>
      <c r="AC870" s="175"/>
      <c r="AD870" s="175"/>
      <c r="AE870" s="175"/>
      <c r="AF870" s="175"/>
      <c r="AG870" s="175"/>
      <c r="AH870" s="175"/>
      <c r="AI870" s="175"/>
    </row>
    <row r="871">
      <c r="A871" s="165">
        <v>46029.0</v>
      </c>
      <c r="B871" s="166">
        <v>8002607.0</v>
      </c>
      <c r="C871" s="166" t="s">
        <v>89</v>
      </c>
      <c r="D871" s="166" t="s">
        <v>35</v>
      </c>
      <c r="E871" s="166">
        <v>6.911588235E9</v>
      </c>
      <c r="F871" s="166" t="s">
        <v>1152</v>
      </c>
      <c r="G871" s="165">
        <v>46318.20833333333</v>
      </c>
      <c r="H871" s="167">
        <v>46319.20833333333</v>
      </c>
      <c r="I871" s="168">
        <v>1.0</v>
      </c>
      <c r="J871" s="169" t="s">
        <v>78</v>
      </c>
      <c r="K871" s="166" t="s">
        <v>79</v>
      </c>
      <c r="L871" s="166" t="s">
        <v>80</v>
      </c>
      <c r="M871" s="205">
        <v>0.0</v>
      </c>
      <c r="N871" s="170">
        <v>0.0</v>
      </c>
      <c r="O871" s="171">
        <v>0.0</v>
      </c>
      <c r="P871" s="171">
        <v>0.0</v>
      </c>
      <c r="Q871" s="172">
        <v>0.0</v>
      </c>
      <c r="R871" s="173">
        <v>0.0</v>
      </c>
      <c r="S871" s="173">
        <v>0.0</v>
      </c>
      <c r="T871" s="173">
        <v>0.0</v>
      </c>
      <c r="U871" s="201" t="s">
        <v>840</v>
      </c>
      <c r="V871" s="165">
        <v>46237.0</v>
      </c>
      <c r="W871" s="175"/>
      <c r="X871" s="175"/>
      <c r="Y871" s="175"/>
      <c r="Z871" s="175"/>
      <c r="AA871" s="175"/>
      <c r="AB871" s="175"/>
      <c r="AC871" s="175"/>
      <c r="AD871" s="175"/>
      <c r="AE871" s="175"/>
      <c r="AF871" s="175"/>
      <c r="AG871" s="175"/>
      <c r="AH871" s="175"/>
      <c r="AI871" s="175"/>
    </row>
    <row r="872">
      <c r="A872" s="176">
        <v>46034.0</v>
      </c>
      <c r="B872" s="177">
        <v>8023695.0</v>
      </c>
      <c r="C872" s="178" t="s">
        <v>82</v>
      </c>
      <c r="D872" s="178" t="s">
        <v>35</v>
      </c>
      <c r="E872" s="177">
        <v>6.219824008E9</v>
      </c>
      <c r="F872" s="178" t="s">
        <v>1153</v>
      </c>
      <c r="G872" s="176">
        <v>46318.20833333333</v>
      </c>
      <c r="H872" s="179">
        <v>46321.20833333333</v>
      </c>
      <c r="I872" s="180">
        <v>3.0</v>
      </c>
      <c r="J872" s="181" t="s">
        <v>78</v>
      </c>
      <c r="K872" s="178" t="s">
        <v>79</v>
      </c>
      <c r="L872" s="178" t="s">
        <v>80</v>
      </c>
      <c r="M872" s="182">
        <v>2.0</v>
      </c>
      <c r="N872" s="183">
        <v>0.19999999999999996</v>
      </c>
      <c r="O872" s="184">
        <v>126.41000000000001</v>
      </c>
      <c r="P872" s="184">
        <v>101.12800000000001</v>
      </c>
      <c r="Q872" s="185">
        <v>0.0</v>
      </c>
      <c r="R872" s="186">
        <v>303.384</v>
      </c>
      <c r="S872" s="186">
        <v>0.0</v>
      </c>
      <c r="T872" s="186">
        <v>394.23</v>
      </c>
      <c r="U872" s="187" t="s">
        <v>107</v>
      </c>
      <c r="V872" s="176">
        <v>46034.0</v>
      </c>
      <c r="W872" s="164"/>
      <c r="X872" s="164"/>
      <c r="Y872" s="164"/>
      <c r="Z872" s="164"/>
      <c r="AA872" s="164"/>
      <c r="AB872" s="164"/>
      <c r="AC872" s="164"/>
      <c r="AD872" s="164"/>
      <c r="AE872" s="164"/>
      <c r="AF872" s="164"/>
      <c r="AG872" s="164"/>
      <c r="AH872" s="164"/>
      <c r="AI872" s="164"/>
    </row>
    <row r="873">
      <c r="A873" s="176">
        <v>46041.0</v>
      </c>
      <c r="B873" s="177">
        <v>8054740.0</v>
      </c>
      <c r="C873" s="178" t="s">
        <v>82</v>
      </c>
      <c r="D873" s="178" t="s">
        <v>12</v>
      </c>
      <c r="E873" s="177" t="s">
        <v>1154</v>
      </c>
      <c r="F873" s="178" t="s">
        <v>1155</v>
      </c>
      <c r="G873" s="176">
        <v>46318.20833333333</v>
      </c>
      <c r="H873" s="179">
        <v>46322.20833333333</v>
      </c>
      <c r="I873" s="180">
        <v>4.0</v>
      </c>
      <c r="J873" s="181" t="s">
        <v>1016</v>
      </c>
      <c r="K873" s="178" t="s">
        <v>138</v>
      </c>
      <c r="L873" s="178" t="s">
        <v>123</v>
      </c>
      <c r="M873" s="182">
        <v>3.0</v>
      </c>
      <c r="N873" s="183">
        <v>0.0</v>
      </c>
      <c r="O873" s="184">
        <v>282.88</v>
      </c>
      <c r="P873" s="184">
        <v>226.304</v>
      </c>
      <c r="Q873" s="185">
        <v>54.0</v>
      </c>
      <c r="R873" s="186">
        <v>905.216</v>
      </c>
      <c r="S873" s="186">
        <v>216.0</v>
      </c>
      <c r="T873" s="186" t="s">
        <v>127</v>
      </c>
      <c r="U873" s="187" t="s">
        <v>1156</v>
      </c>
      <c r="V873" s="176">
        <v>46041.0</v>
      </c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</row>
    <row r="874">
      <c r="A874" s="154">
        <v>46019.0</v>
      </c>
      <c r="B874" s="155">
        <v>7965695.0</v>
      </c>
      <c r="C874" s="156" t="s">
        <v>82</v>
      </c>
      <c r="D874" s="156" t="s">
        <v>35</v>
      </c>
      <c r="E874" s="155">
        <v>6.383992219E9</v>
      </c>
      <c r="F874" s="156" t="s">
        <v>1157</v>
      </c>
      <c r="G874" s="154">
        <v>46320.20833333333</v>
      </c>
      <c r="H874" s="157">
        <v>46323.20833333333</v>
      </c>
      <c r="I874" s="158">
        <v>3.0</v>
      </c>
      <c r="J874" s="159" t="s">
        <v>78</v>
      </c>
      <c r="K874" s="156" t="s">
        <v>79</v>
      </c>
      <c r="L874" s="156" t="s">
        <v>80</v>
      </c>
      <c r="M874" s="155">
        <v>2.0</v>
      </c>
      <c r="N874" s="160">
        <v>0.19999999999999996</v>
      </c>
      <c r="O874" s="161">
        <v>225.17999999999998</v>
      </c>
      <c r="P874" s="161">
        <v>180.144</v>
      </c>
      <c r="Q874" s="203">
        <v>0.0</v>
      </c>
      <c r="R874" s="162">
        <v>540.432</v>
      </c>
      <c r="S874" s="162">
        <v>0.0</v>
      </c>
      <c r="T874" s="162">
        <v>690.54</v>
      </c>
      <c r="U874" s="163" t="s">
        <v>303</v>
      </c>
      <c r="V874" s="154">
        <v>46019.0</v>
      </c>
      <c r="W874" s="175"/>
      <c r="X874" s="175"/>
      <c r="Y874" s="175"/>
      <c r="Z874" s="175"/>
      <c r="AA874" s="175"/>
      <c r="AB874" s="175"/>
      <c r="AC874" s="175"/>
      <c r="AD874" s="175"/>
      <c r="AE874" s="175"/>
      <c r="AF874" s="175"/>
      <c r="AG874" s="175"/>
      <c r="AH874" s="175"/>
      <c r="AI874" s="175"/>
    </row>
    <row r="875">
      <c r="A875" s="176">
        <v>46042.0</v>
      </c>
      <c r="B875" s="177">
        <v>8057065.0</v>
      </c>
      <c r="C875" s="178" t="s">
        <v>82</v>
      </c>
      <c r="D875" s="178" t="s">
        <v>35</v>
      </c>
      <c r="E875" s="177">
        <v>6.141088592E9</v>
      </c>
      <c r="F875" s="178" t="s">
        <v>1158</v>
      </c>
      <c r="G875" s="176">
        <v>46320.20833333333</v>
      </c>
      <c r="H875" s="179">
        <v>46321.20833333333</v>
      </c>
      <c r="I875" s="180">
        <v>1.0</v>
      </c>
      <c r="J875" s="181" t="s">
        <v>87</v>
      </c>
      <c r="K875" s="178" t="s">
        <v>79</v>
      </c>
      <c r="L875" s="178" t="s">
        <v>80</v>
      </c>
      <c r="M875" s="177">
        <v>2.0</v>
      </c>
      <c r="N875" s="183">
        <v>0.19999999999999996</v>
      </c>
      <c r="O875" s="184">
        <v>148.72</v>
      </c>
      <c r="P875" s="184">
        <v>118.976</v>
      </c>
      <c r="Q875" s="185">
        <v>0.0</v>
      </c>
      <c r="R875" s="186">
        <v>118.976</v>
      </c>
      <c r="S875" s="186">
        <v>0.0</v>
      </c>
      <c r="T875" s="186">
        <v>153.72</v>
      </c>
      <c r="U875" s="187" t="s">
        <v>740</v>
      </c>
      <c r="V875" s="176">
        <v>46042.0</v>
      </c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</row>
    <row r="876">
      <c r="A876" s="176">
        <v>46027.0</v>
      </c>
      <c r="B876" s="177">
        <v>7995837.0</v>
      </c>
      <c r="C876" s="178" t="s">
        <v>82</v>
      </c>
      <c r="D876" s="178" t="s">
        <v>35</v>
      </c>
      <c r="E876" s="177">
        <v>6.03621829E9</v>
      </c>
      <c r="F876" s="178" t="s">
        <v>1159</v>
      </c>
      <c r="G876" s="176">
        <v>46321.20833333333</v>
      </c>
      <c r="H876" s="179">
        <v>46325.20833333333</v>
      </c>
      <c r="I876" s="180">
        <v>4.0</v>
      </c>
      <c r="J876" s="181" t="s">
        <v>78</v>
      </c>
      <c r="K876" s="178" t="s">
        <v>79</v>
      </c>
      <c r="L876" s="178" t="s">
        <v>80</v>
      </c>
      <c r="M876" s="182">
        <v>2.0</v>
      </c>
      <c r="N876" s="183">
        <v>0.19999999999999996</v>
      </c>
      <c r="O876" s="184">
        <v>122.33</v>
      </c>
      <c r="P876" s="184">
        <v>97.864</v>
      </c>
      <c r="Q876" s="185">
        <v>0.0</v>
      </c>
      <c r="R876" s="186">
        <v>391.456</v>
      </c>
      <c r="S876" s="186">
        <v>0.0</v>
      </c>
      <c r="T876" s="186">
        <v>509.32</v>
      </c>
      <c r="U876" s="187" t="s">
        <v>107</v>
      </c>
      <c r="V876" s="176">
        <v>46027.0</v>
      </c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</row>
    <row r="877">
      <c r="A877" s="165">
        <v>46071.0</v>
      </c>
      <c r="B877" s="166">
        <v>8192802.0</v>
      </c>
      <c r="C877" s="166" t="s">
        <v>89</v>
      </c>
      <c r="D877" s="166" t="s">
        <v>35</v>
      </c>
      <c r="E877" s="166">
        <v>6.563822287E9</v>
      </c>
      <c r="F877" s="166" t="s">
        <v>1160</v>
      </c>
      <c r="G877" s="165">
        <v>46322.20833333333</v>
      </c>
      <c r="H877" s="167">
        <v>46324.20833333333</v>
      </c>
      <c r="I877" s="168">
        <v>2.0</v>
      </c>
      <c r="J877" s="169" t="s">
        <v>78</v>
      </c>
      <c r="K877" s="166" t="s">
        <v>79</v>
      </c>
      <c r="L877" s="166" t="s">
        <v>80</v>
      </c>
      <c r="M877" s="166">
        <v>0.0</v>
      </c>
      <c r="N877" s="170">
        <v>0.0</v>
      </c>
      <c r="O877" s="171">
        <v>0.0</v>
      </c>
      <c r="P877" s="171">
        <v>0.0</v>
      </c>
      <c r="Q877" s="172">
        <v>0.0</v>
      </c>
      <c r="R877" s="173">
        <v>0.0</v>
      </c>
      <c r="S877" s="173">
        <v>0.0</v>
      </c>
      <c r="T877" s="173">
        <v>0.0</v>
      </c>
      <c r="U877" s="174" t="s">
        <v>1161</v>
      </c>
      <c r="V877" s="165">
        <v>46071.0</v>
      </c>
      <c r="W877" s="164"/>
      <c r="X877" s="164"/>
      <c r="Y877" s="164"/>
      <c r="Z877" s="164"/>
      <c r="AA877" s="164"/>
      <c r="AB877" s="164"/>
      <c r="AC877" s="164"/>
      <c r="AD877" s="164"/>
      <c r="AE877" s="164"/>
      <c r="AF877" s="164"/>
      <c r="AG877" s="164"/>
      <c r="AH877" s="164"/>
      <c r="AI877" s="164"/>
    </row>
    <row r="878">
      <c r="A878" s="165">
        <v>46071.0</v>
      </c>
      <c r="B878" s="166">
        <v>8192849.0</v>
      </c>
      <c r="C878" s="166" t="s">
        <v>89</v>
      </c>
      <c r="D878" s="166" t="s">
        <v>35</v>
      </c>
      <c r="E878" s="166">
        <v>5.283669832E9</v>
      </c>
      <c r="F878" s="166" t="s">
        <v>1160</v>
      </c>
      <c r="G878" s="165">
        <v>46322.20833333333</v>
      </c>
      <c r="H878" s="167">
        <v>46325.20833333333</v>
      </c>
      <c r="I878" s="168">
        <v>3.0</v>
      </c>
      <c r="J878" s="169" t="s">
        <v>111</v>
      </c>
      <c r="K878" s="166" t="s">
        <v>79</v>
      </c>
      <c r="L878" s="166" t="s">
        <v>80</v>
      </c>
      <c r="M878" s="166">
        <v>0.0</v>
      </c>
      <c r="N878" s="170">
        <v>0.0</v>
      </c>
      <c r="O878" s="171">
        <v>0.0</v>
      </c>
      <c r="P878" s="171">
        <v>0.0</v>
      </c>
      <c r="Q878" s="172">
        <v>0.0</v>
      </c>
      <c r="R878" s="173">
        <v>0.0</v>
      </c>
      <c r="S878" s="173">
        <v>0.0</v>
      </c>
      <c r="T878" s="173">
        <v>0.0</v>
      </c>
      <c r="U878" s="201" t="s">
        <v>1162</v>
      </c>
      <c r="V878" s="165">
        <v>46071.0</v>
      </c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</row>
    <row r="879">
      <c r="A879" s="165">
        <v>46071.0</v>
      </c>
      <c r="B879" s="166">
        <v>8192989.0</v>
      </c>
      <c r="C879" s="166" t="s">
        <v>82</v>
      </c>
      <c r="D879" s="166" t="s">
        <v>35</v>
      </c>
      <c r="E879" s="166">
        <v>6.868403558E9</v>
      </c>
      <c r="F879" s="166" t="s">
        <v>1160</v>
      </c>
      <c r="G879" s="165">
        <v>46322.20833333333</v>
      </c>
      <c r="H879" s="167">
        <v>46325.20833333333</v>
      </c>
      <c r="I879" s="168">
        <v>3.0</v>
      </c>
      <c r="J879" s="169" t="s">
        <v>111</v>
      </c>
      <c r="K879" s="166" t="s">
        <v>79</v>
      </c>
      <c r="L879" s="166" t="s">
        <v>80</v>
      </c>
      <c r="M879" s="166">
        <v>2.0</v>
      </c>
      <c r="N879" s="170">
        <v>0.19999999999999996</v>
      </c>
      <c r="O879" s="171">
        <v>217.28</v>
      </c>
      <c r="P879" s="171">
        <v>173.824</v>
      </c>
      <c r="Q879" s="169">
        <v>0.0</v>
      </c>
      <c r="R879" s="173">
        <v>521.472</v>
      </c>
      <c r="S879" s="173">
        <v>0.0</v>
      </c>
      <c r="T879" s="173">
        <v>666.84</v>
      </c>
      <c r="U879" s="201" t="s">
        <v>353</v>
      </c>
      <c r="V879" s="165">
        <v>46071.0</v>
      </c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</row>
    <row r="880">
      <c r="A880" s="176">
        <v>45989.0</v>
      </c>
      <c r="B880" s="177">
        <v>7859629.0</v>
      </c>
      <c r="C880" s="178" t="s">
        <v>82</v>
      </c>
      <c r="D880" s="178" t="s">
        <v>35</v>
      </c>
      <c r="E880" s="177">
        <v>5.639521916E9</v>
      </c>
      <c r="F880" s="178" t="s">
        <v>1163</v>
      </c>
      <c r="G880" s="176">
        <v>46323.20833333333</v>
      </c>
      <c r="H880" s="179">
        <v>46326.20833333333</v>
      </c>
      <c r="I880" s="180">
        <v>3.0</v>
      </c>
      <c r="J880" s="181" t="s">
        <v>111</v>
      </c>
      <c r="K880" s="178" t="s">
        <v>79</v>
      </c>
      <c r="L880" s="178" t="s">
        <v>80</v>
      </c>
      <c r="M880" s="182">
        <v>2.0</v>
      </c>
      <c r="N880" s="183">
        <v>0.19999999999999996</v>
      </c>
      <c r="O880" s="184">
        <v>242.9</v>
      </c>
      <c r="P880" s="184">
        <v>194.32000000000002</v>
      </c>
      <c r="Q880" s="185">
        <v>0.0</v>
      </c>
      <c r="R880" s="186">
        <v>582.96</v>
      </c>
      <c r="S880" s="186">
        <v>0.0</v>
      </c>
      <c r="T880" s="186">
        <v>743.7</v>
      </c>
      <c r="U880" s="187" t="s">
        <v>442</v>
      </c>
      <c r="V880" s="176">
        <v>45989.0</v>
      </c>
      <c r="W880" s="175"/>
      <c r="X880" s="175"/>
      <c r="Y880" s="175"/>
      <c r="Z880" s="175"/>
      <c r="AA880" s="175"/>
      <c r="AB880" s="175"/>
      <c r="AC880" s="175"/>
      <c r="AD880" s="175"/>
      <c r="AE880" s="175"/>
      <c r="AF880" s="175"/>
      <c r="AG880" s="175"/>
      <c r="AH880" s="175"/>
      <c r="AI880" s="175"/>
    </row>
    <row r="881">
      <c r="A881" s="176">
        <v>46033.0</v>
      </c>
      <c r="B881" s="177">
        <v>8019755.0</v>
      </c>
      <c r="C881" s="178" t="s">
        <v>82</v>
      </c>
      <c r="D881" s="178" t="s">
        <v>35</v>
      </c>
      <c r="E881" s="177">
        <v>6.566251307E9</v>
      </c>
      <c r="F881" s="178" t="s">
        <v>1150</v>
      </c>
      <c r="G881" s="176">
        <v>46323.20833333333</v>
      </c>
      <c r="H881" s="179">
        <v>46324.20833333333</v>
      </c>
      <c r="I881" s="180">
        <v>1.0</v>
      </c>
      <c r="J881" s="181" t="s">
        <v>78</v>
      </c>
      <c r="K881" s="178" t="s">
        <v>79</v>
      </c>
      <c r="L881" s="178" t="s">
        <v>80</v>
      </c>
      <c r="M881" s="182">
        <v>2.0</v>
      </c>
      <c r="N881" s="183">
        <v>0.19999999999999996</v>
      </c>
      <c r="O881" s="184">
        <v>155.52</v>
      </c>
      <c r="P881" s="184">
        <v>124.41600000000001</v>
      </c>
      <c r="Q881" s="185">
        <v>0.0</v>
      </c>
      <c r="R881" s="186">
        <v>124.41600000000001</v>
      </c>
      <c r="S881" s="186">
        <v>0.0</v>
      </c>
      <c r="T881" s="186">
        <v>365.84</v>
      </c>
      <c r="U881" s="187" t="s">
        <v>353</v>
      </c>
      <c r="V881" s="176">
        <v>46033.0</v>
      </c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</row>
    <row r="882">
      <c r="A882" s="176">
        <v>46033.0</v>
      </c>
      <c r="B882" s="177">
        <v>8019755.0</v>
      </c>
      <c r="C882" s="178" t="s">
        <v>82</v>
      </c>
      <c r="D882" s="178" t="s">
        <v>35</v>
      </c>
      <c r="E882" s="177">
        <v>6.566251307E9</v>
      </c>
      <c r="F882" s="178" t="s">
        <v>1150</v>
      </c>
      <c r="G882" s="176">
        <v>46323.20833333333</v>
      </c>
      <c r="H882" s="179">
        <v>46324.20833333333</v>
      </c>
      <c r="I882" s="180">
        <v>1.0</v>
      </c>
      <c r="J882" s="181" t="s">
        <v>114</v>
      </c>
      <c r="K882" s="178" t="s">
        <v>79</v>
      </c>
      <c r="L882" s="178" t="s">
        <v>80</v>
      </c>
      <c r="M882" s="182">
        <v>2.0</v>
      </c>
      <c r="N882" s="183">
        <v>0.19999999999999996</v>
      </c>
      <c r="O882" s="184">
        <v>200.32</v>
      </c>
      <c r="P882" s="184">
        <v>160.256</v>
      </c>
      <c r="Q882" s="185">
        <v>0.0</v>
      </c>
      <c r="R882" s="186">
        <v>160.256</v>
      </c>
      <c r="S882" s="186">
        <v>0.0</v>
      </c>
      <c r="T882" s="186">
        <v>365.84</v>
      </c>
      <c r="U882" s="187" t="s">
        <v>353</v>
      </c>
      <c r="V882" s="176">
        <v>46033.0</v>
      </c>
      <c r="W882" s="175"/>
      <c r="X882" s="175"/>
      <c r="Y882" s="175"/>
      <c r="Z882" s="175"/>
      <c r="AA882" s="175"/>
      <c r="AB882" s="175"/>
      <c r="AC882" s="175"/>
      <c r="AD882" s="175"/>
      <c r="AE882" s="175"/>
      <c r="AF882" s="175"/>
      <c r="AG882" s="175"/>
      <c r="AH882" s="175"/>
      <c r="AI882" s="175"/>
    </row>
    <row r="883">
      <c r="A883" s="176">
        <v>46040.0</v>
      </c>
      <c r="B883" s="177">
        <v>8051727.0</v>
      </c>
      <c r="C883" s="178" t="s">
        <v>82</v>
      </c>
      <c r="D883" s="178" t="s">
        <v>35</v>
      </c>
      <c r="E883" s="177">
        <v>6.082098153E9</v>
      </c>
      <c r="F883" s="178" t="s">
        <v>1164</v>
      </c>
      <c r="G883" s="176">
        <v>46323.20833333333</v>
      </c>
      <c r="H883" s="179">
        <v>46325.20833333333</v>
      </c>
      <c r="I883" s="180">
        <v>2.0</v>
      </c>
      <c r="J883" s="181" t="s">
        <v>114</v>
      </c>
      <c r="K883" s="178" t="s">
        <v>79</v>
      </c>
      <c r="L883" s="178" t="s">
        <v>80</v>
      </c>
      <c r="M883" s="182">
        <v>2.0</v>
      </c>
      <c r="N883" s="183">
        <v>0.19999999999999996</v>
      </c>
      <c r="O883" s="184">
        <v>162.82</v>
      </c>
      <c r="P883" s="184">
        <v>130.256</v>
      </c>
      <c r="Q883" s="185">
        <v>0.0</v>
      </c>
      <c r="R883" s="186">
        <v>260.512</v>
      </c>
      <c r="S883" s="186">
        <v>0.0</v>
      </c>
      <c r="T883" s="186">
        <v>335.64</v>
      </c>
      <c r="U883" s="187" t="s">
        <v>107</v>
      </c>
      <c r="V883" s="176">
        <v>46040.0</v>
      </c>
      <c r="W883" s="164"/>
      <c r="X883" s="164"/>
      <c r="Y883" s="164"/>
      <c r="Z883" s="164"/>
      <c r="AA883" s="164"/>
      <c r="AB883" s="164"/>
      <c r="AC883" s="164"/>
      <c r="AD883" s="164"/>
      <c r="AE883" s="164"/>
      <c r="AF883" s="164"/>
      <c r="AG883" s="164"/>
      <c r="AH883" s="164"/>
      <c r="AI883" s="164"/>
    </row>
    <row r="884">
      <c r="A884" s="190">
        <v>45990.0</v>
      </c>
      <c r="B884" s="191">
        <v>7863229.0</v>
      </c>
      <c r="C884" s="192" t="s">
        <v>82</v>
      </c>
      <c r="D884" s="192" t="s">
        <v>35</v>
      </c>
      <c r="E884" s="191">
        <v>6.592638756E9</v>
      </c>
      <c r="F884" s="192" t="s">
        <v>1165</v>
      </c>
      <c r="G884" s="190">
        <v>46324.20833333333</v>
      </c>
      <c r="H884" s="193">
        <v>46326.20833333333</v>
      </c>
      <c r="I884" s="194">
        <v>2.0</v>
      </c>
      <c r="J884" s="195" t="s">
        <v>78</v>
      </c>
      <c r="K884" s="192" t="s">
        <v>79</v>
      </c>
      <c r="L884" s="192" t="s">
        <v>80</v>
      </c>
      <c r="M884" s="191">
        <v>2.0</v>
      </c>
      <c r="N884" s="196">
        <v>0.19999999999999996</v>
      </c>
      <c r="O884" s="197">
        <v>128.74</v>
      </c>
      <c r="P884" s="197">
        <v>102.99200000000002</v>
      </c>
      <c r="Q884" s="198">
        <v>0.0</v>
      </c>
      <c r="R884" s="199">
        <v>205.98400000000004</v>
      </c>
      <c r="S884" s="199">
        <v>0.0</v>
      </c>
      <c r="T884" s="199">
        <v>267.48</v>
      </c>
      <c r="U884" s="200" t="s">
        <v>161</v>
      </c>
      <c r="V884" s="190">
        <v>45990.0</v>
      </c>
      <c r="W884" s="164"/>
      <c r="X884" s="164"/>
      <c r="Y884" s="164"/>
      <c r="Z884" s="164"/>
      <c r="AA884" s="164"/>
      <c r="AB884" s="164"/>
      <c r="AC884" s="164"/>
      <c r="AD884" s="164"/>
      <c r="AE884" s="164"/>
      <c r="AF884" s="164"/>
      <c r="AG884" s="164"/>
      <c r="AH884" s="164"/>
      <c r="AI884" s="164"/>
    </row>
    <row r="885">
      <c r="A885" s="190">
        <v>45990.0</v>
      </c>
      <c r="B885" s="191">
        <v>7863322.0</v>
      </c>
      <c r="C885" s="192" t="s">
        <v>82</v>
      </c>
      <c r="D885" s="192" t="s">
        <v>35</v>
      </c>
      <c r="E885" s="191">
        <v>6.454037706E9</v>
      </c>
      <c r="F885" s="192" t="s">
        <v>1165</v>
      </c>
      <c r="G885" s="190">
        <v>46324.20833333333</v>
      </c>
      <c r="H885" s="193">
        <v>46326.20833333333</v>
      </c>
      <c r="I885" s="194">
        <v>2.0</v>
      </c>
      <c r="J885" s="195" t="s">
        <v>78</v>
      </c>
      <c r="K885" s="192" t="s">
        <v>79</v>
      </c>
      <c r="L885" s="192" t="s">
        <v>80</v>
      </c>
      <c r="M885" s="191">
        <v>2.0</v>
      </c>
      <c r="N885" s="196">
        <v>0.19999999999999996</v>
      </c>
      <c r="O885" s="197">
        <v>128.74</v>
      </c>
      <c r="P885" s="197">
        <v>102.99200000000002</v>
      </c>
      <c r="Q885" s="198">
        <v>0.0</v>
      </c>
      <c r="R885" s="199">
        <v>205.98400000000004</v>
      </c>
      <c r="S885" s="199">
        <v>0.0</v>
      </c>
      <c r="T885" s="199">
        <v>267.48</v>
      </c>
      <c r="U885" s="200" t="s">
        <v>161</v>
      </c>
      <c r="V885" s="190">
        <v>45990.0</v>
      </c>
      <c r="W885" s="175"/>
      <c r="X885" s="175"/>
      <c r="Y885" s="175"/>
      <c r="Z885" s="175"/>
      <c r="AA885" s="175"/>
      <c r="AB885" s="175"/>
      <c r="AC885" s="175"/>
      <c r="AD885" s="175"/>
      <c r="AE885" s="175"/>
      <c r="AF885" s="175"/>
      <c r="AG885" s="175"/>
      <c r="AH885" s="175"/>
      <c r="AI885" s="175"/>
    </row>
    <row r="886">
      <c r="A886" s="165">
        <v>45990.0</v>
      </c>
      <c r="B886" s="166">
        <v>7863352.0</v>
      </c>
      <c r="C886" s="166" t="s">
        <v>82</v>
      </c>
      <c r="D886" s="166" t="s">
        <v>35</v>
      </c>
      <c r="E886" s="166">
        <v>6.885165868E9</v>
      </c>
      <c r="F886" s="166" t="s">
        <v>1165</v>
      </c>
      <c r="G886" s="165">
        <v>46324.20833333333</v>
      </c>
      <c r="H886" s="167">
        <v>46326.20833333333</v>
      </c>
      <c r="I886" s="168">
        <v>2.0</v>
      </c>
      <c r="J886" s="169" t="s">
        <v>78</v>
      </c>
      <c r="K886" s="166" t="s">
        <v>79</v>
      </c>
      <c r="L886" s="166" t="s">
        <v>80</v>
      </c>
      <c r="M886" s="205">
        <v>2.0</v>
      </c>
      <c r="N886" s="169">
        <v>0.19999999999999996</v>
      </c>
      <c r="O886" s="171">
        <v>128.74</v>
      </c>
      <c r="P886" s="171">
        <v>102.99200000000002</v>
      </c>
      <c r="Q886" s="169">
        <v>0.0</v>
      </c>
      <c r="R886" s="173">
        <v>205.98400000000004</v>
      </c>
      <c r="S886" s="173">
        <v>0.0</v>
      </c>
      <c r="T886" s="173">
        <v>267.48</v>
      </c>
      <c r="U886" s="201" t="s">
        <v>161</v>
      </c>
      <c r="V886" s="165">
        <v>45990.0</v>
      </c>
      <c r="W886" s="164"/>
      <c r="X886" s="164"/>
      <c r="Y886" s="164"/>
      <c r="Z886" s="164"/>
      <c r="AA886" s="164"/>
      <c r="AB886" s="164"/>
      <c r="AC886" s="164"/>
      <c r="AD886" s="164"/>
      <c r="AE886" s="164"/>
      <c r="AF886" s="164"/>
      <c r="AG886" s="164"/>
      <c r="AH886" s="164"/>
      <c r="AI886" s="164"/>
    </row>
    <row r="887">
      <c r="A887" s="165">
        <v>45990.0</v>
      </c>
      <c r="B887" s="166">
        <v>7863376.0</v>
      </c>
      <c r="C887" s="166" t="s">
        <v>82</v>
      </c>
      <c r="D887" s="166" t="s">
        <v>35</v>
      </c>
      <c r="E887" s="166">
        <v>5.843679508E9</v>
      </c>
      <c r="F887" s="166" t="s">
        <v>1165</v>
      </c>
      <c r="G887" s="165">
        <v>46324.20833333333</v>
      </c>
      <c r="H887" s="167">
        <v>46326.20833333333</v>
      </c>
      <c r="I887" s="168">
        <v>2.0</v>
      </c>
      <c r="J887" s="169" t="s">
        <v>78</v>
      </c>
      <c r="K887" s="166" t="s">
        <v>79</v>
      </c>
      <c r="L887" s="166" t="s">
        <v>80</v>
      </c>
      <c r="M887" s="166">
        <v>2.0</v>
      </c>
      <c r="N887" s="170">
        <v>0.19999999999999996</v>
      </c>
      <c r="O887" s="171">
        <v>128.74</v>
      </c>
      <c r="P887" s="171">
        <v>102.99200000000002</v>
      </c>
      <c r="Q887" s="172">
        <v>0.0</v>
      </c>
      <c r="R887" s="173">
        <v>205.98400000000004</v>
      </c>
      <c r="S887" s="173">
        <v>0.0</v>
      </c>
      <c r="T887" s="173">
        <v>267.48</v>
      </c>
      <c r="U887" s="174" t="s">
        <v>161</v>
      </c>
      <c r="V887" s="165">
        <v>45990.0</v>
      </c>
      <c r="W887" s="175"/>
      <c r="X887" s="175"/>
      <c r="Y887" s="175"/>
      <c r="Z887" s="175"/>
      <c r="AA887" s="175"/>
      <c r="AB887" s="175"/>
      <c r="AC887" s="175"/>
      <c r="AD887" s="175"/>
      <c r="AE887" s="175"/>
      <c r="AF887" s="175"/>
      <c r="AG887" s="175"/>
      <c r="AH887" s="175"/>
      <c r="AI887" s="175"/>
    </row>
    <row r="888">
      <c r="A888" s="176">
        <v>46046.0</v>
      </c>
      <c r="B888" s="177">
        <v>8076547.0</v>
      </c>
      <c r="C888" s="178" t="s">
        <v>82</v>
      </c>
      <c r="D888" s="178" t="s">
        <v>35</v>
      </c>
      <c r="E888" s="177">
        <v>6.582980296E9</v>
      </c>
      <c r="F888" s="178" t="s">
        <v>1166</v>
      </c>
      <c r="G888" s="176">
        <v>46324.20833333333</v>
      </c>
      <c r="H888" s="179">
        <v>46328.20833333333</v>
      </c>
      <c r="I888" s="180">
        <v>4.0</v>
      </c>
      <c r="J888" s="181" t="s">
        <v>87</v>
      </c>
      <c r="K888" s="178" t="s">
        <v>79</v>
      </c>
      <c r="L888" s="178" t="s">
        <v>80</v>
      </c>
      <c r="M888" s="182">
        <v>2.0</v>
      </c>
      <c r="N888" s="183">
        <v>0.19999999999999996</v>
      </c>
      <c r="O888" s="184">
        <v>148.72</v>
      </c>
      <c r="P888" s="184">
        <v>118.976</v>
      </c>
      <c r="Q888" s="185">
        <v>0.0</v>
      </c>
      <c r="R888" s="186">
        <v>475.904</v>
      </c>
      <c r="S888" s="186">
        <v>0.0</v>
      </c>
      <c r="T888" s="186">
        <v>614.88</v>
      </c>
      <c r="U888" s="187" t="s">
        <v>740</v>
      </c>
      <c r="V888" s="176">
        <v>46046.0</v>
      </c>
      <c r="W888" s="175"/>
      <c r="X888" s="175"/>
      <c r="Y888" s="175"/>
      <c r="Z888" s="175"/>
      <c r="AA888" s="175"/>
      <c r="AB888" s="175"/>
      <c r="AC888" s="175"/>
      <c r="AD888" s="175"/>
      <c r="AE888" s="175"/>
      <c r="AF888" s="175"/>
      <c r="AG888" s="175"/>
      <c r="AH888" s="175"/>
      <c r="AI888" s="175"/>
    </row>
    <row r="889">
      <c r="A889" s="165">
        <v>46042.0</v>
      </c>
      <c r="B889" s="166">
        <v>8061077.0</v>
      </c>
      <c r="C889" s="166" t="s">
        <v>82</v>
      </c>
      <c r="D889" s="166" t="s">
        <v>35</v>
      </c>
      <c r="E889" s="166">
        <v>5.256067129E9</v>
      </c>
      <c r="F889" s="166" t="s">
        <v>1167</v>
      </c>
      <c r="G889" s="165">
        <v>46325.20833333333</v>
      </c>
      <c r="H889" s="167">
        <v>46330.20833333333</v>
      </c>
      <c r="I889" s="168">
        <v>5.0</v>
      </c>
      <c r="J889" s="169" t="s">
        <v>91</v>
      </c>
      <c r="K889" s="166" t="s">
        <v>79</v>
      </c>
      <c r="L889" s="166" t="s">
        <v>80</v>
      </c>
      <c r="M889" s="166">
        <v>4.0</v>
      </c>
      <c r="N889" s="169">
        <v>0.19999999999999996</v>
      </c>
      <c r="O889" s="171">
        <v>361.02</v>
      </c>
      <c r="P889" s="171">
        <v>288.816</v>
      </c>
      <c r="Q889" s="169">
        <v>0.0</v>
      </c>
      <c r="R889" s="173">
        <v>1444.08</v>
      </c>
      <c r="S889" s="173">
        <v>0.0</v>
      </c>
      <c r="T889" s="173">
        <v>1855.1</v>
      </c>
      <c r="U889" s="201" t="s">
        <v>107</v>
      </c>
      <c r="V889" s="165">
        <v>46042.0</v>
      </c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</row>
    <row r="890">
      <c r="A890" s="165">
        <v>46054.0</v>
      </c>
      <c r="B890" s="166">
        <v>8111803.0</v>
      </c>
      <c r="C890" s="166" t="s">
        <v>82</v>
      </c>
      <c r="D890" s="166" t="s">
        <v>35</v>
      </c>
      <c r="E890" s="166">
        <v>6.576780766E9</v>
      </c>
      <c r="F890" s="166" t="s">
        <v>1168</v>
      </c>
      <c r="G890" s="165">
        <v>46325.20833333333</v>
      </c>
      <c r="H890" s="167">
        <v>46328.20833333333</v>
      </c>
      <c r="I890" s="168">
        <v>3.0</v>
      </c>
      <c r="J890" s="169" t="s">
        <v>78</v>
      </c>
      <c r="K890" s="166" t="s">
        <v>79</v>
      </c>
      <c r="L890" s="166" t="s">
        <v>80</v>
      </c>
      <c r="M890" s="166">
        <v>2.0</v>
      </c>
      <c r="N890" s="170">
        <v>0.19999999999999996</v>
      </c>
      <c r="O890" s="171">
        <v>172.26</v>
      </c>
      <c r="P890" s="171">
        <v>137.808</v>
      </c>
      <c r="Q890" s="172">
        <v>0.0</v>
      </c>
      <c r="R890" s="173">
        <v>413.424</v>
      </c>
      <c r="S890" s="173">
        <v>0.0</v>
      </c>
      <c r="T890" s="173">
        <v>531.78</v>
      </c>
      <c r="U890" s="201" t="s">
        <v>161</v>
      </c>
      <c r="V890" s="165">
        <v>46054.0</v>
      </c>
      <c r="W890" s="175"/>
      <c r="X890" s="175"/>
      <c r="Y890" s="175"/>
      <c r="Z890" s="175"/>
      <c r="AA890" s="175"/>
      <c r="AB890" s="175"/>
      <c r="AC890" s="175"/>
      <c r="AD890" s="175"/>
      <c r="AE890" s="175"/>
      <c r="AF890" s="175"/>
      <c r="AG890" s="175"/>
      <c r="AH890" s="175"/>
      <c r="AI890" s="175"/>
    </row>
    <row r="891">
      <c r="A891" s="165">
        <v>46046.0</v>
      </c>
      <c r="B891" s="166">
        <v>8077088.0</v>
      </c>
      <c r="C891" s="166" t="s">
        <v>89</v>
      </c>
      <c r="D891" s="166" t="s">
        <v>35</v>
      </c>
      <c r="E891" s="166">
        <v>5.238145485E9</v>
      </c>
      <c r="F891" s="166" t="s">
        <v>1169</v>
      </c>
      <c r="G891" s="165">
        <v>46326.20833333333</v>
      </c>
      <c r="H891" s="167">
        <v>46330.20833333333</v>
      </c>
      <c r="I891" s="168">
        <v>4.0</v>
      </c>
      <c r="J891" s="169" t="s">
        <v>78</v>
      </c>
      <c r="K891" s="166" t="s">
        <v>79</v>
      </c>
      <c r="L891" s="166" t="s">
        <v>80</v>
      </c>
      <c r="M891" s="166">
        <v>0.0</v>
      </c>
      <c r="N891" s="169">
        <v>0.0</v>
      </c>
      <c r="O891" s="171">
        <v>0.0</v>
      </c>
      <c r="P891" s="171">
        <v>0.0</v>
      </c>
      <c r="Q891" s="169">
        <v>0.0</v>
      </c>
      <c r="R891" s="173">
        <v>0.0</v>
      </c>
      <c r="S891" s="173">
        <v>0.0</v>
      </c>
      <c r="T891" s="173">
        <v>0.0</v>
      </c>
      <c r="U891" s="201" t="s">
        <v>1170</v>
      </c>
      <c r="V891" s="165">
        <v>46182.0</v>
      </c>
      <c r="W891" s="164"/>
      <c r="X891" s="164"/>
      <c r="Y891" s="164"/>
      <c r="Z891" s="164"/>
      <c r="AA891" s="164"/>
      <c r="AB891" s="164"/>
      <c r="AC891" s="164"/>
      <c r="AD891" s="164"/>
      <c r="AE891" s="164"/>
      <c r="AF891" s="164"/>
      <c r="AG891" s="164"/>
      <c r="AH891" s="164"/>
      <c r="AI891" s="164"/>
    </row>
    <row r="892">
      <c r="A892" s="165">
        <v>46072.0</v>
      </c>
      <c r="B892" s="166">
        <v>8194882.0</v>
      </c>
      <c r="C892" s="166" t="s">
        <v>89</v>
      </c>
      <c r="D892" s="166" t="s">
        <v>94</v>
      </c>
      <c r="E892" s="166">
        <v>8194882.0</v>
      </c>
      <c r="F892" s="166" t="s">
        <v>1171</v>
      </c>
      <c r="G892" s="165">
        <v>46326.20833333333</v>
      </c>
      <c r="H892" s="167">
        <v>46330.20833333333</v>
      </c>
      <c r="I892" s="168">
        <v>4.0</v>
      </c>
      <c r="J892" s="169" t="s">
        <v>114</v>
      </c>
      <c r="K892" s="166" t="s">
        <v>79</v>
      </c>
      <c r="L892" s="166" t="s">
        <v>96</v>
      </c>
      <c r="M892" s="166">
        <v>0.0</v>
      </c>
      <c r="N892" s="170">
        <v>0.0</v>
      </c>
      <c r="O892" s="171">
        <v>0.0</v>
      </c>
      <c r="P892" s="171">
        <v>0.0</v>
      </c>
      <c r="Q892" s="172">
        <v>0.0</v>
      </c>
      <c r="R892" s="173">
        <v>0.0</v>
      </c>
      <c r="S892" s="173">
        <v>0.0</v>
      </c>
      <c r="T892" s="173">
        <v>0.0</v>
      </c>
      <c r="U892" s="174" t="s">
        <v>1172</v>
      </c>
      <c r="V892" s="165">
        <v>46076.0</v>
      </c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</row>
    <row r="893">
      <c r="A893" s="165">
        <v>46026.0</v>
      </c>
      <c r="B893" s="166">
        <v>7990384.0</v>
      </c>
      <c r="C893" s="166" t="s">
        <v>82</v>
      </c>
      <c r="D893" s="166" t="s">
        <v>35</v>
      </c>
      <c r="E893" s="166">
        <v>5.692747127E9</v>
      </c>
      <c r="F893" s="166" t="s">
        <v>1173</v>
      </c>
      <c r="G893" s="165">
        <v>46327.20833333333</v>
      </c>
      <c r="H893" s="167">
        <v>46331.20833333333</v>
      </c>
      <c r="I893" s="168">
        <v>4.0</v>
      </c>
      <c r="J893" s="169" t="s">
        <v>78</v>
      </c>
      <c r="K893" s="166" t="s">
        <v>79</v>
      </c>
      <c r="L893" s="166" t="s">
        <v>80</v>
      </c>
      <c r="M893" s="166">
        <v>2.0</v>
      </c>
      <c r="N893" s="170">
        <v>0.19999999999999996</v>
      </c>
      <c r="O893" s="171">
        <v>132.03</v>
      </c>
      <c r="P893" s="171">
        <v>105.62400000000001</v>
      </c>
      <c r="Q893" s="172">
        <v>0.0</v>
      </c>
      <c r="R893" s="173">
        <v>422.49600000000004</v>
      </c>
      <c r="S893" s="173">
        <v>0.0</v>
      </c>
      <c r="T893" s="173">
        <v>548.12</v>
      </c>
      <c r="U893" s="174" t="s">
        <v>107</v>
      </c>
      <c r="V893" s="165">
        <v>46026.0</v>
      </c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</row>
    <row r="894">
      <c r="A894" s="190">
        <v>46019.0</v>
      </c>
      <c r="B894" s="191">
        <v>7966366.0</v>
      </c>
      <c r="C894" s="192" t="s">
        <v>82</v>
      </c>
      <c r="D894" s="192" t="s">
        <v>101</v>
      </c>
      <c r="E894" s="191">
        <v>2.358963962E9</v>
      </c>
      <c r="F894" s="192" t="s">
        <v>1174</v>
      </c>
      <c r="G894" s="190">
        <v>46328.20833333333</v>
      </c>
      <c r="H894" s="193">
        <v>46331.20833333333</v>
      </c>
      <c r="I894" s="194">
        <v>3.0</v>
      </c>
      <c r="J894" s="195" t="s">
        <v>114</v>
      </c>
      <c r="K894" s="192" t="s">
        <v>79</v>
      </c>
      <c r="L894" s="192" t="s">
        <v>103</v>
      </c>
      <c r="M894" s="191">
        <v>3.0</v>
      </c>
      <c r="N894" s="196">
        <v>0.0</v>
      </c>
      <c r="O894" s="197">
        <v>219.11</v>
      </c>
      <c r="P894" s="197">
        <v>175.288</v>
      </c>
      <c r="Q894" s="198">
        <v>0.0</v>
      </c>
      <c r="R894" s="199">
        <v>525.864</v>
      </c>
      <c r="S894" s="199">
        <v>0.0</v>
      </c>
      <c r="T894" s="199">
        <v>657.33</v>
      </c>
      <c r="U894" s="200" t="s">
        <v>164</v>
      </c>
      <c r="V894" s="190">
        <v>46019.0</v>
      </c>
      <c r="W894" s="175"/>
      <c r="X894" s="175"/>
      <c r="Y894" s="175"/>
      <c r="Z894" s="175"/>
      <c r="AA894" s="175"/>
      <c r="AB894" s="175"/>
      <c r="AC894" s="175"/>
      <c r="AD894" s="175"/>
      <c r="AE894" s="175"/>
      <c r="AF894" s="175"/>
      <c r="AG894" s="175"/>
      <c r="AH894" s="175"/>
      <c r="AI894" s="175"/>
    </row>
    <row r="895">
      <c r="A895" s="176">
        <v>46019.0</v>
      </c>
      <c r="B895" s="177">
        <v>7966367.0</v>
      </c>
      <c r="C895" s="178" t="s">
        <v>82</v>
      </c>
      <c r="D895" s="178" t="s">
        <v>101</v>
      </c>
      <c r="E895" s="177">
        <v>2.358964083E9</v>
      </c>
      <c r="F895" s="178" t="s">
        <v>1175</v>
      </c>
      <c r="G895" s="176">
        <v>46328.20833333333</v>
      </c>
      <c r="H895" s="179">
        <v>46331.20833333333</v>
      </c>
      <c r="I895" s="180">
        <v>3.0</v>
      </c>
      <c r="J895" s="181" t="s">
        <v>87</v>
      </c>
      <c r="K895" s="178" t="s">
        <v>79</v>
      </c>
      <c r="L895" s="178" t="s">
        <v>103</v>
      </c>
      <c r="M895" s="182">
        <v>2.0</v>
      </c>
      <c r="N895" s="183">
        <v>0.0</v>
      </c>
      <c r="O895" s="184">
        <v>170.1</v>
      </c>
      <c r="P895" s="184">
        <v>136.08</v>
      </c>
      <c r="Q895" s="185">
        <v>0.0</v>
      </c>
      <c r="R895" s="186">
        <v>408.24</v>
      </c>
      <c r="S895" s="186">
        <v>0.0</v>
      </c>
      <c r="T895" s="186">
        <v>510.3</v>
      </c>
      <c r="U895" s="187" t="s">
        <v>164</v>
      </c>
      <c r="V895" s="176">
        <v>46019.0</v>
      </c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</row>
    <row r="896">
      <c r="A896" s="165">
        <v>46001.0</v>
      </c>
      <c r="B896" s="166">
        <v>7905410.0</v>
      </c>
      <c r="C896" s="166" t="s">
        <v>82</v>
      </c>
      <c r="D896" s="166" t="s">
        <v>35</v>
      </c>
      <c r="E896" s="166">
        <v>5.825319302E9</v>
      </c>
      <c r="F896" s="166" t="s">
        <v>1176</v>
      </c>
      <c r="G896" s="165">
        <v>46329.20833333333</v>
      </c>
      <c r="H896" s="167">
        <v>46332.20833333333</v>
      </c>
      <c r="I896" s="168">
        <v>3.0</v>
      </c>
      <c r="J896" s="169" t="s">
        <v>111</v>
      </c>
      <c r="K896" s="166" t="s">
        <v>79</v>
      </c>
      <c r="L896" s="166" t="s">
        <v>80</v>
      </c>
      <c r="M896" s="166">
        <v>2.0</v>
      </c>
      <c r="N896" s="170">
        <v>0.19999999999999996</v>
      </c>
      <c r="O896" s="171">
        <v>217.28</v>
      </c>
      <c r="P896" s="171">
        <v>173.824</v>
      </c>
      <c r="Q896" s="172">
        <v>0.0</v>
      </c>
      <c r="R896" s="173">
        <v>521.472</v>
      </c>
      <c r="S896" s="173">
        <v>0.0</v>
      </c>
      <c r="T896" s="173">
        <v>666.84</v>
      </c>
      <c r="U896" s="174" t="s">
        <v>353</v>
      </c>
      <c r="V896" s="165">
        <v>46001.0</v>
      </c>
      <c r="W896" s="164"/>
      <c r="X896" s="164"/>
      <c r="Y896" s="164"/>
      <c r="Z896" s="164"/>
      <c r="AA896" s="164"/>
      <c r="AB896" s="164"/>
      <c r="AC896" s="164"/>
      <c r="AD896" s="164"/>
      <c r="AE896" s="164"/>
      <c r="AF896" s="164"/>
      <c r="AG896" s="164"/>
      <c r="AH896" s="164"/>
      <c r="AI896" s="164"/>
    </row>
    <row r="897">
      <c r="A897" s="176">
        <v>46026.0</v>
      </c>
      <c r="B897" s="177">
        <v>7991317.0</v>
      </c>
      <c r="C897" s="178" t="s">
        <v>89</v>
      </c>
      <c r="D897" s="178" t="s">
        <v>35</v>
      </c>
      <c r="E897" s="177">
        <v>5.692768609E9</v>
      </c>
      <c r="F897" s="178" t="s">
        <v>1177</v>
      </c>
      <c r="G897" s="176">
        <v>46330.20833333333</v>
      </c>
      <c r="H897" s="179">
        <v>46334.20833333333</v>
      </c>
      <c r="I897" s="180">
        <v>4.0</v>
      </c>
      <c r="J897" s="181" t="s">
        <v>78</v>
      </c>
      <c r="K897" s="178" t="s">
        <v>79</v>
      </c>
      <c r="L897" s="178" t="s">
        <v>80</v>
      </c>
      <c r="M897" s="182">
        <v>0.0</v>
      </c>
      <c r="N897" s="183">
        <v>0.0</v>
      </c>
      <c r="O897" s="184">
        <v>0.0</v>
      </c>
      <c r="P897" s="184">
        <v>0.0</v>
      </c>
      <c r="Q897" s="185">
        <v>0.0</v>
      </c>
      <c r="R897" s="186">
        <v>0.0</v>
      </c>
      <c r="S897" s="186">
        <v>0.0</v>
      </c>
      <c r="T897" s="173">
        <v>0.0</v>
      </c>
      <c r="U897" s="201" t="s">
        <v>1178</v>
      </c>
      <c r="V897" s="165">
        <v>46059.0</v>
      </c>
      <c r="W897" s="175"/>
      <c r="X897" s="175"/>
      <c r="Y897" s="175"/>
      <c r="Z897" s="175"/>
      <c r="AA897" s="175"/>
      <c r="AB897" s="175"/>
      <c r="AC897" s="175"/>
      <c r="AD897" s="175"/>
      <c r="AE897" s="175"/>
      <c r="AF897" s="175"/>
      <c r="AG897" s="175"/>
      <c r="AH897" s="175"/>
      <c r="AI897" s="175"/>
    </row>
    <row r="898">
      <c r="A898" s="165">
        <v>46034.0</v>
      </c>
      <c r="B898" s="166">
        <v>8022736.0</v>
      </c>
      <c r="C898" s="166" t="s">
        <v>82</v>
      </c>
      <c r="D898" s="166" t="s">
        <v>35</v>
      </c>
      <c r="E898" s="166">
        <v>5.645184816E9</v>
      </c>
      <c r="F898" s="166" t="s">
        <v>1179</v>
      </c>
      <c r="G898" s="165">
        <v>46330.20833333333</v>
      </c>
      <c r="H898" s="167">
        <v>46332.20833333333</v>
      </c>
      <c r="I898" s="168">
        <v>2.0</v>
      </c>
      <c r="J898" s="169" t="s">
        <v>78</v>
      </c>
      <c r="K898" s="166" t="s">
        <v>79</v>
      </c>
      <c r="L898" s="166" t="s">
        <v>80</v>
      </c>
      <c r="M898" s="166">
        <v>2.0</v>
      </c>
      <c r="N898" s="170">
        <v>0.19999999999999996</v>
      </c>
      <c r="O898" s="171">
        <v>194.16</v>
      </c>
      <c r="P898" s="171">
        <v>155.328</v>
      </c>
      <c r="Q898" s="172">
        <v>0.0</v>
      </c>
      <c r="R898" s="173">
        <v>310.656</v>
      </c>
      <c r="S898" s="173">
        <v>0.0</v>
      </c>
      <c r="T898" s="173">
        <v>1194.96</v>
      </c>
      <c r="U898" s="201" t="s">
        <v>303</v>
      </c>
      <c r="V898" s="165">
        <v>46034.0</v>
      </c>
      <c r="W898" s="175"/>
      <c r="X898" s="175"/>
      <c r="Y898" s="175"/>
      <c r="Z898" s="175"/>
      <c r="AA898" s="175"/>
      <c r="AB898" s="175"/>
      <c r="AC898" s="175"/>
      <c r="AD898" s="175"/>
      <c r="AE898" s="175"/>
      <c r="AF898" s="175"/>
      <c r="AG898" s="175"/>
      <c r="AH898" s="175"/>
      <c r="AI898" s="175"/>
    </row>
    <row r="899">
      <c r="A899" s="165">
        <v>46034.0</v>
      </c>
      <c r="B899" s="166">
        <v>8022736.0</v>
      </c>
      <c r="C899" s="166" t="s">
        <v>82</v>
      </c>
      <c r="D899" s="166" t="s">
        <v>35</v>
      </c>
      <c r="E899" s="166">
        <v>5.645184816E9</v>
      </c>
      <c r="F899" s="166" t="s">
        <v>1179</v>
      </c>
      <c r="G899" s="165">
        <v>46330.20833333333</v>
      </c>
      <c r="H899" s="167">
        <v>46332.20833333333</v>
      </c>
      <c r="I899" s="168">
        <v>2.0</v>
      </c>
      <c r="J899" s="169" t="s">
        <v>78</v>
      </c>
      <c r="K899" s="166" t="s">
        <v>79</v>
      </c>
      <c r="L899" s="166" t="s">
        <v>80</v>
      </c>
      <c r="M899" s="205">
        <v>2.0</v>
      </c>
      <c r="N899" s="170">
        <v>0.19999999999999996</v>
      </c>
      <c r="O899" s="171">
        <v>194.16</v>
      </c>
      <c r="P899" s="171">
        <v>155.328</v>
      </c>
      <c r="Q899" s="172">
        <v>0.0</v>
      </c>
      <c r="R899" s="173">
        <v>310.656</v>
      </c>
      <c r="S899" s="173">
        <v>0.0</v>
      </c>
      <c r="T899" s="173">
        <v>1194.96</v>
      </c>
      <c r="U899" s="201" t="s">
        <v>303</v>
      </c>
      <c r="V899" s="165">
        <v>46034.0</v>
      </c>
      <c r="W899" s="164"/>
      <c r="X899" s="164"/>
      <c r="Y899" s="164"/>
      <c r="Z899" s="164"/>
      <c r="AA899" s="164"/>
      <c r="AB899" s="164"/>
      <c r="AC899" s="164"/>
      <c r="AD899" s="164"/>
      <c r="AE899" s="164"/>
      <c r="AF899" s="164"/>
      <c r="AG899" s="164"/>
      <c r="AH899" s="164"/>
      <c r="AI899" s="164"/>
    </row>
    <row r="900">
      <c r="A900" s="165">
        <v>46034.0</v>
      </c>
      <c r="B900" s="166">
        <v>8022736.0</v>
      </c>
      <c r="C900" s="166" t="s">
        <v>82</v>
      </c>
      <c r="D900" s="166" t="s">
        <v>35</v>
      </c>
      <c r="E900" s="166">
        <v>5.645184816E9</v>
      </c>
      <c r="F900" s="166" t="s">
        <v>1179</v>
      </c>
      <c r="G900" s="165">
        <v>46330.20833333333</v>
      </c>
      <c r="H900" s="167">
        <v>46332.20833333333</v>
      </c>
      <c r="I900" s="168">
        <v>2.0</v>
      </c>
      <c r="J900" s="169" t="s">
        <v>78</v>
      </c>
      <c r="K900" s="166" t="s">
        <v>79</v>
      </c>
      <c r="L900" s="166" t="s">
        <v>80</v>
      </c>
      <c r="M900" s="205">
        <v>2.0</v>
      </c>
      <c r="N900" s="170">
        <v>0.19999999999999996</v>
      </c>
      <c r="O900" s="171">
        <v>194.16</v>
      </c>
      <c r="P900" s="171">
        <v>155.328</v>
      </c>
      <c r="Q900" s="172">
        <v>0.0</v>
      </c>
      <c r="R900" s="173">
        <v>310.656</v>
      </c>
      <c r="S900" s="173">
        <v>0.0</v>
      </c>
      <c r="T900" s="173">
        <v>1194.96</v>
      </c>
      <c r="U900" s="174" t="s">
        <v>303</v>
      </c>
      <c r="V900" s="165">
        <v>46034.0</v>
      </c>
      <c r="W900" s="164"/>
      <c r="X900" s="164"/>
      <c r="Y900" s="164"/>
      <c r="Z900" s="164"/>
      <c r="AA900" s="164"/>
      <c r="AB900" s="164"/>
      <c r="AC900" s="164"/>
      <c r="AD900" s="164"/>
      <c r="AE900" s="164"/>
      <c r="AF900" s="164"/>
      <c r="AG900" s="164"/>
      <c r="AH900" s="164"/>
      <c r="AI900" s="164"/>
    </row>
    <row r="901">
      <c r="A901" s="165">
        <v>46066.0</v>
      </c>
      <c r="B901" s="166">
        <v>8167856.0</v>
      </c>
      <c r="C901" s="166" t="s">
        <v>82</v>
      </c>
      <c r="D901" s="166" t="s">
        <v>35</v>
      </c>
      <c r="E901" s="166">
        <v>5.743503143E9</v>
      </c>
      <c r="F901" s="166" t="s">
        <v>1180</v>
      </c>
      <c r="G901" s="165">
        <v>46332.20833333333</v>
      </c>
      <c r="H901" s="167">
        <v>46338.20833333333</v>
      </c>
      <c r="I901" s="168">
        <v>6.0</v>
      </c>
      <c r="J901" s="169" t="s">
        <v>78</v>
      </c>
      <c r="K901" s="166" t="s">
        <v>138</v>
      </c>
      <c r="L901" s="166" t="s">
        <v>80</v>
      </c>
      <c r="M901" s="166">
        <v>2.0</v>
      </c>
      <c r="N901" s="170">
        <v>0.19999999999999996</v>
      </c>
      <c r="O901" s="171">
        <v>182.4</v>
      </c>
      <c r="P901" s="171">
        <v>145.92000000000002</v>
      </c>
      <c r="Q901" s="172">
        <v>36.0</v>
      </c>
      <c r="R901" s="173">
        <v>875.5200000000001</v>
      </c>
      <c r="S901" s="173">
        <v>216.0</v>
      </c>
      <c r="T901" s="173">
        <v>1297.2</v>
      </c>
      <c r="U901" s="174" t="s">
        <v>498</v>
      </c>
      <c r="V901" s="165">
        <v>46066.0</v>
      </c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</row>
    <row r="902">
      <c r="A902" s="176">
        <v>46014.0</v>
      </c>
      <c r="B902" s="177">
        <v>7949793.0</v>
      </c>
      <c r="C902" s="178" t="s">
        <v>82</v>
      </c>
      <c r="D902" s="178" t="s">
        <v>35</v>
      </c>
      <c r="E902" s="177">
        <v>5.854478747E9</v>
      </c>
      <c r="F902" s="178" t="s">
        <v>1181</v>
      </c>
      <c r="G902" s="176">
        <v>46333.20833333333</v>
      </c>
      <c r="H902" s="179">
        <v>46334.20833333333</v>
      </c>
      <c r="I902" s="180">
        <v>1.0</v>
      </c>
      <c r="J902" s="181" t="s">
        <v>78</v>
      </c>
      <c r="K902" s="178" t="s">
        <v>79</v>
      </c>
      <c r="L902" s="178" t="s">
        <v>80</v>
      </c>
      <c r="M902" s="182">
        <v>2.0</v>
      </c>
      <c r="N902" s="183">
        <v>0.19999999999999996</v>
      </c>
      <c r="O902" s="184">
        <v>126.41</v>
      </c>
      <c r="P902" s="184">
        <v>101.128</v>
      </c>
      <c r="Q902" s="185">
        <v>0.0</v>
      </c>
      <c r="R902" s="186">
        <v>101.128</v>
      </c>
      <c r="S902" s="186">
        <v>0.0</v>
      </c>
      <c r="T902" s="186">
        <v>131.41</v>
      </c>
      <c r="U902" s="187" t="s">
        <v>107</v>
      </c>
      <c r="V902" s="176">
        <v>46014.0</v>
      </c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</row>
    <row r="903">
      <c r="A903" s="176">
        <v>45936.0</v>
      </c>
      <c r="B903" s="177">
        <v>7648840.0</v>
      </c>
      <c r="C903" s="178" t="s">
        <v>75</v>
      </c>
      <c r="D903" s="178" t="s">
        <v>35</v>
      </c>
      <c r="E903" s="177">
        <v>6.146373655E9</v>
      </c>
      <c r="F903" s="178" t="s">
        <v>1182</v>
      </c>
      <c r="G903" s="176">
        <v>46335.20833333333</v>
      </c>
      <c r="H903" s="179">
        <v>46338.20833333333</v>
      </c>
      <c r="I903" s="180">
        <v>3.0</v>
      </c>
      <c r="J903" s="181" t="s">
        <v>114</v>
      </c>
      <c r="K903" s="178" t="s">
        <v>79</v>
      </c>
      <c r="L903" s="178" t="s">
        <v>80</v>
      </c>
      <c r="M903" s="182">
        <v>2.0</v>
      </c>
      <c r="N903" s="183">
        <v>0.19999999999999996</v>
      </c>
      <c r="O903" s="184">
        <v>200.51999999999998</v>
      </c>
      <c r="P903" s="184">
        <v>160.416</v>
      </c>
      <c r="Q903" s="185">
        <v>0.0</v>
      </c>
      <c r="R903" s="186">
        <v>481.248</v>
      </c>
      <c r="S903" s="186">
        <v>0.0</v>
      </c>
      <c r="T903" s="186">
        <v>601.56</v>
      </c>
      <c r="U903" s="187" t="s">
        <v>1183</v>
      </c>
      <c r="V903" s="176">
        <v>45936.0</v>
      </c>
      <c r="W903" s="164"/>
      <c r="X903" s="164"/>
      <c r="Y903" s="164"/>
      <c r="Z903" s="164"/>
      <c r="AA903" s="164"/>
      <c r="AB903" s="164"/>
      <c r="AC903" s="164"/>
      <c r="AD903" s="164"/>
      <c r="AE903" s="164"/>
      <c r="AF903" s="164"/>
      <c r="AG903" s="164"/>
      <c r="AH903" s="164"/>
      <c r="AI903" s="164"/>
    </row>
    <row r="904">
      <c r="A904" s="154">
        <v>46029.0</v>
      </c>
      <c r="B904" s="155">
        <v>8003447.0</v>
      </c>
      <c r="C904" s="156" t="s">
        <v>82</v>
      </c>
      <c r="D904" s="156" t="s">
        <v>35</v>
      </c>
      <c r="E904" s="155">
        <v>6.202334251E9</v>
      </c>
      <c r="F904" s="156" t="s">
        <v>1184</v>
      </c>
      <c r="G904" s="154">
        <v>46336.20833333333</v>
      </c>
      <c r="H904" s="157">
        <v>46337.20833333333</v>
      </c>
      <c r="I904" s="158">
        <v>1.0</v>
      </c>
      <c r="J904" s="159" t="s">
        <v>78</v>
      </c>
      <c r="K904" s="156" t="s">
        <v>79</v>
      </c>
      <c r="L904" s="156" t="s">
        <v>80</v>
      </c>
      <c r="M904" s="155">
        <v>2.0</v>
      </c>
      <c r="N904" s="160">
        <v>0.19999999999999996</v>
      </c>
      <c r="O904" s="161">
        <v>150.72</v>
      </c>
      <c r="P904" s="161">
        <v>120.57600000000001</v>
      </c>
      <c r="Q904" s="203">
        <v>0.0</v>
      </c>
      <c r="R904" s="162">
        <v>120.57600000000001</v>
      </c>
      <c r="S904" s="162">
        <v>0.0</v>
      </c>
      <c r="T904" s="162">
        <v>155.72</v>
      </c>
      <c r="U904" s="163" t="s">
        <v>353</v>
      </c>
      <c r="V904" s="154">
        <v>46029.0</v>
      </c>
      <c r="W904" s="175"/>
      <c r="X904" s="175"/>
      <c r="Y904" s="175"/>
      <c r="Z904" s="175"/>
      <c r="AA904" s="175"/>
      <c r="AB904" s="175"/>
      <c r="AC904" s="175"/>
      <c r="AD904" s="175"/>
      <c r="AE904" s="175"/>
      <c r="AF904" s="175"/>
      <c r="AG904" s="175"/>
      <c r="AH904" s="175"/>
      <c r="AI904" s="175"/>
    </row>
    <row r="905">
      <c r="A905" s="190">
        <v>46072.0</v>
      </c>
      <c r="B905" s="191">
        <v>8194892.0</v>
      </c>
      <c r="C905" s="192" t="s">
        <v>89</v>
      </c>
      <c r="D905" s="192" t="s">
        <v>94</v>
      </c>
      <c r="E905" s="191">
        <v>8194892.0</v>
      </c>
      <c r="F905" s="192" t="s">
        <v>1171</v>
      </c>
      <c r="G905" s="190">
        <v>46337.20833333333</v>
      </c>
      <c r="H905" s="193">
        <v>46341.20833333333</v>
      </c>
      <c r="I905" s="194">
        <v>4.0</v>
      </c>
      <c r="J905" s="195" t="s">
        <v>114</v>
      </c>
      <c r="K905" s="192" t="s">
        <v>79</v>
      </c>
      <c r="L905" s="192" t="s">
        <v>96</v>
      </c>
      <c r="M905" s="191">
        <v>0.0</v>
      </c>
      <c r="N905" s="196">
        <v>0.0</v>
      </c>
      <c r="O905" s="197">
        <v>0.0</v>
      </c>
      <c r="P905" s="197">
        <v>0.0</v>
      </c>
      <c r="Q905" s="195">
        <v>0.0</v>
      </c>
      <c r="R905" s="199">
        <v>0.0</v>
      </c>
      <c r="S905" s="199">
        <v>0.0</v>
      </c>
      <c r="T905" s="199">
        <v>0.0</v>
      </c>
      <c r="U905" s="200" t="s">
        <v>1172</v>
      </c>
      <c r="V905" s="190">
        <v>46076.0</v>
      </c>
      <c r="W905" s="164"/>
      <c r="X905" s="164"/>
      <c r="Y905" s="164"/>
      <c r="Z905" s="164"/>
      <c r="AA905" s="164"/>
      <c r="AB905" s="164"/>
      <c r="AC905" s="164"/>
      <c r="AD905" s="164"/>
      <c r="AE905" s="164"/>
      <c r="AF905" s="164"/>
      <c r="AG905" s="164"/>
      <c r="AH905" s="164"/>
      <c r="AI905" s="164"/>
    </row>
    <row r="906">
      <c r="A906" s="165">
        <v>46024.0</v>
      </c>
      <c r="B906" s="166">
        <v>7982617.0</v>
      </c>
      <c r="C906" s="166" t="s">
        <v>82</v>
      </c>
      <c r="D906" s="166" t="s">
        <v>35</v>
      </c>
      <c r="E906" s="166">
        <v>6.862793352E9</v>
      </c>
      <c r="F906" s="166" t="s">
        <v>1185</v>
      </c>
      <c r="G906" s="165">
        <v>46338.20833333333</v>
      </c>
      <c r="H906" s="167">
        <v>46343.20833333333</v>
      </c>
      <c r="I906" s="168">
        <v>5.0</v>
      </c>
      <c r="J906" s="169" t="s">
        <v>87</v>
      </c>
      <c r="K906" s="166" t="s">
        <v>79</v>
      </c>
      <c r="L906" s="166" t="s">
        <v>80</v>
      </c>
      <c r="M906" s="166">
        <v>2.0</v>
      </c>
      <c r="N906" s="170">
        <v>0.19999999999999996</v>
      </c>
      <c r="O906" s="171">
        <v>179.95999999999998</v>
      </c>
      <c r="P906" s="171">
        <v>143.968</v>
      </c>
      <c r="Q906" s="172">
        <v>0.0</v>
      </c>
      <c r="R906" s="173">
        <v>719.8399999999999</v>
      </c>
      <c r="S906" s="173">
        <v>0.0</v>
      </c>
      <c r="T906" s="173">
        <v>899.8</v>
      </c>
      <c r="U906" s="201" t="s">
        <v>353</v>
      </c>
      <c r="V906" s="165">
        <v>46024.0</v>
      </c>
      <c r="W906" s="175"/>
      <c r="X906" s="175"/>
      <c r="Y906" s="175"/>
      <c r="Z906" s="175"/>
      <c r="AA906" s="175"/>
      <c r="AB906" s="175"/>
      <c r="AC906" s="175"/>
      <c r="AD906" s="175"/>
      <c r="AE906" s="175"/>
      <c r="AF906" s="175"/>
      <c r="AG906" s="175"/>
      <c r="AH906" s="175"/>
      <c r="AI906" s="175"/>
    </row>
    <row r="907">
      <c r="A907" s="154">
        <v>46050.0</v>
      </c>
      <c r="B907" s="155">
        <v>8095535.0</v>
      </c>
      <c r="C907" s="156" t="s">
        <v>82</v>
      </c>
      <c r="D907" s="156" t="s">
        <v>35</v>
      </c>
      <c r="E907" s="155">
        <v>5.016623599E9</v>
      </c>
      <c r="F907" s="156" t="s">
        <v>1186</v>
      </c>
      <c r="G907" s="154">
        <v>46339.20833333333</v>
      </c>
      <c r="H907" s="157">
        <v>46342.20833333333</v>
      </c>
      <c r="I907" s="158">
        <v>3.0</v>
      </c>
      <c r="J907" s="159" t="s">
        <v>78</v>
      </c>
      <c r="K907" s="156" t="s">
        <v>79</v>
      </c>
      <c r="L907" s="156" t="s">
        <v>80</v>
      </c>
      <c r="M907" s="155">
        <v>2.0</v>
      </c>
      <c r="N907" s="160">
        <v>0.19999999999999996</v>
      </c>
      <c r="O907" s="161">
        <v>153.12</v>
      </c>
      <c r="P907" s="161">
        <v>122.49600000000001</v>
      </c>
      <c r="Q907" s="203">
        <v>0.0</v>
      </c>
      <c r="R907" s="162">
        <v>367.48800000000006</v>
      </c>
      <c r="S907" s="162">
        <v>0.0</v>
      </c>
      <c r="T907" s="162">
        <v>474.36</v>
      </c>
      <c r="U907" s="163" t="s">
        <v>107</v>
      </c>
      <c r="V907" s="154">
        <v>46050.0</v>
      </c>
      <c r="W907" s="175"/>
      <c r="X907" s="175"/>
      <c r="Y907" s="175"/>
      <c r="Z907" s="175"/>
      <c r="AA907" s="175"/>
      <c r="AB907" s="175"/>
      <c r="AC907" s="175"/>
      <c r="AD907" s="175"/>
      <c r="AE907" s="175"/>
      <c r="AF907" s="175"/>
      <c r="AG907" s="175"/>
      <c r="AH907" s="175"/>
      <c r="AI907" s="175"/>
    </row>
    <row r="908">
      <c r="A908" s="176">
        <v>46020.0</v>
      </c>
      <c r="B908" s="177">
        <v>7968679.0</v>
      </c>
      <c r="C908" s="178" t="s">
        <v>82</v>
      </c>
      <c r="D908" s="178" t="s">
        <v>35</v>
      </c>
      <c r="E908" s="177">
        <v>6.29141892E9</v>
      </c>
      <c r="F908" s="178" t="s">
        <v>1187</v>
      </c>
      <c r="G908" s="176">
        <v>46341.20833333333</v>
      </c>
      <c r="H908" s="179">
        <v>46345.20833333333</v>
      </c>
      <c r="I908" s="180">
        <v>4.0</v>
      </c>
      <c r="J908" s="181" t="s">
        <v>78</v>
      </c>
      <c r="K908" s="178" t="s">
        <v>79</v>
      </c>
      <c r="L908" s="178" t="s">
        <v>80</v>
      </c>
      <c r="M908" s="182">
        <v>2.0</v>
      </c>
      <c r="N908" s="183">
        <v>0.19999999999999996</v>
      </c>
      <c r="O908" s="184">
        <v>150.72</v>
      </c>
      <c r="P908" s="184">
        <v>120.57600000000001</v>
      </c>
      <c r="Q908" s="185">
        <v>0.0</v>
      </c>
      <c r="R908" s="186">
        <v>482.30400000000003</v>
      </c>
      <c r="S908" s="186">
        <v>0.0</v>
      </c>
      <c r="T908" s="186">
        <v>622.88</v>
      </c>
      <c r="U908" s="187" t="s">
        <v>353</v>
      </c>
      <c r="V908" s="176">
        <v>46020.0</v>
      </c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</row>
    <row r="909">
      <c r="A909" s="165">
        <v>45964.0</v>
      </c>
      <c r="B909" s="166">
        <v>7762771.0</v>
      </c>
      <c r="C909" s="166" t="s">
        <v>89</v>
      </c>
      <c r="D909" s="166" t="s">
        <v>35</v>
      </c>
      <c r="E909" s="166">
        <v>6.808491989E9</v>
      </c>
      <c r="F909" s="166" t="s">
        <v>1188</v>
      </c>
      <c r="G909" s="165">
        <v>46343.20833333333</v>
      </c>
      <c r="H909" s="167">
        <v>46344.20833333333</v>
      </c>
      <c r="I909" s="168">
        <v>1.0</v>
      </c>
      <c r="J909" s="169" t="s">
        <v>78</v>
      </c>
      <c r="K909" s="166" t="s">
        <v>79</v>
      </c>
      <c r="L909" s="166" t="s">
        <v>80</v>
      </c>
      <c r="M909" s="166">
        <v>0.0</v>
      </c>
      <c r="N909" s="170">
        <v>0.0</v>
      </c>
      <c r="O909" s="171">
        <v>0.0</v>
      </c>
      <c r="P909" s="171">
        <v>0.0</v>
      </c>
      <c r="Q909" s="172">
        <v>0.0</v>
      </c>
      <c r="R909" s="173">
        <v>0.0</v>
      </c>
      <c r="S909" s="173">
        <v>0.0</v>
      </c>
      <c r="T909" s="173">
        <v>0.0</v>
      </c>
      <c r="U909" s="174" t="s">
        <v>1189</v>
      </c>
      <c r="V909" s="165">
        <v>45974.0</v>
      </c>
      <c r="W909" s="164"/>
      <c r="X909" s="164"/>
      <c r="Y909" s="164"/>
      <c r="Z909" s="164"/>
      <c r="AA909" s="164"/>
      <c r="AB909" s="164"/>
      <c r="AC909" s="164"/>
      <c r="AD909" s="164"/>
      <c r="AE909" s="164"/>
      <c r="AF909" s="164"/>
      <c r="AG909" s="164"/>
      <c r="AH909" s="164"/>
      <c r="AI909" s="164"/>
    </row>
    <row r="910">
      <c r="A910" s="165">
        <v>46028.0</v>
      </c>
      <c r="B910" s="166">
        <v>8000590.0</v>
      </c>
      <c r="C910" s="166" t="s">
        <v>89</v>
      </c>
      <c r="D910" s="229" t="s">
        <v>1190</v>
      </c>
      <c r="E910" s="166">
        <v>2.364811848E9</v>
      </c>
      <c r="F910" s="166" t="s">
        <v>1191</v>
      </c>
      <c r="G910" s="165">
        <v>46343.20833333333</v>
      </c>
      <c r="H910" s="167">
        <v>46348.20833333333</v>
      </c>
      <c r="I910" s="168">
        <v>5.0</v>
      </c>
      <c r="J910" s="169" t="s">
        <v>78</v>
      </c>
      <c r="K910" s="166" t="s">
        <v>79</v>
      </c>
      <c r="L910" s="166" t="s">
        <v>103</v>
      </c>
      <c r="M910" s="205">
        <v>0.0</v>
      </c>
      <c r="N910" s="170">
        <v>0.0</v>
      </c>
      <c r="O910" s="171">
        <v>0.0</v>
      </c>
      <c r="P910" s="171">
        <v>0.0</v>
      </c>
      <c r="Q910" s="172">
        <v>0.0</v>
      </c>
      <c r="R910" s="173">
        <v>0.0</v>
      </c>
      <c r="S910" s="173">
        <v>0.0</v>
      </c>
      <c r="T910" s="173">
        <v>0.0</v>
      </c>
      <c r="U910" s="174" t="s">
        <v>1192</v>
      </c>
      <c r="V910" s="165">
        <v>46149.0</v>
      </c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</row>
    <row r="911">
      <c r="A911" s="165">
        <v>46028.0</v>
      </c>
      <c r="B911" s="166">
        <v>8000592.0</v>
      </c>
      <c r="C911" s="166" t="s">
        <v>89</v>
      </c>
      <c r="D911" s="229" t="s">
        <v>1190</v>
      </c>
      <c r="E911" s="166">
        <v>2.364811844E9</v>
      </c>
      <c r="F911" s="166" t="s">
        <v>1191</v>
      </c>
      <c r="G911" s="165">
        <v>46343.20833333333</v>
      </c>
      <c r="H911" s="167">
        <v>46348.20833333333</v>
      </c>
      <c r="I911" s="168">
        <v>5.0</v>
      </c>
      <c r="J911" s="169" t="s">
        <v>78</v>
      </c>
      <c r="K911" s="166" t="s">
        <v>79</v>
      </c>
      <c r="L911" s="166" t="s">
        <v>103</v>
      </c>
      <c r="M911" s="205">
        <v>0.0</v>
      </c>
      <c r="N911" s="170">
        <v>0.0</v>
      </c>
      <c r="O911" s="171">
        <v>0.0</v>
      </c>
      <c r="P911" s="171">
        <v>0.0</v>
      </c>
      <c r="Q911" s="172">
        <v>0.0</v>
      </c>
      <c r="R911" s="173">
        <v>0.0</v>
      </c>
      <c r="S911" s="173">
        <v>0.0</v>
      </c>
      <c r="T911" s="173">
        <v>0.0</v>
      </c>
      <c r="U911" s="174" t="s">
        <v>1192</v>
      </c>
      <c r="V911" s="165">
        <v>46149.0</v>
      </c>
      <c r="W911" s="164"/>
      <c r="X911" s="164"/>
      <c r="Y911" s="164"/>
      <c r="Z911" s="164"/>
      <c r="AA911" s="164"/>
      <c r="AB911" s="164"/>
      <c r="AC911" s="164"/>
      <c r="AD911" s="164"/>
      <c r="AE911" s="164"/>
      <c r="AF911" s="164"/>
      <c r="AG911" s="164"/>
      <c r="AH911" s="164"/>
      <c r="AI911" s="164"/>
    </row>
    <row r="912">
      <c r="A912" s="154">
        <v>46029.0</v>
      </c>
      <c r="B912" s="155">
        <v>8003485.0</v>
      </c>
      <c r="C912" s="156" t="s">
        <v>82</v>
      </c>
      <c r="D912" s="156" t="s">
        <v>35</v>
      </c>
      <c r="E912" s="155">
        <v>6.266232734E9</v>
      </c>
      <c r="F912" s="156" t="s">
        <v>1184</v>
      </c>
      <c r="G912" s="154">
        <v>46344.20833333333</v>
      </c>
      <c r="H912" s="157">
        <v>46346.20833333333</v>
      </c>
      <c r="I912" s="158">
        <v>2.0</v>
      </c>
      <c r="J912" s="159" t="s">
        <v>78</v>
      </c>
      <c r="K912" s="156" t="s">
        <v>79</v>
      </c>
      <c r="L912" s="156" t="s">
        <v>80</v>
      </c>
      <c r="M912" s="202">
        <v>2.0</v>
      </c>
      <c r="N912" s="160">
        <v>0.19999999999999996</v>
      </c>
      <c r="O912" s="161">
        <v>150.72</v>
      </c>
      <c r="P912" s="161">
        <v>120.57600000000001</v>
      </c>
      <c r="Q912" s="203">
        <v>0.0</v>
      </c>
      <c r="R912" s="162">
        <v>241.15200000000002</v>
      </c>
      <c r="S912" s="162">
        <v>0.0</v>
      </c>
      <c r="T912" s="162">
        <v>311.44</v>
      </c>
      <c r="U912" s="163" t="s">
        <v>353</v>
      </c>
      <c r="V912" s="154">
        <v>46029.0</v>
      </c>
      <c r="W912" s="164"/>
      <c r="X912" s="164"/>
      <c r="Y912" s="164"/>
      <c r="Z912" s="164"/>
      <c r="AA912" s="164"/>
      <c r="AB912" s="164"/>
      <c r="AC912" s="164"/>
      <c r="AD912" s="164"/>
      <c r="AE912" s="164"/>
      <c r="AF912" s="164"/>
      <c r="AG912" s="164"/>
      <c r="AH912" s="164"/>
      <c r="AI912" s="164"/>
    </row>
    <row r="913">
      <c r="A913" s="176">
        <v>46057.0</v>
      </c>
      <c r="B913" s="177">
        <v>8125355.0</v>
      </c>
      <c r="C913" s="178" t="s">
        <v>82</v>
      </c>
      <c r="D913" s="178" t="s">
        <v>12</v>
      </c>
      <c r="E913" s="177" t="s">
        <v>1193</v>
      </c>
      <c r="F913" s="178" t="s">
        <v>1194</v>
      </c>
      <c r="G913" s="176">
        <v>46346.20833333333</v>
      </c>
      <c r="H913" s="179">
        <v>46350.20833333333</v>
      </c>
      <c r="I913" s="180">
        <v>4.0</v>
      </c>
      <c r="J913" s="181" t="s">
        <v>1016</v>
      </c>
      <c r="K913" s="178" t="s">
        <v>79</v>
      </c>
      <c r="L913" s="178" t="s">
        <v>123</v>
      </c>
      <c r="M913" s="182">
        <v>3.0</v>
      </c>
      <c r="N913" s="183">
        <v>0.0</v>
      </c>
      <c r="O913" s="184">
        <v>191.56</v>
      </c>
      <c r="P913" s="184">
        <v>153.24800000000002</v>
      </c>
      <c r="Q913" s="185">
        <v>0.0</v>
      </c>
      <c r="R913" s="186">
        <v>612.9920000000001</v>
      </c>
      <c r="S913" s="186">
        <v>0.0</v>
      </c>
      <c r="T913" s="186" t="s">
        <v>127</v>
      </c>
      <c r="U913" s="187" t="s">
        <v>1195</v>
      </c>
      <c r="V913" s="176">
        <v>46057.0</v>
      </c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</row>
    <row r="914">
      <c r="A914" s="165">
        <v>45989.0</v>
      </c>
      <c r="B914" s="166">
        <v>7859879.0</v>
      </c>
      <c r="C914" s="166" t="s">
        <v>89</v>
      </c>
      <c r="D914" s="166" t="s">
        <v>35</v>
      </c>
      <c r="E914" s="166">
        <v>6.76630578E9</v>
      </c>
      <c r="F914" s="166" t="s">
        <v>1196</v>
      </c>
      <c r="G914" s="165">
        <v>46347.20833333333</v>
      </c>
      <c r="H914" s="167">
        <v>46356.20833333333</v>
      </c>
      <c r="I914" s="168">
        <v>9.0</v>
      </c>
      <c r="J914" s="169" t="s">
        <v>78</v>
      </c>
      <c r="K914" s="166" t="s">
        <v>79</v>
      </c>
      <c r="L914" s="166" t="s">
        <v>80</v>
      </c>
      <c r="M914" s="166">
        <v>0.0</v>
      </c>
      <c r="N914" s="170">
        <v>0.0</v>
      </c>
      <c r="O914" s="171">
        <v>0.0</v>
      </c>
      <c r="P914" s="171">
        <v>0.0</v>
      </c>
      <c r="Q914" s="172">
        <v>0.0</v>
      </c>
      <c r="R914" s="173">
        <v>0.0</v>
      </c>
      <c r="S914" s="173">
        <v>0.0</v>
      </c>
      <c r="T914" s="173">
        <v>0.0</v>
      </c>
      <c r="U914" s="201" t="s">
        <v>1197</v>
      </c>
      <c r="V914" s="165">
        <v>46193.0</v>
      </c>
      <c r="W914" s="164"/>
      <c r="X914" s="164"/>
      <c r="Y914" s="164"/>
      <c r="Z914" s="164"/>
      <c r="AA914" s="164"/>
      <c r="AB914" s="164"/>
      <c r="AC914" s="164"/>
      <c r="AD914" s="164"/>
      <c r="AE914" s="164"/>
      <c r="AF914" s="164"/>
      <c r="AG914" s="164"/>
      <c r="AH914" s="164"/>
      <c r="AI914" s="164"/>
    </row>
    <row r="915">
      <c r="A915" s="165">
        <v>46029.0</v>
      </c>
      <c r="B915" s="166">
        <v>8004026.0</v>
      </c>
      <c r="C915" s="166" t="s">
        <v>82</v>
      </c>
      <c r="D915" s="166" t="s">
        <v>35</v>
      </c>
      <c r="E915" s="166">
        <v>6.202366703E9</v>
      </c>
      <c r="F915" s="166" t="s">
        <v>1198</v>
      </c>
      <c r="G915" s="165">
        <v>46348.20833333333</v>
      </c>
      <c r="H915" s="167">
        <v>46350.20833333333</v>
      </c>
      <c r="I915" s="168">
        <v>2.0</v>
      </c>
      <c r="J915" s="169" t="s">
        <v>78</v>
      </c>
      <c r="K915" s="166" t="s">
        <v>79</v>
      </c>
      <c r="L915" s="166" t="s">
        <v>80</v>
      </c>
      <c r="M915" s="166">
        <v>1.0</v>
      </c>
      <c r="N915" s="170">
        <v>0.19999999999999996</v>
      </c>
      <c r="O915" s="171">
        <v>160.44</v>
      </c>
      <c r="P915" s="171">
        <v>128.352</v>
      </c>
      <c r="Q915" s="172">
        <v>0.0</v>
      </c>
      <c r="R915" s="173">
        <v>256.704</v>
      </c>
      <c r="S915" s="173">
        <v>0.0</v>
      </c>
      <c r="T915" s="173">
        <v>325.88</v>
      </c>
      <c r="U915" s="201" t="s">
        <v>353</v>
      </c>
      <c r="V915" s="165">
        <v>46029.0</v>
      </c>
      <c r="W915" s="175"/>
      <c r="X915" s="175"/>
      <c r="Y915" s="175"/>
      <c r="Z915" s="175"/>
      <c r="AA915" s="175"/>
      <c r="AB915" s="175"/>
      <c r="AC915" s="175"/>
      <c r="AD915" s="175"/>
      <c r="AE915" s="175"/>
      <c r="AF915" s="175"/>
      <c r="AG915" s="175"/>
      <c r="AH915" s="175"/>
      <c r="AI915" s="175"/>
    </row>
    <row r="916">
      <c r="A916" s="165">
        <v>45988.0</v>
      </c>
      <c r="B916" s="166">
        <v>7855515.0</v>
      </c>
      <c r="C916" s="166" t="s">
        <v>89</v>
      </c>
      <c r="D916" s="166" t="s">
        <v>35</v>
      </c>
      <c r="E916" s="166">
        <v>5.536548692E9</v>
      </c>
      <c r="F916" s="166" t="s">
        <v>1199</v>
      </c>
      <c r="G916" s="165">
        <v>46349.20833333333</v>
      </c>
      <c r="H916" s="167">
        <v>46352.20833333333</v>
      </c>
      <c r="I916" s="168">
        <v>3.0</v>
      </c>
      <c r="J916" s="169" t="s">
        <v>111</v>
      </c>
      <c r="K916" s="166" t="s">
        <v>79</v>
      </c>
      <c r="L916" s="166" t="s">
        <v>80</v>
      </c>
      <c r="M916" s="166">
        <v>0.0</v>
      </c>
      <c r="N916" s="170">
        <v>0.0</v>
      </c>
      <c r="O916" s="171">
        <v>0.0</v>
      </c>
      <c r="P916" s="171">
        <v>0.0</v>
      </c>
      <c r="Q916" s="172">
        <v>0.0</v>
      </c>
      <c r="R916" s="173">
        <v>0.0</v>
      </c>
      <c r="S916" s="173">
        <v>0.0</v>
      </c>
      <c r="T916" s="173">
        <v>0.0</v>
      </c>
      <c r="U916" s="174" t="s">
        <v>1200</v>
      </c>
      <c r="V916" s="165">
        <v>45988.0</v>
      </c>
      <c r="W916" s="175"/>
      <c r="X916" s="175"/>
      <c r="Y916" s="175"/>
      <c r="Z916" s="175"/>
      <c r="AA916" s="175"/>
      <c r="AB916" s="175"/>
      <c r="AC916" s="175"/>
      <c r="AD916" s="175"/>
      <c r="AE916" s="175"/>
      <c r="AF916" s="175"/>
      <c r="AG916" s="175"/>
      <c r="AH916" s="175"/>
      <c r="AI916" s="175"/>
    </row>
    <row r="917">
      <c r="A917" s="154">
        <v>45988.0</v>
      </c>
      <c r="B917" s="155">
        <v>7855515.0</v>
      </c>
      <c r="C917" s="156" t="s">
        <v>89</v>
      </c>
      <c r="D917" s="156" t="s">
        <v>35</v>
      </c>
      <c r="E917" s="155">
        <v>5.536548692E9</v>
      </c>
      <c r="F917" s="156" t="s">
        <v>1199</v>
      </c>
      <c r="G917" s="154">
        <v>46349.20833333333</v>
      </c>
      <c r="H917" s="157">
        <v>46352.20833333333</v>
      </c>
      <c r="I917" s="158">
        <v>3.0</v>
      </c>
      <c r="J917" s="159" t="s">
        <v>114</v>
      </c>
      <c r="K917" s="156" t="s">
        <v>79</v>
      </c>
      <c r="L917" s="156" t="s">
        <v>80</v>
      </c>
      <c r="M917" s="155">
        <v>0.0</v>
      </c>
      <c r="N917" s="160">
        <v>0.0</v>
      </c>
      <c r="O917" s="161">
        <v>0.0</v>
      </c>
      <c r="P917" s="161">
        <v>0.0</v>
      </c>
      <c r="Q917" s="203">
        <v>0.0</v>
      </c>
      <c r="R917" s="162">
        <v>0.0</v>
      </c>
      <c r="S917" s="162">
        <v>0.0</v>
      </c>
      <c r="T917" s="162">
        <v>0.0</v>
      </c>
      <c r="U917" s="163" t="s">
        <v>1200</v>
      </c>
      <c r="V917" s="154">
        <v>45988.0</v>
      </c>
      <c r="W917" s="175"/>
      <c r="X917" s="175"/>
      <c r="Y917" s="175"/>
      <c r="Z917" s="175"/>
      <c r="AA917" s="175"/>
      <c r="AB917" s="175"/>
      <c r="AC917" s="175"/>
      <c r="AD917" s="175"/>
      <c r="AE917" s="175"/>
      <c r="AF917" s="175"/>
      <c r="AG917" s="175"/>
      <c r="AH917" s="175"/>
      <c r="AI917" s="175"/>
    </row>
    <row r="918">
      <c r="A918" s="176">
        <v>45988.0</v>
      </c>
      <c r="B918" s="177">
        <v>7855515.0</v>
      </c>
      <c r="C918" s="178" t="s">
        <v>89</v>
      </c>
      <c r="D918" s="178" t="s">
        <v>35</v>
      </c>
      <c r="E918" s="177">
        <v>5.536548692E9</v>
      </c>
      <c r="F918" s="178" t="s">
        <v>1199</v>
      </c>
      <c r="G918" s="176">
        <v>46349.20833333333</v>
      </c>
      <c r="H918" s="179">
        <v>46352.20833333333</v>
      </c>
      <c r="I918" s="180">
        <v>3.0</v>
      </c>
      <c r="J918" s="181" t="s">
        <v>114</v>
      </c>
      <c r="K918" s="178" t="s">
        <v>79</v>
      </c>
      <c r="L918" s="178" t="s">
        <v>80</v>
      </c>
      <c r="M918" s="182">
        <v>0.0</v>
      </c>
      <c r="N918" s="183">
        <v>0.0</v>
      </c>
      <c r="O918" s="184">
        <v>0.0</v>
      </c>
      <c r="P918" s="184">
        <v>0.0</v>
      </c>
      <c r="Q918" s="185">
        <v>0.0</v>
      </c>
      <c r="R918" s="186">
        <v>0.0</v>
      </c>
      <c r="S918" s="186">
        <v>0.0</v>
      </c>
      <c r="T918" s="186">
        <v>0.0</v>
      </c>
      <c r="U918" s="187" t="s">
        <v>1200</v>
      </c>
      <c r="V918" s="176">
        <v>45988.0</v>
      </c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</row>
    <row r="919">
      <c r="A919" s="165">
        <v>46061.0</v>
      </c>
      <c r="B919" s="166">
        <v>8143252.0</v>
      </c>
      <c r="C919" s="166" t="s">
        <v>82</v>
      </c>
      <c r="D919" s="166" t="s">
        <v>35</v>
      </c>
      <c r="E919" s="166">
        <v>6.665614915E9</v>
      </c>
      <c r="F919" s="166" t="s">
        <v>1201</v>
      </c>
      <c r="G919" s="165">
        <v>46351.20833333333</v>
      </c>
      <c r="H919" s="167">
        <v>46353.20833333333</v>
      </c>
      <c r="I919" s="168">
        <v>2.0</v>
      </c>
      <c r="J919" s="169" t="s">
        <v>87</v>
      </c>
      <c r="K919" s="166" t="s">
        <v>79</v>
      </c>
      <c r="L919" s="166" t="s">
        <v>80</v>
      </c>
      <c r="M919" s="205">
        <v>2.0</v>
      </c>
      <c r="N919" s="170">
        <v>0.19999999999999996</v>
      </c>
      <c r="O919" s="171">
        <v>126.41</v>
      </c>
      <c r="P919" s="171">
        <v>101.128</v>
      </c>
      <c r="Q919" s="172">
        <v>0.0</v>
      </c>
      <c r="R919" s="173">
        <v>202.256</v>
      </c>
      <c r="S919" s="173">
        <v>0.0</v>
      </c>
      <c r="T919" s="173">
        <v>262.82</v>
      </c>
      <c r="U919" s="174" t="s">
        <v>107</v>
      </c>
      <c r="V919" s="165">
        <v>46061.0</v>
      </c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</row>
    <row r="920">
      <c r="A920" s="165">
        <v>46015.0</v>
      </c>
      <c r="B920" s="166">
        <v>7953895.0</v>
      </c>
      <c r="C920" s="166" t="s">
        <v>82</v>
      </c>
      <c r="D920" s="166" t="s">
        <v>35</v>
      </c>
      <c r="E920" s="166">
        <v>5.994951008E9</v>
      </c>
      <c r="F920" s="166" t="s">
        <v>1202</v>
      </c>
      <c r="G920" s="165">
        <v>46356.20833333333</v>
      </c>
      <c r="H920" s="167">
        <v>46359.20833333333</v>
      </c>
      <c r="I920" s="168">
        <v>3.0</v>
      </c>
      <c r="J920" s="169" t="s">
        <v>87</v>
      </c>
      <c r="K920" s="166" t="s">
        <v>79</v>
      </c>
      <c r="L920" s="166" t="s">
        <v>80</v>
      </c>
      <c r="M920" s="205">
        <v>2.0</v>
      </c>
      <c r="N920" s="170">
        <v>0.19999999999999996</v>
      </c>
      <c r="O920" s="171">
        <v>165.24</v>
      </c>
      <c r="P920" s="171">
        <v>132.192</v>
      </c>
      <c r="Q920" s="172">
        <v>0.0</v>
      </c>
      <c r="R920" s="173">
        <v>396.576</v>
      </c>
      <c r="S920" s="173">
        <v>0.0</v>
      </c>
      <c r="T920" s="173">
        <v>510.72</v>
      </c>
      <c r="U920" s="174" t="s">
        <v>353</v>
      </c>
      <c r="V920" s="165">
        <v>46015.0</v>
      </c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</row>
    <row r="921">
      <c r="A921" s="165">
        <v>46004.0</v>
      </c>
      <c r="B921" s="166">
        <v>7913884.0</v>
      </c>
      <c r="C921" s="166" t="s">
        <v>89</v>
      </c>
      <c r="D921" s="166" t="s">
        <v>35</v>
      </c>
      <c r="E921" s="166">
        <v>5.83130963E9</v>
      </c>
      <c r="F921" s="166" t="s">
        <v>1203</v>
      </c>
      <c r="G921" s="165">
        <v>46364.20833333333</v>
      </c>
      <c r="H921" s="167">
        <v>46368.20833333333</v>
      </c>
      <c r="I921" s="168">
        <v>4.0</v>
      </c>
      <c r="J921" s="169" t="s">
        <v>78</v>
      </c>
      <c r="K921" s="166" t="s">
        <v>79</v>
      </c>
      <c r="L921" s="166" t="s">
        <v>80</v>
      </c>
      <c r="M921" s="166">
        <v>0.0</v>
      </c>
      <c r="N921" s="170">
        <v>0.0</v>
      </c>
      <c r="O921" s="171">
        <v>0.0</v>
      </c>
      <c r="P921" s="171">
        <v>0.0</v>
      </c>
      <c r="Q921" s="172">
        <v>0.0</v>
      </c>
      <c r="R921" s="173">
        <v>0.0</v>
      </c>
      <c r="S921" s="173">
        <v>0.0</v>
      </c>
      <c r="T921" s="173">
        <v>0.0</v>
      </c>
      <c r="U921" s="201" t="s">
        <v>849</v>
      </c>
      <c r="V921" s="165">
        <v>46078.0</v>
      </c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</row>
    <row r="922">
      <c r="A922" s="154">
        <v>46016.0</v>
      </c>
      <c r="B922" s="155">
        <v>7957489.0</v>
      </c>
      <c r="C922" s="156" t="s">
        <v>89</v>
      </c>
      <c r="D922" s="156" t="s">
        <v>35</v>
      </c>
      <c r="E922" s="155">
        <v>6.696024747E9</v>
      </c>
      <c r="F922" s="156" t="s">
        <v>1204</v>
      </c>
      <c r="G922" s="154">
        <v>46365.20833333333</v>
      </c>
      <c r="H922" s="157">
        <v>46372.20833333333</v>
      </c>
      <c r="I922" s="158">
        <v>7.0</v>
      </c>
      <c r="J922" s="159" t="s">
        <v>78</v>
      </c>
      <c r="K922" s="156" t="s">
        <v>79</v>
      </c>
      <c r="L922" s="156" t="s">
        <v>80</v>
      </c>
      <c r="M922" s="155">
        <v>0.0</v>
      </c>
      <c r="N922" s="160">
        <v>0.0</v>
      </c>
      <c r="O922" s="161">
        <v>0.0</v>
      </c>
      <c r="P922" s="161">
        <v>0.0</v>
      </c>
      <c r="Q922" s="159">
        <v>0.0</v>
      </c>
      <c r="R922" s="162">
        <v>0.0</v>
      </c>
      <c r="S922" s="162">
        <v>0.0</v>
      </c>
      <c r="T922" s="162">
        <v>0.0</v>
      </c>
      <c r="U922" s="163" t="s">
        <v>1205</v>
      </c>
      <c r="V922" s="154">
        <v>46110.0</v>
      </c>
      <c r="W922" s="164"/>
      <c r="X922" s="164"/>
      <c r="Y922" s="164"/>
      <c r="Z922" s="164"/>
      <c r="AA922" s="164"/>
      <c r="AB922" s="164"/>
      <c r="AC922" s="164"/>
      <c r="AD922" s="164"/>
      <c r="AE922" s="164"/>
      <c r="AF922" s="164"/>
      <c r="AG922" s="164"/>
      <c r="AH922" s="164"/>
      <c r="AI922" s="164"/>
    </row>
    <row r="923">
      <c r="A923" s="190">
        <v>46055.0</v>
      </c>
      <c r="B923" s="191">
        <v>8116745.0</v>
      </c>
      <c r="C923" s="192" t="s">
        <v>82</v>
      </c>
      <c r="D923" s="192" t="s">
        <v>35</v>
      </c>
      <c r="E923" s="191">
        <v>5.069185499E9</v>
      </c>
      <c r="F923" s="192" t="s">
        <v>1206</v>
      </c>
      <c r="G923" s="190">
        <v>46365.20833333333</v>
      </c>
      <c r="H923" s="193">
        <v>46368.20833333333</v>
      </c>
      <c r="I923" s="194">
        <v>3.0</v>
      </c>
      <c r="J923" s="195" t="s">
        <v>78</v>
      </c>
      <c r="K923" s="192" t="s">
        <v>79</v>
      </c>
      <c r="L923" s="192" t="s">
        <v>80</v>
      </c>
      <c r="M923" s="191">
        <v>2.0</v>
      </c>
      <c r="N923" s="196">
        <v>0.19999999999999996</v>
      </c>
      <c r="O923" s="197">
        <v>122.33</v>
      </c>
      <c r="P923" s="197">
        <v>97.864</v>
      </c>
      <c r="Q923" s="198">
        <v>0.0</v>
      </c>
      <c r="R923" s="199">
        <v>293.592</v>
      </c>
      <c r="S923" s="199">
        <v>0.0</v>
      </c>
      <c r="T923" s="199">
        <v>381.99</v>
      </c>
      <c r="U923" s="200" t="s">
        <v>107</v>
      </c>
      <c r="V923" s="190">
        <v>46055.0</v>
      </c>
      <c r="W923" s="175"/>
      <c r="X923" s="175"/>
      <c r="Y923" s="175"/>
      <c r="Z923" s="175"/>
      <c r="AA923" s="175"/>
      <c r="AB923" s="175"/>
      <c r="AC923" s="175"/>
      <c r="AD923" s="175"/>
      <c r="AE923" s="175"/>
      <c r="AF923" s="175"/>
      <c r="AG923" s="175"/>
      <c r="AH923" s="175"/>
      <c r="AI923" s="175"/>
    </row>
    <row r="924">
      <c r="A924" s="154">
        <v>46075.0</v>
      </c>
      <c r="B924" s="155">
        <v>8206804.0</v>
      </c>
      <c r="C924" s="156" t="s">
        <v>82</v>
      </c>
      <c r="D924" s="156" t="s">
        <v>35</v>
      </c>
      <c r="E924" s="155">
        <v>5.212229089E9</v>
      </c>
      <c r="F924" s="156" t="s">
        <v>1207</v>
      </c>
      <c r="G924" s="154">
        <v>46379.20833333333</v>
      </c>
      <c r="H924" s="157">
        <v>46382.20833333333</v>
      </c>
      <c r="I924" s="158">
        <v>3.0</v>
      </c>
      <c r="J924" s="159" t="s">
        <v>111</v>
      </c>
      <c r="K924" s="156" t="s">
        <v>79</v>
      </c>
      <c r="L924" s="156" t="s">
        <v>80</v>
      </c>
      <c r="M924" s="155">
        <v>2.0</v>
      </c>
      <c r="N924" s="160">
        <v>0.19999999999999996</v>
      </c>
      <c r="O924" s="161">
        <v>177.23333333333335</v>
      </c>
      <c r="P924" s="161">
        <v>141.7866666666667</v>
      </c>
      <c r="Q924" s="203">
        <v>0.0</v>
      </c>
      <c r="R924" s="162">
        <v>425.36000000000007</v>
      </c>
      <c r="S924" s="162">
        <v>0.0</v>
      </c>
      <c r="T924" s="162">
        <v>546.7</v>
      </c>
      <c r="U924" s="163" t="s">
        <v>107</v>
      </c>
      <c r="V924" s="154">
        <v>46075.0</v>
      </c>
      <c r="W924" s="164"/>
      <c r="X924" s="164"/>
      <c r="Y924" s="164"/>
      <c r="Z924" s="164"/>
      <c r="AA924" s="164"/>
      <c r="AB924" s="164"/>
      <c r="AC924" s="164"/>
      <c r="AD924" s="164"/>
      <c r="AE924" s="164"/>
      <c r="AF924" s="164"/>
      <c r="AG924" s="164"/>
      <c r="AH924" s="164"/>
      <c r="AI924" s="164"/>
    </row>
    <row r="925">
      <c r="A925" s="165">
        <v>46075.0</v>
      </c>
      <c r="B925" s="166">
        <v>8206815.0</v>
      </c>
      <c r="C925" s="166" t="s">
        <v>75</v>
      </c>
      <c r="D925" s="166" t="s">
        <v>35</v>
      </c>
      <c r="E925" s="166">
        <v>6.526605991E9</v>
      </c>
      <c r="F925" s="166" t="s">
        <v>1208</v>
      </c>
      <c r="G925" s="165">
        <v>46381.20833333333</v>
      </c>
      <c r="H925" s="167">
        <v>46382.20833333333</v>
      </c>
      <c r="I925" s="168">
        <v>1.0</v>
      </c>
      <c r="J925" s="169" t="s">
        <v>78</v>
      </c>
      <c r="K925" s="166" t="s">
        <v>79</v>
      </c>
      <c r="L925" s="166" t="s">
        <v>80</v>
      </c>
      <c r="M925" s="166">
        <v>1.0</v>
      </c>
      <c r="N925" s="170">
        <v>0.19999999999999996</v>
      </c>
      <c r="O925" s="171">
        <v>195.52</v>
      </c>
      <c r="P925" s="171">
        <v>156.41600000000003</v>
      </c>
      <c r="Q925" s="172">
        <v>0.0</v>
      </c>
      <c r="R925" s="173">
        <v>156.41600000000003</v>
      </c>
      <c r="S925" s="173">
        <v>0.0</v>
      </c>
      <c r="T925" s="173">
        <v>198.02</v>
      </c>
      <c r="U925" s="174" t="s">
        <v>1209</v>
      </c>
      <c r="V925" s="165">
        <v>46075.0</v>
      </c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</row>
    <row r="926">
      <c r="A926" s="176">
        <v>46061.0</v>
      </c>
      <c r="B926" s="177">
        <v>8143882.0</v>
      </c>
      <c r="C926" s="178" t="s">
        <v>82</v>
      </c>
      <c r="D926" s="178" t="s">
        <v>35</v>
      </c>
      <c r="E926" s="177">
        <v>5.790064627E9</v>
      </c>
      <c r="F926" s="178" t="s">
        <v>1210</v>
      </c>
      <c r="G926" s="176">
        <v>46381.20833333333</v>
      </c>
      <c r="H926" s="179">
        <v>46383.20833333333</v>
      </c>
      <c r="I926" s="180">
        <v>2.0</v>
      </c>
      <c r="J926" s="181" t="s">
        <v>111</v>
      </c>
      <c r="K926" s="178" t="s">
        <v>79</v>
      </c>
      <c r="L926" s="178" t="s">
        <v>80</v>
      </c>
      <c r="M926" s="182">
        <v>2.0</v>
      </c>
      <c r="N926" s="183">
        <v>0.19999999999999996</v>
      </c>
      <c r="O926" s="184">
        <v>262.08</v>
      </c>
      <c r="P926" s="184">
        <v>209.664</v>
      </c>
      <c r="Q926" s="185">
        <v>0.0</v>
      </c>
      <c r="R926" s="186">
        <v>419.328</v>
      </c>
      <c r="S926" s="186">
        <v>0.0</v>
      </c>
      <c r="T926" s="186">
        <v>935.2</v>
      </c>
      <c r="U926" s="187" t="s">
        <v>353</v>
      </c>
      <c r="V926" s="176">
        <v>46061.0</v>
      </c>
      <c r="W926" s="164"/>
      <c r="X926" s="164"/>
      <c r="Y926" s="164"/>
      <c r="Z926" s="164"/>
      <c r="AA926" s="164"/>
      <c r="AB926" s="164"/>
      <c r="AC926" s="164"/>
      <c r="AD926" s="164"/>
      <c r="AE926" s="164"/>
      <c r="AF926" s="164"/>
      <c r="AG926" s="164"/>
      <c r="AH926" s="164"/>
      <c r="AI926" s="164"/>
    </row>
    <row r="927">
      <c r="A927" s="154">
        <v>46061.0</v>
      </c>
      <c r="B927" s="155">
        <v>8143882.0</v>
      </c>
      <c r="C927" s="156" t="s">
        <v>82</v>
      </c>
      <c r="D927" s="156" t="s">
        <v>35</v>
      </c>
      <c r="E927" s="155">
        <v>5.790064627E9</v>
      </c>
      <c r="F927" s="156" t="s">
        <v>1210</v>
      </c>
      <c r="G927" s="154">
        <v>46381.20833333333</v>
      </c>
      <c r="H927" s="157">
        <v>46383.20833333333</v>
      </c>
      <c r="I927" s="158">
        <v>2.0</v>
      </c>
      <c r="J927" s="159" t="s">
        <v>78</v>
      </c>
      <c r="K927" s="156" t="s">
        <v>79</v>
      </c>
      <c r="L927" s="156" t="s">
        <v>80</v>
      </c>
      <c r="M927" s="155">
        <v>2.0</v>
      </c>
      <c r="N927" s="160">
        <v>0.19999999999999996</v>
      </c>
      <c r="O927" s="161">
        <v>195.52</v>
      </c>
      <c r="P927" s="161">
        <v>156.41600000000003</v>
      </c>
      <c r="Q927" s="203">
        <v>0.0</v>
      </c>
      <c r="R927" s="162">
        <v>312.83200000000005</v>
      </c>
      <c r="S927" s="162">
        <v>0.0</v>
      </c>
      <c r="T927" s="162">
        <v>935.2</v>
      </c>
      <c r="U927" s="163" t="s">
        <v>353</v>
      </c>
      <c r="V927" s="154">
        <v>46061.0</v>
      </c>
      <c r="W927" s="175"/>
      <c r="X927" s="175"/>
      <c r="Y927" s="175"/>
      <c r="Z927" s="175"/>
      <c r="AA927" s="175"/>
      <c r="AB927" s="175"/>
      <c r="AC927" s="175"/>
      <c r="AD927" s="175"/>
      <c r="AE927" s="175"/>
      <c r="AF927" s="175"/>
      <c r="AG927" s="175"/>
      <c r="AH927" s="175"/>
      <c r="AI927" s="175"/>
    </row>
    <row r="928">
      <c r="A928" s="176">
        <v>46075.0</v>
      </c>
      <c r="B928" s="177">
        <v>8206786.0</v>
      </c>
      <c r="C928" s="178" t="s">
        <v>82</v>
      </c>
      <c r="D928" s="178" t="s">
        <v>35</v>
      </c>
      <c r="E928" s="177">
        <v>6.898370647E9</v>
      </c>
      <c r="F928" s="178" t="s">
        <v>1211</v>
      </c>
      <c r="G928" s="176">
        <v>46381.20833333333</v>
      </c>
      <c r="H928" s="179">
        <v>46382.20833333333</v>
      </c>
      <c r="I928" s="180">
        <v>1.0</v>
      </c>
      <c r="J928" s="181" t="s">
        <v>78</v>
      </c>
      <c r="K928" s="178" t="s">
        <v>79</v>
      </c>
      <c r="L928" s="178" t="s">
        <v>80</v>
      </c>
      <c r="M928" s="182">
        <v>2.0</v>
      </c>
      <c r="N928" s="183">
        <v>0.19999999999999996</v>
      </c>
      <c r="O928" s="184">
        <v>149.16</v>
      </c>
      <c r="P928" s="184">
        <v>119.328</v>
      </c>
      <c r="Q928" s="185">
        <v>0.0</v>
      </c>
      <c r="R928" s="186">
        <v>119.328</v>
      </c>
      <c r="S928" s="186">
        <v>0.0</v>
      </c>
      <c r="T928" s="186">
        <v>154.16</v>
      </c>
      <c r="U928" s="187" t="s">
        <v>107</v>
      </c>
      <c r="V928" s="176">
        <v>46075.0</v>
      </c>
      <c r="W928" s="175"/>
      <c r="X928" s="175"/>
      <c r="Y928" s="175"/>
      <c r="Z928" s="175"/>
      <c r="AA928" s="175"/>
      <c r="AB928" s="175"/>
      <c r="AC928" s="175"/>
      <c r="AD928" s="175"/>
      <c r="AE928" s="175"/>
      <c r="AF928" s="175"/>
      <c r="AG928" s="175"/>
      <c r="AH928" s="175"/>
      <c r="AI928" s="175"/>
    </row>
    <row r="929">
      <c r="A929" s="176">
        <v>46028.0</v>
      </c>
      <c r="B929" s="177">
        <v>7999396.0</v>
      </c>
      <c r="C929" s="178" t="s">
        <v>82</v>
      </c>
      <c r="D929" s="178" t="s">
        <v>36</v>
      </c>
      <c r="E929" s="177">
        <v>7999396.0</v>
      </c>
      <c r="F929" s="178" t="s">
        <v>1212</v>
      </c>
      <c r="G929" s="176">
        <v>46386.20833333333</v>
      </c>
      <c r="H929" s="179">
        <v>46389.20833333333</v>
      </c>
      <c r="I929" s="180">
        <v>3.0</v>
      </c>
      <c r="J929" s="181" t="s">
        <v>114</v>
      </c>
      <c r="K929" s="178" t="s">
        <v>138</v>
      </c>
      <c r="L929" s="178" t="s">
        <v>80</v>
      </c>
      <c r="M929" s="182">
        <v>2.0</v>
      </c>
      <c r="N929" s="183">
        <v>0.0</v>
      </c>
      <c r="O929" s="184">
        <v>268.84999999999997</v>
      </c>
      <c r="P929" s="184">
        <v>266.1615</v>
      </c>
      <c r="Q929" s="185">
        <v>36.0</v>
      </c>
      <c r="R929" s="186">
        <v>798.4845</v>
      </c>
      <c r="S929" s="186">
        <v>108.0</v>
      </c>
      <c r="T929" s="186">
        <v>929.55</v>
      </c>
      <c r="U929" s="187" t="s">
        <v>448</v>
      </c>
      <c r="V929" s="176">
        <v>46028.0</v>
      </c>
      <c r="W929" s="164"/>
      <c r="X929" s="164"/>
      <c r="Y929" s="164"/>
      <c r="Z929" s="164"/>
      <c r="AA929" s="164"/>
      <c r="AB929" s="164"/>
      <c r="AC929" s="164"/>
      <c r="AD929" s="164"/>
      <c r="AE929" s="164"/>
      <c r="AF929" s="164"/>
      <c r="AG929" s="164"/>
      <c r="AH929" s="164"/>
      <c r="AI929" s="164"/>
    </row>
    <row r="930">
      <c r="A930" s="176">
        <v>45905.0</v>
      </c>
      <c r="B930" s="177">
        <v>7519355.0</v>
      </c>
      <c r="C930" s="178" t="s">
        <v>89</v>
      </c>
      <c r="D930" s="178" t="s">
        <v>35</v>
      </c>
      <c r="E930" s="177">
        <v>6.326512976E9</v>
      </c>
      <c r="F930" s="178" t="s">
        <v>1213</v>
      </c>
      <c r="G930" s="176">
        <v>46426.0</v>
      </c>
      <c r="H930" s="179">
        <v>46430.0</v>
      </c>
      <c r="I930" s="180">
        <v>4.0</v>
      </c>
      <c r="J930" s="181" t="s">
        <v>111</v>
      </c>
      <c r="K930" s="178" t="s">
        <v>79</v>
      </c>
      <c r="L930" s="178" t="s">
        <v>80</v>
      </c>
      <c r="M930" s="182">
        <v>0.0</v>
      </c>
      <c r="N930" s="183">
        <v>0.0</v>
      </c>
      <c r="O930" s="184">
        <v>0.0</v>
      </c>
      <c r="P930" s="184">
        <v>0.0</v>
      </c>
      <c r="Q930" s="185">
        <v>0.0</v>
      </c>
      <c r="R930" s="186">
        <v>0.0</v>
      </c>
      <c r="S930" s="186">
        <v>0.0</v>
      </c>
      <c r="T930" s="186">
        <v>0.0</v>
      </c>
      <c r="U930" s="187" t="s">
        <v>1214</v>
      </c>
      <c r="V930" s="176">
        <v>46239.0</v>
      </c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</row>
    <row r="931">
      <c r="A931" s="176">
        <v>45949.0</v>
      </c>
      <c r="B931" s="177">
        <v>7703678.0</v>
      </c>
      <c r="C931" s="178" t="s">
        <v>89</v>
      </c>
      <c r="D931" s="178" t="s">
        <v>35</v>
      </c>
      <c r="E931" s="177">
        <v>6.439384137E9</v>
      </c>
      <c r="F931" s="178" t="s">
        <v>1215</v>
      </c>
      <c r="G931" s="176">
        <v>46389.20833333333</v>
      </c>
      <c r="H931" s="179">
        <v>46396.20833333333</v>
      </c>
      <c r="I931" s="180">
        <v>7.0</v>
      </c>
      <c r="J931" s="181" t="s">
        <v>111</v>
      </c>
      <c r="K931" s="178" t="s">
        <v>79</v>
      </c>
      <c r="L931" s="178" t="s">
        <v>80</v>
      </c>
      <c r="M931" s="182">
        <v>0.0</v>
      </c>
      <c r="N931" s="183">
        <v>0.0</v>
      </c>
      <c r="O931" s="184">
        <v>0.0</v>
      </c>
      <c r="P931" s="184">
        <v>0.0</v>
      </c>
      <c r="Q931" s="185">
        <v>0.0</v>
      </c>
      <c r="R931" s="186">
        <v>0.0</v>
      </c>
      <c r="S931" s="186">
        <v>0.0</v>
      </c>
      <c r="T931" s="186">
        <v>0.0</v>
      </c>
      <c r="U931" s="187" t="s">
        <v>1216</v>
      </c>
      <c r="V931" s="176">
        <v>45949.0</v>
      </c>
      <c r="W931" s="175"/>
      <c r="X931" s="175"/>
      <c r="Y931" s="175"/>
      <c r="Z931" s="175"/>
      <c r="AA931" s="175"/>
      <c r="AB931" s="175"/>
      <c r="AC931" s="175"/>
      <c r="AD931" s="175"/>
      <c r="AE931" s="175"/>
      <c r="AF931" s="175"/>
      <c r="AG931" s="175"/>
      <c r="AH931" s="175"/>
      <c r="AI931" s="175"/>
    </row>
    <row r="932">
      <c r="A932" s="165">
        <v>46031.0</v>
      </c>
      <c r="B932" s="166">
        <v>8012808.0</v>
      </c>
      <c r="C932" s="166" t="s">
        <v>89</v>
      </c>
      <c r="D932" s="166" t="s">
        <v>94</v>
      </c>
      <c r="E932" s="166">
        <v>8012808.0</v>
      </c>
      <c r="F932" s="166" t="s">
        <v>1217</v>
      </c>
      <c r="G932" s="165">
        <v>46390.20833333333</v>
      </c>
      <c r="H932" s="167">
        <v>46392.20833333333</v>
      </c>
      <c r="I932" s="168">
        <v>2.0</v>
      </c>
      <c r="J932" s="169" t="s">
        <v>78</v>
      </c>
      <c r="K932" s="166" t="s">
        <v>79</v>
      </c>
      <c r="L932" s="166" t="s">
        <v>96</v>
      </c>
      <c r="M932" s="205">
        <v>0.0</v>
      </c>
      <c r="N932" s="170">
        <v>0.0</v>
      </c>
      <c r="O932" s="171">
        <v>0.0</v>
      </c>
      <c r="P932" s="171">
        <v>0.0</v>
      </c>
      <c r="Q932" s="172">
        <v>0.0</v>
      </c>
      <c r="R932" s="173">
        <v>0.0</v>
      </c>
      <c r="S932" s="173">
        <v>0.0</v>
      </c>
      <c r="T932" s="173">
        <v>0.0</v>
      </c>
      <c r="U932" s="174" t="s">
        <v>232</v>
      </c>
      <c r="V932" s="165">
        <v>46033.0</v>
      </c>
      <c r="W932" s="164"/>
      <c r="X932" s="164"/>
      <c r="Y932" s="164"/>
      <c r="Z932" s="164"/>
      <c r="AA932" s="164"/>
      <c r="AB932" s="164"/>
      <c r="AC932" s="164"/>
      <c r="AD932" s="164"/>
      <c r="AE932" s="164"/>
      <c r="AF932" s="164"/>
      <c r="AG932" s="164"/>
      <c r="AH932" s="164"/>
      <c r="AI932" s="164"/>
    </row>
    <row r="933">
      <c r="A933" s="165">
        <v>46031.0</v>
      </c>
      <c r="B933" s="166">
        <v>8012808.0</v>
      </c>
      <c r="C933" s="166" t="s">
        <v>89</v>
      </c>
      <c r="D933" s="166" t="s">
        <v>94</v>
      </c>
      <c r="E933" s="166">
        <v>8012808.0</v>
      </c>
      <c r="F933" s="166" t="s">
        <v>1217</v>
      </c>
      <c r="G933" s="165">
        <v>46390.20833333333</v>
      </c>
      <c r="H933" s="167">
        <v>46392.20833333333</v>
      </c>
      <c r="I933" s="168">
        <v>2.0</v>
      </c>
      <c r="J933" s="169" t="s">
        <v>78</v>
      </c>
      <c r="K933" s="166" t="s">
        <v>79</v>
      </c>
      <c r="L933" s="166" t="s">
        <v>96</v>
      </c>
      <c r="M933" s="166">
        <v>0.0</v>
      </c>
      <c r="N933" s="170">
        <v>0.0</v>
      </c>
      <c r="O933" s="171">
        <v>0.0</v>
      </c>
      <c r="P933" s="171">
        <v>0.0</v>
      </c>
      <c r="Q933" s="172">
        <v>0.0</v>
      </c>
      <c r="R933" s="173">
        <v>0.0</v>
      </c>
      <c r="S933" s="173">
        <v>0.0</v>
      </c>
      <c r="T933" s="173">
        <v>0.0</v>
      </c>
      <c r="U933" s="174" t="s">
        <v>232</v>
      </c>
      <c r="V933" s="165">
        <v>46033.0</v>
      </c>
      <c r="W933" s="175"/>
      <c r="X933" s="175"/>
      <c r="Y933" s="175"/>
      <c r="Z933" s="175"/>
      <c r="AA933" s="175"/>
      <c r="AB933" s="175"/>
      <c r="AC933" s="175"/>
      <c r="AD933" s="175"/>
      <c r="AE933" s="175"/>
      <c r="AF933" s="175"/>
      <c r="AG933" s="175"/>
      <c r="AH933" s="175"/>
      <c r="AI933" s="175"/>
    </row>
    <row r="934">
      <c r="A934" s="165">
        <v>46031.0</v>
      </c>
      <c r="B934" s="166">
        <v>8012808.0</v>
      </c>
      <c r="C934" s="166" t="s">
        <v>89</v>
      </c>
      <c r="D934" s="166" t="s">
        <v>94</v>
      </c>
      <c r="E934" s="166">
        <v>8012808.0</v>
      </c>
      <c r="F934" s="166" t="s">
        <v>1217</v>
      </c>
      <c r="G934" s="165">
        <v>46390.20833333333</v>
      </c>
      <c r="H934" s="167">
        <v>46392.20833333333</v>
      </c>
      <c r="I934" s="168">
        <v>2.0</v>
      </c>
      <c r="J934" s="169" t="s">
        <v>78</v>
      </c>
      <c r="K934" s="166" t="s">
        <v>79</v>
      </c>
      <c r="L934" s="166" t="s">
        <v>96</v>
      </c>
      <c r="M934" s="205">
        <v>0.0</v>
      </c>
      <c r="N934" s="170">
        <v>0.0</v>
      </c>
      <c r="O934" s="171">
        <v>0.0</v>
      </c>
      <c r="P934" s="171">
        <v>0.0</v>
      </c>
      <c r="Q934" s="172">
        <v>0.0</v>
      </c>
      <c r="R934" s="173">
        <v>0.0</v>
      </c>
      <c r="S934" s="173">
        <v>0.0</v>
      </c>
      <c r="T934" s="173">
        <v>0.0</v>
      </c>
      <c r="U934" s="174" t="s">
        <v>232</v>
      </c>
      <c r="V934" s="165">
        <v>46033.0</v>
      </c>
      <c r="W934" s="175"/>
      <c r="X934" s="175"/>
      <c r="Y934" s="175"/>
      <c r="Z934" s="175"/>
      <c r="AA934" s="175"/>
      <c r="AB934" s="175"/>
      <c r="AC934" s="175"/>
      <c r="AD934" s="175"/>
      <c r="AE934" s="175"/>
      <c r="AF934" s="175"/>
      <c r="AG934" s="175"/>
      <c r="AH934" s="175"/>
      <c r="AI934" s="175"/>
    </row>
    <row r="935">
      <c r="A935" s="165">
        <v>46031.0</v>
      </c>
      <c r="B935" s="166">
        <v>8012808.0</v>
      </c>
      <c r="C935" s="166" t="s">
        <v>89</v>
      </c>
      <c r="D935" s="166" t="s">
        <v>94</v>
      </c>
      <c r="E935" s="166">
        <v>8012808.0</v>
      </c>
      <c r="F935" s="166" t="s">
        <v>1217</v>
      </c>
      <c r="G935" s="165">
        <v>46390.20833333333</v>
      </c>
      <c r="H935" s="167">
        <v>46392.20833333333</v>
      </c>
      <c r="I935" s="168">
        <v>2.0</v>
      </c>
      <c r="J935" s="169" t="s">
        <v>91</v>
      </c>
      <c r="K935" s="166" t="s">
        <v>79</v>
      </c>
      <c r="L935" s="166" t="s">
        <v>96</v>
      </c>
      <c r="M935" s="166">
        <v>0.0</v>
      </c>
      <c r="N935" s="170">
        <v>0.0</v>
      </c>
      <c r="O935" s="171">
        <v>0.0</v>
      </c>
      <c r="P935" s="171">
        <v>0.0</v>
      </c>
      <c r="Q935" s="172">
        <v>0.0</v>
      </c>
      <c r="R935" s="173">
        <v>0.0</v>
      </c>
      <c r="S935" s="173">
        <v>0.0</v>
      </c>
      <c r="T935" s="173">
        <v>0.0</v>
      </c>
      <c r="U935" s="201" t="s">
        <v>232</v>
      </c>
      <c r="V935" s="165">
        <v>46033.0</v>
      </c>
      <c r="W935" s="164"/>
      <c r="X935" s="164"/>
      <c r="Y935" s="164"/>
      <c r="Z935" s="164"/>
      <c r="AA935" s="164"/>
      <c r="AB935" s="164"/>
      <c r="AC935" s="164"/>
      <c r="AD935" s="164"/>
      <c r="AE935" s="164"/>
      <c r="AF935" s="164"/>
      <c r="AG935" s="164"/>
      <c r="AH935" s="164"/>
      <c r="AI935" s="164"/>
    </row>
    <row r="936">
      <c r="A936" s="165">
        <v>45977.0</v>
      </c>
      <c r="B936" s="166">
        <v>7813300.0</v>
      </c>
      <c r="C936" s="166" t="s">
        <v>89</v>
      </c>
      <c r="D936" s="166" t="s">
        <v>35</v>
      </c>
      <c r="E936" s="166">
        <v>6.288541321E9</v>
      </c>
      <c r="F936" s="166" t="s">
        <v>1218</v>
      </c>
      <c r="G936" s="165">
        <v>46391.20833333333</v>
      </c>
      <c r="H936" s="167">
        <v>46396.20833333333</v>
      </c>
      <c r="I936" s="168">
        <v>5.0</v>
      </c>
      <c r="J936" s="169" t="s">
        <v>78</v>
      </c>
      <c r="K936" s="166" t="s">
        <v>79</v>
      </c>
      <c r="L936" s="166" t="s">
        <v>80</v>
      </c>
      <c r="M936" s="166">
        <v>0.0</v>
      </c>
      <c r="N936" s="169">
        <v>0.0</v>
      </c>
      <c r="O936" s="171">
        <v>0.0</v>
      </c>
      <c r="P936" s="171">
        <v>0.0</v>
      </c>
      <c r="Q936" s="169">
        <v>0.0</v>
      </c>
      <c r="R936" s="173">
        <v>0.0</v>
      </c>
      <c r="S936" s="173">
        <v>0.0</v>
      </c>
      <c r="T936" s="173">
        <v>0.0</v>
      </c>
      <c r="U936" s="201" t="s">
        <v>1219</v>
      </c>
      <c r="V936" s="165">
        <v>45977.0</v>
      </c>
      <c r="W936" s="164"/>
      <c r="X936" s="164"/>
      <c r="Y936" s="164"/>
      <c r="Z936" s="164"/>
      <c r="AA936" s="164"/>
      <c r="AB936" s="164"/>
      <c r="AC936" s="164"/>
      <c r="AD936" s="164"/>
      <c r="AE936" s="164"/>
      <c r="AF936" s="164"/>
      <c r="AG936" s="164"/>
      <c r="AH936" s="164"/>
      <c r="AI936" s="164"/>
    </row>
    <row r="937">
      <c r="A937" s="165">
        <v>46030.0</v>
      </c>
      <c r="B937" s="166">
        <v>8009727.0</v>
      </c>
      <c r="C937" s="166" t="s">
        <v>89</v>
      </c>
      <c r="D937" s="166" t="s">
        <v>35</v>
      </c>
      <c r="E937" s="166">
        <v>6.499957864E9</v>
      </c>
      <c r="F937" s="166" t="s">
        <v>1220</v>
      </c>
      <c r="G937" s="165">
        <v>46391.20833333333</v>
      </c>
      <c r="H937" s="167">
        <v>46392.20833333333</v>
      </c>
      <c r="I937" s="168">
        <v>1.0</v>
      </c>
      <c r="J937" s="169" t="s">
        <v>87</v>
      </c>
      <c r="K937" s="166" t="s">
        <v>138</v>
      </c>
      <c r="L937" s="166" t="s">
        <v>80</v>
      </c>
      <c r="M937" s="166">
        <v>0.0</v>
      </c>
      <c r="N937" s="170">
        <v>0.0</v>
      </c>
      <c r="O937" s="171">
        <v>0.0</v>
      </c>
      <c r="P937" s="171">
        <v>0.0</v>
      </c>
      <c r="Q937" s="172">
        <v>0.0</v>
      </c>
      <c r="R937" s="173">
        <v>0.0</v>
      </c>
      <c r="S937" s="173">
        <v>0.0</v>
      </c>
      <c r="T937" s="173">
        <v>0.0</v>
      </c>
      <c r="U937" s="201" t="s">
        <v>1221</v>
      </c>
      <c r="V937" s="165">
        <v>46030.0</v>
      </c>
      <c r="W937" s="175"/>
      <c r="X937" s="175"/>
      <c r="Y937" s="175"/>
      <c r="Z937" s="175"/>
      <c r="AA937" s="175"/>
      <c r="AB937" s="175"/>
      <c r="AC937" s="175"/>
      <c r="AD937" s="175"/>
      <c r="AE937" s="175"/>
      <c r="AF937" s="175"/>
      <c r="AG937" s="175"/>
      <c r="AH937" s="175"/>
      <c r="AI937" s="175"/>
    </row>
    <row r="938">
      <c r="A938" s="165">
        <v>46030.0</v>
      </c>
      <c r="B938" s="166">
        <v>8009727.0</v>
      </c>
      <c r="C938" s="166" t="s">
        <v>89</v>
      </c>
      <c r="D938" s="166" t="s">
        <v>35</v>
      </c>
      <c r="E938" s="166">
        <v>6.499957864E9</v>
      </c>
      <c r="F938" s="166" t="s">
        <v>1220</v>
      </c>
      <c r="G938" s="165">
        <v>46391.20833333333</v>
      </c>
      <c r="H938" s="167">
        <v>46392.20833333333</v>
      </c>
      <c r="I938" s="168">
        <v>1.0</v>
      </c>
      <c r="J938" s="169" t="s">
        <v>78</v>
      </c>
      <c r="K938" s="166" t="s">
        <v>138</v>
      </c>
      <c r="L938" s="166" t="s">
        <v>80</v>
      </c>
      <c r="M938" s="166">
        <v>0.0</v>
      </c>
      <c r="N938" s="170">
        <v>0.0</v>
      </c>
      <c r="O938" s="171">
        <v>0.0</v>
      </c>
      <c r="P938" s="171">
        <v>0.0</v>
      </c>
      <c r="Q938" s="172">
        <v>0.0</v>
      </c>
      <c r="R938" s="173">
        <v>0.0</v>
      </c>
      <c r="S938" s="173">
        <v>0.0</v>
      </c>
      <c r="T938" s="173">
        <v>0.0</v>
      </c>
      <c r="U938" s="174" t="s">
        <v>1221</v>
      </c>
      <c r="V938" s="165">
        <v>46030.0</v>
      </c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</row>
    <row r="939">
      <c r="A939" s="176">
        <v>46030.0</v>
      </c>
      <c r="B939" s="177">
        <v>8009727.0</v>
      </c>
      <c r="C939" s="178" t="s">
        <v>89</v>
      </c>
      <c r="D939" s="178" t="s">
        <v>35</v>
      </c>
      <c r="E939" s="177">
        <v>6.499957864E9</v>
      </c>
      <c r="F939" s="178" t="s">
        <v>1220</v>
      </c>
      <c r="G939" s="176">
        <v>46391.20833333333</v>
      </c>
      <c r="H939" s="179">
        <v>46392.20833333333</v>
      </c>
      <c r="I939" s="180">
        <v>1.0</v>
      </c>
      <c r="J939" s="181" t="s">
        <v>91</v>
      </c>
      <c r="K939" s="178" t="s">
        <v>138</v>
      </c>
      <c r="L939" s="178" t="s">
        <v>80</v>
      </c>
      <c r="M939" s="182">
        <v>0.0</v>
      </c>
      <c r="N939" s="183">
        <v>0.0</v>
      </c>
      <c r="O939" s="184">
        <v>0.0</v>
      </c>
      <c r="P939" s="184">
        <v>0.0</v>
      </c>
      <c r="Q939" s="185">
        <v>0.0</v>
      </c>
      <c r="R939" s="186">
        <v>0.0</v>
      </c>
      <c r="S939" s="186">
        <v>0.0</v>
      </c>
      <c r="T939" s="186">
        <v>0.0</v>
      </c>
      <c r="U939" s="187" t="s">
        <v>1221</v>
      </c>
      <c r="V939" s="176">
        <v>46030.0</v>
      </c>
      <c r="W939" s="164"/>
      <c r="X939" s="164"/>
      <c r="Y939" s="164"/>
      <c r="Z939" s="164"/>
      <c r="AA939" s="164"/>
      <c r="AB939" s="164"/>
      <c r="AC939" s="164"/>
      <c r="AD939" s="164"/>
      <c r="AE939" s="164"/>
      <c r="AF939" s="164"/>
      <c r="AG939" s="164"/>
      <c r="AH939" s="164"/>
      <c r="AI939" s="164"/>
    </row>
    <row r="940">
      <c r="A940" s="165">
        <v>46030.0</v>
      </c>
      <c r="B940" s="166">
        <v>8009794.0</v>
      </c>
      <c r="C940" s="166" t="s">
        <v>89</v>
      </c>
      <c r="D940" s="166" t="s">
        <v>35</v>
      </c>
      <c r="E940" s="166">
        <v>6.242847961E9</v>
      </c>
      <c r="F940" s="166" t="s">
        <v>1220</v>
      </c>
      <c r="G940" s="165">
        <v>46391.20833333333</v>
      </c>
      <c r="H940" s="167">
        <v>46392.20833333333</v>
      </c>
      <c r="I940" s="168">
        <v>1.0</v>
      </c>
      <c r="J940" s="169" t="s">
        <v>78</v>
      </c>
      <c r="K940" s="166" t="s">
        <v>138</v>
      </c>
      <c r="L940" s="166" t="s">
        <v>80</v>
      </c>
      <c r="M940" s="166">
        <v>0.0</v>
      </c>
      <c r="N940" s="169">
        <v>0.0</v>
      </c>
      <c r="O940" s="171">
        <v>0.0</v>
      </c>
      <c r="P940" s="171">
        <v>0.0</v>
      </c>
      <c r="Q940" s="169">
        <v>0.0</v>
      </c>
      <c r="R940" s="173">
        <v>0.0</v>
      </c>
      <c r="S940" s="173">
        <v>0.0</v>
      </c>
      <c r="T940" s="173">
        <v>0.0</v>
      </c>
      <c r="U940" s="201" t="s">
        <v>1222</v>
      </c>
      <c r="V940" s="165">
        <v>46030.0</v>
      </c>
      <c r="W940" s="164"/>
      <c r="X940" s="164"/>
      <c r="Y940" s="164"/>
      <c r="Z940" s="164"/>
      <c r="AA940" s="164"/>
      <c r="AB940" s="164"/>
      <c r="AC940" s="164"/>
      <c r="AD940" s="164"/>
      <c r="AE940" s="164"/>
      <c r="AF940" s="164"/>
      <c r="AG940" s="164"/>
      <c r="AH940" s="164"/>
      <c r="AI940" s="164"/>
    </row>
    <row r="941">
      <c r="A941" s="165">
        <v>46030.0</v>
      </c>
      <c r="B941" s="166">
        <v>8009799.0</v>
      </c>
      <c r="C941" s="166" t="s">
        <v>89</v>
      </c>
      <c r="D941" s="166" t="s">
        <v>35</v>
      </c>
      <c r="E941" s="166">
        <v>5.281150584E9</v>
      </c>
      <c r="F941" s="166" t="s">
        <v>1220</v>
      </c>
      <c r="G941" s="165">
        <v>46391.20833333333</v>
      </c>
      <c r="H941" s="167">
        <v>46392.20833333333</v>
      </c>
      <c r="I941" s="168">
        <v>1.0</v>
      </c>
      <c r="J941" s="169" t="s">
        <v>91</v>
      </c>
      <c r="K941" s="166" t="s">
        <v>138</v>
      </c>
      <c r="L941" s="166" t="s">
        <v>80</v>
      </c>
      <c r="M941" s="166">
        <v>0.0</v>
      </c>
      <c r="N941" s="169">
        <v>0.0</v>
      </c>
      <c r="O941" s="171">
        <v>0.0</v>
      </c>
      <c r="P941" s="171">
        <v>0.0</v>
      </c>
      <c r="Q941" s="169">
        <v>0.0</v>
      </c>
      <c r="R941" s="173">
        <v>0.0</v>
      </c>
      <c r="S941" s="173">
        <v>0.0</v>
      </c>
      <c r="T941" s="173">
        <v>0.0</v>
      </c>
      <c r="U941" s="201" t="s">
        <v>1222</v>
      </c>
      <c r="V941" s="165">
        <v>46030.0</v>
      </c>
      <c r="W941" s="175"/>
      <c r="X941" s="175"/>
      <c r="Y941" s="175"/>
      <c r="Z941" s="175"/>
      <c r="AA941" s="175"/>
      <c r="AB941" s="175"/>
      <c r="AC941" s="175"/>
      <c r="AD941" s="175"/>
      <c r="AE941" s="175"/>
      <c r="AF941" s="175"/>
      <c r="AG941" s="175"/>
      <c r="AH941" s="175"/>
      <c r="AI941" s="175"/>
    </row>
    <row r="942">
      <c r="A942" s="165">
        <v>46043.0</v>
      </c>
      <c r="B942" s="166">
        <v>8064734.0</v>
      </c>
      <c r="C942" s="166" t="s">
        <v>89</v>
      </c>
      <c r="D942" s="166" t="s">
        <v>35</v>
      </c>
      <c r="E942" s="166">
        <v>5.258109941E9</v>
      </c>
      <c r="F942" s="166" t="s">
        <v>1213</v>
      </c>
      <c r="G942" s="165">
        <v>46393.20833333333</v>
      </c>
      <c r="H942" s="167">
        <v>46394.20833333333</v>
      </c>
      <c r="I942" s="168">
        <v>1.0</v>
      </c>
      <c r="J942" s="169" t="s">
        <v>111</v>
      </c>
      <c r="K942" s="166" t="s">
        <v>79</v>
      </c>
      <c r="L942" s="166" t="s">
        <v>80</v>
      </c>
      <c r="M942" s="166">
        <v>0.0</v>
      </c>
      <c r="N942" s="169">
        <v>0.0</v>
      </c>
      <c r="O942" s="171">
        <v>0.0</v>
      </c>
      <c r="P942" s="171">
        <v>0.0</v>
      </c>
      <c r="Q942" s="169">
        <v>0.0</v>
      </c>
      <c r="R942" s="173">
        <v>0.0</v>
      </c>
      <c r="S942" s="173">
        <v>0.0</v>
      </c>
      <c r="T942" s="173">
        <v>0.0</v>
      </c>
      <c r="U942" s="201" t="s">
        <v>1224</v>
      </c>
      <c r="V942" s="165">
        <v>46088.0</v>
      </c>
      <c r="W942" s="175"/>
      <c r="X942" s="175"/>
      <c r="Y942" s="175"/>
      <c r="Z942" s="175"/>
      <c r="AA942" s="175"/>
      <c r="AB942" s="175"/>
      <c r="AC942" s="175"/>
      <c r="AD942" s="175"/>
      <c r="AE942" s="175"/>
      <c r="AF942" s="175"/>
      <c r="AG942" s="175"/>
      <c r="AH942" s="175"/>
      <c r="AI942" s="175"/>
    </row>
    <row r="943">
      <c r="A943" s="176">
        <v>46070.0</v>
      </c>
      <c r="B943" s="177">
        <v>8186468.0</v>
      </c>
      <c r="C943" s="178" t="s">
        <v>82</v>
      </c>
      <c r="D943" s="178" t="s">
        <v>35</v>
      </c>
      <c r="E943" s="178">
        <v>5.87240485E9</v>
      </c>
      <c r="F943" s="178" t="s">
        <v>1225</v>
      </c>
      <c r="G943" s="176">
        <v>46405.20833333333</v>
      </c>
      <c r="H943" s="179">
        <v>46409.20833333333</v>
      </c>
      <c r="I943" s="180">
        <v>4.0</v>
      </c>
      <c r="J943" s="181" t="s">
        <v>111</v>
      </c>
      <c r="K943" s="178" t="s">
        <v>79</v>
      </c>
      <c r="L943" s="178" t="s">
        <v>80</v>
      </c>
      <c r="M943" s="177">
        <v>2.0</v>
      </c>
      <c r="N943" s="183">
        <v>0.19999999999999996</v>
      </c>
      <c r="O943" s="184">
        <v>175.56</v>
      </c>
      <c r="P943" s="184">
        <v>140.448</v>
      </c>
      <c r="Q943" s="185">
        <v>0.0</v>
      </c>
      <c r="R943" s="186">
        <v>561.792</v>
      </c>
      <c r="S943" s="186">
        <v>0.0</v>
      </c>
      <c r="T943" s="186">
        <v>722.24</v>
      </c>
      <c r="U943" s="187" t="s">
        <v>107</v>
      </c>
      <c r="V943" s="176">
        <v>46070.0</v>
      </c>
      <c r="W943" s="175"/>
      <c r="X943" s="175"/>
      <c r="Y943" s="175"/>
      <c r="Z943" s="175"/>
      <c r="AA943" s="175"/>
      <c r="AB943" s="175"/>
      <c r="AC943" s="175"/>
      <c r="AD943" s="175"/>
      <c r="AE943" s="175"/>
      <c r="AF943" s="175"/>
      <c r="AG943" s="175"/>
      <c r="AH943" s="175"/>
      <c r="AI943" s="175"/>
    </row>
    <row r="944">
      <c r="A944" s="165">
        <v>45962.0</v>
      </c>
      <c r="B944" s="166">
        <v>7754882.0</v>
      </c>
      <c r="C944" s="166" t="s">
        <v>89</v>
      </c>
      <c r="D944" s="166" t="s">
        <v>35</v>
      </c>
      <c r="E944" s="166">
        <v>6.303463326E9</v>
      </c>
      <c r="F944" s="166" t="s">
        <v>1226</v>
      </c>
      <c r="G944" s="165">
        <v>46413.20833333333</v>
      </c>
      <c r="H944" s="167">
        <v>46416.20833333333</v>
      </c>
      <c r="I944" s="168">
        <v>3.0</v>
      </c>
      <c r="J944" s="169" t="s">
        <v>114</v>
      </c>
      <c r="K944" s="166" t="s">
        <v>79</v>
      </c>
      <c r="L944" s="166" t="s">
        <v>80</v>
      </c>
      <c r="M944" s="166">
        <v>0.0</v>
      </c>
      <c r="N944" s="170">
        <v>0.0</v>
      </c>
      <c r="O944" s="171">
        <v>0.0</v>
      </c>
      <c r="P944" s="171">
        <v>0.0</v>
      </c>
      <c r="Q944" s="172">
        <v>0.0</v>
      </c>
      <c r="R944" s="173">
        <v>0.0</v>
      </c>
      <c r="S944" s="173">
        <v>0.0</v>
      </c>
      <c r="T944" s="173">
        <v>0.0</v>
      </c>
      <c r="U944" s="174" t="s">
        <v>1034</v>
      </c>
      <c r="V944" s="165">
        <v>46243.0</v>
      </c>
      <c r="W944" s="175"/>
      <c r="X944" s="175"/>
      <c r="Y944" s="175"/>
      <c r="Z944" s="175"/>
      <c r="AA944" s="175"/>
      <c r="AB944" s="175"/>
      <c r="AC944" s="175"/>
      <c r="AD944" s="175"/>
      <c r="AE944" s="175"/>
      <c r="AF944" s="175"/>
      <c r="AG944" s="175"/>
      <c r="AH944" s="175"/>
      <c r="AI944" s="175"/>
    </row>
    <row r="945">
      <c r="A945" s="165">
        <v>46076.0</v>
      </c>
      <c r="B945" s="166">
        <v>8211918.0</v>
      </c>
      <c r="C945" s="166" t="s">
        <v>82</v>
      </c>
      <c r="D945" s="166" t="s">
        <v>35</v>
      </c>
      <c r="E945" s="166">
        <v>5.810744482E9</v>
      </c>
      <c r="F945" s="166" t="s">
        <v>1227</v>
      </c>
      <c r="G945" s="165">
        <v>46415.20833333333</v>
      </c>
      <c r="H945" s="167">
        <v>46420.20833333333</v>
      </c>
      <c r="I945" s="168">
        <v>5.0</v>
      </c>
      <c r="J945" s="169" t="s">
        <v>78</v>
      </c>
      <c r="K945" s="166" t="s">
        <v>79</v>
      </c>
      <c r="L945" s="166" t="s">
        <v>80</v>
      </c>
      <c r="M945" s="166">
        <v>2.0</v>
      </c>
      <c r="N945" s="170">
        <v>0.19999999999999996</v>
      </c>
      <c r="O945" s="171">
        <v>150.72</v>
      </c>
      <c r="P945" s="171">
        <v>120.57600000000001</v>
      </c>
      <c r="Q945" s="172">
        <v>0.0</v>
      </c>
      <c r="R945" s="173">
        <v>602.88</v>
      </c>
      <c r="S945" s="173">
        <v>0.0</v>
      </c>
      <c r="T945" s="173">
        <v>778.6</v>
      </c>
      <c r="U945" s="201" t="s">
        <v>353</v>
      </c>
      <c r="V945" s="165">
        <v>46076.0</v>
      </c>
      <c r="W945" s="175"/>
      <c r="X945" s="175"/>
      <c r="Y945" s="175"/>
      <c r="Z945" s="175"/>
      <c r="AA945" s="175"/>
      <c r="AB945" s="175"/>
      <c r="AC945" s="175"/>
      <c r="AD945" s="175"/>
      <c r="AE945" s="175"/>
      <c r="AF945" s="175"/>
      <c r="AG945" s="175"/>
      <c r="AH945" s="175"/>
      <c r="AI945" s="175"/>
    </row>
    <row r="946">
      <c r="A946" s="176">
        <v>46071.0</v>
      </c>
      <c r="B946" s="177">
        <v>8190671.0</v>
      </c>
      <c r="C946" s="178" t="s">
        <v>89</v>
      </c>
      <c r="D946" s="178" t="s">
        <v>35</v>
      </c>
      <c r="E946" s="177">
        <v>5.217301884E9</v>
      </c>
      <c r="F946" s="178" t="s">
        <v>1228</v>
      </c>
      <c r="G946" s="176">
        <v>46434.0</v>
      </c>
      <c r="H946" s="179">
        <v>46437.0</v>
      </c>
      <c r="I946" s="180">
        <v>3.0</v>
      </c>
      <c r="J946" s="181" t="s">
        <v>78</v>
      </c>
      <c r="K946" s="178" t="s">
        <v>79</v>
      </c>
      <c r="L946" s="178" t="s">
        <v>80</v>
      </c>
      <c r="M946" s="182">
        <v>0.0</v>
      </c>
      <c r="N946" s="183">
        <v>0.0</v>
      </c>
      <c r="O946" s="184">
        <v>0.0</v>
      </c>
      <c r="P946" s="184">
        <v>0.0</v>
      </c>
      <c r="Q946" s="185">
        <v>0.0</v>
      </c>
      <c r="R946" s="186">
        <v>0.0</v>
      </c>
      <c r="S946" s="186">
        <v>0.0</v>
      </c>
      <c r="T946" s="186">
        <v>0.0</v>
      </c>
      <c r="U946" s="187" t="s">
        <v>1161</v>
      </c>
      <c r="V946" s="176">
        <v>46071.0</v>
      </c>
      <c r="W946" s="164"/>
      <c r="X946" s="164"/>
      <c r="Y946" s="164"/>
      <c r="Z946" s="164"/>
      <c r="AA946" s="164"/>
      <c r="AB946" s="164"/>
      <c r="AC946" s="164"/>
      <c r="AD946" s="164"/>
      <c r="AE946" s="164"/>
      <c r="AF946" s="164"/>
      <c r="AG946" s="164"/>
      <c r="AH946" s="164"/>
      <c r="AI946" s="164"/>
    </row>
    <row r="947">
      <c r="A947" s="154">
        <v>46017.0</v>
      </c>
      <c r="B947" s="155">
        <v>7961175.0</v>
      </c>
      <c r="C947" s="156" t="s">
        <v>89</v>
      </c>
      <c r="D947" s="156" t="s">
        <v>35</v>
      </c>
      <c r="E947" s="155">
        <v>5.487412576E9</v>
      </c>
      <c r="F947" s="156" t="s">
        <v>1229</v>
      </c>
      <c r="G947" s="154">
        <v>46445.0</v>
      </c>
      <c r="H947" s="157">
        <v>46449.0</v>
      </c>
      <c r="I947" s="158">
        <v>4.0</v>
      </c>
      <c r="J947" s="159" t="s">
        <v>78</v>
      </c>
      <c r="K947" s="156" t="s">
        <v>79</v>
      </c>
      <c r="L947" s="156" t="s">
        <v>80</v>
      </c>
      <c r="M947" s="155">
        <v>0.0</v>
      </c>
      <c r="N947" s="160">
        <v>0.0</v>
      </c>
      <c r="O947" s="161">
        <v>0.0</v>
      </c>
      <c r="P947" s="161">
        <v>0.0</v>
      </c>
      <c r="Q947" s="203">
        <v>0.0</v>
      </c>
      <c r="R947" s="162">
        <v>0.0</v>
      </c>
      <c r="S947" s="162">
        <v>0.0</v>
      </c>
      <c r="T947" s="162">
        <v>0.0</v>
      </c>
      <c r="U947" s="163" t="s">
        <v>1230</v>
      </c>
      <c r="V947" s="154">
        <v>46018.0</v>
      </c>
      <c r="W947" s="175"/>
      <c r="X947" s="175"/>
      <c r="Y947" s="175"/>
      <c r="Z947" s="175"/>
      <c r="AA947" s="175"/>
      <c r="AB947" s="175"/>
      <c r="AC947" s="175"/>
      <c r="AD947" s="175"/>
      <c r="AE947" s="175"/>
      <c r="AF947" s="175"/>
      <c r="AG947" s="175"/>
      <c r="AH947" s="175"/>
      <c r="AI947" s="175"/>
    </row>
    <row r="948">
      <c r="A948" s="176">
        <v>46061.0</v>
      </c>
      <c r="B948" s="177">
        <v>8145460.0</v>
      </c>
      <c r="C948" s="178" t="s">
        <v>89</v>
      </c>
      <c r="D948" s="178" t="s">
        <v>35</v>
      </c>
      <c r="E948" s="177">
        <v>5.894972904E9</v>
      </c>
      <c r="F948" s="178" t="s">
        <v>1231</v>
      </c>
      <c r="G948" s="176">
        <v>46460.0</v>
      </c>
      <c r="H948" s="179">
        <v>46467.20833333333</v>
      </c>
      <c r="I948" s="180">
        <v>3.0</v>
      </c>
      <c r="J948" s="181" t="s">
        <v>78</v>
      </c>
      <c r="K948" s="178" t="s">
        <v>79</v>
      </c>
      <c r="L948" s="178" t="s">
        <v>80</v>
      </c>
      <c r="M948" s="182">
        <v>0.0</v>
      </c>
      <c r="N948" s="183">
        <v>0.0</v>
      </c>
      <c r="O948" s="184">
        <v>0.0</v>
      </c>
      <c r="P948" s="184">
        <v>0.0</v>
      </c>
      <c r="Q948" s="185">
        <v>0.0</v>
      </c>
      <c r="R948" s="186">
        <v>0.0</v>
      </c>
      <c r="S948" s="186">
        <v>0.0</v>
      </c>
      <c r="T948" s="186">
        <v>0.0</v>
      </c>
      <c r="U948" s="187" t="s">
        <v>1232</v>
      </c>
      <c r="V948" s="176">
        <v>46095.0</v>
      </c>
      <c r="W948" s="164"/>
      <c r="X948" s="164"/>
      <c r="Y948" s="164"/>
      <c r="Z948" s="164"/>
      <c r="AA948" s="164"/>
      <c r="AB948" s="164"/>
      <c r="AC948" s="164"/>
      <c r="AD948" s="164"/>
      <c r="AE948" s="164"/>
      <c r="AF948" s="164"/>
      <c r="AG948" s="164"/>
      <c r="AH948" s="164"/>
      <c r="AI948" s="164"/>
    </row>
    <row r="949">
      <c r="A949" s="176">
        <v>46041.0</v>
      </c>
      <c r="B949" s="177">
        <v>8055891.0</v>
      </c>
      <c r="C949" s="178" t="s">
        <v>89</v>
      </c>
      <c r="D949" s="178" t="s">
        <v>35</v>
      </c>
      <c r="E949" s="177">
        <v>6.348578208E9</v>
      </c>
      <c r="F949" s="178" t="s">
        <v>1233</v>
      </c>
      <c r="G949" s="176">
        <v>46471.20833333333</v>
      </c>
      <c r="H949" s="179">
        <v>46478.20833333333</v>
      </c>
      <c r="I949" s="180">
        <v>7.0</v>
      </c>
      <c r="J949" s="181" t="s">
        <v>78</v>
      </c>
      <c r="K949" s="178" t="s">
        <v>79</v>
      </c>
      <c r="L949" s="178" t="s">
        <v>80</v>
      </c>
      <c r="M949" s="182">
        <v>0.0</v>
      </c>
      <c r="N949" s="183">
        <v>0.0</v>
      </c>
      <c r="O949" s="184">
        <v>0.0</v>
      </c>
      <c r="P949" s="184">
        <v>0.0</v>
      </c>
      <c r="Q949" s="185">
        <v>0.0</v>
      </c>
      <c r="R949" s="186">
        <v>0.0</v>
      </c>
      <c r="S949" s="186">
        <v>0.0</v>
      </c>
      <c r="T949" s="186">
        <v>0.0</v>
      </c>
      <c r="U949" s="187" t="s">
        <v>1234</v>
      </c>
      <c r="V949" s="176">
        <v>46103.0</v>
      </c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</row>
    <row r="950">
      <c r="A950" s="176">
        <v>46068.0</v>
      </c>
      <c r="B950" s="177">
        <v>8176336.0</v>
      </c>
      <c r="C950" s="178" t="s">
        <v>89</v>
      </c>
      <c r="D950" s="178" t="s">
        <v>35</v>
      </c>
      <c r="E950" s="177">
        <v>5.899259609E9</v>
      </c>
      <c r="F950" s="178" t="s">
        <v>1235</v>
      </c>
      <c r="G950" s="176">
        <v>46473.20833333333</v>
      </c>
      <c r="H950" s="179">
        <v>46476.20833333333</v>
      </c>
      <c r="I950" s="180">
        <v>3.0</v>
      </c>
      <c r="J950" s="181" t="s">
        <v>78</v>
      </c>
      <c r="K950" s="178" t="s">
        <v>79</v>
      </c>
      <c r="L950" s="178" t="s">
        <v>80</v>
      </c>
      <c r="M950" s="177">
        <v>0.0</v>
      </c>
      <c r="N950" s="183">
        <v>0.0</v>
      </c>
      <c r="O950" s="184">
        <v>0.0</v>
      </c>
      <c r="P950" s="184">
        <v>0.0</v>
      </c>
      <c r="Q950" s="185">
        <v>0.0</v>
      </c>
      <c r="R950" s="186">
        <v>0.0</v>
      </c>
      <c r="S950" s="186">
        <v>0.0</v>
      </c>
      <c r="T950" s="186">
        <v>0.0</v>
      </c>
      <c r="U950" s="187" t="s">
        <v>1236</v>
      </c>
      <c r="V950" s="189">
        <v>46070.0</v>
      </c>
      <c r="W950" s="164"/>
      <c r="X950" s="164"/>
      <c r="Y950" s="164"/>
      <c r="Z950" s="164"/>
      <c r="AA950" s="164"/>
      <c r="AB950" s="164"/>
      <c r="AC950" s="164"/>
      <c r="AD950" s="164"/>
      <c r="AE950" s="164"/>
      <c r="AF950" s="164"/>
      <c r="AG950" s="164"/>
      <c r="AH950" s="164"/>
      <c r="AI950" s="164"/>
    </row>
    <row r="951">
      <c r="A951" s="176">
        <v>46068.0</v>
      </c>
      <c r="B951" s="177">
        <v>8177292.0</v>
      </c>
      <c r="C951" s="178" t="s">
        <v>82</v>
      </c>
      <c r="D951" s="178" t="s">
        <v>35</v>
      </c>
      <c r="E951" s="177">
        <v>5.979106564E9</v>
      </c>
      <c r="F951" s="178" t="s">
        <v>1237</v>
      </c>
      <c r="G951" s="176">
        <v>46512.20833333333</v>
      </c>
      <c r="H951" s="179">
        <v>46517.20833333333</v>
      </c>
      <c r="I951" s="180">
        <v>5.0</v>
      </c>
      <c r="J951" s="181" t="s">
        <v>114</v>
      </c>
      <c r="K951" s="178" t="s">
        <v>79</v>
      </c>
      <c r="L951" s="178" t="s">
        <v>80</v>
      </c>
      <c r="M951" s="182">
        <v>2.0</v>
      </c>
      <c r="N951" s="183">
        <v>0.19999999999999996</v>
      </c>
      <c r="O951" s="184">
        <v>195.52</v>
      </c>
      <c r="P951" s="184">
        <v>156.41600000000003</v>
      </c>
      <c r="Q951" s="185">
        <v>0.0</v>
      </c>
      <c r="R951" s="186">
        <v>782.0800000000002</v>
      </c>
      <c r="S951" s="186">
        <v>0.0</v>
      </c>
      <c r="T951" s="186">
        <v>1002.6</v>
      </c>
      <c r="U951" s="187" t="s">
        <v>353</v>
      </c>
      <c r="V951" s="176">
        <v>46068.0</v>
      </c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</row>
    <row r="952">
      <c r="A952" s="165">
        <v>46068.0</v>
      </c>
      <c r="B952" s="166">
        <v>8177665.0</v>
      </c>
      <c r="C952" s="166" t="s">
        <v>82</v>
      </c>
      <c r="D952" s="166" t="s">
        <v>35</v>
      </c>
      <c r="E952" s="166">
        <v>5.899243172E9</v>
      </c>
      <c r="F952" s="166" t="s">
        <v>1238</v>
      </c>
      <c r="G952" s="165">
        <v>46512.20833333333</v>
      </c>
      <c r="H952" s="167">
        <v>46517.20833333333</v>
      </c>
      <c r="I952" s="168">
        <v>5.0</v>
      </c>
      <c r="J952" s="169" t="s">
        <v>78</v>
      </c>
      <c r="K952" s="166" t="s">
        <v>79</v>
      </c>
      <c r="L952" s="166" t="s">
        <v>80</v>
      </c>
      <c r="M952" s="166">
        <v>2.0</v>
      </c>
      <c r="N952" s="170">
        <v>0.19999999999999996</v>
      </c>
      <c r="O952" s="171">
        <v>160.44</v>
      </c>
      <c r="P952" s="171">
        <v>128.352</v>
      </c>
      <c r="Q952" s="172">
        <v>0.0</v>
      </c>
      <c r="R952" s="173">
        <v>641.76</v>
      </c>
      <c r="S952" s="173">
        <v>0.0</v>
      </c>
      <c r="T952" s="173">
        <v>827.2</v>
      </c>
      <c r="U952" s="174" t="s">
        <v>268</v>
      </c>
      <c r="V952" s="165">
        <v>46068.0</v>
      </c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</row>
    <row r="953">
      <c r="A953" s="176">
        <v>46068.0</v>
      </c>
      <c r="B953" s="177">
        <v>8177936.0</v>
      </c>
      <c r="C953" s="178" t="s">
        <v>89</v>
      </c>
      <c r="D953" s="178" t="s">
        <v>35</v>
      </c>
      <c r="E953" s="177">
        <v>5.817981281E9</v>
      </c>
      <c r="F953" s="178" t="s">
        <v>1239</v>
      </c>
      <c r="G953" s="176">
        <v>46512.20833333333</v>
      </c>
      <c r="H953" s="179">
        <v>46515.20833333333</v>
      </c>
      <c r="I953" s="180">
        <v>3.0</v>
      </c>
      <c r="J953" s="181" t="s">
        <v>114</v>
      </c>
      <c r="K953" s="178" t="s">
        <v>79</v>
      </c>
      <c r="L953" s="178" t="s">
        <v>80</v>
      </c>
      <c r="M953" s="182">
        <v>0.0</v>
      </c>
      <c r="N953" s="183">
        <v>0.0</v>
      </c>
      <c r="O953" s="184">
        <v>0.0</v>
      </c>
      <c r="P953" s="184">
        <v>0.0</v>
      </c>
      <c r="Q953" s="185">
        <v>0.0</v>
      </c>
      <c r="R953" s="186">
        <v>0.0</v>
      </c>
      <c r="S953" s="186">
        <v>0.0</v>
      </c>
      <c r="T953" s="186">
        <v>0.0</v>
      </c>
      <c r="U953" s="187" t="s">
        <v>1240</v>
      </c>
      <c r="V953" s="176">
        <v>46068.0</v>
      </c>
      <c r="W953" s="175"/>
      <c r="X953" s="175"/>
      <c r="Y953" s="175"/>
      <c r="Z953" s="175"/>
      <c r="AA953" s="175"/>
      <c r="AB953" s="175"/>
      <c r="AC953" s="175"/>
      <c r="AD953" s="175"/>
      <c r="AE953" s="175"/>
      <c r="AF953" s="175"/>
      <c r="AG953" s="175"/>
      <c r="AH953" s="175"/>
      <c r="AI953" s="175"/>
    </row>
    <row r="954">
      <c r="A954" s="165">
        <v>46068.0</v>
      </c>
      <c r="B954" s="166">
        <v>8178000.0</v>
      </c>
      <c r="C954" s="166" t="s">
        <v>89</v>
      </c>
      <c r="D954" s="166" t="s">
        <v>35</v>
      </c>
      <c r="E954" s="166">
        <v>6.672462992E9</v>
      </c>
      <c r="F954" s="166" t="s">
        <v>1239</v>
      </c>
      <c r="G954" s="165">
        <v>46512.20833333333</v>
      </c>
      <c r="H954" s="167">
        <v>46517.20833333333</v>
      </c>
      <c r="I954" s="168">
        <v>5.0</v>
      </c>
      <c r="J954" s="169" t="s">
        <v>114</v>
      </c>
      <c r="K954" s="166" t="s">
        <v>79</v>
      </c>
      <c r="L954" s="166" t="s">
        <v>80</v>
      </c>
      <c r="M954" s="166">
        <v>0.0</v>
      </c>
      <c r="N954" s="170">
        <v>0.0</v>
      </c>
      <c r="O954" s="171">
        <v>0.0</v>
      </c>
      <c r="P954" s="171">
        <v>0.0</v>
      </c>
      <c r="Q954" s="172">
        <v>0.0</v>
      </c>
      <c r="R954" s="173">
        <v>0.0</v>
      </c>
      <c r="S954" s="173">
        <v>0.0</v>
      </c>
      <c r="T954" s="173">
        <v>0.0</v>
      </c>
      <c r="U954" s="174" t="s">
        <v>757</v>
      </c>
      <c r="V954" s="165">
        <v>46244.0</v>
      </c>
      <c r="W954" s="175"/>
      <c r="X954" s="175"/>
      <c r="Y954" s="175"/>
      <c r="Z954" s="175"/>
      <c r="AA954" s="175"/>
      <c r="AB954" s="175"/>
      <c r="AC954" s="175"/>
      <c r="AD954" s="175"/>
      <c r="AE954" s="175"/>
      <c r="AF954" s="175"/>
      <c r="AG954" s="175"/>
      <c r="AH954" s="175"/>
      <c r="AI954" s="175"/>
    </row>
    <row r="955">
      <c r="A955" s="176">
        <v>46067.0</v>
      </c>
      <c r="B955" s="177">
        <v>8174074.0</v>
      </c>
      <c r="C955" s="178" t="s">
        <v>89</v>
      </c>
      <c r="D955" s="178" t="s">
        <v>35</v>
      </c>
      <c r="E955" s="177">
        <v>5.341632283E9</v>
      </c>
      <c r="F955" s="178" t="s">
        <v>911</v>
      </c>
      <c r="G955" s="176">
        <v>46529.20833333333</v>
      </c>
      <c r="H955" s="179">
        <v>46532.20833333333</v>
      </c>
      <c r="I955" s="180">
        <v>3.0</v>
      </c>
      <c r="J955" s="181" t="s">
        <v>78</v>
      </c>
      <c r="K955" s="178" t="s">
        <v>79</v>
      </c>
      <c r="L955" s="178" t="s">
        <v>80</v>
      </c>
      <c r="M955" s="182">
        <v>0.0</v>
      </c>
      <c r="N955" s="183">
        <v>0.0</v>
      </c>
      <c r="O955" s="184">
        <v>0.0</v>
      </c>
      <c r="P955" s="184">
        <v>0.0</v>
      </c>
      <c r="Q955" s="185">
        <v>0.0</v>
      </c>
      <c r="R955" s="186">
        <v>0.0</v>
      </c>
      <c r="S955" s="186">
        <v>0.0</v>
      </c>
      <c r="T955" s="186">
        <v>0.0</v>
      </c>
      <c r="U955" s="187" t="s">
        <v>1242</v>
      </c>
      <c r="V955" s="176">
        <v>46068.0</v>
      </c>
      <c r="W955" s="175"/>
      <c r="X955" s="175"/>
      <c r="Y955" s="175"/>
      <c r="Z955" s="175"/>
      <c r="AA955" s="175"/>
      <c r="AB955" s="175"/>
      <c r="AC955" s="175"/>
      <c r="AD955" s="175"/>
      <c r="AE955" s="175"/>
      <c r="AF955" s="175"/>
      <c r="AG955" s="175"/>
      <c r="AH955" s="175"/>
      <c r="AI955" s="175"/>
    </row>
    <row r="956">
      <c r="A956" s="176">
        <v>46068.0</v>
      </c>
      <c r="B956" s="177">
        <v>8177227.0</v>
      </c>
      <c r="C956" s="178" t="s">
        <v>89</v>
      </c>
      <c r="D956" s="178" t="s">
        <v>35</v>
      </c>
      <c r="E956" s="177">
        <v>6.150496443E9</v>
      </c>
      <c r="F956" s="178" t="s">
        <v>911</v>
      </c>
      <c r="G956" s="176">
        <v>46529.20833333333</v>
      </c>
      <c r="H956" s="179">
        <v>46533.20833333333</v>
      </c>
      <c r="I956" s="180">
        <v>4.0</v>
      </c>
      <c r="J956" s="181" t="s">
        <v>78</v>
      </c>
      <c r="K956" s="178" t="s">
        <v>79</v>
      </c>
      <c r="L956" s="178" t="s">
        <v>80</v>
      </c>
      <c r="M956" s="182">
        <v>0.0</v>
      </c>
      <c r="N956" s="183">
        <v>0.0</v>
      </c>
      <c r="O956" s="184">
        <v>0.0</v>
      </c>
      <c r="P956" s="184">
        <v>0.0</v>
      </c>
      <c r="Q956" s="185">
        <v>0.0</v>
      </c>
      <c r="R956" s="186">
        <v>0.0</v>
      </c>
      <c r="S956" s="186">
        <v>0.0</v>
      </c>
      <c r="T956" s="186">
        <v>0.0</v>
      </c>
      <c r="U956" s="187" t="s">
        <v>757</v>
      </c>
      <c r="V956" s="176">
        <v>46069.0</v>
      </c>
      <c r="W956" s="175"/>
      <c r="X956" s="175"/>
      <c r="Y956" s="175"/>
      <c r="Z956" s="175"/>
      <c r="AA956" s="175"/>
      <c r="AB956" s="175"/>
      <c r="AC956" s="175"/>
      <c r="AD956" s="175"/>
      <c r="AE956" s="175"/>
      <c r="AF956" s="175"/>
      <c r="AG956" s="175"/>
      <c r="AH956" s="175"/>
      <c r="AI956" s="175"/>
    </row>
    <row r="957">
      <c r="A957" s="176">
        <v>46069.0</v>
      </c>
      <c r="B957" s="177">
        <v>8184270.0</v>
      </c>
      <c r="C957" s="178" t="s">
        <v>89</v>
      </c>
      <c r="D957" s="178" t="s">
        <v>35</v>
      </c>
      <c r="E957" s="177">
        <v>6.992821665E9</v>
      </c>
      <c r="F957" s="178" t="s">
        <v>911</v>
      </c>
      <c r="G957" s="176">
        <v>46529.20833333333</v>
      </c>
      <c r="H957" s="179">
        <v>46534.20833333333</v>
      </c>
      <c r="I957" s="180">
        <v>5.0</v>
      </c>
      <c r="J957" s="181" t="s">
        <v>78</v>
      </c>
      <c r="K957" s="178" t="s">
        <v>79</v>
      </c>
      <c r="L957" s="178" t="s">
        <v>80</v>
      </c>
      <c r="M957" s="182">
        <v>0.0</v>
      </c>
      <c r="N957" s="183">
        <v>0.0</v>
      </c>
      <c r="O957" s="184">
        <v>0.0</v>
      </c>
      <c r="P957" s="184">
        <v>0.0</v>
      </c>
      <c r="Q957" s="185">
        <v>0.0</v>
      </c>
      <c r="R957" s="186">
        <v>0.0</v>
      </c>
      <c r="S957" s="186">
        <v>0.0</v>
      </c>
      <c r="T957" s="186">
        <v>0.0</v>
      </c>
      <c r="U957" s="187" t="s">
        <v>1243</v>
      </c>
      <c r="V957" s="176">
        <v>46070.0</v>
      </c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</row>
    <row r="958">
      <c r="A958" s="176">
        <v>46077.0</v>
      </c>
      <c r="B958" s="177">
        <v>8217522.0</v>
      </c>
      <c r="C958" s="178" t="s">
        <v>75</v>
      </c>
      <c r="D958" s="178" t="s">
        <v>35</v>
      </c>
      <c r="E958" s="177">
        <v>5.925106184E9</v>
      </c>
      <c r="F958" s="178" t="s">
        <v>911</v>
      </c>
      <c r="G958" s="176">
        <v>46160.0</v>
      </c>
      <c r="H958" s="179">
        <v>46163.0</v>
      </c>
      <c r="I958" s="180">
        <v>3.0</v>
      </c>
      <c r="J958" s="181" t="s">
        <v>111</v>
      </c>
      <c r="K958" s="178" t="s">
        <v>79</v>
      </c>
      <c r="L958" s="178" t="s">
        <v>80</v>
      </c>
      <c r="M958" s="182">
        <v>2.0</v>
      </c>
      <c r="N958" s="183">
        <v>0.19999999999999996</v>
      </c>
      <c r="O958" s="184">
        <v>323.43</v>
      </c>
      <c r="P958" s="184">
        <v>258.744</v>
      </c>
      <c r="Q958" s="185">
        <v>0.0</v>
      </c>
      <c r="R958" s="186">
        <v>776.2320000000001</v>
      </c>
      <c r="S958" s="186">
        <v>0.0</v>
      </c>
      <c r="T958" s="186">
        <v>985.29</v>
      </c>
      <c r="U958" s="187" t="s">
        <v>1244</v>
      </c>
      <c r="V958" s="176">
        <v>46077.0</v>
      </c>
      <c r="W958" s="164"/>
      <c r="X958" s="164"/>
      <c r="Y958" s="164"/>
      <c r="Z958" s="164"/>
      <c r="AA958" s="164"/>
      <c r="AB958" s="164"/>
      <c r="AC958" s="164"/>
      <c r="AD958" s="164"/>
      <c r="AE958" s="164"/>
      <c r="AF958" s="164"/>
      <c r="AG958" s="164"/>
      <c r="AH958" s="164"/>
      <c r="AI958" s="164"/>
    </row>
    <row r="959">
      <c r="A959" s="176">
        <v>46078.0</v>
      </c>
      <c r="B959" s="177">
        <v>8218263.0</v>
      </c>
      <c r="C959" s="178" t="s">
        <v>82</v>
      </c>
      <c r="D959" s="178" t="s">
        <v>35</v>
      </c>
      <c r="E959" s="177">
        <v>6.949240899E9</v>
      </c>
      <c r="F959" s="178" t="s">
        <v>1245</v>
      </c>
      <c r="G959" s="176">
        <v>46128.0</v>
      </c>
      <c r="H959" s="179">
        <v>46129.0</v>
      </c>
      <c r="I959" s="180">
        <v>1.0</v>
      </c>
      <c r="J959" s="181" t="s">
        <v>78</v>
      </c>
      <c r="K959" s="178" t="s">
        <v>79</v>
      </c>
      <c r="L959" s="178" t="s">
        <v>80</v>
      </c>
      <c r="M959" s="182">
        <v>2.0</v>
      </c>
      <c r="N959" s="183">
        <v>0.19999999999999996</v>
      </c>
      <c r="O959" s="184">
        <v>154.88</v>
      </c>
      <c r="P959" s="184">
        <v>123.904</v>
      </c>
      <c r="Q959" s="185">
        <v>0.0</v>
      </c>
      <c r="R959" s="186">
        <v>123.904</v>
      </c>
      <c r="S959" s="186">
        <v>0.0</v>
      </c>
      <c r="T959" s="186">
        <v>159.88</v>
      </c>
      <c r="U959" s="187" t="s">
        <v>107</v>
      </c>
      <c r="V959" s="176">
        <v>46078.0</v>
      </c>
      <c r="W959" s="175"/>
      <c r="X959" s="175"/>
      <c r="Y959" s="175"/>
      <c r="Z959" s="175"/>
      <c r="AA959" s="175"/>
      <c r="AB959" s="175"/>
      <c r="AC959" s="175"/>
      <c r="AD959" s="175"/>
      <c r="AE959" s="175"/>
      <c r="AF959" s="175"/>
      <c r="AG959" s="175"/>
      <c r="AH959" s="175"/>
      <c r="AI959" s="175"/>
    </row>
    <row r="960">
      <c r="A960" s="176">
        <v>46078.0</v>
      </c>
      <c r="B960" s="177">
        <v>8218524.0</v>
      </c>
      <c r="C960" s="178" t="s">
        <v>89</v>
      </c>
      <c r="D960" s="178" t="s">
        <v>35</v>
      </c>
      <c r="E960" s="177">
        <v>6.830823632E9</v>
      </c>
      <c r="F960" s="178" t="s">
        <v>1246</v>
      </c>
      <c r="G960" s="176">
        <v>46128.0</v>
      </c>
      <c r="H960" s="179">
        <v>46129.0</v>
      </c>
      <c r="I960" s="180">
        <v>1.0</v>
      </c>
      <c r="J960" s="181" t="s">
        <v>78</v>
      </c>
      <c r="K960" s="178" t="s">
        <v>79</v>
      </c>
      <c r="L960" s="178" t="s">
        <v>80</v>
      </c>
      <c r="M960" s="182">
        <v>0.0</v>
      </c>
      <c r="N960" s="183">
        <v>0.0</v>
      </c>
      <c r="O960" s="184">
        <v>0.0</v>
      </c>
      <c r="P960" s="184">
        <v>0.0</v>
      </c>
      <c r="Q960" s="185">
        <v>0.0</v>
      </c>
      <c r="R960" s="186">
        <v>0.0</v>
      </c>
      <c r="S960" s="186">
        <v>0.0</v>
      </c>
      <c r="T960" s="186">
        <v>0.0</v>
      </c>
      <c r="U960" s="187" t="s">
        <v>1247</v>
      </c>
      <c r="V960" s="176">
        <v>46082.0</v>
      </c>
      <c r="W960" s="175"/>
      <c r="X960" s="175"/>
      <c r="Y960" s="175"/>
      <c r="Z960" s="175"/>
      <c r="AA960" s="175"/>
      <c r="AB960" s="175"/>
      <c r="AC960" s="175"/>
      <c r="AD960" s="175"/>
      <c r="AE960" s="175"/>
      <c r="AF960" s="175"/>
      <c r="AG960" s="175"/>
      <c r="AH960" s="175"/>
      <c r="AI960" s="175"/>
    </row>
    <row r="961">
      <c r="A961" s="176">
        <v>46078.0</v>
      </c>
      <c r="B961" s="177">
        <v>8218799.0</v>
      </c>
      <c r="C961" s="178" t="s">
        <v>82</v>
      </c>
      <c r="D961" s="178" t="s">
        <v>35</v>
      </c>
      <c r="E961" s="177">
        <v>5.080901085E9</v>
      </c>
      <c r="F961" s="178" t="s">
        <v>1248</v>
      </c>
      <c r="G961" s="176">
        <v>46302.20833333333</v>
      </c>
      <c r="H961" s="179">
        <v>46305.20833333333</v>
      </c>
      <c r="I961" s="180">
        <v>3.0</v>
      </c>
      <c r="J961" s="181" t="s">
        <v>78</v>
      </c>
      <c r="K961" s="178" t="s">
        <v>79</v>
      </c>
      <c r="L961" s="178" t="s">
        <v>80</v>
      </c>
      <c r="M961" s="182">
        <v>2.0</v>
      </c>
      <c r="N961" s="183">
        <v>0.19999999999999996</v>
      </c>
      <c r="O961" s="184">
        <v>128.74</v>
      </c>
      <c r="P961" s="184">
        <v>102.99200000000002</v>
      </c>
      <c r="Q961" s="185">
        <v>0.0</v>
      </c>
      <c r="R961" s="186">
        <v>308.97600000000006</v>
      </c>
      <c r="S961" s="186">
        <v>0.0</v>
      </c>
      <c r="T961" s="186">
        <v>401.22</v>
      </c>
      <c r="U961" s="187" t="s">
        <v>161</v>
      </c>
      <c r="V961" s="176">
        <v>46078.0</v>
      </c>
      <c r="W961" s="175"/>
      <c r="X961" s="175"/>
      <c r="Y961" s="175"/>
      <c r="Z961" s="175"/>
      <c r="AA961" s="175"/>
      <c r="AB961" s="175"/>
      <c r="AC961" s="175"/>
      <c r="AD961" s="175"/>
      <c r="AE961" s="175"/>
      <c r="AF961" s="175"/>
      <c r="AG961" s="175"/>
      <c r="AH961" s="175"/>
      <c r="AI961" s="175"/>
    </row>
    <row r="962">
      <c r="A962" s="176">
        <v>46078.0</v>
      </c>
      <c r="B962" s="177">
        <v>8219140.0</v>
      </c>
      <c r="C962" s="178" t="s">
        <v>89</v>
      </c>
      <c r="D962" s="178" t="s">
        <v>35</v>
      </c>
      <c r="E962" s="177">
        <v>6.830898585E9</v>
      </c>
      <c r="F962" s="178" t="s">
        <v>1249</v>
      </c>
      <c r="G962" s="176">
        <v>46540.20833333333</v>
      </c>
      <c r="H962" s="179">
        <v>46546.20833333333</v>
      </c>
      <c r="I962" s="180">
        <v>6.0</v>
      </c>
      <c r="J962" s="181" t="s">
        <v>78</v>
      </c>
      <c r="K962" s="178" t="s">
        <v>79</v>
      </c>
      <c r="L962" s="178" t="s">
        <v>80</v>
      </c>
      <c r="M962" s="182">
        <v>0.0</v>
      </c>
      <c r="N962" s="183">
        <v>0.0</v>
      </c>
      <c r="O962" s="184">
        <v>0.0</v>
      </c>
      <c r="P962" s="184">
        <v>0.0</v>
      </c>
      <c r="Q962" s="185">
        <v>0.0</v>
      </c>
      <c r="R962" s="186">
        <v>0.0</v>
      </c>
      <c r="S962" s="186">
        <v>0.0</v>
      </c>
      <c r="T962" s="186">
        <v>0.0</v>
      </c>
      <c r="U962" s="187" t="s">
        <v>1250</v>
      </c>
      <c r="V962" s="176">
        <v>46120.0</v>
      </c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</row>
    <row r="963">
      <c r="A963" s="176">
        <v>46078.0</v>
      </c>
      <c r="B963" s="177">
        <v>8219991.0</v>
      </c>
      <c r="C963" s="178" t="s">
        <v>82</v>
      </c>
      <c r="D963" s="178" t="s">
        <v>35</v>
      </c>
      <c r="E963" s="177">
        <v>6.687021452E9</v>
      </c>
      <c r="F963" s="178" t="s">
        <v>1251</v>
      </c>
      <c r="G963" s="176">
        <v>46311.20833333333</v>
      </c>
      <c r="H963" s="179">
        <v>46313.20833333333</v>
      </c>
      <c r="I963" s="180">
        <v>2.0</v>
      </c>
      <c r="J963" s="181" t="s">
        <v>78</v>
      </c>
      <c r="K963" s="178" t="s">
        <v>79</v>
      </c>
      <c r="L963" s="178" t="s">
        <v>80</v>
      </c>
      <c r="M963" s="182">
        <v>2.0</v>
      </c>
      <c r="N963" s="183">
        <v>0.19999999999999996</v>
      </c>
      <c r="O963" s="184">
        <v>225.18</v>
      </c>
      <c r="P963" s="184">
        <v>180.144</v>
      </c>
      <c r="Q963" s="185">
        <v>0.0</v>
      </c>
      <c r="R963" s="186">
        <v>360.288</v>
      </c>
      <c r="S963" s="186">
        <v>0.0</v>
      </c>
      <c r="T963" s="186">
        <v>1841.44</v>
      </c>
      <c r="U963" s="187" t="s">
        <v>1252</v>
      </c>
      <c r="V963" s="176">
        <v>46078.0</v>
      </c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</row>
    <row r="964">
      <c r="A964" s="176">
        <v>46078.0</v>
      </c>
      <c r="B964" s="177">
        <v>8219991.0</v>
      </c>
      <c r="C964" s="178" t="s">
        <v>82</v>
      </c>
      <c r="D964" s="178" t="s">
        <v>35</v>
      </c>
      <c r="E964" s="177">
        <v>6.687021452E9</v>
      </c>
      <c r="F964" s="178" t="s">
        <v>1251</v>
      </c>
      <c r="G964" s="176">
        <v>46311.20833333333</v>
      </c>
      <c r="H964" s="179">
        <v>46313.20833333333</v>
      </c>
      <c r="I964" s="180">
        <v>2.0</v>
      </c>
      <c r="J964" s="181" t="s">
        <v>87</v>
      </c>
      <c r="K964" s="178" t="s">
        <v>79</v>
      </c>
      <c r="L964" s="178" t="s">
        <v>80</v>
      </c>
      <c r="M964" s="182">
        <v>2.0</v>
      </c>
      <c r="N964" s="183">
        <v>0.19999999999999996</v>
      </c>
      <c r="O964" s="184">
        <v>196.83</v>
      </c>
      <c r="P964" s="184">
        <v>157.46400000000003</v>
      </c>
      <c r="Q964" s="185">
        <v>0.0</v>
      </c>
      <c r="R964" s="186">
        <v>314.92800000000005</v>
      </c>
      <c r="S964" s="186">
        <v>0.0</v>
      </c>
      <c r="T964" s="186">
        <v>1841.44</v>
      </c>
      <c r="U964" s="187" t="s">
        <v>1252</v>
      </c>
      <c r="V964" s="176">
        <v>46078.0</v>
      </c>
      <c r="W964" s="175"/>
      <c r="X964" s="175"/>
      <c r="Y964" s="175"/>
      <c r="Z964" s="175"/>
      <c r="AA964" s="175"/>
      <c r="AB964" s="175"/>
      <c r="AC964" s="175"/>
      <c r="AD964" s="175"/>
      <c r="AE964" s="175"/>
      <c r="AF964" s="175"/>
      <c r="AG964" s="175"/>
      <c r="AH964" s="175"/>
      <c r="AI964" s="175"/>
    </row>
    <row r="965">
      <c r="A965" s="176">
        <v>46078.0</v>
      </c>
      <c r="B965" s="177">
        <v>8219991.0</v>
      </c>
      <c r="C965" s="178" t="s">
        <v>82</v>
      </c>
      <c r="D965" s="178" t="s">
        <v>35</v>
      </c>
      <c r="E965" s="177">
        <v>6.687021452E9</v>
      </c>
      <c r="F965" s="178" t="s">
        <v>1251</v>
      </c>
      <c r="G965" s="176">
        <v>46311.20833333333</v>
      </c>
      <c r="H965" s="179">
        <v>46313.20833333333</v>
      </c>
      <c r="I965" s="180">
        <v>2.0</v>
      </c>
      <c r="J965" s="181" t="s">
        <v>78</v>
      </c>
      <c r="K965" s="178" t="s">
        <v>79</v>
      </c>
      <c r="L965" s="178" t="s">
        <v>80</v>
      </c>
      <c r="M965" s="182">
        <v>2.0</v>
      </c>
      <c r="N965" s="183">
        <v>0.19999999999999996</v>
      </c>
      <c r="O965" s="184">
        <v>225.18</v>
      </c>
      <c r="P965" s="184">
        <v>180.144</v>
      </c>
      <c r="Q965" s="185">
        <v>0.0</v>
      </c>
      <c r="R965" s="186">
        <v>360.288</v>
      </c>
      <c r="S965" s="186">
        <v>0.0</v>
      </c>
      <c r="T965" s="186">
        <v>1841.44</v>
      </c>
      <c r="U965" s="187" t="s">
        <v>1252</v>
      </c>
      <c r="V965" s="176">
        <v>46078.0</v>
      </c>
      <c r="W965" s="164"/>
      <c r="X965" s="164"/>
      <c r="Y965" s="164"/>
      <c r="Z965" s="164"/>
      <c r="AA965" s="164"/>
      <c r="AB965" s="164"/>
      <c r="AC965" s="164"/>
      <c r="AD965" s="164"/>
      <c r="AE965" s="164"/>
      <c r="AF965" s="164"/>
      <c r="AG965" s="164"/>
      <c r="AH965" s="164"/>
      <c r="AI965" s="164"/>
    </row>
    <row r="966">
      <c r="A966" s="176">
        <v>46078.0</v>
      </c>
      <c r="B966" s="177">
        <v>8219991.0</v>
      </c>
      <c r="C966" s="178" t="s">
        <v>82</v>
      </c>
      <c r="D966" s="178" t="s">
        <v>35</v>
      </c>
      <c r="E966" s="177">
        <v>6.687021452E9</v>
      </c>
      <c r="F966" s="178" t="s">
        <v>1251</v>
      </c>
      <c r="G966" s="176">
        <v>46311.20833333333</v>
      </c>
      <c r="H966" s="179">
        <v>46313.20833333333</v>
      </c>
      <c r="I966" s="180">
        <v>2.0</v>
      </c>
      <c r="J966" s="181" t="s">
        <v>114</v>
      </c>
      <c r="K966" s="178" t="s">
        <v>79</v>
      </c>
      <c r="L966" s="178" t="s">
        <v>80</v>
      </c>
      <c r="M966" s="182">
        <v>2.0</v>
      </c>
      <c r="N966" s="183">
        <v>0.19999999999999996</v>
      </c>
      <c r="O966" s="184">
        <v>253.53</v>
      </c>
      <c r="P966" s="184">
        <v>202.824</v>
      </c>
      <c r="Q966" s="185">
        <v>0.0</v>
      </c>
      <c r="R966" s="186">
        <v>405.648</v>
      </c>
      <c r="S966" s="186">
        <v>0.0</v>
      </c>
      <c r="T966" s="186">
        <v>1841.44</v>
      </c>
      <c r="U966" s="187" t="s">
        <v>1252</v>
      </c>
      <c r="V966" s="176">
        <v>46078.0</v>
      </c>
      <c r="W966" s="164"/>
      <c r="X966" s="164"/>
      <c r="Y966" s="164"/>
      <c r="Z966" s="164"/>
      <c r="AA966" s="164"/>
      <c r="AB966" s="164"/>
      <c r="AC966" s="164"/>
      <c r="AD966" s="164"/>
      <c r="AE966" s="164"/>
      <c r="AF966" s="164"/>
      <c r="AG966" s="164"/>
      <c r="AH966" s="164"/>
      <c r="AI966" s="164"/>
    </row>
    <row r="967">
      <c r="A967" s="176">
        <v>46078.0</v>
      </c>
      <c r="B967" s="177">
        <v>8220031.0</v>
      </c>
      <c r="C967" s="178" t="s">
        <v>82</v>
      </c>
      <c r="D967" s="178" t="s">
        <v>94</v>
      </c>
      <c r="E967" s="177">
        <v>8220031.0</v>
      </c>
      <c r="F967" s="178" t="s">
        <v>1253</v>
      </c>
      <c r="G967" s="176">
        <v>46082.0</v>
      </c>
      <c r="H967" s="179">
        <v>46083.0</v>
      </c>
      <c r="I967" s="180">
        <v>1.0</v>
      </c>
      <c r="J967" s="181" t="s">
        <v>78</v>
      </c>
      <c r="K967" s="178" t="s">
        <v>79</v>
      </c>
      <c r="L967" s="178" t="s">
        <v>96</v>
      </c>
      <c r="M967" s="182">
        <v>2.0</v>
      </c>
      <c r="N967" s="183">
        <v>0.0</v>
      </c>
      <c r="O967" s="184">
        <v>239.76</v>
      </c>
      <c r="P967" s="184">
        <v>239.76</v>
      </c>
      <c r="Q967" s="185">
        <v>0.0</v>
      </c>
      <c r="R967" s="186">
        <v>239.76</v>
      </c>
      <c r="S967" s="186">
        <v>0.0</v>
      </c>
      <c r="T967" s="186">
        <v>244.76</v>
      </c>
      <c r="U967" s="187" t="s">
        <v>97</v>
      </c>
      <c r="V967" s="176">
        <v>46078.0</v>
      </c>
      <c r="W967" s="164"/>
      <c r="X967" s="164"/>
      <c r="Y967" s="164"/>
      <c r="Z967" s="164"/>
      <c r="AA967" s="164"/>
      <c r="AB967" s="164"/>
      <c r="AC967" s="164"/>
      <c r="AD967" s="164"/>
      <c r="AE967" s="164"/>
      <c r="AF967" s="164"/>
      <c r="AG967" s="164"/>
      <c r="AH967" s="164"/>
      <c r="AI967" s="164"/>
    </row>
    <row r="968">
      <c r="A968" s="176">
        <v>46078.0</v>
      </c>
      <c r="B968" s="177">
        <v>8220391.0</v>
      </c>
      <c r="C968" s="178" t="s">
        <v>89</v>
      </c>
      <c r="D968" s="178" t="s">
        <v>35</v>
      </c>
      <c r="E968" s="177">
        <v>5.12544465E9</v>
      </c>
      <c r="F968" s="178" t="s">
        <v>1254</v>
      </c>
      <c r="G968" s="176">
        <v>46388.20833333333</v>
      </c>
      <c r="H968" s="179">
        <v>46393.20833333333</v>
      </c>
      <c r="I968" s="180">
        <v>5.0</v>
      </c>
      <c r="J968" s="181" t="s">
        <v>91</v>
      </c>
      <c r="K968" s="178" t="s">
        <v>138</v>
      </c>
      <c r="L968" s="178" t="s">
        <v>80</v>
      </c>
      <c r="M968" s="182">
        <v>0.0</v>
      </c>
      <c r="N968" s="183">
        <v>0.0</v>
      </c>
      <c r="O968" s="184">
        <v>0.0</v>
      </c>
      <c r="P968" s="184">
        <v>0.0</v>
      </c>
      <c r="Q968" s="185">
        <v>0.0</v>
      </c>
      <c r="R968" s="186">
        <v>0.0</v>
      </c>
      <c r="S968" s="186">
        <v>0.0</v>
      </c>
      <c r="T968" s="186">
        <v>0.0</v>
      </c>
      <c r="U968" s="187" t="s">
        <v>1255</v>
      </c>
      <c r="V968" s="176">
        <v>46097.0</v>
      </c>
      <c r="W968" s="164"/>
      <c r="X968" s="164"/>
      <c r="Y968" s="164"/>
      <c r="Z968" s="164"/>
      <c r="AA968" s="164"/>
      <c r="AB968" s="164"/>
      <c r="AC968" s="164"/>
      <c r="AD968" s="164"/>
      <c r="AE968" s="164"/>
      <c r="AF968" s="164"/>
      <c r="AG968" s="164"/>
      <c r="AH968" s="164"/>
      <c r="AI968" s="164"/>
    </row>
    <row r="969">
      <c r="A969" s="176">
        <v>46078.0</v>
      </c>
      <c r="B969" s="177">
        <v>8220391.0</v>
      </c>
      <c r="C969" s="178" t="s">
        <v>89</v>
      </c>
      <c r="D969" s="178" t="s">
        <v>35</v>
      </c>
      <c r="E969" s="177">
        <v>5.12544465E9</v>
      </c>
      <c r="F969" s="178" t="s">
        <v>1254</v>
      </c>
      <c r="G969" s="176">
        <v>46388.20833333333</v>
      </c>
      <c r="H969" s="179">
        <v>46393.20833333333</v>
      </c>
      <c r="I969" s="180">
        <v>5.0</v>
      </c>
      <c r="J969" s="181" t="s">
        <v>78</v>
      </c>
      <c r="K969" s="178" t="s">
        <v>138</v>
      </c>
      <c r="L969" s="178" t="s">
        <v>80</v>
      </c>
      <c r="M969" s="182">
        <v>0.0</v>
      </c>
      <c r="N969" s="183">
        <v>0.0</v>
      </c>
      <c r="O969" s="184">
        <v>0.0</v>
      </c>
      <c r="P969" s="184">
        <v>0.0</v>
      </c>
      <c r="Q969" s="185">
        <v>0.0</v>
      </c>
      <c r="R969" s="186">
        <v>0.0</v>
      </c>
      <c r="S969" s="186">
        <v>0.0</v>
      </c>
      <c r="T969" s="186">
        <v>0.0</v>
      </c>
      <c r="U969" s="187" t="s">
        <v>1255</v>
      </c>
      <c r="V969" s="176">
        <v>46097.0</v>
      </c>
      <c r="W969" s="164"/>
      <c r="X969" s="164"/>
      <c r="Y969" s="164"/>
      <c r="Z969" s="164"/>
      <c r="AA969" s="164"/>
      <c r="AB969" s="164"/>
      <c r="AC969" s="164"/>
      <c r="AD969" s="164"/>
      <c r="AE969" s="164"/>
      <c r="AF969" s="164"/>
      <c r="AG969" s="164"/>
      <c r="AH969" s="164"/>
      <c r="AI969" s="164"/>
    </row>
    <row r="970">
      <c r="A970" s="176">
        <v>46078.0</v>
      </c>
      <c r="B970" s="177">
        <v>8221472.0</v>
      </c>
      <c r="C970" s="178" t="s">
        <v>89</v>
      </c>
      <c r="D970" s="178" t="s">
        <v>35</v>
      </c>
      <c r="E970" s="177">
        <v>5.528099769E9</v>
      </c>
      <c r="F970" s="178" t="s">
        <v>647</v>
      </c>
      <c r="G970" s="176">
        <v>46118.0</v>
      </c>
      <c r="H970" s="179">
        <v>46119.0</v>
      </c>
      <c r="I970" s="180">
        <v>1.0</v>
      </c>
      <c r="J970" s="181" t="s">
        <v>114</v>
      </c>
      <c r="K970" s="178" t="s">
        <v>79</v>
      </c>
      <c r="L970" s="178" t="s">
        <v>80</v>
      </c>
      <c r="M970" s="182">
        <v>0.0</v>
      </c>
      <c r="N970" s="183">
        <v>0.0</v>
      </c>
      <c r="O970" s="184">
        <v>0.0</v>
      </c>
      <c r="P970" s="184">
        <v>0.0</v>
      </c>
      <c r="Q970" s="185">
        <v>0.0</v>
      </c>
      <c r="R970" s="186">
        <v>0.0</v>
      </c>
      <c r="S970" s="186">
        <v>0.0</v>
      </c>
      <c r="T970" s="186">
        <v>0.0</v>
      </c>
      <c r="U970" s="187" t="s">
        <v>1250</v>
      </c>
      <c r="V970" s="176">
        <v>46097.0</v>
      </c>
      <c r="W970" s="175"/>
      <c r="X970" s="175"/>
      <c r="Y970" s="175"/>
      <c r="Z970" s="175"/>
      <c r="AA970" s="175"/>
      <c r="AB970" s="175"/>
      <c r="AC970" s="175"/>
      <c r="AD970" s="175"/>
      <c r="AE970" s="175"/>
      <c r="AF970" s="175"/>
      <c r="AG970" s="175"/>
      <c r="AH970" s="175"/>
      <c r="AI970" s="175"/>
    </row>
    <row r="971">
      <c r="A971" s="176">
        <v>46078.0</v>
      </c>
      <c r="B971" s="177">
        <v>8221764.0</v>
      </c>
      <c r="C971" s="178" t="s">
        <v>89</v>
      </c>
      <c r="D971" s="178" t="s">
        <v>35</v>
      </c>
      <c r="E971" s="177">
        <v>6.5965857E9</v>
      </c>
      <c r="F971" s="178" t="s">
        <v>1256</v>
      </c>
      <c r="G971" s="176">
        <v>46489.20833333333</v>
      </c>
      <c r="H971" s="179">
        <v>46490.20833333333</v>
      </c>
      <c r="I971" s="180">
        <v>1.0</v>
      </c>
      <c r="J971" s="181" t="s">
        <v>78</v>
      </c>
      <c r="K971" s="178" t="s">
        <v>79</v>
      </c>
      <c r="L971" s="178" t="s">
        <v>80</v>
      </c>
      <c r="M971" s="182">
        <v>0.0</v>
      </c>
      <c r="N971" s="183">
        <v>0.0</v>
      </c>
      <c r="O971" s="184">
        <v>0.0</v>
      </c>
      <c r="P971" s="184">
        <v>0.0</v>
      </c>
      <c r="Q971" s="185">
        <v>0.0</v>
      </c>
      <c r="R971" s="186">
        <v>0.0</v>
      </c>
      <c r="S971" s="186">
        <v>0.0</v>
      </c>
      <c r="T971" s="186">
        <v>0.0</v>
      </c>
      <c r="U971" s="187" t="s">
        <v>1257</v>
      </c>
      <c r="V971" s="176">
        <v>46121.0</v>
      </c>
      <c r="W971" s="175"/>
      <c r="X971" s="175"/>
      <c r="Y971" s="175"/>
      <c r="Z971" s="175"/>
      <c r="AA971" s="175"/>
      <c r="AB971" s="175"/>
      <c r="AC971" s="175"/>
      <c r="AD971" s="175"/>
      <c r="AE971" s="175"/>
      <c r="AF971" s="175"/>
      <c r="AG971" s="175"/>
      <c r="AH971" s="175"/>
      <c r="AI971" s="175"/>
    </row>
    <row r="972">
      <c r="A972" s="176">
        <v>46079.0</v>
      </c>
      <c r="B972" s="177">
        <v>8222623.0</v>
      </c>
      <c r="C972" s="178" t="s">
        <v>89</v>
      </c>
      <c r="D972" s="178" t="s">
        <v>35</v>
      </c>
      <c r="E972" s="177">
        <v>6.299539325E9</v>
      </c>
      <c r="F972" s="178" t="s">
        <v>1204</v>
      </c>
      <c r="G972" s="176">
        <v>46367.20833333333</v>
      </c>
      <c r="H972" s="179">
        <v>46374.20833333333</v>
      </c>
      <c r="I972" s="180">
        <v>7.0</v>
      </c>
      <c r="J972" s="181" t="s">
        <v>78</v>
      </c>
      <c r="K972" s="178" t="s">
        <v>138</v>
      </c>
      <c r="L972" s="178" t="s">
        <v>80</v>
      </c>
      <c r="M972" s="182">
        <v>0.0</v>
      </c>
      <c r="N972" s="183">
        <v>0.0</v>
      </c>
      <c r="O972" s="184">
        <v>0.0</v>
      </c>
      <c r="P972" s="184">
        <v>0.0</v>
      </c>
      <c r="Q972" s="185">
        <v>0.0</v>
      </c>
      <c r="R972" s="186">
        <v>0.0</v>
      </c>
      <c r="S972" s="186">
        <v>0.0</v>
      </c>
      <c r="T972" s="162">
        <v>0.0</v>
      </c>
      <c r="U972" s="163" t="s">
        <v>1258</v>
      </c>
      <c r="V972" s="154">
        <v>46110.0</v>
      </c>
      <c r="W972" s="175"/>
      <c r="X972" s="175"/>
      <c r="Y972" s="175"/>
      <c r="Z972" s="175"/>
      <c r="AA972" s="175"/>
      <c r="AB972" s="175"/>
      <c r="AC972" s="175"/>
      <c r="AD972" s="175"/>
      <c r="AE972" s="175"/>
      <c r="AF972" s="175"/>
      <c r="AG972" s="175"/>
      <c r="AH972" s="175"/>
      <c r="AI972" s="175"/>
    </row>
    <row r="973">
      <c r="A973" s="176">
        <v>46079.0</v>
      </c>
      <c r="B973" s="177">
        <v>8223621.0</v>
      </c>
      <c r="C973" s="178" t="s">
        <v>89</v>
      </c>
      <c r="D973" s="178" t="s">
        <v>35</v>
      </c>
      <c r="E973" s="177">
        <v>6.299537059E9</v>
      </c>
      <c r="F973" s="178" t="s">
        <v>1259</v>
      </c>
      <c r="G973" s="176">
        <v>46182.0</v>
      </c>
      <c r="H973" s="179">
        <v>46185.0</v>
      </c>
      <c r="I973" s="180">
        <v>3.0</v>
      </c>
      <c r="J973" s="181" t="s">
        <v>91</v>
      </c>
      <c r="K973" s="178" t="s">
        <v>138</v>
      </c>
      <c r="L973" s="178" t="s">
        <v>80</v>
      </c>
      <c r="M973" s="182">
        <v>0.0</v>
      </c>
      <c r="N973" s="183">
        <v>0.0</v>
      </c>
      <c r="O973" s="184">
        <v>0.0</v>
      </c>
      <c r="P973" s="184">
        <v>0.0</v>
      </c>
      <c r="Q973" s="185">
        <v>0.0</v>
      </c>
      <c r="R973" s="186">
        <v>0.0</v>
      </c>
      <c r="S973" s="186">
        <v>0.0</v>
      </c>
      <c r="T973" s="186">
        <v>0.0</v>
      </c>
      <c r="U973" s="187" t="s">
        <v>1258</v>
      </c>
      <c r="V973" s="176">
        <v>46079.0</v>
      </c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</row>
    <row r="974">
      <c r="A974" s="176">
        <v>46079.0</v>
      </c>
      <c r="B974" s="177">
        <v>8225216.0</v>
      </c>
      <c r="C974" s="178" t="s">
        <v>82</v>
      </c>
      <c r="D974" s="178" t="s">
        <v>35</v>
      </c>
      <c r="E974" s="177">
        <v>6.497955101E9</v>
      </c>
      <c r="F974" s="178" t="s">
        <v>1260</v>
      </c>
      <c r="G974" s="176">
        <v>46336.20833333333</v>
      </c>
      <c r="H974" s="179">
        <v>46337.20833333333</v>
      </c>
      <c r="I974" s="180">
        <v>1.0</v>
      </c>
      <c r="J974" s="181" t="s">
        <v>78</v>
      </c>
      <c r="K974" s="178" t="s">
        <v>79</v>
      </c>
      <c r="L974" s="178" t="s">
        <v>80</v>
      </c>
      <c r="M974" s="182">
        <v>2.0</v>
      </c>
      <c r="N974" s="183">
        <v>0.19999999999999996</v>
      </c>
      <c r="O974" s="184">
        <v>150.72</v>
      </c>
      <c r="P974" s="184">
        <v>120.57600000000001</v>
      </c>
      <c r="Q974" s="185">
        <v>0.0</v>
      </c>
      <c r="R974" s="186">
        <v>120.57600000000001</v>
      </c>
      <c r="S974" s="186">
        <v>0.0</v>
      </c>
      <c r="T974" s="186">
        <v>155.72</v>
      </c>
      <c r="U974" s="187" t="s">
        <v>353</v>
      </c>
      <c r="V974" s="176">
        <v>46079.0</v>
      </c>
      <c r="W974" s="164"/>
      <c r="X974" s="164"/>
      <c r="Y974" s="164"/>
      <c r="Z974" s="164"/>
      <c r="AA974" s="164"/>
      <c r="AB974" s="164"/>
      <c r="AC974" s="164"/>
      <c r="AD974" s="164"/>
      <c r="AE974" s="164"/>
      <c r="AF974" s="164"/>
      <c r="AG974" s="164"/>
      <c r="AH974" s="164"/>
      <c r="AI974" s="164"/>
    </row>
    <row r="975">
      <c r="A975" s="176">
        <v>46079.0</v>
      </c>
      <c r="B975" s="177">
        <v>8225242.0</v>
      </c>
      <c r="C975" s="178" t="s">
        <v>82</v>
      </c>
      <c r="D975" s="178" t="s">
        <v>35</v>
      </c>
      <c r="E975" s="177">
        <v>5.070197806E9</v>
      </c>
      <c r="F975" s="178" t="s">
        <v>1260</v>
      </c>
      <c r="G975" s="176">
        <v>46343.20833333333</v>
      </c>
      <c r="H975" s="179">
        <v>46346.20833333333</v>
      </c>
      <c r="I975" s="180">
        <v>3.0</v>
      </c>
      <c r="J975" s="181" t="s">
        <v>78</v>
      </c>
      <c r="K975" s="178" t="s">
        <v>79</v>
      </c>
      <c r="L975" s="178" t="s">
        <v>80</v>
      </c>
      <c r="M975" s="182">
        <v>2.0</v>
      </c>
      <c r="N975" s="183">
        <v>0.19999999999999996</v>
      </c>
      <c r="O975" s="184">
        <v>114.89</v>
      </c>
      <c r="P975" s="184">
        <v>91.912</v>
      </c>
      <c r="Q975" s="185">
        <v>0.0</v>
      </c>
      <c r="R975" s="186">
        <v>275.736</v>
      </c>
      <c r="S975" s="186">
        <v>0.0</v>
      </c>
      <c r="T975" s="186">
        <v>359.67</v>
      </c>
      <c r="U975" s="187" t="s">
        <v>107</v>
      </c>
      <c r="V975" s="176">
        <v>46079.0</v>
      </c>
      <c r="W975" s="175"/>
      <c r="X975" s="175"/>
      <c r="Y975" s="175"/>
      <c r="Z975" s="175"/>
      <c r="AA975" s="175"/>
      <c r="AB975" s="175"/>
      <c r="AC975" s="175"/>
      <c r="AD975" s="175"/>
      <c r="AE975" s="175"/>
      <c r="AF975" s="175"/>
      <c r="AG975" s="175"/>
      <c r="AH975" s="175"/>
      <c r="AI975" s="175"/>
    </row>
    <row r="976">
      <c r="A976" s="176">
        <v>46080.0</v>
      </c>
      <c r="B976" s="177">
        <v>8229267.0</v>
      </c>
      <c r="C976" s="178" t="s">
        <v>89</v>
      </c>
      <c r="D976" s="178" t="s">
        <v>35</v>
      </c>
      <c r="E976" s="177">
        <v>6.648715001E9</v>
      </c>
      <c r="F976" s="178" t="s">
        <v>1261</v>
      </c>
      <c r="G976" s="176">
        <v>46214.0</v>
      </c>
      <c r="H976" s="179">
        <v>46216.0</v>
      </c>
      <c r="I976" s="180">
        <v>2.0</v>
      </c>
      <c r="J976" s="181" t="s">
        <v>78</v>
      </c>
      <c r="K976" s="178" t="s">
        <v>79</v>
      </c>
      <c r="L976" s="178" t="s">
        <v>80</v>
      </c>
      <c r="M976" s="182">
        <v>0.0</v>
      </c>
      <c r="N976" s="183">
        <v>0.0</v>
      </c>
      <c r="O976" s="184">
        <v>0.0</v>
      </c>
      <c r="P976" s="184">
        <v>0.0</v>
      </c>
      <c r="Q976" s="185">
        <v>0.0</v>
      </c>
      <c r="R976" s="186">
        <v>0.0</v>
      </c>
      <c r="S976" s="186">
        <v>0.0</v>
      </c>
      <c r="T976" s="186">
        <v>0.0</v>
      </c>
      <c r="U976" s="187" t="s">
        <v>1262</v>
      </c>
      <c r="V976" s="176">
        <v>46086.0</v>
      </c>
      <c r="W976" s="175"/>
      <c r="X976" s="175"/>
      <c r="Y976" s="175"/>
      <c r="Z976" s="175"/>
      <c r="AA976" s="175"/>
      <c r="AB976" s="175"/>
      <c r="AC976" s="175"/>
      <c r="AD976" s="175"/>
      <c r="AE976" s="175"/>
      <c r="AF976" s="175"/>
      <c r="AG976" s="175"/>
      <c r="AH976" s="175"/>
      <c r="AI976" s="175"/>
    </row>
    <row r="977">
      <c r="A977" s="176">
        <v>46080.0</v>
      </c>
      <c r="B977" s="177">
        <v>8229317.0</v>
      </c>
      <c r="C977" s="178" t="s">
        <v>89</v>
      </c>
      <c r="D977" s="178" t="s">
        <v>35</v>
      </c>
      <c r="E977" s="177">
        <v>5.517684484E9</v>
      </c>
      <c r="F977" s="178" t="s">
        <v>1263</v>
      </c>
      <c r="G977" s="176">
        <v>46254.0</v>
      </c>
      <c r="H977" s="179">
        <v>46255.0</v>
      </c>
      <c r="I977" s="180">
        <v>1.0</v>
      </c>
      <c r="J977" s="181" t="s">
        <v>78</v>
      </c>
      <c r="K977" s="178" t="s">
        <v>79</v>
      </c>
      <c r="L977" s="178" t="s">
        <v>80</v>
      </c>
      <c r="M977" s="182">
        <v>0.0</v>
      </c>
      <c r="N977" s="183">
        <v>0.0</v>
      </c>
      <c r="O977" s="184">
        <v>0.0</v>
      </c>
      <c r="P977" s="184">
        <v>0.0</v>
      </c>
      <c r="Q977" s="185">
        <v>0.0</v>
      </c>
      <c r="R977" s="186">
        <v>0.0</v>
      </c>
      <c r="S977" s="186">
        <v>0.0</v>
      </c>
      <c r="T977" s="186">
        <v>0.0</v>
      </c>
      <c r="U977" s="187" t="s">
        <v>1264</v>
      </c>
      <c r="V977" s="176">
        <v>46228.0</v>
      </c>
      <c r="W977" s="175"/>
      <c r="X977" s="175"/>
      <c r="Y977" s="175"/>
      <c r="Z977" s="175"/>
      <c r="AA977" s="175"/>
      <c r="AB977" s="175"/>
      <c r="AC977" s="175"/>
      <c r="AD977" s="175"/>
      <c r="AE977" s="175"/>
      <c r="AF977" s="175"/>
      <c r="AG977" s="175"/>
      <c r="AH977" s="175"/>
      <c r="AI977" s="175"/>
    </row>
    <row r="978">
      <c r="A978" s="176">
        <v>46081.0</v>
      </c>
      <c r="B978" s="177">
        <v>8231794.0</v>
      </c>
      <c r="C978" s="178" t="s">
        <v>82</v>
      </c>
      <c r="D978" s="178" t="s">
        <v>35</v>
      </c>
      <c r="E978" s="177">
        <v>6.603789322E9</v>
      </c>
      <c r="F978" s="178" t="s">
        <v>1207</v>
      </c>
      <c r="G978" s="176">
        <v>46389.20833333333</v>
      </c>
      <c r="H978" s="179">
        <v>46393.20833333333</v>
      </c>
      <c r="I978" s="180">
        <v>4.0</v>
      </c>
      <c r="J978" s="181" t="s">
        <v>111</v>
      </c>
      <c r="K978" s="178" t="s">
        <v>79</v>
      </c>
      <c r="L978" s="178" t="s">
        <v>80</v>
      </c>
      <c r="M978" s="182">
        <v>2.0</v>
      </c>
      <c r="N978" s="183">
        <v>0.19999999999999996</v>
      </c>
      <c r="O978" s="184">
        <v>211.85</v>
      </c>
      <c r="P978" s="184">
        <v>169.48000000000002</v>
      </c>
      <c r="Q978" s="185">
        <v>0.0</v>
      </c>
      <c r="R978" s="186">
        <v>677.9200000000001</v>
      </c>
      <c r="S978" s="186">
        <v>0.0</v>
      </c>
      <c r="T978" s="186">
        <v>867.4</v>
      </c>
      <c r="U978" s="187" t="s">
        <v>107</v>
      </c>
      <c r="V978" s="176">
        <v>46081.0</v>
      </c>
      <c r="W978" s="164"/>
      <c r="X978" s="164"/>
      <c r="Y978" s="164"/>
      <c r="Z978" s="164"/>
      <c r="AA978" s="164"/>
      <c r="AB978" s="164"/>
      <c r="AC978" s="164"/>
      <c r="AD978" s="164"/>
      <c r="AE978" s="164"/>
      <c r="AF978" s="164"/>
      <c r="AG978" s="164"/>
      <c r="AH978" s="164"/>
      <c r="AI978" s="164"/>
    </row>
    <row r="979">
      <c r="A979" s="176">
        <v>46081.0</v>
      </c>
      <c r="B979" s="177">
        <v>8231802.0</v>
      </c>
      <c r="C979" s="178" t="s">
        <v>89</v>
      </c>
      <c r="D979" s="178" t="s">
        <v>35</v>
      </c>
      <c r="E979" s="177">
        <v>6.486202346E9</v>
      </c>
      <c r="F979" s="178" t="s">
        <v>1208</v>
      </c>
      <c r="G979" s="176">
        <v>46389.20833333333</v>
      </c>
      <c r="H979" s="179">
        <v>46393.20833333333</v>
      </c>
      <c r="I979" s="180">
        <v>4.0</v>
      </c>
      <c r="J979" s="181" t="s">
        <v>87</v>
      </c>
      <c r="K979" s="178" t="s">
        <v>79</v>
      </c>
      <c r="L979" s="178" t="s">
        <v>80</v>
      </c>
      <c r="M979" s="182">
        <v>0.0</v>
      </c>
      <c r="N979" s="183">
        <v>0.0</v>
      </c>
      <c r="O979" s="184">
        <v>0.0</v>
      </c>
      <c r="P979" s="184">
        <v>0.0</v>
      </c>
      <c r="Q979" s="185">
        <v>0.0</v>
      </c>
      <c r="R979" s="186">
        <v>0.0</v>
      </c>
      <c r="S979" s="186">
        <v>0.0</v>
      </c>
      <c r="T979" s="186">
        <v>0.0</v>
      </c>
      <c r="U979" s="187" t="s">
        <v>1265</v>
      </c>
      <c r="V979" s="176">
        <v>46088.0</v>
      </c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</row>
    <row r="980">
      <c r="A980" s="176">
        <v>46081.0</v>
      </c>
      <c r="B980" s="177">
        <v>8232809.0</v>
      </c>
      <c r="C980" s="178" t="s">
        <v>82</v>
      </c>
      <c r="D980" s="178" t="s">
        <v>35</v>
      </c>
      <c r="E980" s="177">
        <v>6.603708638E9</v>
      </c>
      <c r="F980" s="178" t="s">
        <v>1266</v>
      </c>
      <c r="G980" s="176">
        <v>46319.20833333333</v>
      </c>
      <c r="H980" s="179">
        <v>46321.20833333333</v>
      </c>
      <c r="I980" s="180">
        <v>2.0</v>
      </c>
      <c r="J980" s="181" t="s">
        <v>78</v>
      </c>
      <c r="K980" s="178" t="s">
        <v>79</v>
      </c>
      <c r="L980" s="178" t="s">
        <v>80</v>
      </c>
      <c r="M980" s="182">
        <v>1.0</v>
      </c>
      <c r="N980" s="183">
        <v>0.19999999999999996</v>
      </c>
      <c r="O980" s="184">
        <v>170.14</v>
      </c>
      <c r="P980" s="184">
        <v>136.112</v>
      </c>
      <c r="Q980" s="185">
        <v>0.0</v>
      </c>
      <c r="R980" s="186">
        <v>272.224</v>
      </c>
      <c r="S980" s="186">
        <v>0.0</v>
      </c>
      <c r="T980" s="186">
        <v>345.28</v>
      </c>
      <c r="U980" s="187" t="s">
        <v>740</v>
      </c>
      <c r="V980" s="176">
        <v>46081.0</v>
      </c>
      <c r="W980" s="175"/>
      <c r="X980" s="175"/>
      <c r="Y980" s="175"/>
      <c r="Z980" s="175"/>
      <c r="AA980" s="175"/>
      <c r="AB980" s="175"/>
      <c r="AC980" s="175"/>
      <c r="AD980" s="175"/>
      <c r="AE980" s="175"/>
      <c r="AF980" s="175"/>
      <c r="AG980" s="175"/>
      <c r="AH980" s="175"/>
      <c r="AI980" s="175"/>
    </row>
    <row r="981">
      <c r="A981" s="176">
        <v>46081.0</v>
      </c>
      <c r="B981" s="177">
        <v>8232918.0</v>
      </c>
      <c r="C981" s="178" t="s">
        <v>82</v>
      </c>
      <c r="D981" s="178" t="s">
        <v>35</v>
      </c>
      <c r="E981" s="177">
        <v>5.982846026E9</v>
      </c>
      <c r="F981" s="178" t="s">
        <v>1267</v>
      </c>
      <c r="G981" s="176">
        <v>46089.0</v>
      </c>
      <c r="H981" s="179">
        <v>46090.0</v>
      </c>
      <c r="I981" s="180">
        <v>1.0</v>
      </c>
      <c r="J981" s="181" t="s">
        <v>78</v>
      </c>
      <c r="K981" s="178" t="s">
        <v>79</v>
      </c>
      <c r="L981" s="178" t="s">
        <v>80</v>
      </c>
      <c r="M981" s="182">
        <v>2.0</v>
      </c>
      <c r="N981" s="183">
        <v>0.19999999999999996</v>
      </c>
      <c r="O981" s="184">
        <v>170.22</v>
      </c>
      <c r="P981" s="184">
        <v>136.17600000000002</v>
      </c>
      <c r="Q981" s="185">
        <v>0.0</v>
      </c>
      <c r="R981" s="186">
        <v>136.17600000000002</v>
      </c>
      <c r="S981" s="186">
        <v>0.0</v>
      </c>
      <c r="T981" s="186">
        <v>175.22</v>
      </c>
      <c r="U981" s="187" t="s">
        <v>183</v>
      </c>
      <c r="V981" s="176">
        <v>46081.0</v>
      </c>
      <c r="W981" s="175"/>
      <c r="X981" s="175"/>
      <c r="Y981" s="175"/>
      <c r="Z981" s="175"/>
      <c r="AA981" s="175"/>
      <c r="AB981" s="175"/>
      <c r="AC981" s="175"/>
      <c r="AD981" s="175"/>
      <c r="AE981" s="175"/>
      <c r="AF981" s="175"/>
      <c r="AG981" s="175"/>
      <c r="AH981" s="175"/>
      <c r="AI981" s="175"/>
    </row>
    <row r="982">
      <c r="A982" s="176">
        <v>46081.0</v>
      </c>
      <c r="B982" s="177">
        <v>8234531.0</v>
      </c>
      <c r="C982" s="178" t="s">
        <v>89</v>
      </c>
      <c r="D982" s="178" t="s">
        <v>35</v>
      </c>
      <c r="E982" s="177">
        <v>6.777677078E9</v>
      </c>
      <c r="F982" s="178" t="s">
        <v>1268</v>
      </c>
      <c r="G982" s="176">
        <v>46315.20833333333</v>
      </c>
      <c r="H982" s="179">
        <v>46318.20833333333</v>
      </c>
      <c r="I982" s="180">
        <v>3.0</v>
      </c>
      <c r="J982" s="181" t="s">
        <v>78</v>
      </c>
      <c r="K982" s="178" t="s">
        <v>79</v>
      </c>
      <c r="L982" s="178" t="s">
        <v>80</v>
      </c>
      <c r="M982" s="182">
        <v>0.0</v>
      </c>
      <c r="N982" s="183">
        <v>0.0</v>
      </c>
      <c r="O982" s="184">
        <v>0.0</v>
      </c>
      <c r="P982" s="184">
        <v>0.0</v>
      </c>
      <c r="Q982" s="185">
        <v>0.0</v>
      </c>
      <c r="R982" s="186">
        <v>0.0</v>
      </c>
      <c r="S982" s="186">
        <v>0.0</v>
      </c>
      <c r="T982" s="186">
        <v>0.0</v>
      </c>
      <c r="U982" s="187" t="s">
        <v>1265</v>
      </c>
      <c r="V982" s="176">
        <v>46091.0</v>
      </c>
      <c r="W982" s="175"/>
      <c r="X982" s="175"/>
      <c r="Y982" s="175"/>
      <c r="Z982" s="175"/>
      <c r="AA982" s="175"/>
      <c r="AB982" s="175"/>
      <c r="AC982" s="175"/>
      <c r="AD982" s="175"/>
      <c r="AE982" s="175"/>
      <c r="AF982" s="175"/>
      <c r="AG982" s="175"/>
      <c r="AH982" s="175"/>
      <c r="AI982" s="175"/>
    </row>
    <row r="983">
      <c r="A983" s="176">
        <v>46081.0</v>
      </c>
      <c r="B983" s="177">
        <v>8235294.0</v>
      </c>
      <c r="C983" s="178" t="s">
        <v>82</v>
      </c>
      <c r="D983" s="178" t="s">
        <v>35</v>
      </c>
      <c r="E983" s="177">
        <v>6.441546188E9</v>
      </c>
      <c r="F983" s="178" t="s">
        <v>1269</v>
      </c>
      <c r="G983" s="176">
        <v>46129.0</v>
      </c>
      <c r="H983" s="179">
        <v>46132.0</v>
      </c>
      <c r="I983" s="180">
        <v>3.0</v>
      </c>
      <c r="J983" s="181" t="s">
        <v>111</v>
      </c>
      <c r="K983" s="178" t="s">
        <v>79</v>
      </c>
      <c r="L983" s="178" t="s">
        <v>80</v>
      </c>
      <c r="M983" s="182">
        <v>2.0</v>
      </c>
      <c r="N983" s="183">
        <v>0.19999999999999996</v>
      </c>
      <c r="O983" s="184">
        <v>183.07000000000002</v>
      </c>
      <c r="P983" s="184">
        <v>146.45600000000002</v>
      </c>
      <c r="Q983" s="185">
        <v>0.0</v>
      </c>
      <c r="R983" s="186">
        <v>439.36800000000005</v>
      </c>
      <c r="S983" s="186">
        <v>0.0</v>
      </c>
      <c r="T983" s="186">
        <v>564.21</v>
      </c>
      <c r="U983" s="187" t="s">
        <v>107</v>
      </c>
      <c r="V983" s="176">
        <v>46081.0</v>
      </c>
      <c r="W983" s="164"/>
      <c r="X983" s="164"/>
      <c r="Y983" s="164"/>
      <c r="Z983" s="164"/>
      <c r="AA983" s="164"/>
      <c r="AB983" s="164"/>
      <c r="AC983" s="164"/>
      <c r="AD983" s="164"/>
      <c r="AE983" s="164"/>
      <c r="AF983" s="164"/>
      <c r="AG983" s="164"/>
      <c r="AH983" s="164"/>
      <c r="AI983" s="164"/>
    </row>
    <row r="984">
      <c r="A984" s="176">
        <v>46082.0</v>
      </c>
      <c r="B984" s="177">
        <v>8237237.0</v>
      </c>
      <c r="C984" s="178" t="s">
        <v>82</v>
      </c>
      <c r="D984" s="178" t="s">
        <v>35</v>
      </c>
      <c r="E984" s="177">
        <v>5.70382423E9</v>
      </c>
      <c r="F984" s="178" t="s">
        <v>1270</v>
      </c>
      <c r="G984" s="176">
        <v>46093.0</v>
      </c>
      <c r="H984" s="179">
        <v>46094.0</v>
      </c>
      <c r="I984" s="180">
        <v>1.0</v>
      </c>
      <c r="J984" s="181" t="s">
        <v>78</v>
      </c>
      <c r="K984" s="178" t="s">
        <v>79</v>
      </c>
      <c r="L984" s="178" t="s">
        <v>80</v>
      </c>
      <c r="M984" s="182">
        <v>3.0</v>
      </c>
      <c r="N984" s="183">
        <v>0.19999999999999996</v>
      </c>
      <c r="O984" s="184">
        <v>167.82</v>
      </c>
      <c r="P984" s="184">
        <v>134.256</v>
      </c>
      <c r="Q984" s="185">
        <v>0.0</v>
      </c>
      <c r="R984" s="186">
        <v>134.256</v>
      </c>
      <c r="S984" s="186">
        <v>0.0</v>
      </c>
      <c r="T984" s="186">
        <v>175.32</v>
      </c>
      <c r="U984" s="187" t="s">
        <v>183</v>
      </c>
      <c r="V984" s="176">
        <v>46082.0</v>
      </c>
      <c r="W984" s="164"/>
      <c r="X984" s="164"/>
      <c r="Y984" s="164"/>
      <c r="Z984" s="164"/>
      <c r="AA984" s="164"/>
      <c r="AB984" s="164"/>
      <c r="AC984" s="164"/>
      <c r="AD984" s="164"/>
      <c r="AE984" s="164"/>
      <c r="AF984" s="164"/>
      <c r="AG984" s="164"/>
      <c r="AH984" s="164"/>
      <c r="AI984" s="164"/>
    </row>
    <row r="985">
      <c r="A985" s="176">
        <v>46082.0</v>
      </c>
      <c r="B985" s="177">
        <v>8237495.0</v>
      </c>
      <c r="C985" s="178" t="s">
        <v>82</v>
      </c>
      <c r="D985" s="178" t="s">
        <v>36</v>
      </c>
      <c r="E985" s="177">
        <v>8237495.0</v>
      </c>
      <c r="F985" s="178" t="s">
        <v>455</v>
      </c>
      <c r="G985" s="176">
        <v>46086.0</v>
      </c>
      <c r="H985" s="179">
        <v>46087.0</v>
      </c>
      <c r="I985" s="180">
        <v>1.0</v>
      </c>
      <c r="J985" s="181" t="s">
        <v>78</v>
      </c>
      <c r="K985" s="178" t="s">
        <v>79</v>
      </c>
      <c r="L985" s="178" t="s">
        <v>96</v>
      </c>
      <c r="M985" s="182">
        <v>2.0</v>
      </c>
      <c r="N985" s="183">
        <v>0.0</v>
      </c>
      <c r="O985" s="184">
        <v>239.76</v>
      </c>
      <c r="P985" s="184">
        <v>237.36239999999998</v>
      </c>
      <c r="Q985" s="185">
        <v>0.0</v>
      </c>
      <c r="R985" s="186">
        <v>237.36239999999998</v>
      </c>
      <c r="S985" s="186">
        <v>0.0</v>
      </c>
      <c r="T985" s="186">
        <v>244.76</v>
      </c>
      <c r="U985" s="187" t="s">
        <v>97</v>
      </c>
      <c r="V985" s="176">
        <v>46082.0</v>
      </c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</row>
    <row r="986">
      <c r="A986" s="176">
        <v>46082.0</v>
      </c>
      <c r="B986" s="177">
        <v>8238107.0</v>
      </c>
      <c r="C986" s="178" t="s">
        <v>82</v>
      </c>
      <c r="D986" s="178" t="s">
        <v>35</v>
      </c>
      <c r="E986" s="177">
        <v>6.564155722E9</v>
      </c>
      <c r="F986" s="178" t="s">
        <v>1271</v>
      </c>
      <c r="G986" s="176">
        <v>46293.20833333333</v>
      </c>
      <c r="H986" s="179">
        <v>46294.20833333333</v>
      </c>
      <c r="I986" s="180">
        <v>1.0</v>
      </c>
      <c r="J986" s="181" t="s">
        <v>114</v>
      </c>
      <c r="K986" s="178" t="s">
        <v>79</v>
      </c>
      <c r="L986" s="178" t="s">
        <v>80</v>
      </c>
      <c r="M986" s="182">
        <v>2.0</v>
      </c>
      <c r="N986" s="183">
        <v>0.19999999999999996</v>
      </c>
      <c r="O986" s="184">
        <v>172.26</v>
      </c>
      <c r="P986" s="184">
        <v>137.808</v>
      </c>
      <c r="Q986" s="185">
        <v>0.0</v>
      </c>
      <c r="R986" s="186">
        <v>137.808</v>
      </c>
      <c r="S986" s="186">
        <v>0.0</v>
      </c>
      <c r="T986" s="186">
        <v>354.52</v>
      </c>
      <c r="U986" s="187" t="s">
        <v>161</v>
      </c>
      <c r="V986" s="176">
        <v>46082.0</v>
      </c>
      <c r="W986" s="175"/>
      <c r="X986" s="175"/>
      <c r="Y986" s="175"/>
      <c r="Z986" s="175"/>
      <c r="AA986" s="175"/>
      <c r="AB986" s="175"/>
      <c r="AC986" s="175"/>
      <c r="AD986" s="175"/>
      <c r="AE986" s="175"/>
      <c r="AF986" s="175"/>
      <c r="AG986" s="175"/>
      <c r="AH986" s="175"/>
      <c r="AI986" s="175"/>
    </row>
    <row r="987">
      <c r="A987" s="176">
        <v>46082.0</v>
      </c>
      <c r="B987" s="177">
        <v>8238107.0</v>
      </c>
      <c r="C987" s="178" t="s">
        <v>82</v>
      </c>
      <c r="D987" s="178" t="s">
        <v>35</v>
      </c>
      <c r="E987" s="177">
        <v>6.564155722E9</v>
      </c>
      <c r="F987" s="178" t="s">
        <v>1271</v>
      </c>
      <c r="G987" s="176">
        <v>46293.20833333333</v>
      </c>
      <c r="H987" s="179">
        <v>46294.20833333333</v>
      </c>
      <c r="I987" s="180">
        <v>1.0</v>
      </c>
      <c r="J987" s="181" t="s">
        <v>114</v>
      </c>
      <c r="K987" s="178" t="s">
        <v>79</v>
      </c>
      <c r="L987" s="178" t="s">
        <v>80</v>
      </c>
      <c r="M987" s="182">
        <v>2.0</v>
      </c>
      <c r="N987" s="183">
        <v>0.19999999999999996</v>
      </c>
      <c r="O987" s="184">
        <v>172.26</v>
      </c>
      <c r="P987" s="184">
        <v>137.808</v>
      </c>
      <c r="Q987" s="185">
        <v>0.0</v>
      </c>
      <c r="R987" s="186">
        <v>137.808</v>
      </c>
      <c r="S987" s="186">
        <v>0.0</v>
      </c>
      <c r="T987" s="162">
        <v>354.52</v>
      </c>
      <c r="U987" s="163" t="s">
        <v>161</v>
      </c>
      <c r="V987" s="154">
        <v>46082.0</v>
      </c>
      <c r="W987" s="175"/>
      <c r="X987" s="175"/>
      <c r="Y987" s="175"/>
      <c r="Z987" s="175"/>
      <c r="AA987" s="175"/>
      <c r="AB987" s="175"/>
      <c r="AC987" s="175"/>
      <c r="AD987" s="175"/>
      <c r="AE987" s="175"/>
      <c r="AF987" s="175"/>
      <c r="AG987" s="175"/>
      <c r="AH987" s="175"/>
      <c r="AI987" s="175"/>
    </row>
    <row r="988">
      <c r="A988" s="176">
        <v>46082.0</v>
      </c>
      <c r="B988" s="177">
        <v>8238230.0</v>
      </c>
      <c r="C988" s="178" t="s">
        <v>82</v>
      </c>
      <c r="D988" s="178" t="s">
        <v>35</v>
      </c>
      <c r="E988" s="177">
        <v>6.78077627E9</v>
      </c>
      <c r="F988" s="178" t="s">
        <v>1272</v>
      </c>
      <c r="G988" s="176">
        <v>46173.0</v>
      </c>
      <c r="H988" s="179">
        <v>46174.0</v>
      </c>
      <c r="I988" s="180">
        <v>1.0</v>
      </c>
      <c r="J988" s="181" t="s">
        <v>78</v>
      </c>
      <c r="K988" s="178" t="s">
        <v>79</v>
      </c>
      <c r="L988" s="178" t="s">
        <v>80</v>
      </c>
      <c r="M988" s="182">
        <v>2.0</v>
      </c>
      <c r="N988" s="183">
        <v>0.19999999999999996</v>
      </c>
      <c r="O988" s="184">
        <v>156.92</v>
      </c>
      <c r="P988" s="184">
        <v>125.536</v>
      </c>
      <c r="Q988" s="185">
        <v>0.0</v>
      </c>
      <c r="R988" s="186">
        <v>125.536</v>
      </c>
      <c r="S988" s="186">
        <v>0.0</v>
      </c>
      <c r="T988" s="186">
        <v>364.45</v>
      </c>
      <c r="U988" s="187" t="s">
        <v>107</v>
      </c>
      <c r="V988" s="176">
        <v>46082.0</v>
      </c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</row>
    <row r="989">
      <c r="A989" s="176">
        <v>46082.0</v>
      </c>
      <c r="B989" s="177">
        <v>8238230.0</v>
      </c>
      <c r="C989" s="178" t="s">
        <v>82</v>
      </c>
      <c r="D989" s="178" t="s">
        <v>35</v>
      </c>
      <c r="E989" s="177">
        <v>6.78077627E9</v>
      </c>
      <c r="F989" s="178" t="s">
        <v>1272</v>
      </c>
      <c r="G989" s="176">
        <v>46173.0</v>
      </c>
      <c r="H989" s="179">
        <v>46174.0</v>
      </c>
      <c r="I989" s="180">
        <v>1.0</v>
      </c>
      <c r="J989" s="181" t="s">
        <v>111</v>
      </c>
      <c r="K989" s="178" t="s">
        <v>79</v>
      </c>
      <c r="L989" s="178" t="s">
        <v>80</v>
      </c>
      <c r="M989" s="182">
        <v>2.0</v>
      </c>
      <c r="N989" s="183">
        <v>0.19999999999999996</v>
      </c>
      <c r="O989" s="184">
        <v>197.53</v>
      </c>
      <c r="P989" s="184">
        <v>158.024</v>
      </c>
      <c r="Q989" s="185">
        <v>0.0</v>
      </c>
      <c r="R989" s="186">
        <v>158.024</v>
      </c>
      <c r="S989" s="186">
        <v>0.0</v>
      </c>
      <c r="T989" s="186">
        <v>364.45</v>
      </c>
      <c r="U989" s="187" t="s">
        <v>107</v>
      </c>
      <c r="V989" s="176">
        <v>46082.0</v>
      </c>
      <c r="W989" s="175"/>
      <c r="X989" s="175"/>
      <c r="Y989" s="175"/>
      <c r="Z989" s="175"/>
      <c r="AA989" s="175"/>
      <c r="AB989" s="175"/>
      <c r="AC989" s="175"/>
      <c r="AD989" s="175"/>
      <c r="AE989" s="175"/>
      <c r="AF989" s="175"/>
      <c r="AG989" s="175"/>
      <c r="AH989" s="175"/>
      <c r="AI989" s="175"/>
    </row>
    <row r="990">
      <c r="A990" s="176">
        <v>46082.0</v>
      </c>
      <c r="B990" s="177">
        <v>8238556.0</v>
      </c>
      <c r="C990" s="178" t="s">
        <v>82</v>
      </c>
      <c r="D990" s="178" t="s">
        <v>35</v>
      </c>
      <c r="E990" s="177">
        <v>5.896245059E9</v>
      </c>
      <c r="F990" s="178" t="s">
        <v>1273</v>
      </c>
      <c r="G990" s="176">
        <v>46260.0</v>
      </c>
      <c r="H990" s="179">
        <v>46263.0</v>
      </c>
      <c r="I990" s="180">
        <v>3.0</v>
      </c>
      <c r="J990" s="181" t="s">
        <v>78</v>
      </c>
      <c r="K990" s="178" t="s">
        <v>79</v>
      </c>
      <c r="L990" s="178" t="s">
        <v>80</v>
      </c>
      <c r="M990" s="182">
        <v>2.0</v>
      </c>
      <c r="N990" s="183">
        <v>0.19999999999999996</v>
      </c>
      <c r="O990" s="184">
        <v>118.86</v>
      </c>
      <c r="P990" s="184">
        <v>95.08800000000001</v>
      </c>
      <c r="Q990" s="185">
        <v>0.0</v>
      </c>
      <c r="R990" s="186">
        <v>285.264</v>
      </c>
      <c r="S990" s="186">
        <v>0.0</v>
      </c>
      <c r="T990" s="186">
        <v>828.72</v>
      </c>
      <c r="U990" s="187" t="s">
        <v>161</v>
      </c>
      <c r="V990" s="176">
        <v>46082.0</v>
      </c>
      <c r="W990" s="175"/>
      <c r="X990" s="175"/>
      <c r="Y990" s="175"/>
      <c r="Z990" s="175"/>
      <c r="AA990" s="175"/>
      <c r="AB990" s="175"/>
      <c r="AC990" s="175"/>
      <c r="AD990" s="175"/>
      <c r="AE990" s="175"/>
      <c r="AF990" s="175"/>
      <c r="AG990" s="175"/>
      <c r="AH990" s="175"/>
      <c r="AI990" s="175"/>
    </row>
    <row r="991">
      <c r="A991" s="176">
        <v>46082.0</v>
      </c>
      <c r="B991" s="177">
        <v>8238556.0</v>
      </c>
      <c r="C991" s="178" t="s">
        <v>82</v>
      </c>
      <c r="D991" s="178" t="s">
        <v>35</v>
      </c>
      <c r="E991" s="177">
        <v>5.896245059E9</v>
      </c>
      <c r="F991" s="178" t="s">
        <v>1273</v>
      </c>
      <c r="G991" s="176">
        <v>46260.0</v>
      </c>
      <c r="H991" s="179">
        <v>46263.0</v>
      </c>
      <c r="I991" s="180">
        <v>3.0</v>
      </c>
      <c r="J991" s="181" t="s">
        <v>114</v>
      </c>
      <c r="K991" s="178" t="s">
        <v>79</v>
      </c>
      <c r="L991" s="178" t="s">
        <v>80</v>
      </c>
      <c r="M991" s="182">
        <v>2.0</v>
      </c>
      <c r="N991" s="183">
        <v>0.19999999999999996</v>
      </c>
      <c r="O991" s="184">
        <v>147.38</v>
      </c>
      <c r="P991" s="184">
        <v>117.904</v>
      </c>
      <c r="Q991" s="185">
        <v>0.0</v>
      </c>
      <c r="R991" s="186">
        <v>353.712</v>
      </c>
      <c r="S991" s="186">
        <v>0.0</v>
      </c>
      <c r="T991" s="186">
        <v>828.72</v>
      </c>
      <c r="U991" s="187" t="s">
        <v>161</v>
      </c>
      <c r="V991" s="176">
        <v>46082.0</v>
      </c>
      <c r="W991" s="175"/>
      <c r="X991" s="175"/>
      <c r="Y991" s="175"/>
      <c r="Z991" s="175"/>
      <c r="AA991" s="175"/>
      <c r="AB991" s="175"/>
      <c r="AC991" s="175"/>
      <c r="AD991" s="175"/>
      <c r="AE991" s="175"/>
      <c r="AF991" s="175"/>
      <c r="AG991" s="175"/>
      <c r="AH991" s="175"/>
      <c r="AI991" s="175"/>
    </row>
    <row r="992">
      <c r="A992" s="176">
        <v>46082.0</v>
      </c>
      <c r="B992" s="177">
        <v>8238808.0</v>
      </c>
      <c r="C992" s="178" t="s">
        <v>89</v>
      </c>
      <c r="D992" s="178" t="s">
        <v>35</v>
      </c>
      <c r="E992" s="177">
        <v>6.094583481E9</v>
      </c>
      <c r="F992" s="178" t="s">
        <v>1274</v>
      </c>
      <c r="G992" s="176">
        <v>46353.20833333333</v>
      </c>
      <c r="H992" s="179">
        <v>46356.20833333333</v>
      </c>
      <c r="I992" s="180">
        <v>3.0</v>
      </c>
      <c r="J992" s="181" t="s">
        <v>111</v>
      </c>
      <c r="K992" s="178" t="s">
        <v>79</v>
      </c>
      <c r="L992" s="178" t="s">
        <v>80</v>
      </c>
      <c r="M992" s="182">
        <v>0.0</v>
      </c>
      <c r="N992" s="183">
        <v>0.0</v>
      </c>
      <c r="O992" s="184">
        <v>0.0</v>
      </c>
      <c r="P992" s="184">
        <v>0.0</v>
      </c>
      <c r="Q992" s="185">
        <v>0.0</v>
      </c>
      <c r="R992" s="186">
        <v>0.0</v>
      </c>
      <c r="S992" s="186">
        <v>0.0</v>
      </c>
      <c r="T992" s="186">
        <v>0.0</v>
      </c>
      <c r="U992" s="187" t="s">
        <v>1275</v>
      </c>
      <c r="V992" s="176">
        <v>46180.0</v>
      </c>
      <c r="W992" s="175"/>
      <c r="X992" s="175"/>
      <c r="Y992" s="175"/>
      <c r="Z992" s="175"/>
      <c r="AA992" s="175"/>
      <c r="AB992" s="175"/>
      <c r="AC992" s="175"/>
      <c r="AD992" s="175"/>
      <c r="AE992" s="175"/>
      <c r="AF992" s="175"/>
      <c r="AG992" s="175"/>
      <c r="AH992" s="175"/>
      <c r="AI992" s="175"/>
    </row>
    <row r="993">
      <c r="A993" s="176">
        <v>46083.0</v>
      </c>
      <c r="B993" s="177">
        <v>8240720.0</v>
      </c>
      <c r="C993" s="178" t="s">
        <v>82</v>
      </c>
      <c r="D993" s="178" t="s">
        <v>35</v>
      </c>
      <c r="E993" s="177">
        <v>5.954030908E9</v>
      </c>
      <c r="F993" s="178" t="s">
        <v>1276</v>
      </c>
      <c r="G993" s="176">
        <v>46099.0</v>
      </c>
      <c r="H993" s="179">
        <v>46100.0</v>
      </c>
      <c r="I993" s="180">
        <v>1.0</v>
      </c>
      <c r="J993" s="181" t="s">
        <v>111</v>
      </c>
      <c r="K993" s="178" t="s">
        <v>79</v>
      </c>
      <c r="L993" s="178" t="s">
        <v>80</v>
      </c>
      <c r="M993" s="182">
        <v>2.0</v>
      </c>
      <c r="N993" s="183">
        <v>0.19999999999999996</v>
      </c>
      <c r="O993" s="184">
        <v>209.83</v>
      </c>
      <c r="P993" s="184">
        <v>167.86400000000003</v>
      </c>
      <c r="Q993" s="185">
        <v>0.0</v>
      </c>
      <c r="R993" s="186">
        <v>167.86400000000003</v>
      </c>
      <c r="S993" s="186">
        <v>0.0</v>
      </c>
      <c r="T993" s="186">
        <v>214.83</v>
      </c>
      <c r="U993" s="187" t="s">
        <v>143</v>
      </c>
      <c r="V993" s="176">
        <v>46083.0</v>
      </c>
      <c r="W993" s="175"/>
      <c r="X993" s="175"/>
      <c r="Y993" s="175"/>
      <c r="Z993" s="175"/>
      <c r="AA993" s="175"/>
      <c r="AB993" s="175"/>
      <c r="AC993" s="175"/>
      <c r="AD993" s="175"/>
      <c r="AE993" s="175"/>
      <c r="AF993" s="175"/>
      <c r="AG993" s="175"/>
      <c r="AH993" s="175"/>
      <c r="AI993" s="175"/>
    </row>
    <row r="994">
      <c r="A994" s="176">
        <v>46083.0</v>
      </c>
      <c r="B994" s="177">
        <v>8241974.0</v>
      </c>
      <c r="C994" s="178" t="s">
        <v>82</v>
      </c>
      <c r="D994" s="178" t="s">
        <v>35</v>
      </c>
      <c r="E994" s="177">
        <v>6.063934221E9</v>
      </c>
      <c r="F994" s="178" t="s">
        <v>1277</v>
      </c>
      <c r="G994" s="176">
        <v>46302.20833333333</v>
      </c>
      <c r="H994" s="179">
        <v>46304.20833333333</v>
      </c>
      <c r="I994" s="180">
        <v>2.0</v>
      </c>
      <c r="J994" s="181" t="s">
        <v>87</v>
      </c>
      <c r="K994" s="178" t="s">
        <v>79</v>
      </c>
      <c r="L994" s="178" t="s">
        <v>80</v>
      </c>
      <c r="M994" s="182">
        <v>2.0</v>
      </c>
      <c r="N994" s="183">
        <v>0.19999999999999996</v>
      </c>
      <c r="O994" s="184">
        <v>150.72</v>
      </c>
      <c r="P994" s="184">
        <v>120.57600000000001</v>
      </c>
      <c r="Q994" s="185">
        <v>0.0</v>
      </c>
      <c r="R994" s="186">
        <v>241.15200000000002</v>
      </c>
      <c r="S994" s="186">
        <v>0.0</v>
      </c>
      <c r="T994" s="186">
        <v>311.44</v>
      </c>
      <c r="U994" s="187" t="s">
        <v>353</v>
      </c>
      <c r="V994" s="176">
        <v>46083.0</v>
      </c>
      <c r="W994" s="175"/>
      <c r="X994" s="175"/>
      <c r="Y994" s="175"/>
      <c r="Z994" s="175"/>
      <c r="AA994" s="175"/>
      <c r="AB994" s="175"/>
      <c r="AC994" s="175"/>
      <c r="AD994" s="175"/>
      <c r="AE994" s="175"/>
      <c r="AF994" s="175"/>
      <c r="AG994" s="175"/>
      <c r="AH994" s="175"/>
      <c r="AI994" s="175"/>
    </row>
    <row r="995">
      <c r="A995" s="176">
        <v>46083.0</v>
      </c>
      <c r="B995" s="177">
        <v>8241994.0</v>
      </c>
      <c r="C995" s="178" t="s">
        <v>89</v>
      </c>
      <c r="D995" s="178" t="s">
        <v>35</v>
      </c>
      <c r="E995" s="177">
        <v>5.785222403E9</v>
      </c>
      <c r="F995" s="178" t="s">
        <v>1278</v>
      </c>
      <c r="G995" s="176">
        <v>46102.0</v>
      </c>
      <c r="H995" s="179">
        <v>46104.0</v>
      </c>
      <c r="I995" s="180">
        <v>2.0</v>
      </c>
      <c r="J995" s="181" t="s">
        <v>114</v>
      </c>
      <c r="K995" s="178" t="s">
        <v>79</v>
      </c>
      <c r="L995" s="178" t="s">
        <v>80</v>
      </c>
      <c r="M995" s="182">
        <v>0.0</v>
      </c>
      <c r="N995" s="183">
        <v>0.0</v>
      </c>
      <c r="O995" s="184">
        <v>0.0</v>
      </c>
      <c r="P995" s="184">
        <v>0.0</v>
      </c>
      <c r="Q995" s="185">
        <v>0.0</v>
      </c>
      <c r="R995" s="186">
        <v>0.0</v>
      </c>
      <c r="S995" s="186">
        <v>0.0</v>
      </c>
      <c r="T995" s="186">
        <v>0.0</v>
      </c>
      <c r="U995" s="187" t="s">
        <v>1279</v>
      </c>
      <c r="V995" s="176">
        <v>46090.0</v>
      </c>
      <c r="W995" s="175"/>
      <c r="X995" s="175"/>
      <c r="Y995" s="175"/>
      <c r="Z995" s="175"/>
      <c r="AA995" s="175"/>
      <c r="AB995" s="175"/>
      <c r="AC995" s="175"/>
      <c r="AD995" s="175"/>
      <c r="AE995" s="175"/>
      <c r="AF995" s="175"/>
      <c r="AG995" s="175"/>
      <c r="AH995" s="175"/>
      <c r="AI995" s="175"/>
    </row>
    <row r="996">
      <c r="A996" s="176">
        <v>46083.0</v>
      </c>
      <c r="B996" s="177">
        <v>8242247.0</v>
      </c>
      <c r="C996" s="178" t="s">
        <v>82</v>
      </c>
      <c r="D996" s="178" t="s">
        <v>35</v>
      </c>
      <c r="E996" s="177">
        <v>6.063903413E9</v>
      </c>
      <c r="F996" s="178" t="s">
        <v>1280</v>
      </c>
      <c r="G996" s="176">
        <v>46264.0</v>
      </c>
      <c r="H996" s="179">
        <v>46269.0</v>
      </c>
      <c r="I996" s="180">
        <v>5.0</v>
      </c>
      <c r="J996" s="181" t="s">
        <v>78</v>
      </c>
      <c r="K996" s="178" t="s">
        <v>79</v>
      </c>
      <c r="L996" s="178" t="s">
        <v>80</v>
      </c>
      <c r="M996" s="182">
        <v>2.0</v>
      </c>
      <c r="N996" s="183">
        <v>0.19999999999999996</v>
      </c>
      <c r="O996" s="184">
        <v>118.49000000000001</v>
      </c>
      <c r="P996" s="184">
        <v>94.79200000000002</v>
      </c>
      <c r="Q996" s="185">
        <v>0.0</v>
      </c>
      <c r="R996" s="186">
        <v>473.9600000000001</v>
      </c>
      <c r="S996" s="186">
        <v>0.0</v>
      </c>
      <c r="T996" s="186">
        <v>592.45</v>
      </c>
      <c r="U996" s="187" t="s">
        <v>107</v>
      </c>
      <c r="V996" s="176">
        <v>46083.0</v>
      </c>
      <c r="W996" s="175"/>
      <c r="X996" s="175"/>
      <c r="Y996" s="175"/>
      <c r="Z996" s="175"/>
      <c r="AA996" s="175"/>
      <c r="AB996" s="175"/>
      <c r="AC996" s="175"/>
      <c r="AD996" s="175"/>
      <c r="AE996" s="175"/>
      <c r="AF996" s="175"/>
      <c r="AG996" s="175"/>
      <c r="AH996" s="175"/>
      <c r="AI996" s="175"/>
    </row>
    <row r="997">
      <c r="A997" s="176">
        <v>46083.0</v>
      </c>
      <c r="B997" s="177">
        <v>8242526.0</v>
      </c>
      <c r="C997" s="178" t="s">
        <v>82</v>
      </c>
      <c r="D997" s="178" t="s">
        <v>35</v>
      </c>
      <c r="E997" s="177">
        <v>5.173618341E9</v>
      </c>
      <c r="F997" s="178" t="s">
        <v>1281</v>
      </c>
      <c r="G997" s="176">
        <v>46110.0</v>
      </c>
      <c r="H997" s="179">
        <v>46112.0</v>
      </c>
      <c r="I997" s="180">
        <v>2.0</v>
      </c>
      <c r="J997" s="181" t="s">
        <v>78</v>
      </c>
      <c r="K997" s="178" t="s">
        <v>79</v>
      </c>
      <c r="L997" s="178" t="s">
        <v>80</v>
      </c>
      <c r="M997" s="182">
        <v>3.0</v>
      </c>
      <c r="N997" s="183">
        <v>0.19999999999999996</v>
      </c>
      <c r="O997" s="184">
        <v>216.31</v>
      </c>
      <c r="P997" s="184">
        <v>173.048</v>
      </c>
      <c r="Q997" s="185">
        <v>0.0</v>
      </c>
      <c r="R997" s="186">
        <v>346.096</v>
      </c>
      <c r="S997" s="186">
        <v>0.0</v>
      </c>
      <c r="T997" s="186">
        <v>447.62</v>
      </c>
      <c r="U997" s="187" t="s">
        <v>316</v>
      </c>
      <c r="V997" s="176">
        <v>46083.0</v>
      </c>
      <c r="W997" s="175"/>
      <c r="X997" s="175"/>
      <c r="Y997" s="175"/>
      <c r="Z997" s="175"/>
      <c r="AA997" s="175"/>
      <c r="AB997" s="175"/>
      <c r="AC997" s="175"/>
      <c r="AD997" s="175"/>
      <c r="AE997" s="175"/>
      <c r="AF997" s="175"/>
      <c r="AG997" s="175"/>
      <c r="AH997" s="175"/>
      <c r="AI997" s="175"/>
    </row>
    <row r="998">
      <c r="A998" s="176">
        <v>46084.0</v>
      </c>
      <c r="B998" s="177">
        <v>8244229.0</v>
      </c>
      <c r="C998" s="178" t="s">
        <v>82</v>
      </c>
      <c r="D998" s="178" t="s">
        <v>35</v>
      </c>
      <c r="E998" s="177">
        <v>5.745049593E9</v>
      </c>
      <c r="F998" s="178" t="s">
        <v>1282</v>
      </c>
      <c r="G998" s="176">
        <v>46104.0</v>
      </c>
      <c r="H998" s="179">
        <v>46106.0</v>
      </c>
      <c r="I998" s="180">
        <v>2.0</v>
      </c>
      <c r="J998" s="181" t="s">
        <v>114</v>
      </c>
      <c r="K998" s="178" t="s">
        <v>79</v>
      </c>
      <c r="L998" s="178" t="s">
        <v>80</v>
      </c>
      <c r="M998" s="182">
        <v>2.0</v>
      </c>
      <c r="N998" s="183">
        <v>0.19999999999999996</v>
      </c>
      <c r="O998" s="184">
        <v>217.2</v>
      </c>
      <c r="P998" s="184">
        <v>173.76</v>
      </c>
      <c r="Q998" s="185">
        <v>0.0</v>
      </c>
      <c r="R998" s="186">
        <v>347.52</v>
      </c>
      <c r="S998" s="186">
        <v>0.0</v>
      </c>
      <c r="T998" s="186">
        <v>444.4</v>
      </c>
      <c r="U998" s="187" t="s">
        <v>316</v>
      </c>
      <c r="V998" s="176">
        <v>46084.0</v>
      </c>
      <c r="W998" s="175"/>
      <c r="X998" s="175"/>
      <c r="Y998" s="175"/>
      <c r="Z998" s="175"/>
      <c r="AA998" s="175"/>
      <c r="AB998" s="175"/>
      <c r="AC998" s="175"/>
      <c r="AD998" s="175"/>
      <c r="AE998" s="175"/>
      <c r="AF998" s="175"/>
      <c r="AG998" s="175"/>
      <c r="AH998" s="175"/>
      <c r="AI998" s="175"/>
    </row>
    <row r="999">
      <c r="A999" s="176">
        <v>46084.0</v>
      </c>
      <c r="B999" s="177">
        <v>8245714.0</v>
      </c>
      <c r="C999" s="178" t="s">
        <v>82</v>
      </c>
      <c r="D999" s="178" t="s">
        <v>35</v>
      </c>
      <c r="E999" s="177">
        <v>6.586699248E9</v>
      </c>
      <c r="F999" s="178" t="s">
        <v>1283</v>
      </c>
      <c r="G999" s="176">
        <v>46253.0</v>
      </c>
      <c r="H999" s="179">
        <v>46256.0</v>
      </c>
      <c r="I999" s="180">
        <v>3.0</v>
      </c>
      <c r="J999" s="181" t="s">
        <v>78</v>
      </c>
      <c r="K999" s="178" t="s">
        <v>79</v>
      </c>
      <c r="L999" s="178" t="s">
        <v>80</v>
      </c>
      <c r="M999" s="182">
        <v>2.0</v>
      </c>
      <c r="N999" s="183">
        <v>0.19999999999999996</v>
      </c>
      <c r="O999" s="184">
        <v>118.49000000000001</v>
      </c>
      <c r="P999" s="184">
        <v>94.79200000000002</v>
      </c>
      <c r="Q999" s="185">
        <v>0.0</v>
      </c>
      <c r="R999" s="186">
        <v>284.37600000000003</v>
      </c>
      <c r="S999" s="186">
        <v>0.0</v>
      </c>
      <c r="T999" s="186">
        <v>355.47</v>
      </c>
      <c r="U999" s="187" t="s">
        <v>107</v>
      </c>
      <c r="V999" s="176">
        <v>46084.0</v>
      </c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</row>
    <row r="1000">
      <c r="A1000" s="176">
        <v>46084.0</v>
      </c>
      <c r="B1000" s="177">
        <v>8246957.0</v>
      </c>
      <c r="C1000" s="178" t="s">
        <v>89</v>
      </c>
      <c r="D1000" s="178" t="s">
        <v>35</v>
      </c>
      <c r="E1000" s="177">
        <v>5.473389113E9</v>
      </c>
      <c r="F1000" s="178" t="s">
        <v>1284</v>
      </c>
      <c r="G1000" s="176">
        <v>46207.0</v>
      </c>
      <c r="H1000" s="179">
        <v>46211.0</v>
      </c>
      <c r="I1000" s="180">
        <v>4.0</v>
      </c>
      <c r="J1000" s="181" t="s">
        <v>78</v>
      </c>
      <c r="K1000" s="178" t="s">
        <v>79</v>
      </c>
      <c r="L1000" s="178" t="s">
        <v>80</v>
      </c>
      <c r="M1000" s="182">
        <v>0.0</v>
      </c>
      <c r="N1000" s="183">
        <v>0.0</v>
      </c>
      <c r="O1000" s="184">
        <v>0.0</v>
      </c>
      <c r="P1000" s="184">
        <v>0.0</v>
      </c>
      <c r="Q1000" s="185">
        <v>0.0</v>
      </c>
      <c r="R1000" s="186">
        <v>0.0</v>
      </c>
      <c r="S1000" s="186">
        <v>0.0</v>
      </c>
      <c r="T1000" s="186">
        <v>0.0</v>
      </c>
      <c r="U1000" s="187" t="s">
        <v>1285</v>
      </c>
      <c r="V1000" s="176">
        <v>46110.0</v>
      </c>
      <c r="W1000" s="175"/>
      <c r="X1000" s="175"/>
      <c r="Y1000" s="175"/>
      <c r="Z1000" s="175"/>
      <c r="AA1000" s="175"/>
      <c r="AB1000" s="175"/>
      <c r="AC1000" s="175"/>
      <c r="AD1000" s="175"/>
      <c r="AE1000" s="175"/>
      <c r="AF1000" s="175"/>
      <c r="AG1000" s="175"/>
      <c r="AH1000" s="175"/>
      <c r="AI1000" s="175"/>
    </row>
    <row r="1001">
      <c r="A1001" s="176">
        <v>46085.0</v>
      </c>
      <c r="B1001" s="177">
        <v>8249917.0</v>
      </c>
      <c r="C1001" s="178" t="s">
        <v>82</v>
      </c>
      <c r="D1001" s="178" t="s">
        <v>35</v>
      </c>
      <c r="E1001" s="177">
        <v>5.985213846E9</v>
      </c>
      <c r="F1001" s="178" t="s">
        <v>1286</v>
      </c>
      <c r="G1001" s="176">
        <v>46255.0</v>
      </c>
      <c r="H1001" s="179">
        <v>46257.0</v>
      </c>
      <c r="I1001" s="180">
        <v>2.0</v>
      </c>
      <c r="J1001" s="181" t="s">
        <v>78</v>
      </c>
      <c r="K1001" s="178" t="s">
        <v>79</v>
      </c>
      <c r="L1001" s="178" t="s">
        <v>80</v>
      </c>
      <c r="M1001" s="182">
        <v>2.0</v>
      </c>
      <c r="N1001" s="183">
        <v>0.19999999999999996</v>
      </c>
      <c r="O1001" s="184">
        <v>148.88</v>
      </c>
      <c r="P1001" s="184">
        <v>119.104</v>
      </c>
      <c r="Q1001" s="185">
        <v>0.0</v>
      </c>
      <c r="R1001" s="186">
        <v>238.208</v>
      </c>
      <c r="S1001" s="186">
        <v>0.0</v>
      </c>
      <c r="T1001" s="186">
        <v>307.76</v>
      </c>
      <c r="U1001" s="187" t="s">
        <v>353</v>
      </c>
      <c r="V1001" s="176">
        <v>46085.0</v>
      </c>
      <c r="W1001" s="175"/>
      <c r="X1001" s="175"/>
      <c r="Y1001" s="175"/>
      <c r="Z1001" s="175"/>
      <c r="AA1001" s="175"/>
      <c r="AB1001" s="175"/>
      <c r="AC1001" s="175"/>
      <c r="AD1001" s="175"/>
      <c r="AE1001" s="175"/>
      <c r="AF1001" s="175"/>
      <c r="AG1001" s="175"/>
      <c r="AH1001" s="175"/>
      <c r="AI1001" s="175"/>
    </row>
    <row r="1002">
      <c r="A1002" s="176">
        <v>46085.0</v>
      </c>
      <c r="B1002" s="177">
        <v>8250602.0</v>
      </c>
      <c r="C1002" s="178" t="s">
        <v>82</v>
      </c>
      <c r="D1002" s="178" t="s">
        <v>35</v>
      </c>
      <c r="E1002" s="177">
        <v>5.403318602E9</v>
      </c>
      <c r="F1002" s="178" t="s">
        <v>1287</v>
      </c>
      <c r="G1002" s="176">
        <v>46139.0</v>
      </c>
      <c r="H1002" s="179">
        <v>46141.0</v>
      </c>
      <c r="I1002" s="180">
        <v>2.0</v>
      </c>
      <c r="J1002" s="181" t="s">
        <v>114</v>
      </c>
      <c r="K1002" s="178" t="s">
        <v>79</v>
      </c>
      <c r="L1002" s="178" t="s">
        <v>80</v>
      </c>
      <c r="M1002" s="182">
        <v>3.0</v>
      </c>
      <c r="N1002" s="183">
        <v>0.19999999999999996</v>
      </c>
      <c r="O1002" s="184">
        <v>206.62</v>
      </c>
      <c r="P1002" s="184">
        <v>165.29600000000002</v>
      </c>
      <c r="Q1002" s="185">
        <v>0.0</v>
      </c>
      <c r="R1002" s="186">
        <v>330.59200000000004</v>
      </c>
      <c r="S1002" s="186">
        <v>0.0</v>
      </c>
      <c r="T1002" s="186">
        <v>428.24</v>
      </c>
      <c r="U1002" s="187" t="s">
        <v>161</v>
      </c>
      <c r="V1002" s="176">
        <v>46085.0</v>
      </c>
      <c r="W1002" s="175"/>
      <c r="X1002" s="175"/>
      <c r="Y1002" s="175"/>
      <c r="Z1002" s="175"/>
      <c r="AA1002" s="175"/>
      <c r="AB1002" s="175"/>
      <c r="AC1002" s="175"/>
      <c r="AD1002" s="175"/>
      <c r="AE1002" s="175"/>
      <c r="AF1002" s="175"/>
      <c r="AG1002" s="175"/>
      <c r="AH1002" s="175"/>
      <c r="AI1002" s="175"/>
    </row>
    <row r="1003">
      <c r="A1003" s="176">
        <v>46085.0</v>
      </c>
      <c r="B1003" s="177">
        <v>8250716.0</v>
      </c>
      <c r="C1003" s="178" t="s">
        <v>89</v>
      </c>
      <c r="D1003" s="178" t="s">
        <v>35</v>
      </c>
      <c r="E1003" s="177">
        <v>6.596380249E9</v>
      </c>
      <c r="F1003" s="178" t="s">
        <v>1288</v>
      </c>
      <c r="G1003" s="176">
        <v>46106.0</v>
      </c>
      <c r="H1003" s="179">
        <v>46107.0</v>
      </c>
      <c r="I1003" s="180">
        <v>1.0</v>
      </c>
      <c r="J1003" s="181" t="s">
        <v>111</v>
      </c>
      <c r="K1003" s="178" t="s">
        <v>79</v>
      </c>
      <c r="L1003" s="178" t="s">
        <v>80</v>
      </c>
      <c r="M1003" s="182">
        <v>0.0</v>
      </c>
      <c r="N1003" s="183">
        <v>0.0</v>
      </c>
      <c r="O1003" s="184">
        <v>0.0</v>
      </c>
      <c r="P1003" s="184">
        <v>0.0</v>
      </c>
      <c r="Q1003" s="185">
        <v>0.0</v>
      </c>
      <c r="R1003" s="186">
        <v>0.0</v>
      </c>
      <c r="S1003" s="186">
        <v>0.0</v>
      </c>
      <c r="T1003" s="186">
        <v>0.0</v>
      </c>
      <c r="U1003" s="187" t="s">
        <v>1289</v>
      </c>
      <c r="V1003" s="176">
        <v>46085.0</v>
      </c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</row>
    <row r="1004">
      <c r="A1004" s="176">
        <v>46085.0</v>
      </c>
      <c r="B1004" s="177">
        <v>8251212.0</v>
      </c>
      <c r="C1004" s="178" t="s">
        <v>89</v>
      </c>
      <c r="D1004" s="178" t="s">
        <v>35</v>
      </c>
      <c r="E1004" s="177">
        <v>5.991700094E9</v>
      </c>
      <c r="F1004" s="178" t="s">
        <v>1290</v>
      </c>
      <c r="G1004" s="176">
        <v>46369.20833333333</v>
      </c>
      <c r="H1004" s="179">
        <v>46373.20833333333</v>
      </c>
      <c r="I1004" s="180">
        <v>4.0</v>
      </c>
      <c r="J1004" s="181" t="s">
        <v>78</v>
      </c>
      <c r="K1004" s="178" t="s">
        <v>79</v>
      </c>
      <c r="L1004" s="178" t="s">
        <v>80</v>
      </c>
      <c r="M1004" s="182">
        <v>0.0</v>
      </c>
      <c r="N1004" s="183">
        <v>0.0</v>
      </c>
      <c r="O1004" s="184">
        <v>0.0</v>
      </c>
      <c r="P1004" s="184">
        <v>0.0</v>
      </c>
      <c r="Q1004" s="185">
        <v>0.0</v>
      </c>
      <c r="R1004" s="186">
        <v>0.0</v>
      </c>
      <c r="S1004" s="186">
        <v>0.0</v>
      </c>
      <c r="T1004" s="186">
        <v>0.0</v>
      </c>
      <c r="U1004" s="187" t="s">
        <v>1291</v>
      </c>
      <c r="V1004" s="176">
        <v>46087.0</v>
      </c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  <c r="AG1004" s="188"/>
      <c r="AH1004" s="188"/>
      <c r="AI1004" s="188"/>
    </row>
    <row r="1005">
      <c r="A1005" s="176">
        <v>46085.0</v>
      </c>
      <c r="B1005" s="177">
        <v>8251313.0</v>
      </c>
      <c r="C1005" s="178" t="s">
        <v>82</v>
      </c>
      <c r="D1005" s="178" t="s">
        <v>35</v>
      </c>
      <c r="E1005" s="177">
        <v>5.819733568E9</v>
      </c>
      <c r="F1005" s="178" t="s">
        <v>647</v>
      </c>
      <c r="G1005" s="176">
        <v>46111.0</v>
      </c>
      <c r="H1005" s="179">
        <v>46112.0</v>
      </c>
      <c r="I1005" s="180">
        <v>1.0</v>
      </c>
      <c r="J1005" s="181" t="s">
        <v>111</v>
      </c>
      <c r="K1005" s="178" t="s">
        <v>79</v>
      </c>
      <c r="L1005" s="178" t="s">
        <v>80</v>
      </c>
      <c r="M1005" s="182">
        <v>2.0</v>
      </c>
      <c r="N1005" s="183">
        <v>0.19999999999999996</v>
      </c>
      <c r="O1005" s="184">
        <v>260.41</v>
      </c>
      <c r="P1005" s="184">
        <v>208.32800000000003</v>
      </c>
      <c r="Q1005" s="185">
        <v>0.0</v>
      </c>
      <c r="R1005" s="186">
        <v>208.32800000000003</v>
      </c>
      <c r="S1005" s="186">
        <v>0.0</v>
      </c>
      <c r="T1005" s="186">
        <v>260.41</v>
      </c>
      <c r="U1005" s="187" t="s">
        <v>316</v>
      </c>
      <c r="V1005" s="176">
        <v>46085.0</v>
      </c>
      <c r="W1005" s="175"/>
      <c r="X1005" s="175"/>
      <c r="Y1005" s="175"/>
      <c r="Z1005" s="175"/>
      <c r="AA1005" s="175"/>
      <c r="AB1005" s="175"/>
      <c r="AC1005" s="175"/>
      <c r="AD1005" s="175"/>
      <c r="AE1005" s="175"/>
      <c r="AF1005" s="175"/>
      <c r="AG1005" s="175"/>
      <c r="AH1005" s="175"/>
      <c r="AI1005" s="175"/>
    </row>
    <row r="1006">
      <c r="A1006" s="176">
        <v>46085.0</v>
      </c>
      <c r="B1006" s="177">
        <v>8251707.0</v>
      </c>
      <c r="C1006" s="178" t="s">
        <v>82</v>
      </c>
      <c r="D1006" s="178" t="s">
        <v>35</v>
      </c>
      <c r="E1006" s="177">
        <v>6.664250546E9</v>
      </c>
      <c r="F1006" s="178" t="s">
        <v>1292</v>
      </c>
      <c r="G1006" s="176">
        <v>46089.0</v>
      </c>
      <c r="H1006" s="179">
        <v>46091.0</v>
      </c>
      <c r="I1006" s="180">
        <v>2.0</v>
      </c>
      <c r="J1006" s="181" t="s">
        <v>114</v>
      </c>
      <c r="K1006" s="178" t="s">
        <v>79</v>
      </c>
      <c r="L1006" s="178" t="s">
        <v>80</v>
      </c>
      <c r="M1006" s="182">
        <v>2.0</v>
      </c>
      <c r="N1006" s="183">
        <v>0.19999999999999996</v>
      </c>
      <c r="O1006" s="184">
        <v>205.8</v>
      </c>
      <c r="P1006" s="184">
        <v>164.64000000000001</v>
      </c>
      <c r="Q1006" s="185">
        <v>0.0</v>
      </c>
      <c r="R1006" s="186">
        <v>329.28000000000003</v>
      </c>
      <c r="S1006" s="186">
        <v>0.0</v>
      </c>
      <c r="T1006" s="186">
        <v>421.6</v>
      </c>
      <c r="U1006" s="187" t="s">
        <v>183</v>
      </c>
      <c r="V1006" s="176">
        <v>46085.0</v>
      </c>
      <c r="W1006" s="164"/>
      <c r="X1006" s="164"/>
      <c r="Y1006" s="164"/>
      <c r="Z1006" s="164"/>
      <c r="AA1006" s="164"/>
      <c r="AB1006" s="164"/>
      <c r="AC1006" s="164"/>
      <c r="AD1006" s="164"/>
      <c r="AE1006" s="164"/>
      <c r="AF1006" s="164"/>
      <c r="AG1006" s="164"/>
      <c r="AH1006" s="164"/>
      <c r="AI1006" s="164"/>
    </row>
    <row r="1007">
      <c r="A1007" s="176">
        <v>46086.0</v>
      </c>
      <c r="B1007" s="177">
        <v>8251843.0</v>
      </c>
      <c r="C1007" s="178" t="s">
        <v>82</v>
      </c>
      <c r="D1007" s="178" t="s">
        <v>35</v>
      </c>
      <c r="E1007" s="177">
        <v>5.991746455E9</v>
      </c>
      <c r="F1007" s="178" t="s">
        <v>1293</v>
      </c>
      <c r="G1007" s="176">
        <v>46123.0</v>
      </c>
      <c r="H1007" s="179">
        <v>46125.0</v>
      </c>
      <c r="I1007" s="180">
        <v>2.0</v>
      </c>
      <c r="J1007" s="181" t="s">
        <v>111</v>
      </c>
      <c r="K1007" s="178" t="s">
        <v>79</v>
      </c>
      <c r="L1007" s="178" t="s">
        <v>80</v>
      </c>
      <c r="M1007" s="182">
        <v>3.0</v>
      </c>
      <c r="N1007" s="183">
        <v>0.19999999999999996</v>
      </c>
      <c r="O1007" s="184">
        <v>182.22</v>
      </c>
      <c r="P1007" s="184">
        <v>145.776</v>
      </c>
      <c r="Q1007" s="185">
        <v>0.0</v>
      </c>
      <c r="R1007" s="186">
        <v>291.552</v>
      </c>
      <c r="S1007" s="186">
        <v>0.0</v>
      </c>
      <c r="T1007" s="186">
        <v>379.44</v>
      </c>
      <c r="U1007" s="187" t="s">
        <v>107</v>
      </c>
      <c r="V1007" s="176">
        <v>46086.0</v>
      </c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</row>
    <row r="1008">
      <c r="A1008" s="176">
        <v>46086.0</v>
      </c>
      <c r="B1008" s="177">
        <v>8251862.0</v>
      </c>
      <c r="C1008" s="178" t="s">
        <v>75</v>
      </c>
      <c r="D1008" s="178" t="s">
        <v>35</v>
      </c>
      <c r="E1008" s="177">
        <v>6.998327161E9</v>
      </c>
      <c r="F1008" s="178" t="s">
        <v>1294</v>
      </c>
      <c r="G1008" s="176">
        <v>46169.0</v>
      </c>
      <c r="H1008" s="179">
        <v>46171.0</v>
      </c>
      <c r="I1008" s="180">
        <v>2.0</v>
      </c>
      <c r="J1008" s="181" t="s">
        <v>78</v>
      </c>
      <c r="K1008" s="178" t="s">
        <v>79</v>
      </c>
      <c r="L1008" s="178" t="s">
        <v>80</v>
      </c>
      <c r="M1008" s="182">
        <v>2.0</v>
      </c>
      <c r="N1008" s="183">
        <v>0.19999999999999996</v>
      </c>
      <c r="O1008" s="184">
        <v>216.07</v>
      </c>
      <c r="P1008" s="184">
        <v>172.856</v>
      </c>
      <c r="Q1008" s="185">
        <v>0.0</v>
      </c>
      <c r="R1008" s="186">
        <v>345.712</v>
      </c>
      <c r="S1008" s="186">
        <v>0.0</v>
      </c>
      <c r="T1008" s="186">
        <v>442.14</v>
      </c>
      <c r="U1008" s="187" t="s">
        <v>1295</v>
      </c>
      <c r="V1008" s="176">
        <v>46086.0</v>
      </c>
      <c r="W1008" s="175"/>
      <c r="X1008" s="175"/>
      <c r="Y1008" s="175"/>
      <c r="Z1008" s="175"/>
      <c r="AA1008" s="175"/>
      <c r="AB1008" s="175"/>
      <c r="AC1008" s="175"/>
      <c r="AD1008" s="175"/>
      <c r="AE1008" s="175"/>
      <c r="AF1008" s="175"/>
      <c r="AG1008" s="175"/>
      <c r="AH1008" s="175"/>
      <c r="AI1008" s="175"/>
    </row>
    <row r="1009">
      <c r="A1009" s="176">
        <v>46086.0</v>
      </c>
      <c r="B1009" s="177">
        <v>8253015.0</v>
      </c>
      <c r="C1009" s="178" t="s">
        <v>82</v>
      </c>
      <c r="D1009" s="178" t="s">
        <v>35</v>
      </c>
      <c r="E1009" s="177">
        <v>6.309378198E9</v>
      </c>
      <c r="F1009" s="178" t="s">
        <v>1296</v>
      </c>
      <c r="G1009" s="176">
        <v>46134.0</v>
      </c>
      <c r="H1009" s="179">
        <v>46135.0</v>
      </c>
      <c r="I1009" s="180">
        <v>1.0</v>
      </c>
      <c r="J1009" s="181" t="s">
        <v>78</v>
      </c>
      <c r="K1009" s="178" t="s">
        <v>79</v>
      </c>
      <c r="L1009" s="178" t="s">
        <v>80</v>
      </c>
      <c r="M1009" s="182">
        <v>2.0</v>
      </c>
      <c r="N1009" s="183">
        <v>0.19999999999999996</v>
      </c>
      <c r="O1009" s="184">
        <v>212.78</v>
      </c>
      <c r="P1009" s="184">
        <v>170.22400000000002</v>
      </c>
      <c r="Q1009" s="185">
        <v>0.0</v>
      </c>
      <c r="R1009" s="186">
        <v>170.22400000000002</v>
      </c>
      <c r="S1009" s="186">
        <v>0.0</v>
      </c>
      <c r="T1009" s="186">
        <v>217.78</v>
      </c>
      <c r="U1009" s="187" t="s">
        <v>303</v>
      </c>
      <c r="V1009" s="176">
        <v>46086.0</v>
      </c>
      <c r="W1009" s="175"/>
      <c r="X1009" s="175"/>
      <c r="Y1009" s="175"/>
      <c r="Z1009" s="175"/>
      <c r="AA1009" s="175"/>
      <c r="AB1009" s="175"/>
      <c r="AC1009" s="175"/>
      <c r="AD1009" s="175"/>
      <c r="AE1009" s="175"/>
      <c r="AF1009" s="175"/>
      <c r="AG1009" s="175"/>
      <c r="AH1009" s="175"/>
      <c r="AI1009" s="175"/>
    </row>
    <row r="1010">
      <c r="A1010" s="176">
        <v>46086.0</v>
      </c>
      <c r="B1010" s="177">
        <v>8254428.0</v>
      </c>
      <c r="C1010" s="178" t="s">
        <v>82</v>
      </c>
      <c r="D1010" s="178" t="s">
        <v>94</v>
      </c>
      <c r="E1010" s="177">
        <v>8254428.0</v>
      </c>
      <c r="F1010" s="178" t="s">
        <v>1297</v>
      </c>
      <c r="G1010" s="176">
        <v>46120.0</v>
      </c>
      <c r="H1010" s="179">
        <v>46121.0</v>
      </c>
      <c r="I1010" s="180">
        <v>1.0</v>
      </c>
      <c r="J1010" s="181" t="s">
        <v>111</v>
      </c>
      <c r="K1010" s="178" t="s">
        <v>79</v>
      </c>
      <c r="L1010" s="178" t="s">
        <v>96</v>
      </c>
      <c r="M1010" s="182">
        <v>2.0</v>
      </c>
      <c r="N1010" s="183">
        <v>0.0</v>
      </c>
      <c r="O1010" s="184">
        <v>300.24</v>
      </c>
      <c r="P1010" s="184">
        <v>300.24</v>
      </c>
      <c r="Q1010" s="185">
        <v>0.0</v>
      </c>
      <c r="R1010" s="186">
        <v>300.24</v>
      </c>
      <c r="S1010" s="186">
        <v>0.0</v>
      </c>
      <c r="T1010" s="186">
        <v>305.24</v>
      </c>
      <c r="U1010" s="187" t="s">
        <v>97</v>
      </c>
      <c r="V1010" s="176">
        <v>46086.0</v>
      </c>
      <c r="W1010" s="175"/>
      <c r="X1010" s="175"/>
      <c r="Y1010" s="175"/>
      <c r="Z1010" s="175"/>
      <c r="AA1010" s="175"/>
      <c r="AB1010" s="175"/>
      <c r="AC1010" s="175"/>
      <c r="AD1010" s="175"/>
      <c r="AE1010" s="175"/>
      <c r="AF1010" s="175"/>
      <c r="AG1010" s="175"/>
      <c r="AH1010" s="175"/>
      <c r="AI1010" s="175"/>
    </row>
    <row r="1011">
      <c r="A1011" s="176">
        <v>46086.0</v>
      </c>
      <c r="B1011" s="177">
        <v>8254499.0</v>
      </c>
      <c r="C1011" s="178" t="s">
        <v>89</v>
      </c>
      <c r="D1011" s="178" t="s">
        <v>94</v>
      </c>
      <c r="E1011" s="177">
        <v>8254499.0</v>
      </c>
      <c r="F1011" s="178" t="s">
        <v>1298</v>
      </c>
      <c r="G1011" s="176">
        <v>46113.0</v>
      </c>
      <c r="H1011" s="179">
        <v>46115.0</v>
      </c>
      <c r="I1011" s="180">
        <v>2.0</v>
      </c>
      <c r="J1011" s="181" t="s">
        <v>78</v>
      </c>
      <c r="K1011" s="178" t="s">
        <v>79</v>
      </c>
      <c r="L1011" s="178" t="s">
        <v>96</v>
      </c>
      <c r="M1011" s="182">
        <v>0.0</v>
      </c>
      <c r="N1011" s="183">
        <v>0.0</v>
      </c>
      <c r="O1011" s="184">
        <v>0.0</v>
      </c>
      <c r="P1011" s="184">
        <v>0.0</v>
      </c>
      <c r="Q1011" s="185">
        <v>0.0</v>
      </c>
      <c r="R1011" s="186">
        <v>0.0</v>
      </c>
      <c r="S1011" s="186">
        <v>0.0</v>
      </c>
      <c r="T1011" s="186">
        <v>0.0</v>
      </c>
      <c r="U1011" s="187" t="s">
        <v>1299</v>
      </c>
      <c r="V1011" s="176">
        <v>46098.0</v>
      </c>
      <c r="W1011" s="164"/>
      <c r="X1011" s="164"/>
      <c r="Y1011" s="164"/>
      <c r="Z1011" s="164"/>
      <c r="AA1011" s="164"/>
      <c r="AB1011" s="164"/>
      <c r="AC1011" s="164"/>
      <c r="AD1011" s="164"/>
      <c r="AE1011" s="164"/>
      <c r="AF1011" s="164"/>
      <c r="AG1011" s="164"/>
      <c r="AH1011" s="164"/>
      <c r="AI1011" s="164"/>
    </row>
    <row r="1012">
      <c r="A1012" s="176">
        <v>46087.0</v>
      </c>
      <c r="B1012" s="177">
        <v>8256513.0</v>
      </c>
      <c r="C1012" s="178" t="s">
        <v>89</v>
      </c>
      <c r="D1012" s="178" t="s">
        <v>35</v>
      </c>
      <c r="E1012" s="177">
        <v>6.439511051E9</v>
      </c>
      <c r="F1012" s="178" t="s">
        <v>1300</v>
      </c>
      <c r="G1012" s="176">
        <v>46195.0</v>
      </c>
      <c r="H1012" s="179">
        <v>46196.0</v>
      </c>
      <c r="I1012" s="180">
        <v>1.0</v>
      </c>
      <c r="J1012" s="181" t="s">
        <v>78</v>
      </c>
      <c r="K1012" s="178" t="s">
        <v>79</v>
      </c>
      <c r="L1012" s="178" t="s">
        <v>80</v>
      </c>
      <c r="M1012" s="182">
        <v>0.0</v>
      </c>
      <c r="N1012" s="183">
        <v>0.0</v>
      </c>
      <c r="O1012" s="184">
        <v>0.0</v>
      </c>
      <c r="P1012" s="184">
        <v>0.0</v>
      </c>
      <c r="Q1012" s="185">
        <v>0.0</v>
      </c>
      <c r="R1012" s="186">
        <v>0.0</v>
      </c>
      <c r="S1012" s="186">
        <v>0.0</v>
      </c>
      <c r="T1012" s="186">
        <v>0.0</v>
      </c>
      <c r="U1012" s="187" t="s">
        <v>1301</v>
      </c>
      <c r="V1012" s="176">
        <v>46113.0</v>
      </c>
      <c r="W1012" s="188"/>
      <c r="X1012" s="188"/>
      <c r="Y1012" s="188"/>
      <c r="Z1012" s="188"/>
      <c r="AA1012" s="188"/>
      <c r="AB1012" s="188"/>
      <c r="AC1012" s="188"/>
      <c r="AD1012" s="188"/>
      <c r="AE1012" s="188"/>
      <c r="AF1012" s="188"/>
      <c r="AG1012" s="188"/>
      <c r="AH1012" s="188"/>
      <c r="AI1012" s="188"/>
    </row>
    <row r="1013">
      <c r="A1013" s="176">
        <v>46087.0</v>
      </c>
      <c r="B1013" s="177">
        <v>8257094.0</v>
      </c>
      <c r="C1013" s="178" t="s">
        <v>89</v>
      </c>
      <c r="D1013" s="178" t="s">
        <v>35</v>
      </c>
      <c r="E1013" s="177">
        <v>5.570166957E9</v>
      </c>
      <c r="F1013" s="178" t="s">
        <v>1290</v>
      </c>
      <c r="G1013" s="176">
        <v>46369.20833333333</v>
      </c>
      <c r="H1013" s="179">
        <v>46373.20833333333</v>
      </c>
      <c r="I1013" s="180">
        <v>4.0</v>
      </c>
      <c r="J1013" s="181" t="s">
        <v>78</v>
      </c>
      <c r="K1013" s="178" t="s">
        <v>79</v>
      </c>
      <c r="L1013" s="178" t="s">
        <v>80</v>
      </c>
      <c r="M1013" s="182">
        <v>0.0</v>
      </c>
      <c r="N1013" s="183">
        <v>0.0</v>
      </c>
      <c r="O1013" s="184">
        <v>0.0</v>
      </c>
      <c r="P1013" s="184">
        <v>0.0</v>
      </c>
      <c r="Q1013" s="185">
        <v>0.0</v>
      </c>
      <c r="R1013" s="186">
        <v>0.0</v>
      </c>
      <c r="S1013" s="186">
        <v>0.0</v>
      </c>
      <c r="T1013" s="186">
        <v>0.0</v>
      </c>
      <c r="U1013" s="187" t="s">
        <v>1302</v>
      </c>
      <c r="V1013" s="176">
        <v>46240.0</v>
      </c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</row>
    <row r="1014">
      <c r="A1014" s="176">
        <v>46087.0</v>
      </c>
      <c r="B1014" s="177">
        <v>8258428.0</v>
      </c>
      <c r="C1014" s="178" t="s">
        <v>89</v>
      </c>
      <c r="D1014" s="178" t="s">
        <v>35</v>
      </c>
      <c r="E1014" s="177">
        <v>6.907469298E9</v>
      </c>
      <c r="F1014" s="178" t="s">
        <v>1303</v>
      </c>
      <c r="G1014" s="176">
        <v>46165.0</v>
      </c>
      <c r="H1014" s="179">
        <v>46168.0</v>
      </c>
      <c r="I1014" s="180">
        <v>3.0</v>
      </c>
      <c r="J1014" s="181" t="s">
        <v>78</v>
      </c>
      <c r="K1014" s="178" t="s">
        <v>79</v>
      </c>
      <c r="L1014" s="178" t="s">
        <v>80</v>
      </c>
      <c r="M1014" s="182">
        <v>0.0</v>
      </c>
      <c r="N1014" s="183">
        <v>0.0</v>
      </c>
      <c r="O1014" s="184">
        <v>0.0</v>
      </c>
      <c r="P1014" s="184">
        <v>0.0</v>
      </c>
      <c r="Q1014" s="185">
        <v>0.0</v>
      </c>
      <c r="R1014" s="186">
        <v>0.0</v>
      </c>
      <c r="S1014" s="186">
        <v>0.0</v>
      </c>
      <c r="T1014" s="186">
        <v>0.0</v>
      </c>
      <c r="U1014" s="187" t="s">
        <v>1304</v>
      </c>
      <c r="V1014" s="176">
        <v>46087.0</v>
      </c>
      <c r="W1014" s="175"/>
      <c r="X1014" s="175"/>
      <c r="Y1014" s="175"/>
      <c r="Z1014" s="175"/>
      <c r="AA1014" s="175"/>
      <c r="AB1014" s="175"/>
      <c r="AC1014" s="175"/>
      <c r="AD1014" s="175"/>
      <c r="AE1014" s="175"/>
      <c r="AF1014" s="175"/>
      <c r="AG1014" s="175"/>
      <c r="AH1014" s="175"/>
      <c r="AI1014" s="175"/>
    </row>
    <row r="1015">
      <c r="A1015" s="176">
        <v>46088.0</v>
      </c>
      <c r="B1015" s="177">
        <v>8260012.0</v>
      </c>
      <c r="C1015" s="178" t="s">
        <v>82</v>
      </c>
      <c r="D1015" s="178" t="s">
        <v>35</v>
      </c>
      <c r="E1015" s="177">
        <v>5.390855107E9</v>
      </c>
      <c r="F1015" s="178" t="s">
        <v>1305</v>
      </c>
      <c r="G1015" s="176">
        <v>46389.20833333333</v>
      </c>
      <c r="H1015" s="179">
        <v>46392.20833333333</v>
      </c>
      <c r="I1015" s="180">
        <v>3.0</v>
      </c>
      <c r="J1015" s="181" t="s">
        <v>78</v>
      </c>
      <c r="K1015" s="178" t="s">
        <v>79</v>
      </c>
      <c r="L1015" s="178" t="s">
        <v>80</v>
      </c>
      <c r="M1015" s="182">
        <v>2.0</v>
      </c>
      <c r="N1015" s="183">
        <v>0.19999999999999996</v>
      </c>
      <c r="O1015" s="184">
        <v>217.28</v>
      </c>
      <c r="P1015" s="184">
        <v>173.824</v>
      </c>
      <c r="Q1015" s="185">
        <v>0.0</v>
      </c>
      <c r="R1015" s="186">
        <v>521.472</v>
      </c>
      <c r="S1015" s="186">
        <v>0.0</v>
      </c>
      <c r="T1015" s="186">
        <v>666.84</v>
      </c>
      <c r="U1015" s="187" t="s">
        <v>353</v>
      </c>
      <c r="V1015" s="176">
        <v>46088.0</v>
      </c>
      <c r="W1015" s="164"/>
      <c r="X1015" s="164"/>
      <c r="Y1015" s="164"/>
      <c r="Z1015" s="164"/>
      <c r="AA1015" s="164"/>
      <c r="AB1015" s="164"/>
      <c r="AC1015" s="164"/>
      <c r="AD1015" s="164"/>
      <c r="AE1015" s="164"/>
      <c r="AF1015" s="164"/>
      <c r="AG1015" s="164"/>
      <c r="AH1015" s="164"/>
      <c r="AI1015" s="164"/>
    </row>
    <row r="1016">
      <c r="A1016" s="176">
        <v>46088.0</v>
      </c>
      <c r="B1016" s="177">
        <v>8261364.0</v>
      </c>
      <c r="C1016" s="178" t="s">
        <v>89</v>
      </c>
      <c r="D1016" s="178" t="s">
        <v>35</v>
      </c>
      <c r="E1016" s="177">
        <v>5.022140712E9</v>
      </c>
      <c r="F1016" s="178" t="s">
        <v>1306</v>
      </c>
      <c r="G1016" s="176">
        <v>46132.0</v>
      </c>
      <c r="H1016" s="179">
        <v>46133.0</v>
      </c>
      <c r="I1016" s="180">
        <v>1.0</v>
      </c>
      <c r="J1016" s="181" t="s">
        <v>111</v>
      </c>
      <c r="K1016" s="178" t="s">
        <v>79</v>
      </c>
      <c r="L1016" s="178" t="s">
        <v>80</v>
      </c>
      <c r="M1016" s="182">
        <v>0.0</v>
      </c>
      <c r="N1016" s="183">
        <v>0.0</v>
      </c>
      <c r="O1016" s="184">
        <v>0.0</v>
      </c>
      <c r="P1016" s="184">
        <v>0.0</v>
      </c>
      <c r="Q1016" s="185">
        <v>0.0</v>
      </c>
      <c r="R1016" s="186">
        <v>0.0</v>
      </c>
      <c r="S1016" s="186">
        <v>0.0</v>
      </c>
      <c r="T1016" s="186">
        <v>0.0</v>
      </c>
      <c r="U1016" s="187" t="s">
        <v>1307</v>
      </c>
      <c r="V1016" s="176">
        <v>46107.0</v>
      </c>
      <c r="W1016" s="175"/>
      <c r="X1016" s="175"/>
      <c r="Y1016" s="175"/>
      <c r="Z1016" s="175"/>
      <c r="AA1016" s="175"/>
      <c r="AB1016" s="175"/>
      <c r="AC1016" s="175"/>
      <c r="AD1016" s="175"/>
      <c r="AE1016" s="175"/>
      <c r="AF1016" s="175"/>
      <c r="AG1016" s="175"/>
      <c r="AH1016" s="175"/>
      <c r="AI1016" s="175"/>
    </row>
    <row r="1017">
      <c r="A1017" s="176">
        <v>46089.0</v>
      </c>
      <c r="B1017" s="177">
        <v>8263761.0</v>
      </c>
      <c r="C1017" s="178" t="s">
        <v>89</v>
      </c>
      <c r="D1017" s="178" t="s">
        <v>35</v>
      </c>
      <c r="E1017" s="177">
        <v>5.143539708E9</v>
      </c>
      <c r="F1017" s="178" t="s">
        <v>1308</v>
      </c>
      <c r="G1017" s="176">
        <v>46135.0</v>
      </c>
      <c r="H1017" s="179">
        <v>46138.0</v>
      </c>
      <c r="I1017" s="180">
        <v>3.0</v>
      </c>
      <c r="J1017" s="181" t="s">
        <v>91</v>
      </c>
      <c r="K1017" s="178" t="s">
        <v>79</v>
      </c>
      <c r="L1017" s="178" t="s">
        <v>80</v>
      </c>
      <c r="M1017" s="182">
        <v>0.0</v>
      </c>
      <c r="N1017" s="183">
        <v>0.0</v>
      </c>
      <c r="O1017" s="184">
        <v>0.0</v>
      </c>
      <c r="P1017" s="184">
        <v>0.0</v>
      </c>
      <c r="Q1017" s="185">
        <v>0.0</v>
      </c>
      <c r="R1017" s="186">
        <v>0.0</v>
      </c>
      <c r="S1017" s="186">
        <v>0.0</v>
      </c>
      <c r="T1017" s="186">
        <v>0.0</v>
      </c>
      <c r="U1017" s="187" t="s">
        <v>1309</v>
      </c>
      <c r="V1017" s="176">
        <v>46110.0</v>
      </c>
      <c r="W1017" s="164"/>
      <c r="X1017" s="164"/>
      <c r="Y1017" s="164"/>
      <c r="Z1017" s="164"/>
      <c r="AA1017" s="164"/>
      <c r="AB1017" s="164"/>
      <c r="AC1017" s="164"/>
      <c r="AD1017" s="164"/>
      <c r="AE1017" s="164"/>
      <c r="AF1017" s="164"/>
      <c r="AG1017" s="164"/>
      <c r="AH1017" s="164"/>
      <c r="AI1017" s="164"/>
    </row>
    <row r="1018">
      <c r="A1018" s="176">
        <v>46089.0</v>
      </c>
      <c r="B1018" s="177">
        <v>8263993.0</v>
      </c>
      <c r="C1018" s="178" t="s">
        <v>82</v>
      </c>
      <c r="D1018" s="178" t="s">
        <v>35</v>
      </c>
      <c r="E1018" s="177">
        <v>5.507149721E9</v>
      </c>
      <c r="F1018" s="178" t="s">
        <v>1310</v>
      </c>
      <c r="G1018" s="176">
        <v>46263.0</v>
      </c>
      <c r="H1018" s="179">
        <v>46267.0</v>
      </c>
      <c r="I1018" s="180">
        <v>4.0</v>
      </c>
      <c r="J1018" s="181" t="s">
        <v>78</v>
      </c>
      <c r="K1018" s="178" t="s">
        <v>79</v>
      </c>
      <c r="L1018" s="178" t="s">
        <v>80</v>
      </c>
      <c r="M1018" s="182">
        <v>2.0</v>
      </c>
      <c r="N1018" s="183">
        <v>0.19999999999999996</v>
      </c>
      <c r="O1018" s="184">
        <v>119.38</v>
      </c>
      <c r="P1018" s="184">
        <v>95.504</v>
      </c>
      <c r="Q1018" s="185">
        <v>0.0</v>
      </c>
      <c r="R1018" s="186">
        <v>382.016</v>
      </c>
      <c r="S1018" s="186">
        <v>0.0</v>
      </c>
      <c r="T1018" s="186">
        <v>497.52</v>
      </c>
      <c r="U1018" s="187" t="s">
        <v>161</v>
      </c>
      <c r="V1018" s="176">
        <v>46089.0</v>
      </c>
      <c r="W1018" s="188"/>
      <c r="X1018" s="188"/>
      <c r="Y1018" s="188"/>
      <c r="Z1018" s="188"/>
      <c r="AA1018" s="188"/>
      <c r="AB1018" s="188"/>
      <c r="AC1018" s="188"/>
      <c r="AD1018" s="188"/>
      <c r="AE1018" s="188"/>
      <c r="AF1018" s="188"/>
      <c r="AG1018" s="188"/>
      <c r="AH1018" s="188"/>
      <c r="AI1018" s="188"/>
    </row>
    <row r="1019">
      <c r="A1019" s="176">
        <v>46089.0</v>
      </c>
      <c r="B1019" s="177">
        <v>8264302.0</v>
      </c>
      <c r="C1019" s="178" t="s">
        <v>82</v>
      </c>
      <c r="D1019" s="178" t="s">
        <v>35</v>
      </c>
      <c r="E1019" s="177">
        <v>5.790209128E9</v>
      </c>
      <c r="F1019" s="178" t="s">
        <v>1311</v>
      </c>
      <c r="G1019" s="176">
        <v>46128.0</v>
      </c>
      <c r="H1019" s="179">
        <v>46129.0</v>
      </c>
      <c r="I1019" s="180">
        <v>1.0</v>
      </c>
      <c r="J1019" s="181" t="s">
        <v>78</v>
      </c>
      <c r="K1019" s="178" t="s">
        <v>79</v>
      </c>
      <c r="L1019" s="178" t="s">
        <v>80</v>
      </c>
      <c r="M1019" s="182">
        <v>2.0</v>
      </c>
      <c r="N1019" s="183">
        <v>0.19999999999999996</v>
      </c>
      <c r="O1019" s="184">
        <v>146.73</v>
      </c>
      <c r="P1019" s="184">
        <v>117.384</v>
      </c>
      <c r="Q1019" s="185">
        <v>0.0</v>
      </c>
      <c r="R1019" s="186">
        <v>117.384</v>
      </c>
      <c r="S1019" s="186">
        <v>0.0</v>
      </c>
      <c r="T1019" s="186">
        <v>151.73</v>
      </c>
      <c r="U1019" s="187" t="s">
        <v>107</v>
      </c>
      <c r="V1019" s="176">
        <v>46089.0</v>
      </c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</row>
    <row r="1020">
      <c r="A1020" s="176">
        <v>46089.0</v>
      </c>
      <c r="B1020" s="177">
        <v>8265158.0</v>
      </c>
      <c r="C1020" s="178" t="s">
        <v>82</v>
      </c>
      <c r="D1020" s="178" t="s">
        <v>36</v>
      </c>
      <c r="E1020" s="177">
        <v>8265158.0</v>
      </c>
      <c r="F1020" s="178" t="s">
        <v>1312</v>
      </c>
      <c r="G1020" s="176">
        <v>46089.0</v>
      </c>
      <c r="H1020" s="179">
        <v>46090.0</v>
      </c>
      <c r="I1020" s="180">
        <v>1.0</v>
      </c>
      <c r="J1020" s="181" t="s">
        <v>114</v>
      </c>
      <c r="K1020" s="178" t="s">
        <v>79</v>
      </c>
      <c r="L1020" s="178" t="s">
        <v>96</v>
      </c>
      <c r="M1020" s="182">
        <v>2.0</v>
      </c>
      <c r="N1020" s="183">
        <v>0.0</v>
      </c>
      <c r="O1020" s="184">
        <v>270.0</v>
      </c>
      <c r="P1020" s="184">
        <v>267.3</v>
      </c>
      <c r="Q1020" s="185">
        <v>0.0</v>
      </c>
      <c r="R1020" s="186">
        <v>267.3</v>
      </c>
      <c r="S1020" s="186">
        <v>0.0</v>
      </c>
      <c r="T1020" s="186">
        <v>275.0</v>
      </c>
      <c r="U1020" s="187" t="s">
        <v>97</v>
      </c>
      <c r="V1020" s="176">
        <v>46089.0</v>
      </c>
      <c r="W1020" s="175"/>
      <c r="X1020" s="175"/>
      <c r="Y1020" s="175"/>
      <c r="Z1020" s="175"/>
      <c r="AA1020" s="175"/>
      <c r="AB1020" s="175"/>
      <c r="AC1020" s="175"/>
      <c r="AD1020" s="175"/>
      <c r="AE1020" s="175"/>
      <c r="AF1020" s="175"/>
      <c r="AG1020" s="175"/>
      <c r="AH1020" s="175"/>
      <c r="AI1020" s="175"/>
    </row>
    <row r="1021">
      <c r="A1021" s="176">
        <v>46089.0</v>
      </c>
      <c r="B1021" s="177">
        <v>8265168.0</v>
      </c>
      <c r="C1021" s="178" t="s">
        <v>89</v>
      </c>
      <c r="D1021" s="178" t="s">
        <v>35</v>
      </c>
      <c r="E1021" s="177">
        <v>5.507159543E9</v>
      </c>
      <c r="F1021" s="178" t="s">
        <v>1313</v>
      </c>
      <c r="G1021" s="176">
        <v>46387.20833333333</v>
      </c>
      <c r="H1021" s="179">
        <v>46394.20833333333</v>
      </c>
      <c r="I1021" s="180">
        <v>7.0</v>
      </c>
      <c r="J1021" s="181" t="s">
        <v>114</v>
      </c>
      <c r="K1021" s="178" t="s">
        <v>79</v>
      </c>
      <c r="L1021" s="178" t="s">
        <v>80</v>
      </c>
      <c r="M1021" s="182">
        <v>0.0</v>
      </c>
      <c r="N1021" s="183">
        <v>0.0</v>
      </c>
      <c r="O1021" s="184">
        <v>0.0</v>
      </c>
      <c r="P1021" s="184">
        <v>0.0</v>
      </c>
      <c r="Q1021" s="185">
        <v>0.0</v>
      </c>
      <c r="R1021" s="186">
        <v>0.0</v>
      </c>
      <c r="S1021" s="186">
        <v>0.0</v>
      </c>
      <c r="T1021" s="186">
        <v>0.0</v>
      </c>
      <c r="U1021" s="187" t="s">
        <v>1309</v>
      </c>
      <c r="V1021" s="176">
        <v>46090.0</v>
      </c>
      <c r="W1021" s="164"/>
      <c r="X1021" s="164"/>
      <c r="Y1021" s="164"/>
      <c r="Z1021" s="164"/>
      <c r="AA1021" s="164"/>
      <c r="AB1021" s="164"/>
      <c r="AC1021" s="164"/>
      <c r="AD1021" s="164"/>
      <c r="AE1021" s="164"/>
      <c r="AF1021" s="164"/>
      <c r="AG1021" s="164"/>
      <c r="AH1021" s="164"/>
      <c r="AI1021" s="164"/>
    </row>
    <row r="1022">
      <c r="A1022" s="176">
        <v>46089.0</v>
      </c>
      <c r="B1022" s="177">
        <v>8265188.0</v>
      </c>
      <c r="C1022" s="178" t="s">
        <v>82</v>
      </c>
      <c r="D1022" s="178" t="s">
        <v>35</v>
      </c>
      <c r="E1022" s="177">
        <v>6.331500188E9</v>
      </c>
      <c r="F1022" s="178" t="s">
        <v>1314</v>
      </c>
      <c r="G1022" s="176">
        <v>46306.20833333333</v>
      </c>
      <c r="H1022" s="179">
        <v>46308.20833333333</v>
      </c>
      <c r="I1022" s="180">
        <v>2.0</v>
      </c>
      <c r="J1022" s="181" t="s">
        <v>78</v>
      </c>
      <c r="K1022" s="178" t="s">
        <v>79</v>
      </c>
      <c r="L1022" s="178" t="s">
        <v>80</v>
      </c>
      <c r="M1022" s="182">
        <v>2.0</v>
      </c>
      <c r="N1022" s="183">
        <v>0.19999999999999996</v>
      </c>
      <c r="O1022" s="184">
        <v>140.54</v>
      </c>
      <c r="P1022" s="184">
        <v>112.432</v>
      </c>
      <c r="Q1022" s="185">
        <v>0.0</v>
      </c>
      <c r="R1022" s="186">
        <v>224.864</v>
      </c>
      <c r="S1022" s="186">
        <v>0.0</v>
      </c>
      <c r="T1022" s="186">
        <v>291.08</v>
      </c>
      <c r="U1022" s="187" t="s">
        <v>107</v>
      </c>
      <c r="V1022" s="176">
        <v>46089.0</v>
      </c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</row>
    <row r="1023">
      <c r="A1023" s="176">
        <v>46089.0</v>
      </c>
      <c r="B1023" s="177">
        <v>8265502.0</v>
      </c>
      <c r="C1023" s="178" t="s">
        <v>82</v>
      </c>
      <c r="D1023" s="178" t="s">
        <v>35</v>
      </c>
      <c r="E1023" s="177">
        <v>5.191793899E9</v>
      </c>
      <c r="F1023" s="178" t="s">
        <v>1315</v>
      </c>
      <c r="G1023" s="176">
        <v>46112.0</v>
      </c>
      <c r="H1023" s="179">
        <v>46113.0</v>
      </c>
      <c r="I1023" s="180">
        <v>1.0</v>
      </c>
      <c r="J1023" s="181" t="s">
        <v>114</v>
      </c>
      <c r="K1023" s="178" t="s">
        <v>79</v>
      </c>
      <c r="L1023" s="178" t="s">
        <v>80</v>
      </c>
      <c r="M1023" s="182">
        <v>2.0</v>
      </c>
      <c r="N1023" s="183">
        <v>0.19999999999999996</v>
      </c>
      <c r="O1023" s="184">
        <v>232.2</v>
      </c>
      <c r="P1023" s="184">
        <v>185.76</v>
      </c>
      <c r="Q1023" s="185">
        <v>0.0</v>
      </c>
      <c r="R1023" s="186">
        <v>185.76</v>
      </c>
      <c r="S1023" s="186">
        <v>0.0</v>
      </c>
      <c r="T1023" s="186">
        <v>237.2</v>
      </c>
      <c r="U1023" s="187" t="s">
        <v>316</v>
      </c>
      <c r="V1023" s="176">
        <v>46089.0</v>
      </c>
      <c r="W1023" s="175"/>
      <c r="X1023" s="175"/>
      <c r="Y1023" s="175"/>
      <c r="Z1023" s="175"/>
      <c r="AA1023" s="175"/>
      <c r="AB1023" s="175"/>
      <c r="AC1023" s="175"/>
      <c r="AD1023" s="175"/>
      <c r="AE1023" s="175"/>
      <c r="AF1023" s="175"/>
      <c r="AG1023" s="175"/>
      <c r="AH1023" s="175"/>
      <c r="AI1023" s="175"/>
    </row>
    <row r="1024">
      <c r="A1024" s="176">
        <v>46089.0</v>
      </c>
      <c r="B1024" s="177">
        <v>8265917.0</v>
      </c>
      <c r="C1024" s="178" t="s">
        <v>82</v>
      </c>
      <c r="D1024" s="178" t="s">
        <v>35</v>
      </c>
      <c r="E1024" s="177">
        <v>5.684668472E9</v>
      </c>
      <c r="F1024" s="178" t="s">
        <v>1316</v>
      </c>
      <c r="G1024" s="176">
        <v>46143.0</v>
      </c>
      <c r="H1024" s="179">
        <v>46146.0</v>
      </c>
      <c r="I1024" s="180">
        <v>3.0</v>
      </c>
      <c r="J1024" s="181" t="s">
        <v>78</v>
      </c>
      <c r="K1024" s="178" t="s">
        <v>79</v>
      </c>
      <c r="L1024" s="178" t="s">
        <v>80</v>
      </c>
      <c r="M1024" s="182">
        <v>3.0</v>
      </c>
      <c r="N1024" s="183">
        <v>0.19999999999999996</v>
      </c>
      <c r="O1024" s="184">
        <v>161.70000000000002</v>
      </c>
      <c r="P1024" s="184">
        <v>129.36</v>
      </c>
      <c r="Q1024" s="185">
        <v>0.0</v>
      </c>
      <c r="R1024" s="186">
        <v>388.08000000000004</v>
      </c>
      <c r="S1024" s="186">
        <v>0.0</v>
      </c>
      <c r="T1024" s="186">
        <v>485.1</v>
      </c>
      <c r="U1024" s="187" t="s">
        <v>107</v>
      </c>
      <c r="V1024" s="176">
        <v>46089.0</v>
      </c>
      <c r="W1024" s="175"/>
      <c r="X1024" s="175"/>
      <c r="Y1024" s="175"/>
      <c r="Z1024" s="175"/>
      <c r="AA1024" s="175"/>
      <c r="AB1024" s="175"/>
      <c r="AC1024" s="175"/>
      <c r="AD1024" s="175"/>
      <c r="AE1024" s="175"/>
      <c r="AF1024" s="175"/>
      <c r="AG1024" s="175"/>
      <c r="AH1024" s="175"/>
      <c r="AI1024" s="175"/>
    </row>
    <row r="1025">
      <c r="A1025" s="176">
        <v>46090.0</v>
      </c>
      <c r="B1025" s="177">
        <v>8267207.0</v>
      </c>
      <c r="C1025" s="178" t="s">
        <v>82</v>
      </c>
      <c r="D1025" s="178" t="s">
        <v>35</v>
      </c>
      <c r="E1025" s="177">
        <v>5.363829583E9</v>
      </c>
      <c r="F1025" s="178" t="s">
        <v>1313</v>
      </c>
      <c r="G1025" s="176">
        <v>46388.20833333333</v>
      </c>
      <c r="H1025" s="179">
        <v>46394.20833333333</v>
      </c>
      <c r="I1025" s="180">
        <v>6.0</v>
      </c>
      <c r="J1025" s="181" t="s">
        <v>114</v>
      </c>
      <c r="K1025" s="178" t="s">
        <v>79</v>
      </c>
      <c r="L1025" s="178" t="s">
        <v>80</v>
      </c>
      <c r="M1025" s="182">
        <v>2.0</v>
      </c>
      <c r="N1025" s="183">
        <v>0.19999999999999996</v>
      </c>
      <c r="O1025" s="184">
        <v>275.04</v>
      </c>
      <c r="P1025" s="184">
        <v>220.03200000000004</v>
      </c>
      <c r="Q1025" s="185">
        <v>0.0</v>
      </c>
      <c r="R1025" s="186">
        <v>1320.1920000000002</v>
      </c>
      <c r="S1025" s="186">
        <v>0.0</v>
      </c>
      <c r="T1025" s="186">
        <v>1680.24</v>
      </c>
      <c r="U1025" s="187" t="s">
        <v>353</v>
      </c>
      <c r="V1025" s="176">
        <v>46090.0</v>
      </c>
      <c r="W1025" s="175"/>
      <c r="X1025" s="175"/>
      <c r="Y1025" s="175"/>
      <c r="Z1025" s="175"/>
      <c r="AA1025" s="175"/>
      <c r="AB1025" s="175"/>
      <c r="AC1025" s="175"/>
      <c r="AD1025" s="175"/>
      <c r="AE1025" s="175"/>
      <c r="AF1025" s="175"/>
      <c r="AG1025" s="175"/>
      <c r="AH1025" s="175"/>
      <c r="AI1025" s="175"/>
    </row>
    <row r="1026">
      <c r="A1026" s="176">
        <v>46090.0</v>
      </c>
      <c r="B1026" s="177">
        <v>8268599.0</v>
      </c>
      <c r="C1026" s="178" t="s">
        <v>89</v>
      </c>
      <c r="D1026" s="178" t="s">
        <v>35</v>
      </c>
      <c r="E1026" s="177">
        <v>5.096194328E9</v>
      </c>
      <c r="F1026" s="178" t="s">
        <v>1317</v>
      </c>
      <c r="G1026" s="176">
        <v>46189.0</v>
      </c>
      <c r="H1026" s="179">
        <v>46192.0</v>
      </c>
      <c r="I1026" s="180">
        <v>3.0</v>
      </c>
      <c r="J1026" s="181" t="s">
        <v>114</v>
      </c>
      <c r="K1026" s="178" t="s">
        <v>79</v>
      </c>
      <c r="L1026" s="178" t="s">
        <v>80</v>
      </c>
      <c r="M1026" s="182">
        <v>0.0</v>
      </c>
      <c r="N1026" s="183">
        <v>0.0</v>
      </c>
      <c r="O1026" s="184">
        <v>0.0</v>
      </c>
      <c r="P1026" s="184">
        <v>0.0</v>
      </c>
      <c r="Q1026" s="185">
        <v>0.0</v>
      </c>
      <c r="R1026" s="186">
        <v>0.0</v>
      </c>
      <c r="S1026" s="186">
        <v>0.0</v>
      </c>
      <c r="T1026" s="186">
        <v>0.0</v>
      </c>
      <c r="U1026" s="187" t="s">
        <v>1318</v>
      </c>
      <c r="V1026" s="176">
        <v>46093.0</v>
      </c>
      <c r="W1026" s="175"/>
      <c r="X1026" s="175"/>
      <c r="Y1026" s="175"/>
      <c r="Z1026" s="175"/>
      <c r="AA1026" s="175"/>
      <c r="AB1026" s="175"/>
      <c r="AC1026" s="175"/>
      <c r="AD1026" s="175"/>
      <c r="AE1026" s="175"/>
      <c r="AF1026" s="175"/>
      <c r="AG1026" s="175"/>
      <c r="AH1026" s="175"/>
      <c r="AI1026" s="175"/>
    </row>
    <row r="1027">
      <c r="A1027" s="176">
        <v>46090.0</v>
      </c>
      <c r="B1027" s="177">
        <v>8269170.0</v>
      </c>
      <c r="C1027" s="178" t="s">
        <v>82</v>
      </c>
      <c r="D1027" s="178" t="s">
        <v>35</v>
      </c>
      <c r="E1027" s="177">
        <v>5.588595998E9</v>
      </c>
      <c r="F1027" s="178" t="s">
        <v>1319</v>
      </c>
      <c r="G1027" s="176">
        <v>46340.20833333333</v>
      </c>
      <c r="H1027" s="179">
        <v>46343.20833333333</v>
      </c>
      <c r="I1027" s="180">
        <v>3.0</v>
      </c>
      <c r="J1027" s="181" t="s">
        <v>91</v>
      </c>
      <c r="K1027" s="178" t="s">
        <v>79</v>
      </c>
      <c r="L1027" s="178" t="s">
        <v>80</v>
      </c>
      <c r="M1027" s="182">
        <v>3.0</v>
      </c>
      <c r="N1027" s="183">
        <v>0.19999999999999996</v>
      </c>
      <c r="O1027" s="184">
        <v>424.73</v>
      </c>
      <c r="P1027" s="184">
        <v>339.78400000000005</v>
      </c>
      <c r="Q1027" s="185">
        <v>0.0</v>
      </c>
      <c r="R1027" s="186">
        <v>1019.3520000000001</v>
      </c>
      <c r="S1027" s="186">
        <v>0.0</v>
      </c>
      <c r="T1027" s="186">
        <v>1296.69</v>
      </c>
      <c r="U1027" s="187" t="s">
        <v>740</v>
      </c>
      <c r="V1027" s="176">
        <v>46090.0</v>
      </c>
      <c r="W1027" s="175"/>
      <c r="X1027" s="175"/>
      <c r="Y1027" s="175"/>
      <c r="Z1027" s="175"/>
      <c r="AA1027" s="175"/>
      <c r="AB1027" s="175"/>
      <c r="AC1027" s="175"/>
      <c r="AD1027" s="175"/>
      <c r="AE1027" s="175"/>
      <c r="AF1027" s="175"/>
      <c r="AG1027" s="175"/>
      <c r="AH1027" s="175"/>
      <c r="AI1027" s="175"/>
    </row>
    <row r="1028">
      <c r="A1028" s="176">
        <v>46090.0</v>
      </c>
      <c r="B1028" s="177">
        <v>8269181.0</v>
      </c>
      <c r="C1028" s="178" t="s">
        <v>82</v>
      </c>
      <c r="D1028" s="178" t="s">
        <v>35</v>
      </c>
      <c r="E1028" s="177">
        <v>5.753363517E9</v>
      </c>
      <c r="F1028" s="178" t="s">
        <v>1319</v>
      </c>
      <c r="G1028" s="176">
        <v>46342.20833333333</v>
      </c>
      <c r="H1028" s="179">
        <v>46343.20833333333</v>
      </c>
      <c r="I1028" s="180">
        <v>1.0</v>
      </c>
      <c r="J1028" s="181" t="s">
        <v>78</v>
      </c>
      <c r="K1028" s="178" t="s">
        <v>79</v>
      </c>
      <c r="L1028" s="178" t="s">
        <v>80</v>
      </c>
      <c r="M1028" s="182">
        <v>2.0</v>
      </c>
      <c r="N1028" s="183">
        <v>0.19999999999999996</v>
      </c>
      <c r="O1028" s="184">
        <v>170.14</v>
      </c>
      <c r="P1028" s="184">
        <v>136.112</v>
      </c>
      <c r="Q1028" s="185">
        <v>0.0</v>
      </c>
      <c r="R1028" s="186">
        <v>136.112</v>
      </c>
      <c r="S1028" s="186">
        <v>0.0</v>
      </c>
      <c r="T1028" s="186">
        <v>175.14</v>
      </c>
      <c r="U1028" s="187" t="s">
        <v>740</v>
      </c>
      <c r="V1028" s="176">
        <v>46090.0</v>
      </c>
      <c r="W1028" s="164"/>
      <c r="X1028" s="164"/>
      <c r="Y1028" s="164"/>
      <c r="Z1028" s="164"/>
      <c r="AA1028" s="164"/>
      <c r="AB1028" s="164"/>
      <c r="AC1028" s="164"/>
      <c r="AD1028" s="164"/>
      <c r="AE1028" s="164"/>
      <c r="AF1028" s="164"/>
      <c r="AG1028" s="164"/>
      <c r="AH1028" s="164"/>
      <c r="AI1028" s="164"/>
    </row>
    <row r="1029">
      <c r="A1029" s="176">
        <v>46090.0</v>
      </c>
      <c r="B1029" s="177">
        <v>8269873.0</v>
      </c>
      <c r="C1029" s="178" t="s">
        <v>82</v>
      </c>
      <c r="D1029" s="178" t="s">
        <v>35</v>
      </c>
      <c r="E1029" s="177">
        <v>5.552975715E9</v>
      </c>
      <c r="F1029" s="178" t="s">
        <v>1320</v>
      </c>
      <c r="G1029" s="176">
        <v>46102.0</v>
      </c>
      <c r="H1029" s="179">
        <v>46104.0</v>
      </c>
      <c r="I1029" s="180">
        <v>2.0</v>
      </c>
      <c r="J1029" s="181" t="s">
        <v>114</v>
      </c>
      <c r="K1029" s="178" t="s">
        <v>79</v>
      </c>
      <c r="L1029" s="178" t="s">
        <v>80</v>
      </c>
      <c r="M1029" s="182">
        <v>2.0</v>
      </c>
      <c r="N1029" s="183">
        <v>0.19999999999999996</v>
      </c>
      <c r="O1029" s="184">
        <v>215.25</v>
      </c>
      <c r="P1029" s="184">
        <v>172.20000000000002</v>
      </c>
      <c r="Q1029" s="185">
        <v>0.0</v>
      </c>
      <c r="R1029" s="186">
        <v>344.40000000000003</v>
      </c>
      <c r="S1029" s="186">
        <v>0.0</v>
      </c>
      <c r="T1029" s="186">
        <v>440.5</v>
      </c>
      <c r="U1029" s="187" t="s">
        <v>183</v>
      </c>
      <c r="V1029" s="176">
        <v>46090.0</v>
      </c>
      <c r="W1029" s="175"/>
      <c r="X1029" s="175"/>
      <c r="Y1029" s="175"/>
      <c r="Z1029" s="175"/>
      <c r="AA1029" s="175"/>
      <c r="AB1029" s="175"/>
      <c r="AC1029" s="175"/>
      <c r="AD1029" s="175"/>
      <c r="AE1029" s="175"/>
      <c r="AF1029" s="175"/>
      <c r="AG1029" s="175"/>
      <c r="AH1029" s="175"/>
      <c r="AI1029" s="175"/>
    </row>
    <row r="1030">
      <c r="A1030" s="176">
        <v>46091.0</v>
      </c>
      <c r="B1030" s="177">
        <v>8271957.0</v>
      </c>
      <c r="C1030" s="178" t="s">
        <v>82</v>
      </c>
      <c r="D1030" s="178" t="s">
        <v>35</v>
      </c>
      <c r="E1030" s="177">
        <v>6.003758332E9</v>
      </c>
      <c r="F1030" s="178" t="s">
        <v>1321</v>
      </c>
      <c r="G1030" s="176">
        <v>46102.0</v>
      </c>
      <c r="H1030" s="179">
        <v>46106.0</v>
      </c>
      <c r="I1030" s="180">
        <v>4.0</v>
      </c>
      <c r="J1030" s="181" t="s">
        <v>91</v>
      </c>
      <c r="K1030" s="178" t="s">
        <v>79</v>
      </c>
      <c r="L1030" s="178" t="s">
        <v>80</v>
      </c>
      <c r="M1030" s="182">
        <v>3.0</v>
      </c>
      <c r="N1030" s="183">
        <v>0.19999999999999996</v>
      </c>
      <c r="O1030" s="184">
        <v>425.22</v>
      </c>
      <c r="P1030" s="184">
        <v>340.17600000000004</v>
      </c>
      <c r="Q1030" s="185">
        <v>0.0</v>
      </c>
      <c r="R1030" s="186">
        <v>1360.7040000000002</v>
      </c>
      <c r="S1030" s="186">
        <v>0.0</v>
      </c>
      <c r="T1030" s="186">
        <v>1730.88</v>
      </c>
      <c r="U1030" s="187" t="s">
        <v>183</v>
      </c>
      <c r="V1030" s="176">
        <v>46091.0</v>
      </c>
      <c r="W1030" s="188"/>
      <c r="X1030" s="188"/>
      <c r="Y1030" s="188"/>
      <c r="Z1030" s="188"/>
      <c r="AA1030" s="188"/>
      <c r="AB1030" s="188"/>
      <c r="AC1030" s="188"/>
      <c r="AD1030" s="188"/>
      <c r="AE1030" s="188"/>
      <c r="AF1030" s="188"/>
      <c r="AG1030" s="188"/>
      <c r="AH1030" s="188"/>
      <c r="AI1030" s="188"/>
    </row>
    <row r="1031">
      <c r="A1031" s="176">
        <v>46093.0</v>
      </c>
      <c r="B1031" s="177">
        <v>8278708.0</v>
      </c>
      <c r="C1031" s="178" t="s">
        <v>82</v>
      </c>
      <c r="D1031" s="178" t="s">
        <v>35</v>
      </c>
      <c r="E1031" s="177">
        <v>6.630576389E9</v>
      </c>
      <c r="F1031" s="178" t="s">
        <v>1322</v>
      </c>
      <c r="G1031" s="176">
        <v>46094.0</v>
      </c>
      <c r="H1031" s="179">
        <v>46096.0</v>
      </c>
      <c r="I1031" s="180">
        <v>2.0</v>
      </c>
      <c r="J1031" s="181" t="s">
        <v>91</v>
      </c>
      <c r="K1031" s="178" t="s">
        <v>79</v>
      </c>
      <c r="L1031" s="178" t="s">
        <v>80</v>
      </c>
      <c r="M1031" s="182">
        <v>2.0</v>
      </c>
      <c r="N1031" s="183">
        <v>0.19999999999999996</v>
      </c>
      <c r="O1031" s="184">
        <v>443.82</v>
      </c>
      <c r="P1031" s="184">
        <v>355.05600000000004</v>
      </c>
      <c r="Q1031" s="185">
        <v>0.0</v>
      </c>
      <c r="R1031" s="186">
        <v>710.1120000000001</v>
      </c>
      <c r="S1031" s="186">
        <v>0.0</v>
      </c>
      <c r="T1031" s="186">
        <v>897.64</v>
      </c>
      <c r="U1031" s="187" t="s">
        <v>183</v>
      </c>
      <c r="V1031" s="176">
        <v>46093.0</v>
      </c>
      <c r="W1031" s="164"/>
      <c r="X1031" s="164"/>
      <c r="Y1031" s="164"/>
      <c r="Z1031" s="164"/>
      <c r="AA1031" s="164"/>
      <c r="AB1031" s="164"/>
      <c r="AC1031" s="164"/>
      <c r="AD1031" s="164"/>
      <c r="AE1031" s="164"/>
      <c r="AF1031" s="164"/>
      <c r="AG1031" s="164"/>
      <c r="AH1031" s="164"/>
      <c r="AI1031" s="164"/>
    </row>
    <row r="1032">
      <c r="A1032" s="176">
        <v>46093.0</v>
      </c>
      <c r="B1032" s="177">
        <v>8280224.0</v>
      </c>
      <c r="C1032" s="178" t="s">
        <v>82</v>
      </c>
      <c r="D1032" s="178" t="s">
        <v>94</v>
      </c>
      <c r="E1032" s="177">
        <v>8280224.0</v>
      </c>
      <c r="F1032" s="178" t="s">
        <v>1323</v>
      </c>
      <c r="G1032" s="176">
        <v>46094.0</v>
      </c>
      <c r="H1032" s="179">
        <v>46095.0</v>
      </c>
      <c r="I1032" s="180">
        <v>1.0</v>
      </c>
      <c r="J1032" s="181" t="s">
        <v>114</v>
      </c>
      <c r="K1032" s="178" t="s">
        <v>79</v>
      </c>
      <c r="L1032" s="178" t="s">
        <v>96</v>
      </c>
      <c r="M1032" s="182">
        <v>2.0</v>
      </c>
      <c r="N1032" s="183">
        <v>0.0</v>
      </c>
      <c r="O1032" s="184">
        <v>270.0</v>
      </c>
      <c r="P1032" s="184">
        <v>270.0</v>
      </c>
      <c r="Q1032" s="185">
        <v>0.0</v>
      </c>
      <c r="R1032" s="186">
        <v>270.0</v>
      </c>
      <c r="S1032" s="186">
        <v>0.0</v>
      </c>
      <c r="T1032" s="186">
        <v>275.0</v>
      </c>
      <c r="U1032" s="187" t="s">
        <v>97</v>
      </c>
      <c r="V1032" s="176">
        <v>46093.0</v>
      </c>
      <c r="W1032" s="164"/>
      <c r="X1032" s="164"/>
      <c r="Y1032" s="164"/>
      <c r="Z1032" s="164"/>
      <c r="AA1032" s="164"/>
      <c r="AB1032" s="164"/>
      <c r="AC1032" s="164"/>
      <c r="AD1032" s="164"/>
      <c r="AE1032" s="164"/>
      <c r="AF1032" s="164"/>
      <c r="AG1032" s="164"/>
      <c r="AH1032" s="164"/>
      <c r="AI1032" s="164"/>
    </row>
    <row r="1033">
      <c r="A1033" s="176">
        <v>46093.0</v>
      </c>
      <c r="B1033" s="177">
        <v>8281224.0</v>
      </c>
      <c r="C1033" s="178" t="s">
        <v>82</v>
      </c>
      <c r="D1033" s="178" t="s">
        <v>35</v>
      </c>
      <c r="E1033" s="177">
        <v>5.581661068E9</v>
      </c>
      <c r="F1033" s="178" t="s">
        <v>1324</v>
      </c>
      <c r="G1033" s="176">
        <v>46117.0</v>
      </c>
      <c r="H1033" s="179">
        <v>46121.0</v>
      </c>
      <c r="I1033" s="180">
        <v>4.0</v>
      </c>
      <c r="J1033" s="181" t="s">
        <v>91</v>
      </c>
      <c r="K1033" s="178" t="s">
        <v>79</v>
      </c>
      <c r="L1033" s="178" t="s">
        <v>80</v>
      </c>
      <c r="M1033" s="182">
        <v>4.0</v>
      </c>
      <c r="N1033" s="183">
        <v>0.19999999999999996</v>
      </c>
      <c r="O1033" s="184">
        <v>502.72</v>
      </c>
      <c r="P1033" s="184">
        <v>402.17600000000004</v>
      </c>
      <c r="Q1033" s="185">
        <v>0.0</v>
      </c>
      <c r="R1033" s="186">
        <v>1608.7040000000002</v>
      </c>
      <c r="S1033" s="186">
        <v>0.0</v>
      </c>
      <c r="T1033" s="186">
        <v>2050.88</v>
      </c>
      <c r="U1033" s="187" t="s">
        <v>143</v>
      </c>
      <c r="V1033" s="176">
        <v>46093.0</v>
      </c>
      <c r="W1033" s="175"/>
      <c r="X1033" s="175"/>
      <c r="Y1033" s="175"/>
      <c r="Z1033" s="175"/>
      <c r="AA1033" s="175"/>
      <c r="AB1033" s="175"/>
      <c r="AC1033" s="175"/>
      <c r="AD1033" s="175"/>
      <c r="AE1033" s="175"/>
      <c r="AF1033" s="175"/>
      <c r="AG1033" s="175"/>
      <c r="AH1033" s="175"/>
      <c r="AI1033" s="175"/>
    </row>
    <row r="1034">
      <c r="A1034" s="176">
        <v>46094.0</v>
      </c>
      <c r="B1034" s="177">
        <v>8281943.0</v>
      </c>
      <c r="C1034" s="178" t="s">
        <v>82</v>
      </c>
      <c r="D1034" s="178" t="s">
        <v>12</v>
      </c>
      <c r="E1034" s="177" t="s">
        <v>1325</v>
      </c>
      <c r="F1034" s="178" t="s">
        <v>1326</v>
      </c>
      <c r="G1034" s="176">
        <v>46134.0</v>
      </c>
      <c r="H1034" s="179">
        <v>46135.0</v>
      </c>
      <c r="I1034" s="180">
        <v>1.0</v>
      </c>
      <c r="J1034" s="181" t="s">
        <v>1016</v>
      </c>
      <c r="K1034" s="178" t="s">
        <v>79</v>
      </c>
      <c r="L1034" s="178" t="s">
        <v>123</v>
      </c>
      <c r="M1034" s="182">
        <v>3.0</v>
      </c>
      <c r="N1034" s="183">
        <v>0.0</v>
      </c>
      <c r="O1034" s="184">
        <v>229.5</v>
      </c>
      <c r="P1034" s="184">
        <v>183.60000000000002</v>
      </c>
      <c r="Q1034" s="185">
        <v>0.0</v>
      </c>
      <c r="R1034" s="186">
        <v>183.60000000000002</v>
      </c>
      <c r="S1034" s="186">
        <v>0.0</v>
      </c>
      <c r="T1034" s="186" t="s">
        <v>127</v>
      </c>
      <c r="U1034" s="187" t="s">
        <v>1327</v>
      </c>
      <c r="V1034" s="176">
        <v>46094.0</v>
      </c>
      <c r="W1034" s="188"/>
      <c r="X1034" s="188"/>
      <c r="Y1034" s="188"/>
      <c r="Z1034" s="188"/>
      <c r="AA1034" s="188"/>
      <c r="AB1034" s="188"/>
      <c r="AC1034" s="188"/>
      <c r="AD1034" s="188"/>
      <c r="AE1034" s="188"/>
      <c r="AF1034" s="188"/>
      <c r="AG1034" s="188"/>
      <c r="AH1034" s="188"/>
      <c r="AI1034" s="188"/>
    </row>
    <row r="1035">
      <c r="A1035" s="154">
        <v>46094.0</v>
      </c>
      <c r="B1035" s="155">
        <v>8282960.0</v>
      </c>
      <c r="C1035" s="156" t="s">
        <v>82</v>
      </c>
      <c r="D1035" s="156" t="s">
        <v>35</v>
      </c>
      <c r="E1035" s="155">
        <v>5.581616918E9</v>
      </c>
      <c r="F1035" s="156" t="s">
        <v>1328</v>
      </c>
      <c r="G1035" s="154">
        <v>46143.0</v>
      </c>
      <c r="H1035" s="157">
        <v>46144.0</v>
      </c>
      <c r="I1035" s="158">
        <v>1.0</v>
      </c>
      <c r="J1035" s="159" t="s">
        <v>78</v>
      </c>
      <c r="K1035" s="156" t="s">
        <v>79</v>
      </c>
      <c r="L1035" s="156" t="s">
        <v>80</v>
      </c>
      <c r="M1035" s="202">
        <v>2.0</v>
      </c>
      <c r="N1035" s="160">
        <v>0.19999999999999996</v>
      </c>
      <c r="O1035" s="161">
        <v>163.03</v>
      </c>
      <c r="P1035" s="161">
        <v>130.424</v>
      </c>
      <c r="Q1035" s="203">
        <v>0.0</v>
      </c>
      <c r="R1035" s="162">
        <v>130.424</v>
      </c>
      <c r="S1035" s="162">
        <v>0.0</v>
      </c>
      <c r="T1035" s="162">
        <v>168.03</v>
      </c>
      <c r="U1035" s="163" t="s">
        <v>107</v>
      </c>
      <c r="V1035" s="154">
        <v>46094.0</v>
      </c>
      <c r="W1035" s="164"/>
      <c r="X1035" s="164"/>
      <c r="Y1035" s="164"/>
      <c r="Z1035" s="164"/>
      <c r="AA1035" s="164"/>
      <c r="AB1035" s="164"/>
      <c r="AC1035" s="164"/>
      <c r="AD1035" s="164"/>
      <c r="AE1035" s="164"/>
      <c r="AF1035" s="164"/>
      <c r="AG1035" s="164"/>
      <c r="AH1035" s="164"/>
      <c r="AI1035" s="164"/>
    </row>
    <row r="1036">
      <c r="A1036" s="176">
        <v>46094.0</v>
      </c>
      <c r="B1036" s="177">
        <v>8284043.0</v>
      </c>
      <c r="C1036" s="178" t="s">
        <v>82</v>
      </c>
      <c r="D1036" s="178" t="s">
        <v>35</v>
      </c>
      <c r="E1036" s="177">
        <v>6.536607499E9</v>
      </c>
      <c r="F1036" s="178" t="s">
        <v>1329</v>
      </c>
      <c r="G1036" s="176">
        <v>46202.0</v>
      </c>
      <c r="H1036" s="179">
        <v>46205.0</v>
      </c>
      <c r="I1036" s="180">
        <v>3.0</v>
      </c>
      <c r="J1036" s="181" t="s">
        <v>78</v>
      </c>
      <c r="K1036" s="178" t="s">
        <v>79</v>
      </c>
      <c r="L1036" s="178" t="s">
        <v>80</v>
      </c>
      <c r="M1036" s="182">
        <v>2.0</v>
      </c>
      <c r="N1036" s="183">
        <v>0.19999999999999996</v>
      </c>
      <c r="O1036" s="184">
        <v>117.83</v>
      </c>
      <c r="P1036" s="184">
        <v>94.26400000000001</v>
      </c>
      <c r="Q1036" s="185">
        <v>0.0</v>
      </c>
      <c r="R1036" s="186">
        <v>282.79200000000003</v>
      </c>
      <c r="S1036" s="186">
        <v>0.0</v>
      </c>
      <c r="T1036" s="186">
        <v>368.49</v>
      </c>
      <c r="U1036" s="187" t="s">
        <v>161</v>
      </c>
      <c r="V1036" s="176">
        <v>46094.0</v>
      </c>
      <c r="W1036" s="175"/>
      <c r="X1036" s="175"/>
      <c r="Y1036" s="175"/>
      <c r="Z1036" s="175"/>
      <c r="AA1036" s="175"/>
      <c r="AB1036" s="175"/>
      <c r="AC1036" s="175"/>
      <c r="AD1036" s="175"/>
      <c r="AE1036" s="175"/>
      <c r="AF1036" s="175"/>
      <c r="AG1036" s="175"/>
      <c r="AH1036" s="175"/>
      <c r="AI1036" s="175"/>
    </row>
    <row r="1037">
      <c r="A1037" s="176">
        <v>46094.0</v>
      </c>
      <c r="B1037" s="177">
        <v>8284322.0</v>
      </c>
      <c r="C1037" s="178" t="s">
        <v>89</v>
      </c>
      <c r="D1037" s="178" t="s">
        <v>35</v>
      </c>
      <c r="E1037" s="177">
        <v>5.245873057E9</v>
      </c>
      <c r="F1037" s="178" t="s">
        <v>1330</v>
      </c>
      <c r="G1037" s="176">
        <v>46098.0</v>
      </c>
      <c r="H1037" s="179">
        <v>46102.0</v>
      </c>
      <c r="I1037" s="180">
        <v>4.0</v>
      </c>
      <c r="J1037" s="181" t="s">
        <v>91</v>
      </c>
      <c r="K1037" s="178" t="s">
        <v>79</v>
      </c>
      <c r="L1037" s="178" t="s">
        <v>80</v>
      </c>
      <c r="M1037" s="182">
        <v>0.0</v>
      </c>
      <c r="N1037" s="183">
        <v>0.0</v>
      </c>
      <c r="O1037" s="184">
        <v>0.0</v>
      </c>
      <c r="P1037" s="184">
        <v>0.0</v>
      </c>
      <c r="Q1037" s="185">
        <v>0.0</v>
      </c>
      <c r="R1037" s="186">
        <v>0.0</v>
      </c>
      <c r="S1037" s="186">
        <v>0.0</v>
      </c>
      <c r="T1037" s="186">
        <v>0.0</v>
      </c>
      <c r="U1037" s="187" t="s">
        <v>1331</v>
      </c>
      <c r="V1037" s="176">
        <v>46095.0</v>
      </c>
      <c r="W1037" s="188"/>
      <c r="X1037" s="188"/>
      <c r="Y1037" s="188"/>
      <c r="Z1037" s="188"/>
      <c r="AA1037" s="188"/>
      <c r="AB1037" s="188"/>
      <c r="AC1037" s="188"/>
      <c r="AD1037" s="188"/>
      <c r="AE1037" s="188"/>
      <c r="AF1037" s="188"/>
      <c r="AG1037" s="188"/>
      <c r="AH1037" s="188"/>
      <c r="AI1037" s="188"/>
    </row>
    <row r="1038">
      <c r="A1038" s="176">
        <v>46094.0</v>
      </c>
      <c r="B1038" s="177">
        <v>8285079.0</v>
      </c>
      <c r="C1038" s="178" t="s">
        <v>82</v>
      </c>
      <c r="D1038" s="178" t="s">
        <v>101</v>
      </c>
      <c r="E1038" s="177">
        <v>2.4144933E9</v>
      </c>
      <c r="F1038" s="178" t="s">
        <v>1332</v>
      </c>
      <c r="G1038" s="176">
        <v>46095.0</v>
      </c>
      <c r="H1038" s="179">
        <v>46097.0</v>
      </c>
      <c r="I1038" s="180">
        <v>2.0</v>
      </c>
      <c r="J1038" s="181" t="s">
        <v>114</v>
      </c>
      <c r="K1038" s="178"/>
      <c r="L1038" s="178"/>
      <c r="M1038" s="182">
        <v>3.0</v>
      </c>
      <c r="N1038" s="183">
        <v>0.0</v>
      </c>
      <c r="O1038" s="184">
        <v>0.0</v>
      </c>
      <c r="P1038" s="184">
        <v>0.0</v>
      </c>
      <c r="Q1038" s="185">
        <v>0.0</v>
      </c>
      <c r="R1038" s="186">
        <v>0.0</v>
      </c>
      <c r="S1038" s="186">
        <v>0.0</v>
      </c>
      <c r="T1038" s="186">
        <v>0.0</v>
      </c>
      <c r="U1038" s="187" t="s">
        <v>1333</v>
      </c>
      <c r="V1038" s="176">
        <v>46094.0</v>
      </c>
      <c r="W1038" s="175"/>
      <c r="X1038" s="175"/>
      <c r="Y1038" s="175"/>
      <c r="Z1038" s="175"/>
      <c r="AA1038" s="175"/>
      <c r="AB1038" s="175"/>
      <c r="AC1038" s="175"/>
      <c r="AD1038" s="175"/>
      <c r="AE1038" s="175"/>
      <c r="AF1038" s="175"/>
      <c r="AG1038" s="175"/>
      <c r="AH1038" s="175"/>
      <c r="AI1038" s="175"/>
    </row>
    <row r="1039">
      <c r="A1039" s="176">
        <v>46095.0</v>
      </c>
      <c r="B1039" s="177">
        <v>8285411.0</v>
      </c>
      <c r="C1039" s="178" t="s">
        <v>82</v>
      </c>
      <c r="D1039" s="178" t="s">
        <v>109</v>
      </c>
      <c r="E1039" s="177">
        <v>6.37869315E8</v>
      </c>
      <c r="F1039" s="178" t="s">
        <v>1334</v>
      </c>
      <c r="G1039" s="176">
        <v>46127.0</v>
      </c>
      <c r="H1039" s="179">
        <v>46128.0</v>
      </c>
      <c r="I1039" s="180">
        <v>1.0</v>
      </c>
      <c r="J1039" s="181" t="s">
        <v>78</v>
      </c>
      <c r="K1039" s="178" t="s">
        <v>79</v>
      </c>
      <c r="L1039" s="178" t="s">
        <v>96</v>
      </c>
      <c r="M1039" s="182">
        <v>2.0</v>
      </c>
      <c r="N1039" s="183">
        <v>0.19999999999999996</v>
      </c>
      <c r="O1039" s="184">
        <v>212.29</v>
      </c>
      <c r="P1039" s="184">
        <v>169.832</v>
      </c>
      <c r="Q1039" s="185">
        <v>0.0</v>
      </c>
      <c r="R1039" s="186">
        <v>169.832</v>
      </c>
      <c r="S1039" s="186">
        <v>0.0</v>
      </c>
      <c r="T1039" s="186">
        <v>212.29</v>
      </c>
      <c r="U1039" s="187" t="s">
        <v>112</v>
      </c>
      <c r="V1039" s="176">
        <v>46095.0</v>
      </c>
      <c r="W1039" s="188"/>
      <c r="X1039" s="188"/>
      <c r="Y1039" s="188"/>
      <c r="Z1039" s="188"/>
      <c r="AA1039" s="188"/>
      <c r="AB1039" s="188"/>
      <c r="AC1039" s="188"/>
      <c r="AD1039" s="188"/>
      <c r="AE1039" s="188"/>
      <c r="AF1039" s="188"/>
      <c r="AG1039" s="188"/>
      <c r="AH1039" s="188"/>
      <c r="AI1039" s="188"/>
    </row>
    <row r="1040">
      <c r="A1040" s="176">
        <v>46095.0</v>
      </c>
      <c r="B1040" s="177">
        <v>8287375.0</v>
      </c>
      <c r="C1040" s="178" t="s">
        <v>82</v>
      </c>
      <c r="D1040" s="178" t="s">
        <v>36</v>
      </c>
      <c r="E1040" s="177">
        <v>8287375.0</v>
      </c>
      <c r="F1040" s="178" t="s">
        <v>1335</v>
      </c>
      <c r="G1040" s="176">
        <v>46103.0</v>
      </c>
      <c r="H1040" s="179">
        <v>46104.0</v>
      </c>
      <c r="I1040" s="180">
        <v>1.0</v>
      </c>
      <c r="J1040" s="181" t="s">
        <v>111</v>
      </c>
      <c r="K1040" s="178" t="s">
        <v>79</v>
      </c>
      <c r="L1040" s="178" t="s">
        <v>96</v>
      </c>
      <c r="M1040" s="182">
        <v>2.0</v>
      </c>
      <c r="N1040" s="183">
        <v>0.0</v>
      </c>
      <c r="O1040" s="184">
        <v>300.24</v>
      </c>
      <c r="P1040" s="184">
        <v>297.2376</v>
      </c>
      <c r="Q1040" s="185">
        <v>0.0</v>
      </c>
      <c r="R1040" s="186">
        <v>297.2376</v>
      </c>
      <c r="S1040" s="186">
        <v>0.0</v>
      </c>
      <c r="T1040" s="186">
        <v>305.24</v>
      </c>
      <c r="U1040" s="187" t="s">
        <v>97</v>
      </c>
      <c r="V1040" s="176">
        <v>46095.0</v>
      </c>
      <c r="W1040" s="164"/>
      <c r="X1040" s="164"/>
      <c r="Y1040" s="164"/>
      <c r="Z1040" s="164"/>
      <c r="AA1040" s="164"/>
      <c r="AB1040" s="164"/>
      <c r="AC1040" s="164"/>
      <c r="AD1040" s="164"/>
      <c r="AE1040" s="164"/>
      <c r="AF1040" s="164"/>
      <c r="AG1040" s="164"/>
      <c r="AH1040" s="164"/>
      <c r="AI1040" s="164"/>
    </row>
    <row r="1041">
      <c r="A1041" s="176">
        <v>46095.0</v>
      </c>
      <c r="B1041" s="177">
        <v>8287385.0</v>
      </c>
      <c r="C1041" s="178" t="s">
        <v>82</v>
      </c>
      <c r="D1041" s="178" t="s">
        <v>94</v>
      </c>
      <c r="E1041" s="177">
        <v>8287385.0</v>
      </c>
      <c r="F1041" s="178" t="s">
        <v>1335</v>
      </c>
      <c r="G1041" s="176">
        <v>46104.0</v>
      </c>
      <c r="H1041" s="179">
        <v>46105.0</v>
      </c>
      <c r="I1041" s="180">
        <v>1.0</v>
      </c>
      <c r="J1041" s="181" t="s">
        <v>114</v>
      </c>
      <c r="K1041" s="178" t="s">
        <v>79</v>
      </c>
      <c r="L1041" s="178" t="s">
        <v>96</v>
      </c>
      <c r="M1041" s="182">
        <v>2.0</v>
      </c>
      <c r="N1041" s="183">
        <v>0.0</v>
      </c>
      <c r="O1041" s="184">
        <v>270.0</v>
      </c>
      <c r="P1041" s="184">
        <v>270.0</v>
      </c>
      <c r="Q1041" s="185">
        <v>0.0</v>
      </c>
      <c r="R1041" s="186">
        <v>270.0</v>
      </c>
      <c r="S1041" s="186">
        <v>0.0</v>
      </c>
      <c r="T1041" s="186">
        <v>275.0</v>
      </c>
      <c r="U1041" s="187" t="s">
        <v>97</v>
      </c>
      <c r="V1041" s="176">
        <v>46095.0</v>
      </c>
      <c r="W1041" s="164"/>
      <c r="X1041" s="164"/>
      <c r="Y1041" s="164"/>
      <c r="Z1041" s="164"/>
      <c r="AA1041" s="164"/>
      <c r="AB1041" s="164"/>
      <c r="AC1041" s="164"/>
      <c r="AD1041" s="164"/>
      <c r="AE1041" s="164"/>
      <c r="AF1041" s="164"/>
      <c r="AG1041" s="164"/>
      <c r="AH1041" s="164"/>
      <c r="AI1041" s="164"/>
    </row>
    <row r="1042">
      <c r="A1042" s="176">
        <v>46095.0</v>
      </c>
      <c r="B1042" s="177">
        <v>8287392.0</v>
      </c>
      <c r="C1042" s="178" t="s">
        <v>82</v>
      </c>
      <c r="D1042" s="178" t="s">
        <v>94</v>
      </c>
      <c r="E1042" s="177">
        <v>8287392.0</v>
      </c>
      <c r="F1042" s="178" t="s">
        <v>1335</v>
      </c>
      <c r="G1042" s="176">
        <v>46106.0</v>
      </c>
      <c r="H1042" s="179">
        <v>46108.0</v>
      </c>
      <c r="I1042" s="180">
        <v>2.0</v>
      </c>
      <c r="J1042" s="181" t="s">
        <v>111</v>
      </c>
      <c r="K1042" s="178" t="s">
        <v>79</v>
      </c>
      <c r="L1042" s="178" t="s">
        <v>96</v>
      </c>
      <c r="M1042" s="182">
        <v>2.0</v>
      </c>
      <c r="N1042" s="183">
        <v>0.0</v>
      </c>
      <c r="O1042" s="184">
        <v>300.24</v>
      </c>
      <c r="P1042" s="184">
        <v>300.24</v>
      </c>
      <c r="Q1042" s="185">
        <v>0.0</v>
      </c>
      <c r="R1042" s="186">
        <v>600.48</v>
      </c>
      <c r="S1042" s="186">
        <v>0.0</v>
      </c>
      <c r="T1042" s="186">
        <v>610.48</v>
      </c>
      <c r="U1042" s="187" t="s">
        <v>97</v>
      </c>
      <c r="V1042" s="176">
        <v>46095.0</v>
      </c>
      <c r="W1042" s="188"/>
      <c r="X1042" s="188"/>
      <c r="Y1042" s="188"/>
      <c r="Z1042" s="188"/>
      <c r="AA1042" s="188"/>
      <c r="AB1042" s="188"/>
      <c r="AC1042" s="188"/>
      <c r="AD1042" s="188"/>
      <c r="AE1042" s="188"/>
      <c r="AF1042" s="188"/>
      <c r="AG1042" s="188"/>
      <c r="AH1042" s="188"/>
      <c r="AI1042" s="188"/>
    </row>
    <row r="1043">
      <c r="A1043" s="176">
        <v>46095.0</v>
      </c>
      <c r="B1043" s="177">
        <v>8287394.0</v>
      </c>
      <c r="C1043" s="178" t="s">
        <v>82</v>
      </c>
      <c r="D1043" s="178" t="s">
        <v>94</v>
      </c>
      <c r="E1043" s="177">
        <v>8287394.0</v>
      </c>
      <c r="F1043" s="178" t="s">
        <v>1335</v>
      </c>
      <c r="G1043" s="176">
        <v>46108.0</v>
      </c>
      <c r="H1043" s="179">
        <v>46109.0</v>
      </c>
      <c r="I1043" s="180">
        <v>1.0</v>
      </c>
      <c r="J1043" s="181" t="s">
        <v>114</v>
      </c>
      <c r="K1043" s="178" t="s">
        <v>79</v>
      </c>
      <c r="L1043" s="178" t="s">
        <v>96</v>
      </c>
      <c r="M1043" s="182">
        <v>2.0</v>
      </c>
      <c r="N1043" s="183">
        <v>0.0</v>
      </c>
      <c r="O1043" s="184">
        <v>270.0</v>
      </c>
      <c r="P1043" s="184">
        <v>270.0</v>
      </c>
      <c r="Q1043" s="185">
        <v>0.0</v>
      </c>
      <c r="R1043" s="186">
        <v>270.0</v>
      </c>
      <c r="S1043" s="186">
        <v>0.0</v>
      </c>
      <c r="T1043" s="186">
        <v>275.0</v>
      </c>
      <c r="U1043" s="187" t="s">
        <v>97</v>
      </c>
      <c r="V1043" s="176">
        <v>46095.0</v>
      </c>
      <c r="W1043" s="188"/>
      <c r="X1043" s="188"/>
      <c r="Y1043" s="188"/>
      <c r="Z1043" s="188"/>
      <c r="AA1043" s="188"/>
      <c r="AB1043" s="188"/>
      <c r="AC1043" s="188"/>
      <c r="AD1043" s="188"/>
      <c r="AE1043" s="188"/>
      <c r="AF1043" s="188"/>
      <c r="AG1043" s="188"/>
      <c r="AH1043" s="188"/>
      <c r="AI1043" s="188"/>
    </row>
    <row r="1044">
      <c r="A1044" s="176">
        <v>46095.0</v>
      </c>
      <c r="B1044" s="177">
        <v>8288935.0</v>
      </c>
      <c r="C1044" s="178" t="s">
        <v>89</v>
      </c>
      <c r="D1044" s="178" t="s">
        <v>35</v>
      </c>
      <c r="E1044" s="177">
        <v>5.815197095E9</v>
      </c>
      <c r="F1044" s="178" t="s">
        <v>1336</v>
      </c>
      <c r="G1044" s="176">
        <v>46166.0</v>
      </c>
      <c r="H1044" s="179">
        <v>46169.0</v>
      </c>
      <c r="I1044" s="180">
        <v>3.0</v>
      </c>
      <c r="J1044" s="181" t="s">
        <v>114</v>
      </c>
      <c r="K1044" s="178" t="s">
        <v>79</v>
      </c>
      <c r="L1044" s="178" t="s">
        <v>80</v>
      </c>
      <c r="M1044" s="182">
        <v>0.0</v>
      </c>
      <c r="N1044" s="183">
        <v>0.0</v>
      </c>
      <c r="O1044" s="184">
        <v>0.0</v>
      </c>
      <c r="P1044" s="184">
        <v>0.0</v>
      </c>
      <c r="Q1044" s="185">
        <v>0.0</v>
      </c>
      <c r="R1044" s="186">
        <v>0.0</v>
      </c>
      <c r="S1044" s="186">
        <v>0.0</v>
      </c>
      <c r="T1044" s="186">
        <v>0.0</v>
      </c>
      <c r="U1044" s="187" t="s">
        <v>1337</v>
      </c>
      <c r="V1044" s="176">
        <v>46168.0</v>
      </c>
      <c r="W1044" s="164"/>
      <c r="X1044" s="164"/>
      <c r="Y1044" s="164"/>
      <c r="Z1044" s="164"/>
      <c r="AA1044" s="164"/>
      <c r="AB1044" s="164"/>
      <c r="AC1044" s="164"/>
      <c r="AD1044" s="164"/>
      <c r="AE1044" s="164"/>
      <c r="AF1044" s="164"/>
      <c r="AG1044" s="164"/>
      <c r="AH1044" s="164"/>
      <c r="AI1044" s="164"/>
    </row>
    <row r="1045">
      <c r="A1045" s="176">
        <v>46096.0</v>
      </c>
      <c r="B1045" s="177">
        <v>8290150.0</v>
      </c>
      <c r="C1045" s="178" t="s">
        <v>75</v>
      </c>
      <c r="D1045" s="178" t="s">
        <v>35</v>
      </c>
      <c r="E1045" s="177">
        <v>6.569267003E9</v>
      </c>
      <c r="F1045" s="178" t="s">
        <v>1338</v>
      </c>
      <c r="G1045" s="176">
        <v>46200.0</v>
      </c>
      <c r="H1045" s="179">
        <v>46206.0</v>
      </c>
      <c r="I1045" s="180">
        <v>6.0</v>
      </c>
      <c r="J1045" s="181" t="s">
        <v>87</v>
      </c>
      <c r="K1045" s="178" t="s">
        <v>79</v>
      </c>
      <c r="L1045" s="178" t="s">
        <v>80</v>
      </c>
      <c r="M1045" s="182">
        <v>2.0</v>
      </c>
      <c r="N1045" s="183">
        <v>0.19999999999999996</v>
      </c>
      <c r="O1045" s="184">
        <v>117.83</v>
      </c>
      <c r="P1045" s="184">
        <v>94.26400000000001</v>
      </c>
      <c r="Q1045" s="185">
        <v>0.0</v>
      </c>
      <c r="R1045" s="186">
        <v>565.5840000000001</v>
      </c>
      <c r="S1045" s="186">
        <v>0.0</v>
      </c>
      <c r="T1045" s="186">
        <v>1473.96</v>
      </c>
      <c r="U1045" s="187" t="s">
        <v>1339</v>
      </c>
      <c r="V1045" s="176">
        <v>46096.0</v>
      </c>
      <c r="W1045" s="175"/>
      <c r="X1045" s="175"/>
      <c r="Y1045" s="175"/>
      <c r="Z1045" s="175"/>
      <c r="AA1045" s="175"/>
      <c r="AB1045" s="175"/>
      <c r="AC1045" s="175"/>
      <c r="AD1045" s="175"/>
      <c r="AE1045" s="175"/>
      <c r="AF1045" s="175"/>
      <c r="AG1045" s="175"/>
      <c r="AH1045" s="175"/>
      <c r="AI1045" s="175"/>
    </row>
    <row r="1046">
      <c r="A1046" s="176">
        <v>46096.0</v>
      </c>
      <c r="B1046" s="177">
        <v>8290150.0</v>
      </c>
      <c r="C1046" s="178" t="s">
        <v>75</v>
      </c>
      <c r="D1046" s="178" t="s">
        <v>35</v>
      </c>
      <c r="E1046" s="177">
        <v>6.569267003E9</v>
      </c>
      <c r="F1046" s="178" t="s">
        <v>1338</v>
      </c>
      <c r="G1046" s="176">
        <v>46200.0</v>
      </c>
      <c r="H1046" s="179">
        <v>46206.0</v>
      </c>
      <c r="I1046" s="180">
        <v>6.0</v>
      </c>
      <c r="J1046" s="181" t="s">
        <v>78</v>
      </c>
      <c r="K1046" s="178" t="s">
        <v>79</v>
      </c>
      <c r="L1046" s="178" t="s">
        <v>80</v>
      </c>
      <c r="M1046" s="182">
        <v>2.0</v>
      </c>
      <c r="N1046" s="183">
        <v>0.19999999999999996</v>
      </c>
      <c r="O1046" s="184">
        <v>117.83</v>
      </c>
      <c r="P1046" s="184">
        <v>94.26400000000001</v>
      </c>
      <c r="Q1046" s="185">
        <v>0.0</v>
      </c>
      <c r="R1046" s="186">
        <v>565.5840000000001</v>
      </c>
      <c r="S1046" s="186">
        <v>0.0</v>
      </c>
      <c r="T1046" s="186">
        <v>1473.96</v>
      </c>
      <c r="U1046" s="187" t="s">
        <v>1339</v>
      </c>
      <c r="V1046" s="176">
        <v>46096.0</v>
      </c>
      <c r="W1046" s="175"/>
      <c r="X1046" s="175"/>
      <c r="Y1046" s="175"/>
      <c r="Z1046" s="175"/>
      <c r="AA1046" s="175"/>
      <c r="AB1046" s="175"/>
      <c r="AC1046" s="175"/>
      <c r="AD1046" s="175"/>
      <c r="AE1046" s="175"/>
      <c r="AF1046" s="175"/>
      <c r="AG1046" s="175"/>
      <c r="AH1046" s="175"/>
      <c r="AI1046" s="175"/>
    </row>
    <row r="1047">
      <c r="A1047" s="176">
        <v>46096.0</v>
      </c>
      <c r="B1047" s="177">
        <v>8290848.0</v>
      </c>
      <c r="C1047" s="178" t="s">
        <v>82</v>
      </c>
      <c r="D1047" s="178" t="s">
        <v>35</v>
      </c>
      <c r="E1047" s="177">
        <v>5.124812895E9</v>
      </c>
      <c r="F1047" s="178" t="s">
        <v>1340</v>
      </c>
      <c r="G1047" s="176">
        <v>46128.0</v>
      </c>
      <c r="H1047" s="179">
        <v>46130.0</v>
      </c>
      <c r="I1047" s="180">
        <v>2.0</v>
      </c>
      <c r="J1047" s="181" t="s">
        <v>78</v>
      </c>
      <c r="K1047" s="178" t="s">
        <v>79</v>
      </c>
      <c r="L1047" s="178" t="s">
        <v>80</v>
      </c>
      <c r="M1047" s="182">
        <v>2.0</v>
      </c>
      <c r="N1047" s="183">
        <v>0.19999999999999996</v>
      </c>
      <c r="O1047" s="184">
        <v>161.12</v>
      </c>
      <c r="P1047" s="184">
        <v>128.89600000000002</v>
      </c>
      <c r="Q1047" s="185">
        <v>0.0</v>
      </c>
      <c r="R1047" s="186">
        <v>257.79200000000003</v>
      </c>
      <c r="S1047" s="186">
        <v>0.0</v>
      </c>
      <c r="T1047" s="186">
        <v>332.24</v>
      </c>
      <c r="U1047" s="187" t="s">
        <v>161</v>
      </c>
      <c r="V1047" s="176">
        <v>46096.0</v>
      </c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</row>
    <row r="1048">
      <c r="A1048" s="176">
        <v>46096.0</v>
      </c>
      <c r="B1048" s="177">
        <v>8291674.0</v>
      </c>
      <c r="C1048" s="178" t="s">
        <v>82</v>
      </c>
      <c r="D1048" s="178" t="s">
        <v>35</v>
      </c>
      <c r="E1048" s="177">
        <v>6.14454256E9</v>
      </c>
      <c r="F1048" s="178" t="s">
        <v>1341</v>
      </c>
      <c r="G1048" s="176">
        <v>46314.20833333333</v>
      </c>
      <c r="H1048" s="179">
        <v>46318.20833333333</v>
      </c>
      <c r="I1048" s="180">
        <v>4.0</v>
      </c>
      <c r="J1048" s="181" t="s">
        <v>111</v>
      </c>
      <c r="K1048" s="178" t="s">
        <v>79</v>
      </c>
      <c r="L1048" s="178" t="s">
        <v>80</v>
      </c>
      <c r="M1048" s="182">
        <v>2.0</v>
      </c>
      <c r="N1048" s="183">
        <v>0.19999999999999996</v>
      </c>
      <c r="O1048" s="184">
        <v>231.16</v>
      </c>
      <c r="P1048" s="184">
        <v>184.928</v>
      </c>
      <c r="Q1048" s="185">
        <v>0.0</v>
      </c>
      <c r="R1048" s="186">
        <v>739.712</v>
      </c>
      <c r="S1048" s="186">
        <v>0.0</v>
      </c>
      <c r="T1048" s="186">
        <v>944.64</v>
      </c>
      <c r="U1048" s="187" t="s">
        <v>353</v>
      </c>
      <c r="V1048" s="176">
        <v>46096.0</v>
      </c>
      <c r="W1048" s="175"/>
      <c r="X1048" s="175"/>
      <c r="Y1048" s="175"/>
      <c r="Z1048" s="175"/>
      <c r="AA1048" s="175"/>
      <c r="AB1048" s="175"/>
      <c r="AC1048" s="175"/>
      <c r="AD1048" s="175"/>
      <c r="AE1048" s="175"/>
      <c r="AF1048" s="175"/>
      <c r="AG1048" s="175"/>
      <c r="AH1048" s="175"/>
      <c r="AI1048" s="175"/>
    </row>
    <row r="1049">
      <c r="A1049" s="176">
        <v>46096.0</v>
      </c>
      <c r="B1049" s="177">
        <v>8292340.0</v>
      </c>
      <c r="C1049" s="178" t="s">
        <v>82</v>
      </c>
      <c r="D1049" s="178" t="s">
        <v>35</v>
      </c>
      <c r="E1049" s="177">
        <v>5.174579362E9</v>
      </c>
      <c r="F1049" s="178" t="s">
        <v>1342</v>
      </c>
      <c r="G1049" s="176">
        <v>46193.0</v>
      </c>
      <c r="H1049" s="179">
        <v>46195.0</v>
      </c>
      <c r="I1049" s="180">
        <v>2.0</v>
      </c>
      <c r="J1049" s="181" t="s">
        <v>111</v>
      </c>
      <c r="K1049" s="178" t="s">
        <v>79</v>
      </c>
      <c r="L1049" s="178" t="s">
        <v>80</v>
      </c>
      <c r="M1049" s="182">
        <v>2.0</v>
      </c>
      <c r="N1049" s="183">
        <v>0.19999999999999996</v>
      </c>
      <c r="O1049" s="184">
        <v>178.08</v>
      </c>
      <c r="P1049" s="184">
        <v>142.46400000000003</v>
      </c>
      <c r="Q1049" s="185">
        <v>0.0</v>
      </c>
      <c r="R1049" s="186">
        <v>284.92800000000005</v>
      </c>
      <c r="S1049" s="186">
        <v>0.0</v>
      </c>
      <c r="T1049" s="186">
        <v>366.16</v>
      </c>
      <c r="U1049" s="187" t="s">
        <v>161</v>
      </c>
      <c r="V1049" s="176">
        <v>46096.0</v>
      </c>
      <c r="W1049" s="188"/>
      <c r="X1049" s="188"/>
      <c r="Y1049" s="188"/>
      <c r="Z1049" s="188"/>
      <c r="AA1049" s="188"/>
      <c r="AB1049" s="188"/>
      <c r="AC1049" s="188"/>
      <c r="AD1049" s="188"/>
      <c r="AE1049" s="188"/>
      <c r="AF1049" s="188"/>
      <c r="AG1049" s="188"/>
      <c r="AH1049" s="188"/>
      <c r="AI1049" s="188"/>
    </row>
    <row r="1050">
      <c r="A1050" s="176">
        <v>46096.0</v>
      </c>
      <c r="B1050" s="177">
        <v>8292569.0</v>
      </c>
      <c r="C1050" s="178" t="s">
        <v>89</v>
      </c>
      <c r="D1050" s="178" t="s">
        <v>35</v>
      </c>
      <c r="E1050" s="177">
        <v>6.918069341E9</v>
      </c>
      <c r="F1050" s="178" t="s">
        <v>1343</v>
      </c>
      <c r="G1050" s="176">
        <v>46121.0</v>
      </c>
      <c r="H1050" s="179">
        <v>46125.0</v>
      </c>
      <c r="I1050" s="180">
        <v>4.0</v>
      </c>
      <c r="J1050" s="181" t="s">
        <v>91</v>
      </c>
      <c r="K1050" s="178" t="s">
        <v>79</v>
      </c>
      <c r="L1050" s="178" t="s">
        <v>80</v>
      </c>
      <c r="M1050" s="182">
        <v>0.0</v>
      </c>
      <c r="N1050" s="183">
        <v>0.0</v>
      </c>
      <c r="O1050" s="184">
        <v>0.0</v>
      </c>
      <c r="P1050" s="184">
        <v>0.0</v>
      </c>
      <c r="Q1050" s="185">
        <v>0.0</v>
      </c>
      <c r="R1050" s="186">
        <v>0.0</v>
      </c>
      <c r="S1050" s="186">
        <v>0.0</v>
      </c>
      <c r="T1050" s="186">
        <v>0.0</v>
      </c>
      <c r="U1050" s="187" t="s">
        <v>1344</v>
      </c>
      <c r="V1050" s="176">
        <v>46111.0</v>
      </c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</row>
    <row r="1051">
      <c r="A1051" s="176">
        <v>46097.0</v>
      </c>
      <c r="B1051" s="177">
        <v>8295552.0</v>
      </c>
      <c r="C1051" s="178" t="s">
        <v>89</v>
      </c>
      <c r="D1051" s="178" t="s">
        <v>35</v>
      </c>
      <c r="E1051" s="177">
        <v>6.252895289E9</v>
      </c>
      <c r="F1051" s="178" t="s">
        <v>1345</v>
      </c>
      <c r="G1051" s="176">
        <v>46198.0</v>
      </c>
      <c r="H1051" s="179">
        <v>46202.0</v>
      </c>
      <c r="I1051" s="180">
        <v>4.0</v>
      </c>
      <c r="J1051" s="181" t="s">
        <v>114</v>
      </c>
      <c r="K1051" s="178" t="s">
        <v>79</v>
      </c>
      <c r="L1051" s="178" t="s">
        <v>80</v>
      </c>
      <c r="M1051" s="182">
        <v>0.0</v>
      </c>
      <c r="N1051" s="183">
        <v>0.0</v>
      </c>
      <c r="O1051" s="184">
        <v>0.0</v>
      </c>
      <c r="P1051" s="184">
        <v>0.0</v>
      </c>
      <c r="Q1051" s="185">
        <v>0.0</v>
      </c>
      <c r="R1051" s="186">
        <v>0.0</v>
      </c>
      <c r="S1051" s="186">
        <v>0.0</v>
      </c>
      <c r="T1051" s="186">
        <v>0.0</v>
      </c>
      <c r="U1051" s="187" t="s">
        <v>1346</v>
      </c>
      <c r="V1051" s="176">
        <v>46202.0</v>
      </c>
      <c r="W1051" s="175"/>
      <c r="X1051" s="175"/>
      <c r="Y1051" s="175"/>
      <c r="Z1051" s="175"/>
      <c r="AA1051" s="175"/>
      <c r="AB1051" s="175"/>
      <c r="AC1051" s="175"/>
      <c r="AD1051" s="175"/>
      <c r="AE1051" s="175"/>
      <c r="AF1051" s="175"/>
      <c r="AG1051" s="175"/>
      <c r="AH1051" s="175"/>
      <c r="AI1051" s="175"/>
    </row>
    <row r="1052">
      <c r="A1052" s="176">
        <v>46098.0</v>
      </c>
      <c r="B1052" s="177">
        <v>8299558.0</v>
      </c>
      <c r="C1052" s="178" t="s">
        <v>82</v>
      </c>
      <c r="D1052" s="178" t="s">
        <v>35</v>
      </c>
      <c r="E1052" s="177">
        <v>5.373089045E9</v>
      </c>
      <c r="F1052" s="178" t="s">
        <v>1347</v>
      </c>
      <c r="G1052" s="176">
        <v>46178.0</v>
      </c>
      <c r="H1052" s="179">
        <v>46180.0</v>
      </c>
      <c r="I1052" s="180">
        <v>2.0</v>
      </c>
      <c r="J1052" s="181" t="s">
        <v>78</v>
      </c>
      <c r="K1052" s="178" t="s">
        <v>79</v>
      </c>
      <c r="L1052" s="178" t="s">
        <v>80</v>
      </c>
      <c r="M1052" s="182">
        <v>2.0</v>
      </c>
      <c r="N1052" s="183">
        <v>0.19999999999999996</v>
      </c>
      <c r="O1052" s="184">
        <v>166.67</v>
      </c>
      <c r="P1052" s="184">
        <v>133.33599999999998</v>
      </c>
      <c r="Q1052" s="185">
        <v>0.0</v>
      </c>
      <c r="R1052" s="186">
        <v>266.67199999999997</v>
      </c>
      <c r="S1052" s="186">
        <v>0.0</v>
      </c>
      <c r="T1052" s="186">
        <v>343.34</v>
      </c>
      <c r="U1052" s="187" t="s">
        <v>161</v>
      </c>
      <c r="V1052" s="176">
        <v>46098.0</v>
      </c>
      <c r="W1052" s="175"/>
      <c r="X1052" s="175"/>
      <c r="Y1052" s="175"/>
      <c r="Z1052" s="175"/>
      <c r="AA1052" s="175"/>
      <c r="AB1052" s="175"/>
      <c r="AC1052" s="175"/>
      <c r="AD1052" s="175"/>
      <c r="AE1052" s="175"/>
      <c r="AF1052" s="175"/>
      <c r="AG1052" s="175"/>
      <c r="AH1052" s="175"/>
      <c r="AI1052" s="175"/>
    </row>
    <row r="1053">
      <c r="A1053" s="176">
        <v>46098.0</v>
      </c>
      <c r="B1053" s="177">
        <v>8300963.0</v>
      </c>
      <c r="C1053" s="178" t="s">
        <v>82</v>
      </c>
      <c r="D1053" s="178" t="s">
        <v>101</v>
      </c>
      <c r="E1053" s="177">
        <v>2.417648378E9</v>
      </c>
      <c r="F1053" s="178" t="s">
        <v>1348</v>
      </c>
      <c r="G1053" s="176">
        <v>46130.0</v>
      </c>
      <c r="H1053" s="179">
        <v>46133.0</v>
      </c>
      <c r="I1053" s="180">
        <v>3.0</v>
      </c>
      <c r="J1053" s="181" t="s">
        <v>78</v>
      </c>
      <c r="K1053" s="178"/>
      <c r="L1053" s="178"/>
      <c r="M1053" s="182">
        <v>2.0</v>
      </c>
      <c r="N1053" s="183">
        <v>0.0</v>
      </c>
      <c r="O1053" s="184">
        <v>0.0</v>
      </c>
      <c r="P1053" s="184">
        <v>0.0</v>
      </c>
      <c r="Q1053" s="185">
        <v>0.0</v>
      </c>
      <c r="R1053" s="186">
        <v>0.0</v>
      </c>
      <c r="S1053" s="186">
        <v>0.0</v>
      </c>
      <c r="T1053" s="186">
        <v>0.0</v>
      </c>
      <c r="U1053" s="187" t="s">
        <v>180</v>
      </c>
      <c r="V1053" s="176">
        <v>46098.0</v>
      </c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</row>
    <row r="1054">
      <c r="A1054" s="176">
        <v>46099.0</v>
      </c>
      <c r="B1054" s="177">
        <v>8301842.0</v>
      </c>
      <c r="C1054" s="178" t="s">
        <v>82</v>
      </c>
      <c r="D1054" s="178" t="s">
        <v>109</v>
      </c>
      <c r="E1054" s="177">
        <v>6.39280379E8</v>
      </c>
      <c r="F1054" s="178" t="s">
        <v>1349</v>
      </c>
      <c r="G1054" s="176">
        <v>46100.0</v>
      </c>
      <c r="H1054" s="179">
        <v>46102.0</v>
      </c>
      <c r="I1054" s="180">
        <v>2.0</v>
      </c>
      <c r="J1054" s="181" t="s">
        <v>78</v>
      </c>
      <c r="K1054" s="178" t="s">
        <v>79</v>
      </c>
      <c r="L1054" s="178" t="s">
        <v>96</v>
      </c>
      <c r="M1054" s="182">
        <v>1.0</v>
      </c>
      <c r="N1054" s="183">
        <v>0.19999999999999996</v>
      </c>
      <c r="O1054" s="184">
        <v>212.29</v>
      </c>
      <c r="P1054" s="184">
        <v>169.832</v>
      </c>
      <c r="Q1054" s="185">
        <v>0.0</v>
      </c>
      <c r="R1054" s="186">
        <v>339.664</v>
      </c>
      <c r="S1054" s="186">
        <v>0.0</v>
      </c>
      <c r="T1054" s="186">
        <v>424.58</v>
      </c>
      <c r="U1054" s="187" t="s">
        <v>112</v>
      </c>
      <c r="V1054" s="176">
        <v>46099.0</v>
      </c>
      <c r="W1054" s="188"/>
      <c r="X1054" s="188"/>
      <c r="Y1054" s="188"/>
      <c r="Z1054" s="188"/>
      <c r="AA1054" s="188"/>
      <c r="AB1054" s="188"/>
      <c r="AC1054" s="188"/>
      <c r="AD1054" s="188"/>
      <c r="AE1054" s="188"/>
      <c r="AF1054" s="188"/>
      <c r="AG1054" s="188"/>
      <c r="AH1054" s="188"/>
      <c r="AI1054" s="188"/>
    </row>
    <row r="1055">
      <c r="A1055" s="176">
        <v>46099.0</v>
      </c>
      <c r="B1055" s="177">
        <v>8304601.0</v>
      </c>
      <c r="C1055" s="178" t="s">
        <v>82</v>
      </c>
      <c r="D1055" s="178" t="s">
        <v>35</v>
      </c>
      <c r="E1055" s="177">
        <v>5.402212963E9</v>
      </c>
      <c r="F1055" s="178" t="s">
        <v>1350</v>
      </c>
      <c r="G1055" s="176">
        <v>46296.20833333333</v>
      </c>
      <c r="H1055" s="179">
        <v>46301.20833333333</v>
      </c>
      <c r="I1055" s="180">
        <v>5.0</v>
      </c>
      <c r="J1055" s="181" t="s">
        <v>111</v>
      </c>
      <c r="K1055" s="178" t="s">
        <v>79</v>
      </c>
      <c r="L1055" s="178" t="s">
        <v>80</v>
      </c>
      <c r="M1055" s="182">
        <v>3.0</v>
      </c>
      <c r="N1055" s="183">
        <v>0.19999999999999996</v>
      </c>
      <c r="O1055" s="184">
        <v>207.37199999999999</v>
      </c>
      <c r="P1055" s="184">
        <v>165.8976</v>
      </c>
      <c r="Q1055" s="185">
        <v>0.0</v>
      </c>
      <c r="R1055" s="186">
        <v>829.488</v>
      </c>
      <c r="S1055" s="186">
        <v>0.0</v>
      </c>
      <c r="T1055" s="186">
        <v>1036.86</v>
      </c>
      <c r="U1055" s="187" t="s">
        <v>353</v>
      </c>
      <c r="V1055" s="176">
        <v>46099.0</v>
      </c>
      <c r="W1055" s="164"/>
      <c r="X1055" s="164"/>
      <c r="Y1055" s="164"/>
      <c r="Z1055" s="164"/>
      <c r="AA1055" s="164"/>
      <c r="AB1055" s="164"/>
      <c r="AC1055" s="164"/>
      <c r="AD1055" s="164"/>
      <c r="AE1055" s="164"/>
      <c r="AF1055" s="164"/>
      <c r="AG1055" s="164"/>
      <c r="AH1055" s="164"/>
      <c r="AI1055" s="164"/>
    </row>
    <row r="1056">
      <c r="A1056" s="176">
        <v>46099.0</v>
      </c>
      <c r="B1056" s="177">
        <v>8304637.0</v>
      </c>
      <c r="C1056" s="178" t="s">
        <v>82</v>
      </c>
      <c r="D1056" s="178" t="s">
        <v>35</v>
      </c>
      <c r="E1056" s="177">
        <v>6.405682286E9</v>
      </c>
      <c r="F1056" s="178" t="s">
        <v>1351</v>
      </c>
      <c r="G1056" s="176">
        <v>46170.0</v>
      </c>
      <c r="H1056" s="179">
        <v>46173.0</v>
      </c>
      <c r="I1056" s="180">
        <v>3.0</v>
      </c>
      <c r="J1056" s="181" t="s">
        <v>87</v>
      </c>
      <c r="K1056" s="178" t="s">
        <v>79</v>
      </c>
      <c r="L1056" s="178" t="s">
        <v>80</v>
      </c>
      <c r="M1056" s="182">
        <v>2.0</v>
      </c>
      <c r="N1056" s="183">
        <v>0.19999999999999996</v>
      </c>
      <c r="O1056" s="184">
        <v>137.09</v>
      </c>
      <c r="P1056" s="184">
        <v>109.67200000000001</v>
      </c>
      <c r="Q1056" s="185">
        <v>0.0</v>
      </c>
      <c r="R1056" s="186">
        <v>329.016</v>
      </c>
      <c r="S1056" s="186">
        <v>0.0</v>
      </c>
      <c r="T1056" s="186">
        <v>426.27</v>
      </c>
      <c r="U1056" s="187" t="s">
        <v>107</v>
      </c>
      <c r="V1056" s="176">
        <v>46099.0</v>
      </c>
      <c r="W1056" s="188"/>
      <c r="X1056" s="188"/>
      <c r="Y1056" s="188"/>
      <c r="Z1056" s="188"/>
      <c r="AA1056" s="188"/>
      <c r="AB1056" s="188"/>
      <c r="AC1056" s="188"/>
      <c r="AD1056" s="188"/>
      <c r="AE1056" s="188"/>
      <c r="AF1056" s="188"/>
      <c r="AG1056" s="188"/>
      <c r="AH1056" s="188"/>
      <c r="AI1056" s="188"/>
    </row>
    <row r="1057">
      <c r="A1057" s="176">
        <v>46099.0</v>
      </c>
      <c r="B1057" s="177">
        <v>8304726.0</v>
      </c>
      <c r="C1057" s="178" t="s">
        <v>82</v>
      </c>
      <c r="D1057" s="178" t="s">
        <v>94</v>
      </c>
      <c r="E1057" s="177">
        <v>8304726.0</v>
      </c>
      <c r="F1057" s="178" t="s">
        <v>547</v>
      </c>
      <c r="G1057" s="176">
        <v>46099.0</v>
      </c>
      <c r="H1057" s="179">
        <v>46100.0</v>
      </c>
      <c r="I1057" s="180">
        <v>1.0</v>
      </c>
      <c r="J1057" s="181" t="s">
        <v>78</v>
      </c>
      <c r="K1057" s="178" t="s">
        <v>79</v>
      </c>
      <c r="L1057" s="178" t="s">
        <v>96</v>
      </c>
      <c r="M1057" s="182">
        <v>2.0</v>
      </c>
      <c r="N1057" s="183">
        <v>0.0</v>
      </c>
      <c r="O1057" s="184">
        <v>239.76</v>
      </c>
      <c r="P1057" s="184">
        <v>239.76</v>
      </c>
      <c r="Q1057" s="185">
        <v>0.0</v>
      </c>
      <c r="R1057" s="186">
        <v>239.76</v>
      </c>
      <c r="S1057" s="186">
        <v>0.0</v>
      </c>
      <c r="T1057" s="186">
        <v>244.76</v>
      </c>
      <c r="U1057" s="187" t="s">
        <v>97</v>
      </c>
      <c r="V1057" s="176">
        <v>46099.0</v>
      </c>
      <c r="W1057" s="188"/>
      <c r="X1057" s="188"/>
      <c r="Y1057" s="188"/>
      <c r="Z1057" s="188"/>
      <c r="AA1057" s="188"/>
      <c r="AB1057" s="188"/>
      <c r="AC1057" s="188"/>
      <c r="AD1057" s="188"/>
      <c r="AE1057" s="188"/>
      <c r="AF1057" s="188"/>
      <c r="AG1057" s="188"/>
      <c r="AH1057" s="188"/>
      <c r="AI1057" s="188"/>
    </row>
    <row r="1058">
      <c r="A1058" s="176">
        <v>46100.0</v>
      </c>
      <c r="B1058" s="177">
        <v>8305102.0</v>
      </c>
      <c r="C1058" s="178" t="s">
        <v>82</v>
      </c>
      <c r="D1058" s="178" t="s">
        <v>35</v>
      </c>
      <c r="E1058" s="177">
        <v>6.099092202E9</v>
      </c>
      <c r="F1058" s="178" t="s">
        <v>1352</v>
      </c>
      <c r="G1058" s="176">
        <v>46153.0</v>
      </c>
      <c r="H1058" s="179">
        <v>46155.0</v>
      </c>
      <c r="I1058" s="180">
        <v>2.0</v>
      </c>
      <c r="J1058" s="181" t="s">
        <v>114</v>
      </c>
      <c r="K1058" s="178" t="s">
        <v>79</v>
      </c>
      <c r="L1058" s="178" t="s">
        <v>80</v>
      </c>
      <c r="M1058" s="182">
        <v>2.0</v>
      </c>
      <c r="N1058" s="183">
        <v>0.19999999999999996</v>
      </c>
      <c r="O1058" s="184">
        <v>171.49</v>
      </c>
      <c r="P1058" s="184">
        <v>137.192</v>
      </c>
      <c r="Q1058" s="185">
        <v>0.0</v>
      </c>
      <c r="R1058" s="186">
        <v>274.384</v>
      </c>
      <c r="S1058" s="186">
        <v>0.0</v>
      </c>
      <c r="T1058" s="186">
        <v>352.98</v>
      </c>
      <c r="U1058" s="187" t="s">
        <v>107</v>
      </c>
      <c r="V1058" s="176">
        <v>46100.0</v>
      </c>
      <c r="W1058" s="175"/>
      <c r="X1058" s="175"/>
      <c r="Y1058" s="175"/>
      <c r="Z1058" s="175"/>
      <c r="AA1058" s="175"/>
      <c r="AB1058" s="175"/>
      <c r="AC1058" s="175"/>
      <c r="AD1058" s="175"/>
      <c r="AE1058" s="175"/>
      <c r="AF1058" s="175"/>
      <c r="AG1058" s="175"/>
      <c r="AH1058" s="175"/>
      <c r="AI1058" s="175"/>
    </row>
    <row r="1059">
      <c r="A1059" s="176">
        <v>46100.0</v>
      </c>
      <c r="B1059" s="177">
        <v>8306964.0</v>
      </c>
      <c r="C1059" s="178" t="s">
        <v>82</v>
      </c>
      <c r="D1059" s="178" t="s">
        <v>109</v>
      </c>
      <c r="E1059" s="177">
        <v>6.39715955E8</v>
      </c>
      <c r="F1059" s="178" t="s">
        <v>1353</v>
      </c>
      <c r="G1059" s="176">
        <v>46100.0</v>
      </c>
      <c r="H1059" s="179">
        <v>46102.0</v>
      </c>
      <c r="I1059" s="180">
        <v>2.0</v>
      </c>
      <c r="J1059" s="181" t="s">
        <v>87</v>
      </c>
      <c r="K1059" s="178" t="s">
        <v>79</v>
      </c>
      <c r="L1059" s="178" t="s">
        <v>96</v>
      </c>
      <c r="M1059" s="182">
        <v>2.0</v>
      </c>
      <c r="N1059" s="183">
        <v>0.19999999999999996</v>
      </c>
      <c r="O1059" s="184">
        <v>186.15</v>
      </c>
      <c r="P1059" s="184">
        <v>148.92000000000002</v>
      </c>
      <c r="Q1059" s="185">
        <v>0.0</v>
      </c>
      <c r="R1059" s="186">
        <v>297.84000000000003</v>
      </c>
      <c r="S1059" s="186">
        <v>0.0</v>
      </c>
      <c r="T1059" s="186">
        <v>372.3</v>
      </c>
      <c r="U1059" s="187" t="s">
        <v>112</v>
      </c>
      <c r="V1059" s="176">
        <v>46100.0</v>
      </c>
      <c r="W1059" s="175"/>
      <c r="X1059" s="175"/>
      <c r="Y1059" s="175"/>
      <c r="Z1059" s="175"/>
      <c r="AA1059" s="175"/>
      <c r="AB1059" s="175"/>
      <c r="AC1059" s="175"/>
      <c r="AD1059" s="175"/>
      <c r="AE1059" s="175"/>
      <c r="AF1059" s="175"/>
      <c r="AG1059" s="175"/>
      <c r="AH1059" s="175"/>
      <c r="AI1059" s="175"/>
    </row>
    <row r="1060">
      <c r="A1060" s="176">
        <v>46100.0</v>
      </c>
      <c r="B1060" s="177">
        <v>8308070.0</v>
      </c>
      <c r="C1060" s="178" t="s">
        <v>75</v>
      </c>
      <c r="D1060" s="178" t="s">
        <v>36</v>
      </c>
      <c r="E1060" s="177">
        <v>8308070.0</v>
      </c>
      <c r="F1060" s="178" t="s">
        <v>1354</v>
      </c>
      <c r="G1060" s="176">
        <v>46334.20833333333</v>
      </c>
      <c r="H1060" s="179">
        <v>46338.20833333333</v>
      </c>
      <c r="I1060" s="180">
        <v>4.0</v>
      </c>
      <c r="J1060" s="181" t="s">
        <v>114</v>
      </c>
      <c r="K1060" s="178" t="s">
        <v>79</v>
      </c>
      <c r="L1060" s="178" t="s">
        <v>96</v>
      </c>
      <c r="M1060" s="182">
        <v>2.0</v>
      </c>
      <c r="N1060" s="183">
        <v>0.0</v>
      </c>
      <c r="O1060" s="184">
        <v>219.375</v>
      </c>
      <c r="P1060" s="184">
        <v>217.18125</v>
      </c>
      <c r="Q1060" s="185">
        <v>0.0</v>
      </c>
      <c r="R1060" s="186">
        <v>868.725</v>
      </c>
      <c r="S1060" s="186">
        <v>0.0</v>
      </c>
      <c r="T1060" s="186">
        <v>897.5</v>
      </c>
      <c r="U1060" s="187" t="s">
        <v>1355</v>
      </c>
      <c r="V1060" s="176">
        <v>46100.0</v>
      </c>
      <c r="W1060" s="188"/>
      <c r="X1060" s="188"/>
      <c r="Y1060" s="188"/>
      <c r="Z1060" s="188"/>
      <c r="AA1060" s="188"/>
      <c r="AB1060" s="188"/>
      <c r="AC1060" s="188"/>
      <c r="AD1060" s="188"/>
      <c r="AE1060" s="188"/>
      <c r="AF1060" s="188"/>
      <c r="AG1060" s="188"/>
      <c r="AH1060" s="188"/>
      <c r="AI1060" s="188"/>
    </row>
    <row r="1061">
      <c r="A1061" s="176">
        <v>46101.0</v>
      </c>
      <c r="B1061" s="177">
        <v>8308932.0</v>
      </c>
      <c r="C1061" s="178" t="s">
        <v>82</v>
      </c>
      <c r="D1061" s="178" t="s">
        <v>35</v>
      </c>
      <c r="E1061" s="177">
        <v>6.953054391E9</v>
      </c>
      <c r="F1061" s="178" t="s">
        <v>562</v>
      </c>
      <c r="G1061" s="176">
        <v>46110.0</v>
      </c>
      <c r="H1061" s="179">
        <v>46111.0</v>
      </c>
      <c r="I1061" s="180">
        <v>1.0</v>
      </c>
      <c r="J1061" s="181" t="s">
        <v>78</v>
      </c>
      <c r="K1061" s="178" t="s">
        <v>79</v>
      </c>
      <c r="L1061" s="178" t="s">
        <v>80</v>
      </c>
      <c r="M1061" s="182">
        <v>2.0</v>
      </c>
      <c r="N1061" s="183">
        <v>0.19999999999999996</v>
      </c>
      <c r="O1061" s="184">
        <v>206.19</v>
      </c>
      <c r="P1061" s="184">
        <v>164.952</v>
      </c>
      <c r="Q1061" s="185">
        <v>0.0</v>
      </c>
      <c r="R1061" s="186">
        <v>164.952</v>
      </c>
      <c r="S1061" s="186">
        <v>0.0</v>
      </c>
      <c r="T1061" s="186">
        <v>211.19</v>
      </c>
      <c r="U1061" s="187" t="s">
        <v>183</v>
      </c>
      <c r="V1061" s="176">
        <v>46101.0</v>
      </c>
      <c r="W1061" s="164"/>
      <c r="X1061" s="164"/>
      <c r="Y1061" s="164"/>
      <c r="Z1061" s="164"/>
      <c r="AA1061" s="164"/>
      <c r="AB1061" s="164"/>
      <c r="AC1061" s="164"/>
      <c r="AD1061" s="164"/>
      <c r="AE1061" s="164"/>
      <c r="AF1061" s="164"/>
      <c r="AG1061" s="164"/>
      <c r="AH1061" s="164"/>
      <c r="AI1061" s="164"/>
    </row>
    <row r="1062">
      <c r="A1062" s="176">
        <v>46101.0</v>
      </c>
      <c r="B1062" s="177">
        <v>8310321.0</v>
      </c>
      <c r="C1062" s="178" t="s">
        <v>82</v>
      </c>
      <c r="D1062" s="178" t="s">
        <v>35</v>
      </c>
      <c r="E1062" s="177">
        <v>5.930316503E9</v>
      </c>
      <c r="F1062" s="178" t="s">
        <v>1356</v>
      </c>
      <c r="G1062" s="176">
        <v>46300.20833333333</v>
      </c>
      <c r="H1062" s="179">
        <v>46304.20833333333</v>
      </c>
      <c r="I1062" s="180">
        <v>4.0</v>
      </c>
      <c r="J1062" s="181" t="s">
        <v>91</v>
      </c>
      <c r="K1062" s="178" t="s">
        <v>79</v>
      </c>
      <c r="L1062" s="178" t="s">
        <v>80</v>
      </c>
      <c r="M1062" s="182">
        <v>4.0</v>
      </c>
      <c r="N1062" s="183">
        <v>0.19999999999999996</v>
      </c>
      <c r="O1062" s="184">
        <v>395.95</v>
      </c>
      <c r="P1062" s="184">
        <v>316.76</v>
      </c>
      <c r="Q1062" s="185">
        <v>0.0</v>
      </c>
      <c r="R1062" s="186">
        <v>1267.04</v>
      </c>
      <c r="S1062" s="186">
        <v>0.0</v>
      </c>
      <c r="T1062" s="186">
        <v>1623.8</v>
      </c>
      <c r="U1062" s="187" t="s">
        <v>161</v>
      </c>
      <c r="V1062" s="176">
        <v>46101.0</v>
      </c>
      <c r="W1062" s="175"/>
      <c r="X1062" s="175"/>
      <c r="Y1062" s="175"/>
      <c r="Z1062" s="175"/>
      <c r="AA1062" s="175"/>
      <c r="AB1062" s="175"/>
      <c r="AC1062" s="175"/>
      <c r="AD1062" s="175"/>
      <c r="AE1062" s="175"/>
      <c r="AF1062" s="175"/>
      <c r="AG1062" s="175"/>
      <c r="AH1062" s="175"/>
      <c r="AI1062" s="175"/>
    </row>
    <row r="1063">
      <c r="A1063" s="176">
        <v>46101.0</v>
      </c>
      <c r="B1063" s="177">
        <v>8310731.0</v>
      </c>
      <c r="C1063" s="178" t="s">
        <v>89</v>
      </c>
      <c r="D1063" s="178" t="s">
        <v>35</v>
      </c>
      <c r="E1063" s="177">
        <v>6.685654969E9</v>
      </c>
      <c r="F1063" s="178" t="s">
        <v>1357</v>
      </c>
      <c r="G1063" s="176">
        <v>46310.20833333333</v>
      </c>
      <c r="H1063" s="179">
        <v>46313.20833333333</v>
      </c>
      <c r="I1063" s="180">
        <v>3.0</v>
      </c>
      <c r="J1063" s="181" t="s">
        <v>111</v>
      </c>
      <c r="K1063" s="178" t="s">
        <v>79</v>
      </c>
      <c r="L1063" s="178" t="s">
        <v>80</v>
      </c>
      <c r="M1063" s="182">
        <v>0.0</v>
      </c>
      <c r="N1063" s="183">
        <v>0.0</v>
      </c>
      <c r="O1063" s="184">
        <v>0.0</v>
      </c>
      <c r="P1063" s="184">
        <v>0.0</v>
      </c>
      <c r="Q1063" s="185">
        <v>0.0</v>
      </c>
      <c r="R1063" s="186">
        <v>0.0</v>
      </c>
      <c r="S1063" s="186">
        <v>0.0</v>
      </c>
      <c r="T1063" s="186">
        <v>0.0</v>
      </c>
      <c r="U1063" s="187" t="s">
        <v>1358</v>
      </c>
      <c r="V1063" s="176">
        <v>46103.0</v>
      </c>
      <c r="W1063" s="175"/>
      <c r="X1063" s="175"/>
      <c r="Y1063" s="175"/>
      <c r="Z1063" s="175"/>
      <c r="AA1063" s="175"/>
      <c r="AB1063" s="175"/>
      <c r="AC1063" s="175"/>
      <c r="AD1063" s="175"/>
      <c r="AE1063" s="175"/>
      <c r="AF1063" s="175"/>
      <c r="AG1063" s="175"/>
      <c r="AH1063" s="175"/>
      <c r="AI1063" s="175"/>
    </row>
    <row r="1064">
      <c r="A1064" s="176">
        <v>46101.0</v>
      </c>
      <c r="B1064" s="177">
        <v>8311598.0</v>
      </c>
      <c r="C1064" s="178" t="s">
        <v>82</v>
      </c>
      <c r="D1064" s="178" t="s">
        <v>35</v>
      </c>
      <c r="E1064" s="177">
        <v>5.394737261E9</v>
      </c>
      <c r="F1064" s="178" t="s">
        <v>1359</v>
      </c>
      <c r="G1064" s="176">
        <v>46195.0</v>
      </c>
      <c r="H1064" s="179">
        <v>46197.0</v>
      </c>
      <c r="I1064" s="180">
        <v>2.0</v>
      </c>
      <c r="J1064" s="181" t="s">
        <v>78</v>
      </c>
      <c r="K1064" s="178" t="s">
        <v>79</v>
      </c>
      <c r="L1064" s="178" t="s">
        <v>80</v>
      </c>
      <c r="M1064" s="182">
        <v>2.0</v>
      </c>
      <c r="N1064" s="183">
        <v>0.19999999999999996</v>
      </c>
      <c r="O1064" s="184">
        <v>106.57</v>
      </c>
      <c r="P1064" s="184">
        <v>85.256</v>
      </c>
      <c r="Q1064" s="185">
        <v>0.0</v>
      </c>
      <c r="R1064" s="186">
        <v>170.512</v>
      </c>
      <c r="S1064" s="186">
        <v>0.0</v>
      </c>
      <c r="T1064" s="186">
        <v>223.14</v>
      </c>
      <c r="U1064" s="187" t="s">
        <v>107</v>
      </c>
      <c r="V1064" s="176">
        <v>46101.0</v>
      </c>
      <c r="W1064" s="188"/>
      <c r="X1064" s="188"/>
      <c r="Y1064" s="188"/>
      <c r="Z1064" s="188"/>
      <c r="AA1064" s="188"/>
      <c r="AB1064" s="188"/>
      <c r="AC1064" s="188"/>
      <c r="AD1064" s="188"/>
      <c r="AE1064" s="188"/>
      <c r="AF1064" s="188"/>
      <c r="AG1064" s="188"/>
      <c r="AH1064" s="188"/>
      <c r="AI1064" s="188"/>
    </row>
    <row r="1065">
      <c r="A1065" s="176">
        <v>46102.0</v>
      </c>
      <c r="B1065" s="177">
        <v>8312888.0</v>
      </c>
      <c r="C1065" s="178" t="s">
        <v>89</v>
      </c>
      <c r="D1065" s="178" t="s">
        <v>35</v>
      </c>
      <c r="E1065" s="177">
        <v>5.849181568E9</v>
      </c>
      <c r="F1065" s="178" t="s">
        <v>1360</v>
      </c>
      <c r="G1065" s="176">
        <v>46281.0</v>
      </c>
      <c r="H1065" s="179">
        <v>46292.20833333333</v>
      </c>
      <c r="I1065" s="180">
        <v>7.0</v>
      </c>
      <c r="J1065" s="181" t="s">
        <v>111</v>
      </c>
      <c r="K1065" s="178" t="s">
        <v>79</v>
      </c>
      <c r="L1065" s="178" t="s">
        <v>80</v>
      </c>
      <c r="M1065" s="182">
        <v>0.0</v>
      </c>
      <c r="N1065" s="183">
        <v>0.0</v>
      </c>
      <c r="O1065" s="184">
        <v>0.0</v>
      </c>
      <c r="P1065" s="184">
        <v>0.0</v>
      </c>
      <c r="Q1065" s="185">
        <v>0.0</v>
      </c>
      <c r="R1065" s="186">
        <v>0.0</v>
      </c>
      <c r="S1065" s="186">
        <v>0.0</v>
      </c>
      <c r="T1065" s="186">
        <v>0.0</v>
      </c>
      <c r="U1065" s="187" t="s">
        <v>1361</v>
      </c>
      <c r="V1065" s="176">
        <v>46181.0</v>
      </c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</row>
    <row r="1066">
      <c r="A1066" s="176">
        <v>46102.0</v>
      </c>
      <c r="B1066" s="177">
        <v>8313132.0</v>
      </c>
      <c r="C1066" s="178" t="s">
        <v>82</v>
      </c>
      <c r="D1066" s="178" t="s">
        <v>35</v>
      </c>
      <c r="E1066" s="177">
        <v>6.24125313E9</v>
      </c>
      <c r="F1066" s="178" t="s">
        <v>1362</v>
      </c>
      <c r="G1066" s="176">
        <v>46487.20833333333</v>
      </c>
      <c r="H1066" s="179">
        <v>46490.20833333333</v>
      </c>
      <c r="I1066" s="180">
        <v>3.0</v>
      </c>
      <c r="J1066" s="181" t="s">
        <v>78</v>
      </c>
      <c r="K1066" s="178" t="s">
        <v>79</v>
      </c>
      <c r="L1066" s="178" t="s">
        <v>80</v>
      </c>
      <c r="M1066" s="182">
        <v>2.0</v>
      </c>
      <c r="N1066" s="183">
        <v>0.19999999999999996</v>
      </c>
      <c r="O1066" s="184">
        <v>135.66</v>
      </c>
      <c r="P1066" s="184">
        <v>108.528</v>
      </c>
      <c r="Q1066" s="185">
        <v>0.0</v>
      </c>
      <c r="R1066" s="186">
        <v>325.584</v>
      </c>
      <c r="S1066" s="186">
        <v>0.0</v>
      </c>
      <c r="T1066" s="186">
        <v>421.98</v>
      </c>
      <c r="U1066" s="187" t="s">
        <v>143</v>
      </c>
      <c r="V1066" s="176">
        <v>46102.0</v>
      </c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</row>
    <row r="1067">
      <c r="A1067" s="176">
        <v>46102.0</v>
      </c>
      <c r="B1067" s="177">
        <v>8313145.0</v>
      </c>
      <c r="C1067" s="178" t="s">
        <v>89</v>
      </c>
      <c r="D1067" s="178" t="s">
        <v>35</v>
      </c>
      <c r="E1067" s="177">
        <v>6.694471871E9</v>
      </c>
      <c r="F1067" s="178" t="s">
        <v>1363</v>
      </c>
      <c r="G1067" s="176">
        <v>46274.0</v>
      </c>
      <c r="H1067" s="179">
        <v>46280.0</v>
      </c>
      <c r="I1067" s="180">
        <v>6.0</v>
      </c>
      <c r="J1067" s="181" t="s">
        <v>78</v>
      </c>
      <c r="K1067" s="178" t="s">
        <v>79</v>
      </c>
      <c r="L1067" s="178" t="s">
        <v>80</v>
      </c>
      <c r="M1067" s="182">
        <v>0.0</v>
      </c>
      <c r="N1067" s="183">
        <v>0.0</v>
      </c>
      <c r="O1067" s="184">
        <v>0.0</v>
      </c>
      <c r="P1067" s="184">
        <v>0.0</v>
      </c>
      <c r="Q1067" s="185">
        <v>0.0</v>
      </c>
      <c r="R1067" s="186">
        <v>0.0</v>
      </c>
      <c r="S1067" s="186">
        <v>0.0</v>
      </c>
      <c r="T1067" s="186">
        <v>0.0</v>
      </c>
      <c r="U1067" s="187" t="s">
        <v>1361</v>
      </c>
      <c r="V1067" s="176">
        <v>46163.0</v>
      </c>
      <c r="W1067" s="175"/>
      <c r="X1067" s="175"/>
      <c r="Y1067" s="175"/>
      <c r="Z1067" s="175"/>
      <c r="AA1067" s="175"/>
      <c r="AB1067" s="175"/>
      <c r="AC1067" s="175"/>
      <c r="AD1067" s="175"/>
      <c r="AE1067" s="175"/>
      <c r="AF1067" s="175"/>
      <c r="AG1067" s="175"/>
      <c r="AH1067" s="175"/>
      <c r="AI1067" s="175"/>
    </row>
    <row r="1068">
      <c r="A1068" s="176">
        <v>46102.0</v>
      </c>
      <c r="B1068" s="177">
        <v>8313941.0</v>
      </c>
      <c r="C1068" s="178" t="s">
        <v>82</v>
      </c>
      <c r="D1068" s="178" t="s">
        <v>35</v>
      </c>
      <c r="E1068" s="177">
        <v>5.406124238E9</v>
      </c>
      <c r="F1068" s="178" t="s">
        <v>1364</v>
      </c>
      <c r="G1068" s="176">
        <v>46140.0</v>
      </c>
      <c r="H1068" s="179">
        <v>46142.0</v>
      </c>
      <c r="I1068" s="180">
        <v>2.0</v>
      </c>
      <c r="J1068" s="181" t="s">
        <v>78</v>
      </c>
      <c r="K1068" s="178" t="s">
        <v>79</v>
      </c>
      <c r="L1068" s="178" t="s">
        <v>80</v>
      </c>
      <c r="M1068" s="182">
        <v>2.0</v>
      </c>
      <c r="N1068" s="183">
        <v>0.19999999999999996</v>
      </c>
      <c r="O1068" s="184">
        <v>144.69</v>
      </c>
      <c r="P1068" s="184">
        <v>115.75200000000001</v>
      </c>
      <c r="Q1068" s="185">
        <v>0.0</v>
      </c>
      <c r="R1068" s="186">
        <v>231.50400000000002</v>
      </c>
      <c r="S1068" s="186">
        <v>0.0</v>
      </c>
      <c r="T1068" s="186">
        <v>299.38</v>
      </c>
      <c r="U1068" s="187" t="s">
        <v>107</v>
      </c>
      <c r="V1068" s="176">
        <v>46102.0</v>
      </c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</row>
    <row r="1069">
      <c r="A1069" s="176">
        <v>46102.0</v>
      </c>
      <c r="B1069" s="177">
        <v>8314073.0</v>
      </c>
      <c r="C1069" s="178" t="s">
        <v>82</v>
      </c>
      <c r="D1069" s="178" t="s">
        <v>35</v>
      </c>
      <c r="E1069" s="177">
        <v>5.593512345E9</v>
      </c>
      <c r="F1069" s="178" t="s">
        <v>1365</v>
      </c>
      <c r="G1069" s="176">
        <v>46168.0</v>
      </c>
      <c r="H1069" s="179">
        <v>46172.0</v>
      </c>
      <c r="I1069" s="180">
        <v>4.0</v>
      </c>
      <c r="J1069" s="181" t="s">
        <v>114</v>
      </c>
      <c r="K1069" s="178" t="s">
        <v>79</v>
      </c>
      <c r="L1069" s="178" t="s">
        <v>80</v>
      </c>
      <c r="M1069" s="182">
        <v>3.0</v>
      </c>
      <c r="N1069" s="183">
        <v>0.19999999999999996</v>
      </c>
      <c r="O1069" s="184">
        <v>188.13</v>
      </c>
      <c r="P1069" s="184">
        <v>150.504</v>
      </c>
      <c r="Q1069" s="185">
        <v>0.0</v>
      </c>
      <c r="R1069" s="186">
        <v>602.016</v>
      </c>
      <c r="S1069" s="186">
        <v>0.0</v>
      </c>
      <c r="T1069" s="186">
        <v>782.52</v>
      </c>
      <c r="U1069" s="187" t="s">
        <v>107</v>
      </c>
      <c r="V1069" s="176">
        <v>46102.0</v>
      </c>
      <c r="W1069" s="175"/>
      <c r="X1069" s="175"/>
      <c r="Y1069" s="175"/>
      <c r="Z1069" s="175"/>
      <c r="AA1069" s="175"/>
      <c r="AB1069" s="175"/>
      <c r="AC1069" s="175"/>
      <c r="AD1069" s="175"/>
      <c r="AE1069" s="175"/>
      <c r="AF1069" s="175"/>
      <c r="AG1069" s="175"/>
      <c r="AH1069" s="175"/>
      <c r="AI1069" s="175"/>
    </row>
    <row r="1070">
      <c r="A1070" s="176">
        <v>46102.0</v>
      </c>
      <c r="B1070" s="177">
        <v>8314096.0</v>
      </c>
      <c r="C1070" s="178" t="s">
        <v>82</v>
      </c>
      <c r="D1070" s="178" t="s">
        <v>35</v>
      </c>
      <c r="E1070" s="177">
        <v>6.96208998E9</v>
      </c>
      <c r="F1070" s="178" t="s">
        <v>1366</v>
      </c>
      <c r="G1070" s="176">
        <v>46128.0</v>
      </c>
      <c r="H1070" s="179">
        <v>46129.0</v>
      </c>
      <c r="I1070" s="180">
        <v>1.0</v>
      </c>
      <c r="J1070" s="181" t="s">
        <v>114</v>
      </c>
      <c r="K1070" s="178" t="s">
        <v>79</v>
      </c>
      <c r="L1070" s="178" t="s">
        <v>80</v>
      </c>
      <c r="M1070" s="182">
        <v>2.0</v>
      </c>
      <c r="N1070" s="183">
        <v>0.19999999999999996</v>
      </c>
      <c r="O1070" s="184">
        <v>214.2</v>
      </c>
      <c r="P1070" s="184">
        <v>171.36</v>
      </c>
      <c r="Q1070" s="185">
        <v>0.0</v>
      </c>
      <c r="R1070" s="186">
        <v>171.36</v>
      </c>
      <c r="S1070" s="186">
        <v>0.0</v>
      </c>
      <c r="T1070" s="186">
        <v>219.2</v>
      </c>
      <c r="U1070" s="187" t="s">
        <v>1367</v>
      </c>
      <c r="V1070" s="176">
        <v>46102.0</v>
      </c>
      <c r="W1070" s="164"/>
      <c r="X1070" s="164"/>
      <c r="Y1070" s="164"/>
      <c r="Z1070" s="164"/>
      <c r="AA1070" s="164"/>
      <c r="AB1070" s="164"/>
      <c r="AC1070" s="164"/>
      <c r="AD1070" s="164"/>
      <c r="AE1070" s="164"/>
      <c r="AF1070" s="164"/>
      <c r="AG1070" s="164"/>
      <c r="AH1070" s="164"/>
      <c r="AI1070" s="164"/>
    </row>
    <row r="1071">
      <c r="A1071" s="176">
        <v>46102.0</v>
      </c>
      <c r="B1071" s="177">
        <v>8314833.0</v>
      </c>
      <c r="C1071" s="178" t="s">
        <v>82</v>
      </c>
      <c r="D1071" s="178" t="s">
        <v>36</v>
      </c>
      <c r="E1071" s="177">
        <v>8314833.0</v>
      </c>
      <c r="F1071" s="178" t="s">
        <v>1368</v>
      </c>
      <c r="G1071" s="176">
        <v>46260.0</v>
      </c>
      <c r="H1071" s="179">
        <v>46263.0</v>
      </c>
      <c r="I1071" s="180">
        <v>3.0</v>
      </c>
      <c r="J1071" s="181" t="s">
        <v>87</v>
      </c>
      <c r="K1071" s="178" t="s">
        <v>79</v>
      </c>
      <c r="L1071" s="178" t="s">
        <v>96</v>
      </c>
      <c r="M1071" s="182">
        <v>1.0</v>
      </c>
      <c r="N1071" s="183">
        <v>0.0</v>
      </c>
      <c r="O1071" s="184">
        <v>162.72</v>
      </c>
      <c r="P1071" s="184">
        <v>161.0928</v>
      </c>
      <c r="Q1071" s="185">
        <v>0.0</v>
      </c>
      <c r="R1071" s="186">
        <v>483.27840000000003</v>
      </c>
      <c r="S1071" s="186">
        <v>0.0</v>
      </c>
      <c r="T1071" s="186">
        <v>1614.3</v>
      </c>
      <c r="U1071" s="187" t="s">
        <v>97</v>
      </c>
      <c r="V1071" s="176">
        <v>46102.0</v>
      </c>
      <c r="W1071" s="164"/>
      <c r="X1071" s="164"/>
      <c r="Y1071" s="164"/>
      <c r="Z1071" s="164"/>
      <c r="AA1071" s="164"/>
      <c r="AB1071" s="164"/>
      <c r="AC1071" s="164"/>
      <c r="AD1071" s="164"/>
      <c r="AE1071" s="164"/>
      <c r="AF1071" s="164"/>
      <c r="AG1071" s="164"/>
      <c r="AH1071" s="164"/>
      <c r="AI1071" s="164"/>
    </row>
    <row r="1072">
      <c r="A1072" s="176">
        <v>46102.0</v>
      </c>
      <c r="B1072" s="177">
        <v>8314833.0</v>
      </c>
      <c r="C1072" s="178" t="s">
        <v>82</v>
      </c>
      <c r="D1072" s="178" t="s">
        <v>36</v>
      </c>
      <c r="E1072" s="177">
        <v>8314833.0</v>
      </c>
      <c r="F1072" s="178" t="s">
        <v>1368</v>
      </c>
      <c r="G1072" s="176">
        <v>46260.0</v>
      </c>
      <c r="H1072" s="179">
        <v>46263.0</v>
      </c>
      <c r="I1072" s="180">
        <v>3.0</v>
      </c>
      <c r="J1072" s="181" t="s">
        <v>78</v>
      </c>
      <c r="K1072" s="178" t="s">
        <v>79</v>
      </c>
      <c r="L1072" s="178" t="s">
        <v>96</v>
      </c>
      <c r="M1072" s="182">
        <v>2.0</v>
      </c>
      <c r="N1072" s="183">
        <v>0.0</v>
      </c>
      <c r="O1072" s="184">
        <v>181.44000000000003</v>
      </c>
      <c r="P1072" s="184">
        <v>179.62560000000002</v>
      </c>
      <c r="Q1072" s="185">
        <v>0.0</v>
      </c>
      <c r="R1072" s="186">
        <v>538.8768</v>
      </c>
      <c r="S1072" s="186">
        <v>0.0</v>
      </c>
      <c r="T1072" s="186">
        <v>1614.3</v>
      </c>
      <c r="U1072" s="187" t="s">
        <v>97</v>
      </c>
      <c r="V1072" s="176">
        <v>46102.0</v>
      </c>
      <c r="W1072" s="188"/>
      <c r="X1072" s="188"/>
      <c r="Y1072" s="188"/>
      <c r="Z1072" s="188"/>
      <c r="AA1072" s="188"/>
      <c r="AB1072" s="188"/>
      <c r="AC1072" s="188"/>
      <c r="AD1072" s="188"/>
      <c r="AE1072" s="188"/>
      <c r="AF1072" s="188"/>
      <c r="AG1072" s="188"/>
      <c r="AH1072" s="188"/>
      <c r="AI1072" s="188"/>
    </row>
    <row r="1073">
      <c r="A1073" s="176">
        <v>46102.0</v>
      </c>
      <c r="B1073" s="177">
        <v>8314833.0</v>
      </c>
      <c r="C1073" s="178" t="s">
        <v>82</v>
      </c>
      <c r="D1073" s="178" t="s">
        <v>36</v>
      </c>
      <c r="E1073" s="177">
        <v>8314833.0</v>
      </c>
      <c r="F1073" s="178" t="s">
        <v>1368</v>
      </c>
      <c r="G1073" s="176">
        <v>46260.0</v>
      </c>
      <c r="H1073" s="179">
        <v>46263.0</v>
      </c>
      <c r="I1073" s="180">
        <v>3.0</v>
      </c>
      <c r="J1073" s="181" t="s">
        <v>78</v>
      </c>
      <c r="K1073" s="178" t="s">
        <v>79</v>
      </c>
      <c r="L1073" s="178" t="s">
        <v>96</v>
      </c>
      <c r="M1073" s="182">
        <v>2.0</v>
      </c>
      <c r="N1073" s="183">
        <v>0.0</v>
      </c>
      <c r="O1073" s="184">
        <v>181.44000000000003</v>
      </c>
      <c r="P1073" s="184">
        <v>179.62560000000002</v>
      </c>
      <c r="Q1073" s="185">
        <v>0.0</v>
      </c>
      <c r="R1073" s="186">
        <v>538.8768</v>
      </c>
      <c r="S1073" s="186">
        <v>0.0</v>
      </c>
      <c r="T1073" s="186">
        <v>1614.3</v>
      </c>
      <c r="U1073" s="187" t="s">
        <v>97</v>
      </c>
      <c r="V1073" s="176">
        <v>46102.0</v>
      </c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</row>
    <row r="1074">
      <c r="A1074" s="176">
        <v>46102.0</v>
      </c>
      <c r="B1074" s="177">
        <v>8314964.0</v>
      </c>
      <c r="C1074" s="178" t="s">
        <v>82</v>
      </c>
      <c r="D1074" s="178" t="s">
        <v>35</v>
      </c>
      <c r="E1074" s="177">
        <v>5.75802818E9</v>
      </c>
      <c r="F1074" s="178" t="s">
        <v>1369</v>
      </c>
      <c r="G1074" s="176">
        <v>46579.20833333333</v>
      </c>
      <c r="H1074" s="179">
        <v>46585.20833333333</v>
      </c>
      <c r="I1074" s="180">
        <v>6.0</v>
      </c>
      <c r="J1074" s="181" t="s">
        <v>87</v>
      </c>
      <c r="K1074" s="178" t="s">
        <v>79</v>
      </c>
      <c r="L1074" s="178" t="s">
        <v>80</v>
      </c>
      <c r="M1074" s="182">
        <v>2.0</v>
      </c>
      <c r="N1074" s="183">
        <v>0.19999999999999996</v>
      </c>
      <c r="O1074" s="184">
        <v>111.60000000000001</v>
      </c>
      <c r="P1074" s="184">
        <v>89.28000000000002</v>
      </c>
      <c r="Q1074" s="185">
        <v>0.0</v>
      </c>
      <c r="R1074" s="186">
        <v>535.6800000000001</v>
      </c>
      <c r="S1074" s="186">
        <v>0.0</v>
      </c>
      <c r="T1074" s="186">
        <v>699.6</v>
      </c>
      <c r="U1074" s="187" t="s">
        <v>353</v>
      </c>
      <c r="V1074" s="176">
        <v>46102.0</v>
      </c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</row>
    <row r="1075">
      <c r="A1075" s="176">
        <v>46103.0</v>
      </c>
      <c r="B1075" s="177">
        <v>8315573.0</v>
      </c>
      <c r="C1075" s="178" t="s">
        <v>89</v>
      </c>
      <c r="D1075" s="178" t="s">
        <v>35</v>
      </c>
      <c r="E1075" s="177">
        <v>6.241229883E9</v>
      </c>
      <c r="F1075" s="178" t="s">
        <v>1370</v>
      </c>
      <c r="G1075" s="176">
        <v>46145.0</v>
      </c>
      <c r="H1075" s="179">
        <v>46146.0</v>
      </c>
      <c r="I1075" s="180">
        <v>1.0</v>
      </c>
      <c r="J1075" s="181" t="s">
        <v>91</v>
      </c>
      <c r="K1075" s="178" t="s">
        <v>79</v>
      </c>
      <c r="L1075" s="178" t="s">
        <v>80</v>
      </c>
      <c r="M1075" s="182">
        <v>0.0</v>
      </c>
      <c r="N1075" s="183">
        <v>0.0</v>
      </c>
      <c r="O1075" s="184">
        <v>0.0</v>
      </c>
      <c r="P1075" s="184">
        <v>0.0</v>
      </c>
      <c r="Q1075" s="185">
        <v>0.0</v>
      </c>
      <c r="R1075" s="186">
        <v>0.0</v>
      </c>
      <c r="S1075" s="186">
        <v>0.0</v>
      </c>
      <c r="T1075" s="186">
        <v>0.0</v>
      </c>
      <c r="U1075" s="187" t="s">
        <v>1371</v>
      </c>
      <c r="V1075" s="176">
        <v>46130.0</v>
      </c>
      <c r="W1075" s="175"/>
      <c r="X1075" s="175"/>
      <c r="Y1075" s="175"/>
      <c r="Z1075" s="175"/>
      <c r="AA1075" s="175"/>
      <c r="AB1075" s="175"/>
      <c r="AC1075" s="175"/>
      <c r="AD1075" s="175"/>
      <c r="AE1075" s="175"/>
      <c r="AF1075" s="175"/>
      <c r="AG1075" s="175"/>
      <c r="AH1075" s="175"/>
      <c r="AI1075" s="175"/>
    </row>
    <row r="1076">
      <c r="A1076" s="176">
        <v>46103.0</v>
      </c>
      <c r="B1076" s="177">
        <v>8315806.0</v>
      </c>
      <c r="C1076" s="178" t="s">
        <v>82</v>
      </c>
      <c r="D1076" s="178" t="s">
        <v>35</v>
      </c>
      <c r="E1076" s="177">
        <v>6.771266239E9</v>
      </c>
      <c r="F1076" s="178" t="s">
        <v>1372</v>
      </c>
      <c r="G1076" s="176">
        <v>46112.0</v>
      </c>
      <c r="H1076" s="179">
        <v>46113.0</v>
      </c>
      <c r="I1076" s="180">
        <v>1.0</v>
      </c>
      <c r="J1076" s="181" t="s">
        <v>91</v>
      </c>
      <c r="K1076" s="178" t="s">
        <v>79</v>
      </c>
      <c r="L1076" s="178" t="s">
        <v>80</v>
      </c>
      <c r="M1076" s="182">
        <v>4.0</v>
      </c>
      <c r="N1076" s="183">
        <v>0.19999999999999996</v>
      </c>
      <c r="O1076" s="184">
        <v>599.76</v>
      </c>
      <c r="P1076" s="184">
        <v>479.808</v>
      </c>
      <c r="Q1076" s="185">
        <v>0.0</v>
      </c>
      <c r="R1076" s="186">
        <v>479.808</v>
      </c>
      <c r="S1076" s="186">
        <v>0.0</v>
      </c>
      <c r="T1076" s="186">
        <v>609.76</v>
      </c>
      <c r="U1076" s="187" t="s">
        <v>1373</v>
      </c>
      <c r="V1076" s="176">
        <v>46103.0</v>
      </c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</row>
    <row r="1077">
      <c r="A1077" s="176">
        <v>46103.0</v>
      </c>
      <c r="B1077" s="177">
        <v>8316376.0</v>
      </c>
      <c r="C1077" s="178" t="s">
        <v>82</v>
      </c>
      <c r="D1077" s="178" t="s">
        <v>35</v>
      </c>
      <c r="E1077" s="177">
        <v>6.771229355E9</v>
      </c>
      <c r="F1077" s="178" t="s">
        <v>1150</v>
      </c>
      <c r="G1077" s="176">
        <v>46321.20833333333</v>
      </c>
      <c r="H1077" s="179">
        <v>46324.20833333333</v>
      </c>
      <c r="I1077" s="180">
        <v>3.0</v>
      </c>
      <c r="J1077" s="181" t="s">
        <v>91</v>
      </c>
      <c r="K1077" s="178" t="s">
        <v>79</v>
      </c>
      <c r="L1077" s="178" t="s">
        <v>80</v>
      </c>
      <c r="M1077" s="182">
        <v>4.0</v>
      </c>
      <c r="N1077" s="183">
        <v>0.19999999999999996</v>
      </c>
      <c r="O1077" s="184">
        <v>434.56</v>
      </c>
      <c r="P1077" s="184">
        <v>347.648</v>
      </c>
      <c r="Q1077" s="185">
        <v>0.0</v>
      </c>
      <c r="R1077" s="186">
        <v>1042.944</v>
      </c>
      <c r="S1077" s="186">
        <v>0.0</v>
      </c>
      <c r="T1077" s="186">
        <v>1333.68</v>
      </c>
      <c r="U1077" s="187" t="s">
        <v>353</v>
      </c>
      <c r="V1077" s="176">
        <v>46103.0</v>
      </c>
      <c r="W1077" s="175"/>
      <c r="X1077" s="175"/>
      <c r="Y1077" s="175"/>
      <c r="Z1077" s="175"/>
      <c r="AA1077" s="175"/>
      <c r="AB1077" s="175"/>
      <c r="AC1077" s="175"/>
      <c r="AD1077" s="175"/>
      <c r="AE1077" s="175"/>
      <c r="AF1077" s="175"/>
      <c r="AG1077" s="175"/>
      <c r="AH1077" s="175"/>
      <c r="AI1077" s="175"/>
    </row>
    <row r="1078">
      <c r="A1078" s="176">
        <v>46103.0</v>
      </c>
      <c r="B1078" s="177">
        <v>8317608.0</v>
      </c>
      <c r="C1078" s="178" t="s">
        <v>89</v>
      </c>
      <c r="D1078" s="178" t="s">
        <v>35</v>
      </c>
      <c r="E1078" s="177">
        <v>6.706757991E9</v>
      </c>
      <c r="F1078" s="178" t="s">
        <v>1374</v>
      </c>
      <c r="G1078" s="176">
        <v>46247.0</v>
      </c>
      <c r="H1078" s="179">
        <v>46253.0</v>
      </c>
      <c r="I1078" s="180">
        <v>6.0</v>
      </c>
      <c r="J1078" s="181" t="s">
        <v>111</v>
      </c>
      <c r="K1078" s="178" t="s">
        <v>79</v>
      </c>
      <c r="L1078" s="178" t="s">
        <v>80</v>
      </c>
      <c r="M1078" s="182">
        <v>0.0</v>
      </c>
      <c r="N1078" s="183">
        <v>0.0</v>
      </c>
      <c r="O1078" s="184">
        <v>0.0</v>
      </c>
      <c r="P1078" s="184">
        <v>0.0</v>
      </c>
      <c r="Q1078" s="185">
        <v>0.0</v>
      </c>
      <c r="R1078" s="186">
        <v>0.0</v>
      </c>
      <c r="S1078" s="186">
        <v>0.0</v>
      </c>
      <c r="T1078" s="186">
        <v>0.0</v>
      </c>
      <c r="U1078" s="187" t="s">
        <v>1371</v>
      </c>
      <c r="V1078" s="176">
        <v>46202.0</v>
      </c>
      <c r="W1078" s="175"/>
      <c r="X1078" s="175"/>
      <c r="Y1078" s="175"/>
      <c r="Z1078" s="175"/>
      <c r="AA1078" s="175"/>
      <c r="AB1078" s="175"/>
      <c r="AC1078" s="175"/>
      <c r="AD1078" s="175"/>
      <c r="AE1078" s="175"/>
      <c r="AF1078" s="175"/>
      <c r="AG1078" s="175"/>
      <c r="AH1078" s="175"/>
      <c r="AI1078" s="175"/>
    </row>
    <row r="1079">
      <c r="A1079" s="176">
        <v>46103.0</v>
      </c>
      <c r="B1079" s="177">
        <v>8318541.0</v>
      </c>
      <c r="C1079" s="178" t="s">
        <v>82</v>
      </c>
      <c r="D1079" s="178" t="s">
        <v>35</v>
      </c>
      <c r="E1079" s="177">
        <v>5.207144531E9</v>
      </c>
      <c r="F1079" s="178" t="s">
        <v>1375</v>
      </c>
      <c r="G1079" s="176">
        <v>46322.20833333333</v>
      </c>
      <c r="H1079" s="179">
        <v>46324.20833333333</v>
      </c>
      <c r="I1079" s="180">
        <v>2.0</v>
      </c>
      <c r="J1079" s="181" t="s">
        <v>78</v>
      </c>
      <c r="K1079" s="178" t="s">
        <v>79</v>
      </c>
      <c r="L1079" s="178" t="s">
        <v>80</v>
      </c>
      <c r="M1079" s="182">
        <v>2.0</v>
      </c>
      <c r="N1079" s="183">
        <v>0.19999999999999996</v>
      </c>
      <c r="O1079" s="184">
        <v>168.96</v>
      </c>
      <c r="P1079" s="184">
        <v>135.168</v>
      </c>
      <c r="Q1079" s="185">
        <v>0.0</v>
      </c>
      <c r="R1079" s="186">
        <v>270.336</v>
      </c>
      <c r="S1079" s="186">
        <v>0.0</v>
      </c>
      <c r="T1079" s="186">
        <v>347.92</v>
      </c>
      <c r="U1079" s="187" t="s">
        <v>303</v>
      </c>
      <c r="V1079" s="176">
        <v>46103.0</v>
      </c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</row>
    <row r="1080">
      <c r="A1080" s="176">
        <v>46104.0</v>
      </c>
      <c r="B1080" s="177">
        <v>8319397.0</v>
      </c>
      <c r="C1080" s="178" t="s">
        <v>82</v>
      </c>
      <c r="D1080" s="178" t="s">
        <v>35</v>
      </c>
      <c r="E1080" s="177">
        <v>5.513856799E9</v>
      </c>
      <c r="F1080" s="178" t="s">
        <v>1376</v>
      </c>
      <c r="G1080" s="176">
        <v>46158.0</v>
      </c>
      <c r="H1080" s="179">
        <v>46162.0</v>
      </c>
      <c r="I1080" s="180">
        <v>4.0</v>
      </c>
      <c r="J1080" s="181" t="s">
        <v>111</v>
      </c>
      <c r="K1080" s="178" t="s">
        <v>79</v>
      </c>
      <c r="L1080" s="178" t="s">
        <v>80</v>
      </c>
      <c r="M1080" s="182">
        <v>2.0</v>
      </c>
      <c r="N1080" s="183">
        <v>0.19999999999999996</v>
      </c>
      <c r="O1080" s="184">
        <v>229.68</v>
      </c>
      <c r="P1080" s="184">
        <v>183.74400000000003</v>
      </c>
      <c r="Q1080" s="185">
        <v>0.0</v>
      </c>
      <c r="R1080" s="186">
        <v>734.9760000000001</v>
      </c>
      <c r="S1080" s="186">
        <v>0.0</v>
      </c>
      <c r="T1080" s="186">
        <v>938.72</v>
      </c>
      <c r="U1080" s="187" t="s">
        <v>107</v>
      </c>
      <c r="V1080" s="176">
        <v>46104.0</v>
      </c>
      <c r="W1080" s="175"/>
      <c r="X1080" s="175"/>
      <c r="Y1080" s="175"/>
      <c r="Z1080" s="175"/>
      <c r="AA1080" s="175"/>
      <c r="AB1080" s="175"/>
      <c r="AC1080" s="175"/>
      <c r="AD1080" s="175"/>
      <c r="AE1080" s="175"/>
      <c r="AF1080" s="175"/>
      <c r="AG1080" s="175"/>
      <c r="AH1080" s="175"/>
      <c r="AI1080" s="175"/>
    </row>
    <row r="1081">
      <c r="A1081" s="176">
        <v>46104.0</v>
      </c>
      <c r="B1081" s="177">
        <v>8319415.0</v>
      </c>
      <c r="C1081" s="178" t="s">
        <v>82</v>
      </c>
      <c r="D1081" s="178" t="s">
        <v>94</v>
      </c>
      <c r="E1081" s="177">
        <v>8319415.0</v>
      </c>
      <c r="F1081" s="178" t="s">
        <v>1377</v>
      </c>
      <c r="G1081" s="176">
        <v>46310.20833333333</v>
      </c>
      <c r="H1081" s="179">
        <v>46311.20833333333</v>
      </c>
      <c r="I1081" s="180">
        <v>1.0</v>
      </c>
      <c r="J1081" s="181" t="s">
        <v>78</v>
      </c>
      <c r="K1081" s="178" t="s">
        <v>79</v>
      </c>
      <c r="L1081" s="178" t="s">
        <v>96</v>
      </c>
      <c r="M1081" s="182">
        <v>2.0</v>
      </c>
      <c r="N1081" s="183">
        <v>0.0</v>
      </c>
      <c r="O1081" s="184">
        <v>200.16</v>
      </c>
      <c r="P1081" s="184">
        <v>200.16</v>
      </c>
      <c r="Q1081" s="185">
        <v>0.0</v>
      </c>
      <c r="R1081" s="186">
        <v>200.16</v>
      </c>
      <c r="S1081" s="186">
        <v>0.0</v>
      </c>
      <c r="T1081" s="186">
        <v>1100.68</v>
      </c>
      <c r="U1081" s="187" t="s">
        <v>97</v>
      </c>
      <c r="V1081" s="176">
        <v>46104.0</v>
      </c>
      <c r="W1081" s="164"/>
      <c r="X1081" s="164"/>
      <c r="Y1081" s="164"/>
      <c r="Z1081" s="164"/>
      <c r="AA1081" s="164"/>
      <c r="AB1081" s="164"/>
      <c r="AC1081" s="164"/>
      <c r="AD1081" s="164"/>
      <c r="AE1081" s="164"/>
      <c r="AF1081" s="164"/>
      <c r="AG1081" s="164"/>
      <c r="AH1081" s="164"/>
      <c r="AI1081" s="164"/>
    </row>
    <row r="1082">
      <c r="A1082" s="176">
        <v>46104.0</v>
      </c>
      <c r="B1082" s="177">
        <v>8319415.0</v>
      </c>
      <c r="C1082" s="178" t="s">
        <v>82</v>
      </c>
      <c r="D1082" s="178" t="s">
        <v>94</v>
      </c>
      <c r="E1082" s="177">
        <v>8319415.0</v>
      </c>
      <c r="F1082" s="178" t="s">
        <v>1377</v>
      </c>
      <c r="G1082" s="176">
        <v>46310.20833333333</v>
      </c>
      <c r="H1082" s="179">
        <v>46311.20833333333</v>
      </c>
      <c r="I1082" s="180">
        <v>1.0</v>
      </c>
      <c r="J1082" s="181" t="s">
        <v>78</v>
      </c>
      <c r="K1082" s="178" t="s">
        <v>79</v>
      </c>
      <c r="L1082" s="178" t="s">
        <v>96</v>
      </c>
      <c r="M1082" s="182">
        <v>2.0</v>
      </c>
      <c r="N1082" s="183">
        <v>0.0</v>
      </c>
      <c r="O1082" s="184">
        <v>200.16</v>
      </c>
      <c r="P1082" s="184">
        <v>200.16</v>
      </c>
      <c r="Q1082" s="185">
        <v>0.0</v>
      </c>
      <c r="R1082" s="186">
        <v>200.16</v>
      </c>
      <c r="S1082" s="186">
        <v>0.0</v>
      </c>
      <c r="T1082" s="186">
        <v>1100.68</v>
      </c>
      <c r="U1082" s="187" t="s">
        <v>97</v>
      </c>
      <c r="V1082" s="176">
        <v>46104.0</v>
      </c>
      <c r="W1082" s="175"/>
      <c r="X1082" s="175"/>
      <c r="Y1082" s="175"/>
      <c r="Z1082" s="175"/>
      <c r="AA1082" s="175"/>
      <c r="AB1082" s="175"/>
      <c r="AC1082" s="175"/>
      <c r="AD1082" s="175"/>
      <c r="AE1082" s="175"/>
      <c r="AF1082" s="175"/>
      <c r="AG1082" s="175"/>
      <c r="AH1082" s="175"/>
      <c r="AI1082" s="175"/>
    </row>
    <row r="1083">
      <c r="A1083" s="176">
        <v>46104.0</v>
      </c>
      <c r="B1083" s="177">
        <v>8319415.0</v>
      </c>
      <c r="C1083" s="178" t="s">
        <v>82</v>
      </c>
      <c r="D1083" s="178" t="s">
        <v>94</v>
      </c>
      <c r="E1083" s="177">
        <v>8319415.0</v>
      </c>
      <c r="F1083" s="178" t="s">
        <v>1377</v>
      </c>
      <c r="G1083" s="176">
        <v>46310.20833333333</v>
      </c>
      <c r="H1083" s="179">
        <v>46311.20833333333</v>
      </c>
      <c r="I1083" s="180">
        <v>1.0</v>
      </c>
      <c r="J1083" s="181" t="s">
        <v>78</v>
      </c>
      <c r="K1083" s="178" t="s">
        <v>79</v>
      </c>
      <c r="L1083" s="178" t="s">
        <v>96</v>
      </c>
      <c r="M1083" s="182">
        <v>2.0</v>
      </c>
      <c r="N1083" s="183">
        <v>0.0</v>
      </c>
      <c r="O1083" s="184">
        <v>200.16</v>
      </c>
      <c r="P1083" s="184">
        <v>200.16</v>
      </c>
      <c r="Q1083" s="185">
        <v>0.0</v>
      </c>
      <c r="R1083" s="186">
        <v>200.16</v>
      </c>
      <c r="S1083" s="186">
        <v>0.0</v>
      </c>
      <c r="T1083" s="186">
        <v>1100.68</v>
      </c>
      <c r="U1083" s="187" t="s">
        <v>97</v>
      </c>
      <c r="V1083" s="176">
        <v>46104.0</v>
      </c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</row>
    <row r="1084">
      <c r="A1084" s="176">
        <v>46104.0</v>
      </c>
      <c r="B1084" s="177">
        <v>8319415.0</v>
      </c>
      <c r="C1084" s="178" t="s">
        <v>82</v>
      </c>
      <c r="D1084" s="178" t="s">
        <v>94</v>
      </c>
      <c r="E1084" s="177">
        <v>8319415.0</v>
      </c>
      <c r="F1084" s="178" t="s">
        <v>1377</v>
      </c>
      <c r="G1084" s="176">
        <v>46310.20833333333</v>
      </c>
      <c r="H1084" s="179">
        <v>46311.20833333333</v>
      </c>
      <c r="I1084" s="180">
        <v>1.0</v>
      </c>
      <c r="J1084" s="181" t="s">
        <v>114</v>
      </c>
      <c r="K1084" s="178" t="s">
        <v>79</v>
      </c>
      <c r="L1084" s="178" t="s">
        <v>96</v>
      </c>
      <c r="M1084" s="182">
        <v>2.0</v>
      </c>
      <c r="N1084" s="183">
        <v>0.0</v>
      </c>
      <c r="O1084" s="184">
        <v>225.36</v>
      </c>
      <c r="P1084" s="184">
        <v>225.36</v>
      </c>
      <c r="Q1084" s="185">
        <v>0.0</v>
      </c>
      <c r="R1084" s="186">
        <v>225.36</v>
      </c>
      <c r="S1084" s="186">
        <v>0.0</v>
      </c>
      <c r="T1084" s="186">
        <v>1100.68</v>
      </c>
      <c r="U1084" s="187" t="s">
        <v>97</v>
      </c>
      <c r="V1084" s="176">
        <v>46104.0</v>
      </c>
      <c r="W1084" s="175"/>
      <c r="X1084" s="175"/>
      <c r="Y1084" s="175"/>
      <c r="Z1084" s="175"/>
      <c r="AA1084" s="175"/>
      <c r="AB1084" s="175"/>
      <c r="AC1084" s="175"/>
      <c r="AD1084" s="175"/>
      <c r="AE1084" s="175"/>
      <c r="AF1084" s="175"/>
      <c r="AG1084" s="175"/>
      <c r="AH1084" s="175"/>
      <c r="AI1084" s="175"/>
    </row>
    <row r="1085">
      <c r="A1085" s="176">
        <v>46104.0</v>
      </c>
      <c r="B1085" s="177">
        <v>8319415.0</v>
      </c>
      <c r="C1085" s="178" t="s">
        <v>82</v>
      </c>
      <c r="D1085" s="178" t="s">
        <v>94</v>
      </c>
      <c r="E1085" s="177">
        <v>8319415.0</v>
      </c>
      <c r="F1085" s="178" t="s">
        <v>1377</v>
      </c>
      <c r="G1085" s="176">
        <v>46310.20833333333</v>
      </c>
      <c r="H1085" s="179">
        <v>46311.20833333333</v>
      </c>
      <c r="I1085" s="180">
        <v>1.0</v>
      </c>
      <c r="J1085" s="181" t="s">
        <v>111</v>
      </c>
      <c r="K1085" s="178" t="s">
        <v>79</v>
      </c>
      <c r="L1085" s="178" t="s">
        <v>96</v>
      </c>
      <c r="M1085" s="182">
        <v>2.0</v>
      </c>
      <c r="N1085" s="183">
        <v>0.0</v>
      </c>
      <c r="O1085" s="184">
        <v>249.84</v>
      </c>
      <c r="P1085" s="184">
        <v>249.84</v>
      </c>
      <c r="Q1085" s="185">
        <v>0.0</v>
      </c>
      <c r="R1085" s="186">
        <v>249.84</v>
      </c>
      <c r="S1085" s="186">
        <v>0.0</v>
      </c>
      <c r="T1085" s="186">
        <v>1100.68</v>
      </c>
      <c r="U1085" s="187" t="s">
        <v>97</v>
      </c>
      <c r="V1085" s="176">
        <v>46104.0</v>
      </c>
      <c r="W1085" s="164"/>
      <c r="X1085" s="164"/>
      <c r="Y1085" s="164"/>
      <c r="Z1085" s="164"/>
      <c r="AA1085" s="164"/>
      <c r="AB1085" s="164"/>
      <c r="AC1085" s="164"/>
      <c r="AD1085" s="164"/>
      <c r="AE1085" s="164"/>
      <c r="AF1085" s="164"/>
      <c r="AG1085" s="164"/>
      <c r="AH1085" s="164"/>
      <c r="AI1085" s="164"/>
    </row>
    <row r="1086">
      <c r="A1086" s="176">
        <v>46104.0</v>
      </c>
      <c r="B1086" s="177">
        <v>8319422.0</v>
      </c>
      <c r="C1086" s="178" t="s">
        <v>82</v>
      </c>
      <c r="D1086" s="178" t="s">
        <v>94</v>
      </c>
      <c r="E1086" s="177">
        <v>8319422.0</v>
      </c>
      <c r="F1086" s="178" t="s">
        <v>1377</v>
      </c>
      <c r="G1086" s="176">
        <v>46331.20833333333</v>
      </c>
      <c r="H1086" s="179">
        <v>46332.20833333333</v>
      </c>
      <c r="I1086" s="180">
        <v>1.0</v>
      </c>
      <c r="J1086" s="181" t="s">
        <v>87</v>
      </c>
      <c r="K1086" s="178" t="s">
        <v>79</v>
      </c>
      <c r="L1086" s="178" t="s">
        <v>96</v>
      </c>
      <c r="M1086" s="182">
        <v>1.0</v>
      </c>
      <c r="N1086" s="183">
        <v>0.0</v>
      </c>
      <c r="O1086" s="184">
        <v>174.96</v>
      </c>
      <c r="P1086" s="184">
        <v>174.96</v>
      </c>
      <c r="Q1086" s="185">
        <v>0.0</v>
      </c>
      <c r="R1086" s="186">
        <v>174.96</v>
      </c>
      <c r="S1086" s="186">
        <v>0.0</v>
      </c>
      <c r="T1086" s="186">
        <v>1048.5</v>
      </c>
      <c r="U1086" s="187" t="s">
        <v>97</v>
      </c>
      <c r="V1086" s="176">
        <v>46104.0</v>
      </c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</row>
    <row r="1087">
      <c r="A1087" s="176">
        <v>46104.0</v>
      </c>
      <c r="B1087" s="177">
        <v>8319422.0</v>
      </c>
      <c r="C1087" s="178" t="s">
        <v>82</v>
      </c>
      <c r="D1087" s="178" t="s">
        <v>94</v>
      </c>
      <c r="E1087" s="177">
        <v>8319422.0</v>
      </c>
      <c r="F1087" s="178" t="s">
        <v>1377</v>
      </c>
      <c r="G1087" s="176">
        <v>46331.20833333333</v>
      </c>
      <c r="H1087" s="179">
        <v>46332.20833333333</v>
      </c>
      <c r="I1087" s="180">
        <v>1.0</v>
      </c>
      <c r="J1087" s="181" t="s">
        <v>78</v>
      </c>
      <c r="K1087" s="178" t="s">
        <v>79</v>
      </c>
      <c r="L1087" s="178" t="s">
        <v>96</v>
      </c>
      <c r="M1087" s="182">
        <v>2.0</v>
      </c>
      <c r="N1087" s="183">
        <v>0.0</v>
      </c>
      <c r="O1087" s="184">
        <v>200.16</v>
      </c>
      <c r="P1087" s="184">
        <v>200.16</v>
      </c>
      <c r="Q1087" s="185">
        <v>0.0</v>
      </c>
      <c r="R1087" s="186">
        <v>200.16</v>
      </c>
      <c r="S1087" s="186">
        <v>0.0</v>
      </c>
      <c r="T1087" s="186">
        <v>1048.5</v>
      </c>
      <c r="U1087" s="187" t="s">
        <v>97</v>
      </c>
      <c r="V1087" s="176">
        <v>46104.0</v>
      </c>
      <c r="W1087" s="164"/>
      <c r="X1087" s="164"/>
      <c r="Y1087" s="164"/>
      <c r="Z1087" s="164"/>
      <c r="AA1087" s="164"/>
      <c r="AB1087" s="164"/>
      <c r="AC1087" s="164"/>
      <c r="AD1087" s="164"/>
      <c r="AE1087" s="164"/>
      <c r="AF1087" s="164"/>
      <c r="AG1087" s="164"/>
      <c r="AH1087" s="164"/>
      <c r="AI1087" s="164"/>
    </row>
    <row r="1088">
      <c r="A1088" s="176">
        <v>46104.0</v>
      </c>
      <c r="B1088" s="177">
        <v>8319422.0</v>
      </c>
      <c r="C1088" s="178" t="s">
        <v>82</v>
      </c>
      <c r="D1088" s="178" t="s">
        <v>94</v>
      </c>
      <c r="E1088" s="177">
        <v>8319422.0</v>
      </c>
      <c r="F1088" s="178" t="s">
        <v>1377</v>
      </c>
      <c r="G1088" s="176">
        <v>46331.20833333333</v>
      </c>
      <c r="H1088" s="179">
        <v>46332.20833333333</v>
      </c>
      <c r="I1088" s="180">
        <v>1.0</v>
      </c>
      <c r="J1088" s="181" t="s">
        <v>78</v>
      </c>
      <c r="K1088" s="178" t="s">
        <v>79</v>
      </c>
      <c r="L1088" s="178" t="s">
        <v>96</v>
      </c>
      <c r="M1088" s="182">
        <v>2.0</v>
      </c>
      <c r="N1088" s="183">
        <v>0.0</v>
      </c>
      <c r="O1088" s="184">
        <v>200.16</v>
      </c>
      <c r="P1088" s="184">
        <v>200.16</v>
      </c>
      <c r="Q1088" s="185">
        <v>0.0</v>
      </c>
      <c r="R1088" s="186">
        <v>200.16</v>
      </c>
      <c r="S1088" s="186">
        <v>0.0</v>
      </c>
      <c r="T1088" s="186">
        <v>1048.5</v>
      </c>
      <c r="U1088" s="187" t="s">
        <v>97</v>
      </c>
      <c r="V1088" s="176">
        <v>46104.0</v>
      </c>
      <c r="W1088" s="175"/>
      <c r="X1088" s="175"/>
      <c r="Y1088" s="175"/>
      <c r="Z1088" s="175"/>
      <c r="AA1088" s="175"/>
      <c r="AB1088" s="175"/>
      <c r="AC1088" s="175"/>
      <c r="AD1088" s="175"/>
      <c r="AE1088" s="175"/>
      <c r="AF1088" s="175"/>
      <c r="AG1088" s="175"/>
      <c r="AH1088" s="175"/>
      <c r="AI1088" s="175"/>
    </row>
    <row r="1089">
      <c r="A1089" s="176">
        <v>46104.0</v>
      </c>
      <c r="B1089" s="177">
        <v>8319422.0</v>
      </c>
      <c r="C1089" s="178" t="s">
        <v>82</v>
      </c>
      <c r="D1089" s="178" t="s">
        <v>94</v>
      </c>
      <c r="E1089" s="177">
        <v>8319422.0</v>
      </c>
      <c r="F1089" s="178" t="s">
        <v>1377</v>
      </c>
      <c r="G1089" s="176">
        <v>46331.20833333333</v>
      </c>
      <c r="H1089" s="179">
        <v>46332.20833333333</v>
      </c>
      <c r="I1089" s="180">
        <v>1.0</v>
      </c>
      <c r="J1089" s="181" t="s">
        <v>114</v>
      </c>
      <c r="K1089" s="178" t="s">
        <v>79</v>
      </c>
      <c r="L1089" s="178" t="s">
        <v>96</v>
      </c>
      <c r="M1089" s="182">
        <v>2.0</v>
      </c>
      <c r="N1089" s="183">
        <v>0.0</v>
      </c>
      <c r="O1089" s="184">
        <v>225.36</v>
      </c>
      <c r="P1089" s="184">
        <v>225.36</v>
      </c>
      <c r="Q1089" s="185">
        <v>0.0</v>
      </c>
      <c r="R1089" s="186">
        <v>225.36</v>
      </c>
      <c r="S1089" s="186">
        <v>0.0</v>
      </c>
      <c r="T1089" s="186">
        <v>1048.5</v>
      </c>
      <c r="U1089" s="187" t="s">
        <v>97</v>
      </c>
      <c r="V1089" s="176">
        <v>46104.0</v>
      </c>
      <c r="W1089" s="175"/>
      <c r="X1089" s="175"/>
      <c r="Y1089" s="175"/>
      <c r="Z1089" s="175"/>
      <c r="AA1089" s="175"/>
      <c r="AB1089" s="175"/>
      <c r="AC1089" s="175"/>
      <c r="AD1089" s="175"/>
      <c r="AE1089" s="175"/>
      <c r="AF1089" s="175"/>
      <c r="AG1089" s="175"/>
      <c r="AH1089" s="175"/>
      <c r="AI1089" s="175"/>
    </row>
    <row r="1090">
      <c r="A1090" s="176">
        <v>46104.0</v>
      </c>
      <c r="B1090" s="177">
        <v>8319422.0</v>
      </c>
      <c r="C1090" s="178" t="s">
        <v>82</v>
      </c>
      <c r="D1090" s="178" t="s">
        <v>94</v>
      </c>
      <c r="E1090" s="177">
        <v>8319422.0</v>
      </c>
      <c r="F1090" s="178" t="s">
        <v>1377</v>
      </c>
      <c r="G1090" s="176">
        <v>46331.20833333333</v>
      </c>
      <c r="H1090" s="179">
        <v>46332.20833333333</v>
      </c>
      <c r="I1090" s="180">
        <v>1.0</v>
      </c>
      <c r="J1090" s="181" t="s">
        <v>114</v>
      </c>
      <c r="K1090" s="178" t="s">
        <v>79</v>
      </c>
      <c r="L1090" s="178" t="s">
        <v>96</v>
      </c>
      <c r="M1090" s="182">
        <v>2.0</v>
      </c>
      <c r="N1090" s="183">
        <v>0.0</v>
      </c>
      <c r="O1090" s="184">
        <v>225.36</v>
      </c>
      <c r="P1090" s="184">
        <v>225.36</v>
      </c>
      <c r="Q1090" s="185">
        <v>0.0</v>
      </c>
      <c r="R1090" s="186">
        <v>225.36</v>
      </c>
      <c r="S1090" s="186">
        <v>0.0</v>
      </c>
      <c r="T1090" s="186">
        <v>1048.5</v>
      </c>
      <c r="U1090" s="187" t="s">
        <v>97</v>
      </c>
      <c r="V1090" s="176">
        <v>46104.0</v>
      </c>
      <c r="W1090" s="164"/>
      <c r="X1090" s="164"/>
      <c r="Y1090" s="164"/>
      <c r="Z1090" s="164"/>
      <c r="AA1090" s="164"/>
      <c r="AB1090" s="164"/>
      <c r="AC1090" s="164"/>
      <c r="AD1090" s="164"/>
      <c r="AE1090" s="164"/>
      <c r="AF1090" s="164"/>
      <c r="AG1090" s="164"/>
      <c r="AH1090" s="164"/>
      <c r="AI1090" s="164"/>
    </row>
    <row r="1091">
      <c r="A1091" s="176">
        <v>46104.0</v>
      </c>
      <c r="B1091" s="177">
        <v>8319475.0</v>
      </c>
      <c r="C1091" s="178" t="s">
        <v>82</v>
      </c>
      <c r="D1091" s="178" t="s">
        <v>35</v>
      </c>
      <c r="E1091" s="177">
        <v>6.594715647E9</v>
      </c>
      <c r="F1091" s="178" t="s">
        <v>1378</v>
      </c>
      <c r="G1091" s="176">
        <v>46275.0</v>
      </c>
      <c r="H1091" s="179">
        <v>46276.0</v>
      </c>
      <c r="I1091" s="180">
        <v>1.0</v>
      </c>
      <c r="J1091" s="181" t="s">
        <v>114</v>
      </c>
      <c r="K1091" s="178" t="s">
        <v>79</v>
      </c>
      <c r="L1091" s="178" t="s">
        <v>80</v>
      </c>
      <c r="M1091" s="182">
        <v>2.0</v>
      </c>
      <c r="N1091" s="183">
        <v>0.19999999999999996</v>
      </c>
      <c r="O1091" s="184">
        <v>184.24</v>
      </c>
      <c r="P1091" s="184">
        <v>147.39200000000002</v>
      </c>
      <c r="Q1091" s="185">
        <v>0.0</v>
      </c>
      <c r="R1091" s="186">
        <v>147.39200000000002</v>
      </c>
      <c r="S1091" s="186">
        <v>0.0</v>
      </c>
      <c r="T1091" s="186">
        <v>189.24</v>
      </c>
      <c r="U1091" s="187" t="s">
        <v>1367</v>
      </c>
      <c r="V1091" s="176">
        <v>46104.0</v>
      </c>
      <c r="W1091" s="175"/>
      <c r="X1091" s="175"/>
      <c r="Y1091" s="175"/>
      <c r="Z1091" s="175"/>
      <c r="AA1091" s="175"/>
      <c r="AB1091" s="175"/>
      <c r="AC1091" s="175"/>
      <c r="AD1091" s="175"/>
      <c r="AE1091" s="175"/>
      <c r="AF1091" s="175"/>
      <c r="AG1091" s="175"/>
      <c r="AH1091" s="175"/>
      <c r="AI1091" s="175"/>
    </row>
    <row r="1092">
      <c r="A1092" s="176">
        <v>46104.0</v>
      </c>
      <c r="B1092" s="177">
        <v>8322164.0</v>
      </c>
      <c r="C1092" s="178" t="s">
        <v>89</v>
      </c>
      <c r="D1092" s="178" t="s">
        <v>35</v>
      </c>
      <c r="E1092" s="177">
        <v>5.901123479E9</v>
      </c>
      <c r="F1092" s="178" t="s">
        <v>1379</v>
      </c>
      <c r="G1092" s="176">
        <v>46148.0</v>
      </c>
      <c r="H1092" s="179">
        <v>46149.0</v>
      </c>
      <c r="I1092" s="180">
        <v>1.0</v>
      </c>
      <c r="J1092" s="181" t="s">
        <v>78</v>
      </c>
      <c r="K1092" s="178" t="s">
        <v>79</v>
      </c>
      <c r="L1092" s="178" t="s">
        <v>80</v>
      </c>
      <c r="M1092" s="182">
        <v>0.0</v>
      </c>
      <c r="N1092" s="183">
        <v>0.0</v>
      </c>
      <c r="O1092" s="184">
        <v>0.0</v>
      </c>
      <c r="P1092" s="184">
        <v>0.0</v>
      </c>
      <c r="Q1092" s="185">
        <v>0.0</v>
      </c>
      <c r="R1092" s="186">
        <v>0.0</v>
      </c>
      <c r="S1092" s="186">
        <v>0.0</v>
      </c>
      <c r="T1092" s="186">
        <v>0.0</v>
      </c>
      <c r="U1092" s="187" t="s">
        <v>1380</v>
      </c>
      <c r="V1092" s="176">
        <v>46107.0</v>
      </c>
      <c r="W1092" s="175"/>
      <c r="X1092" s="175"/>
      <c r="Y1092" s="175"/>
      <c r="Z1092" s="175"/>
      <c r="AA1092" s="175"/>
      <c r="AB1092" s="175"/>
      <c r="AC1092" s="175"/>
      <c r="AD1092" s="175"/>
      <c r="AE1092" s="175"/>
      <c r="AF1092" s="175"/>
      <c r="AG1092" s="175"/>
      <c r="AH1092" s="175"/>
      <c r="AI1092" s="175"/>
    </row>
    <row r="1093">
      <c r="A1093" s="176">
        <v>46105.0</v>
      </c>
      <c r="B1093" s="177">
        <v>8322488.0</v>
      </c>
      <c r="C1093" s="178" t="s">
        <v>82</v>
      </c>
      <c r="D1093" s="178" t="s">
        <v>109</v>
      </c>
      <c r="E1093" s="177">
        <v>6.41194887E8</v>
      </c>
      <c r="F1093" s="178" t="s">
        <v>1381</v>
      </c>
      <c r="G1093" s="176">
        <v>46159.0</v>
      </c>
      <c r="H1093" s="179">
        <v>46161.0</v>
      </c>
      <c r="I1093" s="180">
        <v>2.0</v>
      </c>
      <c r="J1093" s="181" t="s">
        <v>91</v>
      </c>
      <c r="K1093" s="178" t="s">
        <v>79</v>
      </c>
      <c r="L1093" s="178" t="s">
        <v>96</v>
      </c>
      <c r="M1093" s="182">
        <v>4.0</v>
      </c>
      <c r="N1093" s="183">
        <v>0.19999999999999996</v>
      </c>
      <c r="O1093" s="184">
        <v>531.04</v>
      </c>
      <c r="P1093" s="184">
        <v>424.832</v>
      </c>
      <c r="Q1093" s="185">
        <v>0.0</v>
      </c>
      <c r="R1093" s="186">
        <v>849.664</v>
      </c>
      <c r="S1093" s="186">
        <v>0.0</v>
      </c>
      <c r="T1093" s="186">
        <v>1062.08</v>
      </c>
      <c r="U1093" s="187" t="s">
        <v>112</v>
      </c>
      <c r="V1093" s="176">
        <v>46105.0</v>
      </c>
      <c r="W1093" s="188"/>
      <c r="X1093" s="188"/>
      <c r="Y1093" s="188"/>
      <c r="Z1093" s="188"/>
      <c r="AA1093" s="188"/>
      <c r="AB1093" s="188"/>
      <c r="AC1093" s="188"/>
      <c r="AD1093" s="188"/>
      <c r="AE1093" s="188"/>
      <c r="AF1093" s="188"/>
      <c r="AG1093" s="188"/>
      <c r="AH1093" s="188"/>
      <c r="AI1093" s="188"/>
    </row>
    <row r="1094">
      <c r="A1094" s="176">
        <v>46105.0</v>
      </c>
      <c r="B1094" s="177">
        <v>8322495.0</v>
      </c>
      <c r="C1094" s="178" t="s">
        <v>82</v>
      </c>
      <c r="D1094" s="178" t="s">
        <v>101</v>
      </c>
      <c r="E1094" s="177">
        <v>2.422010427E9</v>
      </c>
      <c r="F1094" s="178" t="s">
        <v>1345</v>
      </c>
      <c r="G1094" s="176">
        <v>46198.0</v>
      </c>
      <c r="H1094" s="179">
        <v>46202.0</v>
      </c>
      <c r="I1094" s="180">
        <v>4.0</v>
      </c>
      <c r="J1094" s="181" t="s">
        <v>78</v>
      </c>
      <c r="K1094" s="178" t="s">
        <v>79</v>
      </c>
      <c r="L1094" s="178" t="s">
        <v>103</v>
      </c>
      <c r="M1094" s="182">
        <v>2.0</v>
      </c>
      <c r="N1094" s="183">
        <v>0.0</v>
      </c>
      <c r="O1094" s="184">
        <v>158.77</v>
      </c>
      <c r="P1094" s="184">
        <v>127.01600000000002</v>
      </c>
      <c r="Q1094" s="185">
        <v>0.0</v>
      </c>
      <c r="R1094" s="186">
        <v>508.0640000000001</v>
      </c>
      <c r="S1094" s="186">
        <v>0.0</v>
      </c>
      <c r="T1094" s="186">
        <v>635.08</v>
      </c>
      <c r="U1094" s="187" t="s">
        <v>104</v>
      </c>
      <c r="V1094" s="176">
        <v>46105.0</v>
      </c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</row>
    <row r="1095">
      <c r="A1095" s="176">
        <v>46105.0</v>
      </c>
      <c r="B1095" s="177">
        <v>8324068.0</v>
      </c>
      <c r="C1095" s="178" t="s">
        <v>82</v>
      </c>
      <c r="D1095" s="178" t="s">
        <v>36</v>
      </c>
      <c r="E1095" s="177">
        <v>8324068.0</v>
      </c>
      <c r="F1095" s="178" t="s">
        <v>1382</v>
      </c>
      <c r="G1095" s="176">
        <v>46364.20833333333</v>
      </c>
      <c r="H1095" s="179">
        <v>46367.20833333333</v>
      </c>
      <c r="I1095" s="180">
        <v>3.0</v>
      </c>
      <c r="J1095" s="181" t="s">
        <v>78</v>
      </c>
      <c r="K1095" s="178" t="s">
        <v>79</v>
      </c>
      <c r="L1095" s="178" t="s">
        <v>96</v>
      </c>
      <c r="M1095" s="182">
        <v>2.0</v>
      </c>
      <c r="N1095" s="183">
        <v>0.0</v>
      </c>
      <c r="O1095" s="184">
        <v>162.63</v>
      </c>
      <c r="P1095" s="184">
        <v>161.00369999999998</v>
      </c>
      <c r="Q1095" s="185">
        <v>0.0</v>
      </c>
      <c r="R1095" s="186">
        <v>483.01109999999994</v>
      </c>
      <c r="S1095" s="186">
        <v>0.0</v>
      </c>
      <c r="T1095" s="186">
        <v>502.89</v>
      </c>
      <c r="U1095" s="187" t="s">
        <v>97</v>
      </c>
      <c r="V1095" s="176">
        <v>46105.0</v>
      </c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</row>
    <row r="1096">
      <c r="A1096" s="176">
        <v>46105.0</v>
      </c>
      <c r="B1096" s="177">
        <v>8325085.0</v>
      </c>
      <c r="C1096" s="178" t="s">
        <v>89</v>
      </c>
      <c r="D1096" s="178" t="s">
        <v>35</v>
      </c>
      <c r="E1096" s="177">
        <v>6.170229909E9</v>
      </c>
      <c r="F1096" s="178" t="s">
        <v>1363</v>
      </c>
      <c r="G1096" s="176">
        <v>46282.0</v>
      </c>
      <c r="H1096" s="179">
        <v>46284.0</v>
      </c>
      <c r="I1096" s="180">
        <v>2.0</v>
      </c>
      <c r="J1096" s="181" t="s">
        <v>114</v>
      </c>
      <c r="K1096" s="178" t="s">
        <v>79</v>
      </c>
      <c r="L1096" s="178" t="s">
        <v>80</v>
      </c>
      <c r="M1096" s="182">
        <v>0.0</v>
      </c>
      <c r="N1096" s="183">
        <v>0.0</v>
      </c>
      <c r="O1096" s="184">
        <v>0.0</v>
      </c>
      <c r="P1096" s="184">
        <v>0.0</v>
      </c>
      <c r="Q1096" s="185">
        <v>0.0</v>
      </c>
      <c r="R1096" s="186">
        <v>0.0</v>
      </c>
      <c r="S1096" s="186">
        <v>0.0</v>
      </c>
      <c r="T1096" s="186">
        <v>0.0</v>
      </c>
      <c r="U1096" s="187" t="s">
        <v>1383</v>
      </c>
      <c r="V1096" s="176">
        <v>46163.0</v>
      </c>
      <c r="W1096" s="175"/>
      <c r="X1096" s="175"/>
      <c r="Y1096" s="175"/>
      <c r="Z1096" s="175"/>
      <c r="AA1096" s="175"/>
      <c r="AB1096" s="175"/>
      <c r="AC1096" s="175"/>
      <c r="AD1096" s="175"/>
      <c r="AE1096" s="175"/>
      <c r="AF1096" s="175"/>
      <c r="AG1096" s="175"/>
      <c r="AH1096" s="175"/>
      <c r="AI1096" s="175"/>
    </row>
    <row r="1097">
      <c r="A1097" s="176">
        <v>46105.0</v>
      </c>
      <c r="B1097" s="177">
        <v>8325254.0</v>
      </c>
      <c r="C1097" s="178" t="s">
        <v>89</v>
      </c>
      <c r="D1097" s="178" t="s">
        <v>35</v>
      </c>
      <c r="E1097" s="177">
        <v>5.870412688E9</v>
      </c>
      <c r="F1097" s="178" t="s">
        <v>1384</v>
      </c>
      <c r="G1097" s="176">
        <v>46351.20833333333</v>
      </c>
      <c r="H1097" s="179">
        <v>46354.20833333333</v>
      </c>
      <c r="I1097" s="180">
        <v>3.0</v>
      </c>
      <c r="J1097" s="181" t="s">
        <v>78</v>
      </c>
      <c r="K1097" s="178" t="s">
        <v>79</v>
      </c>
      <c r="L1097" s="178" t="s">
        <v>80</v>
      </c>
      <c r="M1097" s="182">
        <v>0.0</v>
      </c>
      <c r="N1097" s="183">
        <v>0.0</v>
      </c>
      <c r="O1097" s="184">
        <v>0.0</v>
      </c>
      <c r="P1097" s="184">
        <v>0.0</v>
      </c>
      <c r="Q1097" s="185">
        <v>0.0</v>
      </c>
      <c r="R1097" s="186">
        <v>0.0</v>
      </c>
      <c r="S1097" s="186">
        <v>0.0</v>
      </c>
      <c r="T1097" s="186">
        <v>0.0</v>
      </c>
      <c r="U1097" s="187" t="s">
        <v>1385</v>
      </c>
      <c r="V1097" s="176">
        <v>46223.0</v>
      </c>
      <c r="W1097" s="188"/>
      <c r="X1097" s="188"/>
      <c r="Y1097" s="188"/>
      <c r="Z1097" s="188"/>
      <c r="AA1097" s="188"/>
      <c r="AB1097" s="188"/>
      <c r="AC1097" s="188"/>
      <c r="AD1097" s="188"/>
      <c r="AE1097" s="188"/>
      <c r="AF1097" s="188"/>
      <c r="AG1097" s="188"/>
      <c r="AH1097" s="188"/>
      <c r="AI1097" s="188"/>
    </row>
    <row r="1098">
      <c r="A1098" s="176">
        <v>46105.0</v>
      </c>
      <c r="B1098" s="177">
        <v>8325254.0</v>
      </c>
      <c r="C1098" s="178" t="s">
        <v>89</v>
      </c>
      <c r="D1098" s="178" t="s">
        <v>35</v>
      </c>
      <c r="E1098" s="177">
        <v>5.870412688E9</v>
      </c>
      <c r="F1098" s="178" t="s">
        <v>1384</v>
      </c>
      <c r="G1098" s="176">
        <v>46351.20833333333</v>
      </c>
      <c r="H1098" s="179">
        <v>46354.20833333333</v>
      </c>
      <c r="I1098" s="180">
        <v>3.0</v>
      </c>
      <c r="J1098" s="181" t="s">
        <v>114</v>
      </c>
      <c r="K1098" s="178" t="s">
        <v>79</v>
      </c>
      <c r="L1098" s="178" t="s">
        <v>80</v>
      </c>
      <c r="M1098" s="182">
        <v>0.0</v>
      </c>
      <c r="N1098" s="183">
        <v>0.0</v>
      </c>
      <c r="O1098" s="184">
        <v>0.0</v>
      </c>
      <c r="P1098" s="184">
        <v>0.0</v>
      </c>
      <c r="Q1098" s="185">
        <v>0.0</v>
      </c>
      <c r="R1098" s="186">
        <v>0.0</v>
      </c>
      <c r="S1098" s="186">
        <v>0.0</v>
      </c>
      <c r="T1098" s="186">
        <v>0.0</v>
      </c>
      <c r="U1098" s="187" t="s">
        <v>1385</v>
      </c>
      <c r="V1098" s="176">
        <v>46223.0</v>
      </c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</row>
    <row r="1099">
      <c r="A1099" s="176">
        <v>46105.0</v>
      </c>
      <c r="B1099" s="177">
        <v>8325254.0</v>
      </c>
      <c r="C1099" s="178" t="s">
        <v>89</v>
      </c>
      <c r="D1099" s="178" t="s">
        <v>35</v>
      </c>
      <c r="E1099" s="177">
        <v>5.870412688E9</v>
      </c>
      <c r="F1099" s="178" t="s">
        <v>1384</v>
      </c>
      <c r="G1099" s="176">
        <v>46351.20833333333</v>
      </c>
      <c r="H1099" s="179">
        <v>46354.20833333333</v>
      </c>
      <c r="I1099" s="180">
        <v>3.0</v>
      </c>
      <c r="J1099" s="181" t="s">
        <v>91</v>
      </c>
      <c r="K1099" s="178" t="s">
        <v>79</v>
      </c>
      <c r="L1099" s="178" t="s">
        <v>80</v>
      </c>
      <c r="M1099" s="182">
        <v>0.0</v>
      </c>
      <c r="N1099" s="183">
        <v>0.0</v>
      </c>
      <c r="O1099" s="184">
        <v>0.0</v>
      </c>
      <c r="P1099" s="184">
        <v>0.0</v>
      </c>
      <c r="Q1099" s="185">
        <v>0.0</v>
      </c>
      <c r="R1099" s="186">
        <v>0.0</v>
      </c>
      <c r="S1099" s="186">
        <v>0.0</v>
      </c>
      <c r="T1099" s="186">
        <v>0.0</v>
      </c>
      <c r="U1099" s="187" t="s">
        <v>1385</v>
      </c>
      <c r="V1099" s="176">
        <v>46223.0</v>
      </c>
      <c r="W1099" s="175"/>
      <c r="X1099" s="175"/>
      <c r="Y1099" s="175"/>
      <c r="Z1099" s="175"/>
      <c r="AA1099" s="175"/>
      <c r="AB1099" s="175"/>
      <c r="AC1099" s="175"/>
      <c r="AD1099" s="175"/>
      <c r="AE1099" s="175"/>
      <c r="AF1099" s="175"/>
      <c r="AG1099" s="175"/>
      <c r="AH1099" s="175"/>
      <c r="AI1099" s="175"/>
    </row>
    <row r="1100">
      <c r="A1100" s="176">
        <v>46105.0</v>
      </c>
      <c r="B1100" s="177">
        <v>8325254.0</v>
      </c>
      <c r="C1100" s="178" t="s">
        <v>89</v>
      </c>
      <c r="D1100" s="178" t="s">
        <v>35</v>
      </c>
      <c r="E1100" s="177">
        <v>5.870412688E9</v>
      </c>
      <c r="F1100" s="178" t="s">
        <v>1384</v>
      </c>
      <c r="G1100" s="176">
        <v>46351.20833333333</v>
      </c>
      <c r="H1100" s="179">
        <v>46354.20833333333</v>
      </c>
      <c r="I1100" s="180">
        <v>3.0</v>
      </c>
      <c r="J1100" s="181" t="s">
        <v>114</v>
      </c>
      <c r="K1100" s="178" t="s">
        <v>79</v>
      </c>
      <c r="L1100" s="178" t="s">
        <v>80</v>
      </c>
      <c r="M1100" s="182">
        <v>0.0</v>
      </c>
      <c r="N1100" s="183">
        <v>0.0</v>
      </c>
      <c r="O1100" s="184">
        <v>0.0</v>
      </c>
      <c r="P1100" s="184">
        <v>0.0</v>
      </c>
      <c r="Q1100" s="185">
        <v>0.0</v>
      </c>
      <c r="R1100" s="186">
        <v>0.0</v>
      </c>
      <c r="S1100" s="186">
        <v>0.0</v>
      </c>
      <c r="T1100" s="186">
        <v>0.0</v>
      </c>
      <c r="U1100" s="187" t="s">
        <v>1385</v>
      </c>
      <c r="V1100" s="176">
        <v>46223.0</v>
      </c>
      <c r="W1100" s="164"/>
      <c r="X1100" s="164"/>
      <c r="Y1100" s="164"/>
      <c r="Z1100" s="164"/>
      <c r="AA1100" s="164"/>
      <c r="AB1100" s="164"/>
      <c r="AC1100" s="164"/>
      <c r="AD1100" s="164"/>
      <c r="AE1100" s="164"/>
      <c r="AF1100" s="164"/>
      <c r="AG1100" s="164"/>
      <c r="AH1100" s="164"/>
      <c r="AI1100" s="164"/>
    </row>
    <row r="1101">
      <c r="A1101" s="176">
        <v>46105.0</v>
      </c>
      <c r="B1101" s="177">
        <v>8326024.0</v>
      </c>
      <c r="C1101" s="178" t="s">
        <v>89</v>
      </c>
      <c r="D1101" s="178" t="s">
        <v>35</v>
      </c>
      <c r="E1101" s="177">
        <v>6.198723929E9</v>
      </c>
      <c r="F1101" s="178" t="s">
        <v>1386</v>
      </c>
      <c r="G1101" s="176">
        <v>46153.0</v>
      </c>
      <c r="H1101" s="179">
        <v>46155.0</v>
      </c>
      <c r="I1101" s="180">
        <v>2.0</v>
      </c>
      <c r="J1101" s="181" t="s">
        <v>78</v>
      </c>
      <c r="K1101" s="178" t="s">
        <v>79</v>
      </c>
      <c r="L1101" s="178" t="s">
        <v>80</v>
      </c>
      <c r="M1101" s="182">
        <v>0.0</v>
      </c>
      <c r="N1101" s="183">
        <v>0.0</v>
      </c>
      <c r="O1101" s="184">
        <v>0.0</v>
      </c>
      <c r="P1101" s="184">
        <v>0.0</v>
      </c>
      <c r="Q1101" s="185">
        <v>0.0</v>
      </c>
      <c r="R1101" s="186">
        <v>0.0</v>
      </c>
      <c r="S1101" s="186">
        <v>0.0</v>
      </c>
      <c r="T1101" s="186">
        <v>0.0</v>
      </c>
      <c r="U1101" s="187" t="s">
        <v>1383</v>
      </c>
      <c r="V1101" s="176">
        <v>46122.0</v>
      </c>
      <c r="W1101" s="175"/>
      <c r="X1101" s="175"/>
      <c r="Y1101" s="175"/>
      <c r="Z1101" s="175"/>
      <c r="AA1101" s="175"/>
      <c r="AB1101" s="175"/>
      <c r="AC1101" s="175"/>
      <c r="AD1101" s="175"/>
      <c r="AE1101" s="175"/>
      <c r="AF1101" s="175"/>
      <c r="AG1101" s="175"/>
      <c r="AH1101" s="175"/>
      <c r="AI1101" s="175"/>
    </row>
    <row r="1102">
      <c r="A1102" s="176">
        <v>46105.0</v>
      </c>
      <c r="B1102" s="177">
        <v>8326092.0</v>
      </c>
      <c r="C1102" s="178" t="s">
        <v>82</v>
      </c>
      <c r="D1102" s="178" t="s">
        <v>35</v>
      </c>
      <c r="E1102" s="177">
        <v>6.968603102E9</v>
      </c>
      <c r="F1102" s="178" t="s">
        <v>1387</v>
      </c>
      <c r="G1102" s="176">
        <v>46149.0</v>
      </c>
      <c r="H1102" s="179">
        <v>46151.0</v>
      </c>
      <c r="I1102" s="180">
        <v>2.0</v>
      </c>
      <c r="J1102" s="181" t="s">
        <v>78</v>
      </c>
      <c r="K1102" s="178" t="s">
        <v>79</v>
      </c>
      <c r="L1102" s="178" t="s">
        <v>80</v>
      </c>
      <c r="M1102" s="182">
        <v>2.0</v>
      </c>
      <c r="N1102" s="183">
        <v>0.19999999999999996</v>
      </c>
      <c r="O1102" s="184">
        <v>180.36</v>
      </c>
      <c r="P1102" s="184">
        <v>144.288</v>
      </c>
      <c r="Q1102" s="185">
        <v>0.0</v>
      </c>
      <c r="R1102" s="186">
        <v>288.576</v>
      </c>
      <c r="S1102" s="186">
        <v>0.0</v>
      </c>
      <c r="T1102" s="186">
        <v>370.72</v>
      </c>
      <c r="U1102" s="187" t="s">
        <v>107</v>
      </c>
      <c r="V1102" s="176">
        <v>46105.0</v>
      </c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</row>
    <row r="1103">
      <c r="A1103" s="176">
        <v>46106.0</v>
      </c>
      <c r="B1103" s="177">
        <v>8329483.0</v>
      </c>
      <c r="C1103" s="178" t="s">
        <v>82</v>
      </c>
      <c r="D1103" s="178" t="s">
        <v>35</v>
      </c>
      <c r="E1103" s="177">
        <v>5.971800729E9</v>
      </c>
      <c r="F1103" s="178" t="s">
        <v>1388</v>
      </c>
      <c r="G1103" s="176">
        <v>46381.20833333333</v>
      </c>
      <c r="H1103" s="179">
        <v>46384.20833333333</v>
      </c>
      <c r="I1103" s="180">
        <v>3.0</v>
      </c>
      <c r="J1103" s="181" t="s">
        <v>78</v>
      </c>
      <c r="K1103" s="178" t="s">
        <v>79</v>
      </c>
      <c r="L1103" s="178" t="s">
        <v>80</v>
      </c>
      <c r="M1103" s="182">
        <v>2.0</v>
      </c>
      <c r="N1103" s="183">
        <v>0.19999999999999996</v>
      </c>
      <c r="O1103" s="184">
        <v>243.84</v>
      </c>
      <c r="P1103" s="184">
        <v>195.072</v>
      </c>
      <c r="Q1103" s="185">
        <v>0.0</v>
      </c>
      <c r="R1103" s="186">
        <v>585.216</v>
      </c>
      <c r="S1103" s="186">
        <v>0.0</v>
      </c>
      <c r="T1103" s="186">
        <v>2980.74</v>
      </c>
      <c r="U1103" s="187" t="s">
        <v>303</v>
      </c>
      <c r="V1103" s="176">
        <v>46106.0</v>
      </c>
      <c r="W1103" s="175"/>
      <c r="X1103" s="175"/>
      <c r="Y1103" s="175"/>
      <c r="Z1103" s="175"/>
      <c r="AA1103" s="175"/>
      <c r="AB1103" s="175"/>
      <c r="AC1103" s="175"/>
      <c r="AD1103" s="175"/>
      <c r="AE1103" s="175"/>
      <c r="AF1103" s="175"/>
      <c r="AG1103" s="175"/>
      <c r="AH1103" s="175"/>
      <c r="AI1103" s="175"/>
    </row>
    <row r="1104">
      <c r="A1104" s="176">
        <v>46106.0</v>
      </c>
      <c r="B1104" s="177">
        <v>8329483.0</v>
      </c>
      <c r="C1104" s="178" t="s">
        <v>82</v>
      </c>
      <c r="D1104" s="178" t="s">
        <v>35</v>
      </c>
      <c r="E1104" s="177">
        <v>5.971800729E9</v>
      </c>
      <c r="F1104" s="178" t="s">
        <v>1388</v>
      </c>
      <c r="G1104" s="176">
        <v>46381.20833333333</v>
      </c>
      <c r="H1104" s="179">
        <v>46384.20833333333</v>
      </c>
      <c r="I1104" s="180">
        <v>3.0</v>
      </c>
      <c r="J1104" s="181" t="s">
        <v>114</v>
      </c>
      <c r="K1104" s="178" t="s">
        <v>79</v>
      </c>
      <c r="L1104" s="178" t="s">
        <v>80</v>
      </c>
      <c r="M1104" s="182">
        <v>1.0</v>
      </c>
      <c r="N1104" s="183">
        <v>0.19999999999999996</v>
      </c>
      <c r="O1104" s="184">
        <v>269.04</v>
      </c>
      <c r="P1104" s="184">
        <v>215.23200000000003</v>
      </c>
      <c r="Q1104" s="185">
        <v>0.0</v>
      </c>
      <c r="R1104" s="186">
        <v>645.6960000000001</v>
      </c>
      <c r="S1104" s="186">
        <v>0.0</v>
      </c>
      <c r="T1104" s="186">
        <v>2980.74</v>
      </c>
      <c r="U1104" s="187" t="s">
        <v>303</v>
      </c>
      <c r="V1104" s="176">
        <v>46106.0</v>
      </c>
      <c r="W1104" s="164"/>
      <c r="X1104" s="164"/>
      <c r="Y1104" s="164"/>
      <c r="Z1104" s="164"/>
      <c r="AA1104" s="164"/>
      <c r="AB1104" s="164"/>
      <c r="AC1104" s="164"/>
      <c r="AD1104" s="164"/>
      <c r="AE1104" s="164"/>
      <c r="AF1104" s="164"/>
      <c r="AG1104" s="164"/>
      <c r="AH1104" s="164"/>
      <c r="AI1104" s="164"/>
    </row>
    <row r="1105">
      <c r="A1105" s="176">
        <v>46106.0</v>
      </c>
      <c r="B1105" s="177">
        <v>8329483.0</v>
      </c>
      <c r="C1105" s="178" t="s">
        <v>82</v>
      </c>
      <c r="D1105" s="178" t="s">
        <v>35</v>
      </c>
      <c r="E1105" s="177">
        <v>5.971800729E9</v>
      </c>
      <c r="F1105" s="178" t="s">
        <v>1388</v>
      </c>
      <c r="G1105" s="176">
        <v>46381.20833333333</v>
      </c>
      <c r="H1105" s="179">
        <v>46384.20833333333</v>
      </c>
      <c r="I1105" s="180">
        <v>3.0</v>
      </c>
      <c r="J1105" s="181" t="s">
        <v>78</v>
      </c>
      <c r="K1105" s="178" t="s">
        <v>79</v>
      </c>
      <c r="L1105" s="178" t="s">
        <v>80</v>
      </c>
      <c r="M1105" s="182">
        <v>2.0</v>
      </c>
      <c r="N1105" s="183">
        <v>0.19999999999999996</v>
      </c>
      <c r="O1105" s="184">
        <v>243.84</v>
      </c>
      <c r="P1105" s="184">
        <v>195.072</v>
      </c>
      <c r="Q1105" s="185">
        <v>0.0</v>
      </c>
      <c r="R1105" s="186">
        <v>585.216</v>
      </c>
      <c r="S1105" s="186">
        <v>0.0</v>
      </c>
      <c r="T1105" s="186">
        <v>2980.74</v>
      </c>
      <c r="U1105" s="187" t="s">
        <v>303</v>
      </c>
      <c r="V1105" s="176">
        <v>46106.0</v>
      </c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</row>
    <row r="1106">
      <c r="A1106" s="176">
        <v>46106.0</v>
      </c>
      <c r="B1106" s="177">
        <v>8329483.0</v>
      </c>
      <c r="C1106" s="178" t="s">
        <v>82</v>
      </c>
      <c r="D1106" s="178" t="s">
        <v>35</v>
      </c>
      <c r="E1106" s="177">
        <v>5.971800729E9</v>
      </c>
      <c r="F1106" s="178" t="s">
        <v>1388</v>
      </c>
      <c r="G1106" s="176">
        <v>46381.20833333333</v>
      </c>
      <c r="H1106" s="179">
        <v>46384.20833333333</v>
      </c>
      <c r="I1106" s="180">
        <v>3.0</v>
      </c>
      <c r="J1106" s="181" t="s">
        <v>87</v>
      </c>
      <c r="K1106" s="178" t="s">
        <v>79</v>
      </c>
      <c r="L1106" s="178" t="s">
        <v>80</v>
      </c>
      <c r="M1106" s="182">
        <v>2.0</v>
      </c>
      <c r="N1106" s="183">
        <v>0.19999999999999996</v>
      </c>
      <c r="O1106" s="184">
        <v>219.36</v>
      </c>
      <c r="P1106" s="184">
        <v>175.48800000000003</v>
      </c>
      <c r="Q1106" s="185">
        <v>0.0</v>
      </c>
      <c r="R1106" s="186">
        <v>526.464</v>
      </c>
      <c r="S1106" s="186">
        <v>0.0</v>
      </c>
      <c r="T1106" s="186">
        <v>2980.74</v>
      </c>
      <c r="U1106" s="187" t="s">
        <v>303</v>
      </c>
      <c r="V1106" s="176">
        <v>46106.0</v>
      </c>
      <c r="W1106" s="175"/>
      <c r="X1106" s="175"/>
      <c r="Y1106" s="175"/>
      <c r="Z1106" s="175"/>
      <c r="AA1106" s="175"/>
      <c r="AB1106" s="175"/>
      <c r="AC1106" s="175"/>
      <c r="AD1106" s="175"/>
      <c r="AE1106" s="175"/>
      <c r="AF1106" s="175"/>
      <c r="AG1106" s="175"/>
      <c r="AH1106" s="175"/>
      <c r="AI1106" s="175"/>
    </row>
    <row r="1107">
      <c r="A1107" s="176">
        <v>46106.0</v>
      </c>
      <c r="B1107" s="177">
        <v>8329956.0</v>
      </c>
      <c r="C1107" s="178" t="s">
        <v>82</v>
      </c>
      <c r="D1107" s="178" t="s">
        <v>35</v>
      </c>
      <c r="E1107" s="177">
        <v>6.997156447E9</v>
      </c>
      <c r="F1107" s="178" t="s">
        <v>1389</v>
      </c>
      <c r="G1107" s="176">
        <v>46157.0</v>
      </c>
      <c r="H1107" s="179">
        <v>46160.0</v>
      </c>
      <c r="I1107" s="180">
        <v>3.0</v>
      </c>
      <c r="J1107" s="181" t="s">
        <v>111</v>
      </c>
      <c r="K1107" s="178" t="s">
        <v>79</v>
      </c>
      <c r="L1107" s="178" t="s">
        <v>80</v>
      </c>
      <c r="M1107" s="182">
        <v>2.0</v>
      </c>
      <c r="N1107" s="183">
        <v>0.19999999999999996</v>
      </c>
      <c r="O1107" s="184">
        <v>211.99</v>
      </c>
      <c r="P1107" s="184">
        <v>169.592</v>
      </c>
      <c r="Q1107" s="185">
        <v>0.0</v>
      </c>
      <c r="R1107" s="186">
        <v>508.77600000000007</v>
      </c>
      <c r="S1107" s="186">
        <v>0.0</v>
      </c>
      <c r="T1107" s="186">
        <v>650.97</v>
      </c>
      <c r="U1107" s="187" t="s">
        <v>107</v>
      </c>
      <c r="V1107" s="176">
        <v>46106.0</v>
      </c>
      <c r="W1107" s="175"/>
      <c r="X1107" s="175"/>
      <c r="Y1107" s="175"/>
      <c r="Z1107" s="175"/>
      <c r="AA1107" s="175"/>
      <c r="AB1107" s="175"/>
      <c r="AC1107" s="175"/>
      <c r="AD1107" s="175"/>
      <c r="AE1107" s="175"/>
      <c r="AF1107" s="175"/>
      <c r="AG1107" s="175"/>
      <c r="AH1107" s="175"/>
      <c r="AI1107" s="175"/>
    </row>
    <row r="1108">
      <c r="A1108" s="176">
        <v>46107.0</v>
      </c>
      <c r="B1108" s="177">
        <v>8330855.0</v>
      </c>
      <c r="C1108" s="178" t="s">
        <v>89</v>
      </c>
      <c r="D1108" s="178" t="s">
        <v>35</v>
      </c>
      <c r="E1108" s="177">
        <v>5.977688904E9</v>
      </c>
      <c r="F1108" s="178" t="s">
        <v>1306</v>
      </c>
      <c r="G1108" s="176">
        <v>46132.0</v>
      </c>
      <c r="H1108" s="179">
        <v>46134.0</v>
      </c>
      <c r="I1108" s="180">
        <v>2.0</v>
      </c>
      <c r="J1108" s="181" t="s">
        <v>111</v>
      </c>
      <c r="K1108" s="178" t="s">
        <v>79</v>
      </c>
      <c r="L1108" s="178" t="s">
        <v>80</v>
      </c>
      <c r="M1108" s="182">
        <v>0.0</v>
      </c>
      <c r="N1108" s="183">
        <v>0.0</v>
      </c>
      <c r="O1108" s="184">
        <v>0.0</v>
      </c>
      <c r="P1108" s="184">
        <v>0.0</v>
      </c>
      <c r="Q1108" s="185">
        <v>0.0</v>
      </c>
      <c r="R1108" s="186">
        <v>0.0</v>
      </c>
      <c r="S1108" s="186">
        <v>0.0</v>
      </c>
      <c r="T1108" s="186">
        <v>0.0</v>
      </c>
      <c r="U1108" s="187" t="s">
        <v>1390</v>
      </c>
      <c r="V1108" s="176">
        <v>46107.0</v>
      </c>
      <c r="W1108" s="175"/>
      <c r="X1108" s="175"/>
      <c r="Y1108" s="175"/>
      <c r="Z1108" s="175"/>
      <c r="AA1108" s="175"/>
      <c r="AB1108" s="175"/>
      <c r="AC1108" s="175"/>
      <c r="AD1108" s="175"/>
      <c r="AE1108" s="175"/>
      <c r="AF1108" s="175"/>
      <c r="AG1108" s="175"/>
      <c r="AH1108" s="175"/>
      <c r="AI1108" s="175"/>
    </row>
    <row r="1109">
      <c r="A1109" s="176">
        <v>46107.0</v>
      </c>
      <c r="B1109" s="177">
        <v>8331934.0</v>
      </c>
      <c r="C1109" s="178" t="s">
        <v>82</v>
      </c>
      <c r="D1109" s="178" t="s">
        <v>35</v>
      </c>
      <c r="E1109" s="177">
        <v>5.603016742E9</v>
      </c>
      <c r="F1109" s="178" t="s">
        <v>1391</v>
      </c>
      <c r="G1109" s="176">
        <v>46156.0</v>
      </c>
      <c r="H1109" s="179">
        <v>46158.0</v>
      </c>
      <c r="I1109" s="180">
        <v>2.0</v>
      </c>
      <c r="J1109" s="181" t="s">
        <v>78</v>
      </c>
      <c r="K1109" s="178" t="s">
        <v>79</v>
      </c>
      <c r="L1109" s="178" t="s">
        <v>80</v>
      </c>
      <c r="M1109" s="182">
        <v>2.0</v>
      </c>
      <c r="N1109" s="183">
        <v>0.19999999999999996</v>
      </c>
      <c r="O1109" s="184">
        <v>168.13</v>
      </c>
      <c r="P1109" s="184">
        <v>134.504</v>
      </c>
      <c r="Q1109" s="185">
        <v>0.0</v>
      </c>
      <c r="R1109" s="186">
        <v>269.008</v>
      </c>
      <c r="S1109" s="186">
        <v>0.0</v>
      </c>
      <c r="T1109" s="186">
        <v>346.26</v>
      </c>
      <c r="U1109" s="187" t="s">
        <v>107</v>
      </c>
      <c r="V1109" s="176">
        <v>46107.0</v>
      </c>
      <c r="W1109" s="175"/>
      <c r="X1109" s="175"/>
      <c r="Y1109" s="175"/>
      <c r="Z1109" s="175"/>
      <c r="AA1109" s="175"/>
      <c r="AB1109" s="175"/>
      <c r="AC1109" s="175"/>
      <c r="AD1109" s="175"/>
      <c r="AE1109" s="175"/>
      <c r="AF1109" s="175"/>
      <c r="AG1109" s="175"/>
      <c r="AH1109" s="175"/>
      <c r="AI1109" s="175"/>
    </row>
    <row r="1110">
      <c r="A1110" s="176">
        <v>46107.0</v>
      </c>
      <c r="B1110" s="177">
        <v>8333559.0</v>
      </c>
      <c r="C1110" s="178" t="s">
        <v>82</v>
      </c>
      <c r="D1110" s="178" t="s">
        <v>35</v>
      </c>
      <c r="E1110" s="177">
        <v>5.512007665E9</v>
      </c>
      <c r="F1110" s="178" t="s">
        <v>1392</v>
      </c>
      <c r="G1110" s="176">
        <v>46339.20833333333</v>
      </c>
      <c r="H1110" s="179">
        <v>46340.20833333333</v>
      </c>
      <c r="I1110" s="180">
        <v>1.0</v>
      </c>
      <c r="J1110" s="181" t="s">
        <v>78</v>
      </c>
      <c r="K1110" s="178" t="s">
        <v>79</v>
      </c>
      <c r="L1110" s="178" t="s">
        <v>80</v>
      </c>
      <c r="M1110" s="182">
        <v>2.0</v>
      </c>
      <c r="N1110" s="183">
        <v>0.19999999999999996</v>
      </c>
      <c r="O1110" s="184">
        <v>132.03</v>
      </c>
      <c r="P1110" s="184">
        <v>105.62400000000001</v>
      </c>
      <c r="Q1110" s="185">
        <v>0.0</v>
      </c>
      <c r="R1110" s="186">
        <v>105.62400000000001</v>
      </c>
      <c r="S1110" s="186">
        <v>0.0</v>
      </c>
      <c r="T1110" s="186">
        <v>137.03</v>
      </c>
      <c r="U1110" s="187" t="s">
        <v>107</v>
      </c>
      <c r="V1110" s="176">
        <v>46107.0</v>
      </c>
      <c r="W1110" s="175"/>
      <c r="X1110" s="175"/>
      <c r="Y1110" s="175"/>
      <c r="Z1110" s="175"/>
      <c r="AA1110" s="175"/>
      <c r="AB1110" s="175"/>
      <c r="AC1110" s="175"/>
      <c r="AD1110" s="175"/>
      <c r="AE1110" s="175"/>
      <c r="AF1110" s="175"/>
      <c r="AG1110" s="175"/>
      <c r="AH1110" s="175"/>
      <c r="AI1110" s="175"/>
    </row>
    <row r="1111">
      <c r="A1111" s="176">
        <v>46108.0</v>
      </c>
      <c r="B1111" s="177">
        <v>8336034.0</v>
      </c>
      <c r="C1111" s="178" t="s">
        <v>82</v>
      </c>
      <c r="D1111" s="178" t="s">
        <v>35</v>
      </c>
      <c r="E1111" s="177">
        <v>6.587169313E9</v>
      </c>
      <c r="F1111" s="178" t="s">
        <v>1393</v>
      </c>
      <c r="G1111" s="176">
        <v>46147.0</v>
      </c>
      <c r="H1111" s="179">
        <v>46148.0</v>
      </c>
      <c r="I1111" s="180">
        <v>1.0</v>
      </c>
      <c r="J1111" s="181" t="s">
        <v>111</v>
      </c>
      <c r="K1111" s="178" t="s">
        <v>79</v>
      </c>
      <c r="L1111" s="178" t="s">
        <v>80</v>
      </c>
      <c r="M1111" s="182">
        <v>2.0</v>
      </c>
      <c r="N1111" s="183">
        <v>0.19999999999999996</v>
      </c>
      <c r="O1111" s="184">
        <v>246.7</v>
      </c>
      <c r="P1111" s="184">
        <v>197.36</v>
      </c>
      <c r="Q1111" s="185">
        <v>0.0</v>
      </c>
      <c r="R1111" s="186">
        <v>197.36</v>
      </c>
      <c r="S1111" s="186">
        <v>0.0</v>
      </c>
      <c r="T1111" s="186">
        <v>251.7</v>
      </c>
      <c r="U1111" s="187" t="s">
        <v>143</v>
      </c>
      <c r="V1111" s="176">
        <v>46108.0</v>
      </c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</row>
    <row r="1112">
      <c r="A1112" s="176">
        <v>46108.0</v>
      </c>
      <c r="B1112" s="177">
        <v>8337713.0</v>
      </c>
      <c r="C1112" s="178" t="s">
        <v>89</v>
      </c>
      <c r="D1112" s="178" t="s">
        <v>35</v>
      </c>
      <c r="E1112" s="177">
        <v>6.998678882E9</v>
      </c>
      <c r="F1112" s="178" t="s">
        <v>1394</v>
      </c>
      <c r="G1112" s="176">
        <v>46160.0</v>
      </c>
      <c r="H1112" s="179">
        <v>46161.0</v>
      </c>
      <c r="I1112" s="180">
        <v>1.0</v>
      </c>
      <c r="J1112" s="181" t="s">
        <v>114</v>
      </c>
      <c r="K1112" s="178" t="s">
        <v>79</v>
      </c>
      <c r="L1112" s="178" t="s">
        <v>80</v>
      </c>
      <c r="M1112" s="182">
        <v>0.0</v>
      </c>
      <c r="N1112" s="183">
        <v>0.0</v>
      </c>
      <c r="O1112" s="184">
        <v>0.0</v>
      </c>
      <c r="P1112" s="184">
        <v>0.0</v>
      </c>
      <c r="Q1112" s="185">
        <v>0.0</v>
      </c>
      <c r="R1112" s="186">
        <v>0.0</v>
      </c>
      <c r="S1112" s="186">
        <v>0.0</v>
      </c>
      <c r="T1112" s="186">
        <v>0.0</v>
      </c>
      <c r="U1112" s="187" t="s">
        <v>1397</v>
      </c>
      <c r="V1112" s="176">
        <v>46108.0</v>
      </c>
      <c r="W1112" s="175"/>
      <c r="X1112" s="175"/>
      <c r="Y1112" s="175"/>
      <c r="Z1112" s="175"/>
      <c r="AA1112" s="175"/>
      <c r="AB1112" s="175"/>
      <c r="AC1112" s="175"/>
      <c r="AD1112" s="175"/>
      <c r="AE1112" s="175"/>
      <c r="AF1112" s="175"/>
      <c r="AG1112" s="175"/>
      <c r="AH1112" s="175"/>
      <c r="AI1112" s="175"/>
    </row>
    <row r="1113">
      <c r="A1113" s="176">
        <v>46109.0</v>
      </c>
      <c r="B1113" s="177">
        <v>8339938.0</v>
      </c>
      <c r="C1113" s="178" t="s">
        <v>89</v>
      </c>
      <c r="D1113" s="178" t="s">
        <v>35</v>
      </c>
      <c r="E1113" s="177">
        <v>6.278427911E9</v>
      </c>
      <c r="F1113" s="178" t="s">
        <v>1394</v>
      </c>
      <c r="G1113" s="176">
        <v>46177.0</v>
      </c>
      <c r="H1113" s="179">
        <v>46178.0</v>
      </c>
      <c r="I1113" s="180">
        <v>1.0</v>
      </c>
      <c r="J1113" s="181" t="s">
        <v>114</v>
      </c>
      <c r="K1113" s="178" t="s">
        <v>79</v>
      </c>
      <c r="L1113" s="178" t="s">
        <v>80</v>
      </c>
      <c r="M1113" s="182">
        <v>0.0</v>
      </c>
      <c r="N1113" s="183">
        <v>0.0</v>
      </c>
      <c r="O1113" s="184">
        <v>0.0</v>
      </c>
      <c r="P1113" s="184">
        <v>0.0</v>
      </c>
      <c r="Q1113" s="185">
        <v>0.0</v>
      </c>
      <c r="R1113" s="186">
        <v>0.0</v>
      </c>
      <c r="S1113" s="186">
        <v>0.0</v>
      </c>
      <c r="T1113" s="186">
        <v>0.0</v>
      </c>
      <c r="U1113" s="187" t="s">
        <v>1402</v>
      </c>
      <c r="V1113" s="176">
        <v>46156.0</v>
      </c>
      <c r="W1113" s="164"/>
      <c r="X1113" s="164"/>
      <c r="Y1113" s="164"/>
      <c r="Z1113" s="164"/>
      <c r="AA1113" s="164"/>
      <c r="AB1113" s="164"/>
      <c r="AC1113" s="164"/>
      <c r="AD1113" s="164"/>
      <c r="AE1113" s="164"/>
      <c r="AF1113" s="164"/>
      <c r="AG1113" s="164"/>
      <c r="AH1113" s="164"/>
      <c r="AI1113" s="164"/>
    </row>
    <row r="1114">
      <c r="A1114" s="176">
        <v>46109.0</v>
      </c>
      <c r="B1114" s="177">
        <v>8340523.0</v>
      </c>
      <c r="C1114" s="178" t="s">
        <v>89</v>
      </c>
      <c r="D1114" s="178" t="s">
        <v>35</v>
      </c>
      <c r="E1114" s="177">
        <v>5.392647446E9</v>
      </c>
      <c r="F1114" s="178" t="s">
        <v>1404</v>
      </c>
      <c r="G1114" s="176">
        <v>46235.0</v>
      </c>
      <c r="H1114" s="179">
        <v>46242.0</v>
      </c>
      <c r="I1114" s="180">
        <v>7.0</v>
      </c>
      <c r="J1114" s="181" t="s">
        <v>78</v>
      </c>
      <c r="K1114" s="178" t="s">
        <v>138</v>
      </c>
      <c r="L1114" s="178" t="s">
        <v>80</v>
      </c>
      <c r="M1114" s="182">
        <v>0.0</v>
      </c>
      <c r="N1114" s="183">
        <v>0.0</v>
      </c>
      <c r="O1114" s="184">
        <v>0.0</v>
      </c>
      <c r="P1114" s="184">
        <v>0.0</v>
      </c>
      <c r="Q1114" s="185">
        <v>0.0</v>
      </c>
      <c r="R1114" s="186">
        <v>0.0</v>
      </c>
      <c r="S1114" s="186">
        <v>0.0</v>
      </c>
      <c r="T1114" s="186">
        <v>0.0</v>
      </c>
      <c r="U1114" s="187" t="s">
        <v>1406</v>
      </c>
      <c r="V1114" s="176">
        <v>46133.0</v>
      </c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</row>
    <row r="1115">
      <c r="A1115" s="176">
        <v>46109.0</v>
      </c>
      <c r="B1115" s="177">
        <v>8341951.0</v>
      </c>
      <c r="C1115" s="178" t="s">
        <v>82</v>
      </c>
      <c r="D1115" s="178" t="s">
        <v>35</v>
      </c>
      <c r="E1115" s="177">
        <v>6.45272125E9</v>
      </c>
      <c r="F1115" s="178" t="s">
        <v>1410</v>
      </c>
      <c r="G1115" s="176">
        <v>46183.0</v>
      </c>
      <c r="H1115" s="179">
        <v>46185.0</v>
      </c>
      <c r="I1115" s="180">
        <v>2.0</v>
      </c>
      <c r="J1115" s="181" t="s">
        <v>78</v>
      </c>
      <c r="K1115" s="178" t="s">
        <v>79</v>
      </c>
      <c r="L1115" s="178" t="s">
        <v>80</v>
      </c>
      <c r="M1115" s="182">
        <v>2.0</v>
      </c>
      <c r="N1115" s="183">
        <v>0.19999999999999996</v>
      </c>
      <c r="O1115" s="184">
        <v>135.75</v>
      </c>
      <c r="P1115" s="184">
        <v>108.60000000000001</v>
      </c>
      <c r="Q1115" s="185">
        <v>0.0</v>
      </c>
      <c r="R1115" s="186">
        <v>217.20000000000002</v>
      </c>
      <c r="S1115" s="186">
        <v>0.0</v>
      </c>
      <c r="T1115" s="186">
        <v>281.5</v>
      </c>
      <c r="U1115" s="187" t="s">
        <v>107</v>
      </c>
      <c r="V1115" s="176">
        <v>46109.0</v>
      </c>
      <c r="W1115" s="188"/>
      <c r="X1115" s="188"/>
      <c r="Y1115" s="188"/>
      <c r="Z1115" s="188"/>
      <c r="AA1115" s="188"/>
      <c r="AB1115" s="188"/>
      <c r="AC1115" s="188"/>
      <c r="AD1115" s="188"/>
      <c r="AE1115" s="188"/>
      <c r="AF1115" s="188"/>
      <c r="AG1115" s="188"/>
      <c r="AH1115" s="188"/>
      <c r="AI1115" s="188"/>
    </row>
    <row r="1116">
      <c r="A1116" s="176">
        <v>46110.0</v>
      </c>
      <c r="B1116" s="177">
        <v>8344689.0</v>
      </c>
      <c r="C1116" s="178" t="s">
        <v>82</v>
      </c>
      <c r="D1116" s="178" t="s">
        <v>35</v>
      </c>
      <c r="E1116" s="177">
        <v>6.159007328E9</v>
      </c>
      <c r="F1116" s="178" t="s">
        <v>1417</v>
      </c>
      <c r="G1116" s="176">
        <v>46111.0</v>
      </c>
      <c r="H1116" s="179">
        <v>46114.0</v>
      </c>
      <c r="I1116" s="180">
        <v>3.0</v>
      </c>
      <c r="J1116" s="181" t="s">
        <v>78</v>
      </c>
      <c r="K1116" s="178" t="s">
        <v>79</v>
      </c>
      <c r="L1116" s="178" t="s">
        <v>80</v>
      </c>
      <c r="M1116" s="182">
        <v>2.0</v>
      </c>
      <c r="N1116" s="183">
        <v>0.19999999999999996</v>
      </c>
      <c r="O1116" s="184">
        <v>176.62</v>
      </c>
      <c r="P1116" s="184">
        <v>141.29600000000002</v>
      </c>
      <c r="Q1116" s="185">
        <v>0.0</v>
      </c>
      <c r="R1116" s="186">
        <v>423.88800000000003</v>
      </c>
      <c r="S1116" s="186">
        <v>0.0</v>
      </c>
      <c r="T1116" s="186">
        <v>544.86</v>
      </c>
      <c r="U1116" s="187" t="s">
        <v>316</v>
      </c>
      <c r="V1116" s="176">
        <v>46110.0</v>
      </c>
      <c r="W1116" s="188"/>
      <c r="X1116" s="188"/>
      <c r="Y1116" s="188"/>
      <c r="Z1116" s="188"/>
      <c r="AA1116" s="188"/>
      <c r="AB1116" s="188"/>
      <c r="AC1116" s="188"/>
      <c r="AD1116" s="188"/>
      <c r="AE1116" s="188"/>
      <c r="AF1116" s="188"/>
      <c r="AG1116" s="188"/>
      <c r="AH1116" s="188"/>
      <c r="AI1116" s="188"/>
    </row>
    <row r="1117">
      <c r="A1117" s="176">
        <v>46110.0</v>
      </c>
      <c r="B1117" s="177">
        <v>8345152.0</v>
      </c>
      <c r="C1117" s="178" t="s">
        <v>82</v>
      </c>
      <c r="D1117" s="178" t="s">
        <v>35</v>
      </c>
      <c r="E1117" s="177">
        <v>6.15907996E9</v>
      </c>
      <c r="F1117" s="178" t="s">
        <v>1420</v>
      </c>
      <c r="G1117" s="176">
        <v>46324.20833333333</v>
      </c>
      <c r="H1117" s="179">
        <v>46326.20833333333</v>
      </c>
      <c r="I1117" s="180">
        <v>2.0</v>
      </c>
      <c r="J1117" s="181" t="s">
        <v>114</v>
      </c>
      <c r="K1117" s="178" t="s">
        <v>79</v>
      </c>
      <c r="L1117" s="178" t="s">
        <v>80</v>
      </c>
      <c r="M1117" s="182">
        <v>2.0</v>
      </c>
      <c r="N1117" s="183">
        <v>0.19999999999999996</v>
      </c>
      <c r="O1117" s="184">
        <v>158.75</v>
      </c>
      <c r="P1117" s="184">
        <v>127.0</v>
      </c>
      <c r="Q1117" s="185">
        <v>0.0</v>
      </c>
      <c r="R1117" s="186">
        <v>254.0</v>
      </c>
      <c r="S1117" s="186">
        <v>0.0</v>
      </c>
      <c r="T1117" s="186">
        <v>327.5</v>
      </c>
      <c r="U1117" s="187" t="s">
        <v>107</v>
      </c>
      <c r="V1117" s="176">
        <v>46110.0</v>
      </c>
      <c r="W1117" s="188"/>
      <c r="X1117" s="188"/>
      <c r="Y1117" s="188"/>
      <c r="Z1117" s="188"/>
      <c r="AA1117" s="188"/>
      <c r="AB1117" s="188"/>
      <c r="AC1117" s="188"/>
      <c r="AD1117" s="188"/>
      <c r="AE1117" s="188"/>
      <c r="AF1117" s="188"/>
      <c r="AG1117" s="188"/>
      <c r="AH1117" s="188"/>
      <c r="AI1117" s="188"/>
    </row>
    <row r="1118">
      <c r="A1118" s="176">
        <v>46110.0</v>
      </c>
      <c r="B1118" s="177">
        <v>8345243.0</v>
      </c>
      <c r="C1118" s="178" t="s">
        <v>82</v>
      </c>
      <c r="D1118" s="178" t="s">
        <v>35</v>
      </c>
      <c r="E1118" s="177">
        <v>6.131526103E9</v>
      </c>
      <c r="F1118" s="178" t="s">
        <v>1426</v>
      </c>
      <c r="G1118" s="176">
        <v>46192.0</v>
      </c>
      <c r="H1118" s="179">
        <v>46195.0</v>
      </c>
      <c r="I1118" s="180">
        <v>3.0</v>
      </c>
      <c r="J1118" s="181" t="s">
        <v>114</v>
      </c>
      <c r="K1118" s="178" t="s">
        <v>79</v>
      </c>
      <c r="L1118" s="178" t="s">
        <v>80</v>
      </c>
      <c r="M1118" s="182">
        <v>2.0</v>
      </c>
      <c r="N1118" s="183">
        <v>0.19999999999999996</v>
      </c>
      <c r="O1118" s="184">
        <v>136.56</v>
      </c>
      <c r="P1118" s="184">
        <v>109.248</v>
      </c>
      <c r="Q1118" s="185">
        <v>0.0</v>
      </c>
      <c r="R1118" s="186">
        <v>327.744</v>
      </c>
      <c r="S1118" s="186">
        <v>0.0</v>
      </c>
      <c r="T1118" s="186">
        <v>424.68</v>
      </c>
      <c r="U1118" s="187" t="s">
        <v>107</v>
      </c>
      <c r="V1118" s="176">
        <v>46110.0</v>
      </c>
      <c r="W1118" s="164"/>
      <c r="X1118" s="164"/>
      <c r="Y1118" s="164"/>
      <c r="Z1118" s="164"/>
      <c r="AA1118" s="164"/>
      <c r="AB1118" s="164"/>
      <c r="AC1118" s="164"/>
      <c r="AD1118" s="164"/>
      <c r="AE1118" s="164"/>
      <c r="AF1118" s="164"/>
      <c r="AG1118" s="164"/>
      <c r="AH1118" s="164"/>
      <c r="AI1118" s="164"/>
    </row>
    <row r="1119">
      <c r="A1119" s="176">
        <v>46110.0</v>
      </c>
      <c r="B1119" s="177">
        <v>8345577.0</v>
      </c>
      <c r="C1119" s="178" t="s">
        <v>89</v>
      </c>
      <c r="D1119" s="178" t="s">
        <v>35</v>
      </c>
      <c r="E1119" s="177">
        <v>5.087371485E9</v>
      </c>
      <c r="F1119" s="178" t="s">
        <v>1431</v>
      </c>
      <c r="G1119" s="176">
        <v>46169.0</v>
      </c>
      <c r="H1119" s="179">
        <v>46172.0</v>
      </c>
      <c r="I1119" s="180">
        <v>3.0</v>
      </c>
      <c r="J1119" s="181" t="s">
        <v>114</v>
      </c>
      <c r="K1119" s="178" t="s">
        <v>79</v>
      </c>
      <c r="L1119" s="178" t="s">
        <v>80</v>
      </c>
      <c r="M1119" s="182">
        <v>0.0</v>
      </c>
      <c r="N1119" s="183">
        <v>0.0</v>
      </c>
      <c r="O1119" s="184">
        <v>0.0</v>
      </c>
      <c r="P1119" s="184">
        <v>0.0</v>
      </c>
      <c r="Q1119" s="185">
        <v>0.0</v>
      </c>
      <c r="R1119" s="186">
        <v>0.0</v>
      </c>
      <c r="S1119" s="186">
        <v>0.0</v>
      </c>
      <c r="T1119" s="186">
        <v>0.0</v>
      </c>
      <c r="U1119" s="187" t="s">
        <v>1432</v>
      </c>
      <c r="V1119" s="176">
        <v>46115.0</v>
      </c>
      <c r="W1119" s="175"/>
      <c r="X1119" s="175"/>
      <c r="Y1119" s="175"/>
      <c r="Z1119" s="175"/>
      <c r="AA1119" s="175"/>
      <c r="AB1119" s="175"/>
      <c r="AC1119" s="175"/>
      <c r="AD1119" s="175"/>
      <c r="AE1119" s="175"/>
      <c r="AF1119" s="175"/>
      <c r="AG1119" s="175"/>
      <c r="AH1119" s="175"/>
      <c r="AI1119" s="175"/>
    </row>
    <row r="1120">
      <c r="A1120" s="176">
        <v>46110.0</v>
      </c>
      <c r="B1120" s="177">
        <v>8345639.0</v>
      </c>
      <c r="C1120" s="178" t="s">
        <v>75</v>
      </c>
      <c r="D1120" s="178" t="s">
        <v>35</v>
      </c>
      <c r="E1120" s="177">
        <v>6.541658079E9</v>
      </c>
      <c r="F1120" s="178" t="s">
        <v>1420</v>
      </c>
      <c r="G1120" s="176">
        <v>46329.20833333333</v>
      </c>
      <c r="H1120" s="179">
        <v>46331.20833333333</v>
      </c>
      <c r="I1120" s="180">
        <v>2.0</v>
      </c>
      <c r="J1120" s="181" t="s">
        <v>111</v>
      </c>
      <c r="K1120" s="178" t="s">
        <v>79</v>
      </c>
      <c r="L1120" s="178" t="s">
        <v>80</v>
      </c>
      <c r="M1120" s="182">
        <v>2.0</v>
      </c>
      <c r="N1120" s="183">
        <v>0.19999999999999996</v>
      </c>
      <c r="O1120" s="184">
        <v>257.96</v>
      </c>
      <c r="P1120" s="184">
        <v>206.368</v>
      </c>
      <c r="Q1120" s="185">
        <v>0.0</v>
      </c>
      <c r="R1120" s="186">
        <v>412.736</v>
      </c>
      <c r="S1120" s="186">
        <v>0.0</v>
      </c>
      <c r="T1120" s="186">
        <v>515.92</v>
      </c>
      <c r="U1120" s="187" t="s">
        <v>1433</v>
      </c>
      <c r="V1120" s="176">
        <v>46110.0</v>
      </c>
      <c r="W1120" s="175"/>
      <c r="X1120" s="175"/>
      <c r="Y1120" s="175"/>
      <c r="Z1120" s="175"/>
      <c r="AA1120" s="175"/>
      <c r="AB1120" s="175"/>
      <c r="AC1120" s="175"/>
      <c r="AD1120" s="175"/>
      <c r="AE1120" s="175"/>
      <c r="AF1120" s="175"/>
      <c r="AG1120" s="175"/>
      <c r="AH1120" s="175"/>
      <c r="AI1120" s="175"/>
    </row>
    <row r="1121">
      <c r="A1121" s="176">
        <v>46111.0</v>
      </c>
      <c r="B1121" s="177">
        <v>8347161.0</v>
      </c>
      <c r="C1121" s="178" t="s">
        <v>89</v>
      </c>
      <c r="D1121" s="178" t="s">
        <v>35</v>
      </c>
      <c r="E1121" s="177">
        <v>5.087311864E9</v>
      </c>
      <c r="F1121" s="178" t="s">
        <v>1434</v>
      </c>
      <c r="G1121" s="176">
        <v>46394.20833333333</v>
      </c>
      <c r="H1121" s="179">
        <v>46401.20833333333</v>
      </c>
      <c r="I1121" s="180">
        <v>7.0</v>
      </c>
      <c r="J1121" s="181" t="s">
        <v>78</v>
      </c>
      <c r="K1121" s="178" t="s">
        <v>79</v>
      </c>
      <c r="L1121" s="178" t="s">
        <v>80</v>
      </c>
      <c r="M1121" s="182">
        <v>0.0</v>
      </c>
      <c r="N1121" s="183">
        <v>0.0</v>
      </c>
      <c r="O1121" s="184">
        <v>0.0</v>
      </c>
      <c r="P1121" s="184">
        <v>0.0</v>
      </c>
      <c r="Q1121" s="185">
        <v>0.0</v>
      </c>
      <c r="R1121" s="186">
        <v>0.0</v>
      </c>
      <c r="S1121" s="186">
        <v>0.0</v>
      </c>
      <c r="T1121" s="186">
        <v>0.0</v>
      </c>
      <c r="U1121" s="187" t="s">
        <v>1438</v>
      </c>
      <c r="V1121" s="176">
        <v>46112.0</v>
      </c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</row>
    <row r="1122">
      <c r="A1122" s="176">
        <v>46111.0</v>
      </c>
      <c r="B1122" s="177">
        <v>8347748.0</v>
      </c>
      <c r="C1122" s="178" t="s">
        <v>82</v>
      </c>
      <c r="D1122" s="178" t="s">
        <v>35</v>
      </c>
      <c r="E1122" s="177">
        <v>6.538164417E9</v>
      </c>
      <c r="F1122" s="178" t="s">
        <v>696</v>
      </c>
      <c r="G1122" s="176">
        <v>46119.0</v>
      </c>
      <c r="H1122" s="179">
        <v>46122.0</v>
      </c>
      <c r="I1122" s="180">
        <v>3.0</v>
      </c>
      <c r="J1122" s="181" t="s">
        <v>87</v>
      </c>
      <c r="K1122" s="178" t="s">
        <v>79</v>
      </c>
      <c r="L1122" s="178" t="s">
        <v>80</v>
      </c>
      <c r="M1122" s="182">
        <v>2.0</v>
      </c>
      <c r="N1122" s="183">
        <v>0.19999999999999996</v>
      </c>
      <c r="O1122" s="184">
        <v>156.48</v>
      </c>
      <c r="P1122" s="184">
        <v>125.184</v>
      </c>
      <c r="Q1122" s="185">
        <v>0.0</v>
      </c>
      <c r="R1122" s="186">
        <v>375.552</v>
      </c>
      <c r="S1122" s="186">
        <v>0.0</v>
      </c>
      <c r="T1122" s="186">
        <v>469.44</v>
      </c>
      <c r="U1122" s="187" t="s">
        <v>1441</v>
      </c>
      <c r="V1122" s="176">
        <v>46111.0</v>
      </c>
      <c r="W1122" s="175"/>
      <c r="X1122" s="175"/>
      <c r="Y1122" s="175"/>
      <c r="Z1122" s="175"/>
      <c r="AA1122" s="175"/>
      <c r="AB1122" s="175"/>
      <c r="AC1122" s="175"/>
      <c r="AD1122" s="175"/>
      <c r="AE1122" s="175"/>
      <c r="AF1122" s="175"/>
      <c r="AG1122" s="175"/>
      <c r="AH1122" s="175"/>
      <c r="AI1122" s="175"/>
    </row>
    <row r="1123">
      <c r="A1123" s="176">
        <v>46111.0</v>
      </c>
      <c r="B1123" s="177">
        <v>8347973.0</v>
      </c>
      <c r="C1123" s="178" t="s">
        <v>82</v>
      </c>
      <c r="D1123" s="178" t="s">
        <v>35</v>
      </c>
      <c r="E1123" s="177">
        <v>5.417637625E9</v>
      </c>
      <c r="F1123" s="178" t="s">
        <v>1445</v>
      </c>
      <c r="G1123" s="176">
        <v>46277.0</v>
      </c>
      <c r="H1123" s="179">
        <v>46279.0</v>
      </c>
      <c r="I1123" s="180">
        <v>2.0</v>
      </c>
      <c r="J1123" s="181" t="s">
        <v>114</v>
      </c>
      <c r="K1123" s="178" t="s">
        <v>79</v>
      </c>
      <c r="L1123" s="178" t="s">
        <v>80</v>
      </c>
      <c r="M1123" s="182">
        <v>2.0</v>
      </c>
      <c r="N1123" s="183">
        <v>0.19999999999999996</v>
      </c>
      <c r="O1123" s="184">
        <v>138.84</v>
      </c>
      <c r="P1123" s="184">
        <v>111.072</v>
      </c>
      <c r="Q1123" s="185">
        <v>0.0</v>
      </c>
      <c r="R1123" s="186">
        <v>222.144</v>
      </c>
      <c r="S1123" s="186">
        <v>0.0</v>
      </c>
      <c r="T1123" s="186">
        <v>287.68</v>
      </c>
      <c r="U1123" s="187" t="s">
        <v>107</v>
      </c>
      <c r="V1123" s="176">
        <v>46111.0</v>
      </c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</row>
    <row r="1124">
      <c r="A1124" s="176">
        <v>46111.0</v>
      </c>
      <c r="B1124" s="177">
        <v>8347995.0</v>
      </c>
      <c r="C1124" s="178" t="s">
        <v>89</v>
      </c>
      <c r="D1124" s="178" t="s">
        <v>35</v>
      </c>
      <c r="E1124" s="177">
        <v>5.087349203E9</v>
      </c>
      <c r="F1124" s="178" t="s">
        <v>1452</v>
      </c>
      <c r="G1124" s="176">
        <v>46273.0</v>
      </c>
      <c r="H1124" s="179">
        <v>46280.0</v>
      </c>
      <c r="I1124" s="180">
        <v>7.0</v>
      </c>
      <c r="J1124" s="181" t="s">
        <v>78</v>
      </c>
      <c r="K1124" s="178" t="s">
        <v>79</v>
      </c>
      <c r="L1124" s="178" t="s">
        <v>80</v>
      </c>
      <c r="M1124" s="182">
        <v>0.0</v>
      </c>
      <c r="N1124" s="183">
        <v>0.0</v>
      </c>
      <c r="O1124" s="184">
        <v>0.0</v>
      </c>
      <c r="P1124" s="184">
        <v>0.0</v>
      </c>
      <c r="Q1124" s="185">
        <v>0.0</v>
      </c>
      <c r="R1124" s="186">
        <v>0.0</v>
      </c>
      <c r="S1124" s="186">
        <v>0.0</v>
      </c>
      <c r="T1124" s="186">
        <v>0.0</v>
      </c>
      <c r="U1124" s="187" t="s">
        <v>1456</v>
      </c>
      <c r="V1124" s="176">
        <v>46152.0</v>
      </c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</row>
    <row r="1125">
      <c r="A1125" s="176">
        <v>46111.0</v>
      </c>
      <c r="B1125" s="177">
        <v>8349529.0</v>
      </c>
      <c r="C1125" s="178" t="s">
        <v>82</v>
      </c>
      <c r="D1125" s="178" t="s">
        <v>109</v>
      </c>
      <c r="E1125" s="177">
        <v>6.43452239E8</v>
      </c>
      <c r="F1125" s="178" t="s">
        <v>1460</v>
      </c>
      <c r="G1125" s="176">
        <v>46114.0</v>
      </c>
      <c r="H1125" s="179">
        <v>46115.0</v>
      </c>
      <c r="I1125" s="180">
        <v>1.0</v>
      </c>
      <c r="J1125" s="181" t="s">
        <v>78</v>
      </c>
      <c r="K1125" s="178" t="s">
        <v>79</v>
      </c>
      <c r="L1125" s="178" t="s">
        <v>96</v>
      </c>
      <c r="M1125" s="182">
        <v>2.0</v>
      </c>
      <c r="N1125" s="183">
        <v>0.19999999999999996</v>
      </c>
      <c r="O1125" s="184">
        <v>212.29</v>
      </c>
      <c r="P1125" s="184">
        <v>169.832</v>
      </c>
      <c r="Q1125" s="185">
        <v>0.0</v>
      </c>
      <c r="R1125" s="186">
        <v>169.832</v>
      </c>
      <c r="S1125" s="186">
        <v>0.0</v>
      </c>
      <c r="T1125" s="186">
        <v>212.29</v>
      </c>
      <c r="U1125" s="187" t="s">
        <v>1464</v>
      </c>
      <c r="V1125" s="176">
        <v>46111.0</v>
      </c>
      <c r="W1125" s="164"/>
      <c r="X1125" s="164"/>
      <c r="Y1125" s="164"/>
      <c r="Z1125" s="164"/>
      <c r="AA1125" s="164"/>
      <c r="AB1125" s="164"/>
      <c r="AC1125" s="164"/>
      <c r="AD1125" s="164"/>
      <c r="AE1125" s="164"/>
      <c r="AF1125" s="164"/>
      <c r="AG1125" s="164"/>
      <c r="AH1125" s="164"/>
      <c r="AI1125" s="164"/>
    </row>
    <row r="1126">
      <c r="A1126" s="176">
        <v>46111.0</v>
      </c>
      <c r="B1126" s="177">
        <v>8349588.0</v>
      </c>
      <c r="C1126" s="178" t="s">
        <v>82</v>
      </c>
      <c r="D1126" s="178" t="s">
        <v>35</v>
      </c>
      <c r="E1126" s="177">
        <v>5.644712522E9</v>
      </c>
      <c r="F1126" s="178" t="s">
        <v>1466</v>
      </c>
      <c r="G1126" s="176">
        <v>46132.0</v>
      </c>
      <c r="H1126" s="179">
        <v>46134.0</v>
      </c>
      <c r="I1126" s="180">
        <v>2.0</v>
      </c>
      <c r="J1126" s="181" t="s">
        <v>111</v>
      </c>
      <c r="K1126" s="178" t="s">
        <v>138</v>
      </c>
      <c r="L1126" s="178" t="s">
        <v>80</v>
      </c>
      <c r="M1126" s="182">
        <v>3.0</v>
      </c>
      <c r="N1126" s="183">
        <v>0.19999999999999996</v>
      </c>
      <c r="O1126" s="184">
        <v>217.56</v>
      </c>
      <c r="P1126" s="184">
        <v>174.048</v>
      </c>
      <c r="Q1126" s="185">
        <v>54.0</v>
      </c>
      <c r="R1126" s="186">
        <v>348.096</v>
      </c>
      <c r="S1126" s="186">
        <v>108.0</v>
      </c>
      <c r="T1126" s="186">
        <v>536.52</v>
      </c>
      <c r="U1126" s="187" t="s">
        <v>1467</v>
      </c>
      <c r="V1126" s="176">
        <v>46111.0</v>
      </c>
      <c r="W1126" s="175"/>
      <c r="X1126" s="175"/>
      <c r="Y1126" s="175"/>
      <c r="Z1126" s="175"/>
      <c r="AA1126" s="175"/>
      <c r="AB1126" s="175"/>
      <c r="AC1126" s="175"/>
      <c r="AD1126" s="175"/>
      <c r="AE1126" s="175"/>
      <c r="AF1126" s="175"/>
      <c r="AG1126" s="175"/>
      <c r="AH1126" s="175"/>
      <c r="AI1126" s="175"/>
    </row>
    <row r="1127">
      <c r="A1127" s="176">
        <v>46112.0</v>
      </c>
      <c r="B1127" s="177">
        <v>8351720.0</v>
      </c>
      <c r="C1127" s="178" t="s">
        <v>89</v>
      </c>
      <c r="D1127" s="178" t="s">
        <v>35</v>
      </c>
      <c r="E1127" s="177">
        <v>6.72061964E9</v>
      </c>
      <c r="F1127" s="178" t="s">
        <v>1472</v>
      </c>
      <c r="G1127" s="176">
        <v>46256.0</v>
      </c>
      <c r="H1127" s="179">
        <v>46259.0</v>
      </c>
      <c r="I1127" s="180">
        <v>3.0</v>
      </c>
      <c r="J1127" s="181" t="s">
        <v>78</v>
      </c>
      <c r="K1127" s="178" t="s">
        <v>79</v>
      </c>
      <c r="L1127" s="178" t="s">
        <v>80</v>
      </c>
      <c r="M1127" s="182">
        <v>0.0</v>
      </c>
      <c r="N1127" s="183">
        <v>0.0</v>
      </c>
      <c r="O1127" s="184">
        <v>0.0</v>
      </c>
      <c r="P1127" s="184">
        <v>0.0</v>
      </c>
      <c r="Q1127" s="185">
        <v>0.0</v>
      </c>
      <c r="R1127" s="186">
        <v>0.0</v>
      </c>
      <c r="S1127" s="186">
        <v>0.0</v>
      </c>
      <c r="T1127" s="186">
        <v>0.0</v>
      </c>
      <c r="U1127" s="187" t="s">
        <v>1473</v>
      </c>
      <c r="V1127" s="176">
        <v>46221.0</v>
      </c>
      <c r="W1127" s="175"/>
      <c r="X1127" s="175"/>
      <c r="Y1127" s="175"/>
      <c r="Z1127" s="175"/>
      <c r="AA1127" s="175"/>
      <c r="AB1127" s="175"/>
      <c r="AC1127" s="175"/>
      <c r="AD1127" s="175"/>
      <c r="AE1127" s="175"/>
      <c r="AF1127" s="175"/>
      <c r="AG1127" s="175"/>
      <c r="AH1127" s="175"/>
      <c r="AI1127" s="175"/>
    </row>
    <row r="1128">
      <c r="A1128" s="176">
        <v>46112.0</v>
      </c>
      <c r="B1128" s="177">
        <v>8353041.0</v>
      </c>
      <c r="C1128" s="178" t="s">
        <v>82</v>
      </c>
      <c r="D1128" s="178" t="s">
        <v>35</v>
      </c>
      <c r="E1128" s="177">
        <v>6.720679747E9</v>
      </c>
      <c r="F1128" s="178" t="s">
        <v>1434</v>
      </c>
      <c r="G1128" s="176">
        <v>46394.20833333333</v>
      </c>
      <c r="H1128" s="179">
        <v>46401.20833333333</v>
      </c>
      <c r="I1128" s="180">
        <v>7.0</v>
      </c>
      <c r="J1128" s="181" t="s">
        <v>114</v>
      </c>
      <c r="K1128" s="178" t="s">
        <v>79</v>
      </c>
      <c r="L1128" s="178" t="s">
        <v>80</v>
      </c>
      <c r="M1128" s="182">
        <v>2.0</v>
      </c>
      <c r="N1128" s="183">
        <v>0.19999999999999996</v>
      </c>
      <c r="O1128" s="184">
        <v>244.68</v>
      </c>
      <c r="P1128" s="184">
        <v>195.74400000000003</v>
      </c>
      <c r="Q1128" s="185">
        <v>0.0</v>
      </c>
      <c r="R1128" s="186">
        <v>1370.208</v>
      </c>
      <c r="S1128" s="186">
        <v>0.0</v>
      </c>
      <c r="T1128" s="186">
        <v>1712.76</v>
      </c>
      <c r="U1128" s="187" t="s">
        <v>353</v>
      </c>
      <c r="V1128" s="176">
        <v>46112.0</v>
      </c>
      <c r="W1128" s="164"/>
      <c r="X1128" s="164"/>
      <c r="Y1128" s="164"/>
      <c r="Z1128" s="164"/>
      <c r="AA1128" s="164"/>
      <c r="AB1128" s="164"/>
      <c r="AC1128" s="164"/>
      <c r="AD1128" s="164"/>
      <c r="AE1128" s="164"/>
      <c r="AF1128" s="164"/>
      <c r="AG1128" s="164"/>
      <c r="AH1128" s="164"/>
      <c r="AI1128" s="164"/>
    </row>
    <row r="1129">
      <c r="A1129" s="176">
        <v>46112.0</v>
      </c>
      <c r="B1129" s="177">
        <v>8353683.0</v>
      </c>
      <c r="C1129" s="178" t="s">
        <v>89</v>
      </c>
      <c r="D1129" s="178" t="s">
        <v>35</v>
      </c>
      <c r="E1129" s="177">
        <v>5.822012676E9</v>
      </c>
      <c r="F1129" s="178" t="s">
        <v>1480</v>
      </c>
      <c r="G1129" s="176">
        <v>46162.0</v>
      </c>
      <c r="H1129" s="179">
        <v>46165.0</v>
      </c>
      <c r="I1129" s="180">
        <v>3.0</v>
      </c>
      <c r="J1129" s="181" t="s">
        <v>111</v>
      </c>
      <c r="K1129" s="178" t="s">
        <v>79</v>
      </c>
      <c r="L1129" s="178" t="s">
        <v>80</v>
      </c>
      <c r="M1129" s="182">
        <v>0.0</v>
      </c>
      <c r="N1129" s="183">
        <v>0.0</v>
      </c>
      <c r="O1129" s="184">
        <v>0.0</v>
      </c>
      <c r="P1129" s="184">
        <v>0.0</v>
      </c>
      <c r="Q1129" s="185">
        <v>0.0</v>
      </c>
      <c r="R1129" s="186">
        <v>0.0</v>
      </c>
      <c r="S1129" s="186">
        <v>0.0</v>
      </c>
      <c r="T1129" s="186">
        <v>0.0</v>
      </c>
      <c r="U1129" s="187" t="s">
        <v>1473</v>
      </c>
      <c r="V1129" s="176">
        <v>46122.0</v>
      </c>
      <c r="W1129" s="164"/>
      <c r="X1129" s="164"/>
      <c r="Y1129" s="164"/>
      <c r="Z1129" s="164"/>
      <c r="AA1129" s="164"/>
      <c r="AB1129" s="164"/>
      <c r="AC1129" s="164"/>
      <c r="AD1129" s="164"/>
      <c r="AE1129" s="164"/>
      <c r="AF1129" s="164"/>
      <c r="AG1129" s="164"/>
      <c r="AH1129" s="164"/>
      <c r="AI1129" s="164"/>
    </row>
    <row r="1130">
      <c r="A1130" s="176">
        <v>46113.0</v>
      </c>
      <c r="B1130" s="177">
        <v>8355659.0</v>
      </c>
      <c r="C1130" s="178" t="s">
        <v>82</v>
      </c>
      <c r="D1130" s="178" t="s">
        <v>94</v>
      </c>
      <c r="E1130" s="177">
        <v>8355659.0</v>
      </c>
      <c r="F1130" s="178" t="s">
        <v>1483</v>
      </c>
      <c r="G1130" s="176">
        <v>46121.0</v>
      </c>
      <c r="H1130" s="179">
        <v>46126.0</v>
      </c>
      <c r="I1130" s="180">
        <v>5.0</v>
      </c>
      <c r="J1130" s="181" t="s">
        <v>111</v>
      </c>
      <c r="K1130" s="178" t="s">
        <v>79</v>
      </c>
      <c r="L1130" s="178" t="s">
        <v>96</v>
      </c>
      <c r="M1130" s="182">
        <v>2.0</v>
      </c>
      <c r="N1130" s="183">
        <v>0.0</v>
      </c>
      <c r="O1130" s="184">
        <v>300.24</v>
      </c>
      <c r="P1130" s="184">
        <v>300.24</v>
      </c>
      <c r="Q1130" s="185">
        <v>0.0</v>
      </c>
      <c r="R1130" s="186">
        <v>1501.2</v>
      </c>
      <c r="S1130" s="186">
        <v>0.0</v>
      </c>
      <c r="T1130" s="186">
        <v>1526.2</v>
      </c>
      <c r="U1130" s="187" t="s">
        <v>97</v>
      </c>
      <c r="V1130" s="176">
        <v>46113.0</v>
      </c>
      <c r="W1130" s="175"/>
      <c r="X1130" s="175"/>
      <c r="Y1130" s="175"/>
      <c r="Z1130" s="175"/>
      <c r="AA1130" s="175"/>
      <c r="AB1130" s="175"/>
      <c r="AC1130" s="175"/>
      <c r="AD1130" s="175"/>
      <c r="AE1130" s="175"/>
      <c r="AF1130" s="175"/>
      <c r="AG1130" s="175"/>
      <c r="AH1130" s="175"/>
      <c r="AI1130" s="175"/>
    </row>
    <row r="1131">
      <c r="A1131" s="176">
        <v>46113.0</v>
      </c>
      <c r="B1131" s="177">
        <v>8356757.0</v>
      </c>
      <c r="C1131" s="178" t="s">
        <v>82</v>
      </c>
      <c r="D1131" s="178" t="s">
        <v>35</v>
      </c>
      <c r="E1131" s="177">
        <v>6.252433256E9</v>
      </c>
      <c r="F1131" s="178" t="s">
        <v>1300</v>
      </c>
      <c r="G1131" s="176">
        <v>46195.0</v>
      </c>
      <c r="H1131" s="179">
        <v>46197.0</v>
      </c>
      <c r="I1131" s="180">
        <v>2.0</v>
      </c>
      <c r="J1131" s="181" t="s">
        <v>78</v>
      </c>
      <c r="K1131" s="178" t="s">
        <v>79</v>
      </c>
      <c r="L1131" s="178" t="s">
        <v>80</v>
      </c>
      <c r="M1131" s="182">
        <v>2.0</v>
      </c>
      <c r="N1131" s="183">
        <v>0.19999999999999996</v>
      </c>
      <c r="O1131" s="184">
        <v>139.84</v>
      </c>
      <c r="P1131" s="184">
        <v>111.87200000000001</v>
      </c>
      <c r="Q1131" s="185">
        <v>0.0</v>
      </c>
      <c r="R1131" s="186">
        <v>223.74400000000003</v>
      </c>
      <c r="S1131" s="186">
        <v>0.0</v>
      </c>
      <c r="T1131" s="186">
        <v>289.68</v>
      </c>
      <c r="U1131" s="187" t="s">
        <v>1367</v>
      </c>
      <c r="V1131" s="176">
        <v>46113.0</v>
      </c>
      <c r="W1131" s="164"/>
      <c r="X1131" s="164"/>
      <c r="Y1131" s="164"/>
      <c r="Z1131" s="164"/>
      <c r="AA1131" s="164"/>
      <c r="AB1131" s="164"/>
      <c r="AC1131" s="164"/>
      <c r="AD1131" s="164"/>
      <c r="AE1131" s="164"/>
      <c r="AF1131" s="164"/>
      <c r="AG1131" s="164"/>
      <c r="AH1131" s="164"/>
      <c r="AI1131" s="164"/>
    </row>
    <row r="1132">
      <c r="A1132" s="176">
        <v>46113.0</v>
      </c>
      <c r="B1132" s="177">
        <v>8356892.0</v>
      </c>
      <c r="C1132" s="178" t="s">
        <v>82</v>
      </c>
      <c r="D1132" s="178" t="s">
        <v>35</v>
      </c>
      <c r="E1132" s="177">
        <v>5.356217337E9</v>
      </c>
      <c r="F1132" s="178" t="s">
        <v>1490</v>
      </c>
      <c r="G1132" s="176">
        <v>46118.0</v>
      </c>
      <c r="H1132" s="179">
        <v>46120.0</v>
      </c>
      <c r="I1132" s="180">
        <v>2.0</v>
      </c>
      <c r="J1132" s="181" t="s">
        <v>114</v>
      </c>
      <c r="K1132" s="178" t="s">
        <v>79</v>
      </c>
      <c r="L1132" s="178" t="s">
        <v>80</v>
      </c>
      <c r="M1132" s="182">
        <v>2.0</v>
      </c>
      <c r="N1132" s="183">
        <v>0.19999999999999996</v>
      </c>
      <c r="O1132" s="184">
        <v>211.2</v>
      </c>
      <c r="P1132" s="184">
        <v>168.96</v>
      </c>
      <c r="Q1132" s="185">
        <v>0.0</v>
      </c>
      <c r="R1132" s="186">
        <v>337.92</v>
      </c>
      <c r="S1132" s="186">
        <v>0.0</v>
      </c>
      <c r="T1132" s="186">
        <v>432.4</v>
      </c>
      <c r="U1132" s="187" t="s">
        <v>1441</v>
      </c>
      <c r="V1132" s="176">
        <v>46113.0</v>
      </c>
      <c r="W1132" s="175"/>
      <c r="X1132" s="175"/>
      <c r="Y1132" s="175"/>
      <c r="Z1132" s="175"/>
      <c r="AA1132" s="175"/>
      <c r="AB1132" s="175"/>
      <c r="AC1132" s="175"/>
      <c r="AD1132" s="175"/>
      <c r="AE1132" s="175"/>
      <c r="AF1132" s="175"/>
      <c r="AG1132" s="175"/>
      <c r="AH1132" s="175"/>
      <c r="AI1132" s="175"/>
    </row>
    <row r="1133">
      <c r="A1133" s="176">
        <v>46113.0</v>
      </c>
      <c r="B1133" s="177">
        <v>8357167.0</v>
      </c>
      <c r="C1133" s="178" t="s">
        <v>82</v>
      </c>
      <c r="D1133" s="178" t="s">
        <v>35</v>
      </c>
      <c r="E1133" s="177">
        <v>5.356204805E9</v>
      </c>
      <c r="F1133" s="178" t="s">
        <v>1499</v>
      </c>
      <c r="G1133" s="176">
        <v>46298.20833333333</v>
      </c>
      <c r="H1133" s="179">
        <v>46299.20833333333</v>
      </c>
      <c r="I1133" s="180">
        <v>1.0</v>
      </c>
      <c r="J1133" s="181" t="s">
        <v>78</v>
      </c>
      <c r="K1133" s="178" t="s">
        <v>79</v>
      </c>
      <c r="L1133" s="178" t="s">
        <v>80</v>
      </c>
      <c r="M1133" s="182">
        <v>2.0</v>
      </c>
      <c r="N1133" s="183">
        <v>0.19999999999999996</v>
      </c>
      <c r="O1133" s="184">
        <v>119.3</v>
      </c>
      <c r="P1133" s="184">
        <v>95.44</v>
      </c>
      <c r="Q1133" s="185">
        <v>0.0</v>
      </c>
      <c r="R1133" s="186">
        <v>95.44</v>
      </c>
      <c r="S1133" s="186">
        <v>0.0</v>
      </c>
      <c r="T1133" s="186">
        <v>124.3</v>
      </c>
      <c r="U1133" s="187" t="s">
        <v>107</v>
      </c>
      <c r="V1133" s="176">
        <v>46113.0</v>
      </c>
      <c r="W1133" s="175"/>
      <c r="X1133" s="175"/>
      <c r="Y1133" s="175"/>
      <c r="Z1133" s="175"/>
      <c r="AA1133" s="175"/>
      <c r="AB1133" s="175"/>
      <c r="AC1133" s="175"/>
      <c r="AD1133" s="175"/>
      <c r="AE1133" s="175"/>
      <c r="AF1133" s="175"/>
      <c r="AG1133" s="175"/>
      <c r="AH1133" s="175"/>
      <c r="AI1133" s="175"/>
    </row>
    <row r="1134">
      <c r="A1134" s="176">
        <v>46113.0</v>
      </c>
      <c r="B1134" s="177">
        <v>8357212.0</v>
      </c>
      <c r="C1134" s="178" t="s">
        <v>82</v>
      </c>
      <c r="D1134" s="178" t="s">
        <v>35</v>
      </c>
      <c r="E1134" s="177">
        <v>6.585290451E9</v>
      </c>
      <c r="F1134" s="178" t="s">
        <v>1499</v>
      </c>
      <c r="G1134" s="176">
        <v>46302.20833333333</v>
      </c>
      <c r="H1134" s="179">
        <v>46305.20833333333</v>
      </c>
      <c r="I1134" s="180">
        <v>3.0</v>
      </c>
      <c r="J1134" s="181" t="s">
        <v>78</v>
      </c>
      <c r="K1134" s="178" t="s">
        <v>79</v>
      </c>
      <c r="L1134" s="178" t="s">
        <v>80</v>
      </c>
      <c r="M1134" s="182">
        <v>2.0</v>
      </c>
      <c r="N1134" s="183">
        <v>0.19999999999999996</v>
      </c>
      <c r="O1134" s="184">
        <v>137.03</v>
      </c>
      <c r="P1134" s="184">
        <v>109.62400000000001</v>
      </c>
      <c r="Q1134" s="185">
        <v>0.0</v>
      </c>
      <c r="R1134" s="186">
        <v>328.872</v>
      </c>
      <c r="S1134" s="186">
        <v>0.0</v>
      </c>
      <c r="T1134" s="186">
        <v>411.09</v>
      </c>
      <c r="U1134" s="187" t="s">
        <v>107</v>
      </c>
      <c r="V1134" s="176">
        <v>46113.0</v>
      </c>
      <c r="W1134" s="164"/>
      <c r="X1134" s="164"/>
      <c r="Y1134" s="164"/>
      <c r="Z1134" s="164"/>
      <c r="AA1134" s="164"/>
      <c r="AB1134" s="164"/>
      <c r="AC1134" s="164"/>
      <c r="AD1134" s="164"/>
      <c r="AE1134" s="164"/>
      <c r="AF1134" s="164"/>
      <c r="AG1134" s="164"/>
      <c r="AH1134" s="164"/>
      <c r="AI1134" s="164"/>
    </row>
    <row r="1135">
      <c r="A1135" s="176">
        <v>46113.0</v>
      </c>
      <c r="B1135" s="177">
        <v>8358188.0</v>
      </c>
      <c r="C1135" s="178" t="s">
        <v>82</v>
      </c>
      <c r="D1135" s="178" t="s">
        <v>35</v>
      </c>
      <c r="E1135" s="177">
        <v>6.139218489E9</v>
      </c>
      <c r="F1135" s="178" t="s">
        <v>1508</v>
      </c>
      <c r="G1135" s="176">
        <v>46134.0</v>
      </c>
      <c r="H1135" s="179">
        <v>46138.0</v>
      </c>
      <c r="I1135" s="180">
        <v>4.0</v>
      </c>
      <c r="J1135" s="181" t="s">
        <v>91</v>
      </c>
      <c r="K1135" s="178" t="s">
        <v>79</v>
      </c>
      <c r="L1135" s="178" t="s">
        <v>80</v>
      </c>
      <c r="M1135" s="182">
        <v>3.0</v>
      </c>
      <c r="N1135" s="183">
        <v>0.19999999999999996</v>
      </c>
      <c r="O1135" s="184">
        <v>401.07</v>
      </c>
      <c r="P1135" s="184">
        <v>320.856</v>
      </c>
      <c r="Q1135" s="185">
        <v>0.0</v>
      </c>
      <c r="R1135" s="186">
        <v>1283.424</v>
      </c>
      <c r="S1135" s="186">
        <v>0.0</v>
      </c>
      <c r="T1135" s="186">
        <v>1634.28</v>
      </c>
      <c r="U1135" s="187" t="s">
        <v>88</v>
      </c>
      <c r="V1135" s="176">
        <v>46113.0</v>
      </c>
      <c r="W1135" s="175"/>
      <c r="X1135" s="175"/>
      <c r="Y1135" s="175"/>
      <c r="Z1135" s="175"/>
      <c r="AA1135" s="175"/>
      <c r="AB1135" s="175"/>
      <c r="AC1135" s="175"/>
      <c r="AD1135" s="175"/>
      <c r="AE1135" s="175"/>
      <c r="AF1135" s="175"/>
      <c r="AG1135" s="175"/>
      <c r="AH1135" s="175"/>
      <c r="AI1135" s="175"/>
    </row>
    <row r="1136">
      <c r="A1136" s="176">
        <v>46113.0</v>
      </c>
      <c r="B1136" s="177">
        <v>8358238.0</v>
      </c>
      <c r="C1136" s="178" t="s">
        <v>82</v>
      </c>
      <c r="D1136" s="178" t="s">
        <v>35</v>
      </c>
      <c r="E1136" s="177">
        <v>5.980636177E9</v>
      </c>
      <c r="F1136" s="178" t="s">
        <v>1514</v>
      </c>
      <c r="G1136" s="176">
        <v>46313.20833333333</v>
      </c>
      <c r="H1136" s="179">
        <v>46317.20833333333</v>
      </c>
      <c r="I1136" s="180">
        <v>4.0</v>
      </c>
      <c r="J1136" s="181" t="s">
        <v>78</v>
      </c>
      <c r="K1136" s="178" t="s">
        <v>79</v>
      </c>
      <c r="L1136" s="178" t="s">
        <v>80</v>
      </c>
      <c r="M1136" s="182">
        <v>2.0</v>
      </c>
      <c r="N1136" s="183">
        <v>0.19999999999999996</v>
      </c>
      <c r="O1136" s="184">
        <v>122.33</v>
      </c>
      <c r="P1136" s="184">
        <v>97.864</v>
      </c>
      <c r="Q1136" s="185">
        <v>0.0</v>
      </c>
      <c r="R1136" s="186">
        <v>391.456</v>
      </c>
      <c r="S1136" s="186">
        <v>0.0</v>
      </c>
      <c r="T1136" s="186">
        <v>509.32</v>
      </c>
      <c r="U1136" s="187" t="s">
        <v>107</v>
      </c>
      <c r="V1136" s="176">
        <v>46113.0</v>
      </c>
      <c r="W1136" s="175"/>
      <c r="X1136" s="175"/>
      <c r="Y1136" s="175"/>
      <c r="Z1136" s="175"/>
      <c r="AA1136" s="175"/>
      <c r="AB1136" s="175"/>
      <c r="AC1136" s="175"/>
      <c r="AD1136" s="175"/>
      <c r="AE1136" s="175"/>
      <c r="AF1136" s="175"/>
      <c r="AG1136" s="175"/>
      <c r="AH1136" s="175"/>
      <c r="AI1136" s="175"/>
    </row>
    <row r="1137">
      <c r="A1137" s="176">
        <v>46113.0</v>
      </c>
      <c r="B1137" s="177">
        <v>8358548.0</v>
      </c>
      <c r="C1137" s="178" t="s">
        <v>82</v>
      </c>
      <c r="D1137" s="178" t="s">
        <v>35</v>
      </c>
      <c r="E1137" s="177">
        <v>6.585288291E9</v>
      </c>
      <c r="F1137" s="178" t="s">
        <v>1520</v>
      </c>
      <c r="G1137" s="176">
        <v>46272.0</v>
      </c>
      <c r="H1137" s="179">
        <v>46278.0</v>
      </c>
      <c r="I1137" s="180">
        <v>6.0</v>
      </c>
      <c r="J1137" s="181" t="s">
        <v>111</v>
      </c>
      <c r="K1137" s="178" t="s">
        <v>138</v>
      </c>
      <c r="L1137" s="178" t="s">
        <v>80</v>
      </c>
      <c r="M1137" s="182">
        <v>2.0</v>
      </c>
      <c r="N1137" s="183">
        <v>0.19999999999999996</v>
      </c>
      <c r="O1137" s="184">
        <v>178.75999999999996</v>
      </c>
      <c r="P1137" s="184">
        <v>143.00799999999998</v>
      </c>
      <c r="Q1137" s="185">
        <v>36.0</v>
      </c>
      <c r="R1137" s="186">
        <v>858.0479999999999</v>
      </c>
      <c r="S1137" s="186">
        <v>216.0</v>
      </c>
      <c r="T1137" s="186">
        <v>1275.36</v>
      </c>
      <c r="U1137" s="187" t="s">
        <v>140</v>
      </c>
      <c r="V1137" s="176">
        <v>46113.0</v>
      </c>
      <c r="W1137" s="164"/>
      <c r="X1137" s="164"/>
      <c r="Y1137" s="164"/>
      <c r="Z1137" s="164"/>
      <c r="AA1137" s="164"/>
      <c r="AB1137" s="164"/>
      <c r="AC1137" s="164"/>
      <c r="AD1137" s="164"/>
      <c r="AE1137" s="164"/>
      <c r="AF1137" s="164"/>
      <c r="AG1137" s="164"/>
      <c r="AH1137" s="164"/>
      <c r="AI1137" s="164"/>
    </row>
    <row r="1138">
      <c r="A1138" s="176">
        <v>46114.0</v>
      </c>
      <c r="B1138" s="177">
        <v>8359330.0</v>
      </c>
      <c r="C1138" s="178" t="s">
        <v>82</v>
      </c>
      <c r="D1138" s="178" t="s">
        <v>35</v>
      </c>
      <c r="E1138" s="177">
        <v>5.13781382E9</v>
      </c>
      <c r="F1138" s="178" t="s">
        <v>1523</v>
      </c>
      <c r="G1138" s="176">
        <v>46172.0</v>
      </c>
      <c r="H1138" s="179">
        <v>46175.0</v>
      </c>
      <c r="I1138" s="180">
        <v>3.0</v>
      </c>
      <c r="J1138" s="181" t="s">
        <v>111</v>
      </c>
      <c r="K1138" s="178" t="s">
        <v>79</v>
      </c>
      <c r="L1138" s="178" t="s">
        <v>80</v>
      </c>
      <c r="M1138" s="182">
        <v>2.0</v>
      </c>
      <c r="N1138" s="183">
        <v>0.19999999999999996</v>
      </c>
      <c r="O1138" s="184">
        <v>212.78666666666666</v>
      </c>
      <c r="P1138" s="184">
        <v>170.22933333333333</v>
      </c>
      <c r="Q1138" s="185">
        <v>0.0</v>
      </c>
      <c r="R1138" s="186">
        <v>510.688</v>
      </c>
      <c r="S1138" s="186">
        <v>0.0</v>
      </c>
      <c r="T1138" s="186">
        <v>653.36</v>
      </c>
      <c r="U1138" s="187" t="s">
        <v>107</v>
      </c>
      <c r="V1138" s="176">
        <v>46114.0</v>
      </c>
      <c r="W1138" s="164"/>
      <c r="X1138" s="164"/>
      <c r="Y1138" s="164"/>
      <c r="Z1138" s="164"/>
      <c r="AA1138" s="164"/>
      <c r="AB1138" s="164"/>
      <c r="AC1138" s="164"/>
      <c r="AD1138" s="164"/>
      <c r="AE1138" s="164"/>
      <c r="AF1138" s="164"/>
      <c r="AG1138" s="164"/>
      <c r="AH1138" s="164"/>
      <c r="AI1138" s="164"/>
    </row>
    <row r="1139">
      <c r="A1139" s="176">
        <v>46114.0</v>
      </c>
      <c r="B1139" s="177">
        <v>8362065.0</v>
      </c>
      <c r="C1139" s="178" t="s">
        <v>82</v>
      </c>
      <c r="D1139" s="178" t="s">
        <v>35</v>
      </c>
      <c r="E1139" s="177">
        <v>5.918704075E9</v>
      </c>
      <c r="F1139" s="178" t="s">
        <v>1527</v>
      </c>
      <c r="G1139" s="176">
        <v>46118.0</v>
      </c>
      <c r="H1139" s="179">
        <v>46119.0</v>
      </c>
      <c r="I1139" s="180">
        <v>1.0</v>
      </c>
      <c r="J1139" s="181" t="s">
        <v>114</v>
      </c>
      <c r="K1139" s="178" t="s">
        <v>79</v>
      </c>
      <c r="L1139" s="178" t="s">
        <v>80</v>
      </c>
      <c r="M1139" s="182">
        <v>2.0</v>
      </c>
      <c r="N1139" s="183">
        <v>0.19999999999999996</v>
      </c>
      <c r="O1139" s="184">
        <v>223.2</v>
      </c>
      <c r="P1139" s="184">
        <v>178.56</v>
      </c>
      <c r="Q1139" s="185">
        <v>0.0</v>
      </c>
      <c r="R1139" s="186">
        <v>178.56</v>
      </c>
      <c r="S1139" s="186">
        <v>0.0</v>
      </c>
      <c r="T1139" s="186">
        <v>228.2</v>
      </c>
      <c r="U1139" s="187" t="s">
        <v>1367</v>
      </c>
      <c r="V1139" s="176">
        <v>46114.0</v>
      </c>
      <c r="W1139" s="164"/>
      <c r="X1139" s="164"/>
      <c r="Y1139" s="164"/>
      <c r="Z1139" s="164"/>
      <c r="AA1139" s="164"/>
      <c r="AB1139" s="164"/>
      <c r="AC1139" s="164"/>
      <c r="AD1139" s="164"/>
      <c r="AE1139" s="164"/>
      <c r="AF1139" s="164"/>
      <c r="AG1139" s="164"/>
      <c r="AH1139" s="164"/>
      <c r="AI1139" s="164"/>
    </row>
    <row r="1140">
      <c r="A1140" s="176">
        <v>46114.0</v>
      </c>
      <c r="B1140" s="177">
        <v>8362910.0</v>
      </c>
      <c r="C1140" s="178" t="s">
        <v>82</v>
      </c>
      <c r="D1140" s="178" t="s">
        <v>35</v>
      </c>
      <c r="E1140" s="177">
        <v>5.963538153E9</v>
      </c>
      <c r="F1140" s="178" t="s">
        <v>1531</v>
      </c>
      <c r="G1140" s="176">
        <v>46186.0</v>
      </c>
      <c r="H1140" s="179">
        <v>46188.0</v>
      </c>
      <c r="I1140" s="180">
        <v>2.0</v>
      </c>
      <c r="J1140" s="181" t="s">
        <v>78</v>
      </c>
      <c r="K1140" s="178" t="s">
        <v>79</v>
      </c>
      <c r="L1140" s="178" t="s">
        <v>80</v>
      </c>
      <c r="M1140" s="182">
        <v>2.0</v>
      </c>
      <c r="N1140" s="183">
        <v>0.19999999999999996</v>
      </c>
      <c r="O1140" s="184">
        <v>153.12</v>
      </c>
      <c r="P1140" s="184">
        <v>122.49600000000001</v>
      </c>
      <c r="Q1140" s="185">
        <v>0.0</v>
      </c>
      <c r="R1140" s="186">
        <v>244.99200000000002</v>
      </c>
      <c r="S1140" s="186">
        <v>0.0</v>
      </c>
      <c r="T1140" s="186">
        <v>316.24</v>
      </c>
      <c r="U1140" s="187" t="s">
        <v>1367</v>
      </c>
      <c r="V1140" s="176">
        <v>46114.0</v>
      </c>
      <c r="W1140" s="175"/>
      <c r="X1140" s="175"/>
      <c r="Y1140" s="175"/>
      <c r="Z1140" s="175"/>
      <c r="AA1140" s="175"/>
      <c r="AB1140" s="175"/>
      <c r="AC1140" s="175"/>
      <c r="AD1140" s="175"/>
      <c r="AE1140" s="175"/>
      <c r="AF1140" s="175"/>
      <c r="AG1140" s="175"/>
      <c r="AH1140" s="175"/>
      <c r="AI1140" s="175"/>
    </row>
    <row r="1141">
      <c r="A1141" s="176">
        <v>46115.0</v>
      </c>
      <c r="B1141" s="177">
        <v>8363638.0</v>
      </c>
      <c r="C1141" s="178" t="s">
        <v>82</v>
      </c>
      <c r="D1141" s="178" t="s">
        <v>35</v>
      </c>
      <c r="E1141" s="177">
        <v>6.397498534E9</v>
      </c>
      <c r="F1141" s="178" t="s">
        <v>1534</v>
      </c>
      <c r="G1141" s="176">
        <v>46118.0</v>
      </c>
      <c r="H1141" s="179">
        <v>46119.0</v>
      </c>
      <c r="I1141" s="180">
        <v>1.0</v>
      </c>
      <c r="J1141" s="181" t="s">
        <v>78</v>
      </c>
      <c r="K1141" s="178" t="s">
        <v>79</v>
      </c>
      <c r="L1141" s="178" t="s">
        <v>80</v>
      </c>
      <c r="M1141" s="182">
        <v>3.0</v>
      </c>
      <c r="N1141" s="183">
        <v>0.19999999999999996</v>
      </c>
      <c r="O1141" s="184">
        <v>187.01</v>
      </c>
      <c r="P1141" s="184">
        <v>149.608</v>
      </c>
      <c r="Q1141" s="185">
        <v>0.0</v>
      </c>
      <c r="R1141" s="186">
        <v>149.608</v>
      </c>
      <c r="S1141" s="186">
        <v>0.0</v>
      </c>
      <c r="T1141" s="186">
        <v>194.51</v>
      </c>
      <c r="U1141" s="187" t="s">
        <v>1441</v>
      </c>
      <c r="V1141" s="176">
        <v>46115.0</v>
      </c>
      <c r="W1141" s="164"/>
      <c r="X1141" s="164"/>
      <c r="Y1141" s="164"/>
      <c r="Z1141" s="164"/>
      <c r="AA1141" s="164"/>
      <c r="AB1141" s="164"/>
      <c r="AC1141" s="164"/>
      <c r="AD1141" s="164"/>
      <c r="AE1141" s="164"/>
      <c r="AF1141" s="164"/>
      <c r="AG1141" s="164"/>
      <c r="AH1141" s="164"/>
      <c r="AI1141" s="164"/>
    </row>
    <row r="1142">
      <c r="A1142" s="176">
        <v>46115.0</v>
      </c>
      <c r="B1142" s="177">
        <v>8365456.0</v>
      </c>
      <c r="C1142" s="178" t="s">
        <v>82</v>
      </c>
      <c r="D1142" s="178" t="s">
        <v>35</v>
      </c>
      <c r="E1142" s="177">
        <v>6.397476062E9</v>
      </c>
      <c r="F1142" s="178" t="s">
        <v>1537</v>
      </c>
      <c r="G1142" s="176">
        <v>46277.0</v>
      </c>
      <c r="H1142" s="179">
        <v>46278.0</v>
      </c>
      <c r="I1142" s="180">
        <v>1.0</v>
      </c>
      <c r="J1142" s="181" t="s">
        <v>78</v>
      </c>
      <c r="K1142" s="178" t="s">
        <v>79</v>
      </c>
      <c r="L1142" s="178" t="s">
        <v>80</v>
      </c>
      <c r="M1142" s="182">
        <v>2.0</v>
      </c>
      <c r="N1142" s="183">
        <v>0.19999999999999996</v>
      </c>
      <c r="O1142" s="184">
        <v>166.56</v>
      </c>
      <c r="P1142" s="184">
        <v>133.24800000000002</v>
      </c>
      <c r="Q1142" s="185">
        <v>0.0</v>
      </c>
      <c r="R1142" s="186">
        <v>133.24800000000002</v>
      </c>
      <c r="S1142" s="186">
        <v>0.0</v>
      </c>
      <c r="T1142" s="186">
        <v>171.56</v>
      </c>
      <c r="U1142" s="187" t="s">
        <v>1367</v>
      </c>
      <c r="V1142" s="176">
        <v>46115.0</v>
      </c>
      <c r="W1142" s="175"/>
      <c r="X1142" s="175"/>
      <c r="Y1142" s="175"/>
      <c r="Z1142" s="175"/>
      <c r="AA1142" s="175"/>
      <c r="AB1142" s="175"/>
      <c r="AC1142" s="175"/>
      <c r="AD1142" s="175"/>
      <c r="AE1142" s="175"/>
      <c r="AF1142" s="175"/>
      <c r="AG1142" s="175"/>
      <c r="AH1142" s="175"/>
      <c r="AI1142" s="175"/>
    </row>
    <row r="1143">
      <c r="A1143" s="176">
        <v>46115.0</v>
      </c>
      <c r="B1143" s="177">
        <v>8365759.0</v>
      </c>
      <c r="C1143" s="178" t="s">
        <v>82</v>
      </c>
      <c r="D1143" s="178" t="s">
        <v>36</v>
      </c>
      <c r="E1143" s="177">
        <v>8365759.0</v>
      </c>
      <c r="F1143" s="178" t="s">
        <v>1540</v>
      </c>
      <c r="G1143" s="176">
        <v>46187.0</v>
      </c>
      <c r="H1143" s="179">
        <v>46189.0</v>
      </c>
      <c r="I1143" s="180">
        <v>2.0</v>
      </c>
      <c r="J1143" s="181" t="s">
        <v>87</v>
      </c>
      <c r="K1143" s="178" t="s">
        <v>79</v>
      </c>
      <c r="L1143" s="178" t="s">
        <v>96</v>
      </c>
      <c r="M1143" s="182">
        <v>2.0</v>
      </c>
      <c r="N1143" s="183">
        <v>0.0</v>
      </c>
      <c r="O1143" s="184">
        <v>162.72</v>
      </c>
      <c r="P1143" s="184">
        <v>161.0928</v>
      </c>
      <c r="Q1143" s="185">
        <v>0.0</v>
      </c>
      <c r="R1143" s="186">
        <v>322.1856</v>
      </c>
      <c r="S1143" s="186">
        <v>0.0</v>
      </c>
      <c r="T1143" s="186">
        <v>3196.16</v>
      </c>
      <c r="U1143" s="187" t="s">
        <v>97</v>
      </c>
      <c r="V1143" s="176">
        <v>46115.0</v>
      </c>
      <c r="W1143" s="164"/>
      <c r="X1143" s="164"/>
      <c r="Y1143" s="164"/>
      <c r="Z1143" s="164"/>
      <c r="AA1143" s="164"/>
      <c r="AB1143" s="164"/>
      <c r="AC1143" s="164"/>
      <c r="AD1143" s="164"/>
      <c r="AE1143" s="164"/>
      <c r="AF1143" s="164"/>
      <c r="AG1143" s="164"/>
      <c r="AH1143" s="164"/>
      <c r="AI1143" s="164"/>
    </row>
    <row r="1144">
      <c r="A1144" s="176">
        <v>46115.0</v>
      </c>
      <c r="B1144" s="177">
        <v>8365759.0</v>
      </c>
      <c r="C1144" s="178" t="s">
        <v>82</v>
      </c>
      <c r="D1144" s="178" t="s">
        <v>36</v>
      </c>
      <c r="E1144" s="177">
        <v>8365759.0</v>
      </c>
      <c r="F1144" s="178" t="s">
        <v>1540</v>
      </c>
      <c r="G1144" s="176">
        <v>46187.0</v>
      </c>
      <c r="H1144" s="179">
        <v>46189.0</v>
      </c>
      <c r="I1144" s="180">
        <v>2.0</v>
      </c>
      <c r="J1144" s="181" t="s">
        <v>78</v>
      </c>
      <c r="K1144" s="178" t="s">
        <v>79</v>
      </c>
      <c r="L1144" s="178" t="s">
        <v>96</v>
      </c>
      <c r="M1144" s="182">
        <v>2.0</v>
      </c>
      <c r="N1144" s="183">
        <v>0.0</v>
      </c>
      <c r="O1144" s="184">
        <v>181.44</v>
      </c>
      <c r="P1144" s="184">
        <v>179.6256</v>
      </c>
      <c r="Q1144" s="185">
        <v>0.0</v>
      </c>
      <c r="R1144" s="186">
        <v>359.2512</v>
      </c>
      <c r="S1144" s="186">
        <v>0.0</v>
      </c>
      <c r="T1144" s="186">
        <v>3196.16</v>
      </c>
      <c r="U1144" s="187" t="s">
        <v>97</v>
      </c>
      <c r="V1144" s="176">
        <v>46115.0</v>
      </c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</row>
    <row r="1145">
      <c r="A1145" s="176">
        <v>46115.0</v>
      </c>
      <c r="B1145" s="177">
        <v>8365759.0</v>
      </c>
      <c r="C1145" s="178" t="s">
        <v>82</v>
      </c>
      <c r="D1145" s="178" t="s">
        <v>36</v>
      </c>
      <c r="E1145" s="177">
        <v>8365759.0</v>
      </c>
      <c r="F1145" s="178" t="s">
        <v>1540</v>
      </c>
      <c r="G1145" s="176">
        <v>46187.0</v>
      </c>
      <c r="H1145" s="179">
        <v>46189.0</v>
      </c>
      <c r="I1145" s="180">
        <v>2.0</v>
      </c>
      <c r="J1145" s="181" t="s">
        <v>78</v>
      </c>
      <c r="K1145" s="178" t="s">
        <v>79</v>
      </c>
      <c r="L1145" s="178" t="s">
        <v>96</v>
      </c>
      <c r="M1145" s="182">
        <v>2.0</v>
      </c>
      <c r="N1145" s="183">
        <v>0.0</v>
      </c>
      <c r="O1145" s="184">
        <v>181.44</v>
      </c>
      <c r="P1145" s="184">
        <v>179.6256</v>
      </c>
      <c r="Q1145" s="185">
        <v>0.0</v>
      </c>
      <c r="R1145" s="186">
        <v>359.2512</v>
      </c>
      <c r="S1145" s="186">
        <v>0.0</v>
      </c>
      <c r="T1145" s="186">
        <v>3196.16</v>
      </c>
      <c r="U1145" s="187" t="s">
        <v>97</v>
      </c>
      <c r="V1145" s="176">
        <v>46115.0</v>
      </c>
      <c r="W1145" s="175"/>
      <c r="X1145" s="175"/>
      <c r="Y1145" s="175"/>
      <c r="Z1145" s="175"/>
      <c r="AA1145" s="175"/>
      <c r="AB1145" s="175"/>
      <c r="AC1145" s="175"/>
      <c r="AD1145" s="175"/>
      <c r="AE1145" s="175"/>
      <c r="AF1145" s="175"/>
      <c r="AG1145" s="175"/>
      <c r="AH1145" s="175"/>
      <c r="AI1145" s="175"/>
    </row>
    <row r="1146">
      <c r="A1146" s="176">
        <v>46115.0</v>
      </c>
      <c r="B1146" s="177">
        <v>8365759.0</v>
      </c>
      <c r="C1146" s="178" t="s">
        <v>82</v>
      </c>
      <c r="D1146" s="178" t="s">
        <v>36</v>
      </c>
      <c r="E1146" s="177">
        <v>8365759.0</v>
      </c>
      <c r="F1146" s="178" t="s">
        <v>1540</v>
      </c>
      <c r="G1146" s="176">
        <v>46187.0</v>
      </c>
      <c r="H1146" s="179">
        <v>46189.0</v>
      </c>
      <c r="I1146" s="180">
        <v>2.0</v>
      </c>
      <c r="J1146" s="181" t="s">
        <v>78</v>
      </c>
      <c r="K1146" s="178" t="s">
        <v>79</v>
      </c>
      <c r="L1146" s="178" t="s">
        <v>96</v>
      </c>
      <c r="M1146" s="182">
        <v>2.0</v>
      </c>
      <c r="N1146" s="183">
        <v>0.0</v>
      </c>
      <c r="O1146" s="184">
        <v>181.44</v>
      </c>
      <c r="P1146" s="184">
        <v>179.6256</v>
      </c>
      <c r="Q1146" s="185">
        <v>0.0</v>
      </c>
      <c r="R1146" s="186">
        <v>359.2512</v>
      </c>
      <c r="S1146" s="186">
        <v>0.0</v>
      </c>
      <c r="T1146" s="186">
        <v>3196.16</v>
      </c>
      <c r="U1146" s="187" t="s">
        <v>97</v>
      </c>
      <c r="V1146" s="176">
        <v>46115.0</v>
      </c>
      <c r="W1146" s="188"/>
      <c r="X1146" s="188"/>
      <c r="Y1146" s="188"/>
      <c r="Z1146" s="188"/>
      <c r="AA1146" s="188"/>
      <c r="AB1146" s="188"/>
      <c r="AC1146" s="188"/>
      <c r="AD1146" s="188"/>
      <c r="AE1146" s="188"/>
      <c r="AF1146" s="188"/>
      <c r="AG1146" s="188"/>
      <c r="AH1146" s="188"/>
      <c r="AI1146" s="188"/>
    </row>
    <row r="1147">
      <c r="A1147" s="176">
        <v>46115.0</v>
      </c>
      <c r="B1147" s="177">
        <v>8365759.0</v>
      </c>
      <c r="C1147" s="178" t="s">
        <v>82</v>
      </c>
      <c r="D1147" s="178" t="s">
        <v>36</v>
      </c>
      <c r="E1147" s="177">
        <v>8365759.0</v>
      </c>
      <c r="F1147" s="178" t="s">
        <v>1540</v>
      </c>
      <c r="G1147" s="176">
        <v>46187.0</v>
      </c>
      <c r="H1147" s="179">
        <v>46189.0</v>
      </c>
      <c r="I1147" s="180">
        <v>2.0</v>
      </c>
      <c r="J1147" s="181" t="s">
        <v>114</v>
      </c>
      <c r="K1147" s="178" t="s">
        <v>79</v>
      </c>
      <c r="L1147" s="178" t="s">
        <v>96</v>
      </c>
      <c r="M1147" s="182">
        <v>2.0</v>
      </c>
      <c r="N1147" s="183">
        <v>0.0</v>
      </c>
      <c r="O1147" s="184">
        <v>200.16</v>
      </c>
      <c r="P1147" s="184">
        <v>198.1584</v>
      </c>
      <c r="Q1147" s="185">
        <v>0.0</v>
      </c>
      <c r="R1147" s="186">
        <v>396.3168</v>
      </c>
      <c r="S1147" s="186">
        <v>0.0</v>
      </c>
      <c r="T1147" s="186">
        <v>3196.16</v>
      </c>
      <c r="U1147" s="187" t="s">
        <v>97</v>
      </c>
      <c r="V1147" s="176">
        <v>46115.0</v>
      </c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</row>
    <row r="1148">
      <c r="A1148" s="176">
        <v>46115.0</v>
      </c>
      <c r="B1148" s="177">
        <v>8365759.0</v>
      </c>
      <c r="C1148" s="178" t="s">
        <v>82</v>
      </c>
      <c r="D1148" s="178" t="s">
        <v>36</v>
      </c>
      <c r="E1148" s="177">
        <v>8365759.0</v>
      </c>
      <c r="F1148" s="178" t="s">
        <v>1540</v>
      </c>
      <c r="G1148" s="176">
        <v>46187.0</v>
      </c>
      <c r="H1148" s="179">
        <v>46189.0</v>
      </c>
      <c r="I1148" s="180">
        <v>2.0</v>
      </c>
      <c r="J1148" s="181" t="s">
        <v>114</v>
      </c>
      <c r="K1148" s="178" t="s">
        <v>79</v>
      </c>
      <c r="L1148" s="178" t="s">
        <v>96</v>
      </c>
      <c r="M1148" s="182">
        <v>2.0</v>
      </c>
      <c r="N1148" s="183">
        <v>0.0</v>
      </c>
      <c r="O1148" s="184">
        <v>200.16</v>
      </c>
      <c r="P1148" s="184">
        <v>198.1584</v>
      </c>
      <c r="Q1148" s="185">
        <v>0.0</v>
      </c>
      <c r="R1148" s="186">
        <v>396.3168</v>
      </c>
      <c r="S1148" s="186">
        <v>0.0</v>
      </c>
      <c r="T1148" s="186">
        <v>3196.16</v>
      </c>
      <c r="U1148" s="187" t="s">
        <v>97</v>
      </c>
      <c r="V1148" s="176">
        <v>46115.0</v>
      </c>
      <c r="W1148" s="175"/>
      <c r="X1148" s="175"/>
      <c r="Y1148" s="175"/>
      <c r="Z1148" s="175"/>
      <c r="AA1148" s="175"/>
      <c r="AB1148" s="175"/>
      <c r="AC1148" s="175"/>
      <c r="AD1148" s="175"/>
      <c r="AE1148" s="175"/>
      <c r="AF1148" s="175"/>
      <c r="AG1148" s="175"/>
      <c r="AH1148" s="175"/>
      <c r="AI1148" s="175"/>
    </row>
    <row r="1149">
      <c r="A1149" s="176">
        <v>46115.0</v>
      </c>
      <c r="B1149" s="177">
        <v>8365759.0</v>
      </c>
      <c r="C1149" s="178" t="s">
        <v>82</v>
      </c>
      <c r="D1149" s="178" t="s">
        <v>36</v>
      </c>
      <c r="E1149" s="177">
        <v>8365759.0</v>
      </c>
      <c r="F1149" s="178" t="s">
        <v>1540</v>
      </c>
      <c r="G1149" s="176">
        <v>46187.0</v>
      </c>
      <c r="H1149" s="179">
        <v>46189.0</v>
      </c>
      <c r="I1149" s="180">
        <v>2.0</v>
      </c>
      <c r="J1149" s="181" t="s">
        <v>111</v>
      </c>
      <c r="K1149" s="178" t="s">
        <v>79</v>
      </c>
      <c r="L1149" s="178" t="s">
        <v>96</v>
      </c>
      <c r="M1149" s="182">
        <v>2.0</v>
      </c>
      <c r="N1149" s="183">
        <v>0.0</v>
      </c>
      <c r="O1149" s="184">
        <v>225.36</v>
      </c>
      <c r="P1149" s="184">
        <v>223.1064</v>
      </c>
      <c r="Q1149" s="185">
        <v>0.0</v>
      </c>
      <c r="R1149" s="186">
        <v>446.2128</v>
      </c>
      <c r="S1149" s="186">
        <v>0.0</v>
      </c>
      <c r="T1149" s="186">
        <v>3196.16</v>
      </c>
      <c r="U1149" s="187" t="s">
        <v>97</v>
      </c>
      <c r="V1149" s="176">
        <v>46115.0</v>
      </c>
      <c r="W1149" s="175"/>
      <c r="X1149" s="175"/>
      <c r="Y1149" s="175"/>
      <c r="Z1149" s="175"/>
      <c r="AA1149" s="175"/>
      <c r="AB1149" s="175"/>
      <c r="AC1149" s="175"/>
      <c r="AD1149" s="175"/>
      <c r="AE1149" s="175"/>
      <c r="AF1149" s="175"/>
      <c r="AG1149" s="175"/>
      <c r="AH1149" s="175"/>
      <c r="AI1149" s="175"/>
    </row>
    <row r="1150">
      <c r="A1150" s="176">
        <v>46115.0</v>
      </c>
      <c r="B1150" s="177">
        <v>8365759.0</v>
      </c>
      <c r="C1150" s="178" t="s">
        <v>82</v>
      </c>
      <c r="D1150" s="178" t="s">
        <v>36</v>
      </c>
      <c r="E1150" s="177">
        <v>8365759.0</v>
      </c>
      <c r="F1150" s="178" t="s">
        <v>1540</v>
      </c>
      <c r="G1150" s="176">
        <v>46187.0</v>
      </c>
      <c r="H1150" s="179">
        <v>46189.0</v>
      </c>
      <c r="I1150" s="180">
        <v>2.0</v>
      </c>
      <c r="J1150" s="181" t="s">
        <v>111</v>
      </c>
      <c r="K1150" s="178" t="s">
        <v>79</v>
      </c>
      <c r="L1150" s="178" t="s">
        <v>96</v>
      </c>
      <c r="M1150" s="182">
        <v>2.0</v>
      </c>
      <c r="N1150" s="183">
        <v>0.0</v>
      </c>
      <c r="O1150" s="184">
        <v>225.36</v>
      </c>
      <c r="P1150" s="184">
        <v>223.1064</v>
      </c>
      <c r="Q1150" s="185">
        <v>0.0</v>
      </c>
      <c r="R1150" s="186">
        <v>446.2128</v>
      </c>
      <c r="S1150" s="186">
        <v>0.0</v>
      </c>
      <c r="T1150" s="186">
        <v>3196.16</v>
      </c>
      <c r="U1150" s="187" t="s">
        <v>97</v>
      </c>
      <c r="V1150" s="176">
        <v>46115.0</v>
      </c>
      <c r="W1150" s="175"/>
      <c r="X1150" s="175"/>
      <c r="Y1150" s="175"/>
      <c r="Z1150" s="175"/>
      <c r="AA1150" s="175"/>
      <c r="AB1150" s="175"/>
      <c r="AC1150" s="175"/>
      <c r="AD1150" s="175"/>
      <c r="AE1150" s="175"/>
      <c r="AF1150" s="175"/>
      <c r="AG1150" s="175"/>
      <c r="AH1150" s="175"/>
      <c r="AI1150" s="175"/>
    </row>
    <row r="1151">
      <c r="A1151" s="176">
        <v>46115.0</v>
      </c>
      <c r="B1151" s="177">
        <v>8366496.0</v>
      </c>
      <c r="C1151" s="178" t="s">
        <v>75</v>
      </c>
      <c r="D1151" s="178" t="s">
        <v>35</v>
      </c>
      <c r="E1151" s="177">
        <v>6.934932544E9</v>
      </c>
      <c r="F1151" s="178" t="s">
        <v>1557</v>
      </c>
      <c r="G1151" s="176">
        <v>46419.20833333333</v>
      </c>
      <c r="H1151" s="179">
        <v>46424.20833333333</v>
      </c>
      <c r="I1151" s="180">
        <v>5.0</v>
      </c>
      <c r="J1151" s="181" t="s">
        <v>78</v>
      </c>
      <c r="K1151" s="178" t="s">
        <v>79</v>
      </c>
      <c r="L1151" s="178" t="s">
        <v>80</v>
      </c>
      <c r="M1151" s="182">
        <v>2.0</v>
      </c>
      <c r="N1151" s="183">
        <v>0.19999999999999996</v>
      </c>
      <c r="O1151" s="184">
        <v>173.95999999999998</v>
      </c>
      <c r="P1151" s="184">
        <v>139.16799999999998</v>
      </c>
      <c r="Q1151" s="185">
        <v>0.0</v>
      </c>
      <c r="R1151" s="186">
        <v>695.8399999999999</v>
      </c>
      <c r="S1151" s="186">
        <v>0.0</v>
      </c>
      <c r="T1151" s="186">
        <v>869.8</v>
      </c>
      <c r="U1151" s="187" t="s">
        <v>1558</v>
      </c>
      <c r="V1151" s="176">
        <v>46115.0</v>
      </c>
      <c r="W1151" s="164"/>
      <c r="X1151" s="164"/>
      <c r="Y1151" s="164"/>
      <c r="Z1151" s="164"/>
      <c r="AA1151" s="164"/>
      <c r="AB1151" s="164"/>
      <c r="AC1151" s="164"/>
      <c r="AD1151" s="164"/>
      <c r="AE1151" s="164"/>
      <c r="AF1151" s="164"/>
      <c r="AG1151" s="164"/>
      <c r="AH1151" s="164"/>
      <c r="AI1151" s="164"/>
    </row>
    <row r="1152">
      <c r="A1152" s="176">
        <v>46116.0</v>
      </c>
      <c r="B1152" s="177">
        <v>8368221.0</v>
      </c>
      <c r="C1152" s="178" t="s">
        <v>82</v>
      </c>
      <c r="D1152" s="178" t="s">
        <v>35</v>
      </c>
      <c r="E1152" s="177">
        <v>6.071800284E9</v>
      </c>
      <c r="F1152" s="178" t="s">
        <v>1560</v>
      </c>
      <c r="G1152" s="176">
        <v>46234.0</v>
      </c>
      <c r="H1152" s="179">
        <v>46236.0</v>
      </c>
      <c r="I1152" s="180">
        <v>2.0</v>
      </c>
      <c r="J1152" s="181" t="s">
        <v>114</v>
      </c>
      <c r="K1152" s="178" t="s">
        <v>79</v>
      </c>
      <c r="L1152" s="178" t="s">
        <v>80</v>
      </c>
      <c r="M1152" s="182">
        <v>2.0</v>
      </c>
      <c r="N1152" s="183">
        <v>0.19999999999999996</v>
      </c>
      <c r="O1152" s="184">
        <v>170.9</v>
      </c>
      <c r="P1152" s="184">
        <v>136.72</v>
      </c>
      <c r="Q1152" s="185">
        <v>0.0</v>
      </c>
      <c r="R1152" s="186">
        <v>273.44</v>
      </c>
      <c r="S1152" s="186">
        <v>0.0</v>
      </c>
      <c r="T1152" s="186">
        <v>351.8</v>
      </c>
      <c r="U1152" s="187" t="s">
        <v>1367</v>
      </c>
      <c r="V1152" s="176">
        <v>46116.0</v>
      </c>
      <c r="W1152" s="164"/>
      <c r="X1152" s="164"/>
      <c r="Y1152" s="164"/>
      <c r="Z1152" s="164"/>
      <c r="AA1152" s="164"/>
      <c r="AB1152" s="164"/>
      <c r="AC1152" s="164"/>
      <c r="AD1152" s="164"/>
      <c r="AE1152" s="164"/>
      <c r="AF1152" s="164"/>
      <c r="AG1152" s="164"/>
      <c r="AH1152" s="164"/>
      <c r="AI1152" s="164"/>
    </row>
    <row r="1153">
      <c r="A1153" s="176">
        <v>46116.0</v>
      </c>
      <c r="B1153" s="177">
        <v>8370386.0</v>
      </c>
      <c r="C1153" s="178" t="s">
        <v>82</v>
      </c>
      <c r="D1153" s="178" t="s">
        <v>35</v>
      </c>
      <c r="E1153" s="177">
        <v>6.885503269E9</v>
      </c>
      <c r="F1153" s="178" t="s">
        <v>1564</v>
      </c>
      <c r="G1153" s="176">
        <v>46314.20833333333</v>
      </c>
      <c r="H1153" s="179">
        <v>46317.20833333333</v>
      </c>
      <c r="I1153" s="180">
        <v>3.0</v>
      </c>
      <c r="J1153" s="181" t="s">
        <v>78</v>
      </c>
      <c r="K1153" s="178" t="s">
        <v>79</v>
      </c>
      <c r="L1153" s="178" t="s">
        <v>80</v>
      </c>
      <c r="M1153" s="182">
        <v>2.0</v>
      </c>
      <c r="N1153" s="183">
        <v>0.19999999999999996</v>
      </c>
      <c r="O1153" s="184">
        <v>122.33</v>
      </c>
      <c r="P1153" s="184">
        <v>97.864</v>
      </c>
      <c r="Q1153" s="185">
        <v>0.0</v>
      </c>
      <c r="R1153" s="186">
        <v>293.592</v>
      </c>
      <c r="S1153" s="186">
        <v>0.0</v>
      </c>
      <c r="T1153" s="186">
        <v>381.99</v>
      </c>
      <c r="U1153" s="187" t="s">
        <v>107</v>
      </c>
      <c r="V1153" s="176">
        <v>46116.0</v>
      </c>
      <c r="W1153" s="175"/>
      <c r="X1153" s="175"/>
      <c r="Y1153" s="175"/>
      <c r="Z1153" s="175"/>
      <c r="AA1153" s="175"/>
      <c r="AB1153" s="175"/>
      <c r="AC1153" s="175"/>
      <c r="AD1153" s="175"/>
      <c r="AE1153" s="175"/>
      <c r="AF1153" s="175"/>
      <c r="AG1153" s="175"/>
      <c r="AH1153" s="175"/>
      <c r="AI1153" s="175"/>
    </row>
    <row r="1154">
      <c r="A1154" s="176">
        <v>46116.0</v>
      </c>
      <c r="B1154" s="177">
        <v>8370663.0</v>
      </c>
      <c r="C1154" s="178" t="s">
        <v>82</v>
      </c>
      <c r="D1154" s="178" t="s">
        <v>35</v>
      </c>
      <c r="E1154" s="177">
        <v>5.851386247E9</v>
      </c>
      <c r="F1154" s="178" t="s">
        <v>1569</v>
      </c>
      <c r="G1154" s="176">
        <v>46166.0</v>
      </c>
      <c r="H1154" s="179">
        <v>46168.0</v>
      </c>
      <c r="I1154" s="180">
        <v>2.0</v>
      </c>
      <c r="J1154" s="181" t="s">
        <v>78</v>
      </c>
      <c r="K1154" s="178" t="s">
        <v>79</v>
      </c>
      <c r="L1154" s="178" t="s">
        <v>80</v>
      </c>
      <c r="M1154" s="182">
        <v>2.0</v>
      </c>
      <c r="N1154" s="183">
        <v>0.19999999999999996</v>
      </c>
      <c r="O1154" s="184">
        <v>169.14</v>
      </c>
      <c r="P1154" s="184">
        <v>135.31199999999998</v>
      </c>
      <c r="Q1154" s="185">
        <v>0.0</v>
      </c>
      <c r="R1154" s="186">
        <v>270.62399999999997</v>
      </c>
      <c r="S1154" s="186">
        <v>0.0</v>
      </c>
      <c r="T1154" s="186">
        <v>348.28</v>
      </c>
      <c r="U1154" s="187" t="s">
        <v>107</v>
      </c>
      <c r="V1154" s="176">
        <v>46116.0</v>
      </c>
      <c r="W1154" s="175"/>
      <c r="X1154" s="175"/>
      <c r="Y1154" s="175"/>
      <c r="Z1154" s="175"/>
      <c r="AA1154" s="175"/>
      <c r="AB1154" s="175"/>
      <c r="AC1154" s="175"/>
      <c r="AD1154" s="175"/>
      <c r="AE1154" s="175"/>
      <c r="AF1154" s="175"/>
      <c r="AG1154" s="175"/>
      <c r="AH1154" s="175"/>
      <c r="AI1154" s="175"/>
    </row>
    <row r="1155">
      <c r="A1155" s="176">
        <v>46116.0</v>
      </c>
      <c r="B1155" s="177">
        <v>8370823.0</v>
      </c>
      <c r="C1155" s="178" t="s">
        <v>82</v>
      </c>
      <c r="D1155" s="178" t="s">
        <v>94</v>
      </c>
      <c r="E1155" s="177">
        <v>8370823.0</v>
      </c>
      <c r="F1155" s="178" t="s">
        <v>682</v>
      </c>
      <c r="G1155" s="176">
        <v>46118.0</v>
      </c>
      <c r="H1155" s="179">
        <v>46120.0</v>
      </c>
      <c r="I1155" s="180">
        <v>2.0</v>
      </c>
      <c r="J1155" s="181" t="s">
        <v>111</v>
      </c>
      <c r="K1155" s="178" t="s">
        <v>79</v>
      </c>
      <c r="L1155" s="178" t="s">
        <v>96</v>
      </c>
      <c r="M1155" s="182">
        <v>2.0</v>
      </c>
      <c r="N1155" s="183">
        <v>0.0</v>
      </c>
      <c r="O1155" s="184">
        <v>300.24</v>
      </c>
      <c r="P1155" s="184">
        <v>300.24</v>
      </c>
      <c r="Q1155" s="185">
        <v>0.0</v>
      </c>
      <c r="R1155" s="186">
        <v>600.48</v>
      </c>
      <c r="S1155" s="186">
        <v>0.0</v>
      </c>
      <c r="T1155" s="186">
        <v>610.48</v>
      </c>
      <c r="U1155" s="187" t="s">
        <v>97</v>
      </c>
      <c r="V1155" s="176">
        <v>46116.0</v>
      </c>
      <c r="W1155" s="175"/>
      <c r="X1155" s="175"/>
      <c r="Y1155" s="175"/>
      <c r="Z1155" s="175"/>
      <c r="AA1155" s="175"/>
      <c r="AB1155" s="175"/>
      <c r="AC1155" s="175"/>
      <c r="AD1155" s="175"/>
      <c r="AE1155" s="175"/>
      <c r="AF1155" s="175"/>
      <c r="AG1155" s="175"/>
      <c r="AH1155" s="175"/>
      <c r="AI1155" s="175"/>
    </row>
    <row r="1156">
      <c r="A1156" s="176">
        <v>46117.0</v>
      </c>
      <c r="B1156" s="177">
        <v>8371776.0</v>
      </c>
      <c r="C1156" s="178" t="s">
        <v>89</v>
      </c>
      <c r="D1156" s="178" t="s">
        <v>35</v>
      </c>
      <c r="E1156" s="177">
        <v>6.071825943E9</v>
      </c>
      <c r="F1156" s="178" t="s">
        <v>992</v>
      </c>
      <c r="G1156" s="176">
        <v>46558.20833333333</v>
      </c>
      <c r="H1156" s="179">
        <v>46561.20833333333</v>
      </c>
      <c r="I1156" s="180">
        <v>3.0</v>
      </c>
      <c r="J1156" s="181" t="s">
        <v>87</v>
      </c>
      <c r="K1156" s="178" t="s">
        <v>79</v>
      </c>
      <c r="L1156" s="178" t="s">
        <v>80</v>
      </c>
      <c r="M1156" s="182">
        <v>0.0</v>
      </c>
      <c r="N1156" s="183">
        <v>0.0</v>
      </c>
      <c r="O1156" s="184">
        <v>0.0</v>
      </c>
      <c r="P1156" s="184">
        <v>0.0</v>
      </c>
      <c r="Q1156" s="185">
        <v>0.0</v>
      </c>
      <c r="R1156" s="186">
        <v>0.0</v>
      </c>
      <c r="S1156" s="186">
        <v>0.0</v>
      </c>
      <c r="T1156" s="186">
        <v>0.0</v>
      </c>
      <c r="U1156" s="187" t="s">
        <v>1576</v>
      </c>
      <c r="V1156" s="176">
        <v>46117.0</v>
      </c>
      <c r="W1156" s="175"/>
      <c r="X1156" s="175"/>
      <c r="Y1156" s="175"/>
      <c r="Z1156" s="175"/>
      <c r="AA1156" s="175"/>
      <c r="AB1156" s="175"/>
      <c r="AC1156" s="175"/>
      <c r="AD1156" s="175"/>
      <c r="AE1156" s="175"/>
      <c r="AF1156" s="175"/>
      <c r="AG1156" s="175"/>
      <c r="AH1156" s="175"/>
      <c r="AI1156" s="175"/>
    </row>
    <row r="1157">
      <c r="A1157" s="176">
        <v>46117.0</v>
      </c>
      <c r="B1157" s="177">
        <v>8374104.0</v>
      </c>
      <c r="C1157" s="178" t="s">
        <v>82</v>
      </c>
      <c r="D1157" s="178" t="s">
        <v>35</v>
      </c>
      <c r="E1157" s="177">
        <v>6.520452582E9</v>
      </c>
      <c r="F1157" s="178" t="s">
        <v>1578</v>
      </c>
      <c r="G1157" s="176">
        <v>46192.0</v>
      </c>
      <c r="H1157" s="179">
        <v>46195.0</v>
      </c>
      <c r="I1157" s="180">
        <v>3.0</v>
      </c>
      <c r="J1157" s="181" t="s">
        <v>78</v>
      </c>
      <c r="K1157" s="178" t="s">
        <v>79</v>
      </c>
      <c r="L1157" s="178" t="s">
        <v>80</v>
      </c>
      <c r="M1157" s="182">
        <v>2.0</v>
      </c>
      <c r="N1157" s="183">
        <v>0.19999999999999996</v>
      </c>
      <c r="O1157" s="184">
        <v>158.65</v>
      </c>
      <c r="P1157" s="184">
        <v>126.92000000000002</v>
      </c>
      <c r="Q1157" s="185">
        <v>0.0</v>
      </c>
      <c r="R1157" s="186">
        <v>380.76000000000005</v>
      </c>
      <c r="S1157" s="186">
        <v>0.0</v>
      </c>
      <c r="T1157" s="186">
        <v>475.95</v>
      </c>
      <c r="U1157" s="187" t="s">
        <v>143</v>
      </c>
      <c r="V1157" s="176">
        <v>46117.0</v>
      </c>
      <c r="W1157" s="188"/>
      <c r="X1157" s="188"/>
      <c r="Y1157" s="188"/>
      <c r="Z1157" s="188"/>
      <c r="AA1157" s="188"/>
      <c r="AB1157" s="188"/>
      <c r="AC1157" s="188"/>
      <c r="AD1157" s="188"/>
      <c r="AE1157" s="188"/>
      <c r="AF1157" s="188"/>
      <c r="AG1157" s="188"/>
      <c r="AH1157" s="188"/>
      <c r="AI1157" s="188"/>
    </row>
    <row r="1158">
      <c r="A1158" s="176">
        <v>46118.0</v>
      </c>
      <c r="B1158" s="177">
        <v>8375601.0</v>
      </c>
      <c r="C1158" s="178" t="s">
        <v>82</v>
      </c>
      <c r="D1158" s="178" t="s">
        <v>35</v>
      </c>
      <c r="E1158" s="177">
        <v>5.701742386E9</v>
      </c>
      <c r="F1158" s="178" t="s">
        <v>1582</v>
      </c>
      <c r="G1158" s="176">
        <v>46180.0</v>
      </c>
      <c r="H1158" s="179">
        <v>46182.0</v>
      </c>
      <c r="I1158" s="180">
        <v>2.0</v>
      </c>
      <c r="J1158" s="181" t="s">
        <v>78</v>
      </c>
      <c r="K1158" s="178" t="s">
        <v>79</v>
      </c>
      <c r="L1158" s="178" t="s">
        <v>80</v>
      </c>
      <c r="M1158" s="182">
        <v>2.0</v>
      </c>
      <c r="N1158" s="183">
        <v>0.19999999999999996</v>
      </c>
      <c r="O1158" s="184">
        <v>152.34</v>
      </c>
      <c r="P1158" s="184">
        <v>121.87200000000001</v>
      </c>
      <c r="Q1158" s="185">
        <v>0.0</v>
      </c>
      <c r="R1158" s="186">
        <v>243.74400000000003</v>
      </c>
      <c r="S1158" s="186">
        <v>0.0</v>
      </c>
      <c r="T1158" s="186">
        <v>314.68</v>
      </c>
      <c r="U1158" s="187" t="s">
        <v>1367</v>
      </c>
      <c r="V1158" s="176">
        <v>46118.0</v>
      </c>
      <c r="W1158" s="175"/>
      <c r="X1158" s="175"/>
      <c r="Y1158" s="175"/>
      <c r="Z1158" s="175"/>
      <c r="AA1158" s="175"/>
      <c r="AB1158" s="175"/>
      <c r="AC1158" s="175"/>
      <c r="AD1158" s="175"/>
      <c r="AE1158" s="175"/>
      <c r="AF1158" s="175"/>
      <c r="AG1158" s="175"/>
      <c r="AH1158" s="175"/>
      <c r="AI1158" s="175"/>
    </row>
    <row r="1159">
      <c r="A1159" s="176">
        <v>46118.0</v>
      </c>
      <c r="B1159" s="177">
        <v>8378576.0</v>
      </c>
      <c r="C1159" s="178" t="s">
        <v>82</v>
      </c>
      <c r="D1159" s="178" t="s">
        <v>35</v>
      </c>
      <c r="E1159" s="177">
        <v>6.441662614E9</v>
      </c>
      <c r="F1159" s="178" t="s">
        <v>1587</v>
      </c>
      <c r="G1159" s="176">
        <v>46169.0</v>
      </c>
      <c r="H1159" s="179">
        <v>46171.0</v>
      </c>
      <c r="I1159" s="180">
        <v>2.0</v>
      </c>
      <c r="J1159" s="181" t="s">
        <v>114</v>
      </c>
      <c r="K1159" s="178" t="s">
        <v>79</v>
      </c>
      <c r="L1159" s="178" t="s">
        <v>80</v>
      </c>
      <c r="M1159" s="182">
        <v>2.0</v>
      </c>
      <c r="N1159" s="183">
        <v>0.19999999999999996</v>
      </c>
      <c r="O1159" s="184">
        <v>173.78</v>
      </c>
      <c r="P1159" s="184">
        <v>139.024</v>
      </c>
      <c r="Q1159" s="185">
        <v>0.0</v>
      </c>
      <c r="R1159" s="186">
        <v>278.048</v>
      </c>
      <c r="S1159" s="186">
        <v>0.0</v>
      </c>
      <c r="T1159" s="186">
        <v>357.56</v>
      </c>
      <c r="U1159" s="187" t="s">
        <v>107</v>
      </c>
      <c r="V1159" s="176">
        <v>46118.0</v>
      </c>
      <c r="W1159" s="175"/>
      <c r="X1159" s="175"/>
      <c r="Y1159" s="175"/>
      <c r="Z1159" s="175"/>
      <c r="AA1159" s="175"/>
      <c r="AB1159" s="175"/>
      <c r="AC1159" s="175"/>
      <c r="AD1159" s="175"/>
      <c r="AE1159" s="175"/>
      <c r="AF1159" s="175"/>
      <c r="AG1159" s="175"/>
      <c r="AH1159" s="175"/>
      <c r="AI1159" s="175"/>
    </row>
    <row r="1160">
      <c r="A1160" s="176">
        <v>46119.0</v>
      </c>
      <c r="B1160" s="177">
        <v>8379837.0</v>
      </c>
      <c r="C1160" s="178" t="s">
        <v>82</v>
      </c>
      <c r="D1160" s="178" t="s">
        <v>35</v>
      </c>
      <c r="E1160" s="177">
        <v>5.575409576E9</v>
      </c>
      <c r="F1160" s="178" t="s">
        <v>1589</v>
      </c>
      <c r="G1160" s="176">
        <v>46137.0</v>
      </c>
      <c r="H1160" s="179">
        <v>46140.0</v>
      </c>
      <c r="I1160" s="180">
        <v>3.0</v>
      </c>
      <c r="J1160" s="181" t="s">
        <v>78</v>
      </c>
      <c r="K1160" s="178" t="s">
        <v>79</v>
      </c>
      <c r="L1160" s="178" t="s">
        <v>80</v>
      </c>
      <c r="M1160" s="182">
        <v>3.0</v>
      </c>
      <c r="N1160" s="183">
        <v>0.19999999999999996</v>
      </c>
      <c r="O1160" s="184">
        <v>177.05999999999997</v>
      </c>
      <c r="P1160" s="184">
        <v>141.648</v>
      </c>
      <c r="Q1160" s="185">
        <v>0.0</v>
      </c>
      <c r="R1160" s="186">
        <v>424.94399999999996</v>
      </c>
      <c r="S1160" s="186">
        <v>0.0</v>
      </c>
      <c r="T1160" s="186">
        <v>531.18</v>
      </c>
      <c r="U1160" s="187" t="s">
        <v>143</v>
      </c>
      <c r="V1160" s="176">
        <v>46119.0</v>
      </c>
      <c r="W1160" s="175"/>
      <c r="X1160" s="175"/>
      <c r="Y1160" s="175"/>
      <c r="Z1160" s="175"/>
      <c r="AA1160" s="175"/>
      <c r="AB1160" s="175"/>
      <c r="AC1160" s="175"/>
      <c r="AD1160" s="175"/>
      <c r="AE1160" s="175"/>
      <c r="AF1160" s="175"/>
      <c r="AG1160" s="175"/>
      <c r="AH1160" s="175"/>
      <c r="AI1160" s="175"/>
    </row>
    <row r="1161">
      <c r="A1161" s="176">
        <v>46119.0</v>
      </c>
      <c r="B1161" s="177">
        <v>8382259.0</v>
      </c>
      <c r="C1161" s="178" t="s">
        <v>82</v>
      </c>
      <c r="D1161" s="178" t="s">
        <v>35</v>
      </c>
      <c r="E1161" s="177">
        <v>6.441640699E9</v>
      </c>
      <c r="F1161" s="178" t="s">
        <v>1592</v>
      </c>
      <c r="G1161" s="176">
        <v>46161.0</v>
      </c>
      <c r="H1161" s="179">
        <v>46164.0</v>
      </c>
      <c r="I1161" s="180">
        <v>3.0</v>
      </c>
      <c r="J1161" s="181" t="s">
        <v>78</v>
      </c>
      <c r="K1161" s="178" t="s">
        <v>79</v>
      </c>
      <c r="L1161" s="178" t="s">
        <v>80</v>
      </c>
      <c r="M1161" s="182">
        <v>2.0</v>
      </c>
      <c r="N1161" s="183">
        <v>0.19999999999999996</v>
      </c>
      <c r="O1161" s="184">
        <v>209.21</v>
      </c>
      <c r="P1161" s="184">
        <v>167.36800000000002</v>
      </c>
      <c r="Q1161" s="185">
        <v>0.0</v>
      </c>
      <c r="R1161" s="186">
        <v>502.10400000000004</v>
      </c>
      <c r="S1161" s="186">
        <v>0.0</v>
      </c>
      <c r="T1161" s="186">
        <v>642.63</v>
      </c>
      <c r="U1161" s="187" t="s">
        <v>1367</v>
      </c>
      <c r="V1161" s="176">
        <v>46119.0</v>
      </c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</row>
    <row r="1162">
      <c r="A1162" s="176">
        <v>46119.0</v>
      </c>
      <c r="B1162" s="177">
        <v>8383227.0</v>
      </c>
      <c r="C1162" s="178" t="s">
        <v>82</v>
      </c>
      <c r="D1162" s="178" t="s">
        <v>35</v>
      </c>
      <c r="E1162" s="177">
        <v>5.270986851E9</v>
      </c>
      <c r="F1162" s="178" t="s">
        <v>1594</v>
      </c>
      <c r="G1162" s="176">
        <v>46125.0</v>
      </c>
      <c r="H1162" s="179">
        <v>46126.0</v>
      </c>
      <c r="I1162" s="180">
        <v>1.0</v>
      </c>
      <c r="J1162" s="181" t="s">
        <v>78</v>
      </c>
      <c r="K1162" s="178" t="s">
        <v>79</v>
      </c>
      <c r="L1162" s="178" t="s">
        <v>80</v>
      </c>
      <c r="M1162" s="182">
        <v>2.0</v>
      </c>
      <c r="N1162" s="183">
        <v>0.19999999999999996</v>
      </c>
      <c r="O1162" s="184">
        <v>167.82</v>
      </c>
      <c r="P1162" s="184">
        <v>134.256</v>
      </c>
      <c r="Q1162" s="185">
        <v>0.0</v>
      </c>
      <c r="R1162" s="186">
        <v>134.256</v>
      </c>
      <c r="S1162" s="186">
        <v>0.0</v>
      </c>
      <c r="T1162" s="186">
        <v>172.82</v>
      </c>
      <c r="U1162" s="187" t="s">
        <v>1441</v>
      </c>
      <c r="V1162" s="176">
        <v>46119.0</v>
      </c>
      <c r="W1162" s="164"/>
      <c r="X1162" s="164"/>
      <c r="Y1162" s="164"/>
      <c r="Z1162" s="164"/>
      <c r="AA1162" s="164"/>
      <c r="AB1162" s="164"/>
      <c r="AC1162" s="164"/>
      <c r="AD1162" s="164"/>
      <c r="AE1162" s="164"/>
      <c r="AF1162" s="164"/>
      <c r="AG1162" s="164"/>
      <c r="AH1162" s="164"/>
      <c r="AI1162" s="164"/>
    </row>
    <row r="1163">
      <c r="A1163" s="176">
        <v>46120.0</v>
      </c>
      <c r="B1163" s="177">
        <v>8384158.0</v>
      </c>
      <c r="C1163" s="178" t="s">
        <v>82</v>
      </c>
      <c r="D1163" s="178" t="s">
        <v>35</v>
      </c>
      <c r="E1163" s="177">
        <v>6.001870091E9</v>
      </c>
      <c r="F1163" s="178" t="s">
        <v>1597</v>
      </c>
      <c r="G1163" s="176">
        <v>46227.0</v>
      </c>
      <c r="H1163" s="179">
        <v>46230.0</v>
      </c>
      <c r="I1163" s="180">
        <v>3.0</v>
      </c>
      <c r="J1163" s="181" t="s">
        <v>78</v>
      </c>
      <c r="K1163" s="178" t="s">
        <v>79</v>
      </c>
      <c r="L1163" s="178" t="s">
        <v>80</v>
      </c>
      <c r="M1163" s="182">
        <v>2.0</v>
      </c>
      <c r="N1163" s="183">
        <v>0.19999999999999996</v>
      </c>
      <c r="O1163" s="184">
        <v>117.25</v>
      </c>
      <c r="P1163" s="184">
        <v>93.80000000000001</v>
      </c>
      <c r="Q1163" s="185">
        <v>0.0</v>
      </c>
      <c r="R1163" s="186">
        <v>281.40000000000003</v>
      </c>
      <c r="S1163" s="186">
        <v>0.0</v>
      </c>
      <c r="T1163" s="186">
        <v>733.5</v>
      </c>
      <c r="U1163" s="187" t="s">
        <v>107</v>
      </c>
      <c r="V1163" s="176">
        <v>46120.0</v>
      </c>
      <c r="W1163" s="175"/>
      <c r="X1163" s="175"/>
      <c r="Y1163" s="175"/>
      <c r="Z1163" s="175"/>
      <c r="AA1163" s="175"/>
      <c r="AB1163" s="175"/>
      <c r="AC1163" s="175"/>
      <c r="AD1163" s="175"/>
      <c r="AE1163" s="175"/>
      <c r="AF1163" s="175"/>
      <c r="AG1163" s="175"/>
      <c r="AH1163" s="175"/>
      <c r="AI1163" s="175"/>
    </row>
    <row r="1164">
      <c r="A1164" s="176">
        <v>46120.0</v>
      </c>
      <c r="B1164" s="177">
        <v>8384158.0</v>
      </c>
      <c r="C1164" s="178" t="s">
        <v>82</v>
      </c>
      <c r="D1164" s="178" t="s">
        <v>35</v>
      </c>
      <c r="E1164" s="177">
        <v>6.001870091E9</v>
      </c>
      <c r="F1164" s="178" t="s">
        <v>1597</v>
      </c>
      <c r="G1164" s="176">
        <v>46227.0</v>
      </c>
      <c r="H1164" s="179">
        <v>46230.0</v>
      </c>
      <c r="I1164" s="180">
        <v>3.0</v>
      </c>
      <c r="J1164" s="181" t="s">
        <v>78</v>
      </c>
      <c r="K1164" s="178" t="s">
        <v>79</v>
      </c>
      <c r="L1164" s="178" t="s">
        <v>80</v>
      </c>
      <c r="M1164" s="182">
        <v>2.0</v>
      </c>
      <c r="N1164" s="183">
        <v>0.19999999999999996</v>
      </c>
      <c r="O1164" s="184">
        <v>117.25</v>
      </c>
      <c r="P1164" s="184">
        <v>93.80000000000001</v>
      </c>
      <c r="Q1164" s="185">
        <v>0.0</v>
      </c>
      <c r="R1164" s="186">
        <v>281.40000000000003</v>
      </c>
      <c r="S1164" s="186">
        <v>0.0</v>
      </c>
      <c r="T1164" s="186">
        <v>733.5</v>
      </c>
      <c r="U1164" s="187" t="s">
        <v>107</v>
      </c>
      <c r="V1164" s="176">
        <v>46120.0</v>
      </c>
      <c r="W1164" s="164"/>
      <c r="X1164" s="164"/>
      <c r="Y1164" s="164"/>
      <c r="Z1164" s="164"/>
      <c r="AA1164" s="164"/>
      <c r="AB1164" s="164"/>
      <c r="AC1164" s="164"/>
      <c r="AD1164" s="164"/>
      <c r="AE1164" s="164"/>
      <c r="AF1164" s="164"/>
      <c r="AG1164" s="164"/>
      <c r="AH1164" s="164"/>
      <c r="AI1164" s="164"/>
    </row>
    <row r="1165">
      <c r="A1165" s="176">
        <v>46120.0</v>
      </c>
      <c r="B1165" s="177">
        <v>8386136.0</v>
      </c>
      <c r="C1165" s="178" t="s">
        <v>82</v>
      </c>
      <c r="D1165" s="178" t="s">
        <v>35</v>
      </c>
      <c r="E1165" s="177">
        <v>6.713317964E9</v>
      </c>
      <c r="F1165" s="178" t="s">
        <v>1249</v>
      </c>
      <c r="G1165" s="176">
        <v>46526.20833333333</v>
      </c>
      <c r="H1165" s="179">
        <v>46532.20833333333</v>
      </c>
      <c r="I1165" s="180">
        <v>6.0</v>
      </c>
      <c r="J1165" s="181" t="s">
        <v>78</v>
      </c>
      <c r="K1165" s="178" t="s">
        <v>79</v>
      </c>
      <c r="L1165" s="178" t="s">
        <v>80</v>
      </c>
      <c r="M1165" s="182">
        <v>2.0</v>
      </c>
      <c r="N1165" s="183">
        <v>0.19999999999999996</v>
      </c>
      <c r="O1165" s="184">
        <v>150.72</v>
      </c>
      <c r="P1165" s="184">
        <v>120.57600000000001</v>
      </c>
      <c r="Q1165" s="185">
        <v>0.0</v>
      </c>
      <c r="R1165" s="186">
        <v>723.456</v>
      </c>
      <c r="S1165" s="186">
        <v>0.0</v>
      </c>
      <c r="T1165" s="186">
        <v>934.32</v>
      </c>
      <c r="U1165" s="187" t="s">
        <v>353</v>
      </c>
      <c r="V1165" s="176">
        <v>46120.0</v>
      </c>
      <c r="W1165" s="175"/>
      <c r="X1165" s="175"/>
      <c r="Y1165" s="175"/>
      <c r="Z1165" s="175"/>
      <c r="AA1165" s="175"/>
      <c r="AB1165" s="175"/>
      <c r="AC1165" s="175"/>
      <c r="AD1165" s="175"/>
      <c r="AE1165" s="175"/>
      <c r="AF1165" s="175"/>
      <c r="AG1165" s="175"/>
      <c r="AH1165" s="175"/>
      <c r="AI1165" s="175"/>
    </row>
    <row r="1166">
      <c r="A1166" s="176">
        <v>46120.0</v>
      </c>
      <c r="B1166" s="177">
        <v>8386418.0</v>
      </c>
      <c r="C1166" s="178" t="s">
        <v>89</v>
      </c>
      <c r="D1166" s="178" t="s">
        <v>35</v>
      </c>
      <c r="E1166" s="177">
        <v>5.880801506E9</v>
      </c>
      <c r="F1166" s="178" t="s">
        <v>562</v>
      </c>
      <c r="G1166" s="176">
        <v>46276.0</v>
      </c>
      <c r="H1166" s="179">
        <v>46277.0</v>
      </c>
      <c r="I1166" s="180">
        <v>1.0</v>
      </c>
      <c r="J1166" s="181" t="s">
        <v>78</v>
      </c>
      <c r="K1166" s="178" t="s">
        <v>79</v>
      </c>
      <c r="L1166" s="178" t="s">
        <v>80</v>
      </c>
      <c r="M1166" s="182">
        <v>0.0</v>
      </c>
      <c r="N1166" s="183">
        <v>0.0</v>
      </c>
      <c r="O1166" s="184">
        <v>0.0</v>
      </c>
      <c r="P1166" s="184">
        <v>0.0</v>
      </c>
      <c r="Q1166" s="185">
        <v>0.0</v>
      </c>
      <c r="R1166" s="186">
        <v>0.0</v>
      </c>
      <c r="S1166" s="186">
        <v>0.0</v>
      </c>
      <c r="T1166" s="186">
        <v>0.0</v>
      </c>
      <c r="U1166" s="187" t="s">
        <v>1609</v>
      </c>
      <c r="V1166" s="176">
        <v>46183.0</v>
      </c>
      <c r="W1166" s="175"/>
      <c r="X1166" s="175"/>
      <c r="Y1166" s="175"/>
      <c r="Z1166" s="175"/>
      <c r="AA1166" s="175"/>
      <c r="AB1166" s="175"/>
      <c r="AC1166" s="175"/>
      <c r="AD1166" s="175"/>
      <c r="AE1166" s="175"/>
      <c r="AF1166" s="175"/>
      <c r="AG1166" s="175"/>
      <c r="AH1166" s="175"/>
      <c r="AI1166" s="175"/>
    </row>
    <row r="1167">
      <c r="A1167" s="176">
        <v>46120.0</v>
      </c>
      <c r="B1167" s="177">
        <v>8386452.0</v>
      </c>
      <c r="C1167" s="178" t="s">
        <v>89</v>
      </c>
      <c r="D1167" s="178" t="s">
        <v>35</v>
      </c>
      <c r="E1167" s="177">
        <v>6.579391616E9</v>
      </c>
      <c r="F1167" s="178" t="s">
        <v>562</v>
      </c>
      <c r="G1167" s="176">
        <v>46284.0</v>
      </c>
      <c r="H1167" s="179">
        <v>46290.20833333333</v>
      </c>
      <c r="I1167" s="180">
        <v>2.0</v>
      </c>
      <c r="J1167" s="181" t="s">
        <v>78</v>
      </c>
      <c r="K1167" s="178" t="s">
        <v>79</v>
      </c>
      <c r="L1167" s="178" t="s">
        <v>80</v>
      </c>
      <c r="M1167" s="182">
        <v>0.0</v>
      </c>
      <c r="N1167" s="183">
        <v>0.0</v>
      </c>
      <c r="O1167" s="184">
        <v>0.0</v>
      </c>
      <c r="P1167" s="184">
        <v>0.0</v>
      </c>
      <c r="Q1167" s="185">
        <v>0.0</v>
      </c>
      <c r="R1167" s="186">
        <v>0.0</v>
      </c>
      <c r="S1167" s="186">
        <v>0.0</v>
      </c>
      <c r="T1167" s="186">
        <v>0.0</v>
      </c>
      <c r="U1167" s="187" t="s">
        <v>1609</v>
      </c>
      <c r="V1167" s="176">
        <v>46183.0</v>
      </c>
      <c r="W1167" s="175"/>
      <c r="X1167" s="175"/>
      <c r="Y1167" s="175"/>
      <c r="Z1167" s="175"/>
      <c r="AA1167" s="175"/>
      <c r="AB1167" s="175"/>
      <c r="AC1167" s="175"/>
      <c r="AD1167" s="175"/>
      <c r="AE1167" s="175"/>
      <c r="AF1167" s="175"/>
      <c r="AG1167" s="175"/>
      <c r="AH1167" s="175"/>
      <c r="AI1167" s="175"/>
    </row>
    <row r="1168">
      <c r="A1168" s="176">
        <v>46120.0</v>
      </c>
      <c r="B1168" s="177">
        <v>8386913.0</v>
      </c>
      <c r="C1168" s="178" t="s">
        <v>89</v>
      </c>
      <c r="D1168" s="178" t="s">
        <v>101</v>
      </c>
      <c r="E1168" s="177">
        <v>2.433413915E9</v>
      </c>
      <c r="F1168" s="178" t="s">
        <v>1614</v>
      </c>
      <c r="G1168" s="176">
        <v>46175.0</v>
      </c>
      <c r="H1168" s="179">
        <v>46178.0</v>
      </c>
      <c r="I1168" s="180">
        <v>3.0</v>
      </c>
      <c r="J1168" s="181" t="s">
        <v>114</v>
      </c>
      <c r="K1168" s="178"/>
      <c r="L1168" s="178"/>
      <c r="M1168" s="182">
        <v>0.0</v>
      </c>
      <c r="N1168" s="183">
        <v>0.0</v>
      </c>
      <c r="O1168" s="184">
        <v>0.0</v>
      </c>
      <c r="P1168" s="184">
        <v>0.0</v>
      </c>
      <c r="Q1168" s="185">
        <v>0.0</v>
      </c>
      <c r="R1168" s="186">
        <v>0.0</v>
      </c>
      <c r="S1168" s="186">
        <v>0.0</v>
      </c>
      <c r="T1168" s="186">
        <v>0.0</v>
      </c>
      <c r="U1168" s="187" t="s">
        <v>1615</v>
      </c>
      <c r="V1168" s="176">
        <v>46123.0</v>
      </c>
      <c r="W1168" s="175"/>
      <c r="X1168" s="175"/>
      <c r="Y1168" s="175"/>
      <c r="Z1168" s="175"/>
      <c r="AA1168" s="175"/>
      <c r="AB1168" s="175"/>
      <c r="AC1168" s="175"/>
      <c r="AD1168" s="175"/>
      <c r="AE1168" s="175"/>
      <c r="AF1168" s="175"/>
      <c r="AG1168" s="175"/>
      <c r="AH1168" s="175"/>
      <c r="AI1168" s="175"/>
    </row>
    <row r="1169">
      <c r="A1169" s="176">
        <v>46120.0</v>
      </c>
      <c r="B1169" s="177">
        <v>8387461.0</v>
      </c>
      <c r="C1169" s="178" t="s">
        <v>82</v>
      </c>
      <c r="D1169" s="178" t="s">
        <v>94</v>
      </c>
      <c r="E1169" s="177">
        <v>8387461.0</v>
      </c>
      <c r="F1169" s="178" t="s">
        <v>1617</v>
      </c>
      <c r="G1169" s="176">
        <v>46188.0</v>
      </c>
      <c r="H1169" s="179">
        <v>46192.0</v>
      </c>
      <c r="I1169" s="180">
        <v>4.0</v>
      </c>
      <c r="J1169" s="181" t="s">
        <v>78</v>
      </c>
      <c r="K1169" s="178" t="s">
        <v>79</v>
      </c>
      <c r="L1169" s="178" t="s">
        <v>96</v>
      </c>
      <c r="M1169" s="182">
        <v>2.0</v>
      </c>
      <c r="N1169" s="183">
        <v>0.0</v>
      </c>
      <c r="O1169" s="184">
        <v>181.44</v>
      </c>
      <c r="P1169" s="184">
        <v>181.44</v>
      </c>
      <c r="Q1169" s="185">
        <v>0.0</v>
      </c>
      <c r="R1169" s="186">
        <v>725.76</v>
      </c>
      <c r="S1169" s="186">
        <v>0.0</v>
      </c>
      <c r="T1169" s="186">
        <v>745.76</v>
      </c>
      <c r="U1169" s="187" t="s">
        <v>97</v>
      </c>
      <c r="V1169" s="176">
        <v>46120.0</v>
      </c>
      <c r="W1169" s="175"/>
      <c r="X1169" s="175"/>
      <c r="Y1169" s="175"/>
      <c r="Z1169" s="175"/>
      <c r="AA1169" s="175"/>
      <c r="AB1169" s="175"/>
      <c r="AC1169" s="175"/>
      <c r="AD1169" s="175"/>
      <c r="AE1169" s="175"/>
      <c r="AF1169" s="175"/>
      <c r="AG1169" s="175"/>
      <c r="AH1169" s="175"/>
      <c r="AI1169" s="175"/>
    </row>
    <row r="1170">
      <c r="A1170" s="176">
        <v>46120.0</v>
      </c>
      <c r="B1170" s="177">
        <v>8387746.0</v>
      </c>
      <c r="C1170" s="178" t="s">
        <v>82</v>
      </c>
      <c r="D1170" s="178" t="s">
        <v>35</v>
      </c>
      <c r="E1170" s="177">
        <v>6.020729702E9</v>
      </c>
      <c r="F1170" s="178" t="s">
        <v>1622</v>
      </c>
      <c r="G1170" s="176">
        <v>46195.0</v>
      </c>
      <c r="H1170" s="179">
        <v>46199.0</v>
      </c>
      <c r="I1170" s="180">
        <v>4.0</v>
      </c>
      <c r="J1170" s="181" t="s">
        <v>78</v>
      </c>
      <c r="K1170" s="178" t="s">
        <v>79</v>
      </c>
      <c r="L1170" s="178" t="s">
        <v>80</v>
      </c>
      <c r="M1170" s="182">
        <v>2.0</v>
      </c>
      <c r="N1170" s="183">
        <v>0.19999999999999996</v>
      </c>
      <c r="O1170" s="184">
        <v>171.36</v>
      </c>
      <c r="P1170" s="184">
        <v>137.08800000000002</v>
      </c>
      <c r="Q1170" s="185">
        <v>0.0</v>
      </c>
      <c r="R1170" s="186">
        <v>548.3520000000001</v>
      </c>
      <c r="S1170" s="186">
        <v>0.0</v>
      </c>
      <c r="T1170" s="186">
        <v>705.44</v>
      </c>
      <c r="U1170" s="187" t="s">
        <v>1623</v>
      </c>
      <c r="V1170" s="176">
        <v>46120.0</v>
      </c>
      <c r="W1170" s="175"/>
      <c r="X1170" s="175"/>
      <c r="Y1170" s="175"/>
      <c r="Z1170" s="175"/>
      <c r="AA1170" s="175"/>
      <c r="AB1170" s="175"/>
      <c r="AC1170" s="175"/>
      <c r="AD1170" s="175"/>
      <c r="AE1170" s="175"/>
      <c r="AF1170" s="175"/>
      <c r="AG1170" s="175"/>
      <c r="AH1170" s="175"/>
      <c r="AI1170" s="175"/>
    </row>
    <row r="1171">
      <c r="A1171" s="176">
        <v>46120.0</v>
      </c>
      <c r="B1171" s="177">
        <v>8387998.0</v>
      </c>
      <c r="C1171" s="178" t="s">
        <v>82</v>
      </c>
      <c r="D1171" s="178" t="s">
        <v>101</v>
      </c>
      <c r="E1171" s="177">
        <v>2.433582202E9</v>
      </c>
      <c r="F1171" s="178" t="s">
        <v>1627</v>
      </c>
      <c r="G1171" s="176">
        <v>46193.0</v>
      </c>
      <c r="H1171" s="179">
        <v>46198.0</v>
      </c>
      <c r="I1171" s="180">
        <v>5.0</v>
      </c>
      <c r="J1171" s="181" t="s">
        <v>87</v>
      </c>
      <c r="K1171" s="178"/>
      <c r="L1171" s="178"/>
      <c r="M1171" s="182">
        <v>2.0</v>
      </c>
      <c r="N1171" s="183">
        <v>0.0</v>
      </c>
      <c r="O1171" s="184">
        <v>0.0</v>
      </c>
      <c r="P1171" s="184">
        <v>0.0</v>
      </c>
      <c r="Q1171" s="185">
        <v>0.0</v>
      </c>
      <c r="R1171" s="186">
        <v>0.0</v>
      </c>
      <c r="S1171" s="186">
        <v>0.0</v>
      </c>
      <c r="T1171" s="186">
        <v>0.0</v>
      </c>
      <c r="U1171" s="187" t="s">
        <v>180</v>
      </c>
      <c r="V1171" s="176">
        <v>46120.0</v>
      </c>
      <c r="W1171" s="164"/>
      <c r="X1171" s="164"/>
      <c r="Y1171" s="164"/>
      <c r="Z1171" s="164"/>
      <c r="AA1171" s="164"/>
      <c r="AB1171" s="164"/>
      <c r="AC1171" s="164"/>
      <c r="AD1171" s="164"/>
      <c r="AE1171" s="164"/>
      <c r="AF1171" s="164"/>
      <c r="AG1171" s="164"/>
      <c r="AH1171" s="164"/>
      <c r="AI1171" s="164"/>
    </row>
    <row r="1172">
      <c r="A1172" s="176">
        <v>46120.0</v>
      </c>
      <c r="B1172" s="177">
        <v>8388050.0</v>
      </c>
      <c r="C1172" s="178" t="s">
        <v>82</v>
      </c>
      <c r="D1172" s="178" t="s">
        <v>109</v>
      </c>
      <c r="E1172" s="177">
        <v>6.46645611E8</v>
      </c>
      <c r="F1172" s="178" t="s">
        <v>1632</v>
      </c>
      <c r="G1172" s="176">
        <v>46339.20833333333</v>
      </c>
      <c r="H1172" s="179">
        <v>46340.20833333333</v>
      </c>
      <c r="I1172" s="180">
        <v>1.0</v>
      </c>
      <c r="J1172" s="181" t="s">
        <v>114</v>
      </c>
      <c r="K1172" s="178" t="s">
        <v>79</v>
      </c>
      <c r="L1172" s="178" t="s">
        <v>96</v>
      </c>
      <c r="M1172" s="182">
        <v>2.0</v>
      </c>
      <c r="N1172" s="183">
        <v>0.19999999999999996</v>
      </c>
      <c r="O1172" s="184">
        <v>199.54</v>
      </c>
      <c r="P1172" s="184">
        <v>159.632</v>
      </c>
      <c r="Q1172" s="185">
        <v>0.0</v>
      </c>
      <c r="R1172" s="186">
        <v>159.632</v>
      </c>
      <c r="S1172" s="186">
        <v>0.0</v>
      </c>
      <c r="T1172" s="186">
        <v>199.54</v>
      </c>
      <c r="U1172" s="187" t="s">
        <v>1464</v>
      </c>
      <c r="V1172" s="176">
        <v>46120.0</v>
      </c>
      <c r="W1172" s="175"/>
      <c r="X1172" s="175"/>
      <c r="Y1172" s="175"/>
      <c r="Z1172" s="175"/>
      <c r="AA1172" s="175"/>
      <c r="AB1172" s="175"/>
      <c r="AC1172" s="175"/>
      <c r="AD1172" s="175"/>
      <c r="AE1172" s="175"/>
      <c r="AF1172" s="175"/>
      <c r="AG1172" s="175"/>
      <c r="AH1172" s="175"/>
      <c r="AI1172" s="175"/>
    </row>
    <row r="1173">
      <c r="A1173" s="176">
        <v>46121.0</v>
      </c>
      <c r="B1173" s="177">
        <v>8388805.0</v>
      </c>
      <c r="C1173" s="178" t="s">
        <v>82</v>
      </c>
      <c r="D1173" s="178" t="s">
        <v>35</v>
      </c>
      <c r="E1173" s="177">
        <v>6.884706141E9</v>
      </c>
      <c r="F1173" s="178" t="s">
        <v>1634</v>
      </c>
      <c r="G1173" s="176">
        <v>46121.0</v>
      </c>
      <c r="H1173" s="179">
        <v>46122.0</v>
      </c>
      <c r="I1173" s="180">
        <v>1.0</v>
      </c>
      <c r="J1173" s="181" t="s">
        <v>91</v>
      </c>
      <c r="K1173" s="178" t="s">
        <v>79</v>
      </c>
      <c r="L1173" s="178" t="s">
        <v>80</v>
      </c>
      <c r="M1173" s="182">
        <v>5.0</v>
      </c>
      <c r="N1173" s="183">
        <v>0.19999999999999996</v>
      </c>
      <c r="O1173" s="184">
        <v>494.2</v>
      </c>
      <c r="P1173" s="184">
        <v>395.36</v>
      </c>
      <c r="Q1173" s="185">
        <v>0.0</v>
      </c>
      <c r="R1173" s="186">
        <v>395.36</v>
      </c>
      <c r="S1173" s="186">
        <v>0.0</v>
      </c>
      <c r="T1173" s="186">
        <v>506.7</v>
      </c>
      <c r="U1173" s="187" t="s">
        <v>1441</v>
      </c>
      <c r="V1173" s="176">
        <v>46121.0</v>
      </c>
      <c r="W1173" s="164"/>
      <c r="X1173" s="164"/>
      <c r="Y1173" s="164"/>
      <c r="Z1173" s="164"/>
      <c r="AA1173" s="164"/>
      <c r="AB1173" s="164"/>
      <c r="AC1173" s="164"/>
      <c r="AD1173" s="164"/>
      <c r="AE1173" s="164"/>
      <c r="AF1173" s="164"/>
      <c r="AG1173" s="164"/>
      <c r="AH1173" s="164"/>
      <c r="AI1173" s="164"/>
    </row>
    <row r="1174">
      <c r="A1174" s="176">
        <v>46121.0</v>
      </c>
      <c r="B1174" s="177">
        <v>8389637.0</v>
      </c>
      <c r="C1174" s="178" t="s">
        <v>75</v>
      </c>
      <c r="D1174" s="178" t="s">
        <v>35</v>
      </c>
      <c r="E1174" s="177">
        <v>5.867200565E9</v>
      </c>
      <c r="F1174" s="178" t="s">
        <v>1637</v>
      </c>
      <c r="G1174" s="176">
        <v>46199.0</v>
      </c>
      <c r="H1174" s="179">
        <v>46202.0</v>
      </c>
      <c r="I1174" s="180">
        <v>3.0</v>
      </c>
      <c r="J1174" s="181" t="s">
        <v>78</v>
      </c>
      <c r="K1174" s="178" t="s">
        <v>79</v>
      </c>
      <c r="L1174" s="178" t="s">
        <v>80</v>
      </c>
      <c r="M1174" s="182">
        <v>2.0</v>
      </c>
      <c r="N1174" s="183">
        <v>0.19999999999999996</v>
      </c>
      <c r="O1174" s="184">
        <v>128.26</v>
      </c>
      <c r="P1174" s="184">
        <v>102.608</v>
      </c>
      <c r="Q1174" s="185">
        <v>0.0</v>
      </c>
      <c r="R1174" s="186">
        <v>307.824</v>
      </c>
      <c r="S1174" s="186">
        <v>0.0</v>
      </c>
      <c r="T1174" s="186">
        <v>399.78</v>
      </c>
      <c r="U1174" s="187" t="s">
        <v>1639</v>
      </c>
      <c r="V1174" s="176">
        <v>46121.0</v>
      </c>
      <c r="W1174" s="175"/>
      <c r="X1174" s="175"/>
      <c r="Y1174" s="175"/>
      <c r="Z1174" s="175"/>
      <c r="AA1174" s="175"/>
      <c r="AB1174" s="175"/>
      <c r="AC1174" s="175"/>
      <c r="AD1174" s="175"/>
      <c r="AE1174" s="175"/>
      <c r="AF1174" s="175"/>
      <c r="AG1174" s="175"/>
      <c r="AH1174" s="175"/>
      <c r="AI1174" s="175"/>
    </row>
    <row r="1175">
      <c r="A1175" s="176">
        <v>46121.0</v>
      </c>
      <c r="B1175" s="177">
        <v>8389687.0</v>
      </c>
      <c r="C1175" s="178" t="s">
        <v>82</v>
      </c>
      <c r="D1175" s="178" t="s">
        <v>101</v>
      </c>
      <c r="E1175" s="177">
        <v>2.433995039E9</v>
      </c>
      <c r="F1175" s="178" t="s">
        <v>1640</v>
      </c>
      <c r="G1175" s="176">
        <v>46153.0</v>
      </c>
      <c r="H1175" s="179">
        <v>46157.0</v>
      </c>
      <c r="I1175" s="180">
        <v>4.0</v>
      </c>
      <c r="J1175" s="181" t="s">
        <v>91</v>
      </c>
      <c r="K1175" s="178" t="s">
        <v>79</v>
      </c>
      <c r="L1175" s="178" t="s">
        <v>103</v>
      </c>
      <c r="M1175" s="182">
        <v>2.0</v>
      </c>
      <c r="N1175" s="183">
        <v>0.0</v>
      </c>
      <c r="O1175" s="184">
        <v>599.76</v>
      </c>
      <c r="P1175" s="184">
        <v>479.808</v>
      </c>
      <c r="Q1175" s="185">
        <v>0.0</v>
      </c>
      <c r="R1175" s="186">
        <v>1919.232</v>
      </c>
      <c r="S1175" s="186">
        <v>0.0</v>
      </c>
      <c r="T1175" s="186">
        <v>2399.04</v>
      </c>
      <c r="U1175" s="187" t="s">
        <v>104</v>
      </c>
      <c r="V1175" s="176">
        <v>46121.0</v>
      </c>
      <c r="W1175" s="164"/>
      <c r="X1175" s="164"/>
      <c r="Y1175" s="164"/>
      <c r="Z1175" s="164"/>
      <c r="AA1175" s="164"/>
      <c r="AB1175" s="164"/>
      <c r="AC1175" s="164"/>
      <c r="AD1175" s="164"/>
      <c r="AE1175" s="164"/>
      <c r="AF1175" s="164"/>
      <c r="AG1175" s="164"/>
      <c r="AH1175" s="164"/>
      <c r="AI1175" s="164"/>
    </row>
    <row r="1176">
      <c r="A1176" s="176">
        <v>46121.0</v>
      </c>
      <c r="B1176" s="177">
        <v>8390322.0</v>
      </c>
      <c r="C1176" s="178" t="s">
        <v>82</v>
      </c>
      <c r="D1176" s="178" t="s">
        <v>35</v>
      </c>
      <c r="E1176" s="177">
        <v>5.970688685E9</v>
      </c>
      <c r="F1176" s="178" t="s">
        <v>1641</v>
      </c>
      <c r="G1176" s="176">
        <v>46457.0</v>
      </c>
      <c r="H1176" s="179">
        <v>46460.0</v>
      </c>
      <c r="I1176" s="180">
        <v>3.0</v>
      </c>
      <c r="J1176" s="181" t="s">
        <v>78</v>
      </c>
      <c r="K1176" s="178" t="s">
        <v>79</v>
      </c>
      <c r="L1176" s="178" t="s">
        <v>80</v>
      </c>
      <c r="M1176" s="182">
        <v>2.0</v>
      </c>
      <c r="N1176" s="183">
        <v>0.19999999999999996</v>
      </c>
      <c r="O1176" s="184">
        <v>160.44</v>
      </c>
      <c r="P1176" s="184">
        <v>128.352</v>
      </c>
      <c r="Q1176" s="185">
        <v>0.0</v>
      </c>
      <c r="R1176" s="186">
        <v>385.05600000000004</v>
      </c>
      <c r="S1176" s="186">
        <v>0.0</v>
      </c>
      <c r="T1176" s="186">
        <v>496.32</v>
      </c>
      <c r="U1176" s="187" t="s">
        <v>353</v>
      </c>
      <c r="V1176" s="176">
        <v>46121.0</v>
      </c>
      <c r="W1176" s="175"/>
      <c r="X1176" s="175"/>
      <c r="Y1176" s="175"/>
      <c r="Z1176" s="175"/>
      <c r="AA1176" s="175"/>
      <c r="AB1176" s="175"/>
      <c r="AC1176" s="175"/>
      <c r="AD1176" s="175"/>
      <c r="AE1176" s="175"/>
      <c r="AF1176" s="175"/>
      <c r="AG1176" s="175"/>
      <c r="AH1176" s="175"/>
      <c r="AI1176" s="175"/>
    </row>
    <row r="1177">
      <c r="A1177" s="176">
        <v>46121.0</v>
      </c>
      <c r="B1177" s="177">
        <v>8390360.0</v>
      </c>
      <c r="C1177" s="178" t="s">
        <v>82</v>
      </c>
      <c r="D1177" s="178" t="s">
        <v>35</v>
      </c>
      <c r="E1177" s="177">
        <v>5.867202977E9</v>
      </c>
      <c r="F1177" s="178" t="s">
        <v>1641</v>
      </c>
      <c r="G1177" s="176">
        <v>46457.0</v>
      </c>
      <c r="H1177" s="179">
        <v>46460.0</v>
      </c>
      <c r="I1177" s="180">
        <v>3.0</v>
      </c>
      <c r="J1177" s="181" t="s">
        <v>78</v>
      </c>
      <c r="K1177" s="178" t="s">
        <v>79</v>
      </c>
      <c r="L1177" s="178" t="s">
        <v>80</v>
      </c>
      <c r="M1177" s="182">
        <v>2.0</v>
      </c>
      <c r="N1177" s="183">
        <v>0.19999999999999996</v>
      </c>
      <c r="O1177" s="184">
        <v>160.44</v>
      </c>
      <c r="P1177" s="184">
        <v>128.352</v>
      </c>
      <c r="Q1177" s="185">
        <v>0.0</v>
      </c>
      <c r="R1177" s="186">
        <v>385.05600000000004</v>
      </c>
      <c r="S1177" s="186">
        <v>0.0</v>
      </c>
      <c r="T1177" s="186">
        <v>496.32</v>
      </c>
      <c r="U1177" s="187" t="s">
        <v>353</v>
      </c>
      <c r="V1177" s="176">
        <v>46121.0</v>
      </c>
      <c r="W1177" s="175"/>
      <c r="X1177" s="175"/>
      <c r="Y1177" s="175"/>
      <c r="Z1177" s="175"/>
      <c r="AA1177" s="175"/>
      <c r="AB1177" s="175"/>
      <c r="AC1177" s="175"/>
      <c r="AD1177" s="175"/>
      <c r="AE1177" s="175"/>
      <c r="AF1177" s="175"/>
      <c r="AG1177" s="175"/>
      <c r="AH1177" s="175"/>
      <c r="AI1177" s="175"/>
    </row>
    <row r="1178">
      <c r="A1178" s="176">
        <v>46121.0</v>
      </c>
      <c r="B1178" s="177">
        <v>8390369.0</v>
      </c>
      <c r="C1178" s="178" t="s">
        <v>82</v>
      </c>
      <c r="D1178" s="178" t="s">
        <v>35</v>
      </c>
      <c r="E1178" s="177">
        <v>5.97553718E9</v>
      </c>
      <c r="F1178" s="178" t="s">
        <v>1641</v>
      </c>
      <c r="G1178" s="176">
        <v>46457.0</v>
      </c>
      <c r="H1178" s="179">
        <v>46460.0</v>
      </c>
      <c r="I1178" s="180">
        <v>3.0</v>
      </c>
      <c r="J1178" s="181" t="s">
        <v>78</v>
      </c>
      <c r="K1178" s="178" t="s">
        <v>79</v>
      </c>
      <c r="L1178" s="178" t="s">
        <v>80</v>
      </c>
      <c r="M1178" s="182">
        <v>2.0</v>
      </c>
      <c r="N1178" s="183">
        <v>0.19999999999999996</v>
      </c>
      <c r="O1178" s="184">
        <v>160.44</v>
      </c>
      <c r="P1178" s="184">
        <v>128.352</v>
      </c>
      <c r="Q1178" s="185">
        <v>0.0</v>
      </c>
      <c r="R1178" s="186">
        <v>385.05600000000004</v>
      </c>
      <c r="S1178" s="186">
        <v>0.0</v>
      </c>
      <c r="T1178" s="186">
        <v>496.32</v>
      </c>
      <c r="U1178" s="187" t="s">
        <v>353</v>
      </c>
      <c r="V1178" s="176">
        <v>46121.0</v>
      </c>
      <c r="W1178" s="175"/>
      <c r="X1178" s="175"/>
      <c r="Y1178" s="175"/>
      <c r="Z1178" s="175"/>
      <c r="AA1178" s="175"/>
      <c r="AB1178" s="175"/>
      <c r="AC1178" s="175"/>
      <c r="AD1178" s="175"/>
      <c r="AE1178" s="175"/>
      <c r="AF1178" s="175"/>
      <c r="AG1178" s="175"/>
      <c r="AH1178" s="175"/>
      <c r="AI1178" s="175"/>
    </row>
    <row r="1179">
      <c r="A1179" s="176">
        <v>46121.0</v>
      </c>
      <c r="B1179" s="177">
        <v>8392400.0</v>
      </c>
      <c r="C1179" s="178" t="s">
        <v>82</v>
      </c>
      <c r="D1179" s="178" t="s">
        <v>35</v>
      </c>
      <c r="E1179" s="177">
        <v>5.975578927E9</v>
      </c>
      <c r="F1179" s="178" t="s">
        <v>1647</v>
      </c>
      <c r="G1179" s="176">
        <v>46171.0</v>
      </c>
      <c r="H1179" s="179">
        <v>46173.0</v>
      </c>
      <c r="I1179" s="180">
        <v>2.0</v>
      </c>
      <c r="J1179" s="181" t="s">
        <v>114</v>
      </c>
      <c r="K1179" s="178" t="s">
        <v>79</v>
      </c>
      <c r="L1179" s="178" t="s">
        <v>80</v>
      </c>
      <c r="M1179" s="182">
        <v>3.0</v>
      </c>
      <c r="N1179" s="183">
        <v>0.19999999999999996</v>
      </c>
      <c r="O1179" s="184">
        <v>186.41</v>
      </c>
      <c r="P1179" s="184">
        <v>149.12800000000001</v>
      </c>
      <c r="Q1179" s="185">
        <v>0.0</v>
      </c>
      <c r="R1179" s="186">
        <v>298.25600000000003</v>
      </c>
      <c r="S1179" s="186">
        <v>0.0</v>
      </c>
      <c r="T1179" s="186">
        <v>387.82</v>
      </c>
      <c r="U1179" s="187" t="s">
        <v>107</v>
      </c>
      <c r="V1179" s="176">
        <v>46121.0</v>
      </c>
      <c r="W1179" s="175"/>
      <c r="X1179" s="175"/>
      <c r="Y1179" s="175"/>
      <c r="Z1179" s="175"/>
      <c r="AA1179" s="175"/>
      <c r="AB1179" s="175"/>
      <c r="AC1179" s="175"/>
      <c r="AD1179" s="175"/>
      <c r="AE1179" s="175"/>
      <c r="AF1179" s="175"/>
      <c r="AG1179" s="175"/>
      <c r="AH1179" s="175"/>
      <c r="AI1179" s="175"/>
    </row>
    <row r="1180">
      <c r="A1180" s="176">
        <v>46122.0</v>
      </c>
      <c r="B1180" s="177">
        <v>8393099.0</v>
      </c>
      <c r="C1180" s="178" t="s">
        <v>75</v>
      </c>
      <c r="D1180" s="178" t="s">
        <v>35</v>
      </c>
      <c r="E1180" s="177">
        <v>5.819880062E9</v>
      </c>
      <c r="F1180" s="178" t="s">
        <v>1649</v>
      </c>
      <c r="G1180" s="176">
        <v>46328.20833333333</v>
      </c>
      <c r="H1180" s="179">
        <v>46329.20833333333</v>
      </c>
      <c r="I1180" s="180">
        <v>1.0</v>
      </c>
      <c r="J1180" s="181" t="s">
        <v>78</v>
      </c>
      <c r="K1180" s="178" t="s">
        <v>79</v>
      </c>
      <c r="L1180" s="178" t="s">
        <v>80</v>
      </c>
      <c r="M1180" s="182">
        <v>2.0</v>
      </c>
      <c r="N1180" s="183">
        <v>0.19999999999999996</v>
      </c>
      <c r="O1180" s="184">
        <v>222.4</v>
      </c>
      <c r="P1180" s="184">
        <v>177.92000000000002</v>
      </c>
      <c r="Q1180" s="185">
        <v>0.0</v>
      </c>
      <c r="R1180" s="186">
        <v>177.92000000000002</v>
      </c>
      <c r="S1180" s="186">
        <v>0.0</v>
      </c>
      <c r="T1180" s="186">
        <v>227.4</v>
      </c>
      <c r="U1180" s="187" t="s">
        <v>1650</v>
      </c>
      <c r="V1180" s="176">
        <v>46122.0</v>
      </c>
      <c r="W1180" s="164"/>
      <c r="X1180" s="164"/>
      <c r="Y1180" s="164"/>
      <c r="Z1180" s="164"/>
      <c r="AA1180" s="164"/>
      <c r="AB1180" s="164"/>
      <c r="AC1180" s="164"/>
      <c r="AD1180" s="164"/>
      <c r="AE1180" s="164"/>
      <c r="AF1180" s="164"/>
      <c r="AG1180" s="164"/>
      <c r="AH1180" s="164"/>
      <c r="AI1180" s="164"/>
    </row>
    <row r="1181">
      <c r="A1181" s="176">
        <v>46122.0</v>
      </c>
      <c r="B1181" s="177">
        <v>8396222.0</v>
      </c>
      <c r="C1181" s="178" t="s">
        <v>82</v>
      </c>
      <c r="D1181" s="178" t="s">
        <v>94</v>
      </c>
      <c r="E1181" s="177">
        <v>8396222.0</v>
      </c>
      <c r="F1181" s="178" t="s">
        <v>1653</v>
      </c>
      <c r="G1181" s="176">
        <v>46122.0</v>
      </c>
      <c r="H1181" s="179">
        <v>46123.0</v>
      </c>
      <c r="I1181" s="180">
        <v>1.0</v>
      </c>
      <c r="J1181" s="181" t="s">
        <v>111</v>
      </c>
      <c r="K1181" s="178" t="s">
        <v>79</v>
      </c>
      <c r="L1181" s="178" t="s">
        <v>96</v>
      </c>
      <c r="M1181" s="182">
        <v>2.0</v>
      </c>
      <c r="N1181" s="183">
        <v>0.0</v>
      </c>
      <c r="O1181" s="184">
        <v>300.24</v>
      </c>
      <c r="P1181" s="184">
        <v>300.24</v>
      </c>
      <c r="Q1181" s="185">
        <v>0.0</v>
      </c>
      <c r="R1181" s="186">
        <v>300.24</v>
      </c>
      <c r="S1181" s="186">
        <v>0.0</v>
      </c>
      <c r="T1181" s="186">
        <v>305.24</v>
      </c>
      <c r="U1181" s="187" t="s">
        <v>97</v>
      </c>
      <c r="V1181" s="176">
        <v>46122.0</v>
      </c>
      <c r="W1181" s="175"/>
      <c r="X1181" s="175"/>
      <c r="Y1181" s="175"/>
      <c r="Z1181" s="175"/>
      <c r="AA1181" s="175"/>
      <c r="AB1181" s="175"/>
      <c r="AC1181" s="175"/>
      <c r="AD1181" s="175"/>
      <c r="AE1181" s="175"/>
      <c r="AF1181" s="175"/>
      <c r="AG1181" s="175"/>
      <c r="AH1181" s="175"/>
      <c r="AI1181" s="175"/>
    </row>
    <row r="1182">
      <c r="A1182" s="176">
        <v>46122.0</v>
      </c>
      <c r="B1182" s="177">
        <v>8396548.0</v>
      </c>
      <c r="C1182" s="178" t="s">
        <v>82</v>
      </c>
      <c r="D1182" s="178" t="s">
        <v>35</v>
      </c>
      <c r="E1182" s="177">
        <v>5.936450904E9</v>
      </c>
      <c r="F1182" s="178" t="s">
        <v>1655</v>
      </c>
      <c r="G1182" s="176">
        <v>46315.20833333333</v>
      </c>
      <c r="H1182" s="179">
        <v>46317.20833333333</v>
      </c>
      <c r="I1182" s="180">
        <v>2.0</v>
      </c>
      <c r="J1182" s="181" t="s">
        <v>111</v>
      </c>
      <c r="K1182" s="178" t="s">
        <v>79</v>
      </c>
      <c r="L1182" s="178" t="s">
        <v>80</v>
      </c>
      <c r="M1182" s="182">
        <v>2.0</v>
      </c>
      <c r="N1182" s="183">
        <v>0.19999999999999996</v>
      </c>
      <c r="O1182" s="184">
        <v>249.84</v>
      </c>
      <c r="P1182" s="184">
        <v>199.872</v>
      </c>
      <c r="Q1182" s="185">
        <v>0.0</v>
      </c>
      <c r="R1182" s="186">
        <v>399.744</v>
      </c>
      <c r="S1182" s="186">
        <v>0.0</v>
      </c>
      <c r="T1182" s="186">
        <v>509.68</v>
      </c>
      <c r="U1182" s="187" t="s">
        <v>268</v>
      </c>
      <c r="V1182" s="176">
        <v>46122.0</v>
      </c>
      <c r="W1182" s="164"/>
      <c r="X1182" s="164"/>
      <c r="Y1182" s="164"/>
      <c r="Z1182" s="164"/>
      <c r="AA1182" s="164"/>
      <c r="AB1182" s="164"/>
      <c r="AC1182" s="164"/>
      <c r="AD1182" s="164"/>
      <c r="AE1182" s="164"/>
      <c r="AF1182" s="164"/>
      <c r="AG1182" s="164"/>
      <c r="AH1182" s="164"/>
      <c r="AI1182" s="164"/>
    </row>
    <row r="1183">
      <c r="A1183" s="176">
        <v>46122.0</v>
      </c>
      <c r="B1183" s="177">
        <v>8396619.0</v>
      </c>
      <c r="C1183" s="178" t="s">
        <v>82</v>
      </c>
      <c r="D1183" s="178" t="s">
        <v>94</v>
      </c>
      <c r="E1183" s="177">
        <v>8396619.0</v>
      </c>
      <c r="F1183" s="178" t="s">
        <v>1656</v>
      </c>
      <c r="G1183" s="176">
        <v>46122.0</v>
      </c>
      <c r="H1183" s="179">
        <v>46123.0</v>
      </c>
      <c r="I1183" s="180">
        <v>1.0</v>
      </c>
      <c r="J1183" s="181" t="s">
        <v>78</v>
      </c>
      <c r="K1183" s="178" t="s">
        <v>79</v>
      </c>
      <c r="L1183" s="178" t="s">
        <v>96</v>
      </c>
      <c r="M1183" s="182">
        <v>2.0</v>
      </c>
      <c r="N1183" s="183">
        <v>0.0</v>
      </c>
      <c r="O1183" s="184">
        <v>239.76</v>
      </c>
      <c r="P1183" s="184">
        <v>239.76</v>
      </c>
      <c r="Q1183" s="185">
        <v>0.0</v>
      </c>
      <c r="R1183" s="186">
        <v>239.76</v>
      </c>
      <c r="S1183" s="186">
        <v>0.0</v>
      </c>
      <c r="T1183" s="186">
        <v>244.76</v>
      </c>
      <c r="U1183" s="187" t="s">
        <v>97</v>
      </c>
      <c r="V1183" s="176">
        <v>46122.0</v>
      </c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</row>
    <row r="1184">
      <c r="A1184" s="176">
        <v>46122.0</v>
      </c>
      <c r="B1184" s="177">
        <v>8397033.0</v>
      </c>
      <c r="C1184" s="178" t="s">
        <v>82</v>
      </c>
      <c r="D1184" s="178" t="s">
        <v>35</v>
      </c>
      <c r="E1184" s="177">
        <v>5.936420544E9</v>
      </c>
      <c r="F1184" s="178" t="s">
        <v>1658</v>
      </c>
      <c r="G1184" s="176">
        <v>46221.0</v>
      </c>
      <c r="H1184" s="179">
        <v>46228.0</v>
      </c>
      <c r="I1184" s="180">
        <v>7.0</v>
      </c>
      <c r="J1184" s="181" t="s">
        <v>114</v>
      </c>
      <c r="K1184" s="178" t="s">
        <v>79</v>
      </c>
      <c r="L1184" s="178" t="s">
        <v>80</v>
      </c>
      <c r="M1184" s="182">
        <v>3.0</v>
      </c>
      <c r="N1184" s="183">
        <v>0.19999999999999996</v>
      </c>
      <c r="O1184" s="184">
        <v>137.57999999999998</v>
      </c>
      <c r="P1184" s="184">
        <v>110.064</v>
      </c>
      <c r="Q1184" s="185">
        <v>0.0</v>
      </c>
      <c r="R1184" s="186">
        <v>770.448</v>
      </c>
      <c r="S1184" s="186">
        <v>0.0</v>
      </c>
      <c r="T1184" s="186">
        <v>1926.12</v>
      </c>
      <c r="U1184" s="187" t="s">
        <v>107</v>
      </c>
      <c r="V1184" s="176">
        <v>46122.0</v>
      </c>
      <c r="W1184" s="188"/>
      <c r="X1184" s="188"/>
      <c r="Y1184" s="188"/>
      <c r="Z1184" s="188"/>
      <c r="AA1184" s="188"/>
      <c r="AB1184" s="188"/>
      <c r="AC1184" s="188"/>
      <c r="AD1184" s="188"/>
      <c r="AE1184" s="188"/>
      <c r="AF1184" s="188"/>
      <c r="AG1184" s="188"/>
      <c r="AH1184" s="188"/>
      <c r="AI1184" s="188"/>
    </row>
    <row r="1185">
      <c r="A1185" s="176">
        <v>46122.0</v>
      </c>
      <c r="B1185" s="177">
        <v>8397033.0</v>
      </c>
      <c r="C1185" s="178" t="s">
        <v>82</v>
      </c>
      <c r="D1185" s="178" t="s">
        <v>35</v>
      </c>
      <c r="E1185" s="177">
        <v>5.936420544E9</v>
      </c>
      <c r="F1185" s="178" t="s">
        <v>1658</v>
      </c>
      <c r="G1185" s="176">
        <v>46221.0</v>
      </c>
      <c r="H1185" s="179">
        <v>46228.0</v>
      </c>
      <c r="I1185" s="180">
        <v>7.0</v>
      </c>
      <c r="J1185" s="181" t="s">
        <v>114</v>
      </c>
      <c r="K1185" s="178" t="s">
        <v>79</v>
      </c>
      <c r="L1185" s="178" t="s">
        <v>80</v>
      </c>
      <c r="M1185" s="182">
        <v>3.0</v>
      </c>
      <c r="N1185" s="183">
        <v>0.19999999999999996</v>
      </c>
      <c r="O1185" s="184">
        <v>137.57999999999998</v>
      </c>
      <c r="P1185" s="184">
        <v>110.064</v>
      </c>
      <c r="Q1185" s="185">
        <v>0.0</v>
      </c>
      <c r="R1185" s="186">
        <v>770.448</v>
      </c>
      <c r="S1185" s="186">
        <v>0.0</v>
      </c>
      <c r="T1185" s="186">
        <v>1926.12</v>
      </c>
      <c r="U1185" s="187" t="s">
        <v>107</v>
      </c>
      <c r="V1185" s="176">
        <v>46122.0</v>
      </c>
      <c r="W1185" s="164"/>
      <c r="X1185" s="164"/>
      <c r="Y1185" s="164"/>
      <c r="Z1185" s="164"/>
      <c r="AA1185" s="164"/>
      <c r="AB1185" s="164"/>
      <c r="AC1185" s="164"/>
      <c r="AD1185" s="164"/>
      <c r="AE1185" s="164"/>
      <c r="AF1185" s="164"/>
      <c r="AG1185" s="164"/>
      <c r="AH1185" s="164"/>
      <c r="AI1185" s="164"/>
    </row>
    <row r="1186">
      <c r="A1186" s="176">
        <v>46123.0</v>
      </c>
      <c r="B1186" s="177">
        <v>8398180.0</v>
      </c>
      <c r="C1186" s="178" t="s">
        <v>82</v>
      </c>
      <c r="D1186" s="178" t="s">
        <v>35</v>
      </c>
      <c r="E1186" s="177">
        <v>5.245195818E9</v>
      </c>
      <c r="F1186" s="178" t="s">
        <v>1663</v>
      </c>
      <c r="G1186" s="176">
        <v>46180.0</v>
      </c>
      <c r="H1186" s="179">
        <v>46181.0</v>
      </c>
      <c r="I1186" s="180">
        <v>1.0</v>
      </c>
      <c r="J1186" s="181" t="s">
        <v>87</v>
      </c>
      <c r="K1186" s="178" t="s">
        <v>79</v>
      </c>
      <c r="L1186" s="178" t="s">
        <v>80</v>
      </c>
      <c r="M1186" s="182">
        <v>2.0</v>
      </c>
      <c r="N1186" s="183">
        <v>0.19999999999999996</v>
      </c>
      <c r="O1186" s="184">
        <v>131.41</v>
      </c>
      <c r="P1186" s="184">
        <v>105.128</v>
      </c>
      <c r="Q1186" s="185">
        <v>0.0</v>
      </c>
      <c r="R1186" s="186">
        <v>105.128</v>
      </c>
      <c r="S1186" s="186">
        <v>0.0</v>
      </c>
      <c r="T1186" s="186">
        <v>136.41</v>
      </c>
      <c r="U1186" s="187" t="s">
        <v>107</v>
      </c>
      <c r="V1186" s="176">
        <v>46123.0</v>
      </c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</row>
    <row r="1187">
      <c r="A1187" s="176">
        <v>46123.0</v>
      </c>
      <c r="B1187" s="177">
        <v>8398300.0</v>
      </c>
      <c r="C1187" s="178" t="s">
        <v>82</v>
      </c>
      <c r="D1187" s="178" t="s">
        <v>35</v>
      </c>
      <c r="E1187" s="177">
        <v>6.33369307E9</v>
      </c>
      <c r="F1187" s="178" t="s">
        <v>1665</v>
      </c>
      <c r="G1187" s="176">
        <v>46136.0</v>
      </c>
      <c r="H1187" s="179">
        <v>46137.0</v>
      </c>
      <c r="I1187" s="180">
        <v>1.0</v>
      </c>
      <c r="J1187" s="181" t="s">
        <v>78</v>
      </c>
      <c r="K1187" s="178" t="s">
        <v>79</v>
      </c>
      <c r="L1187" s="178" t="s">
        <v>80</v>
      </c>
      <c r="M1187" s="182">
        <v>2.0</v>
      </c>
      <c r="N1187" s="183">
        <v>0.19999999999999996</v>
      </c>
      <c r="O1187" s="184">
        <v>170.22</v>
      </c>
      <c r="P1187" s="184">
        <v>136.17600000000002</v>
      </c>
      <c r="Q1187" s="185">
        <v>0.0</v>
      </c>
      <c r="R1187" s="186">
        <v>136.17600000000002</v>
      </c>
      <c r="S1187" s="186">
        <v>0.0</v>
      </c>
      <c r="T1187" s="186">
        <v>175.22</v>
      </c>
      <c r="U1187" s="187" t="s">
        <v>1441</v>
      </c>
      <c r="V1187" s="176">
        <v>46123.0</v>
      </c>
      <c r="W1187" s="164"/>
      <c r="X1187" s="164"/>
      <c r="Y1187" s="164"/>
      <c r="Z1187" s="164"/>
      <c r="AA1187" s="164"/>
      <c r="AB1187" s="164"/>
      <c r="AC1187" s="164"/>
      <c r="AD1187" s="164"/>
      <c r="AE1187" s="164"/>
      <c r="AF1187" s="164"/>
      <c r="AG1187" s="164"/>
      <c r="AH1187" s="164"/>
      <c r="AI1187" s="164"/>
    </row>
    <row r="1188">
      <c r="A1188" s="176">
        <v>46123.0</v>
      </c>
      <c r="B1188" s="177">
        <v>8400006.0</v>
      </c>
      <c r="C1188" s="178" t="s">
        <v>89</v>
      </c>
      <c r="D1188" s="178" t="s">
        <v>35</v>
      </c>
      <c r="E1188" s="177">
        <v>6.977902765E9</v>
      </c>
      <c r="F1188" s="178" t="s">
        <v>1670</v>
      </c>
      <c r="G1188" s="176">
        <v>46257.0</v>
      </c>
      <c r="H1188" s="179">
        <v>46260.0</v>
      </c>
      <c r="I1188" s="180">
        <v>3.0</v>
      </c>
      <c r="J1188" s="181" t="s">
        <v>78</v>
      </c>
      <c r="K1188" s="178" t="s">
        <v>79</v>
      </c>
      <c r="L1188" s="178" t="s">
        <v>80</v>
      </c>
      <c r="M1188" s="182">
        <v>0.0</v>
      </c>
      <c r="N1188" s="183">
        <v>0.0</v>
      </c>
      <c r="O1188" s="184">
        <v>0.0</v>
      </c>
      <c r="P1188" s="184">
        <v>0.0</v>
      </c>
      <c r="Q1188" s="185">
        <v>0.0</v>
      </c>
      <c r="R1188" s="186">
        <v>0.0</v>
      </c>
      <c r="S1188" s="186">
        <v>0.0</v>
      </c>
      <c r="T1188" s="186">
        <v>0.0</v>
      </c>
      <c r="U1188" s="187" t="s">
        <v>1673</v>
      </c>
      <c r="V1188" s="176">
        <v>46216.0</v>
      </c>
      <c r="W1188" s="164"/>
      <c r="X1188" s="164"/>
      <c r="Y1188" s="164"/>
      <c r="Z1188" s="164"/>
      <c r="AA1188" s="164"/>
      <c r="AB1188" s="164"/>
      <c r="AC1188" s="164"/>
      <c r="AD1188" s="164"/>
      <c r="AE1188" s="164"/>
      <c r="AF1188" s="164"/>
      <c r="AG1188" s="164"/>
      <c r="AH1188" s="164"/>
      <c r="AI1188" s="164"/>
    </row>
    <row r="1189">
      <c r="A1189" s="176">
        <v>46123.0</v>
      </c>
      <c r="B1189" s="177">
        <v>8400283.0</v>
      </c>
      <c r="C1189" s="178" t="s">
        <v>82</v>
      </c>
      <c r="D1189" s="178" t="s">
        <v>35</v>
      </c>
      <c r="E1189" s="177">
        <v>5.770446847E9</v>
      </c>
      <c r="F1189" s="178" t="s">
        <v>1674</v>
      </c>
      <c r="G1189" s="176">
        <v>46174.0</v>
      </c>
      <c r="H1189" s="179">
        <v>46177.0</v>
      </c>
      <c r="I1189" s="180">
        <v>3.0</v>
      </c>
      <c r="J1189" s="181" t="s">
        <v>111</v>
      </c>
      <c r="K1189" s="178" t="s">
        <v>79</v>
      </c>
      <c r="L1189" s="178" t="s">
        <v>80</v>
      </c>
      <c r="M1189" s="182">
        <v>2.0</v>
      </c>
      <c r="N1189" s="183">
        <v>0.19999999999999996</v>
      </c>
      <c r="O1189" s="184">
        <v>186.74</v>
      </c>
      <c r="P1189" s="184">
        <v>149.39200000000002</v>
      </c>
      <c r="Q1189" s="185">
        <v>0.0</v>
      </c>
      <c r="R1189" s="186">
        <v>448.17600000000004</v>
      </c>
      <c r="S1189" s="186">
        <v>0.0</v>
      </c>
      <c r="T1189" s="186">
        <v>575.22</v>
      </c>
      <c r="U1189" s="187" t="s">
        <v>143</v>
      </c>
      <c r="V1189" s="176">
        <v>46123.0</v>
      </c>
      <c r="W1189" s="175"/>
      <c r="X1189" s="175"/>
      <c r="Y1189" s="175"/>
      <c r="Z1189" s="175"/>
      <c r="AA1189" s="175"/>
      <c r="AB1189" s="175"/>
      <c r="AC1189" s="175"/>
      <c r="AD1189" s="175"/>
      <c r="AE1189" s="175"/>
      <c r="AF1189" s="175"/>
      <c r="AG1189" s="175"/>
      <c r="AH1189" s="175"/>
      <c r="AI1189" s="175"/>
    </row>
    <row r="1190">
      <c r="A1190" s="176">
        <v>46123.0</v>
      </c>
      <c r="B1190" s="177">
        <v>8400779.0</v>
      </c>
      <c r="C1190" s="178" t="s">
        <v>82</v>
      </c>
      <c r="D1190" s="178" t="s">
        <v>35</v>
      </c>
      <c r="E1190" s="177">
        <v>6.121087403E9</v>
      </c>
      <c r="F1190" s="178" t="s">
        <v>1677</v>
      </c>
      <c r="G1190" s="176">
        <v>46346.20833333333</v>
      </c>
      <c r="H1190" s="179">
        <v>46349.20833333333</v>
      </c>
      <c r="I1190" s="180">
        <v>3.0</v>
      </c>
      <c r="J1190" s="181" t="s">
        <v>78</v>
      </c>
      <c r="K1190" s="178" t="s">
        <v>79</v>
      </c>
      <c r="L1190" s="178" t="s">
        <v>80</v>
      </c>
      <c r="M1190" s="182">
        <v>1.0</v>
      </c>
      <c r="N1190" s="183">
        <v>0.19999999999999996</v>
      </c>
      <c r="O1190" s="184">
        <v>160.44</v>
      </c>
      <c r="P1190" s="184">
        <v>128.352</v>
      </c>
      <c r="Q1190" s="185">
        <v>0.0</v>
      </c>
      <c r="R1190" s="186">
        <v>385.05600000000004</v>
      </c>
      <c r="S1190" s="186">
        <v>0.0</v>
      </c>
      <c r="T1190" s="186">
        <v>488.82</v>
      </c>
      <c r="U1190" s="187" t="s">
        <v>353</v>
      </c>
      <c r="V1190" s="176">
        <v>46123.0</v>
      </c>
      <c r="W1190" s="175"/>
      <c r="X1190" s="175"/>
      <c r="Y1190" s="175"/>
      <c r="Z1190" s="175"/>
      <c r="AA1190" s="175"/>
      <c r="AB1190" s="175"/>
      <c r="AC1190" s="175"/>
      <c r="AD1190" s="175"/>
      <c r="AE1190" s="175"/>
      <c r="AF1190" s="175"/>
      <c r="AG1190" s="175"/>
      <c r="AH1190" s="175"/>
      <c r="AI1190" s="175"/>
    </row>
    <row r="1191">
      <c r="A1191" s="176">
        <v>46124.0</v>
      </c>
      <c r="B1191" s="177">
        <v>8401538.0</v>
      </c>
      <c r="C1191" s="178" t="s">
        <v>82</v>
      </c>
      <c r="D1191" s="178" t="s">
        <v>35</v>
      </c>
      <c r="E1191" s="177">
        <v>5.977956093E9</v>
      </c>
      <c r="F1191" s="178" t="s">
        <v>1681</v>
      </c>
      <c r="G1191" s="176">
        <v>46153.0</v>
      </c>
      <c r="H1191" s="179">
        <v>46155.0</v>
      </c>
      <c r="I1191" s="180">
        <v>2.0</v>
      </c>
      <c r="J1191" s="181" t="s">
        <v>78</v>
      </c>
      <c r="K1191" s="178" t="s">
        <v>79</v>
      </c>
      <c r="L1191" s="178" t="s">
        <v>80</v>
      </c>
      <c r="M1191" s="182">
        <v>2.0</v>
      </c>
      <c r="N1191" s="183">
        <v>0.19999999999999996</v>
      </c>
      <c r="O1191" s="184">
        <v>197.0</v>
      </c>
      <c r="P1191" s="184">
        <v>157.60000000000002</v>
      </c>
      <c r="Q1191" s="185">
        <v>0.0</v>
      </c>
      <c r="R1191" s="186">
        <v>315.20000000000005</v>
      </c>
      <c r="S1191" s="186">
        <v>0.0</v>
      </c>
      <c r="T1191" s="186">
        <v>404.0</v>
      </c>
      <c r="U1191" s="187" t="s">
        <v>143</v>
      </c>
      <c r="V1191" s="176">
        <v>46124.0</v>
      </c>
      <c r="W1191" s="188"/>
      <c r="X1191" s="188"/>
      <c r="Y1191" s="188"/>
      <c r="Z1191" s="188"/>
      <c r="AA1191" s="188"/>
      <c r="AB1191" s="188"/>
      <c r="AC1191" s="188"/>
      <c r="AD1191" s="188"/>
      <c r="AE1191" s="188"/>
      <c r="AF1191" s="188"/>
      <c r="AG1191" s="188"/>
      <c r="AH1191" s="188"/>
      <c r="AI1191" s="188"/>
    </row>
    <row r="1192">
      <c r="A1192" s="176">
        <v>46124.0</v>
      </c>
      <c r="B1192" s="177">
        <v>8403639.0</v>
      </c>
      <c r="C1192" s="178" t="s">
        <v>75</v>
      </c>
      <c r="D1192" s="178" t="s">
        <v>35</v>
      </c>
      <c r="E1192" s="177">
        <v>5.621115408E9</v>
      </c>
      <c r="F1192" s="178" t="s">
        <v>1684</v>
      </c>
      <c r="G1192" s="176">
        <v>46189.0</v>
      </c>
      <c r="H1192" s="179">
        <v>46191.0</v>
      </c>
      <c r="I1192" s="180">
        <v>2.0</v>
      </c>
      <c r="J1192" s="181" t="s">
        <v>114</v>
      </c>
      <c r="K1192" s="178" t="s">
        <v>79</v>
      </c>
      <c r="L1192" s="178" t="s">
        <v>80</v>
      </c>
      <c r="M1192" s="182">
        <v>2.0</v>
      </c>
      <c r="N1192" s="183">
        <v>0.19999999999999996</v>
      </c>
      <c r="O1192" s="184">
        <v>137.99</v>
      </c>
      <c r="P1192" s="184">
        <v>110.39200000000001</v>
      </c>
      <c r="Q1192" s="185">
        <v>0.0</v>
      </c>
      <c r="R1192" s="186">
        <v>220.78400000000002</v>
      </c>
      <c r="S1192" s="186">
        <v>0.0</v>
      </c>
      <c r="T1192" s="186">
        <v>285.98</v>
      </c>
      <c r="U1192" s="187" t="s">
        <v>1686</v>
      </c>
      <c r="V1192" s="176">
        <v>46124.0</v>
      </c>
      <c r="W1192" s="175"/>
      <c r="X1192" s="175"/>
      <c r="Y1192" s="175"/>
      <c r="Z1192" s="175"/>
      <c r="AA1192" s="175"/>
      <c r="AB1192" s="175"/>
      <c r="AC1192" s="175"/>
      <c r="AD1192" s="175"/>
      <c r="AE1192" s="175"/>
      <c r="AF1192" s="175"/>
      <c r="AG1192" s="175"/>
      <c r="AH1192" s="175"/>
      <c r="AI1192" s="175"/>
    </row>
    <row r="1193">
      <c r="A1193" s="176">
        <v>46125.0</v>
      </c>
      <c r="B1193" s="177">
        <v>8408672.0</v>
      </c>
      <c r="C1193" s="178" t="s">
        <v>82</v>
      </c>
      <c r="D1193" s="178" t="s">
        <v>35</v>
      </c>
      <c r="E1193" s="177">
        <v>5.126713297E9</v>
      </c>
      <c r="F1193" s="178" t="s">
        <v>1688</v>
      </c>
      <c r="G1193" s="176">
        <v>46304.20833333333</v>
      </c>
      <c r="H1193" s="179">
        <v>46308.20833333333</v>
      </c>
      <c r="I1193" s="180">
        <v>4.0</v>
      </c>
      <c r="J1193" s="181" t="s">
        <v>78</v>
      </c>
      <c r="K1193" s="178" t="s">
        <v>79</v>
      </c>
      <c r="L1193" s="178" t="s">
        <v>80</v>
      </c>
      <c r="M1193" s="182">
        <v>2.0</v>
      </c>
      <c r="N1193" s="183">
        <v>0.19999999999999996</v>
      </c>
      <c r="O1193" s="184">
        <v>171.46</v>
      </c>
      <c r="P1193" s="184">
        <v>137.168</v>
      </c>
      <c r="Q1193" s="185">
        <v>0.0</v>
      </c>
      <c r="R1193" s="186">
        <v>548.672</v>
      </c>
      <c r="S1193" s="186">
        <v>0.0</v>
      </c>
      <c r="T1193" s="186">
        <v>705.84</v>
      </c>
      <c r="U1193" s="187" t="s">
        <v>353</v>
      </c>
      <c r="V1193" s="176">
        <v>46125.0</v>
      </c>
      <c r="W1193" s="175"/>
      <c r="X1193" s="175"/>
      <c r="Y1193" s="175"/>
      <c r="Z1193" s="175"/>
      <c r="AA1193" s="175"/>
      <c r="AB1193" s="175"/>
      <c r="AC1193" s="175"/>
      <c r="AD1193" s="175"/>
      <c r="AE1193" s="175"/>
      <c r="AF1193" s="175"/>
      <c r="AG1193" s="175"/>
      <c r="AH1193" s="175"/>
      <c r="AI1193" s="175"/>
    </row>
    <row r="1194">
      <c r="A1194" s="176">
        <v>46125.0</v>
      </c>
      <c r="B1194" s="177">
        <v>8409522.0</v>
      </c>
      <c r="C1194" s="178" t="s">
        <v>89</v>
      </c>
      <c r="D1194" s="178" t="s">
        <v>35</v>
      </c>
      <c r="E1194" s="177">
        <v>5.732301752E9</v>
      </c>
      <c r="F1194" s="178" t="s">
        <v>1692</v>
      </c>
      <c r="G1194" s="176">
        <v>46220.0</v>
      </c>
      <c r="H1194" s="179">
        <v>46223.0</v>
      </c>
      <c r="I1194" s="180">
        <v>3.0</v>
      </c>
      <c r="J1194" s="181" t="s">
        <v>78</v>
      </c>
      <c r="K1194" s="178" t="s">
        <v>138</v>
      </c>
      <c r="L1194" s="178" t="s">
        <v>80</v>
      </c>
      <c r="M1194" s="182">
        <v>0.0</v>
      </c>
      <c r="N1194" s="183">
        <v>0.0</v>
      </c>
      <c r="O1194" s="184">
        <v>0.0</v>
      </c>
      <c r="P1194" s="184">
        <v>0.0</v>
      </c>
      <c r="Q1194" s="185">
        <v>0.0</v>
      </c>
      <c r="R1194" s="186">
        <v>0.0</v>
      </c>
      <c r="S1194" s="186">
        <v>0.0</v>
      </c>
      <c r="T1194" s="186">
        <v>0.0</v>
      </c>
      <c r="U1194" s="187" t="s">
        <v>1694</v>
      </c>
      <c r="V1194" s="176">
        <v>46125.0</v>
      </c>
      <c r="W1194" s="175"/>
      <c r="X1194" s="175"/>
      <c r="Y1194" s="175"/>
      <c r="Z1194" s="175"/>
      <c r="AA1194" s="175"/>
      <c r="AB1194" s="175"/>
      <c r="AC1194" s="175"/>
      <c r="AD1194" s="175"/>
      <c r="AE1194" s="175"/>
      <c r="AF1194" s="175"/>
      <c r="AG1194" s="175"/>
      <c r="AH1194" s="175"/>
      <c r="AI1194" s="175"/>
    </row>
    <row r="1195">
      <c r="A1195" s="176">
        <v>46125.0</v>
      </c>
      <c r="B1195" s="177">
        <v>8409586.0</v>
      </c>
      <c r="C1195" s="178" t="s">
        <v>82</v>
      </c>
      <c r="D1195" s="178" t="s">
        <v>35</v>
      </c>
      <c r="E1195" s="177">
        <v>6.131084501E9</v>
      </c>
      <c r="F1195" s="178" t="s">
        <v>1692</v>
      </c>
      <c r="G1195" s="176">
        <v>46220.0</v>
      </c>
      <c r="H1195" s="179">
        <v>46223.0</v>
      </c>
      <c r="I1195" s="180">
        <v>3.0</v>
      </c>
      <c r="J1195" s="181" t="s">
        <v>111</v>
      </c>
      <c r="K1195" s="178" t="s">
        <v>138</v>
      </c>
      <c r="L1195" s="178" t="s">
        <v>80</v>
      </c>
      <c r="M1195" s="182">
        <v>2.0</v>
      </c>
      <c r="N1195" s="183">
        <v>0.19999999999999996</v>
      </c>
      <c r="O1195" s="184">
        <v>176.2</v>
      </c>
      <c r="P1195" s="184">
        <v>140.96</v>
      </c>
      <c r="Q1195" s="185">
        <v>36.0</v>
      </c>
      <c r="R1195" s="186">
        <v>422.88</v>
      </c>
      <c r="S1195" s="186">
        <v>108.0</v>
      </c>
      <c r="T1195" s="186">
        <v>630.0</v>
      </c>
      <c r="U1195" s="187" t="s">
        <v>140</v>
      </c>
      <c r="V1195" s="176">
        <v>46125.0</v>
      </c>
      <c r="W1195" s="175"/>
      <c r="X1195" s="175"/>
      <c r="Y1195" s="175"/>
      <c r="Z1195" s="175"/>
      <c r="AA1195" s="175"/>
      <c r="AB1195" s="175"/>
      <c r="AC1195" s="175"/>
      <c r="AD1195" s="175"/>
      <c r="AE1195" s="175"/>
      <c r="AF1195" s="175"/>
      <c r="AG1195" s="175"/>
      <c r="AH1195" s="175"/>
      <c r="AI1195" s="175"/>
    </row>
    <row r="1196">
      <c r="A1196" s="176">
        <v>46126.0</v>
      </c>
      <c r="B1196" s="177">
        <v>8412371.0</v>
      </c>
      <c r="C1196" s="178" t="s">
        <v>89</v>
      </c>
      <c r="D1196" s="178" t="s">
        <v>35</v>
      </c>
      <c r="E1196" s="177">
        <v>6.13107024E9</v>
      </c>
      <c r="F1196" s="178" t="s">
        <v>1699</v>
      </c>
      <c r="G1196" s="176">
        <v>46304.20833333333</v>
      </c>
      <c r="H1196" s="179">
        <v>46307.20833333333</v>
      </c>
      <c r="I1196" s="180">
        <v>3.0</v>
      </c>
      <c r="J1196" s="181" t="s">
        <v>78</v>
      </c>
      <c r="K1196" s="178" t="s">
        <v>79</v>
      </c>
      <c r="L1196" s="178" t="s">
        <v>80</v>
      </c>
      <c r="M1196" s="182">
        <v>0.0</v>
      </c>
      <c r="N1196" s="183">
        <v>0.0</v>
      </c>
      <c r="O1196" s="184">
        <v>0.0</v>
      </c>
      <c r="P1196" s="184">
        <v>0.0</v>
      </c>
      <c r="Q1196" s="185">
        <v>0.0</v>
      </c>
      <c r="R1196" s="186">
        <v>0.0</v>
      </c>
      <c r="S1196" s="186">
        <v>0.0</v>
      </c>
      <c r="T1196" s="186">
        <v>0.0</v>
      </c>
      <c r="U1196" s="187" t="s">
        <v>1702</v>
      </c>
      <c r="V1196" s="176">
        <v>46126.0</v>
      </c>
      <c r="W1196" s="188"/>
      <c r="X1196" s="188"/>
      <c r="Y1196" s="188"/>
      <c r="Z1196" s="188"/>
      <c r="AA1196" s="188"/>
      <c r="AB1196" s="188"/>
      <c r="AC1196" s="188"/>
      <c r="AD1196" s="188"/>
      <c r="AE1196" s="188"/>
      <c r="AF1196" s="188"/>
      <c r="AG1196" s="188"/>
      <c r="AH1196" s="188"/>
      <c r="AI1196" s="188"/>
    </row>
    <row r="1197">
      <c r="A1197" s="176">
        <v>46126.0</v>
      </c>
      <c r="B1197" s="177">
        <v>8412470.0</v>
      </c>
      <c r="C1197" s="178" t="s">
        <v>82</v>
      </c>
      <c r="D1197" s="178" t="s">
        <v>35</v>
      </c>
      <c r="E1197" s="177">
        <v>6.419327472E9</v>
      </c>
      <c r="F1197" s="178" t="s">
        <v>1699</v>
      </c>
      <c r="G1197" s="176">
        <v>46304.20833333333</v>
      </c>
      <c r="H1197" s="179">
        <v>46307.20833333333</v>
      </c>
      <c r="I1197" s="180">
        <v>3.0</v>
      </c>
      <c r="J1197" s="181" t="s">
        <v>78</v>
      </c>
      <c r="K1197" s="178" t="s">
        <v>79</v>
      </c>
      <c r="L1197" s="178" t="s">
        <v>80</v>
      </c>
      <c r="M1197" s="182">
        <v>1.0</v>
      </c>
      <c r="N1197" s="183">
        <v>0.19999999999999996</v>
      </c>
      <c r="O1197" s="184">
        <v>128.74</v>
      </c>
      <c r="P1197" s="184">
        <v>102.99200000000002</v>
      </c>
      <c r="Q1197" s="185">
        <v>0.0</v>
      </c>
      <c r="R1197" s="186">
        <v>308.97600000000006</v>
      </c>
      <c r="S1197" s="186">
        <v>0.0</v>
      </c>
      <c r="T1197" s="186">
        <v>393.72</v>
      </c>
      <c r="U1197" s="187" t="s">
        <v>161</v>
      </c>
      <c r="V1197" s="176">
        <v>46126.0</v>
      </c>
      <c r="W1197" s="188"/>
      <c r="X1197" s="188"/>
      <c r="Y1197" s="188"/>
      <c r="Z1197" s="188"/>
      <c r="AA1197" s="188"/>
      <c r="AB1197" s="188"/>
      <c r="AC1197" s="188"/>
      <c r="AD1197" s="188"/>
      <c r="AE1197" s="188"/>
      <c r="AF1197" s="188"/>
      <c r="AG1197" s="188"/>
      <c r="AH1197" s="188"/>
      <c r="AI1197" s="188"/>
    </row>
    <row r="1198">
      <c r="A1198" s="176">
        <v>46126.0</v>
      </c>
      <c r="B1198" s="177">
        <v>8413851.0</v>
      </c>
      <c r="C1198" s="178" t="s">
        <v>82</v>
      </c>
      <c r="D1198" s="178" t="s">
        <v>94</v>
      </c>
      <c r="E1198" s="177">
        <v>8413851.0</v>
      </c>
      <c r="F1198" s="178" t="s">
        <v>874</v>
      </c>
      <c r="G1198" s="176">
        <v>46503.20833333333</v>
      </c>
      <c r="H1198" s="179">
        <v>46507.20833333333</v>
      </c>
      <c r="I1198" s="180">
        <v>4.0</v>
      </c>
      <c r="J1198" s="181" t="s">
        <v>78</v>
      </c>
      <c r="K1198" s="178" t="s">
        <v>79</v>
      </c>
      <c r="L1198" s="178" t="s">
        <v>96</v>
      </c>
      <c r="M1198" s="182">
        <v>2.0</v>
      </c>
      <c r="N1198" s="183">
        <v>0.0</v>
      </c>
      <c r="O1198" s="184">
        <v>200.16</v>
      </c>
      <c r="P1198" s="184">
        <v>200.16</v>
      </c>
      <c r="Q1198" s="185">
        <v>0.0</v>
      </c>
      <c r="R1198" s="186">
        <v>800.64</v>
      </c>
      <c r="S1198" s="186">
        <v>0.0</v>
      </c>
      <c r="T1198" s="186">
        <v>820.64</v>
      </c>
      <c r="U1198" s="187" t="s">
        <v>97</v>
      </c>
      <c r="V1198" s="176">
        <v>46126.0</v>
      </c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</row>
    <row r="1199">
      <c r="A1199" s="176">
        <v>46126.0</v>
      </c>
      <c r="B1199" s="177">
        <v>8413858.0</v>
      </c>
      <c r="C1199" s="178" t="s">
        <v>82</v>
      </c>
      <c r="D1199" s="178" t="s">
        <v>94</v>
      </c>
      <c r="E1199" s="177">
        <v>8413858.0</v>
      </c>
      <c r="F1199" s="178" t="s">
        <v>1707</v>
      </c>
      <c r="G1199" s="176">
        <v>46221.0</v>
      </c>
      <c r="H1199" s="179">
        <v>46222.0</v>
      </c>
      <c r="I1199" s="180">
        <v>1.0</v>
      </c>
      <c r="J1199" s="181" t="s">
        <v>87</v>
      </c>
      <c r="K1199" s="178" t="s">
        <v>79</v>
      </c>
      <c r="L1199" s="178" t="s">
        <v>96</v>
      </c>
      <c r="M1199" s="182">
        <v>2.0</v>
      </c>
      <c r="N1199" s="183">
        <v>0.0</v>
      </c>
      <c r="O1199" s="184">
        <v>162.72</v>
      </c>
      <c r="P1199" s="184">
        <v>162.72</v>
      </c>
      <c r="Q1199" s="185">
        <v>0.0</v>
      </c>
      <c r="R1199" s="186">
        <v>162.72</v>
      </c>
      <c r="S1199" s="186">
        <v>0.0</v>
      </c>
      <c r="T1199" s="186">
        <v>167.72</v>
      </c>
      <c r="U1199" s="187" t="s">
        <v>97</v>
      </c>
      <c r="V1199" s="176">
        <v>46126.0</v>
      </c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</row>
    <row r="1200">
      <c r="A1200" s="176">
        <v>46126.0</v>
      </c>
      <c r="B1200" s="177">
        <v>8414482.0</v>
      </c>
      <c r="C1200" s="178" t="s">
        <v>82</v>
      </c>
      <c r="D1200" s="178" t="s">
        <v>35</v>
      </c>
      <c r="E1200" s="177">
        <v>6.050978075E9</v>
      </c>
      <c r="F1200" s="178" t="s">
        <v>1708</v>
      </c>
      <c r="G1200" s="176">
        <v>46198.0</v>
      </c>
      <c r="H1200" s="179">
        <v>46202.0</v>
      </c>
      <c r="I1200" s="180">
        <v>4.0</v>
      </c>
      <c r="J1200" s="181" t="s">
        <v>114</v>
      </c>
      <c r="K1200" s="178" t="s">
        <v>79</v>
      </c>
      <c r="L1200" s="178" t="s">
        <v>80</v>
      </c>
      <c r="M1200" s="182">
        <v>2.0</v>
      </c>
      <c r="N1200" s="183">
        <v>0.19999999999999996</v>
      </c>
      <c r="O1200" s="184">
        <v>140.54</v>
      </c>
      <c r="P1200" s="184">
        <v>112.432</v>
      </c>
      <c r="Q1200" s="185">
        <v>0.0</v>
      </c>
      <c r="R1200" s="186">
        <v>449.728</v>
      </c>
      <c r="S1200" s="186">
        <v>0.0</v>
      </c>
      <c r="T1200" s="186">
        <v>582.16</v>
      </c>
      <c r="U1200" s="187" t="s">
        <v>107</v>
      </c>
      <c r="V1200" s="176">
        <v>46126.0</v>
      </c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</row>
    <row r="1201">
      <c r="A1201" s="176">
        <v>46127.0</v>
      </c>
      <c r="B1201" s="177">
        <v>8415662.0</v>
      </c>
      <c r="C1201" s="178" t="s">
        <v>89</v>
      </c>
      <c r="D1201" s="178" t="s">
        <v>35</v>
      </c>
      <c r="E1201" s="177">
        <v>5.297763425E9</v>
      </c>
      <c r="F1201" s="178" t="s">
        <v>1710</v>
      </c>
      <c r="G1201" s="176">
        <v>46174.0</v>
      </c>
      <c r="H1201" s="179">
        <v>46178.0</v>
      </c>
      <c r="I1201" s="180">
        <v>4.0</v>
      </c>
      <c r="J1201" s="181" t="s">
        <v>78</v>
      </c>
      <c r="K1201" s="178" t="s">
        <v>79</v>
      </c>
      <c r="L1201" s="178" t="s">
        <v>80</v>
      </c>
      <c r="M1201" s="182">
        <v>0.0</v>
      </c>
      <c r="N1201" s="183">
        <v>0.0</v>
      </c>
      <c r="O1201" s="184">
        <v>0.0</v>
      </c>
      <c r="P1201" s="184">
        <v>0.0</v>
      </c>
      <c r="Q1201" s="185">
        <v>0.0</v>
      </c>
      <c r="R1201" s="186">
        <v>0.0</v>
      </c>
      <c r="S1201" s="186">
        <v>0.0</v>
      </c>
      <c r="T1201" s="186">
        <v>0.0</v>
      </c>
      <c r="U1201" s="187" t="s">
        <v>1712</v>
      </c>
      <c r="V1201" s="176">
        <v>46134.0</v>
      </c>
      <c r="W1201" s="164"/>
      <c r="X1201" s="164"/>
      <c r="Y1201" s="164"/>
      <c r="Z1201" s="164"/>
      <c r="AA1201" s="164"/>
      <c r="AB1201" s="164"/>
      <c r="AC1201" s="164"/>
      <c r="AD1201" s="164"/>
      <c r="AE1201" s="164"/>
      <c r="AF1201" s="164"/>
      <c r="AG1201" s="164"/>
      <c r="AH1201" s="164"/>
      <c r="AI1201" s="164"/>
    </row>
    <row r="1202">
      <c r="A1202" s="176">
        <v>46127.0</v>
      </c>
      <c r="B1202" s="177">
        <v>8415764.0</v>
      </c>
      <c r="C1202" s="178" t="s">
        <v>75</v>
      </c>
      <c r="D1202" s="178" t="s">
        <v>35</v>
      </c>
      <c r="E1202" s="177">
        <v>5.469753094E9</v>
      </c>
      <c r="F1202" s="178" t="s">
        <v>1713</v>
      </c>
      <c r="G1202" s="176">
        <v>46498.20833333333</v>
      </c>
      <c r="H1202" s="179">
        <v>46501.20833333333</v>
      </c>
      <c r="I1202" s="180">
        <v>3.0</v>
      </c>
      <c r="J1202" s="181" t="s">
        <v>78</v>
      </c>
      <c r="K1202" s="178" t="s">
        <v>79</v>
      </c>
      <c r="L1202" s="178" t="s">
        <v>80</v>
      </c>
      <c r="M1202" s="182">
        <v>2.0</v>
      </c>
      <c r="N1202" s="183">
        <v>0.19999999999999996</v>
      </c>
      <c r="O1202" s="184">
        <v>155.72</v>
      </c>
      <c r="P1202" s="184">
        <v>124.57600000000001</v>
      </c>
      <c r="Q1202" s="185">
        <v>0.0</v>
      </c>
      <c r="R1202" s="186">
        <v>373.728</v>
      </c>
      <c r="S1202" s="186">
        <v>0.0</v>
      </c>
      <c r="T1202" s="186">
        <v>467.16</v>
      </c>
      <c r="U1202" s="187" t="s">
        <v>1715</v>
      </c>
      <c r="V1202" s="176">
        <v>46127.0</v>
      </c>
      <c r="W1202" s="175"/>
      <c r="X1202" s="175"/>
      <c r="Y1202" s="175"/>
      <c r="Z1202" s="175"/>
      <c r="AA1202" s="175"/>
      <c r="AB1202" s="175"/>
      <c r="AC1202" s="175"/>
      <c r="AD1202" s="175"/>
      <c r="AE1202" s="175"/>
      <c r="AF1202" s="175"/>
      <c r="AG1202" s="175"/>
      <c r="AH1202" s="175"/>
      <c r="AI1202" s="175"/>
    </row>
    <row r="1203">
      <c r="A1203" s="176">
        <v>46127.0</v>
      </c>
      <c r="B1203" s="177">
        <v>8415916.0</v>
      </c>
      <c r="C1203" s="178" t="s">
        <v>82</v>
      </c>
      <c r="D1203" s="178" t="s">
        <v>35</v>
      </c>
      <c r="E1203" s="177">
        <v>6.867179231E9</v>
      </c>
      <c r="F1203" s="178" t="s">
        <v>1717</v>
      </c>
      <c r="G1203" s="176">
        <v>46206.0</v>
      </c>
      <c r="H1203" s="179">
        <v>46208.0</v>
      </c>
      <c r="I1203" s="180">
        <v>2.0</v>
      </c>
      <c r="J1203" s="181" t="s">
        <v>78</v>
      </c>
      <c r="K1203" s="178" t="s">
        <v>79</v>
      </c>
      <c r="L1203" s="178" t="s">
        <v>80</v>
      </c>
      <c r="M1203" s="182">
        <v>3.0</v>
      </c>
      <c r="N1203" s="183">
        <v>0.19999999999999996</v>
      </c>
      <c r="O1203" s="184">
        <v>125.47</v>
      </c>
      <c r="P1203" s="184">
        <v>100.376</v>
      </c>
      <c r="Q1203" s="185">
        <v>0.0</v>
      </c>
      <c r="R1203" s="186">
        <v>200.752</v>
      </c>
      <c r="S1203" s="186">
        <v>0.0</v>
      </c>
      <c r="T1203" s="186">
        <v>1063.76</v>
      </c>
      <c r="U1203" s="187" t="s">
        <v>107</v>
      </c>
      <c r="V1203" s="176">
        <v>46127.0</v>
      </c>
      <c r="W1203" s="175"/>
      <c r="X1203" s="175"/>
      <c r="Y1203" s="175"/>
      <c r="Z1203" s="175"/>
      <c r="AA1203" s="175"/>
      <c r="AB1203" s="175"/>
      <c r="AC1203" s="175"/>
      <c r="AD1203" s="175"/>
      <c r="AE1203" s="175"/>
      <c r="AF1203" s="175"/>
      <c r="AG1203" s="175"/>
      <c r="AH1203" s="175"/>
      <c r="AI1203" s="175"/>
    </row>
    <row r="1204">
      <c r="A1204" s="176">
        <v>46127.0</v>
      </c>
      <c r="B1204" s="177">
        <v>8415916.0</v>
      </c>
      <c r="C1204" s="178" t="s">
        <v>82</v>
      </c>
      <c r="D1204" s="178" t="s">
        <v>35</v>
      </c>
      <c r="E1204" s="177">
        <v>6.867179231E9</v>
      </c>
      <c r="F1204" s="178" t="s">
        <v>1717</v>
      </c>
      <c r="G1204" s="176">
        <v>46206.0</v>
      </c>
      <c r="H1204" s="179">
        <v>46208.0</v>
      </c>
      <c r="I1204" s="180">
        <v>2.0</v>
      </c>
      <c r="J1204" s="181" t="s">
        <v>78</v>
      </c>
      <c r="K1204" s="178" t="s">
        <v>79</v>
      </c>
      <c r="L1204" s="178" t="s">
        <v>80</v>
      </c>
      <c r="M1204" s="182">
        <v>3.0</v>
      </c>
      <c r="N1204" s="183">
        <v>0.19999999999999996</v>
      </c>
      <c r="O1204" s="184">
        <v>125.47</v>
      </c>
      <c r="P1204" s="184">
        <v>100.376</v>
      </c>
      <c r="Q1204" s="185">
        <v>0.0</v>
      </c>
      <c r="R1204" s="186">
        <v>200.752</v>
      </c>
      <c r="S1204" s="186">
        <v>0.0</v>
      </c>
      <c r="T1204" s="186">
        <v>1063.76</v>
      </c>
      <c r="U1204" s="187" t="s">
        <v>107</v>
      </c>
      <c r="V1204" s="176">
        <v>46127.0</v>
      </c>
      <c r="W1204" s="188"/>
      <c r="X1204" s="188"/>
      <c r="Y1204" s="188"/>
      <c r="Z1204" s="188"/>
      <c r="AA1204" s="188"/>
      <c r="AB1204" s="188"/>
      <c r="AC1204" s="188"/>
      <c r="AD1204" s="188"/>
      <c r="AE1204" s="188"/>
      <c r="AF1204" s="188"/>
      <c r="AG1204" s="188"/>
      <c r="AH1204" s="188"/>
      <c r="AI1204" s="188"/>
    </row>
    <row r="1205">
      <c r="A1205" s="176">
        <v>46127.0</v>
      </c>
      <c r="B1205" s="177">
        <v>8415916.0</v>
      </c>
      <c r="C1205" s="178" t="s">
        <v>82</v>
      </c>
      <c r="D1205" s="178" t="s">
        <v>35</v>
      </c>
      <c r="E1205" s="177">
        <v>6.867179231E9</v>
      </c>
      <c r="F1205" s="178" t="s">
        <v>1717</v>
      </c>
      <c r="G1205" s="176">
        <v>46206.0</v>
      </c>
      <c r="H1205" s="179">
        <v>46208.0</v>
      </c>
      <c r="I1205" s="180">
        <v>2.0</v>
      </c>
      <c r="J1205" s="181" t="s">
        <v>78</v>
      </c>
      <c r="K1205" s="178" t="s">
        <v>79</v>
      </c>
      <c r="L1205" s="178" t="s">
        <v>80</v>
      </c>
      <c r="M1205" s="182">
        <v>3.0</v>
      </c>
      <c r="N1205" s="183">
        <v>0.19999999999999996</v>
      </c>
      <c r="O1205" s="184">
        <v>125.47</v>
      </c>
      <c r="P1205" s="184">
        <v>100.376</v>
      </c>
      <c r="Q1205" s="185">
        <v>0.0</v>
      </c>
      <c r="R1205" s="186">
        <v>200.752</v>
      </c>
      <c r="S1205" s="186">
        <v>0.0</v>
      </c>
      <c r="T1205" s="186">
        <v>1063.76</v>
      </c>
      <c r="U1205" s="187" t="s">
        <v>107</v>
      </c>
      <c r="V1205" s="176">
        <v>46127.0</v>
      </c>
      <c r="W1205" s="175"/>
      <c r="X1205" s="175"/>
      <c r="Y1205" s="175"/>
      <c r="Z1205" s="175"/>
      <c r="AA1205" s="175"/>
      <c r="AB1205" s="175"/>
      <c r="AC1205" s="175"/>
      <c r="AD1205" s="175"/>
      <c r="AE1205" s="175"/>
      <c r="AF1205" s="175"/>
      <c r="AG1205" s="175"/>
      <c r="AH1205" s="175"/>
      <c r="AI1205" s="175"/>
    </row>
    <row r="1206">
      <c r="A1206" s="176">
        <v>46127.0</v>
      </c>
      <c r="B1206" s="177">
        <v>8415916.0</v>
      </c>
      <c r="C1206" s="178" t="s">
        <v>82</v>
      </c>
      <c r="D1206" s="178" t="s">
        <v>35</v>
      </c>
      <c r="E1206" s="177">
        <v>6.867179231E9</v>
      </c>
      <c r="F1206" s="178" t="s">
        <v>1717</v>
      </c>
      <c r="G1206" s="176">
        <v>46206.0</v>
      </c>
      <c r="H1206" s="179">
        <v>46208.0</v>
      </c>
      <c r="I1206" s="180">
        <v>2.0</v>
      </c>
      <c r="J1206" s="181" t="s">
        <v>78</v>
      </c>
      <c r="K1206" s="178" t="s">
        <v>79</v>
      </c>
      <c r="L1206" s="178" t="s">
        <v>80</v>
      </c>
      <c r="M1206" s="182">
        <v>3.0</v>
      </c>
      <c r="N1206" s="183">
        <v>0.19999999999999996</v>
      </c>
      <c r="O1206" s="184">
        <v>125.47</v>
      </c>
      <c r="P1206" s="184">
        <v>100.376</v>
      </c>
      <c r="Q1206" s="185">
        <v>0.0</v>
      </c>
      <c r="R1206" s="186">
        <v>200.752</v>
      </c>
      <c r="S1206" s="186">
        <v>0.0</v>
      </c>
      <c r="T1206" s="186">
        <v>1063.76</v>
      </c>
      <c r="U1206" s="187" t="s">
        <v>107</v>
      </c>
      <c r="V1206" s="176">
        <v>46127.0</v>
      </c>
      <c r="W1206" s="175"/>
      <c r="X1206" s="175"/>
      <c r="Y1206" s="175"/>
      <c r="Z1206" s="175"/>
      <c r="AA1206" s="175"/>
      <c r="AB1206" s="175"/>
      <c r="AC1206" s="175"/>
      <c r="AD1206" s="175"/>
      <c r="AE1206" s="175"/>
      <c r="AF1206" s="175"/>
      <c r="AG1206" s="175"/>
      <c r="AH1206" s="175"/>
      <c r="AI1206" s="175"/>
    </row>
    <row r="1207">
      <c r="A1207" s="176">
        <v>46127.0</v>
      </c>
      <c r="B1207" s="177">
        <v>8416556.0</v>
      </c>
      <c r="C1207" s="178" t="s">
        <v>82</v>
      </c>
      <c r="D1207" s="178" t="s">
        <v>35</v>
      </c>
      <c r="E1207" s="177">
        <v>6.605757797E9</v>
      </c>
      <c r="F1207" s="178" t="s">
        <v>1727</v>
      </c>
      <c r="G1207" s="176">
        <v>46273.0</v>
      </c>
      <c r="H1207" s="179">
        <v>46278.0</v>
      </c>
      <c r="I1207" s="180">
        <v>5.0</v>
      </c>
      <c r="J1207" s="181" t="s">
        <v>78</v>
      </c>
      <c r="K1207" s="178" t="s">
        <v>79</v>
      </c>
      <c r="L1207" s="178" t="s">
        <v>80</v>
      </c>
      <c r="M1207" s="182">
        <v>3.0</v>
      </c>
      <c r="N1207" s="183">
        <v>0.19999999999999996</v>
      </c>
      <c r="O1207" s="184">
        <v>138.8</v>
      </c>
      <c r="P1207" s="184">
        <v>111.04000000000002</v>
      </c>
      <c r="Q1207" s="185">
        <v>0.0</v>
      </c>
      <c r="R1207" s="186">
        <v>555.2</v>
      </c>
      <c r="S1207" s="186">
        <v>0.0</v>
      </c>
      <c r="T1207" s="186">
        <v>731.5</v>
      </c>
      <c r="U1207" s="187" t="s">
        <v>107</v>
      </c>
      <c r="V1207" s="176">
        <v>46127.0</v>
      </c>
      <c r="W1207" s="175"/>
      <c r="X1207" s="175"/>
      <c r="Y1207" s="175"/>
      <c r="Z1207" s="175"/>
      <c r="AA1207" s="175"/>
      <c r="AB1207" s="175"/>
      <c r="AC1207" s="175"/>
      <c r="AD1207" s="175"/>
      <c r="AE1207" s="175"/>
      <c r="AF1207" s="175"/>
      <c r="AG1207" s="175"/>
      <c r="AH1207" s="175"/>
      <c r="AI1207" s="175"/>
    </row>
    <row r="1208">
      <c r="A1208" s="176">
        <v>46127.0</v>
      </c>
      <c r="B1208" s="177">
        <v>8417177.0</v>
      </c>
      <c r="C1208" s="178" t="s">
        <v>82</v>
      </c>
      <c r="D1208" s="178" t="s">
        <v>35</v>
      </c>
      <c r="E1208" s="177">
        <v>5.498106549E9</v>
      </c>
      <c r="F1208" s="178" t="s">
        <v>1728</v>
      </c>
      <c r="G1208" s="176">
        <v>46168.0</v>
      </c>
      <c r="H1208" s="179">
        <v>46171.0</v>
      </c>
      <c r="I1208" s="180">
        <v>3.0</v>
      </c>
      <c r="J1208" s="181" t="s">
        <v>111</v>
      </c>
      <c r="K1208" s="178" t="s">
        <v>79</v>
      </c>
      <c r="L1208" s="178" t="s">
        <v>80</v>
      </c>
      <c r="M1208" s="182">
        <v>2.0</v>
      </c>
      <c r="N1208" s="183">
        <v>0.19999999999999996</v>
      </c>
      <c r="O1208" s="184">
        <v>224.58</v>
      </c>
      <c r="P1208" s="184">
        <v>179.66400000000002</v>
      </c>
      <c r="Q1208" s="185">
        <v>0.0</v>
      </c>
      <c r="R1208" s="186">
        <v>538.9920000000001</v>
      </c>
      <c r="S1208" s="186">
        <v>0.0</v>
      </c>
      <c r="T1208" s="186">
        <v>688.74</v>
      </c>
      <c r="U1208" s="187" t="s">
        <v>107</v>
      </c>
      <c r="V1208" s="176">
        <v>46127.0</v>
      </c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</row>
    <row r="1209">
      <c r="A1209" s="176">
        <v>46127.0</v>
      </c>
      <c r="B1209" s="177">
        <v>8417201.0</v>
      </c>
      <c r="C1209" s="178" t="s">
        <v>82</v>
      </c>
      <c r="D1209" s="178" t="s">
        <v>35</v>
      </c>
      <c r="E1209" s="177">
        <v>5.895973774E9</v>
      </c>
      <c r="F1209" s="178" t="s">
        <v>1728</v>
      </c>
      <c r="G1209" s="176">
        <v>46174.0</v>
      </c>
      <c r="H1209" s="179">
        <v>46175.0</v>
      </c>
      <c r="I1209" s="180">
        <v>1.0</v>
      </c>
      <c r="J1209" s="181" t="s">
        <v>78</v>
      </c>
      <c r="K1209" s="178" t="s">
        <v>79</v>
      </c>
      <c r="L1209" s="178" t="s">
        <v>80</v>
      </c>
      <c r="M1209" s="182">
        <v>2.0</v>
      </c>
      <c r="N1209" s="183">
        <v>0.19999999999999996</v>
      </c>
      <c r="O1209" s="184">
        <v>148.15</v>
      </c>
      <c r="P1209" s="184">
        <v>118.52000000000001</v>
      </c>
      <c r="Q1209" s="185">
        <v>0.0</v>
      </c>
      <c r="R1209" s="186">
        <v>118.52000000000001</v>
      </c>
      <c r="S1209" s="186">
        <v>0.0</v>
      </c>
      <c r="T1209" s="186">
        <v>153.15</v>
      </c>
      <c r="U1209" s="187" t="s">
        <v>107</v>
      </c>
      <c r="V1209" s="176">
        <v>46127.0</v>
      </c>
      <c r="W1209" s="175"/>
      <c r="X1209" s="175"/>
      <c r="Y1209" s="175"/>
      <c r="Z1209" s="175"/>
      <c r="AA1209" s="175"/>
      <c r="AB1209" s="175"/>
      <c r="AC1209" s="175"/>
      <c r="AD1209" s="175"/>
      <c r="AE1209" s="175"/>
      <c r="AF1209" s="175"/>
      <c r="AG1209" s="175"/>
      <c r="AH1209" s="175"/>
      <c r="AI1209" s="175"/>
    </row>
    <row r="1210">
      <c r="A1210" s="176">
        <v>46127.0</v>
      </c>
      <c r="B1210" s="177">
        <v>8419216.0</v>
      </c>
      <c r="C1210" s="178" t="s">
        <v>89</v>
      </c>
      <c r="D1210" s="178" t="s">
        <v>35</v>
      </c>
      <c r="E1210" s="177">
        <v>6.454312904E9</v>
      </c>
      <c r="F1210" s="178" t="s">
        <v>894</v>
      </c>
      <c r="G1210" s="176">
        <v>46173.0</v>
      </c>
      <c r="H1210" s="179">
        <v>46175.0</v>
      </c>
      <c r="I1210" s="180">
        <v>2.0</v>
      </c>
      <c r="J1210" s="181" t="s">
        <v>114</v>
      </c>
      <c r="K1210" s="178" t="s">
        <v>79</v>
      </c>
      <c r="L1210" s="178" t="s">
        <v>80</v>
      </c>
      <c r="M1210" s="182">
        <v>0.0</v>
      </c>
      <c r="N1210" s="183">
        <v>0.0</v>
      </c>
      <c r="O1210" s="184">
        <v>0.0</v>
      </c>
      <c r="P1210" s="184">
        <v>0.0</v>
      </c>
      <c r="Q1210" s="185">
        <v>0.0</v>
      </c>
      <c r="R1210" s="186">
        <v>0.0</v>
      </c>
      <c r="S1210" s="186">
        <v>0.0</v>
      </c>
      <c r="T1210" s="186">
        <v>0.0</v>
      </c>
      <c r="U1210" s="187" t="s">
        <v>1712</v>
      </c>
      <c r="V1210" s="176">
        <v>46141.0</v>
      </c>
      <c r="W1210" s="164"/>
      <c r="X1210" s="164"/>
      <c r="Y1210" s="164"/>
      <c r="Z1210" s="164"/>
      <c r="AA1210" s="164"/>
      <c r="AB1210" s="164"/>
      <c r="AC1210" s="164"/>
      <c r="AD1210" s="164"/>
      <c r="AE1210" s="164"/>
      <c r="AF1210" s="164"/>
      <c r="AG1210" s="164"/>
      <c r="AH1210" s="164"/>
      <c r="AI1210" s="164"/>
    </row>
    <row r="1211">
      <c r="A1211" s="176">
        <v>46127.0</v>
      </c>
      <c r="B1211" s="177">
        <v>8419323.0</v>
      </c>
      <c r="C1211" s="178" t="s">
        <v>89</v>
      </c>
      <c r="D1211" s="178" t="s">
        <v>35</v>
      </c>
      <c r="E1211" s="177">
        <v>5.218688398E9</v>
      </c>
      <c r="F1211" s="178" t="s">
        <v>1733</v>
      </c>
      <c r="G1211" s="176">
        <v>46176.0</v>
      </c>
      <c r="H1211" s="179">
        <v>46177.0</v>
      </c>
      <c r="I1211" s="180">
        <v>1.0</v>
      </c>
      <c r="J1211" s="181" t="s">
        <v>87</v>
      </c>
      <c r="K1211" s="178" t="s">
        <v>79</v>
      </c>
      <c r="L1211" s="178" t="s">
        <v>80</v>
      </c>
      <c r="M1211" s="182">
        <v>0.0</v>
      </c>
      <c r="N1211" s="183">
        <v>0.0</v>
      </c>
      <c r="O1211" s="184">
        <v>0.0</v>
      </c>
      <c r="P1211" s="184">
        <v>0.0</v>
      </c>
      <c r="Q1211" s="185">
        <v>0.0</v>
      </c>
      <c r="R1211" s="186">
        <v>0.0</v>
      </c>
      <c r="S1211" s="186">
        <v>0.0</v>
      </c>
      <c r="T1211" s="186">
        <v>0.0</v>
      </c>
      <c r="U1211" s="187" t="s">
        <v>1712</v>
      </c>
      <c r="V1211" s="176">
        <v>46130.0</v>
      </c>
      <c r="W1211" s="175"/>
      <c r="X1211" s="175"/>
      <c r="Y1211" s="175"/>
      <c r="Z1211" s="175"/>
      <c r="AA1211" s="175"/>
      <c r="AB1211" s="175"/>
      <c r="AC1211" s="175"/>
      <c r="AD1211" s="175"/>
      <c r="AE1211" s="175"/>
      <c r="AF1211" s="175"/>
      <c r="AG1211" s="175"/>
      <c r="AH1211" s="175"/>
      <c r="AI1211" s="175"/>
    </row>
    <row r="1212">
      <c r="A1212" s="176">
        <v>46127.0</v>
      </c>
      <c r="B1212" s="177">
        <v>8419499.0</v>
      </c>
      <c r="C1212" s="178" t="s">
        <v>82</v>
      </c>
      <c r="D1212" s="178" t="s">
        <v>35</v>
      </c>
      <c r="E1212" s="177">
        <v>5.895923392E9</v>
      </c>
      <c r="F1212" s="178" t="s">
        <v>1736</v>
      </c>
      <c r="G1212" s="176">
        <v>46130.0</v>
      </c>
      <c r="H1212" s="179">
        <v>46131.0</v>
      </c>
      <c r="I1212" s="180">
        <v>1.0</v>
      </c>
      <c r="J1212" s="181" t="s">
        <v>114</v>
      </c>
      <c r="K1212" s="178" t="s">
        <v>79</v>
      </c>
      <c r="L1212" s="178" t="s">
        <v>80</v>
      </c>
      <c r="M1212" s="182">
        <v>3.0</v>
      </c>
      <c r="N1212" s="183">
        <v>0.19999999999999996</v>
      </c>
      <c r="O1212" s="184">
        <v>195.0</v>
      </c>
      <c r="P1212" s="184">
        <v>156.0</v>
      </c>
      <c r="Q1212" s="185">
        <v>0.0</v>
      </c>
      <c r="R1212" s="186">
        <v>156.0</v>
      </c>
      <c r="S1212" s="186">
        <v>0.0</v>
      </c>
      <c r="T1212" s="186">
        <v>202.5</v>
      </c>
      <c r="U1212" s="187" t="s">
        <v>1441</v>
      </c>
      <c r="V1212" s="176">
        <v>46127.0</v>
      </c>
      <c r="W1212" s="175"/>
      <c r="X1212" s="175"/>
      <c r="Y1212" s="175"/>
      <c r="Z1212" s="175"/>
      <c r="AA1212" s="175"/>
      <c r="AB1212" s="175"/>
      <c r="AC1212" s="175"/>
      <c r="AD1212" s="175"/>
      <c r="AE1212" s="175"/>
      <c r="AF1212" s="175"/>
      <c r="AG1212" s="175"/>
      <c r="AH1212" s="175"/>
      <c r="AI1212" s="175"/>
    </row>
    <row r="1213">
      <c r="A1213" s="176">
        <v>46129.0</v>
      </c>
      <c r="B1213" s="177">
        <v>8426762.0</v>
      </c>
      <c r="C1213" s="178" t="s">
        <v>82</v>
      </c>
      <c r="D1213" s="178" t="s">
        <v>35</v>
      </c>
      <c r="E1213" s="177">
        <v>6.960263653E9</v>
      </c>
      <c r="F1213" s="178" t="s">
        <v>1738</v>
      </c>
      <c r="G1213" s="176">
        <v>46401.20833333333</v>
      </c>
      <c r="H1213" s="179">
        <v>46404.20833333333</v>
      </c>
      <c r="I1213" s="180">
        <v>3.0</v>
      </c>
      <c r="J1213" s="181" t="s">
        <v>78</v>
      </c>
      <c r="K1213" s="178" t="s">
        <v>79</v>
      </c>
      <c r="L1213" s="178" t="s">
        <v>80</v>
      </c>
      <c r="M1213" s="182">
        <v>2.0</v>
      </c>
      <c r="N1213" s="183">
        <v>0.19999999999999996</v>
      </c>
      <c r="O1213" s="184">
        <v>190.76</v>
      </c>
      <c r="P1213" s="184">
        <v>152.608</v>
      </c>
      <c r="Q1213" s="185">
        <v>0.0</v>
      </c>
      <c r="R1213" s="186">
        <v>457.824</v>
      </c>
      <c r="S1213" s="186">
        <v>0.0</v>
      </c>
      <c r="T1213" s="186">
        <v>572.28</v>
      </c>
      <c r="U1213" s="187" t="s">
        <v>303</v>
      </c>
      <c r="V1213" s="176">
        <v>46129.0</v>
      </c>
      <c r="W1213" s="175"/>
      <c r="X1213" s="175"/>
      <c r="Y1213" s="175"/>
      <c r="Z1213" s="175"/>
      <c r="AA1213" s="175"/>
      <c r="AB1213" s="175"/>
      <c r="AC1213" s="175"/>
      <c r="AD1213" s="175"/>
      <c r="AE1213" s="175"/>
      <c r="AF1213" s="175"/>
      <c r="AG1213" s="175"/>
      <c r="AH1213" s="175"/>
      <c r="AI1213" s="175"/>
    </row>
    <row r="1214">
      <c r="A1214" s="176">
        <v>46129.0</v>
      </c>
      <c r="B1214" s="177">
        <v>8427526.0</v>
      </c>
      <c r="C1214" s="178" t="s">
        <v>82</v>
      </c>
      <c r="D1214" s="178" t="s">
        <v>35</v>
      </c>
      <c r="E1214" s="177">
        <v>5.132873903E9</v>
      </c>
      <c r="F1214" s="178" t="s">
        <v>1741</v>
      </c>
      <c r="G1214" s="176">
        <v>46194.0</v>
      </c>
      <c r="H1214" s="179">
        <v>46199.0</v>
      </c>
      <c r="I1214" s="180">
        <v>5.0</v>
      </c>
      <c r="J1214" s="181" t="s">
        <v>78</v>
      </c>
      <c r="K1214" s="178" t="s">
        <v>79</v>
      </c>
      <c r="L1214" s="178" t="s">
        <v>80</v>
      </c>
      <c r="M1214" s="182">
        <v>2.0</v>
      </c>
      <c r="N1214" s="183">
        <v>0.19999999999999996</v>
      </c>
      <c r="O1214" s="184">
        <v>164.94</v>
      </c>
      <c r="P1214" s="184">
        <v>131.952</v>
      </c>
      <c r="Q1214" s="185">
        <v>0.0</v>
      </c>
      <c r="R1214" s="186">
        <v>659.76</v>
      </c>
      <c r="S1214" s="186">
        <v>0.0</v>
      </c>
      <c r="T1214" s="186">
        <v>849.7</v>
      </c>
      <c r="U1214" s="187" t="s">
        <v>1367</v>
      </c>
      <c r="V1214" s="176">
        <v>46129.0</v>
      </c>
      <c r="W1214" s="175"/>
      <c r="X1214" s="175"/>
      <c r="Y1214" s="175"/>
      <c r="Z1214" s="175"/>
      <c r="AA1214" s="175"/>
      <c r="AB1214" s="175"/>
      <c r="AC1214" s="175"/>
      <c r="AD1214" s="175"/>
      <c r="AE1214" s="175"/>
      <c r="AF1214" s="175"/>
      <c r="AG1214" s="175"/>
      <c r="AH1214" s="175"/>
      <c r="AI1214" s="175"/>
    </row>
    <row r="1215">
      <c r="A1215" s="176">
        <v>46130.0</v>
      </c>
      <c r="B1215" s="177">
        <v>8429776.0</v>
      </c>
      <c r="C1215" s="178" t="s">
        <v>82</v>
      </c>
      <c r="D1215" s="178" t="s">
        <v>35</v>
      </c>
      <c r="E1215" s="177">
        <v>5.009258989E9</v>
      </c>
      <c r="F1215" s="178" t="s">
        <v>1743</v>
      </c>
      <c r="G1215" s="176">
        <v>46146.0</v>
      </c>
      <c r="H1215" s="179">
        <v>46147.0</v>
      </c>
      <c r="I1215" s="180">
        <v>1.0</v>
      </c>
      <c r="J1215" s="181" t="s">
        <v>78</v>
      </c>
      <c r="K1215" s="178" t="s">
        <v>79</v>
      </c>
      <c r="L1215" s="178" t="s">
        <v>80</v>
      </c>
      <c r="M1215" s="182">
        <v>2.0</v>
      </c>
      <c r="N1215" s="183">
        <v>0.19999999999999996</v>
      </c>
      <c r="O1215" s="184">
        <v>158.24</v>
      </c>
      <c r="P1215" s="184">
        <v>126.59200000000001</v>
      </c>
      <c r="Q1215" s="185">
        <v>0.0</v>
      </c>
      <c r="R1215" s="186">
        <v>126.59200000000001</v>
      </c>
      <c r="S1215" s="186">
        <v>0.0</v>
      </c>
      <c r="T1215" s="186">
        <v>163.24</v>
      </c>
      <c r="U1215" s="187" t="s">
        <v>143</v>
      </c>
      <c r="V1215" s="176">
        <v>46130.0</v>
      </c>
      <c r="W1215" s="175"/>
      <c r="X1215" s="175"/>
      <c r="Y1215" s="175"/>
      <c r="Z1215" s="175"/>
      <c r="AA1215" s="175"/>
      <c r="AB1215" s="175"/>
      <c r="AC1215" s="175"/>
      <c r="AD1215" s="175"/>
      <c r="AE1215" s="175"/>
      <c r="AF1215" s="175"/>
      <c r="AG1215" s="175"/>
      <c r="AH1215" s="175"/>
      <c r="AI1215" s="175"/>
    </row>
    <row r="1216">
      <c r="A1216" s="176">
        <v>46130.0</v>
      </c>
      <c r="B1216" s="177">
        <v>8430326.0</v>
      </c>
      <c r="C1216" s="178" t="s">
        <v>89</v>
      </c>
      <c r="D1216" s="178" t="s">
        <v>35</v>
      </c>
      <c r="E1216" s="177">
        <v>5.516424614E9</v>
      </c>
      <c r="F1216" s="178" t="s">
        <v>1744</v>
      </c>
      <c r="G1216" s="176">
        <v>46258.0</v>
      </c>
      <c r="H1216" s="179">
        <v>46264.0</v>
      </c>
      <c r="I1216" s="180">
        <v>6.0</v>
      </c>
      <c r="J1216" s="181" t="s">
        <v>114</v>
      </c>
      <c r="K1216" s="178" t="s">
        <v>79</v>
      </c>
      <c r="L1216" s="178" t="s">
        <v>80</v>
      </c>
      <c r="M1216" s="182">
        <v>0.0</v>
      </c>
      <c r="N1216" s="183">
        <v>0.0</v>
      </c>
      <c r="O1216" s="184">
        <v>0.0</v>
      </c>
      <c r="P1216" s="184">
        <v>0.0</v>
      </c>
      <c r="Q1216" s="185">
        <v>0.0</v>
      </c>
      <c r="R1216" s="186">
        <v>0.0</v>
      </c>
      <c r="S1216" s="186">
        <v>0.0</v>
      </c>
      <c r="T1216" s="186">
        <v>0.0</v>
      </c>
      <c r="U1216" s="187" t="s">
        <v>1745</v>
      </c>
      <c r="V1216" s="176">
        <v>46145.0</v>
      </c>
      <c r="W1216" s="188"/>
      <c r="X1216" s="188"/>
      <c r="Y1216" s="188"/>
      <c r="Z1216" s="188"/>
      <c r="AA1216" s="188"/>
      <c r="AB1216" s="188"/>
      <c r="AC1216" s="188"/>
      <c r="AD1216" s="188"/>
      <c r="AE1216" s="188"/>
      <c r="AF1216" s="188"/>
      <c r="AG1216" s="188"/>
      <c r="AH1216" s="188"/>
      <c r="AI1216" s="188"/>
    </row>
    <row r="1217">
      <c r="A1217" s="176">
        <v>46130.0</v>
      </c>
      <c r="B1217" s="177">
        <v>8430857.0</v>
      </c>
      <c r="C1217" s="178" t="s">
        <v>89</v>
      </c>
      <c r="D1217" s="178" t="s">
        <v>35</v>
      </c>
      <c r="E1217" s="177">
        <v>6.651181366E9</v>
      </c>
      <c r="F1217" s="178" t="s">
        <v>1747</v>
      </c>
      <c r="G1217" s="176">
        <v>46250.0</v>
      </c>
      <c r="H1217" s="179">
        <v>46255.0</v>
      </c>
      <c r="I1217" s="180">
        <v>5.0</v>
      </c>
      <c r="J1217" s="181" t="s">
        <v>114</v>
      </c>
      <c r="K1217" s="178" t="s">
        <v>79</v>
      </c>
      <c r="L1217" s="178" t="s">
        <v>80</v>
      </c>
      <c r="M1217" s="182">
        <v>0.0</v>
      </c>
      <c r="N1217" s="183">
        <v>0.0</v>
      </c>
      <c r="O1217" s="184">
        <v>0.0</v>
      </c>
      <c r="P1217" s="184">
        <v>0.0</v>
      </c>
      <c r="Q1217" s="185">
        <v>0.0</v>
      </c>
      <c r="R1217" s="186">
        <v>0.0</v>
      </c>
      <c r="S1217" s="186">
        <v>0.0</v>
      </c>
      <c r="T1217" s="186">
        <v>0.0</v>
      </c>
      <c r="U1217" s="187" t="s">
        <v>1749</v>
      </c>
      <c r="V1217" s="176">
        <v>46152.0</v>
      </c>
      <c r="W1217" s="175"/>
      <c r="X1217" s="175"/>
      <c r="Y1217" s="175"/>
      <c r="Z1217" s="175"/>
      <c r="AA1217" s="175"/>
      <c r="AB1217" s="175"/>
      <c r="AC1217" s="175"/>
      <c r="AD1217" s="175"/>
      <c r="AE1217" s="175"/>
      <c r="AF1217" s="175"/>
      <c r="AG1217" s="175"/>
      <c r="AH1217" s="175"/>
      <c r="AI1217" s="175"/>
    </row>
    <row r="1218">
      <c r="A1218" s="176">
        <v>46130.0</v>
      </c>
      <c r="B1218" s="177">
        <v>8432134.0</v>
      </c>
      <c r="C1218" s="178" t="s">
        <v>82</v>
      </c>
      <c r="D1218" s="178" t="s">
        <v>94</v>
      </c>
      <c r="E1218" s="177">
        <v>8432134.0</v>
      </c>
      <c r="F1218" s="178" t="s">
        <v>1751</v>
      </c>
      <c r="G1218" s="176">
        <v>46369.20833333333</v>
      </c>
      <c r="H1218" s="179">
        <v>46372.20833333333</v>
      </c>
      <c r="I1218" s="180">
        <v>3.0</v>
      </c>
      <c r="J1218" s="181" t="s">
        <v>78</v>
      </c>
      <c r="K1218" s="178" t="s">
        <v>79</v>
      </c>
      <c r="L1218" s="178" t="s">
        <v>96</v>
      </c>
      <c r="M1218" s="182">
        <v>2.0</v>
      </c>
      <c r="N1218" s="183">
        <v>0.0</v>
      </c>
      <c r="O1218" s="184">
        <v>200.16</v>
      </c>
      <c r="P1218" s="184">
        <v>200.16</v>
      </c>
      <c r="Q1218" s="185">
        <v>0.0</v>
      </c>
      <c r="R1218" s="186">
        <v>600.48</v>
      </c>
      <c r="S1218" s="186">
        <v>0.0</v>
      </c>
      <c r="T1218" s="186">
        <v>1846.44</v>
      </c>
      <c r="U1218" s="187" t="s">
        <v>97</v>
      </c>
      <c r="V1218" s="176">
        <v>46130.0</v>
      </c>
      <c r="W1218" s="175"/>
      <c r="X1218" s="175"/>
      <c r="Y1218" s="175"/>
      <c r="Z1218" s="175"/>
      <c r="AA1218" s="175"/>
      <c r="AB1218" s="175"/>
      <c r="AC1218" s="175"/>
      <c r="AD1218" s="175"/>
      <c r="AE1218" s="175"/>
      <c r="AF1218" s="175"/>
      <c r="AG1218" s="175"/>
      <c r="AH1218" s="175"/>
      <c r="AI1218" s="175"/>
    </row>
    <row r="1219">
      <c r="A1219" s="176">
        <v>46130.0</v>
      </c>
      <c r="B1219" s="177">
        <v>8432134.0</v>
      </c>
      <c r="C1219" s="178" t="s">
        <v>82</v>
      </c>
      <c r="D1219" s="178" t="s">
        <v>94</v>
      </c>
      <c r="E1219" s="177">
        <v>8432134.0</v>
      </c>
      <c r="F1219" s="178" t="s">
        <v>1751</v>
      </c>
      <c r="G1219" s="176">
        <v>46369.20833333333</v>
      </c>
      <c r="H1219" s="179">
        <v>46372.20833333333</v>
      </c>
      <c r="I1219" s="180">
        <v>3.0</v>
      </c>
      <c r="J1219" s="181" t="s">
        <v>78</v>
      </c>
      <c r="K1219" s="178" t="s">
        <v>79</v>
      </c>
      <c r="L1219" s="178" t="s">
        <v>96</v>
      </c>
      <c r="M1219" s="182">
        <v>2.0</v>
      </c>
      <c r="N1219" s="183">
        <v>0.0</v>
      </c>
      <c r="O1219" s="184">
        <v>200.16</v>
      </c>
      <c r="P1219" s="184">
        <v>200.16</v>
      </c>
      <c r="Q1219" s="185">
        <v>0.0</v>
      </c>
      <c r="R1219" s="186">
        <v>600.48</v>
      </c>
      <c r="S1219" s="186">
        <v>0.0</v>
      </c>
      <c r="T1219" s="186">
        <v>1846.44</v>
      </c>
      <c r="U1219" s="187" t="s">
        <v>97</v>
      </c>
      <c r="V1219" s="176">
        <v>46130.0</v>
      </c>
      <c r="W1219" s="175"/>
      <c r="X1219" s="175"/>
      <c r="Y1219" s="175"/>
      <c r="Z1219" s="175"/>
      <c r="AA1219" s="175"/>
      <c r="AB1219" s="175"/>
      <c r="AC1219" s="175"/>
      <c r="AD1219" s="175"/>
      <c r="AE1219" s="175"/>
      <c r="AF1219" s="175"/>
      <c r="AG1219" s="175"/>
      <c r="AH1219" s="175"/>
      <c r="AI1219" s="175"/>
    </row>
    <row r="1220">
      <c r="A1220" s="176">
        <v>46130.0</v>
      </c>
      <c r="B1220" s="177">
        <v>8432134.0</v>
      </c>
      <c r="C1220" s="178" t="s">
        <v>82</v>
      </c>
      <c r="D1220" s="178" t="s">
        <v>94</v>
      </c>
      <c r="E1220" s="177">
        <v>8432134.0</v>
      </c>
      <c r="F1220" s="178" t="s">
        <v>1751</v>
      </c>
      <c r="G1220" s="176">
        <v>46369.20833333333</v>
      </c>
      <c r="H1220" s="179">
        <v>46372.20833333333</v>
      </c>
      <c r="I1220" s="180">
        <v>3.0</v>
      </c>
      <c r="J1220" s="181" t="s">
        <v>78</v>
      </c>
      <c r="K1220" s="178" t="s">
        <v>79</v>
      </c>
      <c r="L1220" s="178" t="s">
        <v>96</v>
      </c>
      <c r="M1220" s="182">
        <v>2.0</v>
      </c>
      <c r="N1220" s="183">
        <v>0.0</v>
      </c>
      <c r="O1220" s="184">
        <v>200.16</v>
      </c>
      <c r="P1220" s="184">
        <v>200.16</v>
      </c>
      <c r="Q1220" s="185">
        <v>0.0</v>
      </c>
      <c r="R1220" s="186">
        <v>600.48</v>
      </c>
      <c r="S1220" s="186">
        <v>0.0</v>
      </c>
      <c r="T1220" s="186">
        <v>1846.44</v>
      </c>
      <c r="U1220" s="187" t="s">
        <v>97</v>
      </c>
      <c r="V1220" s="176">
        <v>46130.0</v>
      </c>
      <c r="W1220" s="164"/>
      <c r="X1220" s="164"/>
      <c r="Y1220" s="164"/>
      <c r="Z1220" s="164"/>
      <c r="AA1220" s="164"/>
      <c r="AB1220" s="164"/>
      <c r="AC1220" s="164"/>
      <c r="AD1220" s="164"/>
      <c r="AE1220" s="164"/>
      <c r="AF1220" s="164"/>
      <c r="AG1220" s="164"/>
      <c r="AH1220" s="164"/>
      <c r="AI1220" s="164"/>
    </row>
    <row r="1221">
      <c r="A1221" s="176">
        <v>46130.0</v>
      </c>
      <c r="B1221" s="177">
        <v>8432750.0</v>
      </c>
      <c r="C1221" s="178" t="s">
        <v>82</v>
      </c>
      <c r="D1221" s="178" t="s">
        <v>35</v>
      </c>
      <c r="E1221" s="177">
        <v>6.895603339E9</v>
      </c>
      <c r="F1221" s="178" t="s">
        <v>1755</v>
      </c>
      <c r="G1221" s="176">
        <v>46165.0</v>
      </c>
      <c r="H1221" s="179">
        <v>46169.0</v>
      </c>
      <c r="I1221" s="180">
        <v>4.0</v>
      </c>
      <c r="J1221" s="181" t="s">
        <v>78</v>
      </c>
      <c r="K1221" s="178" t="s">
        <v>79</v>
      </c>
      <c r="L1221" s="178" t="s">
        <v>80</v>
      </c>
      <c r="M1221" s="182">
        <v>2.0</v>
      </c>
      <c r="N1221" s="183">
        <v>0.19999999999999996</v>
      </c>
      <c r="O1221" s="184">
        <v>168.13</v>
      </c>
      <c r="P1221" s="184">
        <v>134.504</v>
      </c>
      <c r="Q1221" s="185">
        <v>0.0</v>
      </c>
      <c r="R1221" s="186">
        <v>538.016</v>
      </c>
      <c r="S1221" s="186">
        <v>0.0</v>
      </c>
      <c r="T1221" s="186">
        <v>692.52</v>
      </c>
      <c r="U1221" s="187" t="s">
        <v>107</v>
      </c>
      <c r="V1221" s="176">
        <v>46130.0</v>
      </c>
      <c r="W1221" s="164"/>
      <c r="X1221" s="164"/>
      <c r="Y1221" s="164"/>
      <c r="Z1221" s="164"/>
      <c r="AA1221" s="164"/>
      <c r="AB1221" s="164"/>
      <c r="AC1221" s="164"/>
      <c r="AD1221" s="164"/>
      <c r="AE1221" s="164"/>
      <c r="AF1221" s="164"/>
      <c r="AG1221" s="164"/>
      <c r="AH1221" s="164"/>
      <c r="AI1221" s="164"/>
    </row>
    <row r="1222">
      <c r="A1222" s="176">
        <v>46130.0</v>
      </c>
      <c r="B1222" s="177">
        <v>8433044.0</v>
      </c>
      <c r="C1222" s="178" t="s">
        <v>82</v>
      </c>
      <c r="D1222" s="178" t="s">
        <v>35</v>
      </c>
      <c r="E1222" s="177">
        <v>5.047881247E9</v>
      </c>
      <c r="F1222" s="178" t="s">
        <v>1757</v>
      </c>
      <c r="G1222" s="176">
        <v>46363.20833333333</v>
      </c>
      <c r="H1222" s="179">
        <v>46367.20833333333</v>
      </c>
      <c r="I1222" s="180">
        <v>4.0</v>
      </c>
      <c r="J1222" s="181" t="s">
        <v>78</v>
      </c>
      <c r="K1222" s="178" t="s">
        <v>79</v>
      </c>
      <c r="L1222" s="178" t="s">
        <v>80</v>
      </c>
      <c r="M1222" s="182">
        <v>2.0</v>
      </c>
      <c r="N1222" s="183">
        <v>0.19999999999999996</v>
      </c>
      <c r="O1222" s="184">
        <v>150.72</v>
      </c>
      <c r="P1222" s="184">
        <v>120.57600000000001</v>
      </c>
      <c r="Q1222" s="185">
        <v>0.0</v>
      </c>
      <c r="R1222" s="186">
        <v>482.30400000000003</v>
      </c>
      <c r="S1222" s="186">
        <v>0.0</v>
      </c>
      <c r="T1222" s="186">
        <v>622.88</v>
      </c>
      <c r="U1222" s="187" t="s">
        <v>353</v>
      </c>
      <c r="V1222" s="176">
        <v>46130.0</v>
      </c>
      <c r="W1222" s="164"/>
      <c r="X1222" s="164"/>
      <c r="Y1222" s="164"/>
      <c r="Z1222" s="164"/>
      <c r="AA1222" s="164"/>
      <c r="AB1222" s="164"/>
      <c r="AC1222" s="164"/>
      <c r="AD1222" s="164"/>
      <c r="AE1222" s="164"/>
      <c r="AF1222" s="164"/>
      <c r="AG1222" s="164"/>
      <c r="AH1222" s="164"/>
      <c r="AI1222" s="164"/>
    </row>
    <row r="1223">
      <c r="A1223" s="176">
        <v>46130.0</v>
      </c>
      <c r="B1223" s="177">
        <v>8433045.0</v>
      </c>
      <c r="C1223" s="178" t="s">
        <v>82</v>
      </c>
      <c r="D1223" s="178" t="s">
        <v>35</v>
      </c>
      <c r="E1223" s="177">
        <v>6.751797702E9</v>
      </c>
      <c r="F1223" s="178" t="s">
        <v>1760</v>
      </c>
      <c r="G1223" s="176">
        <v>46363.20833333333</v>
      </c>
      <c r="H1223" s="179">
        <v>46367.20833333333</v>
      </c>
      <c r="I1223" s="180">
        <v>4.0</v>
      </c>
      <c r="J1223" s="181" t="s">
        <v>78</v>
      </c>
      <c r="K1223" s="178" t="s">
        <v>79</v>
      </c>
      <c r="L1223" s="178" t="s">
        <v>80</v>
      </c>
      <c r="M1223" s="182">
        <v>2.0</v>
      </c>
      <c r="N1223" s="183">
        <v>0.19999999999999996</v>
      </c>
      <c r="O1223" s="184">
        <v>150.72</v>
      </c>
      <c r="P1223" s="184">
        <v>120.57600000000001</v>
      </c>
      <c r="Q1223" s="185">
        <v>0.0</v>
      </c>
      <c r="R1223" s="186">
        <v>482.30400000000003</v>
      </c>
      <c r="S1223" s="186">
        <v>0.0</v>
      </c>
      <c r="T1223" s="186">
        <v>622.88</v>
      </c>
      <c r="U1223" s="187" t="s">
        <v>353</v>
      </c>
      <c r="V1223" s="176">
        <v>46130.0</v>
      </c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</row>
    <row r="1224">
      <c r="A1224" s="176">
        <v>46131.0</v>
      </c>
      <c r="B1224" s="177">
        <v>8433844.0</v>
      </c>
      <c r="C1224" s="178" t="s">
        <v>82</v>
      </c>
      <c r="D1224" s="178" t="s">
        <v>35</v>
      </c>
      <c r="E1224" s="177">
        <v>5.813846705E9</v>
      </c>
      <c r="F1224" s="178" t="s">
        <v>1763</v>
      </c>
      <c r="G1224" s="176">
        <v>46178.0</v>
      </c>
      <c r="H1224" s="179">
        <v>46180.0</v>
      </c>
      <c r="I1224" s="180">
        <v>2.0</v>
      </c>
      <c r="J1224" s="181" t="s">
        <v>91</v>
      </c>
      <c r="K1224" s="178" t="s">
        <v>79</v>
      </c>
      <c r="L1224" s="178" t="s">
        <v>80</v>
      </c>
      <c r="M1224" s="182">
        <v>4.0</v>
      </c>
      <c r="N1224" s="183">
        <v>0.19999999999999996</v>
      </c>
      <c r="O1224" s="184">
        <v>349.28</v>
      </c>
      <c r="P1224" s="184">
        <v>279.424</v>
      </c>
      <c r="Q1224" s="185">
        <v>0.0</v>
      </c>
      <c r="R1224" s="186">
        <v>558.848</v>
      </c>
      <c r="S1224" s="186">
        <v>0.0</v>
      </c>
      <c r="T1224" s="186">
        <v>718.56</v>
      </c>
      <c r="U1224" s="187" t="s">
        <v>107</v>
      </c>
      <c r="V1224" s="176">
        <v>46131.0</v>
      </c>
      <c r="W1224" s="175"/>
      <c r="X1224" s="175"/>
      <c r="Y1224" s="175"/>
      <c r="Z1224" s="175"/>
      <c r="AA1224" s="175"/>
      <c r="AB1224" s="175"/>
      <c r="AC1224" s="175"/>
      <c r="AD1224" s="175"/>
      <c r="AE1224" s="175"/>
      <c r="AF1224" s="175"/>
      <c r="AG1224" s="175"/>
      <c r="AH1224" s="175"/>
      <c r="AI1224" s="175"/>
    </row>
    <row r="1225">
      <c r="A1225" s="176">
        <v>46131.0</v>
      </c>
      <c r="B1225" s="177">
        <v>8433919.0</v>
      </c>
      <c r="C1225" s="178" t="s">
        <v>89</v>
      </c>
      <c r="D1225" s="178" t="s">
        <v>35</v>
      </c>
      <c r="E1225" s="177">
        <v>5.201068658E9</v>
      </c>
      <c r="F1225" s="178" t="s">
        <v>1766</v>
      </c>
      <c r="G1225" s="176">
        <v>46335.20833333333</v>
      </c>
      <c r="H1225" s="179">
        <v>46339.20833333333</v>
      </c>
      <c r="I1225" s="180">
        <v>4.0</v>
      </c>
      <c r="J1225" s="181" t="s">
        <v>78</v>
      </c>
      <c r="K1225" s="178" t="s">
        <v>79</v>
      </c>
      <c r="L1225" s="178" t="s">
        <v>80</v>
      </c>
      <c r="M1225" s="182">
        <v>0.0</v>
      </c>
      <c r="N1225" s="183">
        <v>0.0</v>
      </c>
      <c r="O1225" s="184">
        <v>0.0</v>
      </c>
      <c r="P1225" s="184">
        <v>0.0</v>
      </c>
      <c r="Q1225" s="185">
        <v>0.0</v>
      </c>
      <c r="R1225" s="186">
        <v>0.0</v>
      </c>
      <c r="S1225" s="186">
        <v>0.0</v>
      </c>
      <c r="T1225" s="186">
        <v>0.0</v>
      </c>
      <c r="U1225" s="187" t="s">
        <v>1767</v>
      </c>
      <c r="V1225" s="176">
        <v>46147.0</v>
      </c>
      <c r="W1225" s="164"/>
      <c r="X1225" s="164"/>
      <c r="Y1225" s="164"/>
      <c r="Z1225" s="164"/>
      <c r="AA1225" s="164"/>
      <c r="AB1225" s="164"/>
      <c r="AC1225" s="164"/>
      <c r="AD1225" s="164"/>
      <c r="AE1225" s="164"/>
      <c r="AF1225" s="164"/>
      <c r="AG1225" s="164"/>
      <c r="AH1225" s="164"/>
      <c r="AI1225" s="164"/>
    </row>
    <row r="1226">
      <c r="A1226" s="176">
        <v>46131.0</v>
      </c>
      <c r="B1226" s="177">
        <v>8434415.0</v>
      </c>
      <c r="C1226" s="178" t="s">
        <v>82</v>
      </c>
      <c r="D1226" s="178" t="s">
        <v>35</v>
      </c>
      <c r="E1226" s="177">
        <v>5.447333017E9</v>
      </c>
      <c r="F1226" s="178" t="s">
        <v>1769</v>
      </c>
      <c r="G1226" s="176">
        <v>46141.0</v>
      </c>
      <c r="H1226" s="179">
        <v>46142.0</v>
      </c>
      <c r="I1226" s="180">
        <v>1.0</v>
      </c>
      <c r="J1226" s="181" t="s">
        <v>78</v>
      </c>
      <c r="K1226" s="178" t="s">
        <v>79</v>
      </c>
      <c r="L1226" s="178" t="s">
        <v>80</v>
      </c>
      <c r="M1226" s="182">
        <v>2.0</v>
      </c>
      <c r="N1226" s="183">
        <v>0.19999999999999996</v>
      </c>
      <c r="O1226" s="184">
        <v>170.22</v>
      </c>
      <c r="P1226" s="184">
        <v>136.17600000000002</v>
      </c>
      <c r="Q1226" s="185">
        <v>0.0</v>
      </c>
      <c r="R1226" s="186">
        <v>136.17600000000002</v>
      </c>
      <c r="S1226" s="186">
        <v>0.0</v>
      </c>
      <c r="T1226" s="186">
        <v>347.94</v>
      </c>
      <c r="U1226" s="187" t="s">
        <v>1441</v>
      </c>
      <c r="V1226" s="176">
        <v>46131.0</v>
      </c>
      <c r="W1226" s="175"/>
      <c r="X1226" s="175"/>
      <c r="Y1226" s="175"/>
      <c r="Z1226" s="175"/>
      <c r="AA1226" s="175"/>
      <c r="AB1226" s="175"/>
      <c r="AC1226" s="175"/>
      <c r="AD1226" s="175"/>
      <c r="AE1226" s="175"/>
      <c r="AF1226" s="175"/>
      <c r="AG1226" s="175"/>
      <c r="AH1226" s="175"/>
      <c r="AI1226" s="175"/>
    </row>
    <row r="1227">
      <c r="A1227" s="176">
        <v>46131.0</v>
      </c>
      <c r="B1227" s="177">
        <v>8434415.0</v>
      </c>
      <c r="C1227" s="178" t="s">
        <v>82</v>
      </c>
      <c r="D1227" s="178" t="s">
        <v>35</v>
      </c>
      <c r="E1227" s="177">
        <v>5.447333017E9</v>
      </c>
      <c r="F1227" s="178" t="s">
        <v>1769</v>
      </c>
      <c r="G1227" s="176">
        <v>46141.0</v>
      </c>
      <c r="H1227" s="179">
        <v>46142.0</v>
      </c>
      <c r="I1227" s="180">
        <v>1.0</v>
      </c>
      <c r="J1227" s="181" t="s">
        <v>78</v>
      </c>
      <c r="K1227" s="178" t="s">
        <v>79</v>
      </c>
      <c r="L1227" s="178" t="s">
        <v>80</v>
      </c>
      <c r="M1227" s="182">
        <v>1.0</v>
      </c>
      <c r="N1227" s="183">
        <v>0.19999999999999996</v>
      </c>
      <c r="O1227" s="184">
        <v>170.22</v>
      </c>
      <c r="P1227" s="184">
        <v>136.17600000000002</v>
      </c>
      <c r="Q1227" s="185">
        <v>0.0</v>
      </c>
      <c r="R1227" s="186">
        <v>136.17600000000002</v>
      </c>
      <c r="S1227" s="186">
        <v>0.0</v>
      </c>
      <c r="T1227" s="186">
        <v>347.94</v>
      </c>
      <c r="U1227" s="187" t="s">
        <v>1441</v>
      </c>
      <c r="V1227" s="176">
        <v>46131.0</v>
      </c>
      <c r="W1227" s="175"/>
      <c r="X1227" s="175"/>
      <c r="Y1227" s="175"/>
      <c r="Z1227" s="175"/>
      <c r="AA1227" s="175"/>
      <c r="AB1227" s="175"/>
      <c r="AC1227" s="175"/>
      <c r="AD1227" s="175"/>
      <c r="AE1227" s="175"/>
      <c r="AF1227" s="175"/>
      <c r="AG1227" s="175"/>
      <c r="AH1227" s="175"/>
      <c r="AI1227" s="175"/>
    </row>
    <row r="1228">
      <c r="A1228" s="176">
        <v>46131.0</v>
      </c>
      <c r="B1228" s="177">
        <v>8435118.0</v>
      </c>
      <c r="C1228" s="178" t="s">
        <v>82</v>
      </c>
      <c r="D1228" s="178" t="s">
        <v>35</v>
      </c>
      <c r="E1228" s="177">
        <v>6.464273175E9</v>
      </c>
      <c r="F1228" s="178" t="s">
        <v>1774</v>
      </c>
      <c r="G1228" s="176">
        <v>46318.20833333333</v>
      </c>
      <c r="H1228" s="179">
        <v>46321.20833333333</v>
      </c>
      <c r="I1228" s="180">
        <v>3.0</v>
      </c>
      <c r="J1228" s="181" t="s">
        <v>111</v>
      </c>
      <c r="K1228" s="178" t="s">
        <v>79</v>
      </c>
      <c r="L1228" s="178" t="s">
        <v>80</v>
      </c>
      <c r="M1228" s="182">
        <v>2.0</v>
      </c>
      <c r="N1228" s="183">
        <v>0.19999999999999996</v>
      </c>
      <c r="O1228" s="184">
        <v>231.16</v>
      </c>
      <c r="P1228" s="184">
        <v>184.928</v>
      </c>
      <c r="Q1228" s="185">
        <v>0.0</v>
      </c>
      <c r="R1228" s="186">
        <v>554.784</v>
      </c>
      <c r="S1228" s="186">
        <v>0.0</v>
      </c>
      <c r="T1228" s="186">
        <v>708.48</v>
      </c>
      <c r="U1228" s="187" t="s">
        <v>353</v>
      </c>
      <c r="V1228" s="176">
        <v>46131.0</v>
      </c>
      <c r="W1228" s="175"/>
      <c r="X1228" s="175"/>
      <c r="Y1228" s="175"/>
      <c r="Z1228" s="175"/>
      <c r="AA1228" s="175"/>
      <c r="AB1228" s="175"/>
      <c r="AC1228" s="175"/>
      <c r="AD1228" s="175"/>
      <c r="AE1228" s="175"/>
      <c r="AF1228" s="175"/>
      <c r="AG1228" s="175"/>
      <c r="AH1228" s="175"/>
      <c r="AI1228" s="175"/>
    </row>
    <row r="1229">
      <c r="A1229" s="176">
        <v>46131.0</v>
      </c>
      <c r="B1229" s="177">
        <v>8435172.0</v>
      </c>
      <c r="C1229" s="178" t="s">
        <v>82</v>
      </c>
      <c r="D1229" s="178" t="s">
        <v>94</v>
      </c>
      <c r="E1229" s="177">
        <v>8435172.0</v>
      </c>
      <c r="F1229" s="178" t="s">
        <v>1778</v>
      </c>
      <c r="G1229" s="176">
        <v>46201.0</v>
      </c>
      <c r="H1229" s="179">
        <v>46202.0</v>
      </c>
      <c r="I1229" s="180">
        <v>1.0</v>
      </c>
      <c r="J1229" s="181" t="s">
        <v>111</v>
      </c>
      <c r="K1229" s="178" t="s">
        <v>79</v>
      </c>
      <c r="L1229" s="178" t="s">
        <v>96</v>
      </c>
      <c r="M1229" s="182">
        <v>2.0</v>
      </c>
      <c r="N1229" s="183">
        <v>0.0</v>
      </c>
      <c r="O1229" s="184">
        <v>225.36</v>
      </c>
      <c r="P1229" s="184">
        <v>225.36</v>
      </c>
      <c r="Q1229" s="185">
        <v>0.0</v>
      </c>
      <c r="R1229" s="186">
        <v>225.36</v>
      </c>
      <c r="S1229" s="186">
        <v>0.0</v>
      </c>
      <c r="T1229" s="186">
        <v>460.72</v>
      </c>
      <c r="U1229" s="187" t="s">
        <v>97</v>
      </c>
      <c r="V1229" s="176">
        <v>46131.0</v>
      </c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</row>
    <row r="1230">
      <c r="A1230" s="176">
        <v>46131.0</v>
      </c>
      <c r="B1230" s="177">
        <v>8435172.0</v>
      </c>
      <c r="C1230" s="178" t="s">
        <v>82</v>
      </c>
      <c r="D1230" s="178" t="s">
        <v>94</v>
      </c>
      <c r="E1230" s="177">
        <v>8435172.0</v>
      </c>
      <c r="F1230" s="178" t="s">
        <v>1778</v>
      </c>
      <c r="G1230" s="176">
        <v>46201.0</v>
      </c>
      <c r="H1230" s="179">
        <v>46202.0</v>
      </c>
      <c r="I1230" s="180">
        <v>1.0</v>
      </c>
      <c r="J1230" s="181" t="s">
        <v>111</v>
      </c>
      <c r="K1230" s="178" t="s">
        <v>79</v>
      </c>
      <c r="L1230" s="178" t="s">
        <v>96</v>
      </c>
      <c r="M1230" s="182">
        <v>2.0</v>
      </c>
      <c r="N1230" s="183">
        <v>0.0</v>
      </c>
      <c r="O1230" s="184">
        <v>225.36</v>
      </c>
      <c r="P1230" s="184">
        <v>225.36</v>
      </c>
      <c r="Q1230" s="185">
        <v>0.0</v>
      </c>
      <c r="R1230" s="186">
        <v>225.36</v>
      </c>
      <c r="S1230" s="186">
        <v>0.0</v>
      </c>
      <c r="T1230" s="186">
        <v>460.72</v>
      </c>
      <c r="U1230" s="187" t="s">
        <v>97</v>
      </c>
      <c r="V1230" s="176">
        <v>46131.0</v>
      </c>
      <c r="W1230" s="164"/>
      <c r="X1230" s="164"/>
      <c r="Y1230" s="164"/>
      <c r="Z1230" s="164"/>
      <c r="AA1230" s="164"/>
      <c r="AB1230" s="164"/>
      <c r="AC1230" s="164"/>
      <c r="AD1230" s="164"/>
      <c r="AE1230" s="164"/>
      <c r="AF1230" s="164"/>
      <c r="AG1230" s="164"/>
      <c r="AH1230" s="164"/>
      <c r="AI1230" s="164"/>
    </row>
    <row r="1231">
      <c r="A1231" s="176">
        <v>46131.0</v>
      </c>
      <c r="B1231" s="177">
        <v>8435214.0</v>
      </c>
      <c r="C1231" s="178" t="s">
        <v>82</v>
      </c>
      <c r="D1231" s="178" t="s">
        <v>35</v>
      </c>
      <c r="E1231" s="177">
        <v>6.895629316E9</v>
      </c>
      <c r="F1231" s="178" t="s">
        <v>1784</v>
      </c>
      <c r="G1231" s="176">
        <v>46315.20833333333</v>
      </c>
      <c r="H1231" s="179">
        <v>46319.20833333333</v>
      </c>
      <c r="I1231" s="180">
        <v>4.0</v>
      </c>
      <c r="J1231" s="181" t="s">
        <v>78</v>
      </c>
      <c r="K1231" s="178" t="s">
        <v>79</v>
      </c>
      <c r="L1231" s="178" t="s">
        <v>80</v>
      </c>
      <c r="M1231" s="182">
        <v>2.0</v>
      </c>
      <c r="N1231" s="183">
        <v>0.19999999999999996</v>
      </c>
      <c r="O1231" s="184">
        <v>150.72</v>
      </c>
      <c r="P1231" s="184">
        <v>120.57600000000001</v>
      </c>
      <c r="Q1231" s="185">
        <v>0.0</v>
      </c>
      <c r="R1231" s="186">
        <v>482.30400000000003</v>
      </c>
      <c r="S1231" s="186">
        <v>0.0</v>
      </c>
      <c r="T1231" s="186">
        <v>622.88</v>
      </c>
      <c r="U1231" s="187" t="s">
        <v>353</v>
      </c>
      <c r="V1231" s="176">
        <v>46131.0</v>
      </c>
      <c r="W1231" s="175"/>
      <c r="X1231" s="175"/>
      <c r="Y1231" s="175"/>
      <c r="Z1231" s="175"/>
      <c r="AA1231" s="175"/>
      <c r="AB1231" s="175"/>
      <c r="AC1231" s="175"/>
      <c r="AD1231" s="175"/>
      <c r="AE1231" s="175"/>
      <c r="AF1231" s="175"/>
      <c r="AG1231" s="175"/>
      <c r="AH1231" s="175"/>
      <c r="AI1231" s="175"/>
    </row>
    <row r="1232">
      <c r="A1232" s="176">
        <v>46131.0</v>
      </c>
      <c r="B1232" s="177">
        <v>8435492.0</v>
      </c>
      <c r="C1232" s="178" t="s">
        <v>75</v>
      </c>
      <c r="D1232" s="178" t="s">
        <v>35</v>
      </c>
      <c r="E1232" s="177">
        <v>5.289589708E9</v>
      </c>
      <c r="F1232" s="178" t="s">
        <v>1786</v>
      </c>
      <c r="G1232" s="176">
        <v>46155.0</v>
      </c>
      <c r="H1232" s="179">
        <v>46159.0</v>
      </c>
      <c r="I1232" s="180">
        <v>4.0</v>
      </c>
      <c r="J1232" s="181" t="s">
        <v>114</v>
      </c>
      <c r="K1232" s="178" t="s">
        <v>79</v>
      </c>
      <c r="L1232" s="178" t="s">
        <v>80</v>
      </c>
      <c r="M1232" s="182">
        <v>2.0</v>
      </c>
      <c r="N1232" s="183">
        <v>0.19999999999999996</v>
      </c>
      <c r="O1232" s="184">
        <v>220.95</v>
      </c>
      <c r="P1232" s="184">
        <v>176.76</v>
      </c>
      <c r="Q1232" s="185">
        <v>0.0</v>
      </c>
      <c r="R1232" s="186">
        <v>707.04</v>
      </c>
      <c r="S1232" s="186">
        <v>0.0</v>
      </c>
      <c r="T1232" s="186">
        <v>903.8</v>
      </c>
      <c r="U1232" s="187" t="s">
        <v>1789</v>
      </c>
      <c r="V1232" s="176">
        <v>46131.0</v>
      </c>
      <c r="W1232" s="164"/>
      <c r="X1232" s="164"/>
      <c r="Y1232" s="164"/>
      <c r="Z1232" s="164"/>
      <c r="AA1232" s="164"/>
      <c r="AB1232" s="164"/>
      <c r="AC1232" s="164"/>
      <c r="AD1232" s="164"/>
      <c r="AE1232" s="164"/>
      <c r="AF1232" s="164"/>
      <c r="AG1232" s="164"/>
      <c r="AH1232" s="164"/>
      <c r="AI1232" s="164"/>
    </row>
    <row r="1233">
      <c r="A1233" s="176">
        <v>46131.0</v>
      </c>
      <c r="B1233" s="177">
        <v>8435589.0</v>
      </c>
      <c r="C1233" s="178" t="s">
        <v>89</v>
      </c>
      <c r="D1233" s="178" t="s">
        <v>35</v>
      </c>
      <c r="E1233" s="177">
        <v>6.686586442E9</v>
      </c>
      <c r="F1233" s="178" t="s">
        <v>1792</v>
      </c>
      <c r="G1233" s="176">
        <v>46335.20833333333</v>
      </c>
      <c r="H1233" s="179">
        <v>46339.20833333333</v>
      </c>
      <c r="I1233" s="180">
        <v>4.0</v>
      </c>
      <c r="J1233" s="181" t="s">
        <v>78</v>
      </c>
      <c r="K1233" s="178" t="s">
        <v>79</v>
      </c>
      <c r="L1233" s="178" t="s">
        <v>80</v>
      </c>
      <c r="M1233" s="182">
        <v>0.0</v>
      </c>
      <c r="N1233" s="183">
        <v>0.0</v>
      </c>
      <c r="O1233" s="184">
        <v>0.0</v>
      </c>
      <c r="P1233" s="184">
        <v>0.0</v>
      </c>
      <c r="Q1233" s="185">
        <v>0.0</v>
      </c>
      <c r="R1233" s="186">
        <v>0.0</v>
      </c>
      <c r="S1233" s="186">
        <v>0.0</v>
      </c>
      <c r="T1233" s="186">
        <v>0.0</v>
      </c>
      <c r="U1233" s="187" t="s">
        <v>1767</v>
      </c>
      <c r="V1233" s="176">
        <v>46238.0</v>
      </c>
      <c r="W1233" s="175"/>
      <c r="X1233" s="175"/>
      <c r="Y1233" s="175"/>
      <c r="Z1233" s="175"/>
      <c r="AA1233" s="175"/>
      <c r="AB1233" s="175"/>
      <c r="AC1233" s="175"/>
      <c r="AD1233" s="175"/>
      <c r="AE1233" s="175"/>
      <c r="AF1233" s="175"/>
      <c r="AG1233" s="175"/>
      <c r="AH1233" s="175"/>
      <c r="AI1233" s="175"/>
    </row>
    <row r="1234">
      <c r="A1234" s="176">
        <v>46131.0</v>
      </c>
      <c r="B1234" s="177">
        <v>8435967.0</v>
      </c>
      <c r="C1234" s="178" t="s">
        <v>82</v>
      </c>
      <c r="D1234" s="178" t="s">
        <v>35</v>
      </c>
      <c r="E1234" s="177">
        <v>5.75346515E9</v>
      </c>
      <c r="F1234" s="178" t="s">
        <v>1794</v>
      </c>
      <c r="G1234" s="176">
        <v>46132.0</v>
      </c>
      <c r="H1234" s="179">
        <v>46133.0</v>
      </c>
      <c r="I1234" s="180">
        <v>1.0</v>
      </c>
      <c r="J1234" s="181" t="s">
        <v>78</v>
      </c>
      <c r="K1234" s="178" t="s">
        <v>79</v>
      </c>
      <c r="L1234" s="178" t="s">
        <v>80</v>
      </c>
      <c r="M1234" s="182">
        <v>2.0</v>
      </c>
      <c r="N1234" s="183">
        <v>0.19999999999999996</v>
      </c>
      <c r="O1234" s="184">
        <v>179.82</v>
      </c>
      <c r="P1234" s="184">
        <v>143.856</v>
      </c>
      <c r="Q1234" s="185">
        <v>0.0</v>
      </c>
      <c r="R1234" s="186">
        <v>143.856</v>
      </c>
      <c r="S1234" s="186">
        <v>0.0</v>
      </c>
      <c r="T1234" s="186">
        <v>184.82</v>
      </c>
      <c r="U1234" s="187" t="s">
        <v>1441</v>
      </c>
      <c r="V1234" s="176">
        <v>46131.0</v>
      </c>
      <c r="W1234" s="164"/>
      <c r="X1234" s="164"/>
      <c r="Y1234" s="164"/>
      <c r="Z1234" s="164"/>
      <c r="AA1234" s="164"/>
      <c r="AB1234" s="164"/>
      <c r="AC1234" s="164"/>
      <c r="AD1234" s="164"/>
      <c r="AE1234" s="164"/>
      <c r="AF1234" s="164"/>
      <c r="AG1234" s="164"/>
      <c r="AH1234" s="164"/>
      <c r="AI1234" s="164"/>
    </row>
    <row r="1235">
      <c r="A1235" s="176">
        <v>46131.0</v>
      </c>
      <c r="B1235" s="177">
        <v>8435979.0</v>
      </c>
      <c r="C1235" s="178" t="s">
        <v>82</v>
      </c>
      <c r="D1235" s="178" t="s">
        <v>94</v>
      </c>
      <c r="E1235" s="177">
        <v>8435979.0</v>
      </c>
      <c r="F1235" s="178" t="s">
        <v>1800</v>
      </c>
      <c r="G1235" s="176">
        <v>46134.0</v>
      </c>
      <c r="H1235" s="179">
        <v>46135.0</v>
      </c>
      <c r="I1235" s="180">
        <v>1.0</v>
      </c>
      <c r="J1235" s="181" t="s">
        <v>78</v>
      </c>
      <c r="K1235" s="178" t="s">
        <v>79</v>
      </c>
      <c r="L1235" s="178" t="s">
        <v>96</v>
      </c>
      <c r="M1235" s="182">
        <v>2.0</v>
      </c>
      <c r="N1235" s="183">
        <v>0.0</v>
      </c>
      <c r="O1235" s="184">
        <v>239.76</v>
      </c>
      <c r="P1235" s="184">
        <v>239.76</v>
      </c>
      <c r="Q1235" s="185">
        <v>0.0</v>
      </c>
      <c r="R1235" s="186">
        <v>239.76</v>
      </c>
      <c r="S1235" s="186">
        <v>0.0</v>
      </c>
      <c r="T1235" s="186">
        <v>244.76</v>
      </c>
      <c r="U1235" s="187" t="s">
        <v>97</v>
      </c>
      <c r="V1235" s="176">
        <v>46131.0</v>
      </c>
      <c r="W1235" s="175"/>
      <c r="X1235" s="175"/>
      <c r="Y1235" s="175"/>
      <c r="Z1235" s="175"/>
      <c r="AA1235" s="175"/>
      <c r="AB1235" s="175"/>
      <c r="AC1235" s="175"/>
      <c r="AD1235" s="175"/>
      <c r="AE1235" s="175"/>
      <c r="AF1235" s="175"/>
      <c r="AG1235" s="175"/>
      <c r="AH1235" s="175"/>
      <c r="AI1235" s="175"/>
    </row>
    <row r="1236">
      <c r="A1236" s="176">
        <v>46131.0</v>
      </c>
      <c r="B1236" s="177">
        <v>8436104.0</v>
      </c>
      <c r="C1236" s="178" t="s">
        <v>82</v>
      </c>
      <c r="D1236" s="178" t="s">
        <v>35</v>
      </c>
      <c r="E1236" s="177">
        <v>5.750794477E9</v>
      </c>
      <c r="F1236" s="178" t="s">
        <v>1803</v>
      </c>
      <c r="G1236" s="176">
        <v>46316.20833333333</v>
      </c>
      <c r="H1236" s="179">
        <v>46318.20833333333</v>
      </c>
      <c r="I1236" s="180">
        <v>2.0</v>
      </c>
      <c r="J1236" s="181" t="s">
        <v>87</v>
      </c>
      <c r="K1236" s="178" t="s">
        <v>79</v>
      </c>
      <c r="L1236" s="178" t="s">
        <v>80</v>
      </c>
      <c r="M1236" s="182">
        <v>2.0</v>
      </c>
      <c r="N1236" s="183">
        <v>0.19999999999999996</v>
      </c>
      <c r="O1236" s="184">
        <v>150.57</v>
      </c>
      <c r="P1236" s="184">
        <v>120.456</v>
      </c>
      <c r="Q1236" s="185">
        <v>0.0</v>
      </c>
      <c r="R1236" s="186">
        <v>240.912</v>
      </c>
      <c r="S1236" s="186">
        <v>0.0</v>
      </c>
      <c r="T1236" s="186">
        <v>311.14</v>
      </c>
      <c r="U1236" s="187" t="s">
        <v>161</v>
      </c>
      <c r="V1236" s="176">
        <v>46131.0</v>
      </c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</row>
    <row r="1237">
      <c r="A1237" s="176">
        <v>46131.0</v>
      </c>
      <c r="B1237" s="177">
        <v>8436325.0</v>
      </c>
      <c r="C1237" s="178" t="s">
        <v>75</v>
      </c>
      <c r="D1237" s="178" t="s">
        <v>94</v>
      </c>
      <c r="E1237" s="177">
        <v>8436325.0</v>
      </c>
      <c r="F1237" s="178" t="s">
        <v>1806</v>
      </c>
      <c r="G1237" s="176">
        <v>46425.08333333333</v>
      </c>
      <c r="H1237" s="179">
        <v>46426.0</v>
      </c>
      <c r="I1237" s="180">
        <v>4.0</v>
      </c>
      <c r="J1237" s="181" t="s">
        <v>78</v>
      </c>
      <c r="K1237" s="178" t="s">
        <v>79</v>
      </c>
      <c r="L1237" s="178" t="s">
        <v>96</v>
      </c>
      <c r="M1237" s="182">
        <v>2.0</v>
      </c>
      <c r="N1237" s="183">
        <v>0.0</v>
      </c>
      <c r="O1237" s="184">
        <v>200.16</v>
      </c>
      <c r="P1237" s="184">
        <v>200.16</v>
      </c>
      <c r="Q1237" s="185">
        <v>0.0</v>
      </c>
      <c r="R1237" s="186">
        <v>800.64</v>
      </c>
      <c r="S1237" s="186">
        <v>0.0</v>
      </c>
      <c r="T1237" s="186">
        <v>4103.2</v>
      </c>
      <c r="U1237" s="187" t="s">
        <v>1809</v>
      </c>
      <c r="V1237" s="176">
        <v>46131.0</v>
      </c>
      <c r="W1237" s="188"/>
      <c r="X1237" s="188"/>
      <c r="Y1237" s="188"/>
      <c r="Z1237" s="188"/>
      <c r="AA1237" s="188"/>
      <c r="AB1237" s="188"/>
      <c r="AC1237" s="188"/>
      <c r="AD1237" s="188"/>
      <c r="AE1237" s="188"/>
      <c r="AF1237" s="188"/>
      <c r="AG1237" s="188"/>
      <c r="AH1237" s="188"/>
      <c r="AI1237" s="188"/>
    </row>
    <row r="1238">
      <c r="A1238" s="176">
        <v>46131.0</v>
      </c>
      <c r="B1238" s="177">
        <v>8436325.0</v>
      </c>
      <c r="C1238" s="178" t="s">
        <v>75</v>
      </c>
      <c r="D1238" s="178" t="s">
        <v>94</v>
      </c>
      <c r="E1238" s="177">
        <v>8436325.0</v>
      </c>
      <c r="F1238" s="178" t="s">
        <v>1806</v>
      </c>
      <c r="G1238" s="176">
        <v>46425.08333333333</v>
      </c>
      <c r="H1238" s="179">
        <v>46426.0</v>
      </c>
      <c r="I1238" s="180">
        <v>4.0</v>
      </c>
      <c r="J1238" s="181" t="s">
        <v>78</v>
      </c>
      <c r="K1238" s="178" t="s">
        <v>79</v>
      </c>
      <c r="L1238" s="178" t="s">
        <v>96</v>
      </c>
      <c r="M1238" s="182">
        <v>2.0</v>
      </c>
      <c r="N1238" s="183">
        <v>0.0</v>
      </c>
      <c r="O1238" s="184">
        <v>200.16</v>
      </c>
      <c r="P1238" s="184">
        <v>200.16</v>
      </c>
      <c r="Q1238" s="185">
        <v>0.0</v>
      </c>
      <c r="R1238" s="186">
        <v>800.64</v>
      </c>
      <c r="S1238" s="186">
        <v>0.0</v>
      </c>
      <c r="T1238" s="186">
        <v>4103.2</v>
      </c>
      <c r="U1238" s="187" t="s">
        <v>1809</v>
      </c>
      <c r="V1238" s="176">
        <v>46131.0</v>
      </c>
      <c r="W1238" s="175"/>
      <c r="X1238" s="175"/>
      <c r="Y1238" s="175"/>
      <c r="Z1238" s="175"/>
      <c r="AA1238" s="175"/>
      <c r="AB1238" s="175"/>
      <c r="AC1238" s="175"/>
      <c r="AD1238" s="175"/>
      <c r="AE1238" s="175"/>
      <c r="AF1238" s="175"/>
      <c r="AG1238" s="175"/>
      <c r="AH1238" s="175"/>
      <c r="AI1238" s="175"/>
    </row>
    <row r="1239">
      <c r="A1239" s="176">
        <v>46131.0</v>
      </c>
      <c r="B1239" s="177">
        <v>8436325.0</v>
      </c>
      <c r="C1239" s="178" t="s">
        <v>75</v>
      </c>
      <c r="D1239" s="178" t="s">
        <v>94</v>
      </c>
      <c r="E1239" s="177">
        <v>8436325.0</v>
      </c>
      <c r="F1239" s="178" t="s">
        <v>1806</v>
      </c>
      <c r="G1239" s="176">
        <v>46425.08333333333</v>
      </c>
      <c r="H1239" s="179">
        <v>46426.0</v>
      </c>
      <c r="I1239" s="180">
        <v>4.0</v>
      </c>
      <c r="J1239" s="181" t="s">
        <v>78</v>
      </c>
      <c r="K1239" s="178" t="s">
        <v>79</v>
      </c>
      <c r="L1239" s="178" t="s">
        <v>96</v>
      </c>
      <c r="M1239" s="182">
        <v>2.0</v>
      </c>
      <c r="N1239" s="183">
        <v>0.0</v>
      </c>
      <c r="O1239" s="184">
        <v>200.16</v>
      </c>
      <c r="P1239" s="184">
        <v>200.16</v>
      </c>
      <c r="Q1239" s="185">
        <v>0.0</v>
      </c>
      <c r="R1239" s="186">
        <v>800.64</v>
      </c>
      <c r="S1239" s="186">
        <v>0.0</v>
      </c>
      <c r="T1239" s="186">
        <v>4103.2</v>
      </c>
      <c r="U1239" s="187" t="s">
        <v>1809</v>
      </c>
      <c r="V1239" s="176">
        <v>46131.0</v>
      </c>
      <c r="W1239" s="188"/>
      <c r="X1239" s="188"/>
      <c r="Y1239" s="188"/>
      <c r="Z1239" s="188"/>
      <c r="AA1239" s="188"/>
      <c r="AB1239" s="188"/>
      <c r="AC1239" s="188"/>
      <c r="AD1239" s="188"/>
      <c r="AE1239" s="188"/>
      <c r="AF1239" s="188"/>
      <c r="AG1239" s="188"/>
      <c r="AH1239" s="188"/>
      <c r="AI1239" s="188"/>
    </row>
    <row r="1240">
      <c r="A1240" s="176">
        <v>46131.0</v>
      </c>
      <c r="B1240" s="177">
        <v>8436325.0</v>
      </c>
      <c r="C1240" s="178" t="s">
        <v>75</v>
      </c>
      <c r="D1240" s="178" t="s">
        <v>94</v>
      </c>
      <c r="E1240" s="177">
        <v>8436325.0</v>
      </c>
      <c r="F1240" s="178" t="s">
        <v>1806</v>
      </c>
      <c r="G1240" s="176">
        <v>46425.08333333333</v>
      </c>
      <c r="H1240" s="179">
        <v>46426.0</v>
      </c>
      <c r="I1240" s="180">
        <v>4.0</v>
      </c>
      <c r="J1240" s="181" t="s">
        <v>78</v>
      </c>
      <c r="K1240" s="178" t="s">
        <v>79</v>
      </c>
      <c r="L1240" s="178" t="s">
        <v>96</v>
      </c>
      <c r="M1240" s="182">
        <v>2.0</v>
      </c>
      <c r="N1240" s="183">
        <v>0.0</v>
      </c>
      <c r="O1240" s="184">
        <v>200.16</v>
      </c>
      <c r="P1240" s="184">
        <v>200.16</v>
      </c>
      <c r="Q1240" s="185">
        <v>0.0</v>
      </c>
      <c r="R1240" s="186">
        <v>800.64</v>
      </c>
      <c r="S1240" s="186">
        <v>0.0</v>
      </c>
      <c r="T1240" s="186">
        <v>4103.2</v>
      </c>
      <c r="U1240" s="187" t="s">
        <v>1809</v>
      </c>
      <c r="V1240" s="176">
        <v>46131.0</v>
      </c>
      <c r="W1240" s="175"/>
      <c r="X1240" s="175"/>
      <c r="Y1240" s="175"/>
      <c r="Z1240" s="175"/>
      <c r="AA1240" s="175"/>
      <c r="AB1240" s="175"/>
      <c r="AC1240" s="175"/>
      <c r="AD1240" s="175"/>
      <c r="AE1240" s="175"/>
      <c r="AF1240" s="175"/>
      <c r="AG1240" s="175"/>
      <c r="AH1240" s="175"/>
      <c r="AI1240" s="175"/>
    </row>
    <row r="1241">
      <c r="A1241" s="176">
        <v>46131.0</v>
      </c>
      <c r="B1241" s="177">
        <v>8436325.0</v>
      </c>
      <c r="C1241" s="178" t="s">
        <v>75</v>
      </c>
      <c r="D1241" s="178" t="s">
        <v>94</v>
      </c>
      <c r="E1241" s="177">
        <v>8436325.0</v>
      </c>
      <c r="F1241" s="178" t="s">
        <v>1806</v>
      </c>
      <c r="G1241" s="176">
        <v>46425.08333333333</v>
      </c>
      <c r="H1241" s="179">
        <v>46426.0</v>
      </c>
      <c r="I1241" s="180">
        <v>4.0</v>
      </c>
      <c r="J1241" s="181" t="s">
        <v>78</v>
      </c>
      <c r="K1241" s="178" t="s">
        <v>79</v>
      </c>
      <c r="L1241" s="178" t="s">
        <v>96</v>
      </c>
      <c r="M1241" s="182">
        <v>2.0</v>
      </c>
      <c r="N1241" s="183">
        <v>0.0</v>
      </c>
      <c r="O1241" s="184">
        <v>200.16</v>
      </c>
      <c r="P1241" s="184">
        <v>200.16</v>
      </c>
      <c r="Q1241" s="185">
        <v>0.0</v>
      </c>
      <c r="R1241" s="186">
        <v>800.64</v>
      </c>
      <c r="S1241" s="186">
        <v>0.0</v>
      </c>
      <c r="T1241" s="186">
        <v>4103.2</v>
      </c>
      <c r="U1241" s="187" t="s">
        <v>1809</v>
      </c>
      <c r="V1241" s="176">
        <v>46131.0</v>
      </c>
      <c r="W1241" s="175"/>
      <c r="X1241" s="175"/>
      <c r="Y1241" s="175"/>
      <c r="Z1241" s="175"/>
      <c r="AA1241" s="175"/>
      <c r="AB1241" s="175"/>
      <c r="AC1241" s="175"/>
      <c r="AD1241" s="175"/>
      <c r="AE1241" s="175"/>
      <c r="AF1241" s="175"/>
      <c r="AG1241" s="175"/>
      <c r="AH1241" s="175"/>
      <c r="AI1241" s="175"/>
    </row>
    <row r="1242">
      <c r="A1242" s="176">
        <v>46131.0</v>
      </c>
      <c r="B1242" s="177">
        <v>8436589.0</v>
      </c>
      <c r="C1242" s="178" t="s">
        <v>82</v>
      </c>
      <c r="D1242" s="178" t="s">
        <v>35</v>
      </c>
      <c r="E1242" s="177">
        <v>5.866980095E9</v>
      </c>
      <c r="F1242" s="178" t="s">
        <v>1823</v>
      </c>
      <c r="G1242" s="176">
        <v>46136.0</v>
      </c>
      <c r="H1242" s="179">
        <v>46137.0</v>
      </c>
      <c r="I1242" s="180">
        <v>1.0</v>
      </c>
      <c r="J1242" s="181" t="s">
        <v>111</v>
      </c>
      <c r="K1242" s="178" t="s">
        <v>79</v>
      </c>
      <c r="L1242" s="178" t="s">
        <v>80</v>
      </c>
      <c r="M1242" s="182">
        <v>2.0</v>
      </c>
      <c r="N1242" s="183">
        <v>0.19999999999999996</v>
      </c>
      <c r="O1242" s="184">
        <v>229.38</v>
      </c>
      <c r="P1242" s="184">
        <v>183.50400000000002</v>
      </c>
      <c r="Q1242" s="185">
        <v>0.0</v>
      </c>
      <c r="R1242" s="186">
        <v>183.50400000000002</v>
      </c>
      <c r="S1242" s="186">
        <v>0.0</v>
      </c>
      <c r="T1242" s="186">
        <v>234.38</v>
      </c>
      <c r="U1242" s="187" t="s">
        <v>1441</v>
      </c>
      <c r="V1242" s="176">
        <v>46131.0</v>
      </c>
      <c r="W1242" s="175"/>
      <c r="X1242" s="175"/>
      <c r="Y1242" s="175"/>
      <c r="Z1242" s="175"/>
      <c r="AA1242" s="175"/>
      <c r="AB1242" s="175"/>
      <c r="AC1242" s="175"/>
      <c r="AD1242" s="175"/>
      <c r="AE1242" s="175"/>
      <c r="AF1242" s="175"/>
      <c r="AG1242" s="175"/>
      <c r="AH1242" s="175"/>
      <c r="AI1242" s="175"/>
    </row>
    <row r="1243">
      <c r="A1243" s="176">
        <v>46131.0</v>
      </c>
      <c r="B1243" s="177">
        <v>8436899.0</v>
      </c>
      <c r="C1243" s="178" t="s">
        <v>89</v>
      </c>
      <c r="D1243" s="178" t="s">
        <v>35</v>
      </c>
      <c r="E1243" s="177">
        <v>6.905609841E9</v>
      </c>
      <c r="F1243" s="178" t="s">
        <v>1829</v>
      </c>
      <c r="G1243" s="176">
        <v>46525.20833333333</v>
      </c>
      <c r="H1243" s="179">
        <v>46527.20833333333</v>
      </c>
      <c r="I1243" s="180">
        <v>2.0</v>
      </c>
      <c r="J1243" s="181" t="s">
        <v>78</v>
      </c>
      <c r="K1243" s="178" t="s">
        <v>79</v>
      </c>
      <c r="L1243" s="178" t="s">
        <v>80</v>
      </c>
      <c r="M1243" s="182">
        <v>0.0</v>
      </c>
      <c r="N1243" s="183">
        <v>0.0</v>
      </c>
      <c r="O1243" s="184">
        <v>0.0</v>
      </c>
      <c r="P1243" s="184">
        <v>0.0</v>
      </c>
      <c r="Q1243" s="185">
        <v>0.0</v>
      </c>
      <c r="R1243" s="186">
        <v>0.0</v>
      </c>
      <c r="S1243" s="186">
        <v>0.0</v>
      </c>
      <c r="T1243" s="186">
        <v>0.0</v>
      </c>
      <c r="U1243" s="187" t="s">
        <v>1832</v>
      </c>
      <c r="V1243" s="176">
        <v>46131.0</v>
      </c>
      <c r="W1243" s="175"/>
      <c r="X1243" s="175"/>
      <c r="Y1243" s="175"/>
      <c r="Z1243" s="175"/>
      <c r="AA1243" s="175"/>
      <c r="AB1243" s="175"/>
      <c r="AC1243" s="175"/>
      <c r="AD1243" s="175"/>
      <c r="AE1243" s="175"/>
      <c r="AF1243" s="175"/>
      <c r="AG1243" s="175"/>
      <c r="AH1243" s="175"/>
      <c r="AI1243" s="175"/>
    </row>
    <row r="1244">
      <c r="A1244" s="176">
        <v>46131.0</v>
      </c>
      <c r="B1244" s="177">
        <v>8437208.0</v>
      </c>
      <c r="C1244" s="178" t="s">
        <v>82</v>
      </c>
      <c r="D1244" s="178" t="s">
        <v>36</v>
      </c>
      <c r="E1244" s="177">
        <v>8437208.0</v>
      </c>
      <c r="F1244" s="178" t="s">
        <v>1834</v>
      </c>
      <c r="G1244" s="176">
        <v>46198.0</v>
      </c>
      <c r="H1244" s="179">
        <v>46200.0</v>
      </c>
      <c r="I1244" s="180">
        <v>2.0</v>
      </c>
      <c r="J1244" s="181" t="s">
        <v>78</v>
      </c>
      <c r="K1244" s="178" t="s">
        <v>79</v>
      </c>
      <c r="L1244" s="178" t="s">
        <v>1836</v>
      </c>
      <c r="M1244" s="182">
        <v>2.0</v>
      </c>
      <c r="N1244" s="183">
        <v>0.0</v>
      </c>
      <c r="O1244" s="184">
        <v>163.8</v>
      </c>
      <c r="P1244" s="184">
        <v>162.162</v>
      </c>
      <c r="Q1244" s="185">
        <v>0.0</v>
      </c>
      <c r="R1244" s="186">
        <v>324.324</v>
      </c>
      <c r="S1244" s="186">
        <v>0.0</v>
      </c>
      <c r="T1244" s="186">
        <v>337.6</v>
      </c>
      <c r="U1244" s="187" t="s">
        <v>1838</v>
      </c>
      <c r="V1244" s="176">
        <v>46131.0</v>
      </c>
      <c r="W1244" s="175"/>
      <c r="X1244" s="175"/>
      <c r="Y1244" s="175"/>
      <c r="Z1244" s="175"/>
      <c r="AA1244" s="175"/>
      <c r="AB1244" s="175"/>
      <c r="AC1244" s="175"/>
      <c r="AD1244" s="175"/>
      <c r="AE1244" s="175"/>
      <c r="AF1244" s="175"/>
      <c r="AG1244" s="175"/>
      <c r="AH1244" s="175"/>
      <c r="AI1244" s="175"/>
    </row>
    <row r="1245">
      <c r="A1245" s="176">
        <v>46131.0</v>
      </c>
      <c r="B1245" s="177">
        <v>8437349.0</v>
      </c>
      <c r="C1245" s="178" t="s">
        <v>82</v>
      </c>
      <c r="D1245" s="178" t="s">
        <v>36</v>
      </c>
      <c r="E1245" s="177">
        <v>8437349.0</v>
      </c>
      <c r="F1245" s="178" t="s">
        <v>1834</v>
      </c>
      <c r="G1245" s="176">
        <v>46203.0</v>
      </c>
      <c r="H1245" s="179">
        <v>46205.0</v>
      </c>
      <c r="I1245" s="180">
        <v>2.0</v>
      </c>
      <c r="J1245" s="181" t="s">
        <v>78</v>
      </c>
      <c r="K1245" s="178" t="s">
        <v>79</v>
      </c>
      <c r="L1245" s="178" t="s">
        <v>1836</v>
      </c>
      <c r="M1245" s="182">
        <v>2.0</v>
      </c>
      <c r="N1245" s="183">
        <v>0.0</v>
      </c>
      <c r="O1245" s="184">
        <v>163.8</v>
      </c>
      <c r="P1245" s="184">
        <v>162.162</v>
      </c>
      <c r="Q1245" s="185">
        <v>0.0</v>
      </c>
      <c r="R1245" s="186">
        <v>324.324</v>
      </c>
      <c r="S1245" s="186">
        <v>0.0</v>
      </c>
      <c r="T1245" s="186">
        <v>337.6</v>
      </c>
      <c r="U1245" s="187" t="s">
        <v>1838</v>
      </c>
      <c r="V1245" s="176">
        <v>46131.0</v>
      </c>
      <c r="W1245" s="175"/>
      <c r="X1245" s="175"/>
      <c r="Y1245" s="175"/>
      <c r="Z1245" s="175"/>
      <c r="AA1245" s="175"/>
      <c r="AB1245" s="175"/>
      <c r="AC1245" s="175"/>
      <c r="AD1245" s="175"/>
      <c r="AE1245" s="175"/>
      <c r="AF1245" s="175"/>
      <c r="AG1245" s="175"/>
      <c r="AH1245" s="175"/>
      <c r="AI1245" s="175"/>
    </row>
    <row r="1246">
      <c r="A1246" s="176">
        <v>46132.0</v>
      </c>
      <c r="B1246" s="177">
        <v>8438550.0</v>
      </c>
      <c r="C1246" s="178" t="s">
        <v>82</v>
      </c>
      <c r="D1246" s="178" t="s">
        <v>101</v>
      </c>
      <c r="E1246" s="177">
        <v>2.442113035E9</v>
      </c>
      <c r="F1246" s="178" t="s">
        <v>1844</v>
      </c>
      <c r="G1246" s="176">
        <v>46183.0</v>
      </c>
      <c r="H1246" s="179">
        <v>46186.0</v>
      </c>
      <c r="I1246" s="180">
        <v>3.0</v>
      </c>
      <c r="J1246" s="181" t="s">
        <v>78</v>
      </c>
      <c r="K1246" s="178" t="s">
        <v>79</v>
      </c>
      <c r="L1246" s="178" t="s">
        <v>103</v>
      </c>
      <c r="M1246" s="182">
        <v>2.0</v>
      </c>
      <c r="N1246" s="183">
        <v>0.0</v>
      </c>
      <c r="O1246" s="184">
        <v>195.84</v>
      </c>
      <c r="P1246" s="184">
        <v>156.67200000000003</v>
      </c>
      <c r="Q1246" s="185">
        <v>0.0</v>
      </c>
      <c r="R1246" s="186">
        <v>470.0160000000001</v>
      </c>
      <c r="S1246" s="186">
        <v>0.0</v>
      </c>
      <c r="T1246" s="186">
        <v>587.52</v>
      </c>
      <c r="U1246" s="187" t="s">
        <v>104</v>
      </c>
      <c r="V1246" s="176">
        <v>46132.0</v>
      </c>
      <c r="W1246" s="175"/>
      <c r="X1246" s="175"/>
      <c r="Y1246" s="175"/>
      <c r="Z1246" s="175"/>
      <c r="AA1246" s="175"/>
      <c r="AB1246" s="175"/>
      <c r="AC1246" s="175"/>
      <c r="AD1246" s="175"/>
      <c r="AE1246" s="175"/>
      <c r="AF1246" s="175"/>
      <c r="AG1246" s="175"/>
      <c r="AH1246" s="175"/>
      <c r="AI1246" s="175"/>
    </row>
    <row r="1247">
      <c r="A1247" s="176">
        <v>46132.0</v>
      </c>
      <c r="B1247" s="177">
        <v>8439062.0</v>
      </c>
      <c r="C1247" s="178" t="s">
        <v>82</v>
      </c>
      <c r="D1247" s="178" t="s">
        <v>35</v>
      </c>
      <c r="E1247" s="177">
        <v>5.388259423E9</v>
      </c>
      <c r="F1247" s="178" t="s">
        <v>1850</v>
      </c>
      <c r="G1247" s="176">
        <v>46176.0</v>
      </c>
      <c r="H1247" s="179">
        <v>46177.0</v>
      </c>
      <c r="I1247" s="180">
        <v>1.0</v>
      </c>
      <c r="J1247" s="181" t="s">
        <v>87</v>
      </c>
      <c r="K1247" s="178" t="s">
        <v>79</v>
      </c>
      <c r="L1247" s="178" t="s">
        <v>80</v>
      </c>
      <c r="M1247" s="182">
        <v>1.0</v>
      </c>
      <c r="N1247" s="183">
        <v>0.19999999999999996</v>
      </c>
      <c r="O1247" s="184">
        <v>112.4</v>
      </c>
      <c r="P1247" s="184">
        <v>89.92000000000002</v>
      </c>
      <c r="Q1247" s="185">
        <v>0.0</v>
      </c>
      <c r="R1247" s="186">
        <v>89.92000000000002</v>
      </c>
      <c r="S1247" s="186">
        <v>0.0</v>
      </c>
      <c r="T1247" s="186">
        <v>114.9</v>
      </c>
      <c r="U1247" s="187" t="s">
        <v>107</v>
      </c>
      <c r="V1247" s="176">
        <v>46132.0</v>
      </c>
      <c r="W1247" s="175"/>
      <c r="X1247" s="175"/>
      <c r="Y1247" s="175"/>
      <c r="Z1247" s="175"/>
      <c r="AA1247" s="175"/>
      <c r="AB1247" s="175"/>
      <c r="AC1247" s="175"/>
      <c r="AD1247" s="175"/>
      <c r="AE1247" s="175"/>
      <c r="AF1247" s="175"/>
      <c r="AG1247" s="175"/>
      <c r="AH1247" s="175"/>
      <c r="AI1247" s="175"/>
    </row>
    <row r="1248">
      <c r="A1248" s="176">
        <v>46132.0</v>
      </c>
      <c r="B1248" s="177">
        <v>8439084.0</v>
      </c>
      <c r="C1248" s="178" t="s">
        <v>82</v>
      </c>
      <c r="D1248" s="178" t="s">
        <v>35</v>
      </c>
      <c r="E1248" s="177">
        <v>6.310385911E9</v>
      </c>
      <c r="F1248" s="178" t="s">
        <v>1854</v>
      </c>
      <c r="G1248" s="176">
        <v>46176.0</v>
      </c>
      <c r="H1248" s="179">
        <v>46177.0</v>
      </c>
      <c r="I1248" s="180">
        <v>1.0</v>
      </c>
      <c r="J1248" s="181" t="s">
        <v>114</v>
      </c>
      <c r="K1248" s="178" t="s">
        <v>79</v>
      </c>
      <c r="L1248" s="178" t="s">
        <v>80</v>
      </c>
      <c r="M1248" s="182">
        <v>1.0</v>
      </c>
      <c r="N1248" s="183">
        <v>0.19999999999999996</v>
      </c>
      <c r="O1248" s="184">
        <v>148.31</v>
      </c>
      <c r="P1248" s="184">
        <v>118.64800000000001</v>
      </c>
      <c r="Q1248" s="185">
        <v>0.0</v>
      </c>
      <c r="R1248" s="186">
        <v>118.64800000000001</v>
      </c>
      <c r="S1248" s="186">
        <v>0.0</v>
      </c>
      <c r="T1248" s="186">
        <v>150.81</v>
      </c>
      <c r="U1248" s="187" t="s">
        <v>107</v>
      </c>
      <c r="V1248" s="176">
        <v>46132.0</v>
      </c>
      <c r="W1248" s="175"/>
      <c r="X1248" s="175"/>
      <c r="Y1248" s="175"/>
      <c r="Z1248" s="175"/>
      <c r="AA1248" s="175"/>
      <c r="AB1248" s="175"/>
      <c r="AC1248" s="175"/>
      <c r="AD1248" s="175"/>
      <c r="AE1248" s="175"/>
      <c r="AF1248" s="175"/>
      <c r="AG1248" s="175"/>
      <c r="AH1248" s="175"/>
      <c r="AI1248" s="175"/>
    </row>
    <row r="1249">
      <c r="A1249" s="176">
        <v>46132.0</v>
      </c>
      <c r="B1249" s="177">
        <v>8440063.0</v>
      </c>
      <c r="C1249" s="178" t="s">
        <v>89</v>
      </c>
      <c r="D1249" s="178" t="s">
        <v>35</v>
      </c>
      <c r="E1249" s="177">
        <v>6.720515454E9</v>
      </c>
      <c r="F1249" s="178" t="s">
        <v>1858</v>
      </c>
      <c r="G1249" s="176">
        <v>46307.20833333333</v>
      </c>
      <c r="H1249" s="179">
        <v>46308.20833333333</v>
      </c>
      <c r="I1249" s="180">
        <v>1.0</v>
      </c>
      <c r="J1249" s="181" t="s">
        <v>78</v>
      </c>
      <c r="K1249" s="178" t="s">
        <v>79</v>
      </c>
      <c r="L1249" s="178" t="s">
        <v>80</v>
      </c>
      <c r="M1249" s="182">
        <v>0.0</v>
      </c>
      <c r="N1249" s="183">
        <v>0.0</v>
      </c>
      <c r="O1249" s="184">
        <v>0.0</v>
      </c>
      <c r="P1249" s="184">
        <v>0.0</v>
      </c>
      <c r="Q1249" s="185">
        <v>0.0</v>
      </c>
      <c r="R1249" s="186">
        <v>0.0</v>
      </c>
      <c r="S1249" s="186">
        <v>0.0</v>
      </c>
      <c r="T1249" s="186">
        <v>0.0</v>
      </c>
      <c r="U1249" s="187" t="s">
        <v>1860</v>
      </c>
      <c r="V1249" s="176">
        <v>46138.0</v>
      </c>
      <c r="W1249" s="175"/>
      <c r="X1249" s="175"/>
      <c r="Y1249" s="175"/>
      <c r="Z1249" s="175"/>
      <c r="AA1249" s="175"/>
      <c r="AB1249" s="175"/>
      <c r="AC1249" s="175"/>
      <c r="AD1249" s="175"/>
      <c r="AE1249" s="175"/>
      <c r="AF1249" s="175"/>
      <c r="AG1249" s="175"/>
      <c r="AH1249" s="175"/>
      <c r="AI1249" s="175"/>
    </row>
    <row r="1250">
      <c r="A1250" s="176">
        <v>46133.0</v>
      </c>
      <c r="B1250" s="177">
        <v>8445044.0</v>
      </c>
      <c r="C1250" s="178" t="s">
        <v>89</v>
      </c>
      <c r="D1250" s="178" t="s">
        <v>35</v>
      </c>
      <c r="E1250" s="177">
        <v>5.001303637E9</v>
      </c>
      <c r="F1250" s="178" t="s">
        <v>1861</v>
      </c>
      <c r="G1250" s="176">
        <v>46197.0</v>
      </c>
      <c r="H1250" s="179">
        <v>46199.0</v>
      </c>
      <c r="I1250" s="180">
        <v>2.0</v>
      </c>
      <c r="J1250" s="181" t="s">
        <v>78</v>
      </c>
      <c r="K1250" s="178" t="s">
        <v>79</v>
      </c>
      <c r="L1250" s="178" t="s">
        <v>80</v>
      </c>
      <c r="M1250" s="182">
        <v>0.0</v>
      </c>
      <c r="N1250" s="183">
        <v>0.0</v>
      </c>
      <c r="O1250" s="184">
        <v>0.0</v>
      </c>
      <c r="P1250" s="184">
        <v>0.0</v>
      </c>
      <c r="Q1250" s="185">
        <v>0.0</v>
      </c>
      <c r="R1250" s="186">
        <v>0.0</v>
      </c>
      <c r="S1250" s="186">
        <v>0.0</v>
      </c>
      <c r="T1250" s="186">
        <v>0.0</v>
      </c>
      <c r="U1250" s="187" t="s">
        <v>1863</v>
      </c>
      <c r="V1250" s="176">
        <v>46136.0</v>
      </c>
      <c r="W1250" s="164"/>
      <c r="X1250" s="164"/>
      <c r="Y1250" s="164"/>
      <c r="Z1250" s="164"/>
      <c r="AA1250" s="164"/>
      <c r="AB1250" s="164"/>
      <c r="AC1250" s="164"/>
      <c r="AD1250" s="164"/>
      <c r="AE1250" s="164"/>
      <c r="AF1250" s="164"/>
      <c r="AG1250" s="164"/>
      <c r="AH1250" s="164"/>
      <c r="AI1250" s="164"/>
    </row>
    <row r="1251">
      <c r="A1251" s="176">
        <v>46133.0</v>
      </c>
      <c r="B1251" s="177">
        <v>8445169.0</v>
      </c>
      <c r="C1251" s="178" t="s">
        <v>82</v>
      </c>
      <c r="D1251" s="178" t="s">
        <v>35</v>
      </c>
      <c r="E1251" s="177">
        <v>5.907927901E9</v>
      </c>
      <c r="F1251" s="178" t="s">
        <v>1867</v>
      </c>
      <c r="G1251" s="176">
        <v>46334.20833333333</v>
      </c>
      <c r="H1251" s="179">
        <v>46336.20833333333</v>
      </c>
      <c r="I1251" s="180">
        <v>2.0</v>
      </c>
      <c r="J1251" s="181" t="s">
        <v>78</v>
      </c>
      <c r="K1251" s="178" t="s">
        <v>79</v>
      </c>
      <c r="L1251" s="178" t="s">
        <v>80</v>
      </c>
      <c r="M1251" s="182">
        <v>2.0</v>
      </c>
      <c r="N1251" s="183">
        <v>0.19999999999999996</v>
      </c>
      <c r="O1251" s="184">
        <v>122.33</v>
      </c>
      <c r="P1251" s="184">
        <v>97.864</v>
      </c>
      <c r="Q1251" s="185">
        <v>0.0</v>
      </c>
      <c r="R1251" s="186">
        <v>195.728</v>
      </c>
      <c r="S1251" s="186">
        <v>0.0</v>
      </c>
      <c r="T1251" s="186">
        <v>254.66</v>
      </c>
      <c r="U1251" s="187" t="s">
        <v>107</v>
      </c>
      <c r="V1251" s="176">
        <v>46133.0</v>
      </c>
      <c r="W1251" s="175"/>
      <c r="X1251" s="175"/>
      <c r="Y1251" s="175"/>
      <c r="Z1251" s="175"/>
      <c r="AA1251" s="175"/>
      <c r="AB1251" s="175"/>
      <c r="AC1251" s="175"/>
      <c r="AD1251" s="175"/>
      <c r="AE1251" s="175"/>
      <c r="AF1251" s="175"/>
      <c r="AG1251" s="175"/>
      <c r="AH1251" s="175"/>
      <c r="AI1251" s="175"/>
    </row>
    <row r="1252">
      <c r="A1252" s="154">
        <v>46133.0</v>
      </c>
      <c r="B1252" s="155">
        <v>8446097.0</v>
      </c>
      <c r="C1252" s="156" t="s">
        <v>82</v>
      </c>
      <c r="D1252" s="156" t="s">
        <v>35</v>
      </c>
      <c r="E1252" s="155">
        <v>5.300135542E9</v>
      </c>
      <c r="F1252" s="156" t="s">
        <v>1870</v>
      </c>
      <c r="G1252" s="154">
        <v>46292.20833333333</v>
      </c>
      <c r="H1252" s="157">
        <v>46293.20833333333</v>
      </c>
      <c r="I1252" s="158">
        <v>1.0</v>
      </c>
      <c r="J1252" s="159" t="s">
        <v>78</v>
      </c>
      <c r="K1252" s="156" t="s">
        <v>79</v>
      </c>
      <c r="L1252" s="156" t="s">
        <v>80</v>
      </c>
      <c r="M1252" s="155">
        <v>2.0</v>
      </c>
      <c r="N1252" s="160">
        <v>0.19999999999999996</v>
      </c>
      <c r="O1252" s="161">
        <v>138.03</v>
      </c>
      <c r="P1252" s="161">
        <v>110.424</v>
      </c>
      <c r="Q1252" s="203">
        <v>0.0</v>
      </c>
      <c r="R1252" s="162">
        <v>110.424</v>
      </c>
      <c r="S1252" s="162">
        <v>0.0</v>
      </c>
      <c r="T1252" s="162">
        <v>143.03</v>
      </c>
      <c r="U1252" s="163" t="s">
        <v>353</v>
      </c>
      <c r="V1252" s="154">
        <v>46133.0</v>
      </c>
      <c r="W1252" s="164"/>
      <c r="X1252" s="164"/>
      <c r="Y1252" s="164"/>
      <c r="Z1252" s="164"/>
      <c r="AA1252" s="164"/>
      <c r="AB1252" s="164"/>
      <c r="AC1252" s="164"/>
      <c r="AD1252" s="164"/>
      <c r="AE1252" s="164"/>
      <c r="AF1252" s="164"/>
      <c r="AG1252" s="164"/>
      <c r="AH1252" s="164"/>
      <c r="AI1252" s="164"/>
    </row>
    <row r="1253">
      <c r="A1253" s="176">
        <v>46133.0</v>
      </c>
      <c r="B1253" s="177">
        <v>8446429.0</v>
      </c>
      <c r="C1253" s="178" t="s">
        <v>82</v>
      </c>
      <c r="D1253" s="178" t="s">
        <v>35</v>
      </c>
      <c r="E1253" s="177">
        <v>5.757796077E9</v>
      </c>
      <c r="F1253" s="178" t="s">
        <v>1875</v>
      </c>
      <c r="G1253" s="176">
        <v>46242.0</v>
      </c>
      <c r="H1253" s="179">
        <v>46245.0</v>
      </c>
      <c r="I1253" s="180">
        <v>3.0</v>
      </c>
      <c r="J1253" s="181" t="s">
        <v>78</v>
      </c>
      <c r="K1253" s="178" t="s">
        <v>79</v>
      </c>
      <c r="L1253" s="178" t="s">
        <v>80</v>
      </c>
      <c r="M1253" s="182">
        <v>3.0</v>
      </c>
      <c r="N1253" s="183">
        <v>0.19999999999999996</v>
      </c>
      <c r="O1253" s="184">
        <v>132.97</v>
      </c>
      <c r="P1253" s="184">
        <v>106.376</v>
      </c>
      <c r="Q1253" s="185">
        <v>0.0</v>
      </c>
      <c r="R1253" s="186">
        <v>319.12800000000004</v>
      </c>
      <c r="S1253" s="186">
        <v>0.0</v>
      </c>
      <c r="T1253" s="186">
        <v>398.91</v>
      </c>
      <c r="U1253" s="187" t="s">
        <v>107</v>
      </c>
      <c r="V1253" s="176">
        <v>46133.0</v>
      </c>
      <c r="W1253" s="175"/>
      <c r="X1253" s="175"/>
      <c r="Y1253" s="175"/>
      <c r="Z1253" s="175"/>
      <c r="AA1253" s="175"/>
      <c r="AB1253" s="175"/>
      <c r="AC1253" s="175"/>
      <c r="AD1253" s="175"/>
      <c r="AE1253" s="175"/>
      <c r="AF1253" s="175"/>
      <c r="AG1253" s="175"/>
      <c r="AH1253" s="175"/>
      <c r="AI1253" s="175"/>
    </row>
    <row r="1254">
      <c r="A1254" s="176">
        <v>46134.0</v>
      </c>
      <c r="B1254" s="177">
        <v>8447786.0</v>
      </c>
      <c r="C1254" s="178" t="s">
        <v>82</v>
      </c>
      <c r="D1254" s="178" t="s">
        <v>94</v>
      </c>
      <c r="E1254" s="177">
        <v>8447786.0</v>
      </c>
      <c r="F1254" s="178" t="s">
        <v>1879</v>
      </c>
      <c r="G1254" s="176">
        <v>46134.0</v>
      </c>
      <c r="H1254" s="179">
        <v>46138.0</v>
      </c>
      <c r="I1254" s="180">
        <v>4.0</v>
      </c>
      <c r="J1254" s="181" t="s">
        <v>87</v>
      </c>
      <c r="K1254" s="178" t="s">
        <v>79</v>
      </c>
      <c r="L1254" s="178" t="s">
        <v>96</v>
      </c>
      <c r="M1254" s="182">
        <v>2.0</v>
      </c>
      <c r="N1254" s="183">
        <v>0.0</v>
      </c>
      <c r="O1254" s="184">
        <v>210.24</v>
      </c>
      <c r="P1254" s="184">
        <v>210.24</v>
      </c>
      <c r="Q1254" s="185">
        <v>0.0</v>
      </c>
      <c r="R1254" s="186">
        <v>840.96</v>
      </c>
      <c r="S1254" s="186">
        <v>0.0</v>
      </c>
      <c r="T1254" s="186">
        <v>860.96</v>
      </c>
      <c r="U1254" s="187" t="s">
        <v>97</v>
      </c>
      <c r="V1254" s="176">
        <v>46134.0</v>
      </c>
      <c r="W1254" s="175"/>
      <c r="X1254" s="175"/>
      <c r="Y1254" s="175"/>
      <c r="Z1254" s="175"/>
      <c r="AA1254" s="175"/>
      <c r="AB1254" s="175"/>
      <c r="AC1254" s="175"/>
      <c r="AD1254" s="175"/>
      <c r="AE1254" s="175"/>
      <c r="AF1254" s="175"/>
      <c r="AG1254" s="175"/>
      <c r="AH1254" s="175"/>
      <c r="AI1254" s="175"/>
    </row>
    <row r="1255">
      <c r="A1255" s="176">
        <v>46134.0</v>
      </c>
      <c r="B1255" s="177">
        <v>8447801.0</v>
      </c>
      <c r="C1255" s="178" t="s">
        <v>82</v>
      </c>
      <c r="D1255" s="178" t="s">
        <v>94</v>
      </c>
      <c r="E1255" s="177">
        <v>8447801.0</v>
      </c>
      <c r="F1255" s="178" t="s">
        <v>1883</v>
      </c>
      <c r="G1255" s="176">
        <v>46134.0</v>
      </c>
      <c r="H1255" s="179">
        <v>46138.0</v>
      </c>
      <c r="I1255" s="180">
        <v>4.0</v>
      </c>
      <c r="J1255" s="181" t="s">
        <v>78</v>
      </c>
      <c r="K1255" s="178" t="s">
        <v>79</v>
      </c>
      <c r="L1255" s="178" t="s">
        <v>96</v>
      </c>
      <c r="M1255" s="182">
        <v>2.0</v>
      </c>
      <c r="N1255" s="183">
        <v>0.0</v>
      </c>
      <c r="O1255" s="184">
        <v>239.76</v>
      </c>
      <c r="P1255" s="184">
        <v>239.76</v>
      </c>
      <c r="Q1255" s="185">
        <v>0.0</v>
      </c>
      <c r="R1255" s="186">
        <v>959.04</v>
      </c>
      <c r="S1255" s="186">
        <v>0.0</v>
      </c>
      <c r="T1255" s="186">
        <v>979.04</v>
      </c>
      <c r="U1255" s="187" t="s">
        <v>97</v>
      </c>
      <c r="V1255" s="176">
        <v>46134.0</v>
      </c>
      <c r="W1255" s="164"/>
      <c r="X1255" s="164"/>
      <c r="Y1255" s="164"/>
      <c r="Z1255" s="164"/>
      <c r="AA1255" s="164"/>
      <c r="AB1255" s="164"/>
      <c r="AC1255" s="164"/>
      <c r="AD1255" s="164"/>
      <c r="AE1255" s="164"/>
      <c r="AF1255" s="164"/>
      <c r="AG1255" s="164"/>
      <c r="AH1255" s="164"/>
      <c r="AI1255" s="164"/>
    </row>
    <row r="1256">
      <c r="A1256" s="176">
        <v>46134.0</v>
      </c>
      <c r="B1256" s="177">
        <v>8447946.0</v>
      </c>
      <c r="C1256" s="178" t="s">
        <v>89</v>
      </c>
      <c r="D1256" s="178" t="s">
        <v>35</v>
      </c>
      <c r="E1256" s="177">
        <v>6.829360351E9</v>
      </c>
      <c r="F1256" s="178" t="s">
        <v>1888</v>
      </c>
      <c r="G1256" s="176">
        <v>46274.0</v>
      </c>
      <c r="H1256" s="179">
        <v>46280.0</v>
      </c>
      <c r="I1256" s="180">
        <v>6.0</v>
      </c>
      <c r="J1256" s="181" t="s">
        <v>114</v>
      </c>
      <c r="K1256" s="178" t="s">
        <v>79</v>
      </c>
      <c r="L1256" s="178" t="s">
        <v>80</v>
      </c>
      <c r="M1256" s="182">
        <v>0.0</v>
      </c>
      <c r="N1256" s="183">
        <v>0.0</v>
      </c>
      <c r="O1256" s="184">
        <v>0.0</v>
      </c>
      <c r="P1256" s="184">
        <v>0.0</v>
      </c>
      <c r="Q1256" s="185">
        <v>0.0</v>
      </c>
      <c r="R1256" s="186">
        <v>0.0</v>
      </c>
      <c r="S1256" s="186">
        <v>0.0</v>
      </c>
      <c r="T1256" s="186">
        <v>0.0</v>
      </c>
      <c r="U1256" s="187" t="s">
        <v>1891</v>
      </c>
      <c r="V1256" s="176">
        <v>46237.0</v>
      </c>
      <c r="W1256" s="188"/>
      <c r="X1256" s="188"/>
      <c r="Y1256" s="188"/>
      <c r="Z1256" s="188"/>
      <c r="AA1256" s="188"/>
      <c r="AB1256" s="188"/>
      <c r="AC1256" s="188"/>
      <c r="AD1256" s="188"/>
      <c r="AE1256" s="188"/>
      <c r="AF1256" s="188"/>
      <c r="AG1256" s="188"/>
      <c r="AH1256" s="188"/>
      <c r="AI1256" s="188"/>
    </row>
    <row r="1257">
      <c r="A1257" s="176">
        <v>46134.0</v>
      </c>
      <c r="B1257" s="177">
        <v>8447949.0</v>
      </c>
      <c r="C1257" s="178" t="s">
        <v>82</v>
      </c>
      <c r="D1257" s="178" t="s">
        <v>35</v>
      </c>
      <c r="E1257" s="177">
        <v>5.868850896E9</v>
      </c>
      <c r="F1257" s="178" t="s">
        <v>1895</v>
      </c>
      <c r="G1257" s="176">
        <v>46343.20833333333</v>
      </c>
      <c r="H1257" s="179">
        <v>46346.20833333333</v>
      </c>
      <c r="I1257" s="180">
        <v>3.0</v>
      </c>
      <c r="J1257" s="181" t="s">
        <v>87</v>
      </c>
      <c r="K1257" s="178" t="s">
        <v>79</v>
      </c>
      <c r="L1257" s="178" t="s">
        <v>80</v>
      </c>
      <c r="M1257" s="182">
        <v>2.0</v>
      </c>
      <c r="N1257" s="183">
        <v>0.19999999999999996</v>
      </c>
      <c r="O1257" s="184">
        <v>155.72</v>
      </c>
      <c r="P1257" s="184">
        <v>124.57600000000001</v>
      </c>
      <c r="Q1257" s="185">
        <v>0.0</v>
      </c>
      <c r="R1257" s="186">
        <v>373.728</v>
      </c>
      <c r="S1257" s="186">
        <v>0.0</v>
      </c>
      <c r="T1257" s="186">
        <v>467.16</v>
      </c>
      <c r="U1257" s="187" t="s">
        <v>353</v>
      </c>
      <c r="V1257" s="176">
        <v>46134.0</v>
      </c>
      <c r="W1257" s="164"/>
      <c r="X1257" s="164"/>
      <c r="Y1257" s="164"/>
      <c r="Z1257" s="164"/>
      <c r="AA1257" s="164"/>
      <c r="AB1257" s="164"/>
      <c r="AC1257" s="164"/>
      <c r="AD1257" s="164"/>
      <c r="AE1257" s="164"/>
      <c r="AF1257" s="164"/>
      <c r="AG1257" s="164"/>
      <c r="AH1257" s="164"/>
      <c r="AI1257" s="164"/>
    </row>
    <row r="1258">
      <c r="A1258" s="176">
        <v>46134.0</v>
      </c>
      <c r="B1258" s="177">
        <v>8448913.0</v>
      </c>
      <c r="C1258" s="178" t="s">
        <v>82</v>
      </c>
      <c r="D1258" s="178" t="s">
        <v>35</v>
      </c>
      <c r="E1258" s="177">
        <v>5.549135219E9</v>
      </c>
      <c r="F1258" s="178" t="s">
        <v>1899</v>
      </c>
      <c r="G1258" s="176">
        <v>46335.20833333333</v>
      </c>
      <c r="H1258" s="179">
        <v>46339.20833333333</v>
      </c>
      <c r="I1258" s="180">
        <v>4.0</v>
      </c>
      <c r="J1258" s="181" t="s">
        <v>111</v>
      </c>
      <c r="K1258" s="178" t="s">
        <v>79</v>
      </c>
      <c r="L1258" s="178" t="s">
        <v>80</v>
      </c>
      <c r="M1258" s="182">
        <v>2.0</v>
      </c>
      <c r="N1258" s="183">
        <v>0.19999999999999996</v>
      </c>
      <c r="O1258" s="184">
        <v>217.28</v>
      </c>
      <c r="P1258" s="184">
        <v>173.824</v>
      </c>
      <c r="Q1258" s="185">
        <v>0.0</v>
      </c>
      <c r="R1258" s="186">
        <v>695.296</v>
      </c>
      <c r="S1258" s="186">
        <v>0.0</v>
      </c>
      <c r="T1258" s="186">
        <v>889.12</v>
      </c>
      <c r="U1258" s="187" t="s">
        <v>353</v>
      </c>
      <c r="V1258" s="176">
        <v>46134.0</v>
      </c>
      <c r="W1258" s="175"/>
      <c r="X1258" s="175"/>
      <c r="Y1258" s="175"/>
      <c r="Z1258" s="175"/>
      <c r="AA1258" s="175"/>
      <c r="AB1258" s="175"/>
      <c r="AC1258" s="175"/>
      <c r="AD1258" s="175"/>
      <c r="AE1258" s="175"/>
      <c r="AF1258" s="175"/>
      <c r="AG1258" s="175"/>
      <c r="AH1258" s="175"/>
      <c r="AI1258" s="175"/>
    </row>
    <row r="1259">
      <c r="A1259" s="176">
        <v>46134.0</v>
      </c>
      <c r="B1259" s="177">
        <v>8450549.0</v>
      </c>
      <c r="C1259" s="178" t="s">
        <v>82</v>
      </c>
      <c r="D1259" s="178" t="s">
        <v>35</v>
      </c>
      <c r="E1259" s="177">
        <v>5.909221678E9</v>
      </c>
      <c r="F1259" s="178" t="s">
        <v>1903</v>
      </c>
      <c r="G1259" s="176">
        <v>46327.20833333333</v>
      </c>
      <c r="H1259" s="179">
        <v>46330.20833333333</v>
      </c>
      <c r="I1259" s="180">
        <v>3.0</v>
      </c>
      <c r="J1259" s="181" t="s">
        <v>78</v>
      </c>
      <c r="K1259" s="178" t="s">
        <v>79</v>
      </c>
      <c r="L1259" s="178" t="s">
        <v>80</v>
      </c>
      <c r="M1259" s="182">
        <v>2.0</v>
      </c>
      <c r="N1259" s="183">
        <v>0.19999999999999996</v>
      </c>
      <c r="O1259" s="184">
        <v>140.54</v>
      </c>
      <c r="P1259" s="184">
        <v>112.432</v>
      </c>
      <c r="Q1259" s="185">
        <v>0.0</v>
      </c>
      <c r="R1259" s="186">
        <v>337.296</v>
      </c>
      <c r="S1259" s="186">
        <v>0.0</v>
      </c>
      <c r="T1259" s="186">
        <v>436.62</v>
      </c>
      <c r="U1259" s="187" t="s">
        <v>107</v>
      </c>
      <c r="V1259" s="176">
        <v>46134.0</v>
      </c>
      <c r="W1259" s="164"/>
      <c r="X1259" s="164"/>
      <c r="Y1259" s="164"/>
      <c r="Z1259" s="164"/>
      <c r="AA1259" s="164"/>
      <c r="AB1259" s="164"/>
      <c r="AC1259" s="164"/>
      <c r="AD1259" s="164"/>
      <c r="AE1259" s="164"/>
      <c r="AF1259" s="164"/>
      <c r="AG1259" s="164"/>
      <c r="AH1259" s="164"/>
      <c r="AI1259" s="164"/>
    </row>
    <row r="1260">
      <c r="A1260" s="176">
        <v>46135.0</v>
      </c>
      <c r="B1260" s="177">
        <v>8451319.0</v>
      </c>
      <c r="C1260" s="178" t="s">
        <v>82</v>
      </c>
      <c r="D1260" s="178" t="s">
        <v>35</v>
      </c>
      <c r="E1260" s="177">
        <v>6.154054902E9</v>
      </c>
      <c r="F1260" s="178" t="s">
        <v>1906</v>
      </c>
      <c r="G1260" s="176">
        <v>46141.0</v>
      </c>
      <c r="H1260" s="179">
        <v>46142.0</v>
      </c>
      <c r="I1260" s="180">
        <v>1.0</v>
      </c>
      <c r="J1260" s="181" t="s">
        <v>78</v>
      </c>
      <c r="K1260" s="178" t="s">
        <v>79</v>
      </c>
      <c r="L1260" s="178" t="s">
        <v>80</v>
      </c>
      <c r="M1260" s="182">
        <v>2.0</v>
      </c>
      <c r="N1260" s="183">
        <v>0.19999999999999996</v>
      </c>
      <c r="O1260" s="184">
        <v>189.41</v>
      </c>
      <c r="P1260" s="184">
        <v>151.528</v>
      </c>
      <c r="Q1260" s="185">
        <v>0.0</v>
      </c>
      <c r="R1260" s="186">
        <v>151.528</v>
      </c>
      <c r="S1260" s="186">
        <v>0.0</v>
      </c>
      <c r="T1260" s="186">
        <v>194.41</v>
      </c>
      <c r="U1260" s="187" t="s">
        <v>1441</v>
      </c>
      <c r="V1260" s="176">
        <v>46135.0</v>
      </c>
      <c r="W1260" s="164"/>
      <c r="X1260" s="164"/>
      <c r="Y1260" s="164"/>
      <c r="Z1260" s="164"/>
      <c r="AA1260" s="164"/>
      <c r="AB1260" s="164"/>
      <c r="AC1260" s="164"/>
      <c r="AD1260" s="164"/>
      <c r="AE1260" s="164"/>
      <c r="AF1260" s="164"/>
      <c r="AG1260" s="164"/>
      <c r="AH1260" s="164"/>
      <c r="AI1260" s="164"/>
    </row>
    <row r="1261">
      <c r="A1261" s="176">
        <v>46135.0</v>
      </c>
      <c r="B1261" s="177">
        <v>8451323.0</v>
      </c>
      <c r="C1261" s="178" t="s">
        <v>82</v>
      </c>
      <c r="D1261" s="178" t="s">
        <v>35</v>
      </c>
      <c r="E1261" s="177">
        <v>5.649123452E9</v>
      </c>
      <c r="F1261" s="178" t="s">
        <v>1910</v>
      </c>
      <c r="G1261" s="176">
        <v>46166.0</v>
      </c>
      <c r="H1261" s="179">
        <v>46167.0</v>
      </c>
      <c r="I1261" s="180">
        <v>1.0</v>
      </c>
      <c r="J1261" s="181" t="s">
        <v>114</v>
      </c>
      <c r="K1261" s="178" t="s">
        <v>79</v>
      </c>
      <c r="L1261" s="178" t="s">
        <v>80</v>
      </c>
      <c r="M1261" s="182">
        <v>2.0</v>
      </c>
      <c r="N1261" s="183">
        <v>0.19999999999999996</v>
      </c>
      <c r="O1261" s="184">
        <v>211.95</v>
      </c>
      <c r="P1261" s="184">
        <v>169.56</v>
      </c>
      <c r="Q1261" s="185">
        <v>0.0</v>
      </c>
      <c r="R1261" s="186">
        <v>169.56</v>
      </c>
      <c r="S1261" s="186">
        <v>0.0</v>
      </c>
      <c r="T1261" s="186">
        <v>216.95</v>
      </c>
      <c r="U1261" s="187" t="s">
        <v>88</v>
      </c>
      <c r="V1261" s="176">
        <v>46135.0</v>
      </c>
      <c r="W1261" s="175"/>
      <c r="X1261" s="175"/>
      <c r="Y1261" s="175"/>
      <c r="Z1261" s="175"/>
      <c r="AA1261" s="175"/>
      <c r="AB1261" s="175"/>
      <c r="AC1261" s="175"/>
      <c r="AD1261" s="175"/>
      <c r="AE1261" s="175"/>
      <c r="AF1261" s="175"/>
      <c r="AG1261" s="175"/>
      <c r="AH1261" s="175"/>
      <c r="AI1261" s="175"/>
    </row>
    <row r="1262">
      <c r="A1262" s="176">
        <v>46135.0</v>
      </c>
      <c r="B1262" s="177">
        <v>8451618.0</v>
      </c>
      <c r="C1262" s="178" t="s">
        <v>82</v>
      </c>
      <c r="D1262" s="178" t="s">
        <v>35</v>
      </c>
      <c r="E1262" s="177">
        <v>6.60035505E9</v>
      </c>
      <c r="F1262" s="178" t="s">
        <v>1895</v>
      </c>
      <c r="G1262" s="176">
        <v>46346.20833333333</v>
      </c>
      <c r="H1262" s="179">
        <v>46347.20833333333</v>
      </c>
      <c r="I1262" s="180">
        <v>1.0</v>
      </c>
      <c r="J1262" s="181" t="s">
        <v>78</v>
      </c>
      <c r="K1262" s="178" t="s">
        <v>79</v>
      </c>
      <c r="L1262" s="178" t="s">
        <v>80</v>
      </c>
      <c r="M1262" s="182">
        <v>2.0</v>
      </c>
      <c r="N1262" s="183">
        <v>0.19999999999999996</v>
      </c>
      <c r="O1262" s="184">
        <v>114.89</v>
      </c>
      <c r="P1262" s="184">
        <v>91.912</v>
      </c>
      <c r="Q1262" s="185">
        <v>0.0</v>
      </c>
      <c r="R1262" s="186">
        <v>91.912</v>
      </c>
      <c r="S1262" s="186">
        <v>0.0</v>
      </c>
      <c r="T1262" s="186">
        <v>119.89</v>
      </c>
      <c r="U1262" s="187" t="s">
        <v>107</v>
      </c>
      <c r="V1262" s="176">
        <v>46135.0</v>
      </c>
      <c r="W1262" s="175"/>
      <c r="X1262" s="175"/>
      <c r="Y1262" s="175"/>
      <c r="Z1262" s="175"/>
      <c r="AA1262" s="175"/>
      <c r="AB1262" s="175"/>
      <c r="AC1262" s="175"/>
      <c r="AD1262" s="175"/>
      <c r="AE1262" s="175"/>
      <c r="AF1262" s="175"/>
      <c r="AG1262" s="175"/>
      <c r="AH1262" s="175"/>
      <c r="AI1262" s="175"/>
    </row>
    <row r="1263">
      <c r="A1263" s="176">
        <v>46135.0</v>
      </c>
      <c r="B1263" s="177">
        <v>8452921.0</v>
      </c>
      <c r="C1263" s="178" t="s">
        <v>82</v>
      </c>
      <c r="D1263" s="178" t="s">
        <v>12</v>
      </c>
      <c r="E1263" s="177" t="s">
        <v>1915</v>
      </c>
      <c r="F1263" s="178" t="s">
        <v>1916</v>
      </c>
      <c r="G1263" s="176">
        <v>46318.20833333333</v>
      </c>
      <c r="H1263" s="179">
        <v>46321.20833333333</v>
      </c>
      <c r="I1263" s="180">
        <v>3.0</v>
      </c>
      <c r="J1263" s="181" t="s">
        <v>1016</v>
      </c>
      <c r="K1263" s="178" t="s">
        <v>79</v>
      </c>
      <c r="L1263" s="178" t="s">
        <v>123</v>
      </c>
      <c r="M1263" s="182">
        <v>4.0</v>
      </c>
      <c r="N1263" s="183">
        <v>0.0</v>
      </c>
      <c r="O1263" s="184">
        <v>471.92</v>
      </c>
      <c r="P1263" s="184">
        <v>377.53600000000006</v>
      </c>
      <c r="Q1263" s="185">
        <v>0.0</v>
      </c>
      <c r="R1263" s="186">
        <v>1132.6080000000002</v>
      </c>
      <c r="S1263" s="186">
        <v>0.0</v>
      </c>
      <c r="T1263" s="186" t="s">
        <v>127</v>
      </c>
      <c r="U1263" s="187" t="s">
        <v>1919</v>
      </c>
      <c r="V1263" s="176">
        <v>46135.0</v>
      </c>
      <c r="W1263" s="164"/>
      <c r="X1263" s="164"/>
      <c r="Y1263" s="164"/>
      <c r="Z1263" s="164"/>
      <c r="AA1263" s="164"/>
      <c r="AB1263" s="164"/>
      <c r="AC1263" s="164"/>
      <c r="AD1263" s="164"/>
      <c r="AE1263" s="164"/>
      <c r="AF1263" s="164"/>
      <c r="AG1263" s="164"/>
      <c r="AH1263" s="164"/>
      <c r="AI1263" s="164"/>
    </row>
    <row r="1264">
      <c r="A1264" s="176">
        <v>46135.0</v>
      </c>
      <c r="B1264" s="177">
        <v>8453290.0</v>
      </c>
      <c r="C1264" s="178" t="s">
        <v>82</v>
      </c>
      <c r="D1264" s="178" t="s">
        <v>35</v>
      </c>
      <c r="E1264" s="177">
        <v>6.1540323E9</v>
      </c>
      <c r="F1264" s="178" t="s">
        <v>1922</v>
      </c>
      <c r="G1264" s="176">
        <v>46154.0</v>
      </c>
      <c r="H1264" s="179">
        <v>46157.0</v>
      </c>
      <c r="I1264" s="180">
        <v>3.0</v>
      </c>
      <c r="J1264" s="181" t="s">
        <v>111</v>
      </c>
      <c r="K1264" s="178" t="s">
        <v>79</v>
      </c>
      <c r="L1264" s="178" t="s">
        <v>80</v>
      </c>
      <c r="M1264" s="182">
        <v>3.0</v>
      </c>
      <c r="N1264" s="183">
        <v>0.19999999999999996</v>
      </c>
      <c r="O1264" s="184">
        <v>247.62</v>
      </c>
      <c r="P1264" s="184">
        <v>198.096</v>
      </c>
      <c r="Q1264" s="185">
        <v>0.0</v>
      </c>
      <c r="R1264" s="186">
        <v>594.288</v>
      </c>
      <c r="S1264" s="186">
        <v>0.0</v>
      </c>
      <c r="T1264" s="186">
        <v>765.36</v>
      </c>
      <c r="U1264" s="187" t="s">
        <v>1367</v>
      </c>
      <c r="V1264" s="176">
        <v>46135.0</v>
      </c>
      <c r="W1264" s="164"/>
      <c r="X1264" s="164"/>
      <c r="Y1264" s="164"/>
      <c r="Z1264" s="164"/>
      <c r="AA1264" s="164"/>
      <c r="AB1264" s="164"/>
      <c r="AC1264" s="164"/>
      <c r="AD1264" s="164"/>
      <c r="AE1264" s="164"/>
      <c r="AF1264" s="164"/>
      <c r="AG1264" s="164"/>
      <c r="AH1264" s="164"/>
      <c r="AI1264" s="164"/>
    </row>
    <row r="1265">
      <c r="A1265" s="176">
        <v>46135.0</v>
      </c>
      <c r="B1265" s="177">
        <v>8453612.0</v>
      </c>
      <c r="C1265" s="178" t="s">
        <v>82</v>
      </c>
      <c r="D1265" s="178" t="s">
        <v>35</v>
      </c>
      <c r="E1265" s="177">
        <v>6.752745029E9</v>
      </c>
      <c r="F1265" s="178" t="s">
        <v>1923</v>
      </c>
      <c r="G1265" s="176">
        <v>46390.20833333333</v>
      </c>
      <c r="H1265" s="179">
        <v>46393.20833333333</v>
      </c>
      <c r="I1265" s="180">
        <v>3.0</v>
      </c>
      <c r="J1265" s="181" t="s">
        <v>78</v>
      </c>
      <c r="K1265" s="178" t="s">
        <v>79</v>
      </c>
      <c r="L1265" s="178" t="s">
        <v>80</v>
      </c>
      <c r="M1265" s="182">
        <v>2.0</v>
      </c>
      <c r="N1265" s="183">
        <v>0.19999999999999996</v>
      </c>
      <c r="O1265" s="184">
        <v>200.51999999999998</v>
      </c>
      <c r="P1265" s="184">
        <v>160.416</v>
      </c>
      <c r="Q1265" s="185">
        <v>0.0</v>
      </c>
      <c r="R1265" s="186">
        <v>481.248</v>
      </c>
      <c r="S1265" s="186">
        <v>0.0</v>
      </c>
      <c r="T1265" s="186">
        <v>601.56</v>
      </c>
      <c r="U1265" s="187" t="s">
        <v>353</v>
      </c>
      <c r="V1265" s="176">
        <v>46135.0</v>
      </c>
      <c r="W1265" s="175"/>
      <c r="X1265" s="175"/>
      <c r="Y1265" s="175"/>
      <c r="Z1265" s="175"/>
      <c r="AA1265" s="175"/>
      <c r="AB1265" s="175"/>
      <c r="AC1265" s="175"/>
      <c r="AD1265" s="175"/>
      <c r="AE1265" s="175"/>
      <c r="AF1265" s="175"/>
      <c r="AG1265" s="175"/>
      <c r="AH1265" s="175"/>
      <c r="AI1265" s="175"/>
    </row>
    <row r="1266">
      <c r="A1266" s="176">
        <v>46135.0</v>
      </c>
      <c r="B1266" s="177">
        <v>8454211.0</v>
      </c>
      <c r="C1266" s="178" t="s">
        <v>82</v>
      </c>
      <c r="D1266" s="178" t="s">
        <v>35</v>
      </c>
      <c r="E1266" s="177">
        <v>6.96217782E9</v>
      </c>
      <c r="F1266" s="178" t="s">
        <v>1927</v>
      </c>
      <c r="G1266" s="176">
        <v>46191.0</v>
      </c>
      <c r="H1266" s="179">
        <v>46193.0</v>
      </c>
      <c r="I1266" s="180">
        <v>2.0</v>
      </c>
      <c r="J1266" s="181" t="s">
        <v>114</v>
      </c>
      <c r="K1266" s="178" t="s">
        <v>79</v>
      </c>
      <c r="L1266" s="178" t="s">
        <v>80</v>
      </c>
      <c r="M1266" s="182">
        <v>2.0</v>
      </c>
      <c r="N1266" s="183">
        <v>0.19999999999999996</v>
      </c>
      <c r="O1266" s="184">
        <v>136.29</v>
      </c>
      <c r="P1266" s="184">
        <v>109.032</v>
      </c>
      <c r="Q1266" s="185">
        <v>0.0</v>
      </c>
      <c r="R1266" s="186">
        <v>218.064</v>
      </c>
      <c r="S1266" s="186">
        <v>0.0</v>
      </c>
      <c r="T1266" s="186">
        <v>282.58</v>
      </c>
      <c r="U1266" s="187" t="s">
        <v>107</v>
      </c>
      <c r="V1266" s="176">
        <v>46135.0</v>
      </c>
      <c r="W1266" s="164"/>
      <c r="X1266" s="164"/>
      <c r="Y1266" s="164"/>
      <c r="Z1266" s="164"/>
      <c r="AA1266" s="164"/>
      <c r="AB1266" s="164"/>
      <c r="AC1266" s="164"/>
      <c r="AD1266" s="164"/>
      <c r="AE1266" s="164"/>
      <c r="AF1266" s="164"/>
      <c r="AG1266" s="164"/>
      <c r="AH1266" s="164"/>
      <c r="AI1266" s="164"/>
    </row>
    <row r="1267">
      <c r="A1267" s="176">
        <v>46135.0</v>
      </c>
      <c r="B1267" s="177">
        <v>8455130.0</v>
      </c>
      <c r="C1267" s="178" t="s">
        <v>82</v>
      </c>
      <c r="D1267" s="178" t="s">
        <v>35</v>
      </c>
      <c r="E1267" s="177">
        <v>6.079221986E9</v>
      </c>
      <c r="F1267" s="178" t="s">
        <v>1932</v>
      </c>
      <c r="G1267" s="176">
        <v>46215.0</v>
      </c>
      <c r="H1267" s="179">
        <v>46218.0</v>
      </c>
      <c r="I1267" s="180">
        <v>3.0</v>
      </c>
      <c r="J1267" s="181" t="s">
        <v>78</v>
      </c>
      <c r="K1267" s="178" t="s">
        <v>79</v>
      </c>
      <c r="L1267" s="178" t="s">
        <v>80</v>
      </c>
      <c r="M1267" s="182">
        <v>2.0</v>
      </c>
      <c r="N1267" s="183">
        <v>0.19999999999999996</v>
      </c>
      <c r="O1267" s="184">
        <v>137.43</v>
      </c>
      <c r="P1267" s="184">
        <v>109.94400000000002</v>
      </c>
      <c r="Q1267" s="185">
        <v>0.0</v>
      </c>
      <c r="R1267" s="186">
        <v>329.83200000000005</v>
      </c>
      <c r="S1267" s="186">
        <v>0.0</v>
      </c>
      <c r="T1267" s="186">
        <v>427.29</v>
      </c>
      <c r="U1267" s="187" t="s">
        <v>143</v>
      </c>
      <c r="V1267" s="176">
        <v>46135.0</v>
      </c>
      <c r="W1267" s="175"/>
      <c r="X1267" s="175"/>
      <c r="Y1267" s="175"/>
      <c r="Z1267" s="175"/>
      <c r="AA1267" s="175"/>
      <c r="AB1267" s="175"/>
      <c r="AC1267" s="175"/>
      <c r="AD1267" s="175"/>
      <c r="AE1267" s="175"/>
      <c r="AF1267" s="175"/>
      <c r="AG1267" s="175"/>
      <c r="AH1267" s="175"/>
      <c r="AI1267" s="175"/>
    </row>
    <row r="1268">
      <c r="A1268" s="176">
        <v>46136.0</v>
      </c>
      <c r="B1268" s="177">
        <v>8457243.0</v>
      </c>
      <c r="C1268" s="178" t="s">
        <v>89</v>
      </c>
      <c r="D1268" s="178" t="s">
        <v>35</v>
      </c>
      <c r="E1268" s="177">
        <v>6.184343564E9</v>
      </c>
      <c r="F1268" s="178" t="s">
        <v>1935</v>
      </c>
      <c r="G1268" s="176">
        <v>46183.0</v>
      </c>
      <c r="H1268" s="179">
        <v>46187.0</v>
      </c>
      <c r="I1268" s="180">
        <v>4.0</v>
      </c>
      <c r="J1268" s="181" t="s">
        <v>111</v>
      </c>
      <c r="K1268" s="178" t="s">
        <v>79</v>
      </c>
      <c r="L1268" s="178" t="s">
        <v>80</v>
      </c>
      <c r="M1268" s="182">
        <v>0.0</v>
      </c>
      <c r="N1268" s="183">
        <v>0.0</v>
      </c>
      <c r="O1268" s="184">
        <v>0.0</v>
      </c>
      <c r="P1268" s="184">
        <v>0.0</v>
      </c>
      <c r="Q1268" s="185">
        <v>0.0</v>
      </c>
      <c r="R1268" s="186">
        <v>0.0</v>
      </c>
      <c r="S1268" s="186">
        <v>0.0</v>
      </c>
      <c r="T1268" s="186">
        <v>0.0</v>
      </c>
      <c r="U1268" s="187" t="s">
        <v>1939</v>
      </c>
      <c r="V1268" s="176">
        <v>46151.0</v>
      </c>
      <c r="W1268" s="175"/>
      <c r="X1268" s="175"/>
      <c r="Y1268" s="175"/>
      <c r="Z1268" s="175"/>
      <c r="AA1268" s="175"/>
      <c r="AB1268" s="175"/>
      <c r="AC1268" s="175"/>
      <c r="AD1268" s="175"/>
      <c r="AE1268" s="175"/>
      <c r="AF1268" s="175"/>
      <c r="AG1268" s="175"/>
      <c r="AH1268" s="175"/>
      <c r="AI1268" s="175"/>
    </row>
    <row r="1269">
      <c r="A1269" s="176">
        <v>46136.0</v>
      </c>
      <c r="B1269" s="177">
        <v>8457764.0</v>
      </c>
      <c r="C1269" s="178" t="s">
        <v>82</v>
      </c>
      <c r="D1269" s="178" t="s">
        <v>109</v>
      </c>
      <c r="E1269" s="177">
        <v>6.52733779E8</v>
      </c>
      <c r="F1269" s="178" t="s">
        <v>1942</v>
      </c>
      <c r="G1269" s="176">
        <v>46142.0</v>
      </c>
      <c r="H1269" s="179">
        <v>46143.0</v>
      </c>
      <c r="I1269" s="180">
        <v>1.0</v>
      </c>
      <c r="J1269" s="181" t="s">
        <v>78</v>
      </c>
      <c r="K1269" s="178" t="s">
        <v>79</v>
      </c>
      <c r="L1269" s="178" t="s">
        <v>96</v>
      </c>
      <c r="M1269" s="182">
        <v>2.0</v>
      </c>
      <c r="N1269" s="183">
        <v>0.19999999999999996</v>
      </c>
      <c r="O1269" s="184">
        <v>212.29</v>
      </c>
      <c r="P1269" s="184">
        <v>169.832</v>
      </c>
      <c r="Q1269" s="185">
        <v>0.0</v>
      </c>
      <c r="R1269" s="186">
        <v>169.832</v>
      </c>
      <c r="S1269" s="186">
        <v>0.0</v>
      </c>
      <c r="T1269" s="186">
        <v>212.29</v>
      </c>
      <c r="U1269" s="187" t="s">
        <v>1464</v>
      </c>
      <c r="V1269" s="176">
        <v>46136.0</v>
      </c>
      <c r="W1269" s="175"/>
      <c r="X1269" s="175"/>
      <c r="Y1269" s="175"/>
      <c r="Z1269" s="175"/>
      <c r="AA1269" s="175"/>
      <c r="AB1269" s="175"/>
      <c r="AC1269" s="175"/>
      <c r="AD1269" s="175"/>
      <c r="AE1269" s="175"/>
      <c r="AF1269" s="175"/>
      <c r="AG1269" s="175"/>
      <c r="AH1269" s="175"/>
      <c r="AI1269" s="175"/>
    </row>
    <row r="1270">
      <c r="A1270" s="176">
        <v>46136.0</v>
      </c>
      <c r="B1270" s="177">
        <v>8459000.0</v>
      </c>
      <c r="C1270" s="178" t="s">
        <v>82</v>
      </c>
      <c r="D1270" s="178" t="s">
        <v>35</v>
      </c>
      <c r="E1270" s="177">
        <v>6.450389241E9</v>
      </c>
      <c r="F1270" s="178" t="s">
        <v>1945</v>
      </c>
      <c r="G1270" s="176">
        <v>46167.0</v>
      </c>
      <c r="H1270" s="179">
        <v>46169.0</v>
      </c>
      <c r="I1270" s="180">
        <v>2.0</v>
      </c>
      <c r="J1270" s="181" t="s">
        <v>78</v>
      </c>
      <c r="K1270" s="178" t="s">
        <v>79</v>
      </c>
      <c r="L1270" s="178" t="s">
        <v>80</v>
      </c>
      <c r="M1270" s="182">
        <v>1.0</v>
      </c>
      <c r="N1270" s="183">
        <v>0.19999999999999996</v>
      </c>
      <c r="O1270" s="184">
        <v>178.58</v>
      </c>
      <c r="P1270" s="184">
        <v>142.864</v>
      </c>
      <c r="Q1270" s="185">
        <v>0.0</v>
      </c>
      <c r="R1270" s="186">
        <v>285.728</v>
      </c>
      <c r="S1270" s="186">
        <v>0.0</v>
      </c>
      <c r="T1270" s="186">
        <v>362.16</v>
      </c>
      <c r="U1270" s="187" t="s">
        <v>1367</v>
      </c>
      <c r="V1270" s="176">
        <v>46136.0</v>
      </c>
      <c r="W1270" s="175"/>
      <c r="X1270" s="175"/>
      <c r="Y1270" s="175"/>
      <c r="Z1270" s="175"/>
      <c r="AA1270" s="175"/>
      <c r="AB1270" s="175"/>
      <c r="AC1270" s="175"/>
      <c r="AD1270" s="175"/>
      <c r="AE1270" s="175"/>
      <c r="AF1270" s="175"/>
      <c r="AG1270" s="175"/>
      <c r="AH1270" s="175"/>
      <c r="AI1270" s="175"/>
    </row>
    <row r="1271">
      <c r="A1271" s="176">
        <v>46136.0</v>
      </c>
      <c r="B1271" s="177">
        <v>8459103.0</v>
      </c>
      <c r="C1271" s="178" t="s">
        <v>82</v>
      </c>
      <c r="D1271" s="178" t="s">
        <v>35</v>
      </c>
      <c r="E1271" s="177">
        <v>6.184312787E9</v>
      </c>
      <c r="F1271" s="178" t="s">
        <v>1950</v>
      </c>
      <c r="G1271" s="176">
        <v>46192.0</v>
      </c>
      <c r="H1271" s="179">
        <v>46195.0</v>
      </c>
      <c r="I1271" s="180">
        <v>3.0</v>
      </c>
      <c r="J1271" s="181" t="s">
        <v>78</v>
      </c>
      <c r="K1271" s="178" t="s">
        <v>79</v>
      </c>
      <c r="L1271" s="178" t="s">
        <v>80</v>
      </c>
      <c r="M1271" s="182">
        <v>2.0</v>
      </c>
      <c r="N1271" s="183">
        <v>0.19999999999999996</v>
      </c>
      <c r="O1271" s="184">
        <v>122.75999999999999</v>
      </c>
      <c r="P1271" s="184">
        <v>98.208</v>
      </c>
      <c r="Q1271" s="185">
        <v>0.0</v>
      </c>
      <c r="R1271" s="186">
        <v>294.624</v>
      </c>
      <c r="S1271" s="186">
        <v>0.0</v>
      </c>
      <c r="T1271" s="186">
        <v>368.28</v>
      </c>
      <c r="U1271" s="187" t="s">
        <v>107</v>
      </c>
      <c r="V1271" s="176">
        <v>46136.0</v>
      </c>
      <c r="W1271" s="175"/>
      <c r="X1271" s="175"/>
      <c r="Y1271" s="175"/>
      <c r="Z1271" s="175"/>
      <c r="AA1271" s="175"/>
      <c r="AB1271" s="175"/>
      <c r="AC1271" s="175"/>
      <c r="AD1271" s="175"/>
      <c r="AE1271" s="175"/>
      <c r="AF1271" s="175"/>
      <c r="AG1271" s="175"/>
      <c r="AH1271" s="175"/>
      <c r="AI1271" s="175"/>
    </row>
    <row r="1272">
      <c r="A1272" s="176">
        <v>46136.0</v>
      </c>
      <c r="B1272" s="177">
        <v>8459271.0</v>
      </c>
      <c r="C1272" s="178" t="s">
        <v>82</v>
      </c>
      <c r="D1272" s="178" t="s">
        <v>94</v>
      </c>
      <c r="E1272" s="177">
        <v>8459271.0</v>
      </c>
      <c r="F1272" s="178" t="s">
        <v>1955</v>
      </c>
      <c r="G1272" s="176">
        <v>46141.0</v>
      </c>
      <c r="H1272" s="179">
        <v>46142.0</v>
      </c>
      <c r="I1272" s="180">
        <v>1.0</v>
      </c>
      <c r="J1272" s="181" t="s">
        <v>111</v>
      </c>
      <c r="K1272" s="178" t="s">
        <v>79</v>
      </c>
      <c r="L1272" s="178" t="s">
        <v>96</v>
      </c>
      <c r="M1272" s="182">
        <v>2.0</v>
      </c>
      <c r="N1272" s="183">
        <v>0.0</v>
      </c>
      <c r="O1272" s="184">
        <v>300.24</v>
      </c>
      <c r="P1272" s="184">
        <v>300.24</v>
      </c>
      <c r="Q1272" s="185">
        <v>0.0</v>
      </c>
      <c r="R1272" s="186">
        <v>300.24</v>
      </c>
      <c r="S1272" s="186">
        <v>0.0</v>
      </c>
      <c r="T1272" s="186">
        <v>305.24</v>
      </c>
      <c r="U1272" s="187" t="s">
        <v>97</v>
      </c>
      <c r="V1272" s="176">
        <v>46136.0</v>
      </c>
      <c r="W1272" s="164"/>
      <c r="X1272" s="164"/>
      <c r="Y1272" s="164"/>
      <c r="Z1272" s="164"/>
      <c r="AA1272" s="164"/>
      <c r="AB1272" s="164"/>
      <c r="AC1272" s="164"/>
      <c r="AD1272" s="164"/>
      <c r="AE1272" s="164"/>
      <c r="AF1272" s="164"/>
      <c r="AG1272" s="164"/>
      <c r="AH1272" s="164"/>
      <c r="AI1272" s="164"/>
    </row>
    <row r="1273">
      <c r="A1273" s="176">
        <v>46136.0</v>
      </c>
      <c r="B1273" s="177">
        <v>8459290.0</v>
      </c>
      <c r="C1273" s="178" t="s">
        <v>82</v>
      </c>
      <c r="D1273" s="178" t="s">
        <v>94</v>
      </c>
      <c r="E1273" s="177">
        <v>8459290.0</v>
      </c>
      <c r="F1273" s="178" t="s">
        <v>1955</v>
      </c>
      <c r="G1273" s="176">
        <v>46145.0</v>
      </c>
      <c r="H1273" s="179">
        <v>46146.0</v>
      </c>
      <c r="I1273" s="180">
        <v>1.0</v>
      </c>
      <c r="J1273" s="181" t="s">
        <v>91</v>
      </c>
      <c r="K1273" s="178" t="s">
        <v>79</v>
      </c>
      <c r="L1273" s="178" t="s">
        <v>96</v>
      </c>
      <c r="M1273" s="182">
        <v>2.0</v>
      </c>
      <c r="N1273" s="183">
        <v>0.0</v>
      </c>
      <c r="O1273" s="184">
        <v>599.76</v>
      </c>
      <c r="P1273" s="184">
        <v>599.76</v>
      </c>
      <c r="Q1273" s="185">
        <v>0.0</v>
      </c>
      <c r="R1273" s="186">
        <v>599.76</v>
      </c>
      <c r="S1273" s="186">
        <v>0.0</v>
      </c>
      <c r="T1273" s="186">
        <v>604.76</v>
      </c>
      <c r="U1273" s="187" t="s">
        <v>97</v>
      </c>
      <c r="V1273" s="176">
        <v>46136.0</v>
      </c>
      <c r="W1273" s="164"/>
      <c r="X1273" s="164"/>
      <c r="Y1273" s="164"/>
      <c r="Z1273" s="164"/>
      <c r="AA1273" s="164"/>
      <c r="AB1273" s="164"/>
      <c r="AC1273" s="164"/>
      <c r="AD1273" s="164"/>
      <c r="AE1273" s="164"/>
      <c r="AF1273" s="164"/>
      <c r="AG1273" s="164"/>
      <c r="AH1273" s="164"/>
      <c r="AI1273" s="164"/>
    </row>
    <row r="1274">
      <c r="A1274" s="176">
        <v>46137.0</v>
      </c>
      <c r="B1274" s="177">
        <v>8460539.0</v>
      </c>
      <c r="C1274" s="178" t="s">
        <v>89</v>
      </c>
      <c r="D1274" s="178" t="s">
        <v>35</v>
      </c>
      <c r="E1274" s="177">
        <v>6.451712134E9</v>
      </c>
      <c r="F1274" s="178" t="s">
        <v>1963</v>
      </c>
      <c r="G1274" s="176">
        <v>46363.20833333333</v>
      </c>
      <c r="H1274" s="179">
        <v>46368.20833333333</v>
      </c>
      <c r="I1274" s="180">
        <v>5.0</v>
      </c>
      <c r="J1274" s="181" t="s">
        <v>78</v>
      </c>
      <c r="K1274" s="178" t="s">
        <v>138</v>
      </c>
      <c r="L1274" s="178" t="s">
        <v>80</v>
      </c>
      <c r="M1274" s="182">
        <v>0.0</v>
      </c>
      <c r="N1274" s="183">
        <v>0.0</v>
      </c>
      <c r="O1274" s="184">
        <v>0.0</v>
      </c>
      <c r="P1274" s="184">
        <v>0.0</v>
      </c>
      <c r="Q1274" s="185">
        <v>0.0</v>
      </c>
      <c r="R1274" s="186">
        <v>0.0</v>
      </c>
      <c r="S1274" s="186">
        <v>0.0</v>
      </c>
      <c r="T1274" s="186">
        <v>0.0</v>
      </c>
      <c r="U1274" s="187" t="s">
        <v>1964</v>
      </c>
      <c r="V1274" s="176">
        <v>46137.0</v>
      </c>
      <c r="W1274" s="175"/>
      <c r="X1274" s="175"/>
      <c r="Y1274" s="175"/>
      <c r="Z1274" s="175"/>
      <c r="AA1274" s="175"/>
      <c r="AB1274" s="175"/>
      <c r="AC1274" s="175"/>
      <c r="AD1274" s="175"/>
      <c r="AE1274" s="175"/>
      <c r="AF1274" s="175"/>
      <c r="AG1274" s="175"/>
      <c r="AH1274" s="175"/>
      <c r="AI1274" s="175"/>
    </row>
    <row r="1275">
      <c r="A1275" s="176">
        <v>46137.0</v>
      </c>
      <c r="B1275" s="177">
        <v>8463198.0</v>
      </c>
      <c r="C1275" s="178" t="s">
        <v>82</v>
      </c>
      <c r="D1275" s="178" t="s">
        <v>35</v>
      </c>
      <c r="E1275" s="177">
        <v>6.728876317E9</v>
      </c>
      <c r="F1275" s="178" t="s">
        <v>1966</v>
      </c>
      <c r="G1275" s="176">
        <v>46184.0</v>
      </c>
      <c r="H1275" s="179">
        <v>46187.0</v>
      </c>
      <c r="I1275" s="180">
        <v>3.0</v>
      </c>
      <c r="J1275" s="181" t="s">
        <v>78</v>
      </c>
      <c r="K1275" s="178" t="s">
        <v>79</v>
      </c>
      <c r="L1275" s="178" t="s">
        <v>80</v>
      </c>
      <c r="M1275" s="182">
        <v>2.0</v>
      </c>
      <c r="N1275" s="183">
        <v>0.19999999999999996</v>
      </c>
      <c r="O1275" s="184">
        <v>117.39999999999999</v>
      </c>
      <c r="P1275" s="184">
        <v>93.92</v>
      </c>
      <c r="Q1275" s="185">
        <v>0.0</v>
      </c>
      <c r="R1275" s="186">
        <v>281.76</v>
      </c>
      <c r="S1275" s="186">
        <v>0.0</v>
      </c>
      <c r="T1275" s="186">
        <v>352.2</v>
      </c>
      <c r="U1275" s="187" t="s">
        <v>107</v>
      </c>
      <c r="V1275" s="176">
        <v>46137.0</v>
      </c>
      <c r="W1275" s="175"/>
      <c r="X1275" s="175"/>
      <c r="Y1275" s="175"/>
      <c r="Z1275" s="175"/>
      <c r="AA1275" s="175"/>
      <c r="AB1275" s="175"/>
      <c r="AC1275" s="175"/>
      <c r="AD1275" s="175"/>
      <c r="AE1275" s="175"/>
      <c r="AF1275" s="175"/>
      <c r="AG1275" s="175"/>
      <c r="AH1275" s="175"/>
      <c r="AI1275" s="175"/>
    </row>
    <row r="1276">
      <c r="A1276" s="176">
        <v>46138.0</v>
      </c>
      <c r="B1276" s="177">
        <v>8465879.0</v>
      </c>
      <c r="C1276" s="178" t="s">
        <v>89</v>
      </c>
      <c r="D1276" s="178" t="s">
        <v>35</v>
      </c>
      <c r="E1276" s="177">
        <v>6.60318634E9</v>
      </c>
      <c r="F1276" s="178" t="s">
        <v>1969</v>
      </c>
      <c r="G1276" s="176">
        <v>46328.20833333333</v>
      </c>
      <c r="H1276" s="179">
        <v>46330.20833333333</v>
      </c>
      <c r="I1276" s="180">
        <v>2.0</v>
      </c>
      <c r="J1276" s="181" t="s">
        <v>78</v>
      </c>
      <c r="K1276" s="178" t="s">
        <v>138</v>
      </c>
      <c r="L1276" s="178" t="s">
        <v>80</v>
      </c>
      <c r="M1276" s="182">
        <v>0.0</v>
      </c>
      <c r="N1276" s="183">
        <v>0.0</v>
      </c>
      <c r="O1276" s="184">
        <v>0.0</v>
      </c>
      <c r="P1276" s="184">
        <v>0.0</v>
      </c>
      <c r="Q1276" s="185">
        <v>0.0</v>
      </c>
      <c r="R1276" s="186">
        <v>0.0</v>
      </c>
      <c r="S1276" s="186">
        <v>0.0</v>
      </c>
      <c r="T1276" s="186">
        <v>0.0</v>
      </c>
      <c r="U1276" s="187" t="s">
        <v>1971</v>
      </c>
      <c r="V1276" s="176">
        <v>46174.0</v>
      </c>
      <c r="W1276" s="175"/>
      <c r="X1276" s="175"/>
      <c r="Y1276" s="175"/>
      <c r="Z1276" s="175"/>
      <c r="AA1276" s="175"/>
      <c r="AB1276" s="175"/>
      <c r="AC1276" s="175"/>
      <c r="AD1276" s="175"/>
      <c r="AE1276" s="175"/>
      <c r="AF1276" s="175"/>
      <c r="AG1276" s="175"/>
      <c r="AH1276" s="175"/>
      <c r="AI1276" s="175"/>
    </row>
    <row r="1277">
      <c r="A1277" s="176">
        <v>46138.0</v>
      </c>
      <c r="B1277" s="177">
        <v>8466049.0</v>
      </c>
      <c r="C1277" s="178" t="s">
        <v>82</v>
      </c>
      <c r="D1277" s="178" t="s">
        <v>35</v>
      </c>
      <c r="E1277" s="177">
        <v>5.368101762E9</v>
      </c>
      <c r="F1277" s="178" t="s">
        <v>1973</v>
      </c>
      <c r="G1277" s="176">
        <v>46193.0</v>
      </c>
      <c r="H1277" s="179">
        <v>46194.0</v>
      </c>
      <c r="I1277" s="180">
        <v>1.0</v>
      </c>
      <c r="J1277" s="181" t="s">
        <v>111</v>
      </c>
      <c r="K1277" s="178" t="s">
        <v>79</v>
      </c>
      <c r="L1277" s="178" t="s">
        <v>80</v>
      </c>
      <c r="M1277" s="182">
        <v>2.0</v>
      </c>
      <c r="N1277" s="183">
        <v>0.19999999999999996</v>
      </c>
      <c r="O1277" s="184">
        <v>225.36</v>
      </c>
      <c r="P1277" s="184">
        <v>180.288</v>
      </c>
      <c r="Q1277" s="185">
        <v>0.0</v>
      </c>
      <c r="R1277" s="186">
        <v>180.288</v>
      </c>
      <c r="S1277" s="186">
        <v>0.0</v>
      </c>
      <c r="T1277" s="186">
        <v>230.36</v>
      </c>
      <c r="U1277" s="187" t="s">
        <v>1367</v>
      </c>
      <c r="V1277" s="176">
        <v>46138.0</v>
      </c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</row>
    <row r="1278">
      <c r="A1278" s="176">
        <v>46138.0</v>
      </c>
      <c r="B1278" s="177">
        <v>8466109.0</v>
      </c>
      <c r="C1278" s="178" t="s">
        <v>82</v>
      </c>
      <c r="D1278" s="178" t="s">
        <v>35</v>
      </c>
      <c r="E1278" s="177">
        <v>6.129324316E9</v>
      </c>
      <c r="F1278" s="178" t="s">
        <v>1976</v>
      </c>
      <c r="G1278" s="176">
        <v>46266.0</v>
      </c>
      <c r="H1278" s="179">
        <v>46269.0</v>
      </c>
      <c r="I1278" s="180">
        <v>3.0</v>
      </c>
      <c r="J1278" s="181" t="s">
        <v>114</v>
      </c>
      <c r="K1278" s="178" t="s">
        <v>79</v>
      </c>
      <c r="L1278" s="178" t="s">
        <v>80</v>
      </c>
      <c r="M1278" s="182">
        <v>2.0</v>
      </c>
      <c r="N1278" s="183">
        <v>0.19999999999999996</v>
      </c>
      <c r="O1278" s="184">
        <v>173.12</v>
      </c>
      <c r="P1278" s="184">
        <v>138.496</v>
      </c>
      <c r="Q1278" s="185">
        <v>0.0</v>
      </c>
      <c r="R1278" s="186">
        <v>415.48800000000006</v>
      </c>
      <c r="S1278" s="186">
        <v>0.0</v>
      </c>
      <c r="T1278" s="186">
        <v>1068.72</v>
      </c>
      <c r="U1278" s="187" t="s">
        <v>1367</v>
      </c>
      <c r="V1278" s="176">
        <v>46138.0</v>
      </c>
      <c r="W1278" s="175"/>
      <c r="X1278" s="175"/>
      <c r="Y1278" s="175"/>
      <c r="Z1278" s="175"/>
      <c r="AA1278" s="175"/>
      <c r="AB1278" s="175"/>
      <c r="AC1278" s="175"/>
      <c r="AD1278" s="175"/>
      <c r="AE1278" s="175"/>
      <c r="AF1278" s="175"/>
      <c r="AG1278" s="175"/>
      <c r="AH1278" s="175"/>
      <c r="AI1278" s="175"/>
    </row>
    <row r="1279">
      <c r="A1279" s="176">
        <v>46138.0</v>
      </c>
      <c r="B1279" s="177">
        <v>8466109.0</v>
      </c>
      <c r="C1279" s="178" t="s">
        <v>82</v>
      </c>
      <c r="D1279" s="178" t="s">
        <v>35</v>
      </c>
      <c r="E1279" s="177">
        <v>6.129324316E9</v>
      </c>
      <c r="F1279" s="178" t="s">
        <v>1976</v>
      </c>
      <c r="G1279" s="176">
        <v>46266.0</v>
      </c>
      <c r="H1279" s="179">
        <v>46269.0</v>
      </c>
      <c r="I1279" s="180">
        <v>3.0</v>
      </c>
      <c r="J1279" s="181" t="s">
        <v>114</v>
      </c>
      <c r="K1279" s="178" t="s">
        <v>79</v>
      </c>
      <c r="L1279" s="178" t="s">
        <v>80</v>
      </c>
      <c r="M1279" s="182">
        <v>2.0</v>
      </c>
      <c r="N1279" s="183">
        <v>0.19999999999999996</v>
      </c>
      <c r="O1279" s="184">
        <v>173.12</v>
      </c>
      <c r="P1279" s="184">
        <v>138.496</v>
      </c>
      <c r="Q1279" s="185">
        <v>0.0</v>
      </c>
      <c r="R1279" s="186">
        <v>415.48800000000006</v>
      </c>
      <c r="S1279" s="186">
        <v>0.0</v>
      </c>
      <c r="T1279" s="186">
        <v>1068.72</v>
      </c>
      <c r="U1279" s="187" t="s">
        <v>1367</v>
      </c>
      <c r="V1279" s="176">
        <v>46138.0</v>
      </c>
      <c r="W1279" s="175"/>
      <c r="X1279" s="175"/>
      <c r="Y1279" s="175"/>
      <c r="Z1279" s="175"/>
      <c r="AA1279" s="175"/>
      <c r="AB1279" s="175"/>
      <c r="AC1279" s="175"/>
      <c r="AD1279" s="175"/>
      <c r="AE1279" s="175"/>
      <c r="AF1279" s="175"/>
      <c r="AG1279" s="175"/>
      <c r="AH1279" s="175"/>
      <c r="AI1279" s="175"/>
    </row>
    <row r="1280">
      <c r="A1280" s="176">
        <v>46138.0</v>
      </c>
      <c r="B1280" s="177">
        <v>8466357.0</v>
      </c>
      <c r="C1280" s="178" t="s">
        <v>82</v>
      </c>
      <c r="D1280" s="178" t="s">
        <v>35</v>
      </c>
      <c r="E1280" s="177">
        <v>6.935634085E9</v>
      </c>
      <c r="F1280" s="178" t="s">
        <v>1983</v>
      </c>
      <c r="G1280" s="176">
        <v>46296.20833333333</v>
      </c>
      <c r="H1280" s="179">
        <v>46301.20833333333</v>
      </c>
      <c r="I1280" s="180">
        <v>5.0</v>
      </c>
      <c r="J1280" s="181" t="s">
        <v>111</v>
      </c>
      <c r="K1280" s="178" t="s">
        <v>79</v>
      </c>
      <c r="L1280" s="178" t="s">
        <v>80</v>
      </c>
      <c r="M1280" s="182">
        <v>2.0</v>
      </c>
      <c r="N1280" s="183">
        <v>0.19999999999999996</v>
      </c>
      <c r="O1280" s="184">
        <v>150.538</v>
      </c>
      <c r="P1280" s="184">
        <v>120.43040000000002</v>
      </c>
      <c r="Q1280" s="185">
        <v>0.0</v>
      </c>
      <c r="R1280" s="186">
        <v>602.152</v>
      </c>
      <c r="S1280" s="186">
        <v>0.0</v>
      </c>
      <c r="T1280" s="186">
        <v>777.69</v>
      </c>
      <c r="U1280" s="187" t="s">
        <v>107</v>
      </c>
      <c r="V1280" s="176">
        <v>46138.0</v>
      </c>
      <c r="W1280" s="175"/>
      <c r="X1280" s="175"/>
      <c r="Y1280" s="175"/>
      <c r="Z1280" s="175"/>
      <c r="AA1280" s="175"/>
      <c r="AB1280" s="175"/>
      <c r="AC1280" s="175"/>
      <c r="AD1280" s="175"/>
      <c r="AE1280" s="175"/>
      <c r="AF1280" s="175"/>
      <c r="AG1280" s="175"/>
      <c r="AH1280" s="175"/>
      <c r="AI1280" s="175"/>
    </row>
    <row r="1281">
      <c r="A1281" s="176">
        <v>46138.0</v>
      </c>
      <c r="B1281" s="177">
        <v>8466379.0</v>
      </c>
      <c r="C1281" s="178" t="s">
        <v>82</v>
      </c>
      <c r="D1281" s="178" t="s">
        <v>36</v>
      </c>
      <c r="E1281" s="177">
        <v>8466379.0</v>
      </c>
      <c r="F1281" s="178" t="s">
        <v>1985</v>
      </c>
      <c r="G1281" s="176">
        <v>46245.0</v>
      </c>
      <c r="H1281" s="179">
        <v>46246.0</v>
      </c>
      <c r="I1281" s="180">
        <v>1.0</v>
      </c>
      <c r="J1281" s="181" t="s">
        <v>87</v>
      </c>
      <c r="K1281" s="178" t="s">
        <v>79</v>
      </c>
      <c r="L1281" s="178" t="s">
        <v>96</v>
      </c>
      <c r="M1281" s="182">
        <v>2.0</v>
      </c>
      <c r="N1281" s="183">
        <v>0.0</v>
      </c>
      <c r="O1281" s="184">
        <v>132.21</v>
      </c>
      <c r="P1281" s="184">
        <v>130.8879</v>
      </c>
      <c r="Q1281" s="185">
        <v>0.0</v>
      </c>
      <c r="R1281" s="186">
        <v>130.8879</v>
      </c>
      <c r="S1281" s="186">
        <v>0.0</v>
      </c>
      <c r="T1281" s="186">
        <v>289.63</v>
      </c>
      <c r="U1281" s="187" t="s">
        <v>97</v>
      </c>
      <c r="V1281" s="176">
        <v>46138.0</v>
      </c>
      <c r="W1281" s="175"/>
      <c r="X1281" s="175"/>
      <c r="Y1281" s="175"/>
      <c r="Z1281" s="175"/>
      <c r="AA1281" s="175"/>
      <c r="AB1281" s="175"/>
      <c r="AC1281" s="175"/>
      <c r="AD1281" s="175"/>
      <c r="AE1281" s="175"/>
      <c r="AF1281" s="175"/>
      <c r="AG1281" s="175"/>
      <c r="AH1281" s="175"/>
      <c r="AI1281" s="175"/>
    </row>
    <row r="1282">
      <c r="A1282" s="176">
        <v>46138.0</v>
      </c>
      <c r="B1282" s="177">
        <v>8466379.0</v>
      </c>
      <c r="C1282" s="178" t="s">
        <v>82</v>
      </c>
      <c r="D1282" s="178" t="s">
        <v>36</v>
      </c>
      <c r="E1282" s="177">
        <v>8466379.0</v>
      </c>
      <c r="F1282" s="178" t="s">
        <v>1985</v>
      </c>
      <c r="G1282" s="176">
        <v>46245.0</v>
      </c>
      <c r="H1282" s="179">
        <v>46246.0</v>
      </c>
      <c r="I1282" s="180">
        <v>1.0</v>
      </c>
      <c r="J1282" s="181" t="s">
        <v>78</v>
      </c>
      <c r="K1282" s="178" t="s">
        <v>79</v>
      </c>
      <c r="L1282" s="178" t="s">
        <v>96</v>
      </c>
      <c r="M1282" s="182">
        <v>2.0</v>
      </c>
      <c r="N1282" s="183">
        <v>0.0</v>
      </c>
      <c r="O1282" s="184">
        <v>147.42</v>
      </c>
      <c r="P1282" s="184">
        <v>145.9458</v>
      </c>
      <c r="Q1282" s="185">
        <v>0.0</v>
      </c>
      <c r="R1282" s="186">
        <v>145.9458</v>
      </c>
      <c r="S1282" s="186">
        <v>0.0</v>
      </c>
      <c r="T1282" s="186">
        <v>289.63</v>
      </c>
      <c r="U1282" s="187" t="s">
        <v>97</v>
      </c>
      <c r="V1282" s="176">
        <v>46138.0</v>
      </c>
      <c r="W1282" s="188"/>
      <c r="X1282" s="188"/>
      <c r="Y1282" s="188"/>
      <c r="Z1282" s="188"/>
      <c r="AA1282" s="188"/>
      <c r="AB1282" s="188"/>
      <c r="AC1282" s="188"/>
      <c r="AD1282" s="188"/>
      <c r="AE1282" s="188"/>
      <c r="AF1282" s="188"/>
      <c r="AG1282" s="188"/>
      <c r="AH1282" s="188"/>
      <c r="AI1282" s="188"/>
    </row>
    <row r="1283">
      <c r="A1283" s="176">
        <v>46138.0</v>
      </c>
      <c r="B1283" s="177">
        <v>8466811.0</v>
      </c>
      <c r="C1283" s="178" t="s">
        <v>82</v>
      </c>
      <c r="D1283" s="178" t="s">
        <v>35</v>
      </c>
      <c r="E1283" s="177">
        <v>5.336775349E9</v>
      </c>
      <c r="F1283" s="178" t="s">
        <v>1993</v>
      </c>
      <c r="G1283" s="176">
        <v>46313.20833333333</v>
      </c>
      <c r="H1283" s="179">
        <v>46314.20833333333</v>
      </c>
      <c r="I1283" s="180">
        <v>1.0</v>
      </c>
      <c r="J1283" s="181" t="s">
        <v>114</v>
      </c>
      <c r="K1283" s="178" t="s">
        <v>79</v>
      </c>
      <c r="L1283" s="178" t="s">
        <v>80</v>
      </c>
      <c r="M1283" s="182">
        <v>1.0</v>
      </c>
      <c r="N1283" s="183">
        <v>0.19999999999999996</v>
      </c>
      <c r="O1283" s="184">
        <v>195.52</v>
      </c>
      <c r="P1283" s="184">
        <v>156.41600000000003</v>
      </c>
      <c r="Q1283" s="185">
        <v>0.0</v>
      </c>
      <c r="R1283" s="186">
        <v>156.41600000000003</v>
      </c>
      <c r="S1283" s="186">
        <v>0.0</v>
      </c>
      <c r="T1283" s="186">
        <v>353.74</v>
      </c>
      <c r="U1283" s="187" t="s">
        <v>353</v>
      </c>
      <c r="V1283" s="176">
        <v>46138.0</v>
      </c>
      <c r="W1283" s="175"/>
      <c r="X1283" s="175"/>
      <c r="Y1283" s="175"/>
      <c r="Z1283" s="175"/>
      <c r="AA1283" s="175"/>
      <c r="AB1283" s="175"/>
      <c r="AC1283" s="175"/>
      <c r="AD1283" s="175"/>
      <c r="AE1283" s="175"/>
      <c r="AF1283" s="175"/>
      <c r="AG1283" s="175"/>
      <c r="AH1283" s="175"/>
      <c r="AI1283" s="175"/>
    </row>
    <row r="1284">
      <c r="A1284" s="176">
        <v>46138.0</v>
      </c>
      <c r="B1284" s="177">
        <v>8466811.0</v>
      </c>
      <c r="C1284" s="178" t="s">
        <v>82</v>
      </c>
      <c r="D1284" s="178" t="s">
        <v>35</v>
      </c>
      <c r="E1284" s="177">
        <v>5.336775349E9</v>
      </c>
      <c r="F1284" s="178" t="s">
        <v>1993</v>
      </c>
      <c r="G1284" s="176">
        <v>46313.20833333333</v>
      </c>
      <c r="H1284" s="179">
        <v>46314.20833333333</v>
      </c>
      <c r="I1284" s="180">
        <v>1.0</v>
      </c>
      <c r="J1284" s="181" t="s">
        <v>87</v>
      </c>
      <c r="K1284" s="178" t="s">
        <v>79</v>
      </c>
      <c r="L1284" s="178" t="s">
        <v>80</v>
      </c>
      <c r="M1284" s="182">
        <v>2.0</v>
      </c>
      <c r="N1284" s="183">
        <v>0.19999999999999996</v>
      </c>
      <c r="O1284" s="184">
        <v>150.72</v>
      </c>
      <c r="P1284" s="184">
        <v>120.57600000000001</v>
      </c>
      <c r="Q1284" s="185">
        <v>0.0</v>
      </c>
      <c r="R1284" s="186">
        <v>120.57600000000001</v>
      </c>
      <c r="S1284" s="186">
        <v>0.0</v>
      </c>
      <c r="T1284" s="186">
        <v>353.74</v>
      </c>
      <c r="U1284" s="187" t="s">
        <v>353</v>
      </c>
      <c r="V1284" s="176">
        <v>46138.0</v>
      </c>
      <c r="W1284" s="175"/>
      <c r="X1284" s="175"/>
      <c r="Y1284" s="175"/>
      <c r="Z1284" s="175"/>
      <c r="AA1284" s="175"/>
      <c r="AB1284" s="175"/>
      <c r="AC1284" s="175"/>
      <c r="AD1284" s="175"/>
      <c r="AE1284" s="175"/>
      <c r="AF1284" s="175"/>
      <c r="AG1284" s="175"/>
      <c r="AH1284" s="175"/>
      <c r="AI1284" s="175"/>
    </row>
    <row r="1285">
      <c r="A1285" s="176">
        <v>46138.0</v>
      </c>
      <c r="B1285" s="177">
        <v>8466817.0</v>
      </c>
      <c r="C1285" s="178" t="s">
        <v>82</v>
      </c>
      <c r="D1285" s="178" t="s">
        <v>35</v>
      </c>
      <c r="E1285" s="177">
        <v>6.935627437E9</v>
      </c>
      <c r="F1285" s="178" t="s">
        <v>1993</v>
      </c>
      <c r="G1285" s="176">
        <v>46316.20833333333</v>
      </c>
      <c r="H1285" s="179">
        <v>46317.20833333333</v>
      </c>
      <c r="I1285" s="180">
        <v>1.0</v>
      </c>
      <c r="J1285" s="181" t="s">
        <v>78</v>
      </c>
      <c r="K1285" s="178" t="s">
        <v>79</v>
      </c>
      <c r="L1285" s="178" t="s">
        <v>80</v>
      </c>
      <c r="M1285" s="182">
        <v>2.0</v>
      </c>
      <c r="N1285" s="183">
        <v>0.19999999999999996</v>
      </c>
      <c r="O1285" s="184">
        <v>173.12</v>
      </c>
      <c r="P1285" s="184">
        <v>138.496</v>
      </c>
      <c r="Q1285" s="185">
        <v>0.0</v>
      </c>
      <c r="R1285" s="186">
        <v>138.496</v>
      </c>
      <c r="S1285" s="186">
        <v>0.0</v>
      </c>
      <c r="T1285" s="186">
        <v>376.14</v>
      </c>
      <c r="U1285" s="187" t="s">
        <v>353</v>
      </c>
      <c r="V1285" s="176">
        <v>46138.0</v>
      </c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</row>
    <row r="1286">
      <c r="A1286" s="176">
        <v>46138.0</v>
      </c>
      <c r="B1286" s="177">
        <v>8466817.0</v>
      </c>
      <c r="C1286" s="178" t="s">
        <v>82</v>
      </c>
      <c r="D1286" s="178" t="s">
        <v>35</v>
      </c>
      <c r="E1286" s="177">
        <v>6.935627437E9</v>
      </c>
      <c r="F1286" s="178" t="s">
        <v>1993</v>
      </c>
      <c r="G1286" s="176">
        <v>46316.20833333333</v>
      </c>
      <c r="H1286" s="179">
        <v>46317.20833333333</v>
      </c>
      <c r="I1286" s="180">
        <v>1.0</v>
      </c>
      <c r="J1286" s="181" t="s">
        <v>114</v>
      </c>
      <c r="K1286" s="178" t="s">
        <v>79</v>
      </c>
      <c r="L1286" s="178" t="s">
        <v>80</v>
      </c>
      <c r="M1286" s="182">
        <v>1.0</v>
      </c>
      <c r="N1286" s="183">
        <v>0.19999999999999996</v>
      </c>
      <c r="O1286" s="184">
        <v>195.52</v>
      </c>
      <c r="P1286" s="184">
        <v>156.41600000000003</v>
      </c>
      <c r="Q1286" s="185">
        <v>0.0</v>
      </c>
      <c r="R1286" s="186">
        <v>156.41600000000003</v>
      </c>
      <c r="S1286" s="186">
        <v>0.0</v>
      </c>
      <c r="T1286" s="186">
        <v>376.14</v>
      </c>
      <c r="U1286" s="187" t="s">
        <v>353</v>
      </c>
      <c r="V1286" s="176">
        <v>46138.0</v>
      </c>
      <c r="W1286" s="164"/>
      <c r="X1286" s="164"/>
      <c r="Y1286" s="164"/>
      <c r="Z1286" s="164"/>
      <c r="AA1286" s="164"/>
      <c r="AB1286" s="164"/>
      <c r="AC1286" s="164"/>
      <c r="AD1286" s="164"/>
      <c r="AE1286" s="164"/>
      <c r="AF1286" s="164"/>
      <c r="AG1286" s="164"/>
      <c r="AH1286" s="164"/>
      <c r="AI1286" s="164"/>
    </row>
    <row r="1287">
      <c r="A1287" s="176">
        <v>46139.0</v>
      </c>
      <c r="B1287" s="177">
        <v>8470034.0</v>
      </c>
      <c r="C1287" s="178" t="s">
        <v>89</v>
      </c>
      <c r="D1287" s="178" t="s">
        <v>35</v>
      </c>
      <c r="E1287" s="177">
        <v>5.993212725E9</v>
      </c>
      <c r="F1287" s="178" t="s">
        <v>2005</v>
      </c>
      <c r="G1287" s="176">
        <v>46166.0</v>
      </c>
      <c r="H1287" s="179">
        <v>46170.0</v>
      </c>
      <c r="I1287" s="180">
        <v>4.0</v>
      </c>
      <c r="J1287" s="181" t="s">
        <v>87</v>
      </c>
      <c r="K1287" s="178" t="s">
        <v>79</v>
      </c>
      <c r="L1287" s="178" t="s">
        <v>80</v>
      </c>
      <c r="M1287" s="182">
        <v>0.0</v>
      </c>
      <c r="N1287" s="183">
        <v>0.0</v>
      </c>
      <c r="O1287" s="184">
        <v>0.0</v>
      </c>
      <c r="P1287" s="184">
        <v>0.0</v>
      </c>
      <c r="Q1287" s="185">
        <v>0.0</v>
      </c>
      <c r="R1287" s="186">
        <v>0.0</v>
      </c>
      <c r="S1287" s="186">
        <v>0.0</v>
      </c>
      <c r="T1287" s="186">
        <v>0.0</v>
      </c>
      <c r="U1287" s="187" t="s">
        <v>2007</v>
      </c>
      <c r="V1287" s="176">
        <v>46150.0</v>
      </c>
      <c r="W1287" s="175"/>
      <c r="X1287" s="175"/>
      <c r="Y1287" s="175"/>
      <c r="Z1287" s="175"/>
      <c r="AA1287" s="175"/>
      <c r="AB1287" s="175"/>
      <c r="AC1287" s="175"/>
      <c r="AD1287" s="175"/>
      <c r="AE1287" s="175"/>
      <c r="AF1287" s="175"/>
      <c r="AG1287" s="175"/>
      <c r="AH1287" s="175"/>
      <c r="AI1287" s="175"/>
    </row>
    <row r="1288">
      <c r="A1288" s="176">
        <v>46139.0</v>
      </c>
      <c r="B1288" s="177">
        <v>8470507.0</v>
      </c>
      <c r="C1288" s="178" t="s">
        <v>82</v>
      </c>
      <c r="D1288" s="178" t="s">
        <v>94</v>
      </c>
      <c r="E1288" s="177">
        <v>8470507.0</v>
      </c>
      <c r="F1288" s="178" t="s">
        <v>1806</v>
      </c>
      <c r="G1288" s="176">
        <v>46425.08333333333</v>
      </c>
      <c r="H1288" s="179">
        <v>46427.0</v>
      </c>
      <c r="I1288" s="180">
        <v>5.0</v>
      </c>
      <c r="J1288" s="181" t="s">
        <v>87</v>
      </c>
      <c r="K1288" s="178" t="s">
        <v>79</v>
      </c>
      <c r="L1288" s="178" t="s">
        <v>96</v>
      </c>
      <c r="M1288" s="182">
        <v>2.0</v>
      </c>
      <c r="N1288" s="183">
        <v>0.0</v>
      </c>
      <c r="O1288" s="184">
        <v>174.95999999999998</v>
      </c>
      <c r="P1288" s="184">
        <v>174.95999999999998</v>
      </c>
      <c r="Q1288" s="185">
        <v>0.0</v>
      </c>
      <c r="R1288" s="186">
        <v>874.8</v>
      </c>
      <c r="S1288" s="186">
        <v>0.0</v>
      </c>
      <c r="T1288" s="186">
        <v>899.8</v>
      </c>
      <c r="U1288" s="187" t="s">
        <v>97</v>
      </c>
      <c r="V1288" s="176">
        <v>46139.0</v>
      </c>
      <c r="W1288" s="175"/>
      <c r="X1288" s="175"/>
      <c r="Y1288" s="175"/>
      <c r="Z1288" s="175"/>
      <c r="AA1288" s="175"/>
      <c r="AB1288" s="175"/>
      <c r="AC1288" s="175"/>
      <c r="AD1288" s="175"/>
      <c r="AE1288" s="175"/>
      <c r="AF1288" s="175"/>
      <c r="AG1288" s="175"/>
      <c r="AH1288" s="175"/>
      <c r="AI1288" s="175"/>
    </row>
    <row r="1289">
      <c r="A1289" s="176">
        <v>46139.0</v>
      </c>
      <c r="B1289" s="177">
        <v>8472448.0</v>
      </c>
      <c r="C1289" s="178" t="s">
        <v>82</v>
      </c>
      <c r="D1289" s="178" t="s">
        <v>35</v>
      </c>
      <c r="E1289" s="177">
        <v>6.639458287E9</v>
      </c>
      <c r="F1289" s="178" t="s">
        <v>2012</v>
      </c>
      <c r="G1289" s="176">
        <v>46220.0</v>
      </c>
      <c r="H1289" s="179">
        <v>46223.0</v>
      </c>
      <c r="I1289" s="180">
        <v>3.0</v>
      </c>
      <c r="J1289" s="181" t="s">
        <v>78</v>
      </c>
      <c r="K1289" s="178" t="s">
        <v>79</v>
      </c>
      <c r="L1289" s="178" t="s">
        <v>80</v>
      </c>
      <c r="M1289" s="182">
        <v>3.0</v>
      </c>
      <c r="N1289" s="183">
        <v>0.19999999999999996</v>
      </c>
      <c r="O1289" s="184">
        <v>161.72</v>
      </c>
      <c r="P1289" s="184">
        <v>129.376</v>
      </c>
      <c r="Q1289" s="185">
        <v>0.0</v>
      </c>
      <c r="R1289" s="186">
        <v>388.12800000000004</v>
      </c>
      <c r="S1289" s="186">
        <v>0.0</v>
      </c>
      <c r="T1289" s="186">
        <v>485.16</v>
      </c>
      <c r="U1289" s="187" t="s">
        <v>143</v>
      </c>
      <c r="V1289" s="176">
        <v>46139.0</v>
      </c>
      <c r="W1289" s="188"/>
      <c r="X1289" s="188"/>
      <c r="Y1289" s="188"/>
      <c r="Z1289" s="188"/>
      <c r="AA1289" s="188"/>
      <c r="AB1289" s="188"/>
      <c r="AC1289" s="188"/>
      <c r="AD1289" s="188"/>
      <c r="AE1289" s="188"/>
      <c r="AF1289" s="188"/>
      <c r="AG1289" s="188"/>
      <c r="AH1289" s="188"/>
      <c r="AI1289" s="188"/>
    </row>
    <row r="1290">
      <c r="A1290" s="176">
        <v>46140.0</v>
      </c>
      <c r="B1290" s="177">
        <v>8472743.0</v>
      </c>
      <c r="C1290" s="178" t="s">
        <v>82</v>
      </c>
      <c r="D1290" s="178" t="s">
        <v>35</v>
      </c>
      <c r="E1290" s="177">
        <v>5.568797773E9</v>
      </c>
      <c r="F1290" s="178" t="s">
        <v>2015</v>
      </c>
      <c r="G1290" s="176">
        <v>46218.0</v>
      </c>
      <c r="H1290" s="179">
        <v>46221.0</v>
      </c>
      <c r="I1290" s="180">
        <v>3.0</v>
      </c>
      <c r="J1290" s="181" t="s">
        <v>78</v>
      </c>
      <c r="K1290" s="178" t="s">
        <v>79</v>
      </c>
      <c r="L1290" s="178" t="s">
        <v>80</v>
      </c>
      <c r="M1290" s="182">
        <v>2.0</v>
      </c>
      <c r="N1290" s="183">
        <v>0.19999999999999996</v>
      </c>
      <c r="O1290" s="184">
        <v>152.51</v>
      </c>
      <c r="P1290" s="184">
        <v>122.008</v>
      </c>
      <c r="Q1290" s="185">
        <v>0.0</v>
      </c>
      <c r="R1290" s="186">
        <v>366.024</v>
      </c>
      <c r="S1290" s="186">
        <v>0.0</v>
      </c>
      <c r="T1290" s="186">
        <v>472.53</v>
      </c>
      <c r="U1290" s="187" t="s">
        <v>143</v>
      </c>
      <c r="V1290" s="176">
        <v>46140.0</v>
      </c>
      <c r="W1290" s="164"/>
      <c r="X1290" s="164"/>
      <c r="Y1290" s="164"/>
      <c r="Z1290" s="164"/>
      <c r="AA1290" s="164"/>
      <c r="AB1290" s="164"/>
      <c r="AC1290" s="164"/>
      <c r="AD1290" s="164"/>
      <c r="AE1290" s="164"/>
      <c r="AF1290" s="164"/>
      <c r="AG1290" s="164"/>
      <c r="AH1290" s="164"/>
      <c r="AI1290" s="164"/>
    </row>
    <row r="1291">
      <c r="A1291" s="176">
        <v>46140.0</v>
      </c>
      <c r="B1291" s="177">
        <v>8472757.0</v>
      </c>
      <c r="C1291" s="178" t="s">
        <v>82</v>
      </c>
      <c r="D1291" s="178" t="s">
        <v>35</v>
      </c>
      <c r="E1291" s="177">
        <v>5.681011773E9</v>
      </c>
      <c r="F1291" s="178" t="s">
        <v>2015</v>
      </c>
      <c r="G1291" s="176">
        <v>46223.0</v>
      </c>
      <c r="H1291" s="179">
        <v>46224.0</v>
      </c>
      <c r="I1291" s="180">
        <v>1.0</v>
      </c>
      <c r="J1291" s="181" t="s">
        <v>78</v>
      </c>
      <c r="K1291" s="178" t="s">
        <v>79</v>
      </c>
      <c r="L1291" s="178" t="s">
        <v>80</v>
      </c>
      <c r="M1291" s="182">
        <v>2.0</v>
      </c>
      <c r="N1291" s="183">
        <v>0.19999999999999996</v>
      </c>
      <c r="O1291" s="184">
        <v>152.51</v>
      </c>
      <c r="P1291" s="184">
        <v>122.008</v>
      </c>
      <c r="Q1291" s="185">
        <v>0.0</v>
      </c>
      <c r="R1291" s="186">
        <v>122.008</v>
      </c>
      <c r="S1291" s="186">
        <v>0.0</v>
      </c>
      <c r="T1291" s="186">
        <v>157.51</v>
      </c>
      <c r="U1291" s="187" t="s">
        <v>143</v>
      </c>
      <c r="V1291" s="176">
        <v>46140.0</v>
      </c>
      <c r="W1291" s="175"/>
      <c r="X1291" s="175"/>
      <c r="Y1291" s="175"/>
      <c r="Z1291" s="175"/>
      <c r="AA1291" s="175"/>
      <c r="AB1291" s="175"/>
      <c r="AC1291" s="175"/>
      <c r="AD1291" s="175"/>
      <c r="AE1291" s="175"/>
      <c r="AF1291" s="175"/>
      <c r="AG1291" s="175"/>
      <c r="AH1291" s="175"/>
      <c r="AI1291" s="175"/>
    </row>
    <row r="1292">
      <c r="A1292" s="176">
        <v>46140.0</v>
      </c>
      <c r="B1292" s="177">
        <v>8475898.0</v>
      </c>
      <c r="C1292" s="178" t="s">
        <v>82</v>
      </c>
      <c r="D1292" s="178" t="s">
        <v>94</v>
      </c>
      <c r="E1292" s="177">
        <v>8475898.0</v>
      </c>
      <c r="F1292" s="178" t="s">
        <v>825</v>
      </c>
      <c r="G1292" s="176">
        <v>46140.0</v>
      </c>
      <c r="H1292" s="179">
        <v>46143.0</v>
      </c>
      <c r="I1292" s="180">
        <v>3.0</v>
      </c>
      <c r="J1292" s="181" t="s">
        <v>114</v>
      </c>
      <c r="K1292" s="178" t="s">
        <v>79</v>
      </c>
      <c r="L1292" s="178" t="s">
        <v>96</v>
      </c>
      <c r="M1292" s="182">
        <v>2.0</v>
      </c>
      <c r="N1292" s="183">
        <v>0.0</v>
      </c>
      <c r="O1292" s="184">
        <v>270.0</v>
      </c>
      <c r="P1292" s="184">
        <v>270.0</v>
      </c>
      <c r="Q1292" s="185">
        <v>0.0</v>
      </c>
      <c r="R1292" s="186">
        <v>810.0</v>
      </c>
      <c r="S1292" s="186">
        <v>0.0</v>
      </c>
      <c r="T1292" s="186">
        <v>825.0</v>
      </c>
      <c r="U1292" s="187" t="s">
        <v>97</v>
      </c>
      <c r="V1292" s="176">
        <v>46140.0</v>
      </c>
      <c r="W1292" s="175"/>
      <c r="X1292" s="175"/>
      <c r="Y1292" s="175"/>
      <c r="Z1292" s="175"/>
      <c r="AA1292" s="175"/>
      <c r="AB1292" s="175"/>
      <c r="AC1292" s="175"/>
      <c r="AD1292" s="175"/>
      <c r="AE1292" s="175"/>
      <c r="AF1292" s="175"/>
      <c r="AG1292" s="175"/>
      <c r="AH1292" s="175"/>
      <c r="AI1292" s="175"/>
    </row>
    <row r="1293">
      <c r="A1293" s="176">
        <v>46140.0</v>
      </c>
      <c r="B1293" s="177">
        <v>8476183.0</v>
      </c>
      <c r="C1293" s="178" t="s">
        <v>82</v>
      </c>
      <c r="D1293" s="178" t="s">
        <v>35</v>
      </c>
      <c r="E1293" s="177">
        <v>5.489633862E9</v>
      </c>
      <c r="F1293" s="178" t="s">
        <v>2024</v>
      </c>
      <c r="G1293" s="176">
        <v>46192.0</v>
      </c>
      <c r="H1293" s="179">
        <v>46195.0</v>
      </c>
      <c r="I1293" s="180">
        <v>3.0</v>
      </c>
      <c r="J1293" s="181" t="s">
        <v>78</v>
      </c>
      <c r="K1293" s="178" t="s">
        <v>79</v>
      </c>
      <c r="L1293" s="178" t="s">
        <v>80</v>
      </c>
      <c r="M1293" s="182">
        <v>2.0</v>
      </c>
      <c r="N1293" s="183">
        <v>0.19999999999999996</v>
      </c>
      <c r="O1293" s="184">
        <v>130.47</v>
      </c>
      <c r="P1293" s="184">
        <v>104.376</v>
      </c>
      <c r="Q1293" s="185">
        <v>0.0</v>
      </c>
      <c r="R1293" s="186">
        <v>313.12800000000004</v>
      </c>
      <c r="S1293" s="186">
        <v>0.0</v>
      </c>
      <c r="T1293" s="186">
        <v>391.41</v>
      </c>
      <c r="U1293" s="187" t="s">
        <v>107</v>
      </c>
      <c r="V1293" s="176">
        <v>46140.0</v>
      </c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8"/>
      <c r="AI1293" s="188"/>
    </row>
    <row r="1294">
      <c r="A1294" s="176">
        <v>46140.0</v>
      </c>
      <c r="B1294" s="177">
        <v>8476337.0</v>
      </c>
      <c r="C1294" s="178" t="s">
        <v>82</v>
      </c>
      <c r="D1294" s="178" t="s">
        <v>12</v>
      </c>
      <c r="E1294" s="177" t="s">
        <v>2025</v>
      </c>
      <c r="F1294" s="178" t="s">
        <v>2026</v>
      </c>
      <c r="G1294" s="176">
        <v>46163.0</v>
      </c>
      <c r="H1294" s="179">
        <v>46164.0</v>
      </c>
      <c r="I1294" s="180">
        <v>1.0</v>
      </c>
      <c r="J1294" s="181" t="s">
        <v>379</v>
      </c>
      <c r="K1294" s="178" t="s">
        <v>79</v>
      </c>
      <c r="L1294" s="178" t="s">
        <v>123</v>
      </c>
      <c r="M1294" s="182">
        <v>2.0</v>
      </c>
      <c r="N1294" s="183">
        <v>0.0</v>
      </c>
      <c r="O1294" s="184">
        <v>300.24</v>
      </c>
      <c r="P1294" s="184">
        <v>240.192</v>
      </c>
      <c r="Q1294" s="185">
        <v>0.0</v>
      </c>
      <c r="R1294" s="186">
        <v>240.192</v>
      </c>
      <c r="S1294" s="186">
        <v>0.0</v>
      </c>
      <c r="T1294" s="186" t="s">
        <v>127</v>
      </c>
      <c r="U1294" s="187" t="s">
        <v>2028</v>
      </c>
      <c r="V1294" s="176">
        <v>46140.0</v>
      </c>
      <c r="W1294" s="175"/>
      <c r="X1294" s="175"/>
      <c r="Y1294" s="175"/>
      <c r="Z1294" s="175"/>
      <c r="AA1294" s="175"/>
      <c r="AB1294" s="175"/>
      <c r="AC1294" s="175"/>
      <c r="AD1294" s="175"/>
      <c r="AE1294" s="175"/>
      <c r="AF1294" s="175"/>
      <c r="AG1294" s="175"/>
      <c r="AH1294" s="175"/>
      <c r="AI1294" s="175"/>
    </row>
    <row r="1295">
      <c r="A1295" s="176">
        <v>46140.0</v>
      </c>
      <c r="B1295" s="177">
        <v>8476641.0</v>
      </c>
      <c r="C1295" s="178" t="s">
        <v>82</v>
      </c>
      <c r="D1295" s="178" t="s">
        <v>35</v>
      </c>
      <c r="E1295" s="177">
        <v>5.044290362E9</v>
      </c>
      <c r="F1295" s="178" t="s">
        <v>2031</v>
      </c>
      <c r="G1295" s="176">
        <v>46282.0</v>
      </c>
      <c r="H1295" s="179">
        <v>46290.20833333333</v>
      </c>
      <c r="I1295" s="180">
        <v>4.0</v>
      </c>
      <c r="J1295" s="181" t="s">
        <v>78</v>
      </c>
      <c r="K1295" s="178" t="s">
        <v>79</v>
      </c>
      <c r="L1295" s="178" t="s">
        <v>80</v>
      </c>
      <c r="M1295" s="182">
        <v>2.0</v>
      </c>
      <c r="N1295" s="183">
        <v>0.19999999999999996</v>
      </c>
      <c r="O1295" s="184">
        <v>131.86</v>
      </c>
      <c r="P1295" s="184">
        <v>105.48800000000001</v>
      </c>
      <c r="Q1295" s="185">
        <v>0.0</v>
      </c>
      <c r="R1295" s="186">
        <v>421.95200000000006</v>
      </c>
      <c r="S1295" s="186">
        <v>0.0</v>
      </c>
      <c r="T1295" s="186">
        <v>547.44</v>
      </c>
      <c r="U1295" s="187" t="s">
        <v>143</v>
      </c>
      <c r="V1295" s="176">
        <v>46140.0</v>
      </c>
      <c r="W1295" s="175"/>
      <c r="X1295" s="175"/>
      <c r="Y1295" s="175"/>
      <c r="Z1295" s="175"/>
      <c r="AA1295" s="175"/>
      <c r="AB1295" s="175"/>
      <c r="AC1295" s="175"/>
      <c r="AD1295" s="175"/>
      <c r="AE1295" s="175"/>
      <c r="AF1295" s="175"/>
      <c r="AG1295" s="175"/>
      <c r="AH1295" s="175"/>
      <c r="AI1295" s="175"/>
    </row>
    <row r="1296">
      <c r="A1296" s="176">
        <v>46140.0</v>
      </c>
      <c r="B1296" s="177">
        <v>8476654.0</v>
      </c>
      <c r="C1296" s="178" t="s">
        <v>82</v>
      </c>
      <c r="D1296" s="178" t="s">
        <v>35</v>
      </c>
      <c r="E1296" s="177">
        <v>5.11039958E9</v>
      </c>
      <c r="F1296" s="178" t="s">
        <v>2036</v>
      </c>
      <c r="G1296" s="176">
        <v>46282.0</v>
      </c>
      <c r="H1296" s="179">
        <v>46290.20833333333</v>
      </c>
      <c r="I1296" s="180">
        <v>4.0</v>
      </c>
      <c r="J1296" s="181" t="s">
        <v>78</v>
      </c>
      <c r="K1296" s="178" t="s">
        <v>79</v>
      </c>
      <c r="L1296" s="178" t="s">
        <v>80</v>
      </c>
      <c r="M1296" s="182">
        <v>2.0</v>
      </c>
      <c r="N1296" s="183">
        <v>0.19999999999999996</v>
      </c>
      <c r="O1296" s="184">
        <v>118.91</v>
      </c>
      <c r="P1296" s="184">
        <v>95.128</v>
      </c>
      <c r="Q1296" s="185">
        <v>0.0</v>
      </c>
      <c r="R1296" s="186">
        <v>380.512</v>
      </c>
      <c r="S1296" s="186">
        <v>0.0</v>
      </c>
      <c r="T1296" s="186">
        <v>495.64</v>
      </c>
      <c r="U1296" s="187" t="s">
        <v>107</v>
      </c>
      <c r="V1296" s="176">
        <v>46140.0</v>
      </c>
      <c r="W1296" s="175"/>
      <c r="X1296" s="175"/>
      <c r="Y1296" s="175"/>
      <c r="Z1296" s="175"/>
      <c r="AA1296" s="175"/>
      <c r="AB1296" s="175"/>
      <c r="AC1296" s="175"/>
      <c r="AD1296" s="175"/>
      <c r="AE1296" s="175"/>
      <c r="AF1296" s="175"/>
      <c r="AG1296" s="175"/>
      <c r="AH1296" s="175"/>
      <c r="AI1296" s="175"/>
    </row>
    <row r="1297">
      <c r="A1297" s="176">
        <v>46141.0</v>
      </c>
      <c r="B1297" s="177">
        <v>8479691.0</v>
      </c>
      <c r="C1297" s="178" t="s">
        <v>89</v>
      </c>
      <c r="D1297" s="178" t="s">
        <v>35</v>
      </c>
      <c r="E1297" s="177">
        <v>5.764503038E9</v>
      </c>
      <c r="F1297" s="178" t="s">
        <v>2038</v>
      </c>
      <c r="G1297" s="176">
        <v>46272.0</v>
      </c>
      <c r="H1297" s="179">
        <v>46275.0</v>
      </c>
      <c r="I1297" s="180">
        <v>3.0</v>
      </c>
      <c r="J1297" s="181" t="s">
        <v>78</v>
      </c>
      <c r="K1297" s="178" t="s">
        <v>79</v>
      </c>
      <c r="L1297" s="178" t="s">
        <v>80</v>
      </c>
      <c r="M1297" s="182">
        <v>0.0</v>
      </c>
      <c r="N1297" s="183">
        <v>0.0</v>
      </c>
      <c r="O1297" s="184">
        <v>0.0</v>
      </c>
      <c r="P1297" s="184">
        <v>0.0</v>
      </c>
      <c r="Q1297" s="185">
        <v>0.0</v>
      </c>
      <c r="R1297" s="186">
        <v>0.0</v>
      </c>
      <c r="S1297" s="186">
        <v>0.0</v>
      </c>
      <c r="T1297" s="186">
        <v>0.0</v>
      </c>
      <c r="U1297" s="187" t="s">
        <v>2040</v>
      </c>
      <c r="V1297" s="176">
        <v>46141.0</v>
      </c>
      <c r="W1297" s="164"/>
      <c r="X1297" s="164"/>
      <c r="Y1297" s="164"/>
      <c r="Z1297" s="164"/>
      <c r="AA1297" s="164"/>
      <c r="AB1297" s="164"/>
      <c r="AC1297" s="164"/>
      <c r="AD1297" s="164"/>
      <c r="AE1297" s="164"/>
      <c r="AF1297" s="164"/>
      <c r="AG1297" s="164"/>
      <c r="AH1297" s="164"/>
      <c r="AI1297" s="164"/>
    </row>
    <row r="1298">
      <c r="A1298" s="176">
        <v>46141.0</v>
      </c>
      <c r="B1298" s="177">
        <v>8479791.0</v>
      </c>
      <c r="C1298" s="178" t="s">
        <v>82</v>
      </c>
      <c r="D1298" s="178" t="s">
        <v>36</v>
      </c>
      <c r="E1298" s="177">
        <v>8479791.0</v>
      </c>
      <c r="F1298" s="178" t="s">
        <v>1377</v>
      </c>
      <c r="G1298" s="176">
        <v>46310.20833333333</v>
      </c>
      <c r="H1298" s="179">
        <v>46311.20833333333</v>
      </c>
      <c r="I1298" s="180">
        <v>1.0</v>
      </c>
      <c r="J1298" s="181" t="s">
        <v>87</v>
      </c>
      <c r="K1298" s="178" t="s">
        <v>79</v>
      </c>
      <c r="L1298" s="178" t="s">
        <v>96</v>
      </c>
      <c r="M1298" s="182">
        <v>2.0</v>
      </c>
      <c r="N1298" s="183">
        <v>0.0</v>
      </c>
      <c r="O1298" s="184">
        <v>174.96</v>
      </c>
      <c r="P1298" s="184">
        <v>173.2104</v>
      </c>
      <c r="Q1298" s="185">
        <v>0.0</v>
      </c>
      <c r="R1298" s="186">
        <v>173.2104</v>
      </c>
      <c r="S1298" s="186">
        <v>0.0</v>
      </c>
      <c r="T1298" s="186">
        <v>179.96</v>
      </c>
      <c r="U1298" s="187" t="s">
        <v>97</v>
      </c>
      <c r="V1298" s="176">
        <v>46141.0</v>
      </c>
      <c r="W1298" s="164"/>
      <c r="X1298" s="164"/>
      <c r="Y1298" s="164"/>
      <c r="Z1298" s="164"/>
      <c r="AA1298" s="164"/>
      <c r="AB1298" s="164"/>
      <c r="AC1298" s="164"/>
      <c r="AD1298" s="164"/>
      <c r="AE1298" s="164"/>
      <c r="AF1298" s="164"/>
      <c r="AG1298" s="164"/>
      <c r="AH1298" s="164"/>
      <c r="AI1298" s="164"/>
    </row>
    <row r="1299">
      <c r="A1299" s="176">
        <v>46141.0</v>
      </c>
      <c r="B1299" s="177">
        <v>8479802.0</v>
      </c>
      <c r="C1299" s="178" t="s">
        <v>82</v>
      </c>
      <c r="D1299" s="178" t="s">
        <v>94</v>
      </c>
      <c r="E1299" s="177">
        <v>8479802.0</v>
      </c>
      <c r="F1299" s="178" t="s">
        <v>1377</v>
      </c>
      <c r="G1299" s="176">
        <v>46331.20833333333</v>
      </c>
      <c r="H1299" s="179">
        <v>46332.20833333333</v>
      </c>
      <c r="I1299" s="180">
        <v>1.0</v>
      </c>
      <c r="J1299" s="181" t="s">
        <v>91</v>
      </c>
      <c r="K1299" s="178" t="s">
        <v>79</v>
      </c>
      <c r="L1299" s="178" t="s">
        <v>96</v>
      </c>
      <c r="M1299" s="182">
        <v>2.0</v>
      </c>
      <c r="N1299" s="183">
        <v>0.0</v>
      </c>
      <c r="O1299" s="184">
        <v>499.68</v>
      </c>
      <c r="P1299" s="184">
        <v>499.68</v>
      </c>
      <c r="Q1299" s="185">
        <v>0.0</v>
      </c>
      <c r="R1299" s="186">
        <v>499.68</v>
      </c>
      <c r="S1299" s="186">
        <v>0.0</v>
      </c>
      <c r="T1299" s="186">
        <v>504.68</v>
      </c>
      <c r="U1299" s="187" t="s">
        <v>97</v>
      </c>
      <c r="V1299" s="176">
        <v>46141.0</v>
      </c>
      <c r="W1299" s="175"/>
      <c r="X1299" s="175"/>
      <c r="Y1299" s="175"/>
      <c r="Z1299" s="175"/>
      <c r="AA1299" s="175"/>
      <c r="AB1299" s="175"/>
      <c r="AC1299" s="175"/>
      <c r="AD1299" s="175"/>
      <c r="AE1299" s="175"/>
      <c r="AF1299" s="175"/>
      <c r="AG1299" s="175"/>
      <c r="AH1299" s="175"/>
      <c r="AI1299" s="175"/>
    </row>
    <row r="1300">
      <c r="A1300" s="176">
        <v>46141.0</v>
      </c>
      <c r="B1300" s="177">
        <v>8480560.0</v>
      </c>
      <c r="C1300" s="178" t="s">
        <v>82</v>
      </c>
      <c r="D1300" s="178" t="s">
        <v>35</v>
      </c>
      <c r="E1300" s="177">
        <v>5.489698662E9</v>
      </c>
      <c r="F1300" s="178" t="s">
        <v>2046</v>
      </c>
      <c r="G1300" s="176">
        <v>46171.0</v>
      </c>
      <c r="H1300" s="179">
        <v>46173.0</v>
      </c>
      <c r="I1300" s="180">
        <v>2.0</v>
      </c>
      <c r="J1300" s="181" t="s">
        <v>111</v>
      </c>
      <c r="K1300" s="178" t="s">
        <v>79</v>
      </c>
      <c r="L1300" s="178" t="s">
        <v>80</v>
      </c>
      <c r="M1300" s="182">
        <v>2.0</v>
      </c>
      <c r="N1300" s="183">
        <v>0.19999999999999996</v>
      </c>
      <c r="O1300" s="184">
        <v>222.03</v>
      </c>
      <c r="P1300" s="184">
        <v>177.62400000000002</v>
      </c>
      <c r="Q1300" s="185">
        <v>0.0</v>
      </c>
      <c r="R1300" s="186">
        <v>355.24800000000005</v>
      </c>
      <c r="S1300" s="186">
        <v>0.0</v>
      </c>
      <c r="T1300" s="186">
        <v>454.06</v>
      </c>
      <c r="U1300" s="187" t="s">
        <v>107</v>
      </c>
      <c r="V1300" s="176">
        <v>46141.0</v>
      </c>
      <c r="W1300" s="164"/>
      <c r="X1300" s="164"/>
      <c r="Y1300" s="164"/>
      <c r="Z1300" s="164"/>
      <c r="AA1300" s="164"/>
      <c r="AB1300" s="164"/>
      <c r="AC1300" s="164"/>
      <c r="AD1300" s="164"/>
      <c r="AE1300" s="164"/>
      <c r="AF1300" s="164"/>
      <c r="AG1300" s="164"/>
      <c r="AH1300" s="164"/>
      <c r="AI1300" s="164"/>
    </row>
    <row r="1301">
      <c r="A1301" s="176">
        <v>46141.0</v>
      </c>
      <c r="B1301" s="177">
        <v>8482087.0</v>
      </c>
      <c r="C1301" s="178" t="s">
        <v>82</v>
      </c>
      <c r="D1301" s="178" t="s">
        <v>35</v>
      </c>
      <c r="E1301" s="177">
        <v>5.092759357E9</v>
      </c>
      <c r="F1301" s="178" t="s">
        <v>2051</v>
      </c>
      <c r="G1301" s="176">
        <v>46151.0</v>
      </c>
      <c r="H1301" s="179">
        <v>46152.0</v>
      </c>
      <c r="I1301" s="180">
        <v>1.0</v>
      </c>
      <c r="J1301" s="181" t="s">
        <v>78</v>
      </c>
      <c r="K1301" s="178" t="s">
        <v>79</v>
      </c>
      <c r="L1301" s="178" t="s">
        <v>80</v>
      </c>
      <c r="M1301" s="182">
        <v>2.0</v>
      </c>
      <c r="N1301" s="183">
        <v>0.19999999999999996</v>
      </c>
      <c r="O1301" s="184">
        <v>187.01</v>
      </c>
      <c r="P1301" s="184">
        <v>149.608</v>
      </c>
      <c r="Q1301" s="185">
        <v>0.0</v>
      </c>
      <c r="R1301" s="186">
        <v>149.608</v>
      </c>
      <c r="S1301" s="186">
        <v>0.0</v>
      </c>
      <c r="T1301" s="186">
        <v>192.01</v>
      </c>
      <c r="U1301" s="187" t="s">
        <v>1367</v>
      </c>
      <c r="V1301" s="176">
        <v>46141.0</v>
      </c>
      <c r="W1301" s="164"/>
      <c r="X1301" s="164"/>
      <c r="Y1301" s="164"/>
      <c r="Z1301" s="164"/>
      <c r="AA1301" s="164"/>
      <c r="AB1301" s="164"/>
      <c r="AC1301" s="164"/>
      <c r="AD1301" s="164"/>
      <c r="AE1301" s="164"/>
      <c r="AF1301" s="164"/>
      <c r="AG1301" s="164"/>
      <c r="AH1301" s="164"/>
      <c r="AI1301" s="164"/>
    </row>
    <row r="1302">
      <c r="A1302" s="176">
        <v>46142.0</v>
      </c>
      <c r="B1302" s="177">
        <v>8483595.0</v>
      </c>
      <c r="C1302" s="178" t="s">
        <v>82</v>
      </c>
      <c r="D1302" s="178" t="s">
        <v>35</v>
      </c>
      <c r="E1302" s="177">
        <v>6.011505751E9</v>
      </c>
      <c r="F1302" s="178" t="s">
        <v>2054</v>
      </c>
      <c r="G1302" s="176">
        <v>46185.0</v>
      </c>
      <c r="H1302" s="179">
        <v>46186.0</v>
      </c>
      <c r="I1302" s="180">
        <v>1.0</v>
      </c>
      <c r="J1302" s="181" t="s">
        <v>78</v>
      </c>
      <c r="K1302" s="178" t="s">
        <v>79</v>
      </c>
      <c r="L1302" s="178" t="s">
        <v>80</v>
      </c>
      <c r="M1302" s="182">
        <v>3.0</v>
      </c>
      <c r="N1302" s="183">
        <v>0.19999999999999996</v>
      </c>
      <c r="O1302" s="184">
        <v>127.43</v>
      </c>
      <c r="P1302" s="184">
        <v>101.94400000000002</v>
      </c>
      <c r="Q1302" s="185">
        <v>0.0</v>
      </c>
      <c r="R1302" s="186">
        <v>101.94400000000002</v>
      </c>
      <c r="S1302" s="186">
        <v>0.0</v>
      </c>
      <c r="T1302" s="186">
        <v>134.93</v>
      </c>
      <c r="U1302" s="187" t="s">
        <v>107</v>
      </c>
      <c r="V1302" s="176">
        <v>46142.0</v>
      </c>
      <c r="W1302" s="175"/>
      <c r="X1302" s="175"/>
      <c r="Y1302" s="175"/>
      <c r="Z1302" s="175"/>
      <c r="AA1302" s="175"/>
      <c r="AB1302" s="175"/>
      <c r="AC1302" s="175"/>
      <c r="AD1302" s="175"/>
      <c r="AE1302" s="175"/>
      <c r="AF1302" s="175"/>
      <c r="AG1302" s="175"/>
      <c r="AH1302" s="175"/>
      <c r="AI1302" s="175"/>
    </row>
    <row r="1303">
      <c r="A1303" s="176">
        <v>46142.0</v>
      </c>
      <c r="B1303" s="177">
        <v>8484188.0</v>
      </c>
      <c r="C1303" s="178" t="s">
        <v>89</v>
      </c>
      <c r="D1303" s="178" t="s">
        <v>35</v>
      </c>
      <c r="E1303" s="177">
        <v>5.7287348E9</v>
      </c>
      <c r="F1303" s="178" t="s">
        <v>2058</v>
      </c>
      <c r="G1303" s="176">
        <v>46358.20833333333</v>
      </c>
      <c r="H1303" s="179">
        <v>46361.20833333333</v>
      </c>
      <c r="I1303" s="180">
        <v>3.0</v>
      </c>
      <c r="J1303" s="181" t="s">
        <v>78</v>
      </c>
      <c r="K1303" s="178" t="s">
        <v>79</v>
      </c>
      <c r="L1303" s="178" t="s">
        <v>80</v>
      </c>
      <c r="M1303" s="182">
        <v>0.0</v>
      </c>
      <c r="N1303" s="183">
        <v>0.0</v>
      </c>
      <c r="O1303" s="184">
        <v>0.0</v>
      </c>
      <c r="P1303" s="184">
        <v>0.0</v>
      </c>
      <c r="Q1303" s="185">
        <v>0.0</v>
      </c>
      <c r="R1303" s="186">
        <v>0.0</v>
      </c>
      <c r="S1303" s="186">
        <v>0.0</v>
      </c>
      <c r="T1303" s="186">
        <v>0.0</v>
      </c>
      <c r="U1303" s="187" t="s">
        <v>2061</v>
      </c>
      <c r="V1303" s="176">
        <v>46244.0</v>
      </c>
      <c r="W1303" s="175"/>
      <c r="X1303" s="175"/>
      <c r="Y1303" s="175"/>
      <c r="Z1303" s="175"/>
      <c r="AA1303" s="175"/>
      <c r="AB1303" s="175"/>
      <c r="AC1303" s="175"/>
      <c r="AD1303" s="175"/>
      <c r="AE1303" s="175"/>
      <c r="AF1303" s="175"/>
      <c r="AG1303" s="175"/>
      <c r="AH1303" s="175"/>
      <c r="AI1303" s="175"/>
    </row>
    <row r="1304">
      <c r="A1304" s="176">
        <v>46142.0</v>
      </c>
      <c r="B1304" s="177">
        <v>8484790.0</v>
      </c>
      <c r="C1304" s="178" t="s">
        <v>82</v>
      </c>
      <c r="D1304" s="178" t="s">
        <v>94</v>
      </c>
      <c r="E1304" s="177">
        <v>8484790.0</v>
      </c>
      <c r="F1304" s="178" t="s">
        <v>841</v>
      </c>
      <c r="G1304" s="176">
        <v>46143.0</v>
      </c>
      <c r="H1304" s="179">
        <v>46144.0</v>
      </c>
      <c r="I1304" s="180">
        <v>1.0</v>
      </c>
      <c r="J1304" s="181" t="s">
        <v>114</v>
      </c>
      <c r="K1304" s="178" t="s">
        <v>79</v>
      </c>
      <c r="L1304" s="178" t="s">
        <v>96</v>
      </c>
      <c r="M1304" s="182">
        <v>2.0</v>
      </c>
      <c r="N1304" s="183">
        <v>0.0</v>
      </c>
      <c r="O1304" s="184">
        <v>270.0</v>
      </c>
      <c r="P1304" s="184">
        <v>270.0</v>
      </c>
      <c r="Q1304" s="185">
        <v>0.0</v>
      </c>
      <c r="R1304" s="186">
        <v>270.0</v>
      </c>
      <c r="S1304" s="186">
        <v>0.0</v>
      </c>
      <c r="T1304" s="186">
        <v>275.0</v>
      </c>
      <c r="U1304" s="187" t="s">
        <v>97</v>
      </c>
      <c r="V1304" s="176">
        <v>46142.0</v>
      </c>
      <c r="W1304" s="175"/>
      <c r="X1304" s="175"/>
      <c r="Y1304" s="175"/>
      <c r="Z1304" s="175"/>
      <c r="AA1304" s="175"/>
      <c r="AB1304" s="175"/>
      <c r="AC1304" s="175"/>
      <c r="AD1304" s="175"/>
      <c r="AE1304" s="175"/>
      <c r="AF1304" s="175"/>
      <c r="AG1304" s="175"/>
      <c r="AH1304" s="175"/>
      <c r="AI1304" s="175"/>
    </row>
    <row r="1305">
      <c r="A1305" s="176">
        <v>46142.0</v>
      </c>
      <c r="B1305" s="177">
        <v>8484829.0</v>
      </c>
      <c r="C1305" s="178" t="s">
        <v>82</v>
      </c>
      <c r="D1305" s="178" t="s">
        <v>94</v>
      </c>
      <c r="E1305" s="177">
        <v>8484829.0</v>
      </c>
      <c r="F1305" s="178" t="s">
        <v>841</v>
      </c>
      <c r="G1305" s="176">
        <v>46142.0</v>
      </c>
      <c r="H1305" s="179">
        <v>46143.0</v>
      </c>
      <c r="I1305" s="180">
        <v>1.0</v>
      </c>
      <c r="J1305" s="181" t="s">
        <v>87</v>
      </c>
      <c r="K1305" s="178" t="s">
        <v>79</v>
      </c>
      <c r="L1305" s="178" t="s">
        <v>96</v>
      </c>
      <c r="M1305" s="182">
        <v>2.0</v>
      </c>
      <c r="N1305" s="183">
        <v>0.0</v>
      </c>
      <c r="O1305" s="184">
        <v>210.24</v>
      </c>
      <c r="P1305" s="184">
        <v>210.24</v>
      </c>
      <c r="Q1305" s="185">
        <v>0.0</v>
      </c>
      <c r="R1305" s="186">
        <v>210.24</v>
      </c>
      <c r="S1305" s="186">
        <v>0.0</v>
      </c>
      <c r="T1305" s="186">
        <v>215.24</v>
      </c>
      <c r="U1305" s="187" t="s">
        <v>97</v>
      </c>
      <c r="V1305" s="176">
        <v>46142.0</v>
      </c>
      <c r="W1305" s="188"/>
      <c r="X1305" s="188"/>
      <c r="Y1305" s="188"/>
      <c r="Z1305" s="188"/>
      <c r="AA1305" s="188"/>
      <c r="AB1305" s="188"/>
      <c r="AC1305" s="188"/>
      <c r="AD1305" s="188"/>
      <c r="AE1305" s="188"/>
      <c r="AF1305" s="188"/>
      <c r="AG1305" s="188"/>
      <c r="AH1305" s="188"/>
      <c r="AI1305" s="188"/>
    </row>
    <row r="1306">
      <c r="A1306" s="176">
        <v>46142.0</v>
      </c>
      <c r="B1306" s="177">
        <v>8484914.0</v>
      </c>
      <c r="C1306" s="178" t="s">
        <v>82</v>
      </c>
      <c r="D1306" s="178" t="s">
        <v>35</v>
      </c>
      <c r="E1306" s="177">
        <v>5.060640051E9</v>
      </c>
      <c r="F1306" s="178" t="s">
        <v>2067</v>
      </c>
      <c r="G1306" s="176">
        <v>46174.0</v>
      </c>
      <c r="H1306" s="179">
        <v>46178.0</v>
      </c>
      <c r="I1306" s="180">
        <v>4.0</v>
      </c>
      <c r="J1306" s="181" t="s">
        <v>78</v>
      </c>
      <c r="K1306" s="178" t="s">
        <v>79</v>
      </c>
      <c r="L1306" s="178" t="s">
        <v>80</v>
      </c>
      <c r="M1306" s="182">
        <v>2.0</v>
      </c>
      <c r="N1306" s="183">
        <v>0.19999999999999996</v>
      </c>
      <c r="O1306" s="184">
        <v>133.25</v>
      </c>
      <c r="P1306" s="184">
        <v>106.60000000000001</v>
      </c>
      <c r="Q1306" s="185">
        <v>0.0</v>
      </c>
      <c r="R1306" s="186">
        <v>426.40000000000003</v>
      </c>
      <c r="S1306" s="186">
        <v>0.0</v>
      </c>
      <c r="T1306" s="186">
        <v>553.0</v>
      </c>
      <c r="U1306" s="187" t="s">
        <v>107</v>
      </c>
      <c r="V1306" s="176">
        <v>46142.0</v>
      </c>
      <c r="W1306" s="188"/>
      <c r="X1306" s="188"/>
      <c r="Y1306" s="188"/>
      <c r="Z1306" s="188"/>
      <c r="AA1306" s="188"/>
      <c r="AB1306" s="188"/>
      <c r="AC1306" s="188"/>
      <c r="AD1306" s="188"/>
      <c r="AE1306" s="188"/>
      <c r="AF1306" s="188"/>
      <c r="AG1306" s="188"/>
      <c r="AH1306" s="188"/>
      <c r="AI1306" s="188"/>
    </row>
    <row r="1307">
      <c r="A1307" s="176">
        <v>46142.0</v>
      </c>
      <c r="B1307" s="177">
        <v>8485752.0</v>
      </c>
      <c r="C1307" s="178" t="s">
        <v>89</v>
      </c>
      <c r="D1307" s="178" t="s">
        <v>94</v>
      </c>
      <c r="E1307" s="177">
        <v>8485752.0</v>
      </c>
      <c r="F1307" s="178" t="s">
        <v>2069</v>
      </c>
      <c r="G1307" s="176">
        <v>46143.0</v>
      </c>
      <c r="H1307" s="179">
        <v>46144.0</v>
      </c>
      <c r="I1307" s="180">
        <v>1.0</v>
      </c>
      <c r="J1307" s="181" t="s">
        <v>87</v>
      </c>
      <c r="K1307" s="178" t="s">
        <v>79</v>
      </c>
      <c r="L1307" s="178" t="s">
        <v>96</v>
      </c>
      <c r="M1307" s="182">
        <v>0.0</v>
      </c>
      <c r="N1307" s="183">
        <v>0.0</v>
      </c>
      <c r="O1307" s="184">
        <v>0.0</v>
      </c>
      <c r="P1307" s="184">
        <v>0.0</v>
      </c>
      <c r="Q1307" s="185">
        <v>0.0</v>
      </c>
      <c r="R1307" s="186">
        <v>0.0</v>
      </c>
      <c r="S1307" s="186">
        <v>0.0</v>
      </c>
      <c r="T1307" s="186">
        <v>0.0</v>
      </c>
      <c r="U1307" s="187" t="s">
        <v>2071</v>
      </c>
      <c r="V1307" s="176">
        <v>46143.0</v>
      </c>
      <c r="W1307" s="164"/>
      <c r="X1307" s="164"/>
      <c r="Y1307" s="164"/>
      <c r="Z1307" s="164"/>
      <c r="AA1307" s="164"/>
      <c r="AB1307" s="164"/>
      <c r="AC1307" s="164"/>
      <c r="AD1307" s="164"/>
      <c r="AE1307" s="164"/>
      <c r="AF1307" s="164"/>
      <c r="AG1307" s="164"/>
      <c r="AH1307" s="164"/>
      <c r="AI1307" s="164"/>
    </row>
    <row r="1308">
      <c r="A1308" s="176">
        <v>46142.0</v>
      </c>
      <c r="B1308" s="177">
        <v>8485758.0</v>
      </c>
      <c r="C1308" s="178" t="s">
        <v>89</v>
      </c>
      <c r="D1308" s="178" t="s">
        <v>94</v>
      </c>
      <c r="E1308" s="177">
        <v>8485758.0</v>
      </c>
      <c r="F1308" s="178" t="s">
        <v>2069</v>
      </c>
      <c r="G1308" s="176">
        <v>46147.0</v>
      </c>
      <c r="H1308" s="179">
        <v>46148.0</v>
      </c>
      <c r="I1308" s="180">
        <v>1.0</v>
      </c>
      <c r="J1308" s="181" t="s">
        <v>114</v>
      </c>
      <c r="K1308" s="178" t="s">
        <v>79</v>
      </c>
      <c r="L1308" s="178" t="s">
        <v>96</v>
      </c>
      <c r="M1308" s="182">
        <v>0.0</v>
      </c>
      <c r="N1308" s="183">
        <v>0.0</v>
      </c>
      <c r="O1308" s="184">
        <v>0.0</v>
      </c>
      <c r="P1308" s="184">
        <v>0.0</v>
      </c>
      <c r="Q1308" s="185">
        <v>0.0</v>
      </c>
      <c r="R1308" s="186">
        <v>0.0</v>
      </c>
      <c r="S1308" s="186">
        <v>0.0</v>
      </c>
      <c r="T1308" s="186">
        <v>0.0</v>
      </c>
      <c r="U1308" s="187" t="s">
        <v>2071</v>
      </c>
      <c r="V1308" s="176">
        <v>46146.0</v>
      </c>
      <c r="W1308" s="175"/>
      <c r="X1308" s="175"/>
      <c r="Y1308" s="175"/>
      <c r="Z1308" s="175"/>
      <c r="AA1308" s="175"/>
      <c r="AB1308" s="175"/>
      <c r="AC1308" s="175"/>
      <c r="AD1308" s="175"/>
      <c r="AE1308" s="175"/>
      <c r="AF1308" s="175"/>
      <c r="AG1308" s="175"/>
      <c r="AH1308" s="175"/>
      <c r="AI1308" s="175"/>
    </row>
    <row r="1309">
      <c r="A1309" s="176">
        <v>46142.0</v>
      </c>
      <c r="B1309" s="177">
        <v>8485783.0</v>
      </c>
      <c r="C1309" s="178" t="s">
        <v>89</v>
      </c>
      <c r="D1309" s="178" t="s">
        <v>94</v>
      </c>
      <c r="E1309" s="177">
        <v>8485783.0</v>
      </c>
      <c r="F1309" s="178" t="s">
        <v>2069</v>
      </c>
      <c r="G1309" s="176">
        <v>46148.0</v>
      </c>
      <c r="H1309" s="179">
        <v>46149.0</v>
      </c>
      <c r="I1309" s="180">
        <v>1.0</v>
      </c>
      <c r="J1309" s="181" t="s">
        <v>78</v>
      </c>
      <c r="K1309" s="178" t="s">
        <v>79</v>
      </c>
      <c r="L1309" s="178" t="s">
        <v>96</v>
      </c>
      <c r="M1309" s="182">
        <v>0.0</v>
      </c>
      <c r="N1309" s="183">
        <v>0.0</v>
      </c>
      <c r="O1309" s="184">
        <v>0.0</v>
      </c>
      <c r="P1309" s="184">
        <v>0.0</v>
      </c>
      <c r="Q1309" s="185">
        <v>0.0</v>
      </c>
      <c r="R1309" s="186">
        <v>0.0</v>
      </c>
      <c r="S1309" s="186">
        <v>0.0</v>
      </c>
      <c r="T1309" s="186">
        <v>0.0</v>
      </c>
      <c r="U1309" s="187" t="s">
        <v>2071</v>
      </c>
      <c r="V1309" s="176">
        <v>46146.0</v>
      </c>
      <c r="W1309" s="175"/>
      <c r="X1309" s="175"/>
      <c r="Y1309" s="175"/>
      <c r="Z1309" s="175"/>
      <c r="AA1309" s="175"/>
      <c r="AB1309" s="175"/>
      <c r="AC1309" s="175"/>
      <c r="AD1309" s="175"/>
      <c r="AE1309" s="175"/>
      <c r="AF1309" s="175"/>
      <c r="AG1309" s="175"/>
      <c r="AH1309" s="175"/>
      <c r="AI1309" s="175"/>
    </row>
    <row r="1310">
      <c r="A1310" s="176">
        <v>46142.0</v>
      </c>
      <c r="B1310" s="177">
        <v>8485790.0</v>
      </c>
      <c r="C1310" s="178" t="s">
        <v>89</v>
      </c>
      <c r="D1310" s="178" t="s">
        <v>94</v>
      </c>
      <c r="E1310" s="177">
        <v>8485790.0</v>
      </c>
      <c r="F1310" s="178" t="s">
        <v>2069</v>
      </c>
      <c r="G1310" s="176">
        <v>46150.0</v>
      </c>
      <c r="H1310" s="179">
        <v>46151.0</v>
      </c>
      <c r="I1310" s="180">
        <v>1.0</v>
      </c>
      <c r="J1310" s="181" t="s">
        <v>91</v>
      </c>
      <c r="K1310" s="178" t="s">
        <v>79</v>
      </c>
      <c r="L1310" s="178" t="s">
        <v>96</v>
      </c>
      <c r="M1310" s="182">
        <v>0.0</v>
      </c>
      <c r="N1310" s="183">
        <v>0.0</v>
      </c>
      <c r="O1310" s="184">
        <v>0.0</v>
      </c>
      <c r="P1310" s="184">
        <v>0.0</v>
      </c>
      <c r="Q1310" s="185">
        <v>0.0</v>
      </c>
      <c r="R1310" s="186">
        <v>0.0</v>
      </c>
      <c r="S1310" s="186">
        <v>0.0</v>
      </c>
      <c r="T1310" s="186">
        <v>0.0</v>
      </c>
      <c r="U1310" s="187" t="s">
        <v>2071</v>
      </c>
      <c r="V1310" s="176">
        <v>46147.0</v>
      </c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</row>
    <row r="1311">
      <c r="A1311" s="176">
        <v>46142.0</v>
      </c>
      <c r="B1311" s="177">
        <v>8485832.0</v>
      </c>
      <c r="C1311" s="178" t="s">
        <v>82</v>
      </c>
      <c r="D1311" s="178" t="s">
        <v>35</v>
      </c>
      <c r="E1311" s="177">
        <v>6.011522146E9</v>
      </c>
      <c r="F1311" s="178" t="s">
        <v>2074</v>
      </c>
      <c r="G1311" s="176">
        <v>46283.0</v>
      </c>
      <c r="H1311" s="179">
        <v>46290.20833333333</v>
      </c>
      <c r="I1311" s="180">
        <v>3.0</v>
      </c>
      <c r="J1311" s="181" t="s">
        <v>111</v>
      </c>
      <c r="K1311" s="178" t="s">
        <v>79</v>
      </c>
      <c r="L1311" s="178" t="s">
        <v>80</v>
      </c>
      <c r="M1311" s="182">
        <v>2.0</v>
      </c>
      <c r="N1311" s="183">
        <v>0.19999999999999996</v>
      </c>
      <c r="O1311" s="184">
        <v>153.53</v>
      </c>
      <c r="P1311" s="184">
        <v>122.82400000000001</v>
      </c>
      <c r="Q1311" s="185">
        <v>0.0</v>
      </c>
      <c r="R1311" s="186">
        <v>368.47200000000004</v>
      </c>
      <c r="S1311" s="186">
        <v>0.0</v>
      </c>
      <c r="T1311" s="186">
        <v>460.59</v>
      </c>
      <c r="U1311" s="187" t="s">
        <v>107</v>
      </c>
      <c r="V1311" s="176">
        <v>46142.0</v>
      </c>
      <c r="W1311" s="175"/>
      <c r="X1311" s="175"/>
      <c r="Y1311" s="175"/>
      <c r="Z1311" s="175"/>
      <c r="AA1311" s="175"/>
      <c r="AB1311" s="175"/>
      <c r="AC1311" s="175"/>
      <c r="AD1311" s="175"/>
      <c r="AE1311" s="175"/>
      <c r="AF1311" s="175"/>
      <c r="AG1311" s="175"/>
      <c r="AH1311" s="175"/>
      <c r="AI1311" s="175"/>
    </row>
    <row r="1312">
      <c r="A1312" s="176">
        <v>46142.0</v>
      </c>
      <c r="B1312" s="177">
        <v>8486830.0</v>
      </c>
      <c r="C1312" s="178" t="s">
        <v>82</v>
      </c>
      <c r="D1312" s="178" t="s">
        <v>35</v>
      </c>
      <c r="E1312" s="177">
        <v>5.510100121E9</v>
      </c>
      <c r="F1312" s="178" t="s">
        <v>2076</v>
      </c>
      <c r="G1312" s="176">
        <v>46166.0</v>
      </c>
      <c r="H1312" s="179">
        <v>46169.0</v>
      </c>
      <c r="I1312" s="180">
        <v>3.0</v>
      </c>
      <c r="J1312" s="181" t="s">
        <v>78</v>
      </c>
      <c r="K1312" s="178" t="s">
        <v>79</v>
      </c>
      <c r="L1312" s="178" t="s">
        <v>80</v>
      </c>
      <c r="M1312" s="182">
        <v>2.0</v>
      </c>
      <c r="N1312" s="183">
        <v>0.19999999999999996</v>
      </c>
      <c r="O1312" s="184">
        <v>179.37</v>
      </c>
      <c r="P1312" s="184">
        <v>143.496</v>
      </c>
      <c r="Q1312" s="185">
        <v>0.0</v>
      </c>
      <c r="R1312" s="186">
        <v>430.48800000000006</v>
      </c>
      <c r="S1312" s="186">
        <v>0.0</v>
      </c>
      <c r="T1312" s="186">
        <v>553.11</v>
      </c>
      <c r="U1312" s="187" t="s">
        <v>143</v>
      </c>
      <c r="V1312" s="176">
        <v>46142.0</v>
      </c>
      <c r="W1312" s="175"/>
      <c r="X1312" s="175"/>
      <c r="Y1312" s="175"/>
      <c r="Z1312" s="175"/>
      <c r="AA1312" s="175"/>
      <c r="AB1312" s="175"/>
      <c r="AC1312" s="175"/>
      <c r="AD1312" s="175"/>
      <c r="AE1312" s="175"/>
      <c r="AF1312" s="175"/>
      <c r="AG1312" s="175"/>
      <c r="AH1312" s="175"/>
      <c r="AI1312" s="175"/>
    </row>
    <row r="1313">
      <c r="A1313" s="176">
        <v>46143.0</v>
      </c>
      <c r="B1313" s="177">
        <v>8487055.0</v>
      </c>
      <c r="C1313" s="178" t="s">
        <v>89</v>
      </c>
      <c r="D1313" s="178" t="s">
        <v>36</v>
      </c>
      <c r="E1313" s="177">
        <v>8487055.0</v>
      </c>
      <c r="F1313" s="178" t="s">
        <v>2081</v>
      </c>
      <c r="G1313" s="176">
        <v>46460.0</v>
      </c>
      <c r="H1313" s="179">
        <v>46467.20833333333</v>
      </c>
      <c r="I1313" s="180">
        <v>3.0</v>
      </c>
      <c r="J1313" s="181" t="s">
        <v>111</v>
      </c>
      <c r="K1313" s="178" t="s">
        <v>79</v>
      </c>
      <c r="L1313" s="178" t="s">
        <v>96</v>
      </c>
      <c r="M1313" s="182">
        <v>0.0</v>
      </c>
      <c r="N1313" s="183">
        <v>0.0</v>
      </c>
      <c r="O1313" s="184">
        <v>0.0</v>
      </c>
      <c r="P1313" s="184">
        <v>0.0</v>
      </c>
      <c r="Q1313" s="185">
        <v>0.0</v>
      </c>
      <c r="R1313" s="186">
        <v>0.0</v>
      </c>
      <c r="S1313" s="186">
        <v>0.0</v>
      </c>
      <c r="T1313" s="186">
        <v>0.0</v>
      </c>
      <c r="U1313" s="187" t="s">
        <v>2085</v>
      </c>
      <c r="V1313" s="176">
        <v>46150.0</v>
      </c>
      <c r="W1313" s="164"/>
      <c r="X1313" s="164"/>
      <c r="Y1313" s="164"/>
      <c r="Z1313" s="164"/>
      <c r="AA1313" s="164"/>
      <c r="AB1313" s="164"/>
      <c r="AC1313" s="164"/>
      <c r="AD1313" s="164"/>
      <c r="AE1313" s="164"/>
      <c r="AF1313" s="164"/>
      <c r="AG1313" s="164"/>
      <c r="AH1313" s="164"/>
      <c r="AI1313" s="164"/>
    </row>
    <row r="1314">
      <c r="A1314" s="176">
        <v>46143.0</v>
      </c>
      <c r="B1314" s="177">
        <v>8487055.0</v>
      </c>
      <c r="C1314" s="178" t="s">
        <v>89</v>
      </c>
      <c r="D1314" s="178" t="s">
        <v>36</v>
      </c>
      <c r="E1314" s="177">
        <v>8487055.0</v>
      </c>
      <c r="F1314" s="178" t="s">
        <v>2081</v>
      </c>
      <c r="G1314" s="176">
        <v>46460.0</v>
      </c>
      <c r="H1314" s="179">
        <v>46467.20833333333</v>
      </c>
      <c r="I1314" s="180">
        <v>3.0</v>
      </c>
      <c r="J1314" s="181" t="s">
        <v>111</v>
      </c>
      <c r="K1314" s="178" t="s">
        <v>79</v>
      </c>
      <c r="L1314" s="178" t="s">
        <v>96</v>
      </c>
      <c r="M1314" s="182">
        <v>0.0</v>
      </c>
      <c r="N1314" s="183">
        <v>0.0</v>
      </c>
      <c r="O1314" s="184">
        <v>0.0</v>
      </c>
      <c r="P1314" s="184">
        <v>0.0</v>
      </c>
      <c r="Q1314" s="185">
        <v>0.0</v>
      </c>
      <c r="R1314" s="186">
        <v>0.0</v>
      </c>
      <c r="S1314" s="186">
        <v>0.0</v>
      </c>
      <c r="T1314" s="186">
        <v>0.0</v>
      </c>
      <c r="U1314" s="187" t="s">
        <v>2085</v>
      </c>
      <c r="V1314" s="176">
        <v>46150.0</v>
      </c>
      <c r="W1314" s="164"/>
      <c r="X1314" s="164"/>
      <c r="Y1314" s="164"/>
      <c r="Z1314" s="164"/>
      <c r="AA1314" s="164"/>
      <c r="AB1314" s="164"/>
      <c r="AC1314" s="164"/>
      <c r="AD1314" s="164"/>
      <c r="AE1314" s="164"/>
      <c r="AF1314" s="164"/>
      <c r="AG1314" s="164"/>
      <c r="AH1314" s="164"/>
      <c r="AI1314" s="164"/>
    </row>
    <row r="1315">
      <c r="A1315" s="176">
        <v>46143.0</v>
      </c>
      <c r="B1315" s="177">
        <v>8487055.0</v>
      </c>
      <c r="C1315" s="178" t="s">
        <v>89</v>
      </c>
      <c r="D1315" s="178" t="s">
        <v>36</v>
      </c>
      <c r="E1315" s="177">
        <v>8487055.0</v>
      </c>
      <c r="F1315" s="178" t="s">
        <v>2081</v>
      </c>
      <c r="G1315" s="176">
        <v>46460.0</v>
      </c>
      <c r="H1315" s="179">
        <v>46467.20833333333</v>
      </c>
      <c r="I1315" s="180">
        <v>3.0</v>
      </c>
      <c r="J1315" s="181" t="s">
        <v>114</v>
      </c>
      <c r="K1315" s="178" t="s">
        <v>79</v>
      </c>
      <c r="L1315" s="178" t="s">
        <v>96</v>
      </c>
      <c r="M1315" s="182">
        <v>0.0</v>
      </c>
      <c r="N1315" s="183">
        <v>0.0</v>
      </c>
      <c r="O1315" s="184">
        <v>0.0</v>
      </c>
      <c r="P1315" s="184">
        <v>0.0</v>
      </c>
      <c r="Q1315" s="185">
        <v>0.0</v>
      </c>
      <c r="R1315" s="186">
        <v>0.0</v>
      </c>
      <c r="S1315" s="186">
        <v>0.0</v>
      </c>
      <c r="T1315" s="186">
        <v>0.0</v>
      </c>
      <c r="U1315" s="187" t="s">
        <v>2085</v>
      </c>
      <c r="V1315" s="176">
        <v>46150.0</v>
      </c>
      <c r="W1315" s="175"/>
      <c r="X1315" s="175"/>
      <c r="Y1315" s="175"/>
      <c r="Z1315" s="175"/>
      <c r="AA1315" s="175"/>
      <c r="AB1315" s="175"/>
      <c r="AC1315" s="175"/>
      <c r="AD1315" s="175"/>
      <c r="AE1315" s="175"/>
      <c r="AF1315" s="175"/>
      <c r="AG1315" s="175"/>
      <c r="AH1315" s="175"/>
      <c r="AI1315" s="175"/>
    </row>
    <row r="1316">
      <c r="A1316" s="176">
        <v>46143.0</v>
      </c>
      <c r="B1316" s="177">
        <v>8487055.0</v>
      </c>
      <c r="C1316" s="178" t="s">
        <v>89</v>
      </c>
      <c r="D1316" s="178" t="s">
        <v>36</v>
      </c>
      <c r="E1316" s="177">
        <v>8487055.0</v>
      </c>
      <c r="F1316" s="178" t="s">
        <v>2081</v>
      </c>
      <c r="G1316" s="176">
        <v>46460.0</v>
      </c>
      <c r="H1316" s="179">
        <v>46467.20833333333</v>
      </c>
      <c r="I1316" s="180">
        <v>3.0</v>
      </c>
      <c r="J1316" s="181" t="s">
        <v>114</v>
      </c>
      <c r="K1316" s="178" t="s">
        <v>79</v>
      </c>
      <c r="L1316" s="178" t="s">
        <v>96</v>
      </c>
      <c r="M1316" s="182">
        <v>0.0</v>
      </c>
      <c r="N1316" s="183">
        <v>0.0</v>
      </c>
      <c r="O1316" s="184">
        <v>0.0</v>
      </c>
      <c r="P1316" s="184">
        <v>0.0</v>
      </c>
      <c r="Q1316" s="185">
        <v>0.0</v>
      </c>
      <c r="R1316" s="186">
        <v>0.0</v>
      </c>
      <c r="S1316" s="186">
        <v>0.0</v>
      </c>
      <c r="T1316" s="186">
        <v>0.0</v>
      </c>
      <c r="U1316" s="187" t="s">
        <v>2085</v>
      </c>
      <c r="V1316" s="176">
        <v>46150.0</v>
      </c>
      <c r="W1316" s="175"/>
      <c r="X1316" s="175"/>
      <c r="Y1316" s="175"/>
      <c r="Z1316" s="175"/>
      <c r="AA1316" s="175"/>
      <c r="AB1316" s="175"/>
      <c r="AC1316" s="175"/>
      <c r="AD1316" s="175"/>
      <c r="AE1316" s="175"/>
      <c r="AF1316" s="175"/>
      <c r="AG1316" s="175"/>
      <c r="AH1316" s="175"/>
      <c r="AI1316" s="175"/>
    </row>
    <row r="1317">
      <c r="A1317" s="176">
        <v>46143.0</v>
      </c>
      <c r="B1317" s="177">
        <v>8487055.0</v>
      </c>
      <c r="C1317" s="178" t="s">
        <v>89</v>
      </c>
      <c r="D1317" s="178" t="s">
        <v>36</v>
      </c>
      <c r="E1317" s="177">
        <v>8487055.0</v>
      </c>
      <c r="F1317" s="178" t="s">
        <v>2081</v>
      </c>
      <c r="G1317" s="176">
        <v>46460.0</v>
      </c>
      <c r="H1317" s="179">
        <v>46467.20833333333</v>
      </c>
      <c r="I1317" s="180">
        <v>3.0</v>
      </c>
      <c r="J1317" s="181" t="s">
        <v>78</v>
      </c>
      <c r="K1317" s="178" t="s">
        <v>79</v>
      </c>
      <c r="L1317" s="178" t="s">
        <v>96</v>
      </c>
      <c r="M1317" s="182">
        <v>0.0</v>
      </c>
      <c r="N1317" s="183">
        <v>0.0</v>
      </c>
      <c r="O1317" s="184">
        <v>0.0</v>
      </c>
      <c r="P1317" s="184">
        <v>0.0</v>
      </c>
      <c r="Q1317" s="185">
        <v>0.0</v>
      </c>
      <c r="R1317" s="186">
        <v>0.0</v>
      </c>
      <c r="S1317" s="186">
        <v>0.0</v>
      </c>
      <c r="T1317" s="186">
        <v>0.0</v>
      </c>
      <c r="U1317" s="187" t="s">
        <v>2085</v>
      </c>
      <c r="V1317" s="176">
        <v>46150.0</v>
      </c>
      <c r="W1317" s="188"/>
      <c r="X1317" s="188"/>
      <c r="Y1317" s="188"/>
      <c r="Z1317" s="188"/>
      <c r="AA1317" s="188"/>
      <c r="AB1317" s="188"/>
      <c r="AC1317" s="188"/>
      <c r="AD1317" s="188"/>
      <c r="AE1317" s="188"/>
      <c r="AF1317" s="188"/>
      <c r="AG1317" s="188"/>
      <c r="AH1317" s="188"/>
      <c r="AI1317" s="188"/>
    </row>
    <row r="1318">
      <c r="A1318" s="176">
        <v>46143.0</v>
      </c>
      <c r="B1318" s="177">
        <v>8487055.0</v>
      </c>
      <c r="C1318" s="178" t="s">
        <v>89</v>
      </c>
      <c r="D1318" s="178" t="s">
        <v>36</v>
      </c>
      <c r="E1318" s="177">
        <v>8487055.0</v>
      </c>
      <c r="F1318" s="178" t="s">
        <v>2081</v>
      </c>
      <c r="G1318" s="176">
        <v>46460.0</v>
      </c>
      <c r="H1318" s="179">
        <v>46467.20833333333</v>
      </c>
      <c r="I1318" s="180">
        <v>3.0</v>
      </c>
      <c r="J1318" s="181" t="s">
        <v>78</v>
      </c>
      <c r="K1318" s="178" t="s">
        <v>79</v>
      </c>
      <c r="L1318" s="178" t="s">
        <v>96</v>
      </c>
      <c r="M1318" s="182">
        <v>0.0</v>
      </c>
      <c r="N1318" s="183">
        <v>0.0</v>
      </c>
      <c r="O1318" s="184">
        <v>0.0</v>
      </c>
      <c r="P1318" s="184">
        <v>0.0</v>
      </c>
      <c r="Q1318" s="185">
        <v>0.0</v>
      </c>
      <c r="R1318" s="186">
        <v>0.0</v>
      </c>
      <c r="S1318" s="186">
        <v>0.0</v>
      </c>
      <c r="T1318" s="186">
        <v>0.0</v>
      </c>
      <c r="U1318" s="187" t="s">
        <v>2085</v>
      </c>
      <c r="V1318" s="176">
        <v>46150.0</v>
      </c>
      <c r="W1318" s="164"/>
      <c r="X1318" s="164"/>
      <c r="Y1318" s="164"/>
      <c r="Z1318" s="164"/>
      <c r="AA1318" s="164"/>
      <c r="AB1318" s="164"/>
      <c r="AC1318" s="164"/>
      <c r="AD1318" s="164"/>
      <c r="AE1318" s="164"/>
      <c r="AF1318" s="164"/>
      <c r="AG1318" s="164"/>
      <c r="AH1318" s="164"/>
      <c r="AI1318" s="164"/>
    </row>
    <row r="1319">
      <c r="A1319" s="176">
        <v>46143.0</v>
      </c>
      <c r="B1319" s="177">
        <v>8487055.0</v>
      </c>
      <c r="C1319" s="178" t="s">
        <v>89</v>
      </c>
      <c r="D1319" s="178" t="s">
        <v>36</v>
      </c>
      <c r="E1319" s="177">
        <v>8487055.0</v>
      </c>
      <c r="F1319" s="178" t="s">
        <v>2081</v>
      </c>
      <c r="G1319" s="176">
        <v>46460.0</v>
      </c>
      <c r="H1319" s="179">
        <v>46467.20833333333</v>
      </c>
      <c r="I1319" s="180">
        <v>3.0</v>
      </c>
      <c r="J1319" s="181" t="s">
        <v>87</v>
      </c>
      <c r="K1319" s="178" t="s">
        <v>79</v>
      </c>
      <c r="L1319" s="178" t="s">
        <v>96</v>
      </c>
      <c r="M1319" s="182">
        <v>0.0</v>
      </c>
      <c r="N1319" s="183">
        <v>0.0</v>
      </c>
      <c r="O1319" s="184">
        <v>0.0</v>
      </c>
      <c r="P1319" s="184">
        <v>0.0</v>
      </c>
      <c r="Q1319" s="185">
        <v>0.0</v>
      </c>
      <c r="R1319" s="186">
        <v>0.0</v>
      </c>
      <c r="S1319" s="186">
        <v>0.0</v>
      </c>
      <c r="T1319" s="186">
        <v>0.0</v>
      </c>
      <c r="U1319" s="187" t="s">
        <v>2085</v>
      </c>
      <c r="V1319" s="176">
        <v>46150.0</v>
      </c>
      <c r="W1319" s="175"/>
      <c r="X1319" s="175"/>
      <c r="Y1319" s="175"/>
      <c r="Z1319" s="175"/>
      <c r="AA1319" s="175"/>
      <c r="AB1319" s="175"/>
      <c r="AC1319" s="175"/>
      <c r="AD1319" s="175"/>
      <c r="AE1319" s="175"/>
      <c r="AF1319" s="175"/>
      <c r="AG1319" s="175"/>
      <c r="AH1319" s="175"/>
      <c r="AI1319" s="175"/>
    </row>
    <row r="1320">
      <c r="A1320" s="176">
        <v>46143.0</v>
      </c>
      <c r="B1320" s="177">
        <v>8487436.0</v>
      </c>
      <c r="C1320" s="178" t="s">
        <v>89</v>
      </c>
      <c r="D1320" s="178" t="s">
        <v>35</v>
      </c>
      <c r="E1320" s="177">
        <v>6.415309649E9</v>
      </c>
      <c r="F1320" s="178" t="s">
        <v>2095</v>
      </c>
      <c r="G1320" s="176">
        <v>46270.0</v>
      </c>
      <c r="H1320" s="179">
        <v>46271.0</v>
      </c>
      <c r="I1320" s="180">
        <v>1.0</v>
      </c>
      <c r="J1320" s="181" t="s">
        <v>114</v>
      </c>
      <c r="K1320" s="178" t="s">
        <v>79</v>
      </c>
      <c r="L1320" s="178" t="s">
        <v>80</v>
      </c>
      <c r="M1320" s="182">
        <v>0.0</v>
      </c>
      <c r="N1320" s="183">
        <v>0.0</v>
      </c>
      <c r="O1320" s="184">
        <v>0.0</v>
      </c>
      <c r="P1320" s="184">
        <v>0.0</v>
      </c>
      <c r="Q1320" s="185">
        <v>0.0</v>
      </c>
      <c r="R1320" s="186">
        <v>0.0</v>
      </c>
      <c r="S1320" s="186">
        <v>0.0</v>
      </c>
      <c r="T1320" s="186">
        <v>0.0</v>
      </c>
      <c r="U1320" s="187" t="s">
        <v>2096</v>
      </c>
      <c r="V1320" s="176">
        <v>46182.0</v>
      </c>
      <c r="W1320" s="175"/>
      <c r="X1320" s="175"/>
      <c r="Y1320" s="175"/>
      <c r="Z1320" s="175"/>
      <c r="AA1320" s="175"/>
      <c r="AB1320" s="175"/>
      <c r="AC1320" s="175"/>
      <c r="AD1320" s="175"/>
      <c r="AE1320" s="175"/>
      <c r="AF1320" s="175"/>
      <c r="AG1320" s="175"/>
      <c r="AH1320" s="175"/>
      <c r="AI1320" s="175"/>
    </row>
    <row r="1321">
      <c r="A1321" s="176">
        <v>46143.0</v>
      </c>
      <c r="B1321" s="177">
        <v>8488432.0</v>
      </c>
      <c r="C1321" s="178" t="s">
        <v>82</v>
      </c>
      <c r="D1321" s="178" t="s">
        <v>94</v>
      </c>
      <c r="E1321" s="177">
        <v>8488432.0</v>
      </c>
      <c r="F1321" s="178" t="s">
        <v>2099</v>
      </c>
      <c r="G1321" s="176">
        <v>46143.0</v>
      </c>
      <c r="H1321" s="179">
        <v>46144.0</v>
      </c>
      <c r="I1321" s="180">
        <v>1.0</v>
      </c>
      <c r="J1321" s="181" t="s">
        <v>87</v>
      </c>
      <c r="K1321" s="178" t="s">
        <v>79</v>
      </c>
      <c r="L1321" s="178" t="s">
        <v>96</v>
      </c>
      <c r="M1321" s="182">
        <v>2.0</v>
      </c>
      <c r="N1321" s="183">
        <v>0.0</v>
      </c>
      <c r="O1321" s="184">
        <v>210.24</v>
      </c>
      <c r="P1321" s="184">
        <v>210.24</v>
      </c>
      <c r="Q1321" s="185">
        <v>0.0</v>
      </c>
      <c r="R1321" s="186">
        <v>210.24</v>
      </c>
      <c r="S1321" s="186">
        <v>0.0</v>
      </c>
      <c r="T1321" s="186">
        <v>215.24</v>
      </c>
      <c r="U1321" s="187" t="s">
        <v>97</v>
      </c>
      <c r="V1321" s="176">
        <v>46143.0</v>
      </c>
      <c r="W1321" s="175"/>
      <c r="X1321" s="175"/>
      <c r="Y1321" s="175"/>
      <c r="Z1321" s="175"/>
      <c r="AA1321" s="175"/>
      <c r="AB1321" s="175"/>
      <c r="AC1321" s="175"/>
      <c r="AD1321" s="175"/>
      <c r="AE1321" s="175"/>
      <c r="AF1321" s="175"/>
      <c r="AG1321" s="175"/>
      <c r="AH1321" s="175"/>
      <c r="AI1321" s="175"/>
    </row>
    <row r="1322">
      <c r="A1322" s="176">
        <v>46143.0</v>
      </c>
      <c r="B1322" s="177">
        <v>8488645.0</v>
      </c>
      <c r="C1322" s="178" t="s">
        <v>82</v>
      </c>
      <c r="D1322" s="178" t="s">
        <v>35</v>
      </c>
      <c r="E1322" s="177">
        <v>5.75237561E9</v>
      </c>
      <c r="F1322" s="178" t="s">
        <v>2102</v>
      </c>
      <c r="G1322" s="176">
        <v>46390.20833333333</v>
      </c>
      <c r="H1322" s="179">
        <v>46395.20833333333</v>
      </c>
      <c r="I1322" s="180">
        <v>5.0</v>
      </c>
      <c r="J1322" s="181" t="s">
        <v>114</v>
      </c>
      <c r="K1322" s="178" t="s">
        <v>79</v>
      </c>
      <c r="L1322" s="178" t="s">
        <v>80</v>
      </c>
      <c r="M1322" s="182">
        <v>2.0</v>
      </c>
      <c r="N1322" s="183">
        <v>0.19999999999999996</v>
      </c>
      <c r="O1322" s="184">
        <v>314.41999999999996</v>
      </c>
      <c r="P1322" s="184">
        <v>251.53599999999997</v>
      </c>
      <c r="Q1322" s="185">
        <v>0.0</v>
      </c>
      <c r="R1322" s="186">
        <v>1257.6799999999998</v>
      </c>
      <c r="S1322" s="186">
        <v>0.0</v>
      </c>
      <c r="T1322" s="186">
        <v>3002.45</v>
      </c>
      <c r="U1322" s="187" t="s">
        <v>303</v>
      </c>
      <c r="V1322" s="176">
        <v>46143.0</v>
      </c>
      <c r="W1322" s="175"/>
      <c r="X1322" s="175"/>
      <c r="Y1322" s="175"/>
      <c r="Z1322" s="175"/>
      <c r="AA1322" s="175"/>
      <c r="AB1322" s="175"/>
      <c r="AC1322" s="175"/>
      <c r="AD1322" s="175"/>
      <c r="AE1322" s="175"/>
      <c r="AF1322" s="175"/>
      <c r="AG1322" s="175"/>
      <c r="AH1322" s="175"/>
      <c r="AI1322" s="175"/>
    </row>
    <row r="1323">
      <c r="A1323" s="176">
        <v>46143.0</v>
      </c>
      <c r="B1323" s="177">
        <v>8488645.0</v>
      </c>
      <c r="C1323" s="178" t="s">
        <v>82</v>
      </c>
      <c r="D1323" s="178" t="s">
        <v>35</v>
      </c>
      <c r="E1323" s="177">
        <v>5.75237561E9</v>
      </c>
      <c r="F1323" s="178" t="s">
        <v>2102</v>
      </c>
      <c r="G1323" s="176">
        <v>46390.20833333333</v>
      </c>
      <c r="H1323" s="179">
        <v>46395.20833333333</v>
      </c>
      <c r="I1323" s="180">
        <v>5.0</v>
      </c>
      <c r="J1323" s="181" t="s">
        <v>78</v>
      </c>
      <c r="K1323" s="178" t="s">
        <v>79</v>
      </c>
      <c r="L1323" s="178" t="s">
        <v>80</v>
      </c>
      <c r="M1323" s="182">
        <v>2.0</v>
      </c>
      <c r="N1323" s="183">
        <v>0.19999999999999996</v>
      </c>
      <c r="O1323" s="184">
        <v>286.07</v>
      </c>
      <c r="P1323" s="184">
        <v>228.856</v>
      </c>
      <c r="Q1323" s="185">
        <v>0.0</v>
      </c>
      <c r="R1323" s="186">
        <v>1144.28</v>
      </c>
      <c r="S1323" s="186">
        <v>0.0</v>
      </c>
      <c r="T1323" s="186">
        <v>3002.45</v>
      </c>
      <c r="U1323" s="187" t="s">
        <v>303</v>
      </c>
      <c r="V1323" s="176">
        <v>46143.0</v>
      </c>
      <c r="W1323" s="175"/>
      <c r="X1323" s="175"/>
      <c r="Y1323" s="175"/>
      <c r="Z1323" s="175"/>
      <c r="AA1323" s="175"/>
      <c r="AB1323" s="175"/>
      <c r="AC1323" s="175"/>
      <c r="AD1323" s="175"/>
      <c r="AE1323" s="175"/>
      <c r="AF1323" s="175"/>
      <c r="AG1323" s="175"/>
      <c r="AH1323" s="175"/>
      <c r="AI1323" s="175"/>
    </row>
    <row r="1324">
      <c r="A1324" s="176">
        <v>46143.0</v>
      </c>
      <c r="B1324" s="177">
        <v>8490005.0</v>
      </c>
      <c r="C1324" s="178" t="s">
        <v>82</v>
      </c>
      <c r="D1324" s="178" t="s">
        <v>35</v>
      </c>
      <c r="E1324" s="177">
        <v>5.602828159E9</v>
      </c>
      <c r="F1324" s="178" t="s">
        <v>2102</v>
      </c>
      <c r="G1324" s="176">
        <v>46390.20833333333</v>
      </c>
      <c r="H1324" s="179">
        <v>46395.20833333333</v>
      </c>
      <c r="I1324" s="180">
        <v>5.0</v>
      </c>
      <c r="J1324" s="181" t="s">
        <v>78</v>
      </c>
      <c r="K1324" s="178" t="s">
        <v>79</v>
      </c>
      <c r="L1324" s="178" t="s">
        <v>80</v>
      </c>
      <c r="M1324" s="182">
        <v>2.0</v>
      </c>
      <c r="N1324" s="183">
        <v>0.19999999999999996</v>
      </c>
      <c r="O1324" s="184">
        <v>281.07</v>
      </c>
      <c r="P1324" s="184">
        <v>224.856</v>
      </c>
      <c r="Q1324" s="185">
        <v>0.0</v>
      </c>
      <c r="R1324" s="186">
        <v>1124.28</v>
      </c>
      <c r="S1324" s="186">
        <v>0.0</v>
      </c>
      <c r="T1324" s="186">
        <v>6008.95</v>
      </c>
      <c r="U1324" s="187" t="s">
        <v>303</v>
      </c>
      <c r="V1324" s="176">
        <v>46143.0</v>
      </c>
      <c r="W1324" s="164"/>
      <c r="X1324" s="164"/>
      <c r="Y1324" s="164"/>
      <c r="Z1324" s="164"/>
      <c r="AA1324" s="164"/>
      <c r="AB1324" s="164"/>
      <c r="AC1324" s="164"/>
      <c r="AD1324" s="164"/>
      <c r="AE1324" s="164"/>
      <c r="AF1324" s="164"/>
      <c r="AG1324" s="164"/>
      <c r="AH1324" s="164"/>
      <c r="AI1324" s="164"/>
    </row>
    <row r="1325">
      <c r="A1325" s="176">
        <v>46143.0</v>
      </c>
      <c r="B1325" s="177">
        <v>8490005.0</v>
      </c>
      <c r="C1325" s="178" t="s">
        <v>82</v>
      </c>
      <c r="D1325" s="178" t="s">
        <v>35</v>
      </c>
      <c r="E1325" s="177">
        <v>5.602828159E9</v>
      </c>
      <c r="F1325" s="178" t="s">
        <v>2102</v>
      </c>
      <c r="G1325" s="176">
        <v>46390.20833333333</v>
      </c>
      <c r="H1325" s="179">
        <v>46395.20833333333</v>
      </c>
      <c r="I1325" s="180">
        <v>5.0</v>
      </c>
      <c r="J1325" s="181" t="s">
        <v>87</v>
      </c>
      <c r="K1325" s="178" t="s">
        <v>79</v>
      </c>
      <c r="L1325" s="178" t="s">
        <v>80</v>
      </c>
      <c r="M1325" s="182">
        <v>2.0</v>
      </c>
      <c r="N1325" s="183">
        <v>0.19999999999999996</v>
      </c>
      <c r="O1325" s="184">
        <v>253.53000000000003</v>
      </c>
      <c r="P1325" s="184">
        <v>202.82400000000004</v>
      </c>
      <c r="Q1325" s="185">
        <v>0.0</v>
      </c>
      <c r="R1325" s="186">
        <v>1014.1200000000002</v>
      </c>
      <c r="S1325" s="186">
        <v>0.0</v>
      </c>
      <c r="T1325" s="186">
        <v>6008.95</v>
      </c>
      <c r="U1325" s="187" t="s">
        <v>303</v>
      </c>
      <c r="V1325" s="176">
        <v>46143.0</v>
      </c>
      <c r="W1325" s="175"/>
      <c r="X1325" s="175"/>
      <c r="Y1325" s="175"/>
      <c r="Z1325" s="175"/>
      <c r="AA1325" s="175"/>
      <c r="AB1325" s="175"/>
      <c r="AC1325" s="175"/>
      <c r="AD1325" s="175"/>
      <c r="AE1325" s="175"/>
      <c r="AF1325" s="175"/>
      <c r="AG1325" s="175"/>
      <c r="AH1325" s="175"/>
      <c r="AI1325" s="175"/>
    </row>
    <row r="1326">
      <c r="A1326" s="176">
        <v>46143.0</v>
      </c>
      <c r="B1326" s="177">
        <v>8490005.0</v>
      </c>
      <c r="C1326" s="178" t="s">
        <v>82</v>
      </c>
      <c r="D1326" s="178" t="s">
        <v>35</v>
      </c>
      <c r="E1326" s="177">
        <v>5.602828159E9</v>
      </c>
      <c r="F1326" s="178" t="s">
        <v>2102</v>
      </c>
      <c r="G1326" s="176">
        <v>46390.20833333333</v>
      </c>
      <c r="H1326" s="179">
        <v>46395.20833333333</v>
      </c>
      <c r="I1326" s="180">
        <v>5.0</v>
      </c>
      <c r="J1326" s="181" t="s">
        <v>91</v>
      </c>
      <c r="K1326" s="178" t="s">
        <v>79</v>
      </c>
      <c r="L1326" s="178" t="s">
        <v>80</v>
      </c>
      <c r="M1326" s="182">
        <v>4.0</v>
      </c>
      <c r="N1326" s="183">
        <v>0.19999999999999996</v>
      </c>
      <c r="O1326" s="184">
        <v>647.1899999999999</v>
      </c>
      <c r="P1326" s="184">
        <v>517.752</v>
      </c>
      <c r="Q1326" s="185">
        <v>0.0</v>
      </c>
      <c r="R1326" s="186">
        <v>2588.7599999999998</v>
      </c>
      <c r="S1326" s="186">
        <v>0.0</v>
      </c>
      <c r="T1326" s="186">
        <v>6008.95</v>
      </c>
      <c r="U1326" s="187" t="s">
        <v>303</v>
      </c>
      <c r="V1326" s="176">
        <v>46143.0</v>
      </c>
      <c r="W1326" s="175"/>
      <c r="X1326" s="175"/>
      <c r="Y1326" s="175"/>
      <c r="Z1326" s="175"/>
      <c r="AA1326" s="175"/>
      <c r="AB1326" s="175"/>
      <c r="AC1326" s="175"/>
      <c r="AD1326" s="175"/>
      <c r="AE1326" s="175"/>
      <c r="AF1326" s="175"/>
      <c r="AG1326" s="175"/>
      <c r="AH1326" s="175"/>
      <c r="AI1326" s="175"/>
    </row>
    <row r="1327">
      <c r="A1327" s="176">
        <v>46143.0</v>
      </c>
      <c r="B1327" s="177">
        <v>8490932.0</v>
      </c>
      <c r="C1327" s="178" t="s">
        <v>82</v>
      </c>
      <c r="D1327" s="178" t="s">
        <v>35</v>
      </c>
      <c r="E1327" s="177">
        <v>5.271207621E9</v>
      </c>
      <c r="F1327" s="178" t="s">
        <v>2109</v>
      </c>
      <c r="G1327" s="176">
        <v>46155.0</v>
      </c>
      <c r="H1327" s="179">
        <v>46158.0</v>
      </c>
      <c r="I1327" s="180">
        <v>3.0</v>
      </c>
      <c r="J1327" s="181" t="s">
        <v>78</v>
      </c>
      <c r="K1327" s="178" t="s">
        <v>79</v>
      </c>
      <c r="L1327" s="178" t="s">
        <v>80</v>
      </c>
      <c r="M1327" s="182">
        <v>1.0</v>
      </c>
      <c r="N1327" s="183">
        <v>0.19999999999999996</v>
      </c>
      <c r="O1327" s="184">
        <v>175.82000000000002</v>
      </c>
      <c r="P1327" s="184">
        <v>140.65600000000003</v>
      </c>
      <c r="Q1327" s="185">
        <v>0.0</v>
      </c>
      <c r="R1327" s="186">
        <v>421.9680000000001</v>
      </c>
      <c r="S1327" s="186">
        <v>0.0</v>
      </c>
      <c r="T1327" s="186">
        <v>534.96</v>
      </c>
      <c r="U1327" s="187" t="s">
        <v>1441</v>
      </c>
      <c r="V1327" s="176">
        <v>46143.0</v>
      </c>
      <c r="W1327" s="175"/>
      <c r="X1327" s="175"/>
      <c r="Y1327" s="175"/>
      <c r="Z1327" s="175"/>
      <c r="AA1327" s="175"/>
      <c r="AB1327" s="175"/>
      <c r="AC1327" s="175"/>
      <c r="AD1327" s="175"/>
      <c r="AE1327" s="175"/>
      <c r="AF1327" s="175"/>
      <c r="AG1327" s="175"/>
      <c r="AH1327" s="175"/>
      <c r="AI1327" s="175"/>
    </row>
    <row r="1328">
      <c r="A1328" s="176">
        <v>46144.0</v>
      </c>
      <c r="B1328" s="177">
        <v>8493039.0</v>
      </c>
      <c r="C1328" s="178" t="s">
        <v>89</v>
      </c>
      <c r="D1328" s="178" t="s">
        <v>35</v>
      </c>
      <c r="E1328" s="177">
        <v>6.390642609E9</v>
      </c>
      <c r="F1328" s="178" t="s">
        <v>2111</v>
      </c>
      <c r="G1328" s="176">
        <v>46264.0</v>
      </c>
      <c r="H1328" s="179">
        <v>46268.0</v>
      </c>
      <c r="I1328" s="180">
        <v>4.0</v>
      </c>
      <c r="J1328" s="181" t="s">
        <v>78</v>
      </c>
      <c r="K1328" s="178" t="s">
        <v>79</v>
      </c>
      <c r="L1328" s="178" t="s">
        <v>80</v>
      </c>
      <c r="M1328" s="182">
        <v>0.0</v>
      </c>
      <c r="N1328" s="183">
        <v>0.0</v>
      </c>
      <c r="O1328" s="184">
        <v>0.0</v>
      </c>
      <c r="P1328" s="184">
        <v>0.0</v>
      </c>
      <c r="Q1328" s="185">
        <v>0.0</v>
      </c>
      <c r="R1328" s="186">
        <v>0.0</v>
      </c>
      <c r="S1328" s="186">
        <v>0.0</v>
      </c>
      <c r="T1328" s="186">
        <v>0.0</v>
      </c>
      <c r="U1328" s="187" t="s">
        <v>2112</v>
      </c>
      <c r="V1328" s="176">
        <v>46145.0</v>
      </c>
      <c r="W1328" s="188"/>
      <c r="X1328" s="188"/>
      <c r="Y1328" s="188"/>
      <c r="Z1328" s="188"/>
      <c r="AA1328" s="188"/>
      <c r="AB1328" s="188"/>
      <c r="AC1328" s="188"/>
      <c r="AD1328" s="188"/>
      <c r="AE1328" s="188"/>
      <c r="AF1328" s="188"/>
      <c r="AG1328" s="188"/>
      <c r="AH1328" s="188"/>
      <c r="AI1328" s="188"/>
    </row>
    <row r="1329">
      <c r="A1329" s="176">
        <v>46144.0</v>
      </c>
      <c r="B1329" s="177">
        <v>8493857.0</v>
      </c>
      <c r="C1329" s="178" t="s">
        <v>82</v>
      </c>
      <c r="D1329" s="178" t="s">
        <v>35</v>
      </c>
      <c r="E1329" s="177">
        <v>5.050728183E9</v>
      </c>
      <c r="F1329" s="178" t="s">
        <v>2113</v>
      </c>
      <c r="G1329" s="176">
        <v>46364.20833333333</v>
      </c>
      <c r="H1329" s="179">
        <v>46368.20833333333</v>
      </c>
      <c r="I1329" s="180">
        <v>4.0</v>
      </c>
      <c r="J1329" s="181" t="s">
        <v>78</v>
      </c>
      <c r="K1329" s="178" t="s">
        <v>79</v>
      </c>
      <c r="L1329" s="178" t="s">
        <v>80</v>
      </c>
      <c r="M1329" s="182">
        <v>2.0</v>
      </c>
      <c r="N1329" s="183">
        <v>0.19999999999999996</v>
      </c>
      <c r="O1329" s="184">
        <v>150.72</v>
      </c>
      <c r="P1329" s="184">
        <v>120.57600000000001</v>
      </c>
      <c r="Q1329" s="185">
        <v>0.0</v>
      </c>
      <c r="R1329" s="186">
        <v>482.30400000000003</v>
      </c>
      <c r="S1329" s="186">
        <v>0.0</v>
      </c>
      <c r="T1329" s="186">
        <v>622.88</v>
      </c>
      <c r="U1329" s="187" t="s">
        <v>353</v>
      </c>
      <c r="V1329" s="176">
        <v>46144.0</v>
      </c>
      <c r="W1329" s="175"/>
      <c r="X1329" s="175"/>
      <c r="Y1329" s="175"/>
      <c r="Z1329" s="175"/>
      <c r="AA1329" s="175"/>
      <c r="AB1329" s="175"/>
      <c r="AC1329" s="175"/>
      <c r="AD1329" s="175"/>
      <c r="AE1329" s="175"/>
      <c r="AF1329" s="175"/>
      <c r="AG1329" s="175"/>
      <c r="AH1329" s="175"/>
      <c r="AI1329" s="175"/>
    </row>
    <row r="1330">
      <c r="A1330" s="176">
        <v>46144.0</v>
      </c>
      <c r="B1330" s="177">
        <v>8495728.0</v>
      </c>
      <c r="C1330" s="178" t="s">
        <v>82</v>
      </c>
      <c r="D1330" s="178" t="s">
        <v>35</v>
      </c>
      <c r="E1330" s="177">
        <v>5.307034898E9</v>
      </c>
      <c r="F1330" s="178" t="s">
        <v>2116</v>
      </c>
      <c r="G1330" s="176">
        <v>46181.0</v>
      </c>
      <c r="H1330" s="179">
        <v>46183.0</v>
      </c>
      <c r="I1330" s="180">
        <v>2.0</v>
      </c>
      <c r="J1330" s="181" t="s">
        <v>87</v>
      </c>
      <c r="K1330" s="178" t="s">
        <v>79</v>
      </c>
      <c r="L1330" s="178" t="s">
        <v>80</v>
      </c>
      <c r="M1330" s="182">
        <v>1.0</v>
      </c>
      <c r="N1330" s="183">
        <v>0.19999999999999996</v>
      </c>
      <c r="O1330" s="184">
        <v>148.43</v>
      </c>
      <c r="P1330" s="184">
        <v>118.74400000000001</v>
      </c>
      <c r="Q1330" s="185">
        <v>0.0</v>
      </c>
      <c r="R1330" s="186">
        <v>237.48800000000003</v>
      </c>
      <c r="S1330" s="186">
        <v>0.0</v>
      </c>
      <c r="T1330" s="186">
        <v>301.86</v>
      </c>
      <c r="U1330" s="187" t="s">
        <v>1367</v>
      </c>
      <c r="V1330" s="176">
        <v>46144.0</v>
      </c>
      <c r="W1330" s="175"/>
      <c r="X1330" s="175"/>
      <c r="Y1330" s="175"/>
      <c r="Z1330" s="175"/>
      <c r="AA1330" s="175"/>
      <c r="AB1330" s="175"/>
      <c r="AC1330" s="175"/>
      <c r="AD1330" s="175"/>
      <c r="AE1330" s="175"/>
      <c r="AF1330" s="175"/>
      <c r="AG1330" s="175"/>
      <c r="AH1330" s="175"/>
      <c r="AI1330" s="175"/>
    </row>
    <row r="1331">
      <c r="A1331" s="176">
        <v>46144.0</v>
      </c>
      <c r="B1331" s="177">
        <v>8495919.0</v>
      </c>
      <c r="C1331" s="178" t="s">
        <v>89</v>
      </c>
      <c r="D1331" s="178" t="s">
        <v>35</v>
      </c>
      <c r="E1331" s="177">
        <v>6.305644501E9</v>
      </c>
      <c r="F1331" s="178" t="s">
        <v>2095</v>
      </c>
      <c r="G1331" s="176">
        <v>46264.0</v>
      </c>
      <c r="H1331" s="179">
        <v>46268.0</v>
      </c>
      <c r="I1331" s="180">
        <v>4.0</v>
      </c>
      <c r="J1331" s="181" t="s">
        <v>111</v>
      </c>
      <c r="K1331" s="178" t="s">
        <v>79</v>
      </c>
      <c r="L1331" s="178" t="s">
        <v>80</v>
      </c>
      <c r="M1331" s="182">
        <v>0.0</v>
      </c>
      <c r="N1331" s="183">
        <v>0.0</v>
      </c>
      <c r="O1331" s="184">
        <v>0.0</v>
      </c>
      <c r="P1331" s="184">
        <v>0.0</v>
      </c>
      <c r="Q1331" s="185">
        <v>0.0</v>
      </c>
      <c r="R1331" s="186">
        <v>0.0</v>
      </c>
      <c r="S1331" s="186">
        <v>0.0</v>
      </c>
      <c r="T1331" s="186">
        <v>0.0</v>
      </c>
      <c r="U1331" s="187" t="s">
        <v>2112</v>
      </c>
      <c r="V1331" s="176">
        <v>46148.0</v>
      </c>
      <c r="W1331" s="175"/>
      <c r="X1331" s="175"/>
      <c r="Y1331" s="175"/>
      <c r="Z1331" s="175"/>
      <c r="AA1331" s="175"/>
      <c r="AB1331" s="175"/>
      <c r="AC1331" s="175"/>
      <c r="AD1331" s="175"/>
      <c r="AE1331" s="175"/>
      <c r="AF1331" s="175"/>
      <c r="AG1331" s="175"/>
      <c r="AH1331" s="175"/>
      <c r="AI1331" s="175"/>
    </row>
    <row r="1332">
      <c r="A1332" s="176">
        <v>46145.0</v>
      </c>
      <c r="B1332" s="177">
        <v>8496746.0</v>
      </c>
      <c r="C1332" s="178" t="s">
        <v>82</v>
      </c>
      <c r="D1332" s="178" t="s">
        <v>35</v>
      </c>
      <c r="E1332" s="177">
        <v>6.522644687E9</v>
      </c>
      <c r="F1332" s="178" t="s">
        <v>2121</v>
      </c>
      <c r="G1332" s="176">
        <v>46391.20833333333</v>
      </c>
      <c r="H1332" s="179">
        <v>46393.20833333333</v>
      </c>
      <c r="I1332" s="180">
        <v>2.0</v>
      </c>
      <c r="J1332" s="181" t="s">
        <v>111</v>
      </c>
      <c r="K1332" s="178" t="s">
        <v>79</v>
      </c>
      <c r="L1332" s="178" t="s">
        <v>80</v>
      </c>
      <c r="M1332" s="182">
        <v>2.0</v>
      </c>
      <c r="N1332" s="183">
        <v>0.19999999999999996</v>
      </c>
      <c r="O1332" s="184">
        <v>294.24</v>
      </c>
      <c r="P1332" s="184">
        <v>235.39200000000002</v>
      </c>
      <c r="Q1332" s="185">
        <v>0.0</v>
      </c>
      <c r="R1332" s="186">
        <v>470.78400000000005</v>
      </c>
      <c r="S1332" s="186">
        <v>0.0</v>
      </c>
      <c r="T1332" s="186">
        <v>1096.16</v>
      </c>
      <c r="U1332" s="187" t="s">
        <v>303</v>
      </c>
      <c r="V1332" s="176">
        <v>46145.0</v>
      </c>
      <c r="W1332" s="175"/>
      <c r="X1332" s="175"/>
      <c r="Y1332" s="175"/>
      <c r="Z1332" s="175"/>
      <c r="AA1332" s="175"/>
      <c r="AB1332" s="175"/>
      <c r="AC1332" s="175"/>
      <c r="AD1332" s="175"/>
      <c r="AE1332" s="175"/>
      <c r="AF1332" s="175"/>
      <c r="AG1332" s="175"/>
      <c r="AH1332" s="175"/>
      <c r="AI1332" s="175"/>
    </row>
    <row r="1333">
      <c r="A1333" s="176">
        <v>46145.0</v>
      </c>
      <c r="B1333" s="177">
        <v>8496746.0</v>
      </c>
      <c r="C1333" s="178" t="s">
        <v>82</v>
      </c>
      <c r="D1333" s="178" t="s">
        <v>35</v>
      </c>
      <c r="E1333" s="177">
        <v>6.522644687E9</v>
      </c>
      <c r="F1333" s="178" t="s">
        <v>2121</v>
      </c>
      <c r="G1333" s="176">
        <v>46391.20833333333</v>
      </c>
      <c r="H1333" s="179">
        <v>46393.20833333333</v>
      </c>
      <c r="I1333" s="180">
        <v>2.0</v>
      </c>
      <c r="J1333" s="181" t="s">
        <v>78</v>
      </c>
      <c r="K1333" s="178" t="s">
        <v>79</v>
      </c>
      <c r="L1333" s="178" t="s">
        <v>80</v>
      </c>
      <c r="M1333" s="182">
        <v>2.0</v>
      </c>
      <c r="N1333" s="183">
        <v>0.19999999999999996</v>
      </c>
      <c r="O1333" s="184">
        <v>243.84</v>
      </c>
      <c r="P1333" s="184">
        <v>195.072</v>
      </c>
      <c r="Q1333" s="185">
        <v>0.0</v>
      </c>
      <c r="R1333" s="186">
        <v>390.144</v>
      </c>
      <c r="S1333" s="186">
        <v>0.0</v>
      </c>
      <c r="T1333" s="186">
        <v>1096.16</v>
      </c>
      <c r="U1333" s="187" t="s">
        <v>303</v>
      </c>
      <c r="V1333" s="176">
        <v>46145.0</v>
      </c>
      <c r="W1333" s="175"/>
      <c r="X1333" s="175"/>
      <c r="Y1333" s="175"/>
      <c r="Z1333" s="175"/>
      <c r="AA1333" s="175"/>
      <c r="AB1333" s="175"/>
      <c r="AC1333" s="175"/>
      <c r="AD1333" s="175"/>
      <c r="AE1333" s="175"/>
      <c r="AF1333" s="175"/>
      <c r="AG1333" s="175"/>
      <c r="AH1333" s="175"/>
      <c r="AI1333" s="175"/>
    </row>
    <row r="1334">
      <c r="A1334" s="176">
        <v>46145.0</v>
      </c>
      <c r="B1334" s="177">
        <v>8497649.0</v>
      </c>
      <c r="C1334" s="178" t="s">
        <v>82</v>
      </c>
      <c r="D1334" s="178" t="s">
        <v>94</v>
      </c>
      <c r="E1334" s="177">
        <v>8497649.0</v>
      </c>
      <c r="F1334" s="178" t="s">
        <v>2109</v>
      </c>
      <c r="G1334" s="176">
        <v>46157.0</v>
      </c>
      <c r="H1334" s="179">
        <v>46158.0</v>
      </c>
      <c r="I1334" s="180">
        <v>1.0</v>
      </c>
      <c r="J1334" s="181" t="s">
        <v>91</v>
      </c>
      <c r="K1334" s="178" t="s">
        <v>79</v>
      </c>
      <c r="L1334" s="178" t="s">
        <v>96</v>
      </c>
      <c r="M1334" s="182">
        <v>2.0</v>
      </c>
      <c r="N1334" s="183">
        <v>0.0</v>
      </c>
      <c r="O1334" s="184">
        <v>599.76</v>
      </c>
      <c r="P1334" s="184">
        <v>599.76</v>
      </c>
      <c r="Q1334" s="185">
        <v>0.0</v>
      </c>
      <c r="R1334" s="186">
        <v>599.76</v>
      </c>
      <c r="S1334" s="186">
        <v>0.0</v>
      </c>
      <c r="T1334" s="186">
        <v>604.76</v>
      </c>
      <c r="U1334" s="187" t="s">
        <v>97</v>
      </c>
      <c r="V1334" s="176">
        <v>46145.0</v>
      </c>
      <c r="W1334" s="175"/>
      <c r="X1334" s="175"/>
      <c r="Y1334" s="175"/>
      <c r="Z1334" s="175"/>
      <c r="AA1334" s="175"/>
      <c r="AB1334" s="175"/>
      <c r="AC1334" s="175"/>
      <c r="AD1334" s="175"/>
      <c r="AE1334" s="175"/>
      <c r="AF1334" s="175"/>
      <c r="AG1334" s="175"/>
      <c r="AH1334" s="175"/>
      <c r="AI1334" s="175"/>
    </row>
    <row r="1335">
      <c r="A1335" s="176">
        <v>46145.0</v>
      </c>
      <c r="B1335" s="177">
        <v>8497883.0</v>
      </c>
      <c r="C1335" s="178" t="s">
        <v>82</v>
      </c>
      <c r="D1335" s="178" t="s">
        <v>94</v>
      </c>
      <c r="E1335" s="177">
        <v>8497883.0</v>
      </c>
      <c r="F1335" s="178" t="s">
        <v>2109</v>
      </c>
      <c r="G1335" s="176">
        <v>46155.0</v>
      </c>
      <c r="H1335" s="179">
        <v>46156.0</v>
      </c>
      <c r="I1335" s="180">
        <v>1.0</v>
      </c>
      <c r="J1335" s="181" t="s">
        <v>111</v>
      </c>
      <c r="K1335" s="178" t="s">
        <v>79</v>
      </c>
      <c r="L1335" s="178" t="s">
        <v>96</v>
      </c>
      <c r="M1335" s="182">
        <v>2.0</v>
      </c>
      <c r="N1335" s="183">
        <v>0.0</v>
      </c>
      <c r="O1335" s="184">
        <v>300.24</v>
      </c>
      <c r="P1335" s="184">
        <v>300.24</v>
      </c>
      <c r="Q1335" s="185">
        <v>0.0</v>
      </c>
      <c r="R1335" s="186">
        <v>300.24</v>
      </c>
      <c r="S1335" s="186">
        <v>0.0</v>
      </c>
      <c r="T1335" s="186">
        <v>305.24</v>
      </c>
      <c r="U1335" s="187" t="s">
        <v>97</v>
      </c>
      <c r="V1335" s="176">
        <v>46145.0</v>
      </c>
      <c r="W1335" s="175"/>
      <c r="X1335" s="175"/>
      <c r="Y1335" s="175"/>
      <c r="Z1335" s="175"/>
      <c r="AA1335" s="175"/>
      <c r="AB1335" s="175"/>
      <c r="AC1335" s="175"/>
      <c r="AD1335" s="175"/>
      <c r="AE1335" s="175"/>
      <c r="AF1335" s="175"/>
      <c r="AG1335" s="175"/>
      <c r="AH1335" s="175"/>
      <c r="AI1335" s="175"/>
    </row>
    <row r="1336">
      <c r="A1336" s="176">
        <v>46145.0</v>
      </c>
      <c r="B1336" s="177">
        <v>8498311.0</v>
      </c>
      <c r="C1336" s="178" t="s">
        <v>89</v>
      </c>
      <c r="D1336" s="178" t="s">
        <v>35</v>
      </c>
      <c r="E1336" s="177">
        <v>5.698766297E9</v>
      </c>
      <c r="F1336" s="178" t="s">
        <v>2128</v>
      </c>
      <c r="G1336" s="176">
        <v>46219.0</v>
      </c>
      <c r="H1336" s="179">
        <v>46222.0</v>
      </c>
      <c r="I1336" s="180">
        <v>3.0</v>
      </c>
      <c r="J1336" s="181" t="s">
        <v>78</v>
      </c>
      <c r="K1336" s="178" t="s">
        <v>79</v>
      </c>
      <c r="L1336" s="178" t="s">
        <v>80</v>
      </c>
      <c r="M1336" s="182">
        <v>0.0</v>
      </c>
      <c r="N1336" s="183">
        <v>0.0</v>
      </c>
      <c r="O1336" s="184">
        <v>0.0</v>
      </c>
      <c r="P1336" s="184">
        <v>0.0</v>
      </c>
      <c r="Q1336" s="185">
        <v>0.0</v>
      </c>
      <c r="R1336" s="186">
        <v>0.0</v>
      </c>
      <c r="S1336" s="186">
        <v>0.0</v>
      </c>
      <c r="T1336" s="186">
        <v>0.0</v>
      </c>
      <c r="U1336" s="187" t="s">
        <v>2130</v>
      </c>
      <c r="V1336" s="176">
        <v>46146.0</v>
      </c>
      <c r="W1336" s="175"/>
      <c r="X1336" s="175"/>
      <c r="Y1336" s="175"/>
      <c r="Z1336" s="175"/>
      <c r="AA1336" s="175"/>
      <c r="AB1336" s="175"/>
      <c r="AC1336" s="175"/>
      <c r="AD1336" s="175"/>
      <c r="AE1336" s="175"/>
      <c r="AF1336" s="175"/>
      <c r="AG1336" s="175"/>
      <c r="AH1336" s="175"/>
      <c r="AI1336" s="175"/>
    </row>
    <row r="1337">
      <c r="A1337" s="176">
        <v>46145.0</v>
      </c>
      <c r="B1337" s="177">
        <v>8498666.0</v>
      </c>
      <c r="C1337" s="178" t="s">
        <v>82</v>
      </c>
      <c r="D1337" s="178" t="s">
        <v>35</v>
      </c>
      <c r="E1337" s="177">
        <v>6.080538834E9</v>
      </c>
      <c r="F1337" s="178" t="s">
        <v>2132</v>
      </c>
      <c r="G1337" s="176">
        <v>46357.20833333333</v>
      </c>
      <c r="H1337" s="179">
        <v>46361.20833333333</v>
      </c>
      <c r="I1337" s="180">
        <v>4.0</v>
      </c>
      <c r="J1337" s="181" t="s">
        <v>114</v>
      </c>
      <c r="K1337" s="178" t="s">
        <v>79</v>
      </c>
      <c r="L1337" s="178" t="s">
        <v>80</v>
      </c>
      <c r="M1337" s="182">
        <v>2.0</v>
      </c>
      <c r="N1337" s="183">
        <v>0.19999999999999996</v>
      </c>
      <c r="O1337" s="184">
        <v>167.3</v>
      </c>
      <c r="P1337" s="184">
        <v>133.84</v>
      </c>
      <c r="Q1337" s="185">
        <v>0.0</v>
      </c>
      <c r="R1337" s="186">
        <v>535.36</v>
      </c>
      <c r="S1337" s="186">
        <v>0.0</v>
      </c>
      <c r="T1337" s="186">
        <v>689.2</v>
      </c>
      <c r="U1337" s="187" t="s">
        <v>161</v>
      </c>
      <c r="V1337" s="176">
        <v>46145.0</v>
      </c>
      <c r="W1337" s="175"/>
      <c r="X1337" s="175"/>
      <c r="Y1337" s="175"/>
      <c r="Z1337" s="175"/>
      <c r="AA1337" s="175"/>
      <c r="AB1337" s="175"/>
      <c r="AC1337" s="175"/>
      <c r="AD1337" s="175"/>
      <c r="AE1337" s="175"/>
      <c r="AF1337" s="175"/>
      <c r="AG1337" s="175"/>
      <c r="AH1337" s="175"/>
      <c r="AI1337" s="175"/>
    </row>
    <row r="1338">
      <c r="A1338" s="176">
        <v>46145.0</v>
      </c>
      <c r="B1338" s="177">
        <v>8499145.0</v>
      </c>
      <c r="C1338" s="178" t="s">
        <v>82</v>
      </c>
      <c r="D1338" s="178" t="s">
        <v>94</v>
      </c>
      <c r="E1338" s="177">
        <v>8499145.0</v>
      </c>
      <c r="F1338" s="178" t="s">
        <v>2134</v>
      </c>
      <c r="G1338" s="176">
        <v>46426.0</v>
      </c>
      <c r="H1338" s="179">
        <v>46427.0</v>
      </c>
      <c r="I1338" s="180">
        <v>1.0</v>
      </c>
      <c r="J1338" s="181" t="s">
        <v>78</v>
      </c>
      <c r="K1338" s="178" t="s">
        <v>79</v>
      </c>
      <c r="L1338" s="178" t="s">
        <v>96</v>
      </c>
      <c r="M1338" s="182">
        <v>2.0</v>
      </c>
      <c r="N1338" s="183">
        <v>0.0</v>
      </c>
      <c r="O1338" s="184">
        <v>200.16</v>
      </c>
      <c r="P1338" s="184">
        <v>200.16</v>
      </c>
      <c r="Q1338" s="185">
        <v>0.0</v>
      </c>
      <c r="R1338" s="186">
        <v>200.16</v>
      </c>
      <c r="S1338" s="186">
        <v>0.0</v>
      </c>
      <c r="T1338" s="186">
        <v>820.64</v>
      </c>
      <c r="U1338" s="187" t="s">
        <v>97</v>
      </c>
      <c r="V1338" s="176">
        <v>46145.0</v>
      </c>
      <c r="W1338" s="188"/>
      <c r="X1338" s="188"/>
      <c r="Y1338" s="188"/>
      <c r="Z1338" s="188"/>
      <c r="AA1338" s="188"/>
      <c r="AB1338" s="188"/>
      <c r="AC1338" s="188"/>
      <c r="AD1338" s="188"/>
      <c r="AE1338" s="188"/>
      <c r="AF1338" s="188"/>
      <c r="AG1338" s="188"/>
      <c r="AH1338" s="188"/>
      <c r="AI1338" s="188"/>
    </row>
    <row r="1339">
      <c r="A1339" s="176">
        <v>46145.0</v>
      </c>
      <c r="B1339" s="177">
        <v>8499145.0</v>
      </c>
      <c r="C1339" s="178" t="s">
        <v>82</v>
      </c>
      <c r="D1339" s="178" t="s">
        <v>94</v>
      </c>
      <c r="E1339" s="177">
        <v>8499145.0</v>
      </c>
      <c r="F1339" s="178" t="s">
        <v>2134</v>
      </c>
      <c r="G1339" s="176">
        <v>46426.0</v>
      </c>
      <c r="H1339" s="179">
        <v>46427.0</v>
      </c>
      <c r="I1339" s="180">
        <v>1.0</v>
      </c>
      <c r="J1339" s="181" t="s">
        <v>78</v>
      </c>
      <c r="K1339" s="178" t="s">
        <v>79</v>
      </c>
      <c r="L1339" s="178" t="s">
        <v>96</v>
      </c>
      <c r="M1339" s="182">
        <v>2.0</v>
      </c>
      <c r="N1339" s="183">
        <v>0.0</v>
      </c>
      <c r="O1339" s="184">
        <v>200.16</v>
      </c>
      <c r="P1339" s="184">
        <v>200.16</v>
      </c>
      <c r="Q1339" s="185">
        <v>0.0</v>
      </c>
      <c r="R1339" s="186">
        <v>200.16</v>
      </c>
      <c r="S1339" s="186">
        <v>0.0</v>
      </c>
      <c r="T1339" s="186">
        <v>820.64</v>
      </c>
      <c r="U1339" s="187" t="s">
        <v>97</v>
      </c>
      <c r="V1339" s="176">
        <v>46145.0</v>
      </c>
      <c r="W1339" s="175"/>
      <c r="X1339" s="175"/>
      <c r="Y1339" s="175"/>
      <c r="Z1339" s="175"/>
      <c r="AA1339" s="175"/>
      <c r="AB1339" s="175"/>
      <c r="AC1339" s="175"/>
      <c r="AD1339" s="175"/>
      <c r="AE1339" s="175"/>
      <c r="AF1339" s="175"/>
      <c r="AG1339" s="175"/>
      <c r="AH1339" s="175"/>
      <c r="AI1339" s="175"/>
    </row>
    <row r="1340">
      <c r="A1340" s="176">
        <v>46145.0</v>
      </c>
      <c r="B1340" s="177">
        <v>8499145.0</v>
      </c>
      <c r="C1340" s="178" t="s">
        <v>82</v>
      </c>
      <c r="D1340" s="178" t="s">
        <v>94</v>
      </c>
      <c r="E1340" s="177">
        <v>8499145.0</v>
      </c>
      <c r="F1340" s="178" t="s">
        <v>2134</v>
      </c>
      <c r="G1340" s="176">
        <v>46426.0</v>
      </c>
      <c r="H1340" s="179">
        <v>46427.0</v>
      </c>
      <c r="I1340" s="180">
        <v>1.0</v>
      </c>
      <c r="J1340" s="181" t="s">
        <v>78</v>
      </c>
      <c r="K1340" s="178" t="s">
        <v>79</v>
      </c>
      <c r="L1340" s="178" t="s">
        <v>96</v>
      </c>
      <c r="M1340" s="182">
        <v>2.0</v>
      </c>
      <c r="N1340" s="183">
        <v>0.0</v>
      </c>
      <c r="O1340" s="184">
        <v>200.16</v>
      </c>
      <c r="P1340" s="184">
        <v>200.16</v>
      </c>
      <c r="Q1340" s="185">
        <v>0.0</v>
      </c>
      <c r="R1340" s="186">
        <v>200.16</v>
      </c>
      <c r="S1340" s="186">
        <v>0.0</v>
      </c>
      <c r="T1340" s="186">
        <v>820.64</v>
      </c>
      <c r="U1340" s="187" t="s">
        <v>97</v>
      </c>
      <c r="V1340" s="176">
        <v>46145.0</v>
      </c>
      <c r="W1340" s="175"/>
      <c r="X1340" s="175"/>
      <c r="Y1340" s="175"/>
      <c r="Z1340" s="175"/>
      <c r="AA1340" s="175"/>
      <c r="AB1340" s="175"/>
      <c r="AC1340" s="175"/>
      <c r="AD1340" s="175"/>
      <c r="AE1340" s="175"/>
      <c r="AF1340" s="175"/>
      <c r="AG1340" s="175"/>
      <c r="AH1340" s="175"/>
      <c r="AI1340" s="175"/>
    </row>
    <row r="1341">
      <c r="A1341" s="176">
        <v>46145.0</v>
      </c>
      <c r="B1341" s="177">
        <v>8499145.0</v>
      </c>
      <c r="C1341" s="178" t="s">
        <v>82</v>
      </c>
      <c r="D1341" s="178" t="s">
        <v>94</v>
      </c>
      <c r="E1341" s="177">
        <v>8499145.0</v>
      </c>
      <c r="F1341" s="178" t="s">
        <v>2134</v>
      </c>
      <c r="G1341" s="176">
        <v>46426.0</v>
      </c>
      <c r="H1341" s="179">
        <v>46427.0</v>
      </c>
      <c r="I1341" s="180">
        <v>1.0</v>
      </c>
      <c r="J1341" s="181" t="s">
        <v>78</v>
      </c>
      <c r="K1341" s="178" t="s">
        <v>79</v>
      </c>
      <c r="L1341" s="178" t="s">
        <v>96</v>
      </c>
      <c r="M1341" s="182">
        <v>2.0</v>
      </c>
      <c r="N1341" s="183">
        <v>0.0</v>
      </c>
      <c r="O1341" s="184">
        <v>200.16</v>
      </c>
      <c r="P1341" s="184">
        <v>200.16</v>
      </c>
      <c r="Q1341" s="185">
        <v>0.0</v>
      </c>
      <c r="R1341" s="186">
        <v>200.16</v>
      </c>
      <c r="S1341" s="186">
        <v>0.0</v>
      </c>
      <c r="T1341" s="186">
        <v>820.64</v>
      </c>
      <c r="U1341" s="187" t="s">
        <v>97</v>
      </c>
      <c r="V1341" s="176">
        <v>46145.0</v>
      </c>
      <c r="W1341" s="164"/>
      <c r="X1341" s="164"/>
      <c r="Y1341" s="164"/>
      <c r="Z1341" s="164"/>
      <c r="AA1341" s="164"/>
      <c r="AB1341" s="164"/>
      <c r="AC1341" s="164"/>
      <c r="AD1341" s="164"/>
      <c r="AE1341" s="164"/>
      <c r="AF1341" s="164"/>
      <c r="AG1341" s="164"/>
      <c r="AH1341" s="164"/>
      <c r="AI1341" s="164"/>
    </row>
    <row r="1342">
      <c r="A1342" s="165">
        <v>46145.0</v>
      </c>
      <c r="B1342" s="166">
        <v>8499273.0</v>
      </c>
      <c r="C1342" s="166" t="s">
        <v>89</v>
      </c>
      <c r="D1342" s="166" t="s">
        <v>94</v>
      </c>
      <c r="E1342" s="166">
        <v>8499273.0</v>
      </c>
      <c r="F1342" s="166" t="s">
        <v>2140</v>
      </c>
      <c r="G1342" s="165">
        <v>46425.08333333333</v>
      </c>
      <c r="H1342" s="167">
        <v>46425.08333333333</v>
      </c>
      <c r="I1342" s="168">
        <v>1.0</v>
      </c>
      <c r="J1342" s="169" t="s">
        <v>78</v>
      </c>
      <c r="K1342" s="166" t="s">
        <v>79</v>
      </c>
      <c r="L1342" s="166" t="s">
        <v>96</v>
      </c>
      <c r="M1342" s="166">
        <v>0.0</v>
      </c>
      <c r="N1342" s="170">
        <v>0.0</v>
      </c>
      <c r="O1342" s="171">
        <v>0.0</v>
      </c>
      <c r="P1342" s="171">
        <v>0.0</v>
      </c>
      <c r="Q1342" s="172">
        <v>0.0</v>
      </c>
      <c r="R1342" s="173">
        <v>0.0</v>
      </c>
      <c r="S1342" s="173">
        <v>0.0</v>
      </c>
      <c r="T1342" s="173">
        <v>0.0</v>
      </c>
      <c r="U1342" s="174" t="s">
        <v>2142</v>
      </c>
      <c r="V1342" s="165">
        <v>46145.0</v>
      </c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</row>
    <row r="1343">
      <c r="A1343" s="176">
        <v>46145.0</v>
      </c>
      <c r="B1343" s="177">
        <v>8499273.0</v>
      </c>
      <c r="C1343" s="178" t="s">
        <v>89</v>
      </c>
      <c r="D1343" s="178" t="s">
        <v>94</v>
      </c>
      <c r="E1343" s="177">
        <v>8499273.0</v>
      </c>
      <c r="F1343" s="178" t="s">
        <v>2140</v>
      </c>
      <c r="G1343" s="176">
        <v>46425.08333333333</v>
      </c>
      <c r="H1343" s="179">
        <v>46425.08333333333</v>
      </c>
      <c r="I1343" s="180">
        <v>1.0</v>
      </c>
      <c r="J1343" s="181" t="s">
        <v>78</v>
      </c>
      <c r="K1343" s="178" t="s">
        <v>79</v>
      </c>
      <c r="L1343" s="178" t="s">
        <v>96</v>
      </c>
      <c r="M1343" s="182">
        <v>0.0</v>
      </c>
      <c r="N1343" s="183">
        <v>0.0</v>
      </c>
      <c r="O1343" s="184">
        <v>0.0</v>
      </c>
      <c r="P1343" s="184">
        <v>0.0</v>
      </c>
      <c r="Q1343" s="185">
        <v>0.0</v>
      </c>
      <c r="R1343" s="186">
        <v>0.0</v>
      </c>
      <c r="S1343" s="186">
        <v>0.0</v>
      </c>
      <c r="T1343" s="186">
        <v>0.0</v>
      </c>
      <c r="U1343" s="187" t="s">
        <v>2142</v>
      </c>
      <c r="V1343" s="176">
        <v>46145.0</v>
      </c>
      <c r="W1343" s="175"/>
      <c r="X1343" s="175"/>
      <c r="Y1343" s="175"/>
      <c r="Z1343" s="175"/>
      <c r="AA1343" s="175"/>
      <c r="AB1343" s="175"/>
      <c r="AC1343" s="175"/>
      <c r="AD1343" s="175"/>
      <c r="AE1343" s="175"/>
      <c r="AF1343" s="175"/>
      <c r="AG1343" s="175"/>
      <c r="AH1343" s="175"/>
      <c r="AI1343" s="175"/>
    </row>
    <row r="1344">
      <c r="A1344" s="176">
        <v>46145.0</v>
      </c>
      <c r="B1344" s="177">
        <v>8499273.0</v>
      </c>
      <c r="C1344" s="178" t="s">
        <v>89</v>
      </c>
      <c r="D1344" s="178" t="s">
        <v>94</v>
      </c>
      <c r="E1344" s="177">
        <v>8499273.0</v>
      </c>
      <c r="F1344" s="178" t="s">
        <v>2140</v>
      </c>
      <c r="G1344" s="176">
        <v>46425.08333333333</v>
      </c>
      <c r="H1344" s="179">
        <v>46425.08333333333</v>
      </c>
      <c r="I1344" s="180">
        <v>1.0</v>
      </c>
      <c r="J1344" s="181" t="s">
        <v>78</v>
      </c>
      <c r="K1344" s="178" t="s">
        <v>79</v>
      </c>
      <c r="L1344" s="178" t="s">
        <v>96</v>
      </c>
      <c r="M1344" s="182">
        <v>0.0</v>
      </c>
      <c r="N1344" s="183">
        <v>0.0</v>
      </c>
      <c r="O1344" s="184">
        <v>0.0</v>
      </c>
      <c r="P1344" s="184">
        <v>0.0</v>
      </c>
      <c r="Q1344" s="185">
        <v>0.0</v>
      </c>
      <c r="R1344" s="186">
        <v>0.0</v>
      </c>
      <c r="S1344" s="186">
        <v>0.0</v>
      </c>
      <c r="T1344" s="186">
        <v>0.0</v>
      </c>
      <c r="U1344" s="187" t="s">
        <v>2142</v>
      </c>
      <c r="V1344" s="176">
        <v>46145.0</v>
      </c>
      <c r="W1344" s="175"/>
      <c r="X1344" s="175"/>
      <c r="Y1344" s="175"/>
      <c r="Z1344" s="175"/>
      <c r="AA1344" s="175"/>
      <c r="AB1344" s="175"/>
      <c r="AC1344" s="175"/>
      <c r="AD1344" s="175"/>
      <c r="AE1344" s="175"/>
      <c r="AF1344" s="175"/>
      <c r="AG1344" s="175"/>
      <c r="AH1344" s="175"/>
      <c r="AI1344" s="175"/>
    </row>
    <row r="1345">
      <c r="A1345" s="176">
        <v>46145.0</v>
      </c>
      <c r="B1345" s="177">
        <v>8499273.0</v>
      </c>
      <c r="C1345" s="178" t="s">
        <v>89</v>
      </c>
      <c r="D1345" s="178" t="s">
        <v>94</v>
      </c>
      <c r="E1345" s="177">
        <v>8499273.0</v>
      </c>
      <c r="F1345" s="178" t="s">
        <v>2140</v>
      </c>
      <c r="G1345" s="176">
        <v>46425.08333333333</v>
      </c>
      <c r="H1345" s="179">
        <v>46425.08333333333</v>
      </c>
      <c r="I1345" s="180">
        <v>1.0</v>
      </c>
      <c r="J1345" s="181" t="s">
        <v>78</v>
      </c>
      <c r="K1345" s="178" t="s">
        <v>79</v>
      </c>
      <c r="L1345" s="178" t="s">
        <v>96</v>
      </c>
      <c r="M1345" s="182">
        <v>0.0</v>
      </c>
      <c r="N1345" s="183">
        <v>0.0</v>
      </c>
      <c r="O1345" s="184">
        <v>0.0</v>
      </c>
      <c r="P1345" s="184">
        <v>0.0</v>
      </c>
      <c r="Q1345" s="185">
        <v>0.0</v>
      </c>
      <c r="R1345" s="186">
        <v>0.0</v>
      </c>
      <c r="S1345" s="186">
        <v>0.0</v>
      </c>
      <c r="T1345" s="186">
        <v>0.0</v>
      </c>
      <c r="U1345" s="187" t="s">
        <v>2142</v>
      </c>
      <c r="V1345" s="176">
        <v>46145.0</v>
      </c>
      <c r="W1345" s="175"/>
      <c r="X1345" s="175"/>
      <c r="Y1345" s="175"/>
      <c r="Z1345" s="175"/>
      <c r="AA1345" s="175"/>
      <c r="AB1345" s="175"/>
      <c r="AC1345" s="175"/>
      <c r="AD1345" s="175"/>
      <c r="AE1345" s="175"/>
      <c r="AF1345" s="175"/>
      <c r="AG1345" s="175"/>
      <c r="AH1345" s="175"/>
      <c r="AI1345" s="175"/>
    </row>
    <row r="1346">
      <c r="A1346" s="176">
        <v>46145.0</v>
      </c>
      <c r="B1346" s="177">
        <v>8499282.0</v>
      </c>
      <c r="C1346" s="178" t="s">
        <v>82</v>
      </c>
      <c r="D1346" s="178" t="s">
        <v>94</v>
      </c>
      <c r="E1346" s="177">
        <v>8499282.0</v>
      </c>
      <c r="F1346" s="178" t="s">
        <v>2148</v>
      </c>
      <c r="G1346" s="176">
        <v>46426.0</v>
      </c>
      <c r="H1346" s="179">
        <v>46427.0</v>
      </c>
      <c r="I1346" s="180">
        <v>1.0</v>
      </c>
      <c r="J1346" s="181" t="s">
        <v>78</v>
      </c>
      <c r="K1346" s="178" t="s">
        <v>79</v>
      </c>
      <c r="L1346" s="178" t="s">
        <v>96</v>
      </c>
      <c r="M1346" s="182">
        <v>1.0</v>
      </c>
      <c r="N1346" s="183">
        <v>0.0</v>
      </c>
      <c r="O1346" s="184">
        <v>200.16</v>
      </c>
      <c r="P1346" s="184">
        <v>200.16</v>
      </c>
      <c r="Q1346" s="185">
        <v>0.0</v>
      </c>
      <c r="R1346" s="186">
        <v>200.16</v>
      </c>
      <c r="S1346" s="186">
        <v>0.0</v>
      </c>
      <c r="T1346" s="186">
        <v>202.66</v>
      </c>
      <c r="U1346" s="187" t="s">
        <v>97</v>
      </c>
      <c r="V1346" s="176">
        <v>46145.0</v>
      </c>
      <c r="W1346" s="164"/>
      <c r="X1346" s="164"/>
      <c r="Y1346" s="164"/>
      <c r="Z1346" s="164"/>
      <c r="AA1346" s="164"/>
      <c r="AB1346" s="164"/>
      <c r="AC1346" s="164"/>
      <c r="AD1346" s="164"/>
      <c r="AE1346" s="164"/>
      <c r="AF1346" s="164"/>
      <c r="AG1346" s="164"/>
      <c r="AH1346" s="164"/>
      <c r="AI1346" s="164"/>
    </row>
    <row r="1347">
      <c r="A1347" s="176">
        <v>46145.0</v>
      </c>
      <c r="B1347" s="177">
        <v>8499448.0</v>
      </c>
      <c r="C1347" s="178" t="s">
        <v>82</v>
      </c>
      <c r="D1347" s="178" t="s">
        <v>94</v>
      </c>
      <c r="E1347" s="177">
        <v>8499448.0</v>
      </c>
      <c r="F1347" s="178" t="s">
        <v>2134</v>
      </c>
      <c r="G1347" s="176">
        <v>46425.08333333333</v>
      </c>
      <c r="H1347" s="179">
        <v>46425.08333333333</v>
      </c>
      <c r="I1347" s="180">
        <v>1.0</v>
      </c>
      <c r="J1347" s="181" t="s">
        <v>78</v>
      </c>
      <c r="K1347" s="178" t="s">
        <v>79</v>
      </c>
      <c r="L1347" s="178" t="s">
        <v>96</v>
      </c>
      <c r="M1347" s="182">
        <v>2.0</v>
      </c>
      <c r="N1347" s="183">
        <v>0.0</v>
      </c>
      <c r="O1347" s="184">
        <v>200.16</v>
      </c>
      <c r="P1347" s="184">
        <v>200.16</v>
      </c>
      <c r="Q1347" s="185">
        <v>0.0</v>
      </c>
      <c r="R1347" s="186">
        <v>200.16</v>
      </c>
      <c r="S1347" s="186">
        <v>0.0</v>
      </c>
      <c r="T1347" s="186">
        <v>615.48</v>
      </c>
      <c r="U1347" s="187" t="s">
        <v>97</v>
      </c>
      <c r="V1347" s="176">
        <v>46145.0</v>
      </c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</row>
    <row r="1348">
      <c r="A1348" s="176">
        <v>46145.0</v>
      </c>
      <c r="B1348" s="177">
        <v>8499448.0</v>
      </c>
      <c r="C1348" s="178" t="s">
        <v>82</v>
      </c>
      <c r="D1348" s="178" t="s">
        <v>94</v>
      </c>
      <c r="E1348" s="177">
        <v>8499448.0</v>
      </c>
      <c r="F1348" s="178" t="s">
        <v>2134</v>
      </c>
      <c r="G1348" s="176">
        <v>46425.08333333333</v>
      </c>
      <c r="H1348" s="179">
        <v>46425.08333333333</v>
      </c>
      <c r="I1348" s="180">
        <v>1.0</v>
      </c>
      <c r="J1348" s="181" t="s">
        <v>78</v>
      </c>
      <c r="K1348" s="178" t="s">
        <v>79</v>
      </c>
      <c r="L1348" s="178" t="s">
        <v>96</v>
      </c>
      <c r="M1348" s="182">
        <v>2.0</v>
      </c>
      <c r="N1348" s="183">
        <v>0.0</v>
      </c>
      <c r="O1348" s="184">
        <v>200.16</v>
      </c>
      <c r="P1348" s="184">
        <v>200.16</v>
      </c>
      <c r="Q1348" s="185">
        <v>0.0</v>
      </c>
      <c r="R1348" s="186">
        <v>200.16</v>
      </c>
      <c r="S1348" s="186">
        <v>0.0</v>
      </c>
      <c r="T1348" s="186">
        <v>615.48</v>
      </c>
      <c r="U1348" s="187" t="s">
        <v>97</v>
      </c>
      <c r="V1348" s="176">
        <v>46145.0</v>
      </c>
      <c r="W1348" s="175"/>
      <c r="X1348" s="175"/>
      <c r="Y1348" s="175"/>
      <c r="Z1348" s="175"/>
      <c r="AA1348" s="175"/>
      <c r="AB1348" s="175"/>
      <c r="AC1348" s="175"/>
      <c r="AD1348" s="175"/>
      <c r="AE1348" s="175"/>
      <c r="AF1348" s="175"/>
      <c r="AG1348" s="175"/>
      <c r="AH1348" s="175"/>
      <c r="AI1348" s="175"/>
    </row>
    <row r="1349">
      <c r="A1349" s="176">
        <v>46145.0</v>
      </c>
      <c r="B1349" s="177">
        <v>8499448.0</v>
      </c>
      <c r="C1349" s="178" t="s">
        <v>82</v>
      </c>
      <c r="D1349" s="178" t="s">
        <v>94</v>
      </c>
      <c r="E1349" s="177">
        <v>8499448.0</v>
      </c>
      <c r="F1349" s="178" t="s">
        <v>2134</v>
      </c>
      <c r="G1349" s="176">
        <v>46425.08333333333</v>
      </c>
      <c r="H1349" s="179">
        <v>46425.08333333333</v>
      </c>
      <c r="I1349" s="180">
        <v>1.0</v>
      </c>
      <c r="J1349" s="181" t="s">
        <v>78</v>
      </c>
      <c r="K1349" s="178" t="s">
        <v>79</v>
      </c>
      <c r="L1349" s="178" t="s">
        <v>96</v>
      </c>
      <c r="M1349" s="182">
        <v>2.0</v>
      </c>
      <c r="N1349" s="183">
        <v>0.0</v>
      </c>
      <c r="O1349" s="184">
        <v>200.16</v>
      </c>
      <c r="P1349" s="184">
        <v>200.16</v>
      </c>
      <c r="Q1349" s="185">
        <v>0.0</v>
      </c>
      <c r="R1349" s="186">
        <v>200.16</v>
      </c>
      <c r="S1349" s="186">
        <v>0.0</v>
      </c>
      <c r="T1349" s="186">
        <v>615.48</v>
      </c>
      <c r="U1349" s="187" t="s">
        <v>97</v>
      </c>
      <c r="V1349" s="176">
        <v>46145.0</v>
      </c>
      <c r="W1349" s="175"/>
      <c r="X1349" s="175"/>
      <c r="Y1349" s="175"/>
      <c r="Z1349" s="175"/>
      <c r="AA1349" s="175"/>
      <c r="AB1349" s="175"/>
      <c r="AC1349" s="175"/>
      <c r="AD1349" s="175"/>
      <c r="AE1349" s="175"/>
      <c r="AF1349" s="175"/>
      <c r="AG1349" s="175"/>
      <c r="AH1349" s="175"/>
      <c r="AI1349" s="175"/>
    </row>
    <row r="1350">
      <c r="A1350" s="176">
        <v>46145.0</v>
      </c>
      <c r="B1350" s="177">
        <v>8499582.0</v>
      </c>
      <c r="C1350" s="178" t="s">
        <v>82</v>
      </c>
      <c r="D1350" s="178" t="s">
        <v>35</v>
      </c>
      <c r="E1350" s="177">
        <v>6.308947E9</v>
      </c>
      <c r="F1350" s="178" t="s">
        <v>2155</v>
      </c>
      <c r="G1350" s="176">
        <v>46168.0</v>
      </c>
      <c r="H1350" s="179">
        <v>46169.0</v>
      </c>
      <c r="I1350" s="180">
        <v>1.0</v>
      </c>
      <c r="J1350" s="181" t="s">
        <v>78</v>
      </c>
      <c r="K1350" s="178" t="s">
        <v>79</v>
      </c>
      <c r="L1350" s="178" t="s">
        <v>80</v>
      </c>
      <c r="M1350" s="182">
        <v>2.0</v>
      </c>
      <c r="N1350" s="183">
        <v>0.19999999999999996</v>
      </c>
      <c r="O1350" s="184">
        <v>165.03</v>
      </c>
      <c r="P1350" s="184">
        <v>132.024</v>
      </c>
      <c r="Q1350" s="185">
        <v>0.0</v>
      </c>
      <c r="R1350" s="186">
        <v>132.024</v>
      </c>
      <c r="S1350" s="186">
        <v>0.0</v>
      </c>
      <c r="T1350" s="186">
        <v>170.03</v>
      </c>
      <c r="U1350" s="187" t="s">
        <v>143</v>
      </c>
      <c r="V1350" s="176">
        <v>46145.0</v>
      </c>
      <c r="W1350" s="164"/>
      <c r="X1350" s="164"/>
      <c r="Y1350" s="164"/>
      <c r="Z1350" s="164"/>
      <c r="AA1350" s="164"/>
      <c r="AB1350" s="164"/>
      <c r="AC1350" s="164"/>
      <c r="AD1350" s="164"/>
      <c r="AE1350" s="164"/>
      <c r="AF1350" s="164"/>
      <c r="AG1350" s="164"/>
      <c r="AH1350" s="164"/>
      <c r="AI1350" s="164"/>
    </row>
    <row r="1351">
      <c r="A1351" s="176">
        <v>46145.0</v>
      </c>
      <c r="B1351" s="177">
        <v>8500156.0</v>
      </c>
      <c r="C1351" s="178" t="s">
        <v>89</v>
      </c>
      <c r="D1351" s="178" t="s">
        <v>35</v>
      </c>
      <c r="E1351" s="177">
        <v>5.232200451E9</v>
      </c>
      <c r="F1351" s="178" t="s">
        <v>2158</v>
      </c>
      <c r="G1351" s="176">
        <v>46364.20833333333</v>
      </c>
      <c r="H1351" s="179">
        <v>46367.20833333333</v>
      </c>
      <c r="I1351" s="180">
        <v>3.0</v>
      </c>
      <c r="J1351" s="181" t="s">
        <v>87</v>
      </c>
      <c r="K1351" s="178" t="s">
        <v>79</v>
      </c>
      <c r="L1351" s="178" t="s">
        <v>80</v>
      </c>
      <c r="M1351" s="182">
        <v>0.0</v>
      </c>
      <c r="N1351" s="183">
        <v>0.0</v>
      </c>
      <c r="O1351" s="184">
        <v>0.0</v>
      </c>
      <c r="P1351" s="184">
        <v>0.0</v>
      </c>
      <c r="Q1351" s="185">
        <v>0.0</v>
      </c>
      <c r="R1351" s="186">
        <v>0.0</v>
      </c>
      <c r="S1351" s="186">
        <v>0.0</v>
      </c>
      <c r="T1351" s="186">
        <v>0.0</v>
      </c>
      <c r="U1351" s="187" t="s">
        <v>2160</v>
      </c>
      <c r="V1351" s="176">
        <v>46148.0</v>
      </c>
      <c r="W1351" s="175"/>
      <c r="X1351" s="175"/>
      <c r="Y1351" s="175"/>
      <c r="Z1351" s="175"/>
      <c r="AA1351" s="175"/>
      <c r="AB1351" s="175"/>
      <c r="AC1351" s="175"/>
      <c r="AD1351" s="175"/>
      <c r="AE1351" s="175"/>
      <c r="AF1351" s="175"/>
      <c r="AG1351" s="175"/>
      <c r="AH1351" s="175"/>
      <c r="AI1351" s="175"/>
    </row>
    <row r="1352">
      <c r="A1352" s="176">
        <v>46146.0</v>
      </c>
      <c r="B1352" s="177">
        <v>8500798.0</v>
      </c>
      <c r="C1352" s="178" t="s">
        <v>82</v>
      </c>
      <c r="D1352" s="178" t="s">
        <v>35</v>
      </c>
      <c r="E1352" s="177">
        <v>5.560543436E9</v>
      </c>
      <c r="F1352" s="178" t="s">
        <v>2162</v>
      </c>
      <c r="G1352" s="176">
        <v>46517.20833333333</v>
      </c>
      <c r="H1352" s="179">
        <v>46520.20833333333</v>
      </c>
      <c r="I1352" s="180">
        <v>3.0</v>
      </c>
      <c r="J1352" s="181" t="s">
        <v>78</v>
      </c>
      <c r="K1352" s="178" t="s">
        <v>79</v>
      </c>
      <c r="L1352" s="178" t="s">
        <v>80</v>
      </c>
      <c r="M1352" s="182">
        <v>2.0</v>
      </c>
      <c r="N1352" s="183">
        <v>0.19999999999999996</v>
      </c>
      <c r="O1352" s="184">
        <v>155.72</v>
      </c>
      <c r="P1352" s="184">
        <v>124.57600000000001</v>
      </c>
      <c r="Q1352" s="185">
        <v>0.0</v>
      </c>
      <c r="R1352" s="186">
        <v>373.728</v>
      </c>
      <c r="S1352" s="186">
        <v>0.0</v>
      </c>
      <c r="T1352" s="186">
        <v>467.16</v>
      </c>
      <c r="U1352" s="187" t="s">
        <v>353</v>
      </c>
      <c r="V1352" s="176">
        <v>46146.0</v>
      </c>
      <c r="W1352" s="164"/>
      <c r="X1352" s="164"/>
      <c r="Y1352" s="164"/>
      <c r="Z1352" s="164"/>
      <c r="AA1352" s="164"/>
      <c r="AB1352" s="164"/>
      <c r="AC1352" s="164"/>
      <c r="AD1352" s="164"/>
      <c r="AE1352" s="164"/>
      <c r="AF1352" s="164"/>
      <c r="AG1352" s="164"/>
      <c r="AH1352" s="164"/>
      <c r="AI1352" s="164"/>
    </row>
    <row r="1353">
      <c r="A1353" s="176">
        <v>46146.0</v>
      </c>
      <c r="B1353" s="177">
        <v>8500946.0</v>
      </c>
      <c r="C1353" s="178" t="s">
        <v>89</v>
      </c>
      <c r="D1353" s="178" t="s">
        <v>35</v>
      </c>
      <c r="E1353" s="177">
        <v>5.457036773E9</v>
      </c>
      <c r="F1353" s="178" t="s">
        <v>2164</v>
      </c>
      <c r="G1353" s="176">
        <v>46222.0</v>
      </c>
      <c r="H1353" s="179">
        <v>46225.0</v>
      </c>
      <c r="I1353" s="180">
        <v>3.0</v>
      </c>
      <c r="J1353" s="181" t="s">
        <v>78</v>
      </c>
      <c r="K1353" s="178" t="s">
        <v>79</v>
      </c>
      <c r="L1353" s="178" t="s">
        <v>80</v>
      </c>
      <c r="M1353" s="182">
        <v>0.0</v>
      </c>
      <c r="N1353" s="183">
        <v>0.0</v>
      </c>
      <c r="O1353" s="184">
        <v>0.0</v>
      </c>
      <c r="P1353" s="184">
        <v>0.0</v>
      </c>
      <c r="Q1353" s="185">
        <v>0.0</v>
      </c>
      <c r="R1353" s="186">
        <v>0.0</v>
      </c>
      <c r="S1353" s="186">
        <v>0.0</v>
      </c>
      <c r="T1353" s="186">
        <v>0.0</v>
      </c>
      <c r="U1353" s="187" t="s">
        <v>2166</v>
      </c>
      <c r="V1353" s="176">
        <v>46163.0</v>
      </c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</row>
    <row r="1354">
      <c r="A1354" s="176">
        <v>46146.0</v>
      </c>
      <c r="B1354" s="177">
        <v>8502517.0</v>
      </c>
      <c r="C1354" s="178" t="s">
        <v>82</v>
      </c>
      <c r="D1354" s="178" t="s">
        <v>35</v>
      </c>
      <c r="E1354" s="177">
        <v>6.795266929E9</v>
      </c>
      <c r="F1354" s="178" t="s">
        <v>2168</v>
      </c>
      <c r="G1354" s="176">
        <v>46377.20833333333</v>
      </c>
      <c r="H1354" s="179">
        <v>46378.20833333333</v>
      </c>
      <c r="I1354" s="180">
        <v>1.0</v>
      </c>
      <c r="J1354" s="181" t="s">
        <v>114</v>
      </c>
      <c r="K1354" s="178" t="s">
        <v>79</v>
      </c>
      <c r="L1354" s="178" t="s">
        <v>80</v>
      </c>
      <c r="M1354" s="182">
        <v>2.0</v>
      </c>
      <c r="N1354" s="183">
        <v>0.19999999999999996</v>
      </c>
      <c r="O1354" s="184">
        <v>158.75</v>
      </c>
      <c r="P1354" s="184">
        <v>127.0</v>
      </c>
      <c r="Q1354" s="185">
        <v>0.0</v>
      </c>
      <c r="R1354" s="186">
        <v>127.0</v>
      </c>
      <c r="S1354" s="186">
        <v>0.0</v>
      </c>
      <c r="T1354" s="186">
        <v>163.75</v>
      </c>
      <c r="U1354" s="187" t="s">
        <v>107</v>
      </c>
      <c r="V1354" s="176">
        <v>46146.0</v>
      </c>
      <c r="W1354" s="175"/>
      <c r="X1354" s="175"/>
      <c r="Y1354" s="175"/>
      <c r="Z1354" s="175"/>
      <c r="AA1354" s="175"/>
      <c r="AB1354" s="175"/>
      <c r="AC1354" s="175"/>
      <c r="AD1354" s="175"/>
      <c r="AE1354" s="175"/>
      <c r="AF1354" s="175"/>
      <c r="AG1354" s="175"/>
      <c r="AH1354" s="175"/>
      <c r="AI1354" s="175"/>
    </row>
    <row r="1355">
      <c r="A1355" s="176">
        <v>46147.0</v>
      </c>
      <c r="B1355" s="177">
        <v>8508199.0</v>
      </c>
      <c r="C1355" s="178" t="s">
        <v>82</v>
      </c>
      <c r="D1355" s="178" t="s">
        <v>94</v>
      </c>
      <c r="E1355" s="177">
        <v>8508199.0</v>
      </c>
      <c r="F1355" s="178" t="s">
        <v>2170</v>
      </c>
      <c r="G1355" s="176">
        <v>46161.0</v>
      </c>
      <c r="H1355" s="179">
        <v>46165.0</v>
      </c>
      <c r="I1355" s="180">
        <v>4.0</v>
      </c>
      <c r="J1355" s="181" t="s">
        <v>91</v>
      </c>
      <c r="K1355" s="178" t="s">
        <v>79</v>
      </c>
      <c r="L1355" s="178" t="s">
        <v>96</v>
      </c>
      <c r="M1355" s="182">
        <v>2.0</v>
      </c>
      <c r="N1355" s="183">
        <v>0.0</v>
      </c>
      <c r="O1355" s="184">
        <v>599.76</v>
      </c>
      <c r="P1355" s="184">
        <v>599.76</v>
      </c>
      <c r="Q1355" s="185">
        <v>0.0</v>
      </c>
      <c r="R1355" s="186">
        <v>2399.04</v>
      </c>
      <c r="S1355" s="186">
        <v>0.0</v>
      </c>
      <c r="T1355" s="186">
        <v>2419.04</v>
      </c>
      <c r="U1355" s="187" t="s">
        <v>97</v>
      </c>
      <c r="V1355" s="176">
        <v>46147.0</v>
      </c>
      <c r="W1355" s="175"/>
      <c r="X1355" s="175"/>
      <c r="Y1355" s="175"/>
      <c r="Z1355" s="175"/>
      <c r="AA1355" s="175"/>
      <c r="AB1355" s="175"/>
      <c r="AC1355" s="175"/>
      <c r="AD1355" s="175"/>
      <c r="AE1355" s="175"/>
      <c r="AF1355" s="175"/>
      <c r="AG1355" s="175"/>
      <c r="AH1355" s="175"/>
      <c r="AI1355" s="175"/>
    </row>
    <row r="1356">
      <c r="A1356" s="176">
        <v>46147.0</v>
      </c>
      <c r="B1356" s="177">
        <v>8508737.0</v>
      </c>
      <c r="C1356" s="178" t="s">
        <v>82</v>
      </c>
      <c r="D1356" s="178" t="s">
        <v>421</v>
      </c>
      <c r="E1356" s="177">
        <v>2.45363653E9</v>
      </c>
      <c r="F1356" s="178" t="s">
        <v>2173</v>
      </c>
      <c r="G1356" s="176">
        <v>46357.20833333333</v>
      </c>
      <c r="H1356" s="179">
        <v>46360.20833333333</v>
      </c>
      <c r="I1356" s="180">
        <v>3.0</v>
      </c>
      <c r="J1356" s="181" t="s">
        <v>91</v>
      </c>
      <c r="K1356" s="178" t="s">
        <v>79</v>
      </c>
      <c r="L1356" s="178" t="s">
        <v>103</v>
      </c>
      <c r="M1356" s="182">
        <v>4.0</v>
      </c>
      <c r="N1356" s="183">
        <v>0.0</v>
      </c>
      <c r="O1356" s="184">
        <v>499.69</v>
      </c>
      <c r="P1356" s="184">
        <v>399.752</v>
      </c>
      <c r="Q1356" s="185">
        <v>0.0</v>
      </c>
      <c r="R1356" s="186">
        <v>1199.256</v>
      </c>
      <c r="S1356" s="186">
        <v>0.0</v>
      </c>
      <c r="T1356" s="186">
        <v>1499.07</v>
      </c>
      <c r="U1356" s="187" t="s">
        <v>104</v>
      </c>
      <c r="V1356" s="176">
        <v>46147.0</v>
      </c>
      <c r="W1356" s="175"/>
      <c r="X1356" s="175"/>
      <c r="Y1356" s="175"/>
      <c r="Z1356" s="175"/>
      <c r="AA1356" s="175"/>
      <c r="AB1356" s="175"/>
      <c r="AC1356" s="175"/>
      <c r="AD1356" s="175"/>
      <c r="AE1356" s="175"/>
      <c r="AF1356" s="175"/>
      <c r="AG1356" s="175"/>
      <c r="AH1356" s="175"/>
      <c r="AI1356" s="175"/>
    </row>
    <row r="1357">
      <c r="A1357" s="176">
        <v>46147.0</v>
      </c>
      <c r="B1357" s="177">
        <v>8508945.0</v>
      </c>
      <c r="C1357" s="178" t="s">
        <v>89</v>
      </c>
      <c r="D1357" s="178" t="s">
        <v>35</v>
      </c>
      <c r="E1357" s="177">
        <v>5.107973137E9</v>
      </c>
      <c r="F1357" s="178" t="s">
        <v>2175</v>
      </c>
      <c r="G1357" s="176">
        <v>46290.20833333333</v>
      </c>
      <c r="H1357" s="179">
        <v>46292.20833333333</v>
      </c>
      <c r="I1357" s="180">
        <v>2.0</v>
      </c>
      <c r="J1357" s="181" t="s">
        <v>87</v>
      </c>
      <c r="K1357" s="178" t="s">
        <v>79</v>
      </c>
      <c r="L1357" s="178" t="s">
        <v>80</v>
      </c>
      <c r="M1357" s="182">
        <v>0.0</v>
      </c>
      <c r="N1357" s="183">
        <v>0.0</v>
      </c>
      <c r="O1357" s="184">
        <v>0.0</v>
      </c>
      <c r="P1357" s="184">
        <v>0.0</v>
      </c>
      <c r="Q1357" s="185">
        <v>0.0</v>
      </c>
      <c r="R1357" s="186">
        <v>0.0</v>
      </c>
      <c r="S1357" s="186">
        <v>0.0</v>
      </c>
      <c r="T1357" s="186">
        <v>0.0</v>
      </c>
      <c r="U1357" s="187" t="s">
        <v>2176</v>
      </c>
      <c r="V1357" s="176">
        <v>46147.0</v>
      </c>
      <c r="W1357" s="175"/>
      <c r="X1357" s="175"/>
      <c r="Y1357" s="175"/>
      <c r="Z1357" s="175"/>
      <c r="AA1357" s="175"/>
      <c r="AB1357" s="175"/>
      <c r="AC1357" s="175"/>
      <c r="AD1357" s="175"/>
      <c r="AE1357" s="175"/>
      <c r="AF1357" s="175"/>
      <c r="AG1357" s="175"/>
      <c r="AH1357" s="175"/>
      <c r="AI1357" s="175"/>
    </row>
    <row r="1358">
      <c r="A1358" s="176">
        <v>46147.0</v>
      </c>
      <c r="B1358" s="177">
        <v>8509079.0</v>
      </c>
      <c r="C1358" s="178" t="s">
        <v>82</v>
      </c>
      <c r="D1358" s="178" t="s">
        <v>35</v>
      </c>
      <c r="E1358" s="177">
        <v>6.622346253E9</v>
      </c>
      <c r="F1358" s="178" t="s">
        <v>2175</v>
      </c>
      <c r="G1358" s="176">
        <v>46290.20833333333</v>
      </c>
      <c r="H1358" s="179">
        <v>46293.20833333333</v>
      </c>
      <c r="I1358" s="180">
        <v>3.0</v>
      </c>
      <c r="J1358" s="181" t="s">
        <v>87</v>
      </c>
      <c r="K1358" s="178" t="s">
        <v>79</v>
      </c>
      <c r="L1358" s="178" t="s">
        <v>80</v>
      </c>
      <c r="M1358" s="182">
        <v>2.0</v>
      </c>
      <c r="N1358" s="183">
        <v>0.19999999999999996</v>
      </c>
      <c r="O1358" s="184">
        <v>161.51</v>
      </c>
      <c r="P1358" s="184">
        <v>129.208</v>
      </c>
      <c r="Q1358" s="185">
        <v>0.0</v>
      </c>
      <c r="R1358" s="186">
        <v>387.624</v>
      </c>
      <c r="S1358" s="186">
        <v>0.0</v>
      </c>
      <c r="T1358" s="186">
        <v>499.53</v>
      </c>
      <c r="U1358" s="187" t="s">
        <v>1367</v>
      </c>
      <c r="V1358" s="176">
        <v>46147.0</v>
      </c>
      <c r="W1358" s="188"/>
      <c r="X1358" s="188"/>
      <c r="Y1358" s="188"/>
      <c r="Z1358" s="188"/>
      <c r="AA1358" s="188"/>
      <c r="AB1358" s="188"/>
      <c r="AC1358" s="188"/>
      <c r="AD1358" s="188"/>
      <c r="AE1358" s="188"/>
      <c r="AF1358" s="188"/>
      <c r="AG1358" s="188"/>
      <c r="AH1358" s="188"/>
      <c r="AI1358" s="188"/>
    </row>
    <row r="1359">
      <c r="A1359" s="176">
        <v>46147.0</v>
      </c>
      <c r="B1359" s="177">
        <v>8509716.0</v>
      </c>
      <c r="C1359" s="178" t="s">
        <v>82</v>
      </c>
      <c r="D1359" s="178" t="s">
        <v>35</v>
      </c>
      <c r="E1359" s="177">
        <v>5.978180376E9</v>
      </c>
      <c r="F1359" s="178" t="s">
        <v>2180</v>
      </c>
      <c r="G1359" s="176">
        <v>46336.20833333333</v>
      </c>
      <c r="H1359" s="179">
        <v>46339.20833333333</v>
      </c>
      <c r="I1359" s="180">
        <v>3.0</v>
      </c>
      <c r="J1359" s="181" t="s">
        <v>78</v>
      </c>
      <c r="K1359" s="178" t="s">
        <v>79</v>
      </c>
      <c r="L1359" s="178" t="s">
        <v>80</v>
      </c>
      <c r="M1359" s="182">
        <v>2.0</v>
      </c>
      <c r="N1359" s="183">
        <v>0.19999999999999996</v>
      </c>
      <c r="O1359" s="184">
        <v>200.16</v>
      </c>
      <c r="P1359" s="184">
        <v>160.12800000000001</v>
      </c>
      <c r="Q1359" s="185">
        <v>0.0</v>
      </c>
      <c r="R1359" s="186">
        <v>480.384</v>
      </c>
      <c r="S1359" s="186">
        <v>0.0</v>
      </c>
      <c r="T1359" s="186">
        <v>615.48</v>
      </c>
      <c r="U1359" s="187" t="s">
        <v>353</v>
      </c>
      <c r="V1359" s="176">
        <v>46147.0</v>
      </c>
      <c r="W1359" s="164"/>
      <c r="X1359" s="164"/>
      <c r="Y1359" s="164"/>
      <c r="Z1359" s="164"/>
      <c r="AA1359" s="164"/>
      <c r="AB1359" s="164"/>
      <c r="AC1359" s="164"/>
      <c r="AD1359" s="164"/>
      <c r="AE1359" s="164"/>
      <c r="AF1359" s="164"/>
      <c r="AG1359" s="164"/>
      <c r="AH1359" s="164"/>
      <c r="AI1359" s="164"/>
    </row>
    <row r="1360">
      <c r="A1360" s="176">
        <v>46148.0</v>
      </c>
      <c r="B1360" s="177">
        <v>8510890.0</v>
      </c>
      <c r="C1360" s="178" t="s">
        <v>82</v>
      </c>
      <c r="D1360" s="178" t="s">
        <v>35</v>
      </c>
      <c r="E1360" s="177">
        <v>6.673954772E9</v>
      </c>
      <c r="F1360" s="178" t="s">
        <v>2175</v>
      </c>
      <c r="G1360" s="176">
        <v>46294.20833333333</v>
      </c>
      <c r="H1360" s="179">
        <v>46295.20833333333</v>
      </c>
      <c r="I1360" s="180">
        <v>1.0</v>
      </c>
      <c r="J1360" s="181" t="s">
        <v>78</v>
      </c>
      <c r="K1360" s="178" t="s">
        <v>79</v>
      </c>
      <c r="L1360" s="178" t="s">
        <v>80</v>
      </c>
      <c r="M1360" s="182">
        <v>2.0</v>
      </c>
      <c r="N1360" s="183">
        <v>0.19999999999999996</v>
      </c>
      <c r="O1360" s="184">
        <v>152.51</v>
      </c>
      <c r="P1360" s="184">
        <v>122.008</v>
      </c>
      <c r="Q1360" s="185">
        <v>0.0</v>
      </c>
      <c r="R1360" s="186">
        <v>122.008</v>
      </c>
      <c r="S1360" s="186">
        <v>0.0</v>
      </c>
      <c r="T1360" s="186">
        <v>157.51</v>
      </c>
      <c r="U1360" s="187" t="s">
        <v>143</v>
      </c>
      <c r="V1360" s="176">
        <v>46148.0</v>
      </c>
      <c r="W1360" s="164"/>
      <c r="X1360" s="164"/>
      <c r="Y1360" s="164"/>
      <c r="Z1360" s="164"/>
      <c r="AA1360" s="164"/>
      <c r="AB1360" s="164"/>
      <c r="AC1360" s="164"/>
      <c r="AD1360" s="164"/>
      <c r="AE1360" s="164"/>
      <c r="AF1360" s="164"/>
      <c r="AG1360" s="164"/>
      <c r="AH1360" s="164"/>
      <c r="AI1360" s="164"/>
    </row>
    <row r="1361">
      <c r="A1361" s="176">
        <v>46148.0</v>
      </c>
      <c r="B1361" s="177">
        <v>8511696.0</v>
      </c>
      <c r="C1361" s="178" t="s">
        <v>89</v>
      </c>
      <c r="D1361" s="178" t="s">
        <v>35</v>
      </c>
      <c r="E1361" s="177">
        <v>5.126578429E9</v>
      </c>
      <c r="F1361" s="178" t="s">
        <v>2183</v>
      </c>
      <c r="G1361" s="176">
        <v>46168.0</v>
      </c>
      <c r="H1361" s="179">
        <v>46172.0</v>
      </c>
      <c r="I1361" s="180">
        <v>4.0</v>
      </c>
      <c r="J1361" s="181" t="s">
        <v>111</v>
      </c>
      <c r="K1361" s="178" t="s">
        <v>79</v>
      </c>
      <c r="L1361" s="178" t="s">
        <v>80</v>
      </c>
      <c r="M1361" s="182">
        <v>0.0</v>
      </c>
      <c r="N1361" s="183">
        <v>0.0</v>
      </c>
      <c r="O1361" s="184">
        <v>0.0</v>
      </c>
      <c r="P1361" s="184">
        <v>0.0</v>
      </c>
      <c r="Q1361" s="185">
        <v>0.0</v>
      </c>
      <c r="R1361" s="186">
        <v>0.0</v>
      </c>
      <c r="S1361" s="186">
        <v>0.0</v>
      </c>
      <c r="T1361" s="186">
        <v>0.0</v>
      </c>
      <c r="U1361" s="187" t="s">
        <v>2185</v>
      </c>
      <c r="V1361" s="176">
        <v>46149.0</v>
      </c>
      <c r="W1361" s="175"/>
      <c r="X1361" s="175"/>
      <c r="Y1361" s="175"/>
      <c r="Z1361" s="175"/>
      <c r="AA1361" s="175"/>
      <c r="AB1361" s="175"/>
      <c r="AC1361" s="175"/>
      <c r="AD1361" s="175"/>
      <c r="AE1361" s="175"/>
      <c r="AF1361" s="175"/>
      <c r="AG1361" s="175"/>
      <c r="AH1361" s="175"/>
      <c r="AI1361" s="175"/>
    </row>
    <row r="1362">
      <c r="A1362" s="176">
        <v>46148.0</v>
      </c>
      <c r="B1362" s="177">
        <v>8512217.0</v>
      </c>
      <c r="C1362" s="178" t="s">
        <v>82</v>
      </c>
      <c r="D1362" s="178" t="s">
        <v>35</v>
      </c>
      <c r="E1362" s="177">
        <v>6.078665856E9</v>
      </c>
      <c r="F1362" s="178" t="s">
        <v>2187</v>
      </c>
      <c r="G1362" s="176">
        <v>46196.0</v>
      </c>
      <c r="H1362" s="179">
        <v>46199.0</v>
      </c>
      <c r="I1362" s="180">
        <v>3.0</v>
      </c>
      <c r="J1362" s="181" t="s">
        <v>78</v>
      </c>
      <c r="K1362" s="178" t="s">
        <v>79</v>
      </c>
      <c r="L1362" s="178" t="s">
        <v>80</v>
      </c>
      <c r="M1362" s="182">
        <v>2.0</v>
      </c>
      <c r="N1362" s="183">
        <v>0.19999999999999996</v>
      </c>
      <c r="O1362" s="184">
        <v>154.46</v>
      </c>
      <c r="P1362" s="184">
        <v>123.56800000000001</v>
      </c>
      <c r="Q1362" s="185">
        <v>0.0</v>
      </c>
      <c r="R1362" s="186">
        <v>370.70400000000006</v>
      </c>
      <c r="S1362" s="186">
        <v>0.0</v>
      </c>
      <c r="T1362" s="186">
        <v>478.38</v>
      </c>
      <c r="U1362" s="187" t="s">
        <v>1367</v>
      </c>
      <c r="V1362" s="176">
        <v>46148.0</v>
      </c>
      <c r="W1362" s="175"/>
      <c r="X1362" s="175"/>
      <c r="Y1362" s="175"/>
      <c r="Z1362" s="175"/>
      <c r="AA1362" s="175"/>
      <c r="AB1362" s="175"/>
      <c r="AC1362" s="175"/>
      <c r="AD1362" s="175"/>
      <c r="AE1362" s="175"/>
      <c r="AF1362" s="175"/>
      <c r="AG1362" s="175"/>
      <c r="AH1362" s="175"/>
      <c r="AI1362" s="175"/>
    </row>
    <row r="1363">
      <c r="A1363" s="176">
        <v>46148.0</v>
      </c>
      <c r="B1363" s="177">
        <v>8513658.0</v>
      </c>
      <c r="C1363" s="178" t="s">
        <v>89</v>
      </c>
      <c r="D1363" s="178" t="s">
        <v>35</v>
      </c>
      <c r="E1363" s="177">
        <v>5.98969697E9</v>
      </c>
      <c r="F1363" s="178" t="s">
        <v>2189</v>
      </c>
      <c r="G1363" s="176">
        <v>46507.20833333333</v>
      </c>
      <c r="H1363" s="179">
        <v>46510.20833333333</v>
      </c>
      <c r="I1363" s="180">
        <v>3.0</v>
      </c>
      <c r="J1363" s="181" t="s">
        <v>87</v>
      </c>
      <c r="K1363" s="178" t="s">
        <v>79</v>
      </c>
      <c r="L1363" s="178" t="s">
        <v>80</v>
      </c>
      <c r="M1363" s="182">
        <v>0.0</v>
      </c>
      <c r="N1363" s="183">
        <v>0.0</v>
      </c>
      <c r="O1363" s="184">
        <v>0.0</v>
      </c>
      <c r="P1363" s="184">
        <v>0.0</v>
      </c>
      <c r="Q1363" s="185">
        <v>0.0</v>
      </c>
      <c r="R1363" s="186">
        <v>0.0</v>
      </c>
      <c r="S1363" s="186">
        <v>0.0</v>
      </c>
      <c r="T1363" s="186">
        <v>0.0</v>
      </c>
      <c r="U1363" s="187" t="s">
        <v>2191</v>
      </c>
      <c r="V1363" s="176">
        <v>46169.0</v>
      </c>
      <c r="W1363" s="175"/>
      <c r="X1363" s="175"/>
      <c r="Y1363" s="175"/>
      <c r="Z1363" s="175"/>
      <c r="AA1363" s="175"/>
      <c r="AB1363" s="175"/>
      <c r="AC1363" s="175"/>
      <c r="AD1363" s="175"/>
      <c r="AE1363" s="175"/>
      <c r="AF1363" s="175"/>
      <c r="AG1363" s="175"/>
      <c r="AH1363" s="175"/>
      <c r="AI1363" s="175"/>
    </row>
    <row r="1364">
      <c r="A1364" s="176">
        <v>46148.0</v>
      </c>
      <c r="B1364" s="177">
        <v>8513780.0</v>
      </c>
      <c r="C1364" s="178" t="s">
        <v>89</v>
      </c>
      <c r="D1364" s="178" t="s">
        <v>35</v>
      </c>
      <c r="E1364" s="177">
        <v>6.499846446E9</v>
      </c>
      <c r="F1364" s="178" t="s">
        <v>2158</v>
      </c>
      <c r="G1364" s="176">
        <v>46368.20833333333</v>
      </c>
      <c r="H1364" s="179">
        <v>46371.20833333333</v>
      </c>
      <c r="I1364" s="180">
        <v>3.0</v>
      </c>
      <c r="J1364" s="181" t="s">
        <v>78</v>
      </c>
      <c r="K1364" s="178" t="s">
        <v>79</v>
      </c>
      <c r="L1364" s="178" t="s">
        <v>80</v>
      </c>
      <c r="M1364" s="182">
        <v>0.0</v>
      </c>
      <c r="N1364" s="183">
        <v>0.0</v>
      </c>
      <c r="O1364" s="184">
        <v>0.0</v>
      </c>
      <c r="P1364" s="184">
        <v>0.0</v>
      </c>
      <c r="Q1364" s="185">
        <v>0.0</v>
      </c>
      <c r="R1364" s="186">
        <v>0.0</v>
      </c>
      <c r="S1364" s="186">
        <v>0.0</v>
      </c>
      <c r="T1364" s="186">
        <v>0.0</v>
      </c>
      <c r="U1364" s="187" t="s">
        <v>2194</v>
      </c>
      <c r="V1364" s="176">
        <v>46150.0</v>
      </c>
      <c r="W1364" s="175"/>
      <c r="X1364" s="175"/>
      <c r="Y1364" s="175"/>
      <c r="Z1364" s="175"/>
      <c r="AA1364" s="175"/>
      <c r="AB1364" s="175"/>
      <c r="AC1364" s="175"/>
      <c r="AD1364" s="175"/>
      <c r="AE1364" s="175"/>
      <c r="AF1364" s="175"/>
      <c r="AG1364" s="175"/>
      <c r="AH1364" s="175"/>
      <c r="AI1364" s="175"/>
    </row>
    <row r="1365">
      <c r="A1365" s="176">
        <v>46148.0</v>
      </c>
      <c r="B1365" s="177">
        <v>8514229.0</v>
      </c>
      <c r="C1365" s="178" t="s">
        <v>82</v>
      </c>
      <c r="D1365" s="178" t="s">
        <v>35</v>
      </c>
      <c r="E1365" s="177">
        <v>5.496091407E9</v>
      </c>
      <c r="F1365" s="178" t="s">
        <v>2195</v>
      </c>
      <c r="G1365" s="176">
        <v>46201.0</v>
      </c>
      <c r="H1365" s="179">
        <v>46203.0</v>
      </c>
      <c r="I1365" s="180">
        <v>2.0</v>
      </c>
      <c r="J1365" s="181" t="s">
        <v>78</v>
      </c>
      <c r="K1365" s="178" t="s">
        <v>79</v>
      </c>
      <c r="L1365" s="178" t="s">
        <v>80</v>
      </c>
      <c r="M1365" s="182">
        <v>2.0</v>
      </c>
      <c r="N1365" s="183">
        <v>0.19999999999999996</v>
      </c>
      <c r="O1365" s="184">
        <v>164.54</v>
      </c>
      <c r="P1365" s="184">
        <v>131.632</v>
      </c>
      <c r="Q1365" s="185">
        <v>0.0</v>
      </c>
      <c r="R1365" s="186">
        <v>263.264</v>
      </c>
      <c r="S1365" s="186">
        <v>0.0</v>
      </c>
      <c r="T1365" s="186">
        <v>339.08</v>
      </c>
      <c r="U1365" s="187" t="s">
        <v>1367</v>
      </c>
      <c r="V1365" s="176">
        <v>46148.0</v>
      </c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</row>
    <row r="1366">
      <c r="A1366" s="176">
        <v>46148.0</v>
      </c>
      <c r="B1366" s="177">
        <v>8514630.0</v>
      </c>
      <c r="C1366" s="178" t="s">
        <v>82</v>
      </c>
      <c r="D1366" s="178" t="s">
        <v>35</v>
      </c>
      <c r="E1366" s="177">
        <v>5.128407863E9</v>
      </c>
      <c r="F1366" s="178" t="s">
        <v>2198</v>
      </c>
      <c r="G1366" s="176">
        <v>46467.20833333333</v>
      </c>
      <c r="H1366" s="179">
        <v>46470.20833333333</v>
      </c>
      <c r="I1366" s="180">
        <v>3.0</v>
      </c>
      <c r="J1366" s="181" t="s">
        <v>78</v>
      </c>
      <c r="K1366" s="178" t="s">
        <v>79</v>
      </c>
      <c r="L1366" s="178" t="s">
        <v>80</v>
      </c>
      <c r="M1366" s="182">
        <v>2.0</v>
      </c>
      <c r="N1366" s="183">
        <v>0.19999999999999996</v>
      </c>
      <c r="O1366" s="184">
        <v>173.12</v>
      </c>
      <c r="P1366" s="184">
        <v>138.496</v>
      </c>
      <c r="Q1366" s="185">
        <v>0.0</v>
      </c>
      <c r="R1366" s="186">
        <v>415.48800000000006</v>
      </c>
      <c r="S1366" s="186">
        <v>0.0</v>
      </c>
      <c r="T1366" s="186">
        <v>534.36</v>
      </c>
      <c r="U1366" s="187" t="s">
        <v>353</v>
      </c>
      <c r="V1366" s="176">
        <v>46148.0</v>
      </c>
      <c r="W1366" s="175"/>
      <c r="X1366" s="175"/>
      <c r="Y1366" s="175"/>
      <c r="Z1366" s="175"/>
      <c r="AA1366" s="175"/>
      <c r="AB1366" s="175"/>
      <c r="AC1366" s="175"/>
      <c r="AD1366" s="175"/>
      <c r="AE1366" s="175"/>
      <c r="AF1366" s="175"/>
      <c r="AG1366" s="175"/>
      <c r="AH1366" s="175"/>
      <c r="AI1366" s="175"/>
    </row>
    <row r="1367">
      <c r="A1367" s="176">
        <v>46149.0</v>
      </c>
      <c r="B1367" s="177">
        <v>8515216.0</v>
      </c>
      <c r="C1367" s="178" t="s">
        <v>89</v>
      </c>
      <c r="D1367" s="178" t="s">
        <v>35</v>
      </c>
      <c r="E1367" s="177">
        <v>6.40501968E9</v>
      </c>
      <c r="F1367" s="178" t="s">
        <v>2200</v>
      </c>
      <c r="G1367" s="176">
        <v>46321.20833333333</v>
      </c>
      <c r="H1367" s="179">
        <v>46324.20833333333</v>
      </c>
      <c r="I1367" s="180">
        <v>3.0</v>
      </c>
      <c r="J1367" s="181" t="s">
        <v>78</v>
      </c>
      <c r="K1367" s="178" t="s">
        <v>79</v>
      </c>
      <c r="L1367" s="178" t="s">
        <v>80</v>
      </c>
      <c r="M1367" s="182">
        <v>0.0</v>
      </c>
      <c r="N1367" s="183">
        <v>0.0</v>
      </c>
      <c r="O1367" s="184">
        <v>0.0</v>
      </c>
      <c r="P1367" s="184">
        <v>0.0</v>
      </c>
      <c r="Q1367" s="185">
        <v>0.0</v>
      </c>
      <c r="R1367" s="186">
        <v>0.0</v>
      </c>
      <c r="S1367" s="186">
        <v>0.0</v>
      </c>
      <c r="T1367" s="186">
        <v>0.0</v>
      </c>
      <c r="U1367" s="187" t="s">
        <v>2202</v>
      </c>
      <c r="V1367" s="176">
        <v>46171.0</v>
      </c>
      <c r="W1367" s="175"/>
      <c r="X1367" s="175"/>
      <c r="Y1367" s="175"/>
      <c r="Z1367" s="175"/>
      <c r="AA1367" s="175"/>
      <c r="AB1367" s="175"/>
      <c r="AC1367" s="175"/>
      <c r="AD1367" s="175"/>
      <c r="AE1367" s="175"/>
      <c r="AF1367" s="175"/>
      <c r="AG1367" s="175"/>
      <c r="AH1367" s="175"/>
      <c r="AI1367" s="175"/>
    </row>
    <row r="1368">
      <c r="A1368" s="176">
        <v>46149.0</v>
      </c>
      <c r="B1368" s="177">
        <v>8515572.0</v>
      </c>
      <c r="C1368" s="178" t="s">
        <v>89</v>
      </c>
      <c r="D1368" s="178" t="s">
        <v>35</v>
      </c>
      <c r="E1368" s="177">
        <v>5.609375787E9</v>
      </c>
      <c r="F1368" s="178" t="s">
        <v>1766</v>
      </c>
      <c r="G1368" s="176">
        <v>46337.20833333333</v>
      </c>
      <c r="H1368" s="179">
        <v>46341.20833333333</v>
      </c>
      <c r="I1368" s="180">
        <v>4.0</v>
      </c>
      <c r="J1368" s="181" t="s">
        <v>78</v>
      </c>
      <c r="K1368" s="178" t="s">
        <v>79</v>
      </c>
      <c r="L1368" s="178" t="s">
        <v>80</v>
      </c>
      <c r="M1368" s="182">
        <v>0.0</v>
      </c>
      <c r="N1368" s="183">
        <v>0.0</v>
      </c>
      <c r="O1368" s="184">
        <v>0.0</v>
      </c>
      <c r="P1368" s="184">
        <v>0.0</v>
      </c>
      <c r="Q1368" s="185">
        <v>0.0</v>
      </c>
      <c r="R1368" s="186">
        <v>0.0</v>
      </c>
      <c r="S1368" s="186">
        <v>0.0</v>
      </c>
      <c r="T1368" s="186">
        <v>0.0</v>
      </c>
      <c r="U1368" s="187" t="s">
        <v>2205</v>
      </c>
      <c r="V1368" s="176">
        <v>46155.0</v>
      </c>
      <c r="W1368" s="175"/>
      <c r="X1368" s="175"/>
      <c r="Y1368" s="175"/>
      <c r="Z1368" s="175"/>
      <c r="AA1368" s="175"/>
      <c r="AB1368" s="175"/>
      <c r="AC1368" s="175"/>
      <c r="AD1368" s="175"/>
      <c r="AE1368" s="175"/>
      <c r="AF1368" s="175"/>
      <c r="AG1368" s="175"/>
      <c r="AH1368" s="175"/>
      <c r="AI1368" s="175"/>
    </row>
    <row r="1369">
      <c r="A1369" s="176">
        <v>46149.0</v>
      </c>
      <c r="B1369" s="177">
        <v>8517464.0</v>
      </c>
      <c r="C1369" s="178" t="s">
        <v>89</v>
      </c>
      <c r="D1369" s="178" t="s">
        <v>35</v>
      </c>
      <c r="E1369" s="177">
        <v>5.610969708E9</v>
      </c>
      <c r="F1369" s="178" t="s">
        <v>894</v>
      </c>
      <c r="G1369" s="176">
        <v>46171.0</v>
      </c>
      <c r="H1369" s="179">
        <v>46175.0</v>
      </c>
      <c r="I1369" s="180">
        <v>4.0</v>
      </c>
      <c r="J1369" s="181" t="s">
        <v>78</v>
      </c>
      <c r="K1369" s="178" t="s">
        <v>79</v>
      </c>
      <c r="L1369" s="178" t="s">
        <v>80</v>
      </c>
      <c r="M1369" s="182">
        <v>0.0</v>
      </c>
      <c r="N1369" s="183">
        <v>0.0</v>
      </c>
      <c r="O1369" s="184">
        <v>0.0</v>
      </c>
      <c r="P1369" s="184">
        <v>0.0</v>
      </c>
      <c r="Q1369" s="185">
        <v>0.0</v>
      </c>
      <c r="R1369" s="186">
        <v>0.0</v>
      </c>
      <c r="S1369" s="186">
        <v>0.0</v>
      </c>
      <c r="T1369" s="186">
        <v>0.0</v>
      </c>
      <c r="U1369" s="187" t="s">
        <v>2207</v>
      </c>
      <c r="V1369" s="176">
        <v>46157.0</v>
      </c>
      <c r="W1369" s="188"/>
      <c r="X1369" s="188"/>
      <c r="Y1369" s="188"/>
      <c r="Z1369" s="188"/>
      <c r="AA1369" s="188"/>
      <c r="AB1369" s="188"/>
      <c r="AC1369" s="188"/>
      <c r="AD1369" s="188"/>
      <c r="AE1369" s="188"/>
      <c r="AF1369" s="188"/>
      <c r="AG1369" s="188"/>
      <c r="AH1369" s="188"/>
      <c r="AI1369" s="188"/>
    </row>
    <row r="1370">
      <c r="A1370" s="176">
        <v>46149.0</v>
      </c>
      <c r="B1370" s="177">
        <v>8518404.0</v>
      </c>
      <c r="C1370" s="178" t="s">
        <v>89</v>
      </c>
      <c r="D1370" s="178" t="s">
        <v>35</v>
      </c>
      <c r="E1370" s="177">
        <v>5.910084805E9</v>
      </c>
      <c r="F1370" s="178" t="s">
        <v>2209</v>
      </c>
      <c r="G1370" s="176">
        <v>46314.20833333333</v>
      </c>
      <c r="H1370" s="179">
        <v>46315.20833333333</v>
      </c>
      <c r="I1370" s="180">
        <v>1.0</v>
      </c>
      <c r="J1370" s="181" t="s">
        <v>78</v>
      </c>
      <c r="K1370" s="178" t="s">
        <v>79</v>
      </c>
      <c r="L1370" s="178" t="s">
        <v>80</v>
      </c>
      <c r="M1370" s="182">
        <v>0.0</v>
      </c>
      <c r="N1370" s="183">
        <v>0.0</v>
      </c>
      <c r="O1370" s="184">
        <v>0.0</v>
      </c>
      <c r="P1370" s="184">
        <v>0.0</v>
      </c>
      <c r="Q1370" s="185">
        <v>0.0</v>
      </c>
      <c r="R1370" s="186">
        <v>0.0</v>
      </c>
      <c r="S1370" s="186">
        <v>0.0</v>
      </c>
      <c r="T1370" s="186">
        <v>0.0</v>
      </c>
      <c r="U1370" s="187" t="s">
        <v>2205</v>
      </c>
      <c r="V1370" s="176">
        <v>46213.0</v>
      </c>
      <c r="W1370" s="175"/>
      <c r="X1370" s="175"/>
      <c r="Y1370" s="175"/>
      <c r="Z1370" s="175"/>
      <c r="AA1370" s="175"/>
      <c r="AB1370" s="175"/>
      <c r="AC1370" s="175"/>
      <c r="AD1370" s="175"/>
      <c r="AE1370" s="175"/>
      <c r="AF1370" s="175"/>
      <c r="AG1370" s="175"/>
      <c r="AH1370" s="175"/>
      <c r="AI1370" s="175"/>
    </row>
    <row r="1371">
      <c r="A1371" s="176">
        <v>46149.0</v>
      </c>
      <c r="B1371" s="177">
        <v>8518471.0</v>
      </c>
      <c r="C1371" s="178" t="s">
        <v>82</v>
      </c>
      <c r="D1371" s="178" t="s">
        <v>35</v>
      </c>
      <c r="E1371" s="177">
        <v>6.981260328E9</v>
      </c>
      <c r="F1371" s="178" t="s">
        <v>2212</v>
      </c>
      <c r="G1371" s="176">
        <v>46183.0</v>
      </c>
      <c r="H1371" s="179">
        <v>46186.0</v>
      </c>
      <c r="I1371" s="180">
        <v>3.0</v>
      </c>
      <c r="J1371" s="181" t="s">
        <v>87</v>
      </c>
      <c r="K1371" s="178" t="s">
        <v>79</v>
      </c>
      <c r="L1371" s="178" t="s">
        <v>80</v>
      </c>
      <c r="M1371" s="182">
        <v>2.0</v>
      </c>
      <c r="N1371" s="183">
        <v>0.19999999999999996</v>
      </c>
      <c r="O1371" s="184">
        <v>135.13</v>
      </c>
      <c r="P1371" s="184">
        <v>108.104</v>
      </c>
      <c r="Q1371" s="185">
        <v>0.0</v>
      </c>
      <c r="R1371" s="186">
        <v>324.312</v>
      </c>
      <c r="S1371" s="186">
        <v>0.0</v>
      </c>
      <c r="T1371" s="186">
        <v>420.39</v>
      </c>
      <c r="U1371" s="187" t="s">
        <v>143</v>
      </c>
      <c r="V1371" s="176">
        <v>46149.0</v>
      </c>
      <c r="W1371" s="188"/>
      <c r="X1371" s="188"/>
      <c r="Y1371" s="188"/>
      <c r="Z1371" s="188"/>
      <c r="AA1371" s="188"/>
      <c r="AB1371" s="188"/>
      <c r="AC1371" s="188"/>
      <c r="AD1371" s="188"/>
      <c r="AE1371" s="188"/>
      <c r="AF1371" s="188"/>
      <c r="AG1371" s="188"/>
      <c r="AH1371" s="188"/>
      <c r="AI1371" s="188"/>
    </row>
    <row r="1372">
      <c r="A1372" s="176">
        <v>46150.0</v>
      </c>
      <c r="B1372" s="177">
        <v>8521434.0</v>
      </c>
      <c r="C1372" s="178" t="s">
        <v>82</v>
      </c>
      <c r="D1372" s="178" t="s">
        <v>35</v>
      </c>
      <c r="E1372" s="177">
        <v>5.092992195E9</v>
      </c>
      <c r="F1372" s="178" t="s">
        <v>2215</v>
      </c>
      <c r="G1372" s="176">
        <v>46332.20833333333</v>
      </c>
      <c r="H1372" s="179">
        <v>46334.20833333333</v>
      </c>
      <c r="I1372" s="180">
        <v>2.0</v>
      </c>
      <c r="J1372" s="181" t="s">
        <v>78</v>
      </c>
      <c r="K1372" s="178" t="s">
        <v>79</v>
      </c>
      <c r="L1372" s="178" t="s">
        <v>80</v>
      </c>
      <c r="M1372" s="182">
        <v>2.0</v>
      </c>
      <c r="N1372" s="183">
        <v>0.19999999999999996</v>
      </c>
      <c r="O1372" s="184">
        <v>111.92</v>
      </c>
      <c r="P1372" s="184">
        <v>89.536</v>
      </c>
      <c r="Q1372" s="185">
        <v>0.0</v>
      </c>
      <c r="R1372" s="186">
        <v>179.072</v>
      </c>
      <c r="S1372" s="186">
        <v>0.0</v>
      </c>
      <c r="T1372" s="186">
        <v>233.84</v>
      </c>
      <c r="U1372" s="187" t="s">
        <v>107</v>
      </c>
      <c r="V1372" s="176">
        <v>46150.0</v>
      </c>
      <c r="W1372" s="164"/>
      <c r="X1372" s="164"/>
      <c r="Y1372" s="164"/>
      <c r="Z1372" s="164"/>
      <c r="AA1372" s="164"/>
      <c r="AB1372" s="164"/>
      <c r="AC1372" s="164"/>
      <c r="AD1372" s="164"/>
      <c r="AE1372" s="164"/>
      <c r="AF1372" s="164"/>
      <c r="AG1372" s="164"/>
      <c r="AH1372" s="164"/>
      <c r="AI1372" s="164"/>
    </row>
    <row r="1373">
      <c r="A1373" s="176">
        <v>46150.0</v>
      </c>
      <c r="B1373" s="177">
        <v>8522014.0</v>
      </c>
      <c r="C1373" s="178" t="s">
        <v>82</v>
      </c>
      <c r="D1373" s="178" t="s">
        <v>35</v>
      </c>
      <c r="E1373" s="177">
        <v>6.574824511E9</v>
      </c>
      <c r="F1373" s="178" t="s">
        <v>2220</v>
      </c>
      <c r="G1373" s="176">
        <v>46293.20833333333</v>
      </c>
      <c r="H1373" s="179">
        <v>46297.20833333333</v>
      </c>
      <c r="I1373" s="180">
        <v>4.0</v>
      </c>
      <c r="J1373" s="181" t="s">
        <v>91</v>
      </c>
      <c r="K1373" s="178" t="s">
        <v>79</v>
      </c>
      <c r="L1373" s="178" t="s">
        <v>80</v>
      </c>
      <c r="M1373" s="182">
        <v>3.0</v>
      </c>
      <c r="N1373" s="183">
        <v>0.19999999999999996</v>
      </c>
      <c r="O1373" s="184">
        <v>335.62</v>
      </c>
      <c r="P1373" s="184">
        <v>268.49600000000004</v>
      </c>
      <c r="Q1373" s="185">
        <v>0.0</v>
      </c>
      <c r="R1373" s="186">
        <v>1073.9840000000002</v>
      </c>
      <c r="S1373" s="186">
        <v>0.0</v>
      </c>
      <c r="T1373" s="186">
        <v>1372.48</v>
      </c>
      <c r="U1373" s="187" t="s">
        <v>143</v>
      </c>
      <c r="V1373" s="176">
        <v>46150.0</v>
      </c>
      <c r="W1373" s="175"/>
      <c r="X1373" s="175"/>
      <c r="Y1373" s="175"/>
      <c r="Z1373" s="175"/>
      <c r="AA1373" s="175"/>
      <c r="AB1373" s="175"/>
      <c r="AC1373" s="175"/>
      <c r="AD1373" s="175"/>
      <c r="AE1373" s="175"/>
      <c r="AF1373" s="175"/>
      <c r="AG1373" s="175"/>
      <c r="AH1373" s="175"/>
      <c r="AI1373" s="175"/>
    </row>
    <row r="1374">
      <c r="A1374" s="176">
        <v>46150.0</v>
      </c>
      <c r="B1374" s="177">
        <v>8522426.0</v>
      </c>
      <c r="C1374" s="178" t="s">
        <v>82</v>
      </c>
      <c r="D1374" s="178" t="s">
        <v>35</v>
      </c>
      <c r="E1374" s="177">
        <v>5.028271578E9</v>
      </c>
      <c r="F1374" s="178" t="s">
        <v>2158</v>
      </c>
      <c r="G1374" s="176">
        <v>46368.20833333333</v>
      </c>
      <c r="H1374" s="179">
        <v>46371.20833333333</v>
      </c>
      <c r="I1374" s="180">
        <v>3.0</v>
      </c>
      <c r="J1374" s="181" t="s">
        <v>78</v>
      </c>
      <c r="K1374" s="178" t="s">
        <v>79</v>
      </c>
      <c r="L1374" s="178" t="s">
        <v>80</v>
      </c>
      <c r="M1374" s="182">
        <v>2.0</v>
      </c>
      <c r="N1374" s="183">
        <v>0.19999999999999996</v>
      </c>
      <c r="O1374" s="184">
        <v>114.89</v>
      </c>
      <c r="P1374" s="184">
        <v>91.912</v>
      </c>
      <c r="Q1374" s="185">
        <v>0.0</v>
      </c>
      <c r="R1374" s="186">
        <v>275.736</v>
      </c>
      <c r="S1374" s="186">
        <v>0.0</v>
      </c>
      <c r="T1374" s="186">
        <v>344.67</v>
      </c>
      <c r="U1374" s="187" t="s">
        <v>107</v>
      </c>
      <c r="V1374" s="176">
        <v>46150.0</v>
      </c>
      <c r="W1374" s="175"/>
      <c r="X1374" s="175"/>
      <c r="Y1374" s="175"/>
      <c r="Z1374" s="175"/>
      <c r="AA1374" s="175"/>
      <c r="AB1374" s="175"/>
      <c r="AC1374" s="175"/>
      <c r="AD1374" s="175"/>
      <c r="AE1374" s="175"/>
      <c r="AF1374" s="175"/>
      <c r="AG1374" s="175"/>
      <c r="AH1374" s="175"/>
      <c r="AI1374" s="175"/>
    </row>
    <row r="1375">
      <c r="A1375" s="176">
        <v>46150.0</v>
      </c>
      <c r="B1375" s="177">
        <v>8522516.0</v>
      </c>
      <c r="C1375" s="178" t="s">
        <v>82</v>
      </c>
      <c r="D1375" s="178" t="s">
        <v>94</v>
      </c>
      <c r="E1375" s="177">
        <v>8522516.0</v>
      </c>
      <c r="F1375" s="178" t="s">
        <v>2224</v>
      </c>
      <c r="G1375" s="176">
        <v>46425.08333333333</v>
      </c>
      <c r="H1375" s="179">
        <v>46425.08333333333</v>
      </c>
      <c r="I1375" s="180">
        <v>1.0</v>
      </c>
      <c r="J1375" s="181" t="s">
        <v>78</v>
      </c>
      <c r="K1375" s="178" t="s">
        <v>79</v>
      </c>
      <c r="L1375" s="178" t="s">
        <v>96</v>
      </c>
      <c r="M1375" s="182">
        <v>2.0</v>
      </c>
      <c r="N1375" s="183">
        <v>0.0</v>
      </c>
      <c r="O1375" s="184">
        <v>200.16</v>
      </c>
      <c r="P1375" s="184">
        <v>200.16</v>
      </c>
      <c r="Q1375" s="185">
        <v>0.0</v>
      </c>
      <c r="R1375" s="186">
        <v>200.16</v>
      </c>
      <c r="S1375" s="186">
        <v>0.0</v>
      </c>
      <c r="T1375" s="186">
        <v>410.32</v>
      </c>
      <c r="U1375" s="187" t="s">
        <v>97</v>
      </c>
      <c r="V1375" s="176">
        <v>46150.0</v>
      </c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</row>
    <row r="1376">
      <c r="A1376" s="176">
        <v>46150.0</v>
      </c>
      <c r="B1376" s="177">
        <v>8522516.0</v>
      </c>
      <c r="C1376" s="178" t="s">
        <v>82</v>
      </c>
      <c r="D1376" s="178" t="s">
        <v>94</v>
      </c>
      <c r="E1376" s="177">
        <v>8522516.0</v>
      </c>
      <c r="F1376" s="178" t="s">
        <v>2224</v>
      </c>
      <c r="G1376" s="176">
        <v>46425.08333333333</v>
      </c>
      <c r="H1376" s="179">
        <v>46425.08333333333</v>
      </c>
      <c r="I1376" s="180">
        <v>1.0</v>
      </c>
      <c r="J1376" s="181" t="s">
        <v>78</v>
      </c>
      <c r="K1376" s="178" t="s">
        <v>79</v>
      </c>
      <c r="L1376" s="178" t="s">
        <v>96</v>
      </c>
      <c r="M1376" s="182">
        <v>2.0</v>
      </c>
      <c r="N1376" s="183">
        <v>0.0</v>
      </c>
      <c r="O1376" s="184">
        <v>200.16</v>
      </c>
      <c r="P1376" s="184">
        <v>200.16</v>
      </c>
      <c r="Q1376" s="185">
        <v>0.0</v>
      </c>
      <c r="R1376" s="186">
        <v>200.16</v>
      </c>
      <c r="S1376" s="186">
        <v>0.0</v>
      </c>
      <c r="T1376" s="186">
        <v>410.32</v>
      </c>
      <c r="U1376" s="187" t="s">
        <v>97</v>
      </c>
      <c r="V1376" s="176">
        <v>46150.0</v>
      </c>
      <c r="W1376" s="188"/>
      <c r="X1376" s="188"/>
      <c r="Y1376" s="188"/>
      <c r="Z1376" s="188"/>
      <c r="AA1376" s="188"/>
      <c r="AB1376" s="188"/>
      <c r="AC1376" s="188"/>
      <c r="AD1376" s="188"/>
      <c r="AE1376" s="188"/>
      <c r="AF1376" s="188"/>
      <c r="AG1376" s="188"/>
      <c r="AH1376" s="188"/>
      <c r="AI1376" s="188"/>
    </row>
    <row r="1377">
      <c r="A1377" s="176">
        <v>46150.0</v>
      </c>
      <c r="B1377" s="177">
        <v>8523206.0</v>
      </c>
      <c r="C1377" s="178" t="s">
        <v>82</v>
      </c>
      <c r="D1377" s="178" t="s">
        <v>35</v>
      </c>
      <c r="E1377" s="177">
        <v>5.772618051E9</v>
      </c>
      <c r="F1377" s="178" t="s">
        <v>2228</v>
      </c>
      <c r="G1377" s="176">
        <v>46338.20833333333</v>
      </c>
      <c r="H1377" s="179">
        <v>46340.20833333333</v>
      </c>
      <c r="I1377" s="180">
        <v>2.0</v>
      </c>
      <c r="J1377" s="181" t="s">
        <v>78</v>
      </c>
      <c r="K1377" s="178" t="s">
        <v>79</v>
      </c>
      <c r="L1377" s="178" t="s">
        <v>80</v>
      </c>
      <c r="M1377" s="182">
        <v>2.0</v>
      </c>
      <c r="N1377" s="183">
        <v>0.19999999999999996</v>
      </c>
      <c r="O1377" s="184">
        <v>173.12</v>
      </c>
      <c r="P1377" s="184">
        <v>138.496</v>
      </c>
      <c r="Q1377" s="185">
        <v>0.0</v>
      </c>
      <c r="R1377" s="186">
        <v>276.992</v>
      </c>
      <c r="S1377" s="186">
        <v>0.0</v>
      </c>
      <c r="T1377" s="186">
        <v>356.24</v>
      </c>
      <c r="U1377" s="187" t="s">
        <v>353</v>
      </c>
      <c r="V1377" s="176">
        <v>46150.0</v>
      </c>
      <c r="W1377" s="188"/>
      <c r="X1377" s="188"/>
      <c r="Y1377" s="188"/>
      <c r="Z1377" s="188"/>
      <c r="AA1377" s="188"/>
      <c r="AB1377" s="188"/>
      <c r="AC1377" s="188"/>
      <c r="AD1377" s="188"/>
      <c r="AE1377" s="188"/>
      <c r="AF1377" s="188"/>
      <c r="AG1377" s="188"/>
      <c r="AH1377" s="188"/>
      <c r="AI1377" s="188"/>
    </row>
    <row r="1378">
      <c r="A1378" s="176">
        <v>46150.0</v>
      </c>
      <c r="B1378" s="177">
        <v>8524606.0</v>
      </c>
      <c r="C1378" s="178" t="s">
        <v>82</v>
      </c>
      <c r="D1378" s="178" t="s">
        <v>35</v>
      </c>
      <c r="E1378" s="177">
        <v>5.146611055E9</v>
      </c>
      <c r="F1378" s="178" t="s">
        <v>2231</v>
      </c>
      <c r="G1378" s="176">
        <v>46295.20833333333</v>
      </c>
      <c r="H1378" s="179">
        <v>46297.20833333333</v>
      </c>
      <c r="I1378" s="180">
        <v>2.0</v>
      </c>
      <c r="J1378" s="181" t="s">
        <v>114</v>
      </c>
      <c r="K1378" s="178" t="s">
        <v>138</v>
      </c>
      <c r="L1378" s="178" t="s">
        <v>80</v>
      </c>
      <c r="M1378" s="182">
        <v>2.0</v>
      </c>
      <c r="N1378" s="183">
        <v>0.19999999999999996</v>
      </c>
      <c r="O1378" s="184">
        <v>145.44</v>
      </c>
      <c r="P1378" s="184">
        <v>116.352</v>
      </c>
      <c r="Q1378" s="185">
        <v>36.0</v>
      </c>
      <c r="R1378" s="186">
        <v>232.704</v>
      </c>
      <c r="S1378" s="186">
        <v>72.0</v>
      </c>
      <c r="T1378" s="186">
        <v>358.48</v>
      </c>
      <c r="U1378" s="187" t="s">
        <v>140</v>
      </c>
      <c r="V1378" s="176">
        <v>46150.0</v>
      </c>
      <c r="W1378" s="175"/>
      <c r="X1378" s="175"/>
      <c r="Y1378" s="175"/>
      <c r="Z1378" s="175"/>
      <c r="AA1378" s="175"/>
      <c r="AB1378" s="175"/>
      <c r="AC1378" s="175"/>
      <c r="AD1378" s="175"/>
      <c r="AE1378" s="175"/>
      <c r="AF1378" s="175"/>
      <c r="AG1378" s="175"/>
      <c r="AH1378" s="175"/>
      <c r="AI1378" s="175"/>
    </row>
    <row r="1379">
      <c r="A1379" s="176">
        <v>46150.0</v>
      </c>
      <c r="B1379" s="177">
        <v>8524710.0</v>
      </c>
      <c r="C1379" s="178" t="s">
        <v>82</v>
      </c>
      <c r="D1379" s="178" t="s">
        <v>35</v>
      </c>
      <c r="E1379" s="177">
        <v>6.467553141E9</v>
      </c>
      <c r="F1379" s="178" t="s">
        <v>2233</v>
      </c>
      <c r="G1379" s="176">
        <v>46167.0</v>
      </c>
      <c r="H1379" s="179">
        <v>46169.0</v>
      </c>
      <c r="I1379" s="180">
        <v>2.0</v>
      </c>
      <c r="J1379" s="181" t="s">
        <v>87</v>
      </c>
      <c r="K1379" s="178" t="s">
        <v>79</v>
      </c>
      <c r="L1379" s="178" t="s">
        <v>80</v>
      </c>
      <c r="M1379" s="182">
        <v>2.0</v>
      </c>
      <c r="N1379" s="183">
        <v>0.19999999999999996</v>
      </c>
      <c r="O1379" s="184">
        <v>150.08</v>
      </c>
      <c r="P1379" s="184">
        <v>120.06400000000002</v>
      </c>
      <c r="Q1379" s="185">
        <v>0.0</v>
      </c>
      <c r="R1379" s="186">
        <v>240.12800000000004</v>
      </c>
      <c r="S1379" s="186">
        <v>0.0</v>
      </c>
      <c r="T1379" s="186">
        <v>310.16</v>
      </c>
      <c r="U1379" s="187" t="s">
        <v>143</v>
      </c>
      <c r="V1379" s="176">
        <v>46150.0</v>
      </c>
      <c r="W1379" s="175"/>
      <c r="X1379" s="175"/>
      <c r="Y1379" s="175"/>
      <c r="Z1379" s="175"/>
      <c r="AA1379" s="175"/>
      <c r="AB1379" s="175"/>
      <c r="AC1379" s="175"/>
      <c r="AD1379" s="175"/>
      <c r="AE1379" s="175"/>
      <c r="AF1379" s="175"/>
      <c r="AG1379" s="175"/>
      <c r="AH1379" s="175"/>
      <c r="AI1379" s="175"/>
    </row>
    <row r="1380">
      <c r="A1380" s="176">
        <v>46151.0</v>
      </c>
      <c r="B1380" s="177">
        <v>8525724.0</v>
      </c>
      <c r="C1380" s="178" t="s">
        <v>89</v>
      </c>
      <c r="D1380" s="178" t="s">
        <v>35</v>
      </c>
      <c r="E1380" s="177">
        <v>6.259003614E9</v>
      </c>
      <c r="F1380" s="178" t="s">
        <v>2235</v>
      </c>
      <c r="G1380" s="176">
        <v>46336.20833333333</v>
      </c>
      <c r="H1380" s="179">
        <v>46338.20833333333</v>
      </c>
      <c r="I1380" s="180">
        <v>2.0</v>
      </c>
      <c r="J1380" s="181" t="s">
        <v>87</v>
      </c>
      <c r="K1380" s="178" t="s">
        <v>79</v>
      </c>
      <c r="L1380" s="178" t="s">
        <v>80</v>
      </c>
      <c r="M1380" s="182">
        <v>0.0</v>
      </c>
      <c r="N1380" s="183">
        <v>0.0</v>
      </c>
      <c r="O1380" s="184">
        <v>0.0</v>
      </c>
      <c r="P1380" s="184">
        <v>0.0</v>
      </c>
      <c r="Q1380" s="185">
        <v>0.0</v>
      </c>
      <c r="R1380" s="186">
        <v>0.0</v>
      </c>
      <c r="S1380" s="186">
        <v>0.0</v>
      </c>
      <c r="T1380" s="186">
        <v>0.0</v>
      </c>
      <c r="U1380" s="187" t="s">
        <v>2237</v>
      </c>
      <c r="V1380" s="176">
        <v>46151.0</v>
      </c>
      <c r="W1380" s="175"/>
      <c r="X1380" s="175"/>
      <c r="Y1380" s="175"/>
      <c r="Z1380" s="175"/>
      <c r="AA1380" s="175"/>
      <c r="AB1380" s="175"/>
      <c r="AC1380" s="175"/>
      <c r="AD1380" s="175"/>
      <c r="AE1380" s="175"/>
      <c r="AF1380" s="175"/>
      <c r="AG1380" s="175"/>
      <c r="AH1380" s="175"/>
      <c r="AI1380" s="175"/>
    </row>
    <row r="1381">
      <c r="A1381" s="176">
        <v>46151.0</v>
      </c>
      <c r="B1381" s="177">
        <v>8527030.0</v>
      </c>
      <c r="C1381" s="178" t="s">
        <v>82</v>
      </c>
      <c r="D1381" s="178" t="s">
        <v>36</v>
      </c>
      <c r="E1381" s="177">
        <v>8527030.0</v>
      </c>
      <c r="F1381" s="178" t="s">
        <v>2239</v>
      </c>
      <c r="G1381" s="176">
        <v>46159.0</v>
      </c>
      <c r="H1381" s="179">
        <v>46160.0</v>
      </c>
      <c r="I1381" s="180">
        <v>1.0</v>
      </c>
      <c r="J1381" s="181" t="s">
        <v>114</v>
      </c>
      <c r="K1381" s="178" t="s">
        <v>79</v>
      </c>
      <c r="L1381" s="178" t="s">
        <v>96</v>
      </c>
      <c r="M1381" s="182">
        <v>2.0</v>
      </c>
      <c r="N1381" s="183">
        <v>0.0</v>
      </c>
      <c r="O1381" s="184">
        <v>270.0</v>
      </c>
      <c r="P1381" s="184">
        <v>267.3</v>
      </c>
      <c r="Q1381" s="185">
        <v>0.0</v>
      </c>
      <c r="R1381" s="186">
        <v>267.3</v>
      </c>
      <c r="S1381" s="186">
        <v>0.0</v>
      </c>
      <c r="T1381" s="186">
        <v>275.0</v>
      </c>
      <c r="U1381" s="187" t="s">
        <v>97</v>
      </c>
      <c r="V1381" s="176">
        <v>46151.0</v>
      </c>
      <c r="W1381" s="175"/>
      <c r="X1381" s="175"/>
      <c r="Y1381" s="175"/>
      <c r="Z1381" s="175"/>
      <c r="AA1381" s="175"/>
      <c r="AB1381" s="175"/>
      <c r="AC1381" s="175"/>
      <c r="AD1381" s="175"/>
      <c r="AE1381" s="175"/>
      <c r="AF1381" s="175"/>
      <c r="AG1381" s="175"/>
      <c r="AH1381" s="175"/>
      <c r="AI1381" s="175"/>
    </row>
    <row r="1382">
      <c r="A1382" s="176">
        <v>46151.0</v>
      </c>
      <c r="B1382" s="177">
        <v>8527492.0</v>
      </c>
      <c r="C1382" s="178" t="s">
        <v>82</v>
      </c>
      <c r="D1382" s="178" t="s">
        <v>35</v>
      </c>
      <c r="E1382" s="177">
        <v>6.428328898E9</v>
      </c>
      <c r="F1382" s="178" t="s">
        <v>2242</v>
      </c>
      <c r="G1382" s="176">
        <v>46166.0</v>
      </c>
      <c r="H1382" s="179">
        <v>46167.0</v>
      </c>
      <c r="I1382" s="180">
        <v>1.0</v>
      </c>
      <c r="J1382" s="181" t="s">
        <v>78</v>
      </c>
      <c r="K1382" s="178" t="s">
        <v>79</v>
      </c>
      <c r="L1382" s="178" t="s">
        <v>80</v>
      </c>
      <c r="M1382" s="182">
        <v>2.0</v>
      </c>
      <c r="N1382" s="183">
        <v>0.19999999999999996</v>
      </c>
      <c r="O1382" s="184">
        <v>194.74</v>
      </c>
      <c r="P1382" s="184">
        <v>155.79200000000003</v>
      </c>
      <c r="Q1382" s="185">
        <v>0.0</v>
      </c>
      <c r="R1382" s="186">
        <v>155.79200000000003</v>
      </c>
      <c r="S1382" s="186">
        <v>0.0</v>
      </c>
      <c r="T1382" s="186">
        <v>199.74</v>
      </c>
      <c r="U1382" s="187" t="s">
        <v>143</v>
      </c>
      <c r="V1382" s="176">
        <v>46151.0</v>
      </c>
      <c r="W1382" s="175"/>
      <c r="X1382" s="175"/>
      <c r="Y1382" s="175"/>
      <c r="Z1382" s="175"/>
      <c r="AA1382" s="175"/>
      <c r="AB1382" s="175"/>
      <c r="AC1382" s="175"/>
      <c r="AD1382" s="175"/>
      <c r="AE1382" s="175"/>
      <c r="AF1382" s="175"/>
      <c r="AG1382" s="175"/>
      <c r="AH1382" s="175"/>
      <c r="AI1382" s="175"/>
    </row>
    <row r="1383">
      <c r="A1383" s="176">
        <v>46151.0</v>
      </c>
      <c r="B1383" s="177">
        <v>8528300.0</v>
      </c>
      <c r="C1383" s="178" t="s">
        <v>89</v>
      </c>
      <c r="D1383" s="178" t="s">
        <v>35</v>
      </c>
      <c r="E1383" s="177">
        <v>5.694481888E9</v>
      </c>
      <c r="F1383" s="178" t="s">
        <v>2244</v>
      </c>
      <c r="G1383" s="176">
        <v>46192.0</v>
      </c>
      <c r="H1383" s="179">
        <v>46193.0</v>
      </c>
      <c r="I1383" s="180">
        <v>1.0</v>
      </c>
      <c r="J1383" s="181" t="s">
        <v>78</v>
      </c>
      <c r="K1383" s="178" t="s">
        <v>79</v>
      </c>
      <c r="L1383" s="178" t="s">
        <v>80</v>
      </c>
      <c r="M1383" s="182">
        <v>0.0</v>
      </c>
      <c r="N1383" s="183">
        <v>0.0</v>
      </c>
      <c r="O1383" s="184">
        <v>0.0</v>
      </c>
      <c r="P1383" s="184">
        <v>0.0</v>
      </c>
      <c r="Q1383" s="185">
        <v>0.0</v>
      </c>
      <c r="R1383" s="186">
        <v>0.0</v>
      </c>
      <c r="S1383" s="186">
        <v>0.0</v>
      </c>
      <c r="T1383" s="186">
        <v>0.0</v>
      </c>
      <c r="U1383" s="187" t="s">
        <v>2246</v>
      </c>
      <c r="V1383" s="176">
        <v>46172.0</v>
      </c>
      <c r="W1383" s="175"/>
      <c r="X1383" s="175"/>
      <c r="Y1383" s="175"/>
      <c r="Z1383" s="175"/>
      <c r="AA1383" s="175"/>
      <c r="AB1383" s="175"/>
      <c r="AC1383" s="175"/>
      <c r="AD1383" s="175"/>
      <c r="AE1383" s="175"/>
      <c r="AF1383" s="175"/>
      <c r="AG1383" s="175"/>
      <c r="AH1383" s="175"/>
      <c r="AI1383" s="175"/>
    </row>
    <row r="1384">
      <c r="A1384" s="176">
        <v>46151.0</v>
      </c>
      <c r="B1384" s="177">
        <v>8528616.0</v>
      </c>
      <c r="C1384" s="178" t="s">
        <v>82</v>
      </c>
      <c r="D1384" s="178" t="s">
        <v>35</v>
      </c>
      <c r="E1384" s="177">
        <v>6.840964454E9</v>
      </c>
      <c r="F1384" s="178" t="s">
        <v>2248</v>
      </c>
      <c r="G1384" s="176">
        <v>46340.20833333333</v>
      </c>
      <c r="H1384" s="179">
        <v>46344.20833333333</v>
      </c>
      <c r="I1384" s="180">
        <v>4.0</v>
      </c>
      <c r="J1384" s="181" t="s">
        <v>114</v>
      </c>
      <c r="K1384" s="178" t="s">
        <v>79</v>
      </c>
      <c r="L1384" s="178" t="s">
        <v>80</v>
      </c>
      <c r="M1384" s="182">
        <v>2.0</v>
      </c>
      <c r="N1384" s="183">
        <v>0.19999999999999996</v>
      </c>
      <c r="O1384" s="184">
        <v>195.52</v>
      </c>
      <c r="P1384" s="184">
        <v>156.41600000000003</v>
      </c>
      <c r="Q1384" s="185">
        <v>0.0</v>
      </c>
      <c r="R1384" s="186">
        <v>625.6640000000001</v>
      </c>
      <c r="S1384" s="186">
        <v>0.0</v>
      </c>
      <c r="T1384" s="186">
        <v>802.08</v>
      </c>
      <c r="U1384" s="187" t="s">
        <v>353</v>
      </c>
      <c r="V1384" s="176">
        <v>46151.0</v>
      </c>
      <c r="W1384" s="188"/>
      <c r="X1384" s="188"/>
      <c r="Y1384" s="188"/>
      <c r="Z1384" s="188"/>
      <c r="AA1384" s="188"/>
      <c r="AB1384" s="188"/>
      <c r="AC1384" s="188"/>
      <c r="AD1384" s="188"/>
      <c r="AE1384" s="188"/>
      <c r="AF1384" s="188"/>
      <c r="AG1384" s="188"/>
      <c r="AH1384" s="188"/>
      <c r="AI1384" s="188"/>
    </row>
    <row r="1385">
      <c r="A1385" s="176">
        <v>46151.0</v>
      </c>
      <c r="B1385" s="177">
        <v>8529070.0</v>
      </c>
      <c r="C1385" s="178" t="s">
        <v>89</v>
      </c>
      <c r="D1385" s="178" t="s">
        <v>35</v>
      </c>
      <c r="E1385" s="177">
        <v>6.137458169E9</v>
      </c>
      <c r="F1385" s="178" t="s">
        <v>2251</v>
      </c>
      <c r="G1385" s="176">
        <v>46209.0</v>
      </c>
      <c r="H1385" s="179">
        <v>46212.0</v>
      </c>
      <c r="I1385" s="180">
        <v>3.0</v>
      </c>
      <c r="J1385" s="181" t="s">
        <v>78</v>
      </c>
      <c r="K1385" s="178" t="s">
        <v>79</v>
      </c>
      <c r="L1385" s="178" t="s">
        <v>80</v>
      </c>
      <c r="M1385" s="182">
        <v>0.0</v>
      </c>
      <c r="N1385" s="183">
        <v>0.0</v>
      </c>
      <c r="O1385" s="184">
        <v>0.0</v>
      </c>
      <c r="P1385" s="184">
        <v>0.0</v>
      </c>
      <c r="Q1385" s="185">
        <v>0.0</v>
      </c>
      <c r="R1385" s="186">
        <v>0.0</v>
      </c>
      <c r="S1385" s="186">
        <v>0.0</v>
      </c>
      <c r="T1385" s="186">
        <v>0.0</v>
      </c>
      <c r="U1385" s="187" t="s">
        <v>2246</v>
      </c>
      <c r="V1385" s="176">
        <v>46152.0</v>
      </c>
      <c r="W1385" s="188"/>
      <c r="X1385" s="188"/>
      <c r="Y1385" s="188"/>
      <c r="Z1385" s="188"/>
      <c r="AA1385" s="188"/>
      <c r="AB1385" s="188"/>
      <c r="AC1385" s="188"/>
      <c r="AD1385" s="188"/>
      <c r="AE1385" s="188"/>
      <c r="AF1385" s="188"/>
      <c r="AG1385" s="188"/>
      <c r="AH1385" s="188"/>
      <c r="AI1385" s="188"/>
    </row>
    <row r="1386">
      <c r="A1386" s="176">
        <v>46152.0</v>
      </c>
      <c r="B1386" s="177">
        <v>8529502.0</v>
      </c>
      <c r="C1386" s="178" t="s">
        <v>82</v>
      </c>
      <c r="D1386" s="178" t="s">
        <v>35</v>
      </c>
      <c r="E1386" s="177">
        <v>6.773099204E9</v>
      </c>
      <c r="F1386" s="178" t="s">
        <v>2251</v>
      </c>
      <c r="G1386" s="176">
        <v>46209.0</v>
      </c>
      <c r="H1386" s="179">
        <v>46212.0</v>
      </c>
      <c r="I1386" s="180">
        <v>3.0</v>
      </c>
      <c r="J1386" s="181" t="s">
        <v>78</v>
      </c>
      <c r="K1386" s="178" t="s">
        <v>79</v>
      </c>
      <c r="L1386" s="178" t="s">
        <v>80</v>
      </c>
      <c r="M1386" s="182">
        <v>3.0</v>
      </c>
      <c r="N1386" s="183">
        <v>0.19999999999999996</v>
      </c>
      <c r="O1386" s="184">
        <v>150.43</v>
      </c>
      <c r="P1386" s="184">
        <v>120.34400000000001</v>
      </c>
      <c r="Q1386" s="185">
        <v>0.0</v>
      </c>
      <c r="R1386" s="186">
        <v>361.03200000000004</v>
      </c>
      <c r="S1386" s="186">
        <v>0.0</v>
      </c>
      <c r="T1386" s="186">
        <v>473.79</v>
      </c>
      <c r="U1386" s="187" t="s">
        <v>1367</v>
      </c>
      <c r="V1386" s="176">
        <v>46152.0</v>
      </c>
      <c r="W1386" s="188"/>
      <c r="X1386" s="188"/>
      <c r="Y1386" s="188"/>
      <c r="Z1386" s="188"/>
      <c r="AA1386" s="188"/>
      <c r="AB1386" s="188"/>
      <c r="AC1386" s="188"/>
      <c r="AD1386" s="188"/>
      <c r="AE1386" s="188"/>
      <c r="AF1386" s="188"/>
      <c r="AG1386" s="188"/>
      <c r="AH1386" s="188"/>
      <c r="AI1386" s="188"/>
    </row>
    <row r="1387">
      <c r="A1387" s="176">
        <v>46152.0</v>
      </c>
      <c r="B1387" s="177">
        <v>8530495.0</v>
      </c>
      <c r="C1387" s="178" t="s">
        <v>82</v>
      </c>
      <c r="D1387" s="178" t="s">
        <v>109</v>
      </c>
      <c r="E1387" s="177">
        <v>6.58073299E8</v>
      </c>
      <c r="F1387" s="178" t="s">
        <v>2255</v>
      </c>
      <c r="G1387" s="176">
        <v>46301.20833333333</v>
      </c>
      <c r="H1387" s="179">
        <v>46304.20833333333</v>
      </c>
      <c r="I1387" s="180">
        <v>3.0</v>
      </c>
      <c r="J1387" s="181" t="s">
        <v>111</v>
      </c>
      <c r="K1387" s="178" t="s">
        <v>79</v>
      </c>
      <c r="L1387" s="178" t="s">
        <v>96</v>
      </c>
      <c r="M1387" s="182">
        <v>2.0</v>
      </c>
      <c r="N1387" s="183">
        <v>0.19999999999999996</v>
      </c>
      <c r="O1387" s="184">
        <v>221.21</v>
      </c>
      <c r="P1387" s="184">
        <v>176.96800000000002</v>
      </c>
      <c r="Q1387" s="185">
        <v>0.0</v>
      </c>
      <c r="R1387" s="186">
        <v>530.904</v>
      </c>
      <c r="S1387" s="186">
        <v>0.0</v>
      </c>
      <c r="T1387" s="186">
        <v>663.63</v>
      </c>
      <c r="U1387" s="187" t="s">
        <v>1464</v>
      </c>
      <c r="V1387" s="176">
        <v>46152.0</v>
      </c>
      <c r="W1387" s="175"/>
      <c r="X1387" s="175"/>
      <c r="Y1387" s="175"/>
      <c r="Z1387" s="175"/>
      <c r="AA1387" s="175"/>
      <c r="AB1387" s="175"/>
      <c r="AC1387" s="175"/>
      <c r="AD1387" s="175"/>
      <c r="AE1387" s="175"/>
      <c r="AF1387" s="175"/>
      <c r="AG1387" s="175"/>
      <c r="AH1387" s="175"/>
      <c r="AI1387" s="175"/>
    </row>
    <row r="1388">
      <c r="A1388" s="176">
        <v>46152.0</v>
      </c>
      <c r="B1388" s="177">
        <v>8530712.0</v>
      </c>
      <c r="C1388" s="178" t="s">
        <v>82</v>
      </c>
      <c r="D1388" s="178" t="s">
        <v>94</v>
      </c>
      <c r="E1388" s="177">
        <v>8530712.0</v>
      </c>
      <c r="F1388" s="178" t="s">
        <v>2258</v>
      </c>
      <c r="G1388" s="176">
        <v>46300.20833333333</v>
      </c>
      <c r="H1388" s="179">
        <v>46301.20833333333</v>
      </c>
      <c r="I1388" s="180">
        <v>1.0</v>
      </c>
      <c r="J1388" s="181" t="s">
        <v>78</v>
      </c>
      <c r="K1388" s="178" t="s">
        <v>79</v>
      </c>
      <c r="L1388" s="178" t="s">
        <v>96</v>
      </c>
      <c r="M1388" s="182">
        <v>2.0</v>
      </c>
      <c r="N1388" s="183">
        <v>0.0</v>
      </c>
      <c r="O1388" s="184">
        <v>200.16</v>
      </c>
      <c r="P1388" s="184">
        <v>200.16</v>
      </c>
      <c r="Q1388" s="185">
        <v>0.0</v>
      </c>
      <c r="R1388" s="186">
        <v>200.16</v>
      </c>
      <c r="S1388" s="186">
        <v>0.0</v>
      </c>
      <c r="T1388" s="186">
        <v>205.16</v>
      </c>
      <c r="U1388" s="187" t="s">
        <v>97</v>
      </c>
      <c r="V1388" s="176">
        <v>46152.0</v>
      </c>
      <c r="W1388" s="175"/>
      <c r="X1388" s="175"/>
      <c r="Y1388" s="175"/>
      <c r="Z1388" s="175"/>
      <c r="AA1388" s="175"/>
      <c r="AB1388" s="175"/>
      <c r="AC1388" s="175"/>
      <c r="AD1388" s="175"/>
      <c r="AE1388" s="175"/>
      <c r="AF1388" s="175"/>
      <c r="AG1388" s="175"/>
      <c r="AH1388" s="175"/>
      <c r="AI1388" s="175"/>
    </row>
    <row r="1389">
      <c r="A1389" s="176">
        <v>46152.0</v>
      </c>
      <c r="B1389" s="177">
        <v>8533330.0</v>
      </c>
      <c r="C1389" s="178" t="s">
        <v>82</v>
      </c>
      <c r="D1389" s="178" t="s">
        <v>35</v>
      </c>
      <c r="E1389" s="177">
        <v>5.567990142E9</v>
      </c>
      <c r="F1389" s="178" t="s">
        <v>2259</v>
      </c>
      <c r="G1389" s="176">
        <v>46195.0</v>
      </c>
      <c r="H1389" s="179">
        <v>46197.0</v>
      </c>
      <c r="I1389" s="180">
        <v>2.0</v>
      </c>
      <c r="J1389" s="181" t="s">
        <v>111</v>
      </c>
      <c r="K1389" s="178" t="s">
        <v>79</v>
      </c>
      <c r="L1389" s="178" t="s">
        <v>80</v>
      </c>
      <c r="M1389" s="182">
        <v>2.0</v>
      </c>
      <c r="N1389" s="183">
        <v>0.19999999999999996</v>
      </c>
      <c r="O1389" s="184">
        <v>152.99</v>
      </c>
      <c r="P1389" s="184">
        <v>122.39200000000001</v>
      </c>
      <c r="Q1389" s="185">
        <v>0.0</v>
      </c>
      <c r="R1389" s="186">
        <v>244.78400000000002</v>
      </c>
      <c r="S1389" s="186">
        <v>0.0</v>
      </c>
      <c r="T1389" s="186">
        <v>315.98</v>
      </c>
      <c r="U1389" s="187" t="s">
        <v>107</v>
      </c>
      <c r="V1389" s="176">
        <v>46152.0</v>
      </c>
      <c r="W1389" s="164"/>
      <c r="X1389" s="164"/>
      <c r="Y1389" s="164"/>
      <c r="Z1389" s="164"/>
      <c r="AA1389" s="164"/>
      <c r="AB1389" s="164"/>
      <c r="AC1389" s="164"/>
      <c r="AD1389" s="164"/>
      <c r="AE1389" s="164"/>
      <c r="AF1389" s="164"/>
      <c r="AG1389" s="164"/>
      <c r="AH1389" s="164"/>
      <c r="AI1389" s="164"/>
    </row>
    <row r="1390">
      <c r="A1390" s="176">
        <v>46152.0</v>
      </c>
      <c r="B1390" s="177">
        <v>8533666.0</v>
      </c>
      <c r="C1390" s="178" t="s">
        <v>82</v>
      </c>
      <c r="D1390" s="178" t="s">
        <v>35</v>
      </c>
      <c r="E1390" s="177">
        <v>6.043636354E9</v>
      </c>
      <c r="F1390" s="178" t="s">
        <v>2262</v>
      </c>
      <c r="G1390" s="176">
        <v>46352.20833333333</v>
      </c>
      <c r="H1390" s="179">
        <v>46355.20833333333</v>
      </c>
      <c r="I1390" s="180">
        <v>3.0</v>
      </c>
      <c r="J1390" s="181" t="s">
        <v>78</v>
      </c>
      <c r="K1390" s="178" t="s">
        <v>79</v>
      </c>
      <c r="L1390" s="178" t="s">
        <v>80</v>
      </c>
      <c r="M1390" s="182">
        <v>2.0</v>
      </c>
      <c r="N1390" s="183">
        <v>0.19999999999999996</v>
      </c>
      <c r="O1390" s="184">
        <v>184.24</v>
      </c>
      <c r="P1390" s="184">
        <v>147.39200000000002</v>
      </c>
      <c r="Q1390" s="185">
        <v>0.0</v>
      </c>
      <c r="R1390" s="186">
        <v>442.17600000000004</v>
      </c>
      <c r="S1390" s="186">
        <v>0.0</v>
      </c>
      <c r="T1390" s="186">
        <v>567.72</v>
      </c>
      <c r="U1390" s="187" t="s">
        <v>353</v>
      </c>
      <c r="V1390" s="176">
        <v>46152.0</v>
      </c>
      <c r="W1390" s="188"/>
      <c r="X1390" s="188"/>
      <c r="Y1390" s="188"/>
      <c r="Z1390" s="188"/>
      <c r="AA1390" s="188"/>
      <c r="AB1390" s="188"/>
      <c r="AC1390" s="188"/>
      <c r="AD1390" s="188"/>
      <c r="AE1390" s="188"/>
      <c r="AF1390" s="188"/>
      <c r="AG1390" s="188"/>
      <c r="AH1390" s="188"/>
      <c r="AI1390" s="188"/>
    </row>
    <row r="1391">
      <c r="A1391" s="176">
        <v>46152.0</v>
      </c>
      <c r="B1391" s="177">
        <v>8534214.0</v>
      </c>
      <c r="C1391" s="178" t="s">
        <v>82</v>
      </c>
      <c r="D1391" s="178" t="s">
        <v>35</v>
      </c>
      <c r="E1391" s="177">
        <v>5.217253014E9</v>
      </c>
      <c r="F1391" s="178" t="s">
        <v>2263</v>
      </c>
      <c r="G1391" s="176">
        <v>46458.0</v>
      </c>
      <c r="H1391" s="179">
        <v>46460.0</v>
      </c>
      <c r="I1391" s="180">
        <v>2.0</v>
      </c>
      <c r="J1391" s="181" t="s">
        <v>114</v>
      </c>
      <c r="K1391" s="178" t="s">
        <v>79</v>
      </c>
      <c r="L1391" s="178" t="s">
        <v>80</v>
      </c>
      <c r="M1391" s="182">
        <v>2.0</v>
      </c>
      <c r="N1391" s="183">
        <v>0.19999999999999996</v>
      </c>
      <c r="O1391" s="184">
        <v>195.52</v>
      </c>
      <c r="P1391" s="184">
        <v>156.41600000000003</v>
      </c>
      <c r="Q1391" s="185">
        <v>0.0</v>
      </c>
      <c r="R1391" s="186">
        <v>312.83200000000005</v>
      </c>
      <c r="S1391" s="186">
        <v>0.0</v>
      </c>
      <c r="T1391" s="186">
        <v>401.04</v>
      </c>
      <c r="U1391" s="187" t="s">
        <v>353</v>
      </c>
      <c r="V1391" s="176">
        <v>46152.0</v>
      </c>
      <c r="W1391" s="175"/>
      <c r="X1391" s="175"/>
      <c r="Y1391" s="175"/>
      <c r="Z1391" s="175"/>
      <c r="AA1391" s="175"/>
      <c r="AB1391" s="175"/>
      <c r="AC1391" s="175"/>
      <c r="AD1391" s="175"/>
      <c r="AE1391" s="175"/>
      <c r="AF1391" s="175"/>
      <c r="AG1391" s="175"/>
      <c r="AH1391" s="175"/>
      <c r="AI1391" s="175"/>
    </row>
    <row r="1392">
      <c r="A1392" s="176">
        <v>46153.0</v>
      </c>
      <c r="B1392" s="177">
        <v>8537186.0</v>
      </c>
      <c r="C1392" s="178" t="s">
        <v>75</v>
      </c>
      <c r="D1392" s="178" t="s">
        <v>35</v>
      </c>
      <c r="E1392" s="177">
        <v>6.399564201E9</v>
      </c>
      <c r="F1392" s="178" t="s">
        <v>2265</v>
      </c>
      <c r="G1392" s="176">
        <v>46267.0</v>
      </c>
      <c r="H1392" s="179">
        <v>46269.0</v>
      </c>
      <c r="I1392" s="180">
        <v>2.0</v>
      </c>
      <c r="J1392" s="181" t="s">
        <v>78</v>
      </c>
      <c r="K1392" s="178" t="s">
        <v>79</v>
      </c>
      <c r="L1392" s="178" t="s">
        <v>80</v>
      </c>
      <c r="M1392" s="182">
        <v>2.0</v>
      </c>
      <c r="N1392" s="183">
        <v>0.19999999999999996</v>
      </c>
      <c r="O1392" s="184">
        <v>185.22</v>
      </c>
      <c r="P1392" s="184">
        <v>148.17600000000002</v>
      </c>
      <c r="Q1392" s="185">
        <v>0.0</v>
      </c>
      <c r="R1392" s="186">
        <v>296.35200000000003</v>
      </c>
      <c r="S1392" s="186">
        <v>0.0</v>
      </c>
      <c r="T1392" s="186">
        <v>380.44</v>
      </c>
      <c r="U1392" s="187" t="s">
        <v>2267</v>
      </c>
      <c r="V1392" s="176">
        <v>46153.0</v>
      </c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</row>
    <row r="1393">
      <c r="A1393" s="176">
        <v>46153.0</v>
      </c>
      <c r="B1393" s="177">
        <v>8538523.0</v>
      </c>
      <c r="C1393" s="178" t="s">
        <v>75</v>
      </c>
      <c r="D1393" s="178" t="s">
        <v>35</v>
      </c>
      <c r="E1393" s="177">
        <v>6.803611126E9</v>
      </c>
      <c r="F1393" s="178" t="s">
        <v>2269</v>
      </c>
      <c r="G1393" s="176">
        <v>46262.0</v>
      </c>
      <c r="H1393" s="179">
        <v>46263.0</v>
      </c>
      <c r="I1393" s="180">
        <v>1.0</v>
      </c>
      <c r="J1393" s="181" t="s">
        <v>91</v>
      </c>
      <c r="K1393" s="178" t="s">
        <v>79</v>
      </c>
      <c r="L1393" s="178" t="s">
        <v>80</v>
      </c>
      <c r="M1393" s="182">
        <v>3.0</v>
      </c>
      <c r="N1393" s="183">
        <v>0.19999999999999996</v>
      </c>
      <c r="O1393" s="184">
        <v>305.82</v>
      </c>
      <c r="P1393" s="184">
        <v>244.656</v>
      </c>
      <c r="Q1393" s="185">
        <v>0.0</v>
      </c>
      <c r="R1393" s="186">
        <v>244.656</v>
      </c>
      <c r="S1393" s="186">
        <v>0.0</v>
      </c>
      <c r="T1393" s="186">
        <v>424.11</v>
      </c>
      <c r="U1393" s="187" t="s">
        <v>2271</v>
      </c>
      <c r="V1393" s="176">
        <v>46153.0</v>
      </c>
      <c r="W1393" s="164"/>
      <c r="X1393" s="164"/>
      <c r="Y1393" s="164"/>
      <c r="Z1393" s="164"/>
      <c r="AA1393" s="164"/>
      <c r="AB1393" s="164"/>
      <c r="AC1393" s="164"/>
      <c r="AD1393" s="164"/>
      <c r="AE1393" s="164"/>
      <c r="AF1393" s="164"/>
      <c r="AG1393" s="164"/>
      <c r="AH1393" s="164"/>
      <c r="AI1393" s="164"/>
    </row>
    <row r="1394">
      <c r="A1394" s="176">
        <v>46153.0</v>
      </c>
      <c r="B1394" s="177">
        <v>8538523.0</v>
      </c>
      <c r="C1394" s="178" t="s">
        <v>75</v>
      </c>
      <c r="D1394" s="178" t="s">
        <v>35</v>
      </c>
      <c r="E1394" s="177">
        <v>6.803611126E9</v>
      </c>
      <c r="F1394" s="178" t="s">
        <v>2269</v>
      </c>
      <c r="G1394" s="176">
        <v>46262.0</v>
      </c>
      <c r="H1394" s="179">
        <v>46263.0</v>
      </c>
      <c r="I1394" s="180">
        <v>1.0</v>
      </c>
      <c r="J1394" s="181" t="s">
        <v>78</v>
      </c>
      <c r="K1394" s="178" t="s">
        <v>79</v>
      </c>
      <c r="L1394" s="178" t="s">
        <v>80</v>
      </c>
      <c r="M1394" s="182">
        <v>2.0</v>
      </c>
      <c r="N1394" s="183">
        <v>0.19999999999999996</v>
      </c>
      <c r="O1394" s="184">
        <v>105.79</v>
      </c>
      <c r="P1394" s="184">
        <v>84.632</v>
      </c>
      <c r="Q1394" s="185">
        <v>0.0</v>
      </c>
      <c r="R1394" s="186">
        <v>84.632</v>
      </c>
      <c r="S1394" s="186">
        <v>0.0</v>
      </c>
      <c r="T1394" s="186">
        <v>424.11</v>
      </c>
      <c r="U1394" s="187" t="s">
        <v>2271</v>
      </c>
      <c r="V1394" s="176">
        <v>46153.0</v>
      </c>
      <c r="W1394" s="175"/>
      <c r="X1394" s="175"/>
      <c r="Y1394" s="175"/>
      <c r="Z1394" s="175"/>
      <c r="AA1394" s="175"/>
      <c r="AB1394" s="175"/>
      <c r="AC1394" s="175"/>
      <c r="AD1394" s="175"/>
      <c r="AE1394" s="175"/>
      <c r="AF1394" s="175"/>
      <c r="AG1394" s="175"/>
      <c r="AH1394" s="175"/>
      <c r="AI1394" s="175"/>
    </row>
    <row r="1395">
      <c r="A1395" s="176">
        <v>46153.0</v>
      </c>
      <c r="B1395" s="177">
        <v>8538719.0</v>
      </c>
      <c r="C1395" s="178" t="s">
        <v>89</v>
      </c>
      <c r="D1395" s="178" t="s">
        <v>35</v>
      </c>
      <c r="E1395" s="177">
        <v>5.836666587E9</v>
      </c>
      <c r="F1395" s="178" t="s">
        <v>2274</v>
      </c>
      <c r="G1395" s="176">
        <v>46481.20833333333</v>
      </c>
      <c r="H1395" s="179">
        <v>46483.20833333333</v>
      </c>
      <c r="I1395" s="180">
        <v>2.0</v>
      </c>
      <c r="J1395" s="181" t="s">
        <v>78</v>
      </c>
      <c r="K1395" s="178" t="s">
        <v>79</v>
      </c>
      <c r="L1395" s="178" t="s">
        <v>80</v>
      </c>
      <c r="M1395" s="182">
        <v>0.0</v>
      </c>
      <c r="N1395" s="183">
        <v>0.0</v>
      </c>
      <c r="O1395" s="184">
        <v>0.0</v>
      </c>
      <c r="P1395" s="184">
        <v>0.0</v>
      </c>
      <c r="Q1395" s="185">
        <v>0.0</v>
      </c>
      <c r="R1395" s="186">
        <v>0.0</v>
      </c>
      <c r="S1395" s="186">
        <v>0.0</v>
      </c>
      <c r="T1395" s="186">
        <v>0.0</v>
      </c>
      <c r="U1395" s="187" t="s">
        <v>2275</v>
      </c>
      <c r="V1395" s="176">
        <v>46173.0</v>
      </c>
      <c r="W1395" s="175"/>
      <c r="X1395" s="175"/>
      <c r="Y1395" s="175"/>
      <c r="Z1395" s="175"/>
      <c r="AA1395" s="175"/>
      <c r="AB1395" s="175"/>
      <c r="AC1395" s="175"/>
      <c r="AD1395" s="175"/>
      <c r="AE1395" s="175"/>
      <c r="AF1395" s="175"/>
      <c r="AG1395" s="175"/>
      <c r="AH1395" s="175"/>
      <c r="AI1395" s="175"/>
    </row>
    <row r="1396">
      <c r="A1396" s="176">
        <v>46154.0</v>
      </c>
      <c r="B1396" s="177">
        <v>8541880.0</v>
      </c>
      <c r="C1396" s="178" t="s">
        <v>89</v>
      </c>
      <c r="D1396" s="178" t="s">
        <v>35</v>
      </c>
      <c r="E1396" s="177">
        <v>6.819370704E9</v>
      </c>
      <c r="F1396" s="178" t="s">
        <v>2277</v>
      </c>
      <c r="G1396" s="176">
        <v>46154.0</v>
      </c>
      <c r="H1396" s="179">
        <v>46155.0</v>
      </c>
      <c r="I1396" s="180">
        <v>1.0</v>
      </c>
      <c r="J1396" s="181" t="s">
        <v>78</v>
      </c>
      <c r="K1396" s="178" t="s">
        <v>79</v>
      </c>
      <c r="L1396" s="178" t="s">
        <v>80</v>
      </c>
      <c r="M1396" s="182">
        <v>0.0</v>
      </c>
      <c r="N1396" s="183">
        <v>0.0</v>
      </c>
      <c r="O1396" s="184">
        <v>0.0</v>
      </c>
      <c r="P1396" s="184">
        <v>0.0</v>
      </c>
      <c r="Q1396" s="185">
        <v>0.0</v>
      </c>
      <c r="R1396" s="186">
        <v>0.0</v>
      </c>
      <c r="S1396" s="186">
        <v>0.0</v>
      </c>
      <c r="T1396" s="186">
        <v>0.0</v>
      </c>
      <c r="U1396" s="187" t="s">
        <v>2278</v>
      </c>
      <c r="V1396" s="176">
        <v>46154.0</v>
      </c>
      <c r="W1396" s="175"/>
      <c r="X1396" s="175"/>
      <c r="Y1396" s="175"/>
      <c r="Z1396" s="175"/>
      <c r="AA1396" s="175"/>
      <c r="AB1396" s="175"/>
      <c r="AC1396" s="175"/>
      <c r="AD1396" s="175"/>
      <c r="AE1396" s="175"/>
      <c r="AF1396" s="175"/>
      <c r="AG1396" s="175"/>
      <c r="AH1396" s="175"/>
      <c r="AI1396" s="175"/>
    </row>
    <row r="1397">
      <c r="A1397" s="176">
        <v>46154.0</v>
      </c>
      <c r="B1397" s="177">
        <v>8541880.0</v>
      </c>
      <c r="C1397" s="178" t="s">
        <v>89</v>
      </c>
      <c r="D1397" s="178" t="s">
        <v>35</v>
      </c>
      <c r="E1397" s="177">
        <v>6.819370704E9</v>
      </c>
      <c r="F1397" s="178" t="s">
        <v>2277</v>
      </c>
      <c r="G1397" s="176">
        <v>46154.0</v>
      </c>
      <c r="H1397" s="179">
        <v>46155.0</v>
      </c>
      <c r="I1397" s="180">
        <v>1.0</v>
      </c>
      <c r="J1397" s="181" t="s">
        <v>87</v>
      </c>
      <c r="K1397" s="178" t="s">
        <v>79</v>
      </c>
      <c r="L1397" s="178" t="s">
        <v>80</v>
      </c>
      <c r="M1397" s="182">
        <v>0.0</v>
      </c>
      <c r="N1397" s="183">
        <v>0.0</v>
      </c>
      <c r="O1397" s="184">
        <v>0.0</v>
      </c>
      <c r="P1397" s="184">
        <v>0.0</v>
      </c>
      <c r="Q1397" s="185">
        <v>0.0</v>
      </c>
      <c r="R1397" s="186">
        <v>0.0</v>
      </c>
      <c r="S1397" s="186">
        <v>0.0</v>
      </c>
      <c r="T1397" s="186">
        <v>0.0</v>
      </c>
      <c r="U1397" s="187" t="s">
        <v>2278</v>
      </c>
      <c r="V1397" s="176">
        <v>46154.0</v>
      </c>
      <c r="W1397" s="175"/>
      <c r="X1397" s="175"/>
      <c r="Y1397" s="175"/>
      <c r="Z1397" s="175"/>
      <c r="AA1397" s="175"/>
      <c r="AB1397" s="175"/>
      <c r="AC1397" s="175"/>
      <c r="AD1397" s="175"/>
      <c r="AE1397" s="175"/>
      <c r="AF1397" s="175"/>
      <c r="AG1397" s="175"/>
      <c r="AH1397" s="175"/>
      <c r="AI1397" s="175"/>
    </row>
    <row r="1398">
      <c r="A1398" s="176">
        <v>46154.0</v>
      </c>
      <c r="B1398" s="177">
        <v>8541888.0</v>
      </c>
      <c r="C1398" s="178" t="s">
        <v>82</v>
      </c>
      <c r="D1398" s="178" t="s">
        <v>35</v>
      </c>
      <c r="E1398" s="177">
        <v>5.320947687E9</v>
      </c>
      <c r="F1398" s="178" t="s">
        <v>2281</v>
      </c>
      <c r="G1398" s="176">
        <v>46254.0</v>
      </c>
      <c r="H1398" s="179">
        <v>46255.0</v>
      </c>
      <c r="I1398" s="180">
        <v>1.0</v>
      </c>
      <c r="J1398" s="181" t="s">
        <v>78</v>
      </c>
      <c r="K1398" s="178" t="s">
        <v>79</v>
      </c>
      <c r="L1398" s="178" t="s">
        <v>80</v>
      </c>
      <c r="M1398" s="182">
        <v>2.0</v>
      </c>
      <c r="N1398" s="183">
        <v>0.19999999999999996</v>
      </c>
      <c r="O1398" s="184">
        <v>112.1</v>
      </c>
      <c r="P1398" s="184">
        <v>89.68</v>
      </c>
      <c r="Q1398" s="185">
        <v>0.0</v>
      </c>
      <c r="R1398" s="186">
        <v>89.68</v>
      </c>
      <c r="S1398" s="186">
        <v>0.0</v>
      </c>
      <c r="T1398" s="186">
        <v>117.1</v>
      </c>
      <c r="U1398" s="187" t="s">
        <v>107</v>
      </c>
      <c r="V1398" s="176">
        <v>46154.0</v>
      </c>
      <c r="W1398" s="164"/>
      <c r="X1398" s="164"/>
      <c r="Y1398" s="164"/>
      <c r="Z1398" s="164"/>
      <c r="AA1398" s="164"/>
      <c r="AB1398" s="164"/>
      <c r="AC1398" s="164"/>
      <c r="AD1398" s="164"/>
      <c r="AE1398" s="164"/>
      <c r="AF1398" s="164"/>
      <c r="AG1398" s="164"/>
      <c r="AH1398" s="164"/>
      <c r="AI1398" s="164"/>
    </row>
    <row r="1399">
      <c r="A1399" s="176">
        <v>46154.0</v>
      </c>
      <c r="B1399" s="177">
        <v>8542284.0</v>
      </c>
      <c r="C1399" s="178" t="s">
        <v>82</v>
      </c>
      <c r="D1399" s="178" t="s">
        <v>94</v>
      </c>
      <c r="E1399" s="177">
        <v>8542284.0</v>
      </c>
      <c r="F1399" s="178" t="s">
        <v>2283</v>
      </c>
      <c r="G1399" s="176">
        <v>46218.0</v>
      </c>
      <c r="H1399" s="179">
        <v>46222.0</v>
      </c>
      <c r="I1399" s="180">
        <v>4.0</v>
      </c>
      <c r="J1399" s="181" t="s">
        <v>78</v>
      </c>
      <c r="K1399" s="178" t="s">
        <v>79</v>
      </c>
      <c r="L1399" s="178" t="s">
        <v>96</v>
      </c>
      <c r="M1399" s="182">
        <v>2.0</v>
      </c>
      <c r="N1399" s="183">
        <v>0.0</v>
      </c>
      <c r="O1399" s="184">
        <v>181.44</v>
      </c>
      <c r="P1399" s="184">
        <v>181.44</v>
      </c>
      <c r="Q1399" s="185">
        <v>0.0</v>
      </c>
      <c r="R1399" s="186">
        <v>725.76</v>
      </c>
      <c r="S1399" s="186">
        <v>0.0</v>
      </c>
      <c r="T1399" s="186">
        <v>745.76</v>
      </c>
      <c r="U1399" s="187" t="s">
        <v>97</v>
      </c>
      <c r="V1399" s="176">
        <v>46154.0</v>
      </c>
      <c r="W1399" s="175"/>
      <c r="X1399" s="175"/>
      <c r="Y1399" s="175"/>
      <c r="Z1399" s="175"/>
      <c r="AA1399" s="175"/>
      <c r="AB1399" s="175"/>
      <c r="AC1399" s="175"/>
      <c r="AD1399" s="175"/>
      <c r="AE1399" s="175"/>
      <c r="AF1399" s="175"/>
      <c r="AG1399" s="175"/>
      <c r="AH1399" s="175"/>
      <c r="AI1399" s="175"/>
    </row>
    <row r="1400">
      <c r="A1400" s="176">
        <v>46154.0</v>
      </c>
      <c r="B1400" s="177">
        <v>8542936.0</v>
      </c>
      <c r="C1400" s="178" t="s">
        <v>82</v>
      </c>
      <c r="D1400" s="178" t="s">
        <v>94</v>
      </c>
      <c r="E1400" s="177">
        <v>8542936.0</v>
      </c>
      <c r="F1400" s="178" t="s">
        <v>2277</v>
      </c>
      <c r="G1400" s="176">
        <v>46154.0</v>
      </c>
      <c r="H1400" s="179">
        <v>46155.0</v>
      </c>
      <c r="I1400" s="180">
        <v>1.0</v>
      </c>
      <c r="J1400" s="181" t="s">
        <v>87</v>
      </c>
      <c r="K1400" s="178" t="s">
        <v>79</v>
      </c>
      <c r="L1400" s="178" t="s">
        <v>96</v>
      </c>
      <c r="M1400" s="182">
        <v>2.0</v>
      </c>
      <c r="N1400" s="183">
        <v>0.0</v>
      </c>
      <c r="O1400" s="184">
        <v>210.24</v>
      </c>
      <c r="P1400" s="184">
        <v>210.24</v>
      </c>
      <c r="Q1400" s="185">
        <v>0.0</v>
      </c>
      <c r="R1400" s="186">
        <v>210.24</v>
      </c>
      <c r="S1400" s="186">
        <v>0.0</v>
      </c>
      <c r="T1400" s="186">
        <v>460.0</v>
      </c>
      <c r="U1400" s="187" t="s">
        <v>97</v>
      </c>
      <c r="V1400" s="176">
        <v>46154.0</v>
      </c>
      <c r="W1400" s="175"/>
      <c r="X1400" s="175"/>
      <c r="Y1400" s="175"/>
      <c r="Z1400" s="175"/>
      <c r="AA1400" s="175"/>
      <c r="AB1400" s="175"/>
      <c r="AC1400" s="175"/>
      <c r="AD1400" s="175"/>
      <c r="AE1400" s="175"/>
      <c r="AF1400" s="175"/>
      <c r="AG1400" s="175"/>
      <c r="AH1400" s="175"/>
      <c r="AI1400" s="175"/>
    </row>
    <row r="1401">
      <c r="A1401" s="176">
        <v>46154.0</v>
      </c>
      <c r="B1401" s="177">
        <v>8542936.0</v>
      </c>
      <c r="C1401" s="178" t="s">
        <v>82</v>
      </c>
      <c r="D1401" s="178" t="s">
        <v>94</v>
      </c>
      <c r="E1401" s="177">
        <v>8542936.0</v>
      </c>
      <c r="F1401" s="178" t="s">
        <v>2277</v>
      </c>
      <c r="G1401" s="176">
        <v>46154.0</v>
      </c>
      <c r="H1401" s="179">
        <v>46155.0</v>
      </c>
      <c r="I1401" s="180">
        <v>1.0</v>
      </c>
      <c r="J1401" s="181" t="s">
        <v>78</v>
      </c>
      <c r="K1401" s="178" t="s">
        <v>79</v>
      </c>
      <c r="L1401" s="178" t="s">
        <v>96</v>
      </c>
      <c r="M1401" s="182">
        <v>2.0</v>
      </c>
      <c r="N1401" s="183">
        <v>0.0</v>
      </c>
      <c r="O1401" s="184">
        <v>239.76</v>
      </c>
      <c r="P1401" s="184">
        <v>239.76</v>
      </c>
      <c r="Q1401" s="185">
        <v>0.0</v>
      </c>
      <c r="R1401" s="186">
        <v>239.76</v>
      </c>
      <c r="S1401" s="186">
        <v>0.0</v>
      </c>
      <c r="T1401" s="186">
        <v>460.0</v>
      </c>
      <c r="U1401" s="187" t="s">
        <v>97</v>
      </c>
      <c r="V1401" s="176">
        <v>46154.0</v>
      </c>
      <c r="W1401" s="175"/>
      <c r="X1401" s="175"/>
      <c r="Y1401" s="175"/>
      <c r="Z1401" s="175"/>
      <c r="AA1401" s="175"/>
      <c r="AB1401" s="175"/>
      <c r="AC1401" s="175"/>
      <c r="AD1401" s="175"/>
      <c r="AE1401" s="175"/>
      <c r="AF1401" s="175"/>
      <c r="AG1401" s="175"/>
      <c r="AH1401" s="175"/>
      <c r="AI1401" s="175"/>
    </row>
    <row r="1402">
      <c r="A1402" s="176">
        <v>46154.0</v>
      </c>
      <c r="B1402" s="177">
        <v>8543490.0</v>
      </c>
      <c r="C1402" s="178" t="s">
        <v>82</v>
      </c>
      <c r="D1402" s="178" t="s">
        <v>35</v>
      </c>
      <c r="E1402" s="177">
        <v>6.689174606E9</v>
      </c>
      <c r="F1402" s="178" t="s">
        <v>2289</v>
      </c>
      <c r="G1402" s="176">
        <v>46198.0</v>
      </c>
      <c r="H1402" s="179">
        <v>46200.0</v>
      </c>
      <c r="I1402" s="180">
        <v>2.0</v>
      </c>
      <c r="J1402" s="181" t="s">
        <v>91</v>
      </c>
      <c r="K1402" s="178" t="s">
        <v>79</v>
      </c>
      <c r="L1402" s="178" t="s">
        <v>80</v>
      </c>
      <c r="M1402" s="182">
        <v>3.0</v>
      </c>
      <c r="N1402" s="183">
        <v>0.19999999999999996</v>
      </c>
      <c r="O1402" s="184">
        <v>314.95</v>
      </c>
      <c r="P1402" s="184">
        <v>251.96</v>
      </c>
      <c r="Q1402" s="185">
        <v>0.0</v>
      </c>
      <c r="R1402" s="186">
        <v>503.92</v>
      </c>
      <c r="S1402" s="186">
        <v>0.0</v>
      </c>
      <c r="T1402" s="186">
        <v>644.9</v>
      </c>
      <c r="U1402" s="187" t="s">
        <v>88</v>
      </c>
      <c r="V1402" s="176">
        <v>46154.0</v>
      </c>
      <c r="W1402" s="175"/>
      <c r="X1402" s="175"/>
      <c r="Y1402" s="175"/>
      <c r="Z1402" s="175"/>
      <c r="AA1402" s="175"/>
      <c r="AB1402" s="175"/>
      <c r="AC1402" s="175"/>
      <c r="AD1402" s="175"/>
      <c r="AE1402" s="175"/>
      <c r="AF1402" s="175"/>
      <c r="AG1402" s="175"/>
      <c r="AH1402" s="175"/>
      <c r="AI1402" s="175"/>
    </row>
    <row r="1403">
      <c r="A1403" s="176">
        <v>46154.0</v>
      </c>
      <c r="B1403" s="177">
        <v>8543788.0</v>
      </c>
      <c r="C1403" s="178" t="s">
        <v>82</v>
      </c>
      <c r="D1403" s="178" t="s">
        <v>94</v>
      </c>
      <c r="E1403" s="177">
        <v>8543788.0</v>
      </c>
      <c r="F1403" s="178" t="s">
        <v>2281</v>
      </c>
      <c r="G1403" s="176">
        <v>46258.0</v>
      </c>
      <c r="H1403" s="179">
        <v>46259.0</v>
      </c>
      <c r="I1403" s="180">
        <v>1.0</v>
      </c>
      <c r="J1403" s="181" t="s">
        <v>114</v>
      </c>
      <c r="K1403" s="178" t="s">
        <v>79</v>
      </c>
      <c r="L1403" s="178" t="s">
        <v>96</v>
      </c>
      <c r="M1403" s="182">
        <v>2.0</v>
      </c>
      <c r="N1403" s="183">
        <v>0.0</v>
      </c>
      <c r="O1403" s="184">
        <v>200.16</v>
      </c>
      <c r="P1403" s="184">
        <v>200.16</v>
      </c>
      <c r="Q1403" s="185">
        <v>0.0</v>
      </c>
      <c r="R1403" s="186">
        <v>200.16</v>
      </c>
      <c r="S1403" s="186">
        <v>0.0</v>
      </c>
      <c r="T1403" s="186">
        <v>205.16</v>
      </c>
      <c r="U1403" s="187" t="s">
        <v>97</v>
      </c>
      <c r="V1403" s="176">
        <v>46154.0</v>
      </c>
      <c r="W1403" s="164"/>
      <c r="X1403" s="164"/>
      <c r="Y1403" s="164"/>
      <c r="Z1403" s="164"/>
      <c r="AA1403" s="164"/>
      <c r="AB1403" s="164"/>
      <c r="AC1403" s="164"/>
      <c r="AD1403" s="164"/>
      <c r="AE1403" s="164"/>
      <c r="AF1403" s="164"/>
      <c r="AG1403" s="164"/>
      <c r="AH1403" s="164"/>
      <c r="AI1403" s="164"/>
    </row>
    <row r="1404">
      <c r="A1404" s="176">
        <v>46155.0</v>
      </c>
      <c r="B1404" s="177">
        <v>8548408.0</v>
      </c>
      <c r="C1404" s="178" t="s">
        <v>89</v>
      </c>
      <c r="D1404" s="178" t="s">
        <v>35</v>
      </c>
      <c r="E1404" s="177">
        <v>6.29381977E9</v>
      </c>
      <c r="F1404" s="178" t="s">
        <v>2294</v>
      </c>
      <c r="G1404" s="176">
        <v>46292.20833333333</v>
      </c>
      <c r="H1404" s="179">
        <v>46296.20833333333</v>
      </c>
      <c r="I1404" s="180">
        <v>4.0</v>
      </c>
      <c r="J1404" s="181" t="s">
        <v>78</v>
      </c>
      <c r="K1404" s="178" t="s">
        <v>79</v>
      </c>
      <c r="L1404" s="178" t="s">
        <v>80</v>
      </c>
      <c r="M1404" s="182">
        <v>0.0</v>
      </c>
      <c r="N1404" s="183">
        <v>0.0</v>
      </c>
      <c r="O1404" s="184">
        <v>0.0</v>
      </c>
      <c r="P1404" s="184">
        <v>0.0</v>
      </c>
      <c r="Q1404" s="185">
        <v>0.0</v>
      </c>
      <c r="R1404" s="186">
        <v>0.0</v>
      </c>
      <c r="S1404" s="186">
        <v>0.0</v>
      </c>
      <c r="T1404" s="186">
        <v>0.0</v>
      </c>
      <c r="U1404" s="187" t="s">
        <v>2296</v>
      </c>
      <c r="V1404" s="176">
        <v>46155.0</v>
      </c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</row>
    <row r="1405">
      <c r="A1405" s="176">
        <v>46155.0</v>
      </c>
      <c r="B1405" s="177">
        <v>8549883.0</v>
      </c>
      <c r="C1405" s="178" t="s">
        <v>82</v>
      </c>
      <c r="D1405" s="178" t="s">
        <v>35</v>
      </c>
      <c r="E1405" s="177">
        <v>5.423682587E9</v>
      </c>
      <c r="F1405" s="178" t="s">
        <v>2299</v>
      </c>
      <c r="G1405" s="176">
        <v>46554.20833333333</v>
      </c>
      <c r="H1405" s="179">
        <v>46561.20833333333</v>
      </c>
      <c r="I1405" s="180">
        <v>7.0</v>
      </c>
      <c r="J1405" s="181" t="s">
        <v>78</v>
      </c>
      <c r="K1405" s="178" t="s">
        <v>79</v>
      </c>
      <c r="L1405" s="178" t="s">
        <v>80</v>
      </c>
      <c r="M1405" s="182">
        <v>2.0</v>
      </c>
      <c r="N1405" s="183">
        <v>0.19999999999999996</v>
      </c>
      <c r="O1405" s="184">
        <v>94.39999999999999</v>
      </c>
      <c r="P1405" s="184">
        <v>75.52</v>
      </c>
      <c r="Q1405" s="185">
        <v>0.0</v>
      </c>
      <c r="R1405" s="186">
        <v>528.64</v>
      </c>
      <c r="S1405" s="186">
        <v>0.0</v>
      </c>
      <c r="T1405" s="186">
        <v>695.8</v>
      </c>
      <c r="U1405" s="187" t="s">
        <v>353</v>
      </c>
      <c r="V1405" s="176">
        <v>46155.0</v>
      </c>
      <c r="W1405" s="175"/>
      <c r="X1405" s="175"/>
      <c r="Y1405" s="175"/>
      <c r="Z1405" s="175"/>
      <c r="AA1405" s="175"/>
      <c r="AB1405" s="175"/>
      <c r="AC1405" s="175"/>
      <c r="AD1405" s="175"/>
      <c r="AE1405" s="175"/>
      <c r="AF1405" s="175"/>
      <c r="AG1405" s="175"/>
      <c r="AH1405" s="175"/>
      <c r="AI1405" s="175"/>
    </row>
    <row r="1406">
      <c r="A1406" s="176">
        <v>46156.0</v>
      </c>
      <c r="B1406" s="177">
        <v>8551209.0</v>
      </c>
      <c r="C1406" s="178" t="s">
        <v>82</v>
      </c>
      <c r="D1406" s="178" t="s">
        <v>35</v>
      </c>
      <c r="E1406" s="177">
        <v>6.312013779E9</v>
      </c>
      <c r="F1406" s="178" t="s">
        <v>2301</v>
      </c>
      <c r="G1406" s="176">
        <v>46272.0</v>
      </c>
      <c r="H1406" s="179">
        <v>46276.0</v>
      </c>
      <c r="I1406" s="180">
        <v>4.0</v>
      </c>
      <c r="J1406" s="181" t="s">
        <v>78</v>
      </c>
      <c r="K1406" s="178" t="s">
        <v>79</v>
      </c>
      <c r="L1406" s="178" t="s">
        <v>80</v>
      </c>
      <c r="M1406" s="182">
        <v>2.0</v>
      </c>
      <c r="N1406" s="183">
        <v>0.19999999999999996</v>
      </c>
      <c r="O1406" s="184">
        <v>106.57</v>
      </c>
      <c r="P1406" s="184">
        <v>85.256</v>
      </c>
      <c r="Q1406" s="185">
        <v>0.0</v>
      </c>
      <c r="R1406" s="186">
        <v>341.024</v>
      </c>
      <c r="S1406" s="186">
        <v>0.0</v>
      </c>
      <c r="T1406" s="186">
        <v>446.28</v>
      </c>
      <c r="U1406" s="187" t="s">
        <v>107</v>
      </c>
      <c r="V1406" s="176">
        <v>46156.0</v>
      </c>
      <c r="W1406" s="188"/>
      <c r="X1406" s="188"/>
      <c r="Y1406" s="188"/>
      <c r="Z1406" s="188"/>
      <c r="AA1406" s="188"/>
      <c r="AB1406" s="188"/>
      <c r="AC1406" s="188"/>
      <c r="AD1406" s="188"/>
      <c r="AE1406" s="188"/>
      <c r="AF1406" s="188"/>
      <c r="AG1406" s="188"/>
      <c r="AH1406" s="188"/>
      <c r="AI1406" s="188"/>
    </row>
    <row r="1407">
      <c r="A1407" s="176">
        <v>46156.0</v>
      </c>
      <c r="B1407" s="177">
        <v>8554152.0</v>
      </c>
      <c r="C1407" s="178" t="s">
        <v>89</v>
      </c>
      <c r="D1407" s="178" t="s">
        <v>35</v>
      </c>
      <c r="E1407" s="177">
        <v>6.726527391E9</v>
      </c>
      <c r="F1407" s="178" t="s">
        <v>2303</v>
      </c>
      <c r="G1407" s="176">
        <v>46179.0</v>
      </c>
      <c r="H1407" s="179">
        <v>46181.0</v>
      </c>
      <c r="I1407" s="180">
        <v>2.0</v>
      </c>
      <c r="J1407" s="181" t="s">
        <v>114</v>
      </c>
      <c r="K1407" s="178" t="s">
        <v>79</v>
      </c>
      <c r="L1407" s="178" t="s">
        <v>80</v>
      </c>
      <c r="M1407" s="182">
        <v>0.0</v>
      </c>
      <c r="N1407" s="183">
        <v>0.0</v>
      </c>
      <c r="O1407" s="184">
        <v>0.0</v>
      </c>
      <c r="P1407" s="184">
        <v>0.0</v>
      </c>
      <c r="Q1407" s="185">
        <v>0.0</v>
      </c>
      <c r="R1407" s="186">
        <v>0.0</v>
      </c>
      <c r="S1407" s="186">
        <v>0.0</v>
      </c>
      <c r="T1407" s="186">
        <v>0.0</v>
      </c>
      <c r="U1407" s="187" t="s">
        <v>2304</v>
      </c>
      <c r="V1407" s="176">
        <v>46156.0</v>
      </c>
      <c r="W1407" s="175"/>
      <c r="X1407" s="175"/>
      <c r="Y1407" s="175"/>
      <c r="Z1407" s="175"/>
      <c r="AA1407" s="175"/>
      <c r="AB1407" s="175"/>
      <c r="AC1407" s="175"/>
      <c r="AD1407" s="175"/>
      <c r="AE1407" s="175"/>
      <c r="AF1407" s="175"/>
      <c r="AG1407" s="175"/>
      <c r="AH1407" s="175"/>
      <c r="AI1407" s="175"/>
    </row>
    <row r="1408">
      <c r="A1408" s="176">
        <v>46156.0</v>
      </c>
      <c r="B1408" s="177">
        <v>8554333.0</v>
      </c>
      <c r="C1408" s="178" t="s">
        <v>82</v>
      </c>
      <c r="D1408" s="178" t="s">
        <v>94</v>
      </c>
      <c r="E1408" s="177">
        <v>8554333.0</v>
      </c>
      <c r="F1408" s="178" t="s">
        <v>1394</v>
      </c>
      <c r="G1408" s="176">
        <v>46181.0</v>
      </c>
      <c r="H1408" s="179">
        <v>46182.0</v>
      </c>
      <c r="I1408" s="180">
        <v>1.0</v>
      </c>
      <c r="J1408" s="181" t="s">
        <v>111</v>
      </c>
      <c r="K1408" s="178" t="s">
        <v>79</v>
      </c>
      <c r="L1408" s="178" t="s">
        <v>96</v>
      </c>
      <c r="M1408" s="182">
        <v>2.0</v>
      </c>
      <c r="N1408" s="183">
        <v>0.0</v>
      </c>
      <c r="O1408" s="184">
        <v>243.36</v>
      </c>
      <c r="P1408" s="184">
        <v>243.36</v>
      </c>
      <c r="Q1408" s="185">
        <v>0.0</v>
      </c>
      <c r="R1408" s="186">
        <v>243.36</v>
      </c>
      <c r="S1408" s="186">
        <v>0.0</v>
      </c>
      <c r="T1408" s="186">
        <v>248.36</v>
      </c>
      <c r="U1408" s="187" t="s">
        <v>97</v>
      </c>
      <c r="V1408" s="176">
        <v>46156.0</v>
      </c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</row>
    <row r="1409">
      <c r="A1409" s="176">
        <v>46156.0</v>
      </c>
      <c r="B1409" s="177">
        <v>8554547.0</v>
      </c>
      <c r="C1409" s="178" t="s">
        <v>82</v>
      </c>
      <c r="D1409" s="178" t="s">
        <v>35</v>
      </c>
      <c r="E1409" s="177">
        <v>6.502814143E9</v>
      </c>
      <c r="F1409" s="178" t="s">
        <v>2305</v>
      </c>
      <c r="G1409" s="176">
        <v>46182.0</v>
      </c>
      <c r="H1409" s="179">
        <v>46185.0</v>
      </c>
      <c r="I1409" s="180">
        <v>3.0</v>
      </c>
      <c r="J1409" s="181" t="s">
        <v>111</v>
      </c>
      <c r="K1409" s="178" t="s">
        <v>79</v>
      </c>
      <c r="L1409" s="178" t="s">
        <v>80</v>
      </c>
      <c r="M1409" s="182">
        <v>2.0</v>
      </c>
      <c r="N1409" s="183">
        <v>0.19999999999999996</v>
      </c>
      <c r="O1409" s="184">
        <v>167.58</v>
      </c>
      <c r="P1409" s="184">
        <v>134.06400000000002</v>
      </c>
      <c r="Q1409" s="185">
        <v>0.0</v>
      </c>
      <c r="R1409" s="186">
        <v>402.19200000000006</v>
      </c>
      <c r="S1409" s="186">
        <v>0.0</v>
      </c>
      <c r="T1409" s="186">
        <v>517.74</v>
      </c>
      <c r="U1409" s="187" t="s">
        <v>88</v>
      </c>
      <c r="V1409" s="176">
        <v>46156.0</v>
      </c>
      <c r="W1409" s="175"/>
      <c r="X1409" s="175"/>
      <c r="Y1409" s="175"/>
      <c r="Z1409" s="175"/>
      <c r="AA1409" s="175"/>
      <c r="AB1409" s="175"/>
      <c r="AC1409" s="175"/>
      <c r="AD1409" s="175"/>
      <c r="AE1409" s="175"/>
      <c r="AF1409" s="175"/>
      <c r="AG1409" s="175"/>
      <c r="AH1409" s="175"/>
      <c r="AI1409" s="175"/>
    </row>
    <row r="1410">
      <c r="A1410" s="176">
        <v>46157.0</v>
      </c>
      <c r="B1410" s="177">
        <v>8559782.0</v>
      </c>
      <c r="C1410" s="178" t="s">
        <v>82</v>
      </c>
      <c r="D1410" s="178" t="s">
        <v>35</v>
      </c>
      <c r="E1410" s="177">
        <v>6.703243112E9</v>
      </c>
      <c r="F1410" s="178" t="s">
        <v>2306</v>
      </c>
      <c r="G1410" s="176">
        <v>46166.0</v>
      </c>
      <c r="H1410" s="179">
        <v>46167.0</v>
      </c>
      <c r="I1410" s="180">
        <v>1.0</v>
      </c>
      <c r="J1410" s="181" t="s">
        <v>78</v>
      </c>
      <c r="K1410" s="178" t="s">
        <v>79</v>
      </c>
      <c r="L1410" s="178" t="s">
        <v>80</v>
      </c>
      <c r="M1410" s="182">
        <v>1.0</v>
      </c>
      <c r="N1410" s="183">
        <v>0.19999999999999996</v>
      </c>
      <c r="O1410" s="184">
        <v>163.39</v>
      </c>
      <c r="P1410" s="184">
        <v>130.712</v>
      </c>
      <c r="Q1410" s="185">
        <v>0.0</v>
      </c>
      <c r="R1410" s="186">
        <v>130.712</v>
      </c>
      <c r="S1410" s="186">
        <v>0.0</v>
      </c>
      <c r="T1410" s="186">
        <v>165.89</v>
      </c>
      <c r="U1410" s="187" t="s">
        <v>1441</v>
      </c>
      <c r="V1410" s="176">
        <v>46157.0</v>
      </c>
      <c r="W1410" s="175"/>
      <c r="X1410" s="175"/>
      <c r="Y1410" s="175"/>
      <c r="Z1410" s="175"/>
      <c r="AA1410" s="175"/>
      <c r="AB1410" s="175"/>
      <c r="AC1410" s="175"/>
      <c r="AD1410" s="175"/>
      <c r="AE1410" s="175"/>
      <c r="AF1410" s="175"/>
      <c r="AG1410" s="175"/>
      <c r="AH1410" s="175"/>
      <c r="AI1410" s="175"/>
    </row>
    <row r="1411">
      <c r="A1411" s="176">
        <v>46157.0</v>
      </c>
      <c r="B1411" s="177">
        <v>8560276.0</v>
      </c>
      <c r="C1411" s="178" t="s">
        <v>82</v>
      </c>
      <c r="D1411" s="178" t="s">
        <v>35</v>
      </c>
      <c r="E1411" s="177">
        <v>6.094251189E9</v>
      </c>
      <c r="F1411" s="178" t="s">
        <v>2308</v>
      </c>
      <c r="G1411" s="176">
        <v>46209.0</v>
      </c>
      <c r="H1411" s="179">
        <v>46210.0</v>
      </c>
      <c r="I1411" s="180">
        <v>1.0</v>
      </c>
      <c r="J1411" s="181" t="s">
        <v>87</v>
      </c>
      <c r="K1411" s="178" t="s">
        <v>79</v>
      </c>
      <c r="L1411" s="178" t="s">
        <v>80</v>
      </c>
      <c r="M1411" s="182">
        <v>2.0</v>
      </c>
      <c r="N1411" s="183">
        <v>0.19999999999999996</v>
      </c>
      <c r="O1411" s="184">
        <v>136.78</v>
      </c>
      <c r="P1411" s="184">
        <v>109.424</v>
      </c>
      <c r="Q1411" s="185">
        <v>0.0</v>
      </c>
      <c r="R1411" s="186">
        <v>109.424</v>
      </c>
      <c r="S1411" s="186">
        <v>0.0</v>
      </c>
      <c r="T1411" s="186">
        <v>141.78</v>
      </c>
      <c r="U1411" s="187" t="s">
        <v>143</v>
      </c>
      <c r="V1411" s="176">
        <v>46157.0</v>
      </c>
      <c r="W1411" s="164"/>
      <c r="X1411" s="164"/>
      <c r="Y1411" s="164"/>
      <c r="Z1411" s="164"/>
      <c r="AA1411" s="164"/>
      <c r="AB1411" s="164"/>
      <c r="AC1411" s="164"/>
      <c r="AD1411" s="164"/>
      <c r="AE1411" s="164"/>
      <c r="AF1411" s="164"/>
      <c r="AG1411" s="164"/>
      <c r="AH1411" s="164"/>
      <c r="AI1411" s="164"/>
    </row>
    <row r="1412">
      <c r="A1412" s="176">
        <v>46158.0</v>
      </c>
      <c r="B1412" s="177">
        <v>8563369.0</v>
      </c>
      <c r="C1412" s="178" t="s">
        <v>82</v>
      </c>
      <c r="D1412" s="178" t="s">
        <v>35</v>
      </c>
      <c r="E1412" s="177">
        <v>6.093629412E9</v>
      </c>
      <c r="F1412" s="178" t="s">
        <v>2309</v>
      </c>
      <c r="G1412" s="176">
        <v>46502.20833333333</v>
      </c>
      <c r="H1412" s="179">
        <v>46506.20833333333</v>
      </c>
      <c r="I1412" s="180">
        <v>4.0</v>
      </c>
      <c r="J1412" s="181" t="s">
        <v>78</v>
      </c>
      <c r="K1412" s="178" t="s">
        <v>79</v>
      </c>
      <c r="L1412" s="178" t="s">
        <v>80</v>
      </c>
      <c r="M1412" s="182">
        <v>2.0</v>
      </c>
      <c r="N1412" s="183">
        <v>0.19999999999999996</v>
      </c>
      <c r="O1412" s="184">
        <v>160.44</v>
      </c>
      <c r="P1412" s="184">
        <v>128.352</v>
      </c>
      <c r="Q1412" s="185">
        <v>0.0</v>
      </c>
      <c r="R1412" s="186">
        <v>513.408</v>
      </c>
      <c r="S1412" s="186">
        <v>0.0</v>
      </c>
      <c r="T1412" s="186">
        <v>661.76</v>
      </c>
      <c r="U1412" s="187" t="s">
        <v>353</v>
      </c>
      <c r="V1412" s="176">
        <v>46158.0</v>
      </c>
      <c r="W1412" s="175"/>
      <c r="X1412" s="175"/>
      <c r="Y1412" s="175"/>
      <c r="Z1412" s="175"/>
      <c r="AA1412" s="175"/>
      <c r="AB1412" s="175"/>
      <c r="AC1412" s="175"/>
      <c r="AD1412" s="175"/>
      <c r="AE1412" s="175"/>
      <c r="AF1412" s="175"/>
      <c r="AG1412" s="175"/>
      <c r="AH1412" s="175"/>
      <c r="AI1412" s="175"/>
    </row>
    <row r="1413">
      <c r="A1413" s="176">
        <v>46158.0</v>
      </c>
      <c r="B1413" s="177">
        <v>8563450.0</v>
      </c>
      <c r="C1413" s="178" t="s">
        <v>89</v>
      </c>
      <c r="D1413" s="178" t="s">
        <v>35</v>
      </c>
      <c r="E1413" s="177">
        <v>5.396482911E9</v>
      </c>
      <c r="F1413" s="178" t="s">
        <v>2310</v>
      </c>
      <c r="G1413" s="176">
        <v>46610.20833333333</v>
      </c>
      <c r="H1413" s="179">
        <v>46617.20833333333</v>
      </c>
      <c r="I1413" s="180">
        <v>7.0</v>
      </c>
      <c r="J1413" s="181" t="s">
        <v>114</v>
      </c>
      <c r="K1413" s="178" t="s">
        <v>79</v>
      </c>
      <c r="L1413" s="178" t="s">
        <v>80</v>
      </c>
      <c r="M1413" s="182">
        <v>0.0</v>
      </c>
      <c r="N1413" s="183">
        <v>0.0</v>
      </c>
      <c r="O1413" s="184">
        <v>0.0</v>
      </c>
      <c r="P1413" s="184">
        <v>0.0</v>
      </c>
      <c r="Q1413" s="185">
        <v>0.0</v>
      </c>
      <c r="R1413" s="186">
        <v>0.0</v>
      </c>
      <c r="S1413" s="186">
        <v>0.0</v>
      </c>
      <c r="T1413" s="186">
        <v>0.0</v>
      </c>
      <c r="U1413" s="187" t="s">
        <v>2311</v>
      </c>
      <c r="V1413" s="176">
        <v>46223.0</v>
      </c>
      <c r="W1413" s="188"/>
      <c r="X1413" s="188"/>
      <c r="Y1413" s="188"/>
      <c r="Z1413" s="188"/>
      <c r="AA1413" s="188"/>
      <c r="AB1413" s="188"/>
      <c r="AC1413" s="188"/>
      <c r="AD1413" s="188"/>
      <c r="AE1413" s="188"/>
      <c r="AF1413" s="188"/>
      <c r="AG1413" s="188"/>
      <c r="AH1413" s="188"/>
      <c r="AI1413" s="188"/>
    </row>
    <row r="1414">
      <c r="A1414" s="176">
        <v>46158.0</v>
      </c>
      <c r="B1414" s="177">
        <v>8563456.0</v>
      </c>
      <c r="C1414" s="178" t="s">
        <v>82</v>
      </c>
      <c r="D1414" s="178" t="s">
        <v>35</v>
      </c>
      <c r="E1414" s="177">
        <v>6.496333039E9</v>
      </c>
      <c r="F1414" s="178" t="s">
        <v>2310</v>
      </c>
      <c r="G1414" s="176">
        <v>46610.20833333333</v>
      </c>
      <c r="H1414" s="179">
        <v>46617.20833333333</v>
      </c>
      <c r="I1414" s="180">
        <v>7.0</v>
      </c>
      <c r="J1414" s="181" t="s">
        <v>78</v>
      </c>
      <c r="K1414" s="178" t="s">
        <v>79</v>
      </c>
      <c r="L1414" s="178" t="s">
        <v>80</v>
      </c>
      <c r="M1414" s="182">
        <v>2.0</v>
      </c>
      <c r="N1414" s="183">
        <v>0.19999999999999996</v>
      </c>
      <c r="O1414" s="184">
        <v>94.39999999999999</v>
      </c>
      <c r="P1414" s="184">
        <v>75.52</v>
      </c>
      <c r="Q1414" s="185">
        <v>0.0</v>
      </c>
      <c r="R1414" s="186">
        <v>528.64</v>
      </c>
      <c r="S1414" s="186">
        <v>0.0</v>
      </c>
      <c r="T1414" s="186">
        <v>695.8</v>
      </c>
      <c r="U1414" s="187" t="s">
        <v>353</v>
      </c>
      <c r="V1414" s="176">
        <v>46158.0</v>
      </c>
      <c r="W1414" s="175"/>
      <c r="X1414" s="175"/>
      <c r="Y1414" s="175"/>
      <c r="Z1414" s="175"/>
      <c r="AA1414" s="175"/>
      <c r="AB1414" s="175"/>
      <c r="AC1414" s="175"/>
      <c r="AD1414" s="175"/>
      <c r="AE1414" s="175"/>
      <c r="AF1414" s="175"/>
      <c r="AG1414" s="175"/>
      <c r="AH1414" s="175"/>
      <c r="AI1414" s="175"/>
    </row>
    <row r="1415">
      <c r="A1415" s="176">
        <v>46158.0</v>
      </c>
      <c r="B1415" s="177">
        <v>8563466.0</v>
      </c>
      <c r="C1415" s="178" t="s">
        <v>82</v>
      </c>
      <c r="D1415" s="178" t="s">
        <v>35</v>
      </c>
      <c r="E1415" s="177">
        <v>5.581468136E9</v>
      </c>
      <c r="F1415" s="178" t="s">
        <v>2310</v>
      </c>
      <c r="G1415" s="176">
        <v>46610.20833333333</v>
      </c>
      <c r="H1415" s="179">
        <v>46617.20833333333</v>
      </c>
      <c r="I1415" s="180">
        <v>7.0</v>
      </c>
      <c r="J1415" s="181" t="s">
        <v>78</v>
      </c>
      <c r="K1415" s="178" t="s">
        <v>79</v>
      </c>
      <c r="L1415" s="178" t="s">
        <v>80</v>
      </c>
      <c r="M1415" s="182">
        <v>2.0</v>
      </c>
      <c r="N1415" s="183">
        <v>0.19999999999999996</v>
      </c>
      <c r="O1415" s="184">
        <v>94.39999999999999</v>
      </c>
      <c r="P1415" s="184">
        <v>75.52</v>
      </c>
      <c r="Q1415" s="185">
        <v>0.0</v>
      </c>
      <c r="R1415" s="186">
        <v>528.64</v>
      </c>
      <c r="S1415" s="186">
        <v>0.0</v>
      </c>
      <c r="T1415" s="186">
        <v>695.8</v>
      </c>
      <c r="U1415" s="187" t="s">
        <v>353</v>
      </c>
      <c r="V1415" s="176">
        <v>46158.0</v>
      </c>
      <c r="W1415" s="175"/>
      <c r="X1415" s="175"/>
      <c r="Y1415" s="175"/>
      <c r="Z1415" s="175"/>
      <c r="AA1415" s="175"/>
      <c r="AB1415" s="175"/>
      <c r="AC1415" s="175"/>
      <c r="AD1415" s="175"/>
      <c r="AE1415" s="175"/>
      <c r="AF1415" s="175"/>
      <c r="AG1415" s="175"/>
      <c r="AH1415" s="175"/>
      <c r="AI1415" s="175"/>
    </row>
    <row r="1416">
      <c r="A1416" s="176">
        <v>46158.0</v>
      </c>
      <c r="B1416" s="177">
        <v>8563471.0</v>
      </c>
      <c r="C1416" s="178" t="s">
        <v>82</v>
      </c>
      <c r="D1416" s="178" t="s">
        <v>35</v>
      </c>
      <c r="E1416" s="177">
        <v>6.630449117E9</v>
      </c>
      <c r="F1416" s="178" t="s">
        <v>2310</v>
      </c>
      <c r="G1416" s="176">
        <v>46610.20833333333</v>
      </c>
      <c r="H1416" s="179">
        <v>46617.20833333333</v>
      </c>
      <c r="I1416" s="180">
        <v>7.0</v>
      </c>
      <c r="J1416" s="181" t="s">
        <v>78</v>
      </c>
      <c r="K1416" s="178" t="s">
        <v>79</v>
      </c>
      <c r="L1416" s="178" t="s">
        <v>80</v>
      </c>
      <c r="M1416" s="182">
        <v>2.0</v>
      </c>
      <c r="N1416" s="183">
        <v>0.19999999999999996</v>
      </c>
      <c r="O1416" s="184">
        <v>94.39999999999999</v>
      </c>
      <c r="P1416" s="184">
        <v>75.52</v>
      </c>
      <c r="Q1416" s="185">
        <v>0.0</v>
      </c>
      <c r="R1416" s="186">
        <v>528.64</v>
      </c>
      <c r="S1416" s="186">
        <v>0.0</v>
      </c>
      <c r="T1416" s="186">
        <v>695.8</v>
      </c>
      <c r="U1416" s="187" t="s">
        <v>353</v>
      </c>
      <c r="V1416" s="176">
        <v>46158.0</v>
      </c>
      <c r="W1416" s="175"/>
      <c r="X1416" s="175"/>
      <c r="Y1416" s="175"/>
      <c r="Z1416" s="175"/>
      <c r="AA1416" s="175"/>
      <c r="AB1416" s="175"/>
      <c r="AC1416" s="175"/>
      <c r="AD1416" s="175"/>
      <c r="AE1416" s="175"/>
      <c r="AF1416" s="175"/>
      <c r="AG1416" s="175"/>
      <c r="AH1416" s="175"/>
      <c r="AI1416" s="175"/>
    </row>
    <row r="1417">
      <c r="A1417" s="176">
        <v>46158.0</v>
      </c>
      <c r="B1417" s="177">
        <v>8565290.0</v>
      </c>
      <c r="C1417" s="178" t="s">
        <v>82</v>
      </c>
      <c r="D1417" s="178" t="s">
        <v>35</v>
      </c>
      <c r="E1417" s="177">
        <v>6.489822332E9</v>
      </c>
      <c r="F1417" s="178" t="s">
        <v>2319</v>
      </c>
      <c r="G1417" s="176">
        <v>46468.20833333333</v>
      </c>
      <c r="H1417" s="179">
        <v>46471.20833333333</v>
      </c>
      <c r="I1417" s="180">
        <v>3.0</v>
      </c>
      <c r="J1417" s="181" t="s">
        <v>78</v>
      </c>
      <c r="K1417" s="178" t="s">
        <v>79</v>
      </c>
      <c r="L1417" s="178" t="s">
        <v>80</v>
      </c>
      <c r="M1417" s="182">
        <v>2.0</v>
      </c>
      <c r="N1417" s="183">
        <v>0.19999999999999996</v>
      </c>
      <c r="O1417" s="184">
        <v>179.9</v>
      </c>
      <c r="P1417" s="184">
        <v>143.92000000000002</v>
      </c>
      <c r="Q1417" s="185">
        <v>0.0</v>
      </c>
      <c r="R1417" s="186">
        <v>431.76000000000005</v>
      </c>
      <c r="S1417" s="186">
        <v>0.0</v>
      </c>
      <c r="T1417" s="186">
        <v>554.7</v>
      </c>
      <c r="U1417" s="187" t="s">
        <v>303</v>
      </c>
      <c r="V1417" s="176">
        <v>46158.0</v>
      </c>
      <c r="W1417" s="175"/>
      <c r="X1417" s="175"/>
      <c r="Y1417" s="175"/>
      <c r="Z1417" s="175"/>
      <c r="AA1417" s="175"/>
      <c r="AB1417" s="175"/>
      <c r="AC1417" s="175"/>
      <c r="AD1417" s="175"/>
      <c r="AE1417" s="175"/>
      <c r="AF1417" s="175"/>
      <c r="AG1417" s="175"/>
      <c r="AH1417" s="175"/>
      <c r="AI1417" s="175"/>
    </row>
    <row r="1418">
      <c r="A1418" s="176">
        <v>46159.0</v>
      </c>
      <c r="B1418" s="177">
        <v>8565364.0</v>
      </c>
      <c r="C1418" s="178" t="s">
        <v>82</v>
      </c>
      <c r="D1418" s="178" t="s">
        <v>35</v>
      </c>
      <c r="E1418" s="177">
        <v>6.021381904E9</v>
      </c>
      <c r="F1418" s="178" t="s">
        <v>2322</v>
      </c>
      <c r="G1418" s="176">
        <v>46334.20833333333</v>
      </c>
      <c r="H1418" s="179">
        <v>46336.20833333333</v>
      </c>
      <c r="I1418" s="180">
        <v>2.0</v>
      </c>
      <c r="J1418" s="181" t="s">
        <v>87</v>
      </c>
      <c r="K1418" s="178" t="s">
        <v>79</v>
      </c>
      <c r="L1418" s="178" t="s">
        <v>80</v>
      </c>
      <c r="M1418" s="182">
        <v>2.0</v>
      </c>
      <c r="N1418" s="183">
        <v>0.19999999999999996</v>
      </c>
      <c r="O1418" s="184">
        <v>148.9</v>
      </c>
      <c r="P1418" s="184">
        <v>119.12</v>
      </c>
      <c r="Q1418" s="185">
        <v>0.0</v>
      </c>
      <c r="R1418" s="186">
        <v>238.24</v>
      </c>
      <c r="S1418" s="186">
        <v>0.0</v>
      </c>
      <c r="T1418" s="186">
        <v>307.8</v>
      </c>
      <c r="U1418" s="187" t="s">
        <v>161</v>
      </c>
      <c r="V1418" s="176">
        <v>46159.0</v>
      </c>
      <c r="W1418" s="164"/>
      <c r="X1418" s="164"/>
      <c r="Y1418" s="164"/>
      <c r="Z1418" s="164"/>
      <c r="AA1418" s="164"/>
      <c r="AB1418" s="164"/>
      <c r="AC1418" s="164"/>
      <c r="AD1418" s="164"/>
      <c r="AE1418" s="164"/>
      <c r="AF1418" s="164"/>
      <c r="AG1418" s="164"/>
      <c r="AH1418" s="164"/>
      <c r="AI1418" s="164"/>
    </row>
    <row r="1419">
      <c r="A1419" s="176">
        <v>46159.0</v>
      </c>
      <c r="B1419" s="177">
        <v>8565565.0</v>
      </c>
      <c r="C1419" s="178" t="s">
        <v>82</v>
      </c>
      <c r="D1419" s="178" t="s">
        <v>2325</v>
      </c>
      <c r="E1419" s="177" t="s">
        <v>2326</v>
      </c>
      <c r="F1419" s="178" t="s">
        <v>2327</v>
      </c>
      <c r="G1419" s="176">
        <v>46174.0</v>
      </c>
      <c r="H1419" s="179">
        <v>46178.0</v>
      </c>
      <c r="I1419" s="180">
        <v>4.0</v>
      </c>
      <c r="J1419" s="181" t="s">
        <v>78</v>
      </c>
      <c r="K1419" s="178" t="s">
        <v>79</v>
      </c>
      <c r="L1419" s="178" t="s">
        <v>80</v>
      </c>
      <c r="M1419" s="182">
        <v>2.0</v>
      </c>
      <c r="N1419" s="183">
        <v>0.0</v>
      </c>
      <c r="O1419" s="184">
        <v>120.44</v>
      </c>
      <c r="P1419" s="184">
        <v>102.374</v>
      </c>
      <c r="Q1419" s="185">
        <v>0.0</v>
      </c>
      <c r="R1419" s="186">
        <v>481.76</v>
      </c>
      <c r="S1419" s="186">
        <v>0.0</v>
      </c>
      <c r="T1419" s="186">
        <v>0.0</v>
      </c>
      <c r="U1419" s="187" t="s">
        <v>2329</v>
      </c>
      <c r="V1419" s="176">
        <v>46159.0</v>
      </c>
      <c r="W1419" s="188"/>
      <c r="X1419" s="188"/>
      <c r="Y1419" s="188"/>
      <c r="Z1419" s="188"/>
      <c r="AA1419" s="188"/>
      <c r="AB1419" s="188"/>
      <c r="AC1419" s="188"/>
      <c r="AD1419" s="188"/>
      <c r="AE1419" s="188"/>
      <c r="AF1419" s="188"/>
      <c r="AG1419" s="188"/>
      <c r="AH1419" s="188"/>
      <c r="AI1419" s="188"/>
    </row>
    <row r="1420">
      <c r="A1420" s="176">
        <v>46159.0</v>
      </c>
      <c r="B1420" s="177">
        <v>8566592.0</v>
      </c>
      <c r="C1420" s="178" t="s">
        <v>89</v>
      </c>
      <c r="D1420" s="178" t="s">
        <v>35</v>
      </c>
      <c r="E1420" s="177">
        <v>6.489821391E9</v>
      </c>
      <c r="F1420" s="178" t="s">
        <v>2331</v>
      </c>
      <c r="G1420" s="176">
        <v>46196.0</v>
      </c>
      <c r="H1420" s="179">
        <v>46198.0</v>
      </c>
      <c r="I1420" s="180">
        <v>2.0</v>
      </c>
      <c r="J1420" s="181" t="s">
        <v>111</v>
      </c>
      <c r="K1420" s="178" t="s">
        <v>79</v>
      </c>
      <c r="L1420" s="178" t="s">
        <v>80</v>
      </c>
      <c r="M1420" s="182">
        <v>0.0</v>
      </c>
      <c r="N1420" s="183">
        <v>0.0</v>
      </c>
      <c r="O1420" s="184">
        <v>0.0</v>
      </c>
      <c r="P1420" s="184">
        <v>0.0</v>
      </c>
      <c r="Q1420" s="185">
        <v>0.0</v>
      </c>
      <c r="R1420" s="186">
        <v>0.0</v>
      </c>
      <c r="S1420" s="186">
        <v>0.0</v>
      </c>
      <c r="T1420" s="186">
        <v>0.0</v>
      </c>
      <c r="U1420" s="187" t="s">
        <v>2333</v>
      </c>
      <c r="V1420" s="176">
        <v>46184.0</v>
      </c>
      <c r="W1420" s="175"/>
      <c r="X1420" s="175"/>
      <c r="Y1420" s="175"/>
      <c r="Z1420" s="175"/>
      <c r="AA1420" s="175"/>
      <c r="AB1420" s="175"/>
      <c r="AC1420" s="175"/>
      <c r="AD1420" s="175"/>
      <c r="AE1420" s="175"/>
      <c r="AF1420" s="175"/>
      <c r="AG1420" s="175"/>
      <c r="AH1420" s="175"/>
      <c r="AI1420" s="175"/>
    </row>
    <row r="1421">
      <c r="A1421" s="176">
        <v>46159.0</v>
      </c>
      <c r="B1421" s="177">
        <v>8567099.0</v>
      </c>
      <c r="C1421" s="178" t="s">
        <v>82</v>
      </c>
      <c r="D1421" s="178" t="s">
        <v>35</v>
      </c>
      <c r="E1421" s="177">
        <v>6.210363953E9</v>
      </c>
      <c r="F1421" s="178" t="s">
        <v>2335</v>
      </c>
      <c r="G1421" s="176">
        <v>46177.0</v>
      </c>
      <c r="H1421" s="179">
        <v>46180.0</v>
      </c>
      <c r="I1421" s="180">
        <v>3.0</v>
      </c>
      <c r="J1421" s="181" t="s">
        <v>87</v>
      </c>
      <c r="K1421" s="178" t="s">
        <v>79</v>
      </c>
      <c r="L1421" s="178" t="s">
        <v>80</v>
      </c>
      <c r="M1421" s="182">
        <v>2.0</v>
      </c>
      <c r="N1421" s="183">
        <v>0.19999999999999996</v>
      </c>
      <c r="O1421" s="184">
        <v>127.94</v>
      </c>
      <c r="P1421" s="184">
        <v>102.352</v>
      </c>
      <c r="Q1421" s="185">
        <v>0.0</v>
      </c>
      <c r="R1421" s="186">
        <v>307.05600000000004</v>
      </c>
      <c r="S1421" s="186">
        <v>0.0</v>
      </c>
      <c r="T1421" s="186">
        <v>398.82</v>
      </c>
      <c r="U1421" s="187" t="s">
        <v>143</v>
      </c>
      <c r="V1421" s="176">
        <v>46159.0</v>
      </c>
      <c r="W1421" s="188"/>
      <c r="X1421" s="188"/>
      <c r="Y1421" s="188"/>
      <c r="Z1421" s="188"/>
      <c r="AA1421" s="188"/>
      <c r="AB1421" s="188"/>
      <c r="AC1421" s="188"/>
      <c r="AD1421" s="188"/>
      <c r="AE1421" s="188"/>
      <c r="AF1421" s="188"/>
      <c r="AG1421" s="188"/>
      <c r="AH1421" s="188"/>
      <c r="AI1421" s="188"/>
    </row>
    <row r="1422">
      <c r="A1422" s="176">
        <v>46159.0</v>
      </c>
      <c r="B1422" s="177">
        <v>8567224.0</v>
      </c>
      <c r="C1422" s="178" t="s">
        <v>82</v>
      </c>
      <c r="D1422" s="178" t="s">
        <v>35</v>
      </c>
      <c r="E1422" s="177">
        <v>6.499360548E9</v>
      </c>
      <c r="F1422" s="178" t="s">
        <v>2340</v>
      </c>
      <c r="G1422" s="176">
        <v>46303.20833333333</v>
      </c>
      <c r="H1422" s="179">
        <v>46306.20833333333</v>
      </c>
      <c r="I1422" s="180">
        <v>3.0</v>
      </c>
      <c r="J1422" s="181" t="s">
        <v>78</v>
      </c>
      <c r="K1422" s="178" t="s">
        <v>79</v>
      </c>
      <c r="L1422" s="178" t="s">
        <v>80</v>
      </c>
      <c r="M1422" s="182">
        <v>2.0</v>
      </c>
      <c r="N1422" s="183">
        <v>0.19999999999999996</v>
      </c>
      <c r="O1422" s="184">
        <v>155.68</v>
      </c>
      <c r="P1422" s="184">
        <v>124.54400000000001</v>
      </c>
      <c r="Q1422" s="185">
        <v>0.0</v>
      </c>
      <c r="R1422" s="186">
        <v>373.63200000000006</v>
      </c>
      <c r="S1422" s="186">
        <v>0.0</v>
      </c>
      <c r="T1422" s="186">
        <v>482.04</v>
      </c>
      <c r="U1422" s="187" t="s">
        <v>161</v>
      </c>
      <c r="V1422" s="176">
        <v>46159.0</v>
      </c>
      <c r="W1422" s="164"/>
      <c r="X1422" s="164"/>
      <c r="Y1422" s="164"/>
      <c r="Z1422" s="164"/>
      <c r="AA1422" s="164"/>
      <c r="AB1422" s="164"/>
      <c r="AC1422" s="164"/>
      <c r="AD1422" s="164"/>
      <c r="AE1422" s="164"/>
      <c r="AF1422" s="164"/>
      <c r="AG1422" s="164"/>
      <c r="AH1422" s="164"/>
      <c r="AI1422" s="164"/>
    </row>
    <row r="1423">
      <c r="A1423" s="176">
        <v>46159.0</v>
      </c>
      <c r="B1423" s="177">
        <v>8567432.0</v>
      </c>
      <c r="C1423" s="178" t="s">
        <v>82</v>
      </c>
      <c r="D1423" s="178" t="s">
        <v>35</v>
      </c>
      <c r="E1423" s="177">
        <v>5.463567048E9</v>
      </c>
      <c r="F1423" s="178" t="s">
        <v>2344</v>
      </c>
      <c r="G1423" s="176">
        <v>46181.0</v>
      </c>
      <c r="H1423" s="179">
        <v>46182.0</v>
      </c>
      <c r="I1423" s="180">
        <v>1.0</v>
      </c>
      <c r="J1423" s="181" t="s">
        <v>111</v>
      </c>
      <c r="K1423" s="178" t="s">
        <v>79</v>
      </c>
      <c r="L1423" s="178" t="s">
        <v>80</v>
      </c>
      <c r="M1423" s="182">
        <v>3.0</v>
      </c>
      <c r="N1423" s="183">
        <v>0.19999999999999996</v>
      </c>
      <c r="O1423" s="184">
        <v>206.86</v>
      </c>
      <c r="P1423" s="184">
        <v>165.48800000000003</v>
      </c>
      <c r="Q1423" s="185">
        <v>0.0</v>
      </c>
      <c r="R1423" s="186">
        <v>165.48800000000003</v>
      </c>
      <c r="S1423" s="186">
        <v>0.0</v>
      </c>
      <c r="T1423" s="186">
        <v>214.36</v>
      </c>
      <c r="U1423" s="187" t="s">
        <v>143</v>
      </c>
      <c r="V1423" s="176">
        <v>46159.0</v>
      </c>
      <c r="W1423" s="175"/>
      <c r="X1423" s="175"/>
      <c r="Y1423" s="175"/>
      <c r="Z1423" s="175"/>
      <c r="AA1423" s="175"/>
      <c r="AB1423" s="175"/>
      <c r="AC1423" s="175"/>
      <c r="AD1423" s="175"/>
      <c r="AE1423" s="175"/>
      <c r="AF1423" s="175"/>
      <c r="AG1423" s="175"/>
      <c r="AH1423" s="175"/>
      <c r="AI1423" s="175"/>
    </row>
    <row r="1424">
      <c r="A1424" s="176">
        <v>46159.0</v>
      </c>
      <c r="B1424" s="177">
        <v>8569919.0</v>
      </c>
      <c r="C1424" s="178" t="s">
        <v>82</v>
      </c>
      <c r="D1424" s="178" t="s">
        <v>35</v>
      </c>
      <c r="E1424" s="177">
        <v>6.804740604E9</v>
      </c>
      <c r="F1424" s="178" t="s">
        <v>2347</v>
      </c>
      <c r="G1424" s="176">
        <v>46377.20833333333</v>
      </c>
      <c r="H1424" s="179">
        <v>46380.20833333333</v>
      </c>
      <c r="I1424" s="180">
        <v>3.0</v>
      </c>
      <c r="J1424" s="181" t="s">
        <v>78</v>
      </c>
      <c r="K1424" s="178" t="s">
        <v>79</v>
      </c>
      <c r="L1424" s="178" t="s">
        <v>80</v>
      </c>
      <c r="M1424" s="182">
        <v>1.0</v>
      </c>
      <c r="N1424" s="183">
        <v>0.19999999999999996</v>
      </c>
      <c r="O1424" s="184">
        <v>160.44</v>
      </c>
      <c r="P1424" s="184">
        <v>128.352</v>
      </c>
      <c r="Q1424" s="185">
        <v>0.0</v>
      </c>
      <c r="R1424" s="186">
        <v>385.05600000000004</v>
      </c>
      <c r="S1424" s="186">
        <v>0.0</v>
      </c>
      <c r="T1424" s="186">
        <v>488.82</v>
      </c>
      <c r="U1424" s="187" t="s">
        <v>353</v>
      </c>
      <c r="V1424" s="176">
        <v>46159.0</v>
      </c>
      <c r="W1424" s="175"/>
      <c r="X1424" s="175"/>
      <c r="Y1424" s="175"/>
      <c r="Z1424" s="175"/>
      <c r="AA1424" s="175"/>
      <c r="AB1424" s="175"/>
      <c r="AC1424" s="175"/>
      <c r="AD1424" s="175"/>
      <c r="AE1424" s="175"/>
      <c r="AF1424" s="175"/>
      <c r="AG1424" s="175"/>
      <c r="AH1424" s="175"/>
      <c r="AI1424" s="175"/>
    </row>
    <row r="1425">
      <c r="A1425" s="176">
        <v>46160.0</v>
      </c>
      <c r="B1425" s="177">
        <v>8572211.0</v>
      </c>
      <c r="C1425" s="178" t="s">
        <v>89</v>
      </c>
      <c r="D1425" s="178" t="s">
        <v>35</v>
      </c>
      <c r="E1425" s="177">
        <v>6.499395393E9</v>
      </c>
      <c r="F1425" s="178" t="s">
        <v>2351</v>
      </c>
      <c r="G1425" s="176">
        <v>46277.0</v>
      </c>
      <c r="H1425" s="179">
        <v>46279.0</v>
      </c>
      <c r="I1425" s="180">
        <v>2.0</v>
      </c>
      <c r="J1425" s="181" t="s">
        <v>78</v>
      </c>
      <c r="K1425" s="178" t="s">
        <v>79</v>
      </c>
      <c r="L1425" s="178" t="s">
        <v>80</v>
      </c>
      <c r="M1425" s="182">
        <v>0.0</v>
      </c>
      <c r="N1425" s="183">
        <v>0.0</v>
      </c>
      <c r="O1425" s="184">
        <v>0.0</v>
      </c>
      <c r="P1425" s="184">
        <v>0.0</v>
      </c>
      <c r="Q1425" s="185">
        <v>0.0</v>
      </c>
      <c r="R1425" s="186">
        <v>0.0</v>
      </c>
      <c r="S1425" s="186">
        <v>0.0</v>
      </c>
      <c r="T1425" s="186">
        <v>0.0</v>
      </c>
      <c r="U1425" s="187" t="s">
        <v>2355</v>
      </c>
      <c r="V1425" s="176">
        <v>46203.0</v>
      </c>
      <c r="W1425" s="164"/>
      <c r="X1425" s="164"/>
      <c r="Y1425" s="164"/>
      <c r="Z1425" s="164"/>
      <c r="AA1425" s="164"/>
      <c r="AB1425" s="164"/>
      <c r="AC1425" s="164"/>
      <c r="AD1425" s="164"/>
      <c r="AE1425" s="164"/>
      <c r="AF1425" s="164"/>
      <c r="AG1425" s="164"/>
      <c r="AH1425" s="164"/>
      <c r="AI1425" s="164"/>
    </row>
    <row r="1426">
      <c r="A1426" s="176">
        <v>46160.0</v>
      </c>
      <c r="B1426" s="177">
        <v>8572661.0</v>
      </c>
      <c r="C1426" s="178" t="s">
        <v>82</v>
      </c>
      <c r="D1426" s="178" t="s">
        <v>35</v>
      </c>
      <c r="E1426" s="177">
        <v>5.891312423E9</v>
      </c>
      <c r="F1426" s="178" t="s">
        <v>2357</v>
      </c>
      <c r="G1426" s="176">
        <v>46192.0</v>
      </c>
      <c r="H1426" s="179">
        <v>46193.0</v>
      </c>
      <c r="I1426" s="180">
        <v>1.0</v>
      </c>
      <c r="J1426" s="181" t="s">
        <v>87</v>
      </c>
      <c r="K1426" s="178" t="s">
        <v>79</v>
      </c>
      <c r="L1426" s="178" t="s">
        <v>80</v>
      </c>
      <c r="M1426" s="182">
        <v>2.0</v>
      </c>
      <c r="N1426" s="183">
        <v>0.19999999999999996</v>
      </c>
      <c r="O1426" s="184">
        <v>108.92</v>
      </c>
      <c r="P1426" s="184">
        <v>87.13600000000001</v>
      </c>
      <c r="Q1426" s="185">
        <v>0.0</v>
      </c>
      <c r="R1426" s="186">
        <v>87.13600000000001</v>
      </c>
      <c r="S1426" s="186">
        <v>0.0</v>
      </c>
      <c r="T1426" s="186">
        <v>113.92</v>
      </c>
      <c r="U1426" s="187" t="s">
        <v>143</v>
      </c>
      <c r="V1426" s="176">
        <v>46160.0</v>
      </c>
      <c r="W1426" s="164"/>
      <c r="X1426" s="164"/>
      <c r="Y1426" s="164"/>
      <c r="Z1426" s="164"/>
      <c r="AA1426" s="164"/>
      <c r="AB1426" s="164"/>
      <c r="AC1426" s="164"/>
      <c r="AD1426" s="164"/>
      <c r="AE1426" s="164"/>
      <c r="AF1426" s="164"/>
      <c r="AG1426" s="164"/>
      <c r="AH1426" s="164"/>
      <c r="AI1426" s="164"/>
    </row>
    <row r="1427">
      <c r="A1427" s="176">
        <v>46160.0</v>
      </c>
      <c r="B1427" s="177">
        <v>8575716.0</v>
      </c>
      <c r="C1427" s="178" t="s">
        <v>89</v>
      </c>
      <c r="D1427" s="178" t="s">
        <v>35</v>
      </c>
      <c r="E1427" s="177">
        <v>5.118127082E9</v>
      </c>
      <c r="F1427" s="178" t="s">
        <v>2359</v>
      </c>
      <c r="G1427" s="176">
        <v>46550.20833333333</v>
      </c>
      <c r="H1427" s="179">
        <v>46557.20833333333</v>
      </c>
      <c r="I1427" s="180">
        <v>7.0</v>
      </c>
      <c r="J1427" s="181" t="s">
        <v>78</v>
      </c>
      <c r="K1427" s="178" t="s">
        <v>79</v>
      </c>
      <c r="L1427" s="178" t="s">
        <v>80</v>
      </c>
      <c r="M1427" s="182">
        <v>0.0</v>
      </c>
      <c r="N1427" s="183">
        <v>0.0</v>
      </c>
      <c r="O1427" s="184">
        <v>0.0</v>
      </c>
      <c r="P1427" s="184">
        <v>0.0</v>
      </c>
      <c r="Q1427" s="185">
        <v>0.0</v>
      </c>
      <c r="R1427" s="186">
        <v>0.0</v>
      </c>
      <c r="S1427" s="186">
        <v>0.0</v>
      </c>
      <c r="T1427" s="186">
        <v>0.0</v>
      </c>
      <c r="U1427" s="187" t="s">
        <v>2361</v>
      </c>
      <c r="V1427" s="176">
        <v>46160.0</v>
      </c>
      <c r="W1427" s="188"/>
      <c r="X1427" s="188"/>
      <c r="Y1427" s="188"/>
      <c r="Z1427" s="188"/>
      <c r="AA1427" s="188"/>
      <c r="AB1427" s="188"/>
      <c r="AC1427" s="188"/>
      <c r="AD1427" s="188"/>
      <c r="AE1427" s="188"/>
      <c r="AF1427" s="188"/>
      <c r="AG1427" s="188"/>
      <c r="AH1427" s="188"/>
      <c r="AI1427" s="188"/>
    </row>
    <row r="1428">
      <c r="A1428" s="176">
        <v>46161.0</v>
      </c>
      <c r="B1428" s="177">
        <v>8576787.0</v>
      </c>
      <c r="C1428" s="178" t="s">
        <v>89</v>
      </c>
      <c r="D1428" s="178" t="s">
        <v>35</v>
      </c>
      <c r="E1428" s="177">
        <v>5.158134675E9</v>
      </c>
      <c r="F1428" s="178" t="s">
        <v>2363</v>
      </c>
      <c r="G1428" s="176">
        <v>46297.20833333333</v>
      </c>
      <c r="H1428" s="179">
        <v>46300.20833333333</v>
      </c>
      <c r="I1428" s="180">
        <v>3.0</v>
      </c>
      <c r="J1428" s="181" t="s">
        <v>114</v>
      </c>
      <c r="K1428" s="178" t="s">
        <v>79</v>
      </c>
      <c r="L1428" s="178" t="s">
        <v>80</v>
      </c>
      <c r="M1428" s="182">
        <v>0.0</v>
      </c>
      <c r="N1428" s="183">
        <v>0.0</v>
      </c>
      <c r="O1428" s="184">
        <v>0.0</v>
      </c>
      <c r="P1428" s="184">
        <v>0.0</v>
      </c>
      <c r="Q1428" s="185">
        <v>0.0</v>
      </c>
      <c r="R1428" s="186">
        <v>0.0</v>
      </c>
      <c r="S1428" s="186">
        <v>0.0</v>
      </c>
      <c r="T1428" s="186">
        <v>0.0</v>
      </c>
      <c r="U1428" s="187" t="s">
        <v>2364</v>
      </c>
      <c r="V1428" s="176">
        <v>46174.0</v>
      </c>
      <c r="W1428" s="188"/>
      <c r="X1428" s="188"/>
      <c r="Y1428" s="188"/>
      <c r="Z1428" s="188"/>
      <c r="AA1428" s="188"/>
      <c r="AB1428" s="188"/>
      <c r="AC1428" s="188"/>
      <c r="AD1428" s="188"/>
      <c r="AE1428" s="188"/>
      <c r="AF1428" s="188"/>
      <c r="AG1428" s="188"/>
      <c r="AH1428" s="188"/>
      <c r="AI1428" s="188"/>
    </row>
    <row r="1429">
      <c r="A1429" s="176">
        <v>46161.0</v>
      </c>
      <c r="B1429" s="177">
        <v>8580613.0</v>
      </c>
      <c r="C1429" s="178" t="s">
        <v>89</v>
      </c>
      <c r="D1429" s="178" t="s">
        <v>35</v>
      </c>
      <c r="E1429" s="177">
        <v>6.721745919E9</v>
      </c>
      <c r="F1429" s="178" t="s">
        <v>2366</v>
      </c>
      <c r="G1429" s="176">
        <v>46339.20833333333</v>
      </c>
      <c r="H1429" s="179">
        <v>46342.20833333333</v>
      </c>
      <c r="I1429" s="180">
        <v>3.0</v>
      </c>
      <c r="J1429" s="181" t="s">
        <v>78</v>
      </c>
      <c r="K1429" s="178" t="s">
        <v>79</v>
      </c>
      <c r="L1429" s="178" t="s">
        <v>80</v>
      </c>
      <c r="M1429" s="182">
        <v>0.0</v>
      </c>
      <c r="N1429" s="183">
        <v>0.0</v>
      </c>
      <c r="O1429" s="184">
        <v>0.0</v>
      </c>
      <c r="P1429" s="184">
        <v>0.0</v>
      </c>
      <c r="Q1429" s="185">
        <v>0.0</v>
      </c>
      <c r="R1429" s="186">
        <v>0.0</v>
      </c>
      <c r="S1429" s="186">
        <v>0.0</v>
      </c>
      <c r="T1429" s="186">
        <v>0.0</v>
      </c>
      <c r="U1429" s="187" t="s">
        <v>2368</v>
      </c>
      <c r="V1429" s="176">
        <v>46162.0</v>
      </c>
      <c r="W1429" s="175"/>
      <c r="X1429" s="175"/>
      <c r="Y1429" s="175"/>
      <c r="Z1429" s="175"/>
      <c r="AA1429" s="175"/>
      <c r="AB1429" s="175"/>
      <c r="AC1429" s="175"/>
      <c r="AD1429" s="175"/>
      <c r="AE1429" s="175"/>
      <c r="AF1429" s="175"/>
      <c r="AG1429" s="175"/>
      <c r="AH1429" s="175"/>
      <c r="AI1429" s="175"/>
    </row>
    <row r="1430">
      <c r="A1430" s="176">
        <v>46161.0</v>
      </c>
      <c r="B1430" s="177">
        <v>8580893.0</v>
      </c>
      <c r="C1430" s="178" t="s">
        <v>82</v>
      </c>
      <c r="D1430" s="178" t="s">
        <v>35</v>
      </c>
      <c r="E1430" s="177">
        <v>5.949617531E9</v>
      </c>
      <c r="F1430" s="178" t="s">
        <v>2369</v>
      </c>
      <c r="G1430" s="176">
        <v>46280.0</v>
      </c>
      <c r="H1430" s="179">
        <v>46283.0</v>
      </c>
      <c r="I1430" s="180">
        <v>3.0</v>
      </c>
      <c r="J1430" s="181" t="s">
        <v>87</v>
      </c>
      <c r="K1430" s="178" t="s">
        <v>79</v>
      </c>
      <c r="L1430" s="178" t="s">
        <v>80</v>
      </c>
      <c r="M1430" s="182">
        <v>2.0</v>
      </c>
      <c r="N1430" s="183">
        <v>0.19999999999999996</v>
      </c>
      <c r="O1430" s="184">
        <v>160.91</v>
      </c>
      <c r="P1430" s="184">
        <v>128.728</v>
      </c>
      <c r="Q1430" s="185">
        <v>0.0</v>
      </c>
      <c r="R1430" s="186">
        <v>386.184</v>
      </c>
      <c r="S1430" s="186">
        <v>0.0</v>
      </c>
      <c r="T1430" s="186">
        <v>497.73</v>
      </c>
      <c r="U1430" s="187" t="s">
        <v>1367</v>
      </c>
      <c r="V1430" s="176">
        <v>46161.0</v>
      </c>
      <c r="W1430" s="175"/>
      <c r="X1430" s="175"/>
      <c r="Y1430" s="175"/>
      <c r="Z1430" s="175"/>
      <c r="AA1430" s="175"/>
      <c r="AB1430" s="175"/>
      <c r="AC1430" s="175"/>
      <c r="AD1430" s="175"/>
      <c r="AE1430" s="175"/>
      <c r="AF1430" s="175"/>
      <c r="AG1430" s="175"/>
      <c r="AH1430" s="175"/>
      <c r="AI1430" s="175"/>
    </row>
    <row r="1431">
      <c r="A1431" s="176">
        <v>46162.0</v>
      </c>
      <c r="B1431" s="177">
        <v>8583914.0</v>
      </c>
      <c r="C1431" s="178" t="s">
        <v>82</v>
      </c>
      <c r="D1431" s="178" t="s">
        <v>35</v>
      </c>
      <c r="E1431" s="177">
        <v>6.541770758E9</v>
      </c>
      <c r="F1431" s="178" t="s">
        <v>2371</v>
      </c>
      <c r="G1431" s="176">
        <v>46297.20833333333</v>
      </c>
      <c r="H1431" s="179">
        <v>46299.20833333333</v>
      </c>
      <c r="I1431" s="180">
        <v>2.0</v>
      </c>
      <c r="J1431" s="181" t="s">
        <v>78</v>
      </c>
      <c r="K1431" s="178" t="s">
        <v>138</v>
      </c>
      <c r="L1431" s="178" t="s">
        <v>80</v>
      </c>
      <c r="M1431" s="182">
        <v>2.0</v>
      </c>
      <c r="N1431" s="183">
        <v>0.19999999999999996</v>
      </c>
      <c r="O1431" s="184">
        <v>137.17</v>
      </c>
      <c r="P1431" s="184">
        <v>109.73599999999999</v>
      </c>
      <c r="Q1431" s="185">
        <v>36.0</v>
      </c>
      <c r="R1431" s="186">
        <v>219.47199999999998</v>
      </c>
      <c r="S1431" s="186">
        <v>72.0</v>
      </c>
      <c r="T1431" s="186">
        <v>341.94</v>
      </c>
      <c r="U1431" s="187" t="s">
        <v>140</v>
      </c>
      <c r="V1431" s="176">
        <v>46162.0</v>
      </c>
      <c r="W1431" s="175"/>
      <c r="X1431" s="175"/>
      <c r="Y1431" s="175"/>
      <c r="Z1431" s="175"/>
      <c r="AA1431" s="175"/>
      <c r="AB1431" s="175"/>
      <c r="AC1431" s="175"/>
      <c r="AD1431" s="175"/>
      <c r="AE1431" s="175"/>
      <c r="AF1431" s="175"/>
      <c r="AG1431" s="175"/>
      <c r="AH1431" s="175"/>
      <c r="AI1431" s="175"/>
    </row>
    <row r="1432">
      <c r="A1432" s="176">
        <v>46162.0</v>
      </c>
      <c r="B1432" s="177">
        <v>8585144.0</v>
      </c>
      <c r="C1432" s="178" t="s">
        <v>82</v>
      </c>
      <c r="D1432" s="178" t="s">
        <v>35</v>
      </c>
      <c r="E1432" s="177">
        <v>6.993992063E9</v>
      </c>
      <c r="F1432" s="178" t="s">
        <v>2374</v>
      </c>
      <c r="G1432" s="176">
        <v>46346.20833333333</v>
      </c>
      <c r="H1432" s="179">
        <v>46351.20833333333</v>
      </c>
      <c r="I1432" s="180">
        <v>5.0</v>
      </c>
      <c r="J1432" s="181" t="s">
        <v>78</v>
      </c>
      <c r="K1432" s="178" t="s">
        <v>79</v>
      </c>
      <c r="L1432" s="178" t="s">
        <v>80</v>
      </c>
      <c r="M1432" s="182">
        <v>2.0</v>
      </c>
      <c r="N1432" s="183">
        <v>0.19999999999999996</v>
      </c>
      <c r="O1432" s="184">
        <v>152.78</v>
      </c>
      <c r="P1432" s="184">
        <v>122.224</v>
      </c>
      <c r="Q1432" s="185">
        <v>0.0</v>
      </c>
      <c r="R1432" s="186">
        <v>611.12</v>
      </c>
      <c r="S1432" s="186">
        <v>0.0</v>
      </c>
      <c r="T1432" s="186">
        <v>788.9</v>
      </c>
      <c r="U1432" s="187" t="s">
        <v>107</v>
      </c>
      <c r="V1432" s="176">
        <v>46162.0</v>
      </c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</row>
    <row r="1433">
      <c r="A1433" s="176">
        <v>46162.0</v>
      </c>
      <c r="B1433" s="177">
        <v>8585172.0</v>
      </c>
      <c r="C1433" s="178" t="s">
        <v>89</v>
      </c>
      <c r="D1433" s="178" t="s">
        <v>35</v>
      </c>
      <c r="E1433" s="177">
        <v>5.385253669E9</v>
      </c>
      <c r="F1433" s="178" t="s">
        <v>2376</v>
      </c>
      <c r="G1433" s="176">
        <v>46269.0</v>
      </c>
      <c r="H1433" s="179">
        <v>46271.0</v>
      </c>
      <c r="I1433" s="180">
        <v>2.0</v>
      </c>
      <c r="J1433" s="181" t="s">
        <v>78</v>
      </c>
      <c r="K1433" s="178" t="s">
        <v>79</v>
      </c>
      <c r="L1433" s="178" t="s">
        <v>80</v>
      </c>
      <c r="M1433" s="182">
        <v>0.0</v>
      </c>
      <c r="N1433" s="183">
        <v>0.0</v>
      </c>
      <c r="O1433" s="184">
        <v>0.0</v>
      </c>
      <c r="P1433" s="184">
        <v>0.0</v>
      </c>
      <c r="Q1433" s="185">
        <v>0.0</v>
      </c>
      <c r="R1433" s="186">
        <v>0.0</v>
      </c>
      <c r="S1433" s="186">
        <v>0.0</v>
      </c>
      <c r="T1433" s="186">
        <v>0.0</v>
      </c>
      <c r="U1433" s="187" t="s">
        <v>2377</v>
      </c>
      <c r="V1433" s="176">
        <v>46228.0</v>
      </c>
      <c r="W1433" s="175"/>
      <c r="X1433" s="175"/>
      <c r="Y1433" s="175"/>
      <c r="Z1433" s="175"/>
      <c r="AA1433" s="175"/>
      <c r="AB1433" s="175"/>
      <c r="AC1433" s="175"/>
      <c r="AD1433" s="175"/>
      <c r="AE1433" s="175"/>
      <c r="AF1433" s="175"/>
      <c r="AG1433" s="175"/>
      <c r="AH1433" s="175"/>
      <c r="AI1433" s="175"/>
    </row>
    <row r="1434">
      <c r="A1434" s="176">
        <v>46162.0</v>
      </c>
      <c r="B1434" s="177">
        <v>8585490.0</v>
      </c>
      <c r="C1434" s="178" t="s">
        <v>82</v>
      </c>
      <c r="D1434" s="178" t="s">
        <v>35</v>
      </c>
      <c r="E1434" s="177">
        <v>6.530955986E9</v>
      </c>
      <c r="F1434" s="178" t="s">
        <v>2379</v>
      </c>
      <c r="G1434" s="176">
        <v>46170.0</v>
      </c>
      <c r="H1434" s="179">
        <v>46172.0</v>
      </c>
      <c r="I1434" s="180">
        <v>2.0</v>
      </c>
      <c r="J1434" s="181" t="s">
        <v>111</v>
      </c>
      <c r="K1434" s="178" t="s">
        <v>79</v>
      </c>
      <c r="L1434" s="178" t="s">
        <v>80</v>
      </c>
      <c r="M1434" s="182">
        <v>2.0</v>
      </c>
      <c r="N1434" s="183">
        <v>0.19999999999999996</v>
      </c>
      <c r="O1434" s="184">
        <v>232.39</v>
      </c>
      <c r="P1434" s="184">
        <v>185.912</v>
      </c>
      <c r="Q1434" s="185">
        <v>0.0</v>
      </c>
      <c r="R1434" s="186">
        <v>371.824</v>
      </c>
      <c r="S1434" s="186">
        <v>0.0</v>
      </c>
      <c r="T1434" s="186">
        <v>474.78</v>
      </c>
      <c r="U1434" s="187" t="s">
        <v>1441</v>
      </c>
      <c r="V1434" s="176">
        <v>46162.0</v>
      </c>
      <c r="W1434" s="175"/>
      <c r="X1434" s="175"/>
      <c r="Y1434" s="175"/>
      <c r="Z1434" s="175"/>
      <c r="AA1434" s="175"/>
      <c r="AB1434" s="175"/>
      <c r="AC1434" s="175"/>
      <c r="AD1434" s="175"/>
      <c r="AE1434" s="175"/>
      <c r="AF1434" s="175"/>
      <c r="AG1434" s="175"/>
      <c r="AH1434" s="175"/>
      <c r="AI1434" s="175"/>
    </row>
    <row r="1435">
      <c r="A1435" s="176">
        <v>46163.0</v>
      </c>
      <c r="B1435" s="177">
        <v>8590660.0</v>
      </c>
      <c r="C1435" s="178" t="s">
        <v>89</v>
      </c>
      <c r="D1435" s="178" t="s">
        <v>35</v>
      </c>
      <c r="E1435" s="177">
        <v>5.472577443E9</v>
      </c>
      <c r="F1435" s="178" t="s">
        <v>2381</v>
      </c>
      <c r="G1435" s="176">
        <v>46306.20833333333</v>
      </c>
      <c r="H1435" s="179">
        <v>46309.20833333333</v>
      </c>
      <c r="I1435" s="180">
        <v>3.0</v>
      </c>
      <c r="J1435" s="181" t="s">
        <v>78</v>
      </c>
      <c r="K1435" s="178" t="s">
        <v>79</v>
      </c>
      <c r="L1435" s="178" t="s">
        <v>80</v>
      </c>
      <c r="M1435" s="182">
        <v>0.0</v>
      </c>
      <c r="N1435" s="183">
        <v>0.0</v>
      </c>
      <c r="O1435" s="184">
        <v>0.0</v>
      </c>
      <c r="P1435" s="184">
        <v>0.0</v>
      </c>
      <c r="Q1435" s="185">
        <v>0.0</v>
      </c>
      <c r="R1435" s="186">
        <v>0.0</v>
      </c>
      <c r="S1435" s="186">
        <v>0.0</v>
      </c>
      <c r="T1435" s="186">
        <v>0.0</v>
      </c>
      <c r="U1435" s="187" t="s">
        <v>2383</v>
      </c>
      <c r="V1435" s="176">
        <v>46166.0</v>
      </c>
      <c r="W1435" s="188"/>
      <c r="X1435" s="188"/>
      <c r="Y1435" s="188"/>
      <c r="Z1435" s="188"/>
      <c r="AA1435" s="188"/>
      <c r="AB1435" s="188"/>
      <c r="AC1435" s="188"/>
      <c r="AD1435" s="188"/>
      <c r="AE1435" s="188"/>
      <c r="AF1435" s="188"/>
      <c r="AG1435" s="188"/>
      <c r="AH1435" s="188"/>
      <c r="AI1435" s="188"/>
    </row>
    <row r="1436">
      <c r="A1436" s="176">
        <v>46163.0</v>
      </c>
      <c r="B1436" s="177">
        <v>8591252.0</v>
      </c>
      <c r="C1436" s="178" t="s">
        <v>82</v>
      </c>
      <c r="D1436" s="178" t="s">
        <v>35</v>
      </c>
      <c r="E1436" s="177">
        <v>5.374827004E9</v>
      </c>
      <c r="F1436" s="178" t="s">
        <v>2164</v>
      </c>
      <c r="G1436" s="176">
        <v>46222.0</v>
      </c>
      <c r="H1436" s="179">
        <v>46225.0</v>
      </c>
      <c r="I1436" s="180">
        <v>3.0</v>
      </c>
      <c r="J1436" s="181" t="s">
        <v>78</v>
      </c>
      <c r="K1436" s="178" t="s">
        <v>79</v>
      </c>
      <c r="L1436" s="178" t="s">
        <v>80</v>
      </c>
      <c r="M1436" s="182">
        <v>2.0</v>
      </c>
      <c r="N1436" s="183">
        <v>0.19999999999999996</v>
      </c>
      <c r="O1436" s="184">
        <v>103.8</v>
      </c>
      <c r="P1436" s="184">
        <v>83.04</v>
      </c>
      <c r="Q1436" s="185">
        <v>0.0</v>
      </c>
      <c r="R1436" s="186">
        <v>249.12</v>
      </c>
      <c r="S1436" s="186">
        <v>0.0</v>
      </c>
      <c r="T1436" s="186">
        <v>326.4</v>
      </c>
      <c r="U1436" s="187" t="s">
        <v>107</v>
      </c>
      <c r="V1436" s="176">
        <v>46163.0</v>
      </c>
      <c r="W1436" s="175"/>
      <c r="X1436" s="175"/>
      <c r="Y1436" s="175"/>
      <c r="Z1436" s="175"/>
      <c r="AA1436" s="175"/>
      <c r="AB1436" s="175"/>
      <c r="AC1436" s="175"/>
      <c r="AD1436" s="175"/>
      <c r="AE1436" s="175"/>
      <c r="AF1436" s="175"/>
      <c r="AG1436" s="175"/>
      <c r="AH1436" s="175"/>
      <c r="AI1436" s="175"/>
    </row>
    <row r="1437">
      <c r="A1437" s="176">
        <v>46164.0</v>
      </c>
      <c r="B1437" s="177">
        <v>8593472.0</v>
      </c>
      <c r="C1437" s="178" t="s">
        <v>82</v>
      </c>
      <c r="D1437" s="178" t="s">
        <v>109</v>
      </c>
      <c r="E1437" s="177">
        <v>1.00622235E9</v>
      </c>
      <c r="F1437" s="178" t="s">
        <v>2386</v>
      </c>
      <c r="G1437" s="176">
        <v>46334.20833333333</v>
      </c>
      <c r="H1437" s="179">
        <v>46336.20833333333</v>
      </c>
      <c r="I1437" s="180">
        <v>2.0</v>
      </c>
      <c r="J1437" s="181" t="s">
        <v>78</v>
      </c>
      <c r="K1437" s="178" t="s">
        <v>79</v>
      </c>
      <c r="L1437" s="178" t="s">
        <v>96</v>
      </c>
      <c r="M1437" s="182">
        <v>2.0</v>
      </c>
      <c r="N1437" s="183">
        <v>0.19999999999999996</v>
      </c>
      <c r="O1437" s="184">
        <v>177.23</v>
      </c>
      <c r="P1437" s="184">
        <v>141.784</v>
      </c>
      <c r="Q1437" s="185">
        <v>0.0</v>
      </c>
      <c r="R1437" s="186">
        <v>283.568</v>
      </c>
      <c r="S1437" s="186">
        <v>0.0</v>
      </c>
      <c r="T1437" s="186">
        <v>354.46</v>
      </c>
      <c r="U1437" s="187" t="s">
        <v>1464</v>
      </c>
      <c r="V1437" s="176">
        <v>46164.0</v>
      </c>
      <c r="W1437" s="175"/>
      <c r="X1437" s="175"/>
      <c r="Y1437" s="175"/>
      <c r="Z1437" s="175"/>
      <c r="AA1437" s="175"/>
      <c r="AB1437" s="175"/>
      <c r="AC1437" s="175"/>
      <c r="AD1437" s="175"/>
      <c r="AE1437" s="175"/>
      <c r="AF1437" s="175"/>
      <c r="AG1437" s="175"/>
      <c r="AH1437" s="175"/>
      <c r="AI1437" s="175"/>
    </row>
    <row r="1438">
      <c r="A1438" s="176">
        <v>46164.0</v>
      </c>
      <c r="B1438" s="177">
        <v>8593770.0</v>
      </c>
      <c r="C1438" s="178" t="s">
        <v>82</v>
      </c>
      <c r="D1438" s="178" t="s">
        <v>35</v>
      </c>
      <c r="E1438" s="177">
        <v>5.742613014E9</v>
      </c>
      <c r="F1438" s="178" t="s">
        <v>2389</v>
      </c>
      <c r="G1438" s="176">
        <v>46267.0</v>
      </c>
      <c r="H1438" s="179">
        <v>46274.0</v>
      </c>
      <c r="I1438" s="180">
        <v>7.0</v>
      </c>
      <c r="J1438" s="181" t="s">
        <v>111</v>
      </c>
      <c r="K1438" s="178" t="s">
        <v>138</v>
      </c>
      <c r="L1438" s="178" t="s">
        <v>80</v>
      </c>
      <c r="M1438" s="182">
        <v>2.0</v>
      </c>
      <c r="N1438" s="183">
        <v>0.19999999999999996</v>
      </c>
      <c r="O1438" s="184">
        <v>171.54999999999998</v>
      </c>
      <c r="P1438" s="184">
        <v>137.23999999999998</v>
      </c>
      <c r="Q1438" s="185">
        <v>36.0</v>
      </c>
      <c r="R1438" s="186">
        <v>960.6799999999998</v>
      </c>
      <c r="S1438" s="186">
        <v>252.0</v>
      </c>
      <c r="T1438" s="186">
        <v>1402.45</v>
      </c>
      <c r="U1438" s="187" t="s">
        <v>140</v>
      </c>
      <c r="V1438" s="176">
        <v>46164.0</v>
      </c>
      <c r="W1438" s="175"/>
      <c r="X1438" s="175"/>
      <c r="Y1438" s="175"/>
      <c r="Z1438" s="175"/>
      <c r="AA1438" s="175"/>
      <c r="AB1438" s="175"/>
      <c r="AC1438" s="175"/>
      <c r="AD1438" s="175"/>
      <c r="AE1438" s="175"/>
      <c r="AF1438" s="175"/>
      <c r="AG1438" s="175"/>
      <c r="AH1438" s="175"/>
      <c r="AI1438" s="175"/>
    </row>
    <row r="1439">
      <c r="A1439" s="176">
        <v>46165.0</v>
      </c>
      <c r="B1439" s="177">
        <v>8597846.0</v>
      </c>
      <c r="C1439" s="178" t="s">
        <v>82</v>
      </c>
      <c r="D1439" s="178" t="s">
        <v>35</v>
      </c>
      <c r="E1439" s="177">
        <v>6.21976766E9</v>
      </c>
      <c r="F1439" s="178" t="s">
        <v>2391</v>
      </c>
      <c r="G1439" s="176">
        <v>46348.20833333333</v>
      </c>
      <c r="H1439" s="179">
        <v>46351.20833333333</v>
      </c>
      <c r="I1439" s="180">
        <v>3.0</v>
      </c>
      <c r="J1439" s="181" t="s">
        <v>78</v>
      </c>
      <c r="K1439" s="178" t="s">
        <v>79</v>
      </c>
      <c r="L1439" s="178" t="s">
        <v>80</v>
      </c>
      <c r="M1439" s="182">
        <v>2.0</v>
      </c>
      <c r="N1439" s="183">
        <v>0.19999999999999996</v>
      </c>
      <c r="O1439" s="184">
        <v>114.89</v>
      </c>
      <c r="P1439" s="184">
        <v>91.912</v>
      </c>
      <c r="Q1439" s="185">
        <v>0.0</v>
      </c>
      <c r="R1439" s="186">
        <v>275.736</v>
      </c>
      <c r="S1439" s="186">
        <v>0.0</v>
      </c>
      <c r="T1439" s="186">
        <v>359.67</v>
      </c>
      <c r="U1439" s="187" t="s">
        <v>107</v>
      </c>
      <c r="V1439" s="176">
        <v>46165.0</v>
      </c>
      <c r="W1439" s="175"/>
      <c r="X1439" s="175"/>
      <c r="Y1439" s="175"/>
      <c r="Z1439" s="175"/>
      <c r="AA1439" s="175"/>
      <c r="AB1439" s="175"/>
      <c r="AC1439" s="175"/>
      <c r="AD1439" s="175"/>
      <c r="AE1439" s="175"/>
      <c r="AF1439" s="175"/>
      <c r="AG1439" s="175"/>
      <c r="AH1439" s="175"/>
      <c r="AI1439" s="175"/>
    </row>
    <row r="1440">
      <c r="A1440" s="176">
        <v>46165.0</v>
      </c>
      <c r="B1440" s="177">
        <v>8598779.0</v>
      </c>
      <c r="C1440" s="178" t="s">
        <v>82</v>
      </c>
      <c r="D1440" s="178" t="s">
        <v>94</v>
      </c>
      <c r="E1440" s="177">
        <v>8598779.0</v>
      </c>
      <c r="F1440" s="178" t="s">
        <v>2393</v>
      </c>
      <c r="G1440" s="176">
        <v>46337.20833333333</v>
      </c>
      <c r="H1440" s="179">
        <v>46340.20833333333</v>
      </c>
      <c r="I1440" s="180">
        <v>3.0</v>
      </c>
      <c r="J1440" s="181" t="s">
        <v>111</v>
      </c>
      <c r="K1440" s="178" t="s">
        <v>79</v>
      </c>
      <c r="L1440" s="178" t="s">
        <v>96</v>
      </c>
      <c r="M1440" s="182">
        <v>2.0</v>
      </c>
      <c r="N1440" s="183">
        <v>0.0</v>
      </c>
      <c r="O1440" s="184">
        <v>249.84</v>
      </c>
      <c r="P1440" s="184">
        <v>249.84</v>
      </c>
      <c r="Q1440" s="185">
        <v>0.0</v>
      </c>
      <c r="R1440" s="186">
        <v>749.52</v>
      </c>
      <c r="S1440" s="186">
        <v>0.0</v>
      </c>
      <c r="T1440" s="186">
        <v>764.52</v>
      </c>
      <c r="U1440" s="187" t="s">
        <v>97</v>
      </c>
      <c r="V1440" s="176">
        <v>46165.0</v>
      </c>
      <c r="W1440" s="164"/>
      <c r="X1440" s="164"/>
      <c r="Y1440" s="164"/>
      <c r="Z1440" s="164"/>
      <c r="AA1440" s="164"/>
      <c r="AB1440" s="164"/>
      <c r="AC1440" s="164"/>
      <c r="AD1440" s="164"/>
      <c r="AE1440" s="164"/>
      <c r="AF1440" s="164"/>
      <c r="AG1440" s="164"/>
      <c r="AH1440" s="164"/>
      <c r="AI1440" s="164"/>
    </row>
    <row r="1441">
      <c r="A1441" s="176">
        <v>46165.0</v>
      </c>
      <c r="B1441" s="177">
        <v>8598992.0</v>
      </c>
      <c r="C1441" s="178" t="s">
        <v>82</v>
      </c>
      <c r="D1441" s="178" t="s">
        <v>35</v>
      </c>
      <c r="E1441" s="177">
        <v>6.219737028E9</v>
      </c>
      <c r="F1441" s="178" t="s">
        <v>2395</v>
      </c>
      <c r="G1441" s="176">
        <v>46166.0</v>
      </c>
      <c r="H1441" s="179">
        <v>46167.0</v>
      </c>
      <c r="I1441" s="180">
        <v>1.0</v>
      </c>
      <c r="J1441" s="181" t="s">
        <v>87</v>
      </c>
      <c r="K1441" s="178" t="s">
        <v>79</v>
      </c>
      <c r="L1441" s="178" t="s">
        <v>80</v>
      </c>
      <c r="M1441" s="182">
        <v>2.0</v>
      </c>
      <c r="N1441" s="183">
        <v>0.19999999999999996</v>
      </c>
      <c r="O1441" s="184">
        <v>152.88</v>
      </c>
      <c r="P1441" s="184">
        <v>122.304</v>
      </c>
      <c r="Q1441" s="185">
        <v>0.0</v>
      </c>
      <c r="R1441" s="186">
        <v>122.304</v>
      </c>
      <c r="S1441" s="186">
        <v>0.0</v>
      </c>
      <c r="T1441" s="186">
        <v>157.88</v>
      </c>
      <c r="U1441" s="187" t="s">
        <v>1367</v>
      </c>
      <c r="V1441" s="176">
        <v>46165.0</v>
      </c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</row>
    <row r="1442">
      <c r="A1442" s="176">
        <v>46165.0</v>
      </c>
      <c r="B1442" s="177">
        <v>8599256.0</v>
      </c>
      <c r="C1442" s="178" t="s">
        <v>82</v>
      </c>
      <c r="D1442" s="178" t="s">
        <v>35</v>
      </c>
      <c r="E1442" s="177">
        <v>5.630858724E9</v>
      </c>
      <c r="F1442" s="178" t="s">
        <v>2397</v>
      </c>
      <c r="G1442" s="176">
        <v>46319.20833333333</v>
      </c>
      <c r="H1442" s="179">
        <v>46322.20833333333</v>
      </c>
      <c r="I1442" s="180">
        <v>3.0</v>
      </c>
      <c r="J1442" s="181" t="s">
        <v>111</v>
      </c>
      <c r="K1442" s="178" t="s">
        <v>79</v>
      </c>
      <c r="L1442" s="178" t="s">
        <v>80</v>
      </c>
      <c r="M1442" s="182">
        <v>2.0</v>
      </c>
      <c r="N1442" s="183">
        <v>0.19999999999999996</v>
      </c>
      <c r="O1442" s="184">
        <v>163.03</v>
      </c>
      <c r="P1442" s="184">
        <v>130.424</v>
      </c>
      <c r="Q1442" s="185">
        <v>0.0</v>
      </c>
      <c r="R1442" s="186">
        <v>391.27200000000005</v>
      </c>
      <c r="S1442" s="186">
        <v>0.0</v>
      </c>
      <c r="T1442" s="186">
        <v>489.09</v>
      </c>
      <c r="U1442" s="187" t="s">
        <v>107</v>
      </c>
      <c r="V1442" s="176">
        <v>46165.0</v>
      </c>
      <c r="W1442" s="175"/>
      <c r="X1442" s="175"/>
      <c r="Y1442" s="175"/>
      <c r="Z1442" s="175"/>
      <c r="AA1442" s="175"/>
      <c r="AB1442" s="175"/>
      <c r="AC1442" s="175"/>
      <c r="AD1442" s="175"/>
      <c r="AE1442" s="175"/>
      <c r="AF1442" s="175"/>
      <c r="AG1442" s="175"/>
      <c r="AH1442" s="175"/>
      <c r="AI1442" s="175"/>
    </row>
    <row r="1443">
      <c r="A1443" s="176">
        <v>46165.0</v>
      </c>
      <c r="B1443" s="177">
        <v>8599758.0</v>
      </c>
      <c r="C1443" s="178" t="s">
        <v>82</v>
      </c>
      <c r="D1443" s="178" t="s">
        <v>94</v>
      </c>
      <c r="E1443" s="177">
        <v>8599758.0</v>
      </c>
      <c r="F1443" s="178" t="s">
        <v>925</v>
      </c>
      <c r="G1443" s="176">
        <v>46165.0</v>
      </c>
      <c r="H1443" s="179">
        <v>46168.0</v>
      </c>
      <c r="I1443" s="180">
        <v>3.0</v>
      </c>
      <c r="J1443" s="181" t="s">
        <v>111</v>
      </c>
      <c r="K1443" s="178" t="s">
        <v>79</v>
      </c>
      <c r="L1443" s="178" t="s">
        <v>96</v>
      </c>
      <c r="M1443" s="182">
        <v>2.0</v>
      </c>
      <c r="N1443" s="183">
        <v>0.0</v>
      </c>
      <c r="O1443" s="184">
        <v>300.24</v>
      </c>
      <c r="P1443" s="184">
        <v>300.24</v>
      </c>
      <c r="Q1443" s="185">
        <v>0.0</v>
      </c>
      <c r="R1443" s="186">
        <v>900.72</v>
      </c>
      <c r="S1443" s="186">
        <v>0.0</v>
      </c>
      <c r="T1443" s="186">
        <v>915.72</v>
      </c>
      <c r="U1443" s="187" t="s">
        <v>97</v>
      </c>
      <c r="V1443" s="176">
        <v>46165.0</v>
      </c>
      <c r="W1443" s="175"/>
      <c r="X1443" s="175"/>
      <c r="Y1443" s="175"/>
      <c r="Z1443" s="175"/>
      <c r="AA1443" s="175"/>
      <c r="AB1443" s="175"/>
      <c r="AC1443" s="175"/>
      <c r="AD1443" s="175"/>
      <c r="AE1443" s="175"/>
      <c r="AF1443" s="175"/>
      <c r="AG1443" s="175"/>
      <c r="AH1443" s="175"/>
      <c r="AI1443" s="175"/>
    </row>
    <row r="1444">
      <c r="A1444" s="176">
        <v>46165.0</v>
      </c>
      <c r="B1444" s="177">
        <v>8599934.0</v>
      </c>
      <c r="C1444" s="178" t="s">
        <v>82</v>
      </c>
      <c r="D1444" s="178" t="s">
        <v>35</v>
      </c>
      <c r="E1444" s="177">
        <v>5.583957806E9</v>
      </c>
      <c r="F1444" s="178" t="s">
        <v>2401</v>
      </c>
      <c r="G1444" s="176">
        <v>46280.0</v>
      </c>
      <c r="H1444" s="179">
        <v>46283.0</v>
      </c>
      <c r="I1444" s="180">
        <v>3.0</v>
      </c>
      <c r="J1444" s="181" t="s">
        <v>78</v>
      </c>
      <c r="K1444" s="178" t="s">
        <v>79</v>
      </c>
      <c r="L1444" s="178" t="s">
        <v>80</v>
      </c>
      <c r="M1444" s="182">
        <v>2.0</v>
      </c>
      <c r="N1444" s="183">
        <v>0.19999999999999996</v>
      </c>
      <c r="O1444" s="184">
        <v>123.77999999999999</v>
      </c>
      <c r="P1444" s="184">
        <v>99.024</v>
      </c>
      <c r="Q1444" s="185">
        <v>0.0</v>
      </c>
      <c r="R1444" s="186">
        <v>297.072</v>
      </c>
      <c r="S1444" s="186">
        <v>0.0</v>
      </c>
      <c r="T1444" s="186">
        <v>371.34</v>
      </c>
      <c r="U1444" s="187" t="s">
        <v>107</v>
      </c>
      <c r="V1444" s="176">
        <v>46165.0</v>
      </c>
      <c r="W1444" s="175"/>
      <c r="X1444" s="175"/>
      <c r="Y1444" s="175"/>
      <c r="Z1444" s="175"/>
      <c r="AA1444" s="175"/>
      <c r="AB1444" s="175"/>
      <c r="AC1444" s="175"/>
      <c r="AD1444" s="175"/>
      <c r="AE1444" s="175"/>
      <c r="AF1444" s="175"/>
      <c r="AG1444" s="175"/>
      <c r="AH1444" s="175"/>
      <c r="AI1444" s="175"/>
    </row>
    <row r="1445">
      <c r="A1445" s="176">
        <v>46165.0</v>
      </c>
      <c r="B1445" s="177">
        <v>8600392.0</v>
      </c>
      <c r="C1445" s="178" t="s">
        <v>89</v>
      </c>
      <c r="D1445" s="178" t="s">
        <v>35</v>
      </c>
      <c r="E1445" s="177">
        <v>6.152469238E9</v>
      </c>
      <c r="F1445" s="178" t="s">
        <v>2403</v>
      </c>
      <c r="G1445" s="176">
        <v>46220.0</v>
      </c>
      <c r="H1445" s="179">
        <v>46223.0</v>
      </c>
      <c r="I1445" s="180">
        <v>3.0</v>
      </c>
      <c r="J1445" s="181" t="s">
        <v>78</v>
      </c>
      <c r="K1445" s="178" t="s">
        <v>79</v>
      </c>
      <c r="L1445" s="178" t="s">
        <v>80</v>
      </c>
      <c r="M1445" s="182">
        <v>0.0</v>
      </c>
      <c r="N1445" s="183">
        <v>0.0</v>
      </c>
      <c r="O1445" s="184">
        <v>0.0</v>
      </c>
      <c r="P1445" s="184">
        <v>0.0</v>
      </c>
      <c r="Q1445" s="185">
        <v>0.0</v>
      </c>
      <c r="R1445" s="186">
        <v>0.0</v>
      </c>
      <c r="S1445" s="186">
        <v>0.0</v>
      </c>
      <c r="T1445" s="186">
        <v>0.0</v>
      </c>
      <c r="U1445" s="187" t="s">
        <v>2404</v>
      </c>
      <c r="V1445" s="176">
        <v>46168.0</v>
      </c>
      <c r="W1445" s="175"/>
      <c r="X1445" s="175"/>
      <c r="Y1445" s="175"/>
      <c r="Z1445" s="175"/>
      <c r="AA1445" s="175"/>
      <c r="AB1445" s="175"/>
      <c r="AC1445" s="175"/>
      <c r="AD1445" s="175"/>
      <c r="AE1445" s="175"/>
      <c r="AF1445" s="175"/>
      <c r="AG1445" s="175"/>
      <c r="AH1445" s="175"/>
      <c r="AI1445" s="175"/>
    </row>
    <row r="1446">
      <c r="A1446" s="176">
        <v>46166.0</v>
      </c>
      <c r="B1446" s="177">
        <v>8600536.0</v>
      </c>
      <c r="C1446" s="178" t="s">
        <v>82</v>
      </c>
      <c r="D1446" s="178" t="s">
        <v>35</v>
      </c>
      <c r="E1446" s="177">
        <v>6.066137685E9</v>
      </c>
      <c r="F1446" s="178" t="s">
        <v>2406</v>
      </c>
      <c r="G1446" s="176">
        <v>46493.20833333333</v>
      </c>
      <c r="H1446" s="179">
        <v>46498.20833333333</v>
      </c>
      <c r="I1446" s="180">
        <v>5.0</v>
      </c>
      <c r="J1446" s="181" t="s">
        <v>78</v>
      </c>
      <c r="K1446" s="178" t="s">
        <v>79</v>
      </c>
      <c r="L1446" s="178" t="s">
        <v>80</v>
      </c>
      <c r="M1446" s="182">
        <v>2.0</v>
      </c>
      <c r="N1446" s="183">
        <v>0.19999999999999996</v>
      </c>
      <c r="O1446" s="184">
        <v>173.95999999999998</v>
      </c>
      <c r="P1446" s="184">
        <v>139.16799999999998</v>
      </c>
      <c r="Q1446" s="185">
        <v>0.0</v>
      </c>
      <c r="R1446" s="186">
        <v>695.8399999999999</v>
      </c>
      <c r="S1446" s="186">
        <v>0.0</v>
      </c>
      <c r="T1446" s="186">
        <v>869.8</v>
      </c>
      <c r="U1446" s="187" t="s">
        <v>303</v>
      </c>
      <c r="V1446" s="176">
        <v>46166.0</v>
      </c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</row>
    <row r="1447">
      <c r="A1447" s="176">
        <v>46166.0</v>
      </c>
      <c r="B1447" s="177">
        <v>8601796.0</v>
      </c>
      <c r="C1447" s="178" t="s">
        <v>82</v>
      </c>
      <c r="D1447" s="178" t="s">
        <v>35</v>
      </c>
      <c r="E1447" s="177">
        <v>6.943263297E9</v>
      </c>
      <c r="F1447" s="178" t="s">
        <v>2408</v>
      </c>
      <c r="G1447" s="176">
        <v>46229.0</v>
      </c>
      <c r="H1447" s="179">
        <v>46231.0</v>
      </c>
      <c r="I1447" s="180">
        <v>2.0</v>
      </c>
      <c r="J1447" s="181" t="s">
        <v>114</v>
      </c>
      <c r="K1447" s="178" t="s">
        <v>79</v>
      </c>
      <c r="L1447" s="178" t="s">
        <v>80</v>
      </c>
      <c r="M1447" s="182">
        <v>2.0</v>
      </c>
      <c r="N1447" s="183">
        <v>0.19999999999999996</v>
      </c>
      <c r="O1447" s="184">
        <v>182.02</v>
      </c>
      <c r="P1447" s="184">
        <v>145.616</v>
      </c>
      <c r="Q1447" s="185">
        <v>0.0</v>
      </c>
      <c r="R1447" s="186">
        <v>291.232</v>
      </c>
      <c r="S1447" s="186">
        <v>0.0</v>
      </c>
      <c r="T1447" s="186">
        <v>678.18</v>
      </c>
      <c r="U1447" s="187" t="s">
        <v>1367</v>
      </c>
      <c r="V1447" s="176">
        <v>46166.0</v>
      </c>
      <c r="W1447" s="175"/>
      <c r="X1447" s="175"/>
      <c r="Y1447" s="175"/>
      <c r="Z1447" s="175"/>
      <c r="AA1447" s="175"/>
      <c r="AB1447" s="175"/>
      <c r="AC1447" s="175"/>
      <c r="AD1447" s="175"/>
      <c r="AE1447" s="175"/>
      <c r="AF1447" s="175"/>
      <c r="AG1447" s="175"/>
      <c r="AH1447" s="175"/>
      <c r="AI1447" s="175"/>
    </row>
    <row r="1448">
      <c r="A1448" s="176">
        <v>46166.0</v>
      </c>
      <c r="B1448" s="177">
        <v>8601796.0</v>
      </c>
      <c r="C1448" s="178" t="s">
        <v>82</v>
      </c>
      <c r="D1448" s="178" t="s">
        <v>35</v>
      </c>
      <c r="E1448" s="177">
        <v>6.943263297E9</v>
      </c>
      <c r="F1448" s="178" t="s">
        <v>2408</v>
      </c>
      <c r="G1448" s="176">
        <v>46229.0</v>
      </c>
      <c r="H1448" s="179">
        <v>46231.0</v>
      </c>
      <c r="I1448" s="180">
        <v>2.0</v>
      </c>
      <c r="J1448" s="181" t="s">
        <v>78</v>
      </c>
      <c r="K1448" s="178" t="s">
        <v>79</v>
      </c>
      <c r="L1448" s="178" t="s">
        <v>80</v>
      </c>
      <c r="M1448" s="182">
        <v>2.0</v>
      </c>
      <c r="N1448" s="183">
        <v>0.19999999999999996</v>
      </c>
      <c r="O1448" s="184">
        <v>147.07</v>
      </c>
      <c r="P1448" s="184">
        <v>117.656</v>
      </c>
      <c r="Q1448" s="185">
        <v>0.0</v>
      </c>
      <c r="R1448" s="186">
        <v>235.312</v>
      </c>
      <c r="S1448" s="186">
        <v>0.0</v>
      </c>
      <c r="T1448" s="186">
        <v>678.18</v>
      </c>
      <c r="U1448" s="187" t="s">
        <v>1367</v>
      </c>
      <c r="V1448" s="176">
        <v>46166.0</v>
      </c>
      <c r="W1448" s="188"/>
      <c r="X1448" s="188"/>
      <c r="Y1448" s="188"/>
      <c r="Z1448" s="188"/>
      <c r="AA1448" s="188"/>
      <c r="AB1448" s="188"/>
      <c r="AC1448" s="188"/>
      <c r="AD1448" s="188"/>
      <c r="AE1448" s="188"/>
      <c r="AF1448" s="188"/>
      <c r="AG1448" s="188"/>
      <c r="AH1448" s="188"/>
      <c r="AI1448" s="188"/>
    </row>
    <row r="1449">
      <c r="A1449" s="176">
        <v>46166.0</v>
      </c>
      <c r="B1449" s="177">
        <v>8604247.0</v>
      </c>
      <c r="C1449" s="178" t="s">
        <v>89</v>
      </c>
      <c r="D1449" s="178" t="s">
        <v>35</v>
      </c>
      <c r="E1449" s="177">
        <v>5.973296836E9</v>
      </c>
      <c r="F1449" s="178" t="s">
        <v>2411</v>
      </c>
      <c r="G1449" s="176">
        <v>46344.20833333333</v>
      </c>
      <c r="H1449" s="179">
        <v>46347.20833333333</v>
      </c>
      <c r="I1449" s="180">
        <v>3.0</v>
      </c>
      <c r="J1449" s="181" t="s">
        <v>78</v>
      </c>
      <c r="K1449" s="178" t="s">
        <v>79</v>
      </c>
      <c r="L1449" s="178" t="s">
        <v>80</v>
      </c>
      <c r="M1449" s="182">
        <v>0.0</v>
      </c>
      <c r="N1449" s="183">
        <v>0.0</v>
      </c>
      <c r="O1449" s="184">
        <v>0.0</v>
      </c>
      <c r="P1449" s="184">
        <v>0.0</v>
      </c>
      <c r="Q1449" s="185">
        <v>0.0</v>
      </c>
      <c r="R1449" s="186">
        <v>0.0</v>
      </c>
      <c r="S1449" s="186">
        <v>0.0</v>
      </c>
      <c r="T1449" s="186">
        <v>0.0</v>
      </c>
      <c r="U1449" s="187" t="s">
        <v>2412</v>
      </c>
      <c r="V1449" s="176">
        <v>46172.0</v>
      </c>
      <c r="W1449" s="175"/>
      <c r="X1449" s="175"/>
      <c r="Y1449" s="175"/>
      <c r="Z1449" s="175"/>
      <c r="AA1449" s="175"/>
      <c r="AB1449" s="175"/>
      <c r="AC1449" s="175"/>
      <c r="AD1449" s="175"/>
      <c r="AE1449" s="175"/>
      <c r="AF1449" s="175"/>
      <c r="AG1449" s="175"/>
      <c r="AH1449" s="175"/>
      <c r="AI1449" s="175"/>
    </row>
    <row r="1450">
      <c r="A1450" s="176">
        <v>46167.0</v>
      </c>
      <c r="B1450" s="177">
        <v>8605789.0</v>
      </c>
      <c r="C1450" s="178" t="s">
        <v>82</v>
      </c>
      <c r="D1450" s="178" t="s">
        <v>35</v>
      </c>
      <c r="E1450" s="177">
        <v>6.772701143E9</v>
      </c>
      <c r="F1450" s="178" t="s">
        <v>2415</v>
      </c>
      <c r="G1450" s="176">
        <v>46292.20833333333</v>
      </c>
      <c r="H1450" s="179">
        <v>46295.20833333333</v>
      </c>
      <c r="I1450" s="180">
        <v>3.0</v>
      </c>
      <c r="J1450" s="181" t="s">
        <v>111</v>
      </c>
      <c r="K1450" s="178" t="s">
        <v>79</v>
      </c>
      <c r="L1450" s="178" t="s">
        <v>80</v>
      </c>
      <c r="M1450" s="182">
        <v>2.0</v>
      </c>
      <c r="N1450" s="183">
        <v>0.19999999999999996</v>
      </c>
      <c r="O1450" s="184">
        <v>156.19</v>
      </c>
      <c r="P1450" s="184">
        <v>124.952</v>
      </c>
      <c r="Q1450" s="185">
        <v>0.0</v>
      </c>
      <c r="R1450" s="186">
        <v>374.856</v>
      </c>
      <c r="S1450" s="186">
        <v>0.0</v>
      </c>
      <c r="T1450" s="186">
        <v>967.14</v>
      </c>
      <c r="U1450" s="187" t="s">
        <v>107</v>
      </c>
      <c r="V1450" s="176">
        <v>46167.0</v>
      </c>
      <c r="W1450" s="175"/>
      <c r="X1450" s="175"/>
      <c r="Y1450" s="175"/>
      <c r="Z1450" s="175"/>
      <c r="AA1450" s="175"/>
      <c r="AB1450" s="175"/>
      <c r="AC1450" s="175"/>
      <c r="AD1450" s="175"/>
      <c r="AE1450" s="175"/>
      <c r="AF1450" s="175"/>
      <c r="AG1450" s="175"/>
      <c r="AH1450" s="175"/>
      <c r="AI1450" s="175"/>
    </row>
    <row r="1451">
      <c r="A1451" s="176">
        <v>46167.0</v>
      </c>
      <c r="B1451" s="177">
        <v>8605789.0</v>
      </c>
      <c r="C1451" s="178" t="s">
        <v>82</v>
      </c>
      <c r="D1451" s="178" t="s">
        <v>35</v>
      </c>
      <c r="E1451" s="177">
        <v>6.772701143E9</v>
      </c>
      <c r="F1451" s="178" t="s">
        <v>2415</v>
      </c>
      <c r="G1451" s="176">
        <v>46292.20833333333</v>
      </c>
      <c r="H1451" s="179">
        <v>46295.20833333333</v>
      </c>
      <c r="I1451" s="180">
        <v>3.0</v>
      </c>
      <c r="J1451" s="181" t="s">
        <v>111</v>
      </c>
      <c r="K1451" s="178" t="s">
        <v>79</v>
      </c>
      <c r="L1451" s="178" t="s">
        <v>80</v>
      </c>
      <c r="M1451" s="182">
        <v>2.0</v>
      </c>
      <c r="N1451" s="183">
        <v>0.19999999999999996</v>
      </c>
      <c r="O1451" s="184">
        <v>156.19</v>
      </c>
      <c r="P1451" s="184">
        <v>124.952</v>
      </c>
      <c r="Q1451" s="185">
        <v>0.0</v>
      </c>
      <c r="R1451" s="186">
        <v>374.856</v>
      </c>
      <c r="S1451" s="186">
        <v>0.0</v>
      </c>
      <c r="T1451" s="186">
        <v>967.14</v>
      </c>
      <c r="U1451" s="187" t="s">
        <v>107</v>
      </c>
      <c r="V1451" s="176">
        <v>46167.0</v>
      </c>
      <c r="W1451" s="175"/>
      <c r="X1451" s="175"/>
      <c r="Y1451" s="175"/>
      <c r="Z1451" s="175"/>
      <c r="AA1451" s="175"/>
      <c r="AB1451" s="175"/>
      <c r="AC1451" s="175"/>
      <c r="AD1451" s="175"/>
      <c r="AE1451" s="175"/>
      <c r="AF1451" s="175"/>
      <c r="AG1451" s="175"/>
      <c r="AH1451" s="175"/>
      <c r="AI1451" s="175"/>
    </row>
    <row r="1452">
      <c r="A1452" s="176">
        <v>46167.0</v>
      </c>
      <c r="B1452" s="177">
        <v>8605922.0</v>
      </c>
      <c r="C1452" s="178" t="s">
        <v>89</v>
      </c>
      <c r="D1452" s="178" t="s">
        <v>35</v>
      </c>
      <c r="E1452" s="177">
        <v>6.066138561E9</v>
      </c>
      <c r="F1452" s="178" t="s">
        <v>2420</v>
      </c>
      <c r="G1452" s="176">
        <v>46275.0</v>
      </c>
      <c r="H1452" s="179">
        <v>46279.0</v>
      </c>
      <c r="I1452" s="180">
        <v>4.0</v>
      </c>
      <c r="J1452" s="181" t="s">
        <v>111</v>
      </c>
      <c r="K1452" s="178" t="s">
        <v>79</v>
      </c>
      <c r="L1452" s="178" t="s">
        <v>80</v>
      </c>
      <c r="M1452" s="182">
        <v>0.0</v>
      </c>
      <c r="N1452" s="183">
        <v>0.0</v>
      </c>
      <c r="O1452" s="184">
        <v>0.0</v>
      </c>
      <c r="P1452" s="184">
        <v>0.0</v>
      </c>
      <c r="Q1452" s="185">
        <v>0.0</v>
      </c>
      <c r="R1452" s="186">
        <v>0.0</v>
      </c>
      <c r="S1452" s="186">
        <v>0.0</v>
      </c>
      <c r="T1452" s="186">
        <v>0.0</v>
      </c>
      <c r="U1452" s="187" t="s">
        <v>2421</v>
      </c>
      <c r="V1452" s="176">
        <v>46167.0</v>
      </c>
      <c r="W1452" s="175"/>
      <c r="X1452" s="175"/>
      <c r="Y1452" s="175"/>
      <c r="Z1452" s="175"/>
      <c r="AA1452" s="175"/>
      <c r="AB1452" s="175"/>
      <c r="AC1452" s="175"/>
      <c r="AD1452" s="175"/>
      <c r="AE1452" s="175"/>
      <c r="AF1452" s="175"/>
      <c r="AG1452" s="175"/>
      <c r="AH1452" s="175"/>
      <c r="AI1452" s="175"/>
    </row>
    <row r="1453">
      <c r="A1453" s="176">
        <v>46167.0</v>
      </c>
      <c r="B1453" s="177">
        <v>8607166.0</v>
      </c>
      <c r="C1453" s="178" t="s">
        <v>82</v>
      </c>
      <c r="D1453" s="178" t="s">
        <v>35</v>
      </c>
      <c r="E1453" s="177">
        <v>5.149990931E9</v>
      </c>
      <c r="F1453" s="178" t="s">
        <v>2425</v>
      </c>
      <c r="G1453" s="176">
        <v>46285.0</v>
      </c>
      <c r="H1453" s="179">
        <v>46290.20833333333</v>
      </c>
      <c r="I1453" s="180">
        <v>1.0</v>
      </c>
      <c r="J1453" s="181" t="s">
        <v>78</v>
      </c>
      <c r="K1453" s="178" t="s">
        <v>79</v>
      </c>
      <c r="L1453" s="178" t="s">
        <v>80</v>
      </c>
      <c r="M1453" s="182">
        <v>2.0</v>
      </c>
      <c r="N1453" s="183">
        <v>0.19999999999999996</v>
      </c>
      <c r="O1453" s="184">
        <v>120.84</v>
      </c>
      <c r="P1453" s="184">
        <v>96.67200000000001</v>
      </c>
      <c r="Q1453" s="185">
        <v>0.0</v>
      </c>
      <c r="R1453" s="186">
        <v>96.67200000000001</v>
      </c>
      <c r="S1453" s="186">
        <v>0.0</v>
      </c>
      <c r="T1453" s="186">
        <v>125.84</v>
      </c>
      <c r="U1453" s="187" t="s">
        <v>107</v>
      </c>
      <c r="V1453" s="176">
        <v>46167.0</v>
      </c>
      <c r="W1453" s="188"/>
      <c r="X1453" s="188"/>
      <c r="Y1453" s="188"/>
      <c r="Z1453" s="188"/>
      <c r="AA1453" s="188"/>
      <c r="AB1453" s="188"/>
      <c r="AC1453" s="188"/>
      <c r="AD1453" s="188"/>
      <c r="AE1453" s="188"/>
      <c r="AF1453" s="188"/>
      <c r="AG1453" s="188"/>
      <c r="AH1453" s="188"/>
      <c r="AI1453" s="188"/>
    </row>
    <row r="1454">
      <c r="A1454" s="176">
        <v>46167.0</v>
      </c>
      <c r="B1454" s="177">
        <v>8609265.0</v>
      </c>
      <c r="C1454" s="178" t="s">
        <v>82</v>
      </c>
      <c r="D1454" s="178" t="s">
        <v>35</v>
      </c>
      <c r="E1454" s="177">
        <v>6.096859772E9</v>
      </c>
      <c r="F1454" s="178" t="s">
        <v>2427</v>
      </c>
      <c r="G1454" s="176">
        <v>46303.20833333333</v>
      </c>
      <c r="H1454" s="179">
        <v>46307.20833333333</v>
      </c>
      <c r="I1454" s="180">
        <v>4.0</v>
      </c>
      <c r="J1454" s="181" t="s">
        <v>111</v>
      </c>
      <c r="K1454" s="178" t="s">
        <v>79</v>
      </c>
      <c r="L1454" s="178" t="s">
        <v>80</v>
      </c>
      <c r="M1454" s="182">
        <v>2.0</v>
      </c>
      <c r="N1454" s="183">
        <v>0.19999999999999996</v>
      </c>
      <c r="O1454" s="184">
        <v>174.3</v>
      </c>
      <c r="P1454" s="184">
        <v>139.44000000000003</v>
      </c>
      <c r="Q1454" s="185">
        <v>0.0</v>
      </c>
      <c r="R1454" s="186">
        <v>557.7600000000001</v>
      </c>
      <c r="S1454" s="186">
        <v>0.0</v>
      </c>
      <c r="T1454" s="186">
        <v>717.2</v>
      </c>
      <c r="U1454" s="187" t="s">
        <v>107</v>
      </c>
      <c r="V1454" s="176">
        <v>46167.0</v>
      </c>
      <c r="W1454" s="175"/>
      <c r="X1454" s="175"/>
      <c r="Y1454" s="175"/>
      <c r="Z1454" s="175"/>
      <c r="AA1454" s="175"/>
      <c r="AB1454" s="175"/>
      <c r="AC1454" s="175"/>
      <c r="AD1454" s="175"/>
      <c r="AE1454" s="175"/>
      <c r="AF1454" s="175"/>
      <c r="AG1454" s="175"/>
      <c r="AH1454" s="175"/>
      <c r="AI1454" s="175"/>
    </row>
    <row r="1455">
      <c r="A1455" s="176">
        <v>46167.0</v>
      </c>
      <c r="B1455" s="177">
        <v>8609868.0</v>
      </c>
      <c r="C1455" s="178" t="s">
        <v>82</v>
      </c>
      <c r="D1455" s="178" t="s">
        <v>35</v>
      </c>
      <c r="E1455" s="177">
        <v>6.579874456E9</v>
      </c>
      <c r="F1455" s="178" t="s">
        <v>2432</v>
      </c>
      <c r="G1455" s="176">
        <v>46323.20833333333</v>
      </c>
      <c r="H1455" s="179">
        <v>46324.20833333333</v>
      </c>
      <c r="I1455" s="180">
        <v>1.0</v>
      </c>
      <c r="J1455" s="181" t="s">
        <v>78</v>
      </c>
      <c r="K1455" s="178" t="s">
        <v>79</v>
      </c>
      <c r="L1455" s="178" t="s">
        <v>80</v>
      </c>
      <c r="M1455" s="182">
        <v>3.0</v>
      </c>
      <c r="N1455" s="183">
        <v>0.19999999999999996</v>
      </c>
      <c r="O1455" s="184">
        <v>175.34</v>
      </c>
      <c r="P1455" s="184">
        <v>140.27200000000002</v>
      </c>
      <c r="Q1455" s="185">
        <v>0.0</v>
      </c>
      <c r="R1455" s="186">
        <v>140.27200000000002</v>
      </c>
      <c r="S1455" s="186">
        <v>0.0</v>
      </c>
      <c r="T1455" s="186">
        <v>182.84</v>
      </c>
      <c r="U1455" s="187" t="s">
        <v>353</v>
      </c>
      <c r="V1455" s="176">
        <v>46167.0</v>
      </c>
      <c r="W1455" s="175"/>
      <c r="X1455" s="175"/>
      <c r="Y1455" s="175"/>
      <c r="Z1455" s="175"/>
      <c r="AA1455" s="175"/>
      <c r="AB1455" s="175"/>
      <c r="AC1455" s="175"/>
      <c r="AD1455" s="175"/>
      <c r="AE1455" s="175"/>
      <c r="AF1455" s="175"/>
      <c r="AG1455" s="175"/>
      <c r="AH1455" s="175"/>
      <c r="AI1455" s="175"/>
    </row>
    <row r="1456">
      <c r="A1456" s="176">
        <v>46168.0</v>
      </c>
      <c r="B1456" s="177">
        <v>8611859.0</v>
      </c>
      <c r="C1456" s="178" t="s">
        <v>82</v>
      </c>
      <c r="D1456" s="178" t="s">
        <v>94</v>
      </c>
      <c r="E1456" s="177">
        <v>8611859.0</v>
      </c>
      <c r="F1456" s="178" t="s">
        <v>1336</v>
      </c>
      <c r="G1456" s="176">
        <v>46168.0</v>
      </c>
      <c r="H1456" s="179">
        <v>46169.0</v>
      </c>
      <c r="I1456" s="180">
        <v>1.0</v>
      </c>
      <c r="J1456" s="181" t="s">
        <v>114</v>
      </c>
      <c r="K1456" s="178" t="s">
        <v>79</v>
      </c>
      <c r="L1456" s="178" t="s">
        <v>96</v>
      </c>
      <c r="M1456" s="182">
        <v>2.0</v>
      </c>
      <c r="N1456" s="183">
        <v>0.0</v>
      </c>
      <c r="O1456" s="184">
        <v>270.0</v>
      </c>
      <c r="P1456" s="184">
        <v>270.0</v>
      </c>
      <c r="Q1456" s="185">
        <v>0.0</v>
      </c>
      <c r="R1456" s="186">
        <v>270.0</v>
      </c>
      <c r="S1456" s="186">
        <v>0.0</v>
      </c>
      <c r="T1456" s="186">
        <v>275.0</v>
      </c>
      <c r="U1456" s="187" t="s">
        <v>97</v>
      </c>
      <c r="V1456" s="176">
        <v>46168.0</v>
      </c>
      <c r="W1456" s="175"/>
      <c r="X1456" s="175"/>
      <c r="Y1456" s="175"/>
      <c r="Z1456" s="175"/>
      <c r="AA1456" s="175"/>
      <c r="AB1456" s="175"/>
      <c r="AC1456" s="175"/>
      <c r="AD1456" s="175"/>
      <c r="AE1456" s="175"/>
      <c r="AF1456" s="175"/>
      <c r="AG1456" s="175"/>
      <c r="AH1456" s="175"/>
      <c r="AI1456" s="175"/>
    </row>
    <row r="1457">
      <c r="A1457" s="176">
        <v>46168.0</v>
      </c>
      <c r="B1457" s="177">
        <v>8612784.0</v>
      </c>
      <c r="C1457" s="178" t="s">
        <v>82</v>
      </c>
      <c r="D1457" s="178" t="s">
        <v>35</v>
      </c>
      <c r="E1457" s="177">
        <v>5.149939911E9</v>
      </c>
      <c r="F1457" s="178" t="s">
        <v>2441</v>
      </c>
      <c r="G1457" s="176">
        <v>46365.20833333333</v>
      </c>
      <c r="H1457" s="179">
        <v>46368.20833333333</v>
      </c>
      <c r="I1457" s="180">
        <v>3.0</v>
      </c>
      <c r="J1457" s="181" t="s">
        <v>87</v>
      </c>
      <c r="K1457" s="178" t="s">
        <v>79</v>
      </c>
      <c r="L1457" s="178" t="s">
        <v>80</v>
      </c>
      <c r="M1457" s="182">
        <v>2.0</v>
      </c>
      <c r="N1457" s="183">
        <v>0.19999999999999996</v>
      </c>
      <c r="O1457" s="184">
        <v>155.72</v>
      </c>
      <c r="P1457" s="184">
        <v>124.57600000000001</v>
      </c>
      <c r="Q1457" s="185">
        <v>0.0</v>
      </c>
      <c r="R1457" s="186">
        <v>373.728</v>
      </c>
      <c r="S1457" s="186">
        <v>0.0</v>
      </c>
      <c r="T1457" s="186">
        <v>467.16</v>
      </c>
      <c r="U1457" s="187" t="s">
        <v>353</v>
      </c>
      <c r="V1457" s="176">
        <v>46168.0</v>
      </c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</row>
    <row r="1458">
      <c r="A1458" s="176">
        <v>46168.0</v>
      </c>
      <c r="B1458" s="177">
        <v>8612873.0</v>
      </c>
      <c r="C1458" s="178" t="s">
        <v>82</v>
      </c>
      <c r="D1458" s="178" t="s">
        <v>35</v>
      </c>
      <c r="E1458" s="177">
        <v>6.952647909E9</v>
      </c>
      <c r="F1458" s="178" t="s">
        <v>2444</v>
      </c>
      <c r="G1458" s="176">
        <v>46224.0</v>
      </c>
      <c r="H1458" s="179">
        <v>46226.0</v>
      </c>
      <c r="I1458" s="180">
        <v>2.0</v>
      </c>
      <c r="J1458" s="181" t="s">
        <v>78</v>
      </c>
      <c r="K1458" s="178" t="s">
        <v>79</v>
      </c>
      <c r="L1458" s="178" t="s">
        <v>80</v>
      </c>
      <c r="M1458" s="182">
        <v>2.0</v>
      </c>
      <c r="N1458" s="183">
        <v>0.19999999999999996</v>
      </c>
      <c r="O1458" s="184">
        <v>111.41</v>
      </c>
      <c r="P1458" s="184">
        <v>89.128</v>
      </c>
      <c r="Q1458" s="185">
        <v>0.0</v>
      </c>
      <c r="R1458" s="186">
        <v>178.256</v>
      </c>
      <c r="S1458" s="186">
        <v>0.0</v>
      </c>
      <c r="T1458" s="186">
        <v>232.82</v>
      </c>
      <c r="U1458" s="187" t="s">
        <v>107</v>
      </c>
      <c r="V1458" s="176">
        <v>46168.0</v>
      </c>
      <c r="W1458" s="175"/>
      <c r="X1458" s="175"/>
      <c r="Y1458" s="175"/>
      <c r="Z1458" s="175"/>
      <c r="AA1458" s="175"/>
      <c r="AB1458" s="175"/>
      <c r="AC1458" s="175"/>
      <c r="AD1458" s="175"/>
      <c r="AE1458" s="175"/>
      <c r="AF1458" s="175"/>
      <c r="AG1458" s="175"/>
      <c r="AH1458" s="175"/>
      <c r="AI1458" s="175"/>
    </row>
    <row r="1459">
      <c r="A1459" s="176">
        <v>46168.0</v>
      </c>
      <c r="B1459" s="177">
        <v>8614382.0</v>
      </c>
      <c r="C1459" s="178" t="s">
        <v>75</v>
      </c>
      <c r="D1459" s="178" t="s">
        <v>35</v>
      </c>
      <c r="E1459" s="177">
        <v>5.284463468E9</v>
      </c>
      <c r="F1459" s="178" t="s">
        <v>2451</v>
      </c>
      <c r="G1459" s="176">
        <v>46343.20833333333</v>
      </c>
      <c r="H1459" s="179">
        <v>46346.20833333333</v>
      </c>
      <c r="I1459" s="180">
        <v>3.0</v>
      </c>
      <c r="J1459" s="181" t="s">
        <v>78</v>
      </c>
      <c r="K1459" s="178" t="s">
        <v>79</v>
      </c>
      <c r="L1459" s="178" t="s">
        <v>80</v>
      </c>
      <c r="M1459" s="182">
        <v>2.0</v>
      </c>
      <c r="N1459" s="183">
        <v>0.19999999999999996</v>
      </c>
      <c r="O1459" s="184">
        <v>137.03</v>
      </c>
      <c r="P1459" s="184">
        <v>109.62400000000001</v>
      </c>
      <c r="Q1459" s="185">
        <v>0.0</v>
      </c>
      <c r="R1459" s="186">
        <v>328.872</v>
      </c>
      <c r="S1459" s="186">
        <v>0.0</v>
      </c>
      <c r="T1459" s="186">
        <v>411.09</v>
      </c>
      <c r="U1459" s="187" t="s">
        <v>2455</v>
      </c>
      <c r="V1459" s="176">
        <v>46168.0</v>
      </c>
      <c r="W1459" s="164"/>
      <c r="X1459" s="164"/>
      <c r="Y1459" s="164"/>
      <c r="Z1459" s="164"/>
      <c r="AA1459" s="164"/>
      <c r="AB1459" s="164"/>
      <c r="AC1459" s="164"/>
      <c r="AD1459" s="164"/>
      <c r="AE1459" s="164"/>
      <c r="AF1459" s="164"/>
      <c r="AG1459" s="164"/>
      <c r="AH1459" s="164"/>
      <c r="AI1459" s="164"/>
    </row>
    <row r="1460">
      <c r="A1460" s="176">
        <v>46168.0</v>
      </c>
      <c r="B1460" s="177">
        <v>8614478.0</v>
      </c>
      <c r="C1460" s="178" t="s">
        <v>82</v>
      </c>
      <c r="D1460" s="178" t="s">
        <v>36</v>
      </c>
      <c r="E1460" s="177">
        <v>8614478.0</v>
      </c>
      <c r="F1460" s="178" t="s">
        <v>2458</v>
      </c>
      <c r="G1460" s="176">
        <v>46340.20833333333</v>
      </c>
      <c r="H1460" s="179">
        <v>46341.20833333333</v>
      </c>
      <c r="I1460" s="180">
        <v>1.0</v>
      </c>
      <c r="J1460" s="181" t="s">
        <v>78</v>
      </c>
      <c r="K1460" s="178" t="s">
        <v>79</v>
      </c>
      <c r="L1460" s="178" t="s">
        <v>96</v>
      </c>
      <c r="M1460" s="182">
        <v>2.0</v>
      </c>
      <c r="N1460" s="183">
        <v>0.0</v>
      </c>
      <c r="O1460" s="184">
        <v>162.63</v>
      </c>
      <c r="P1460" s="184">
        <v>161.00369999999998</v>
      </c>
      <c r="Q1460" s="185">
        <v>0.0</v>
      </c>
      <c r="R1460" s="186">
        <v>161.00369999999998</v>
      </c>
      <c r="S1460" s="186">
        <v>0.0</v>
      </c>
      <c r="T1460" s="186">
        <v>167.63</v>
      </c>
      <c r="U1460" s="187" t="s">
        <v>97</v>
      </c>
      <c r="V1460" s="176">
        <v>46168.0</v>
      </c>
      <c r="W1460" s="175"/>
      <c r="X1460" s="175"/>
      <c r="Y1460" s="175"/>
      <c r="Z1460" s="175"/>
      <c r="AA1460" s="175"/>
      <c r="AB1460" s="175"/>
      <c r="AC1460" s="175"/>
      <c r="AD1460" s="175"/>
      <c r="AE1460" s="175"/>
      <c r="AF1460" s="175"/>
      <c r="AG1460" s="175"/>
      <c r="AH1460" s="175"/>
      <c r="AI1460" s="175"/>
    </row>
    <row r="1461">
      <c r="A1461" s="176">
        <v>46169.0</v>
      </c>
      <c r="B1461" s="177">
        <v>8618700.0</v>
      </c>
      <c r="C1461" s="178" t="s">
        <v>89</v>
      </c>
      <c r="D1461" s="178" t="s">
        <v>35</v>
      </c>
      <c r="E1461" s="177">
        <v>6.207050034E9</v>
      </c>
      <c r="F1461" s="178" t="s">
        <v>2463</v>
      </c>
      <c r="G1461" s="176">
        <v>46281.0</v>
      </c>
      <c r="H1461" s="179">
        <v>46284.0</v>
      </c>
      <c r="I1461" s="180">
        <v>3.0</v>
      </c>
      <c r="J1461" s="181" t="s">
        <v>114</v>
      </c>
      <c r="K1461" s="178" t="s">
        <v>79</v>
      </c>
      <c r="L1461" s="178" t="s">
        <v>80</v>
      </c>
      <c r="M1461" s="182">
        <v>0.0</v>
      </c>
      <c r="N1461" s="183">
        <v>0.0</v>
      </c>
      <c r="O1461" s="184">
        <v>0.0</v>
      </c>
      <c r="P1461" s="184">
        <v>0.0</v>
      </c>
      <c r="Q1461" s="185">
        <v>0.0</v>
      </c>
      <c r="R1461" s="186">
        <v>0.0</v>
      </c>
      <c r="S1461" s="186">
        <v>0.0</v>
      </c>
      <c r="T1461" s="186">
        <v>0.0</v>
      </c>
      <c r="U1461" s="187" t="s">
        <v>2465</v>
      </c>
      <c r="V1461" s="176">
        <v>46172.0</v>
      </c>
      <c r="W1461" s="175"/>
      <c r="X1461" s="175"/>
      <c r="Y1461" s="175"/>
      <c r="Z1461" s="175"/>
      <c r="AA1461" s="175"/>
      <c r="AB1461" s="175"/>
      <c r="AC1461" s="175"/>
      <c r="AD1461" s="175"/>
      <c r="AE1461" s="175"/>
      <c r="AF1461" s="175"/>
      <c r="AG1461" s="175"/>
      <c r="AH1461" s="175"/>
      <c r="AI1461" s="175"/>
    </row>
    <row r="1462">
      <c r="A1462" s="176">
        <v>46169.0</v>
      </c>
      <c r="B1462" s="177">
        <v>8619201.0</v>
      </c>
      <c r="C1462" s="178" t="s">
        <v>82</v>
      </c>
      <c r="D1462" s="178" t="s">
        <v>35</v>
      </c>
      <c r="E1462" s="177">
        <v>5.951801378E9</v>
      </c>
      <c r="F1462" s="178" t="s">
        <v>2467</v>
      </c>
      <c r="G1462" s="176">
        <v>46193.0</v>
      </c>
      <c r="H1462" s="179">
        <v>46194.0</v>
      </c>
      <c r="I1462" s="180">
        <v>1.0</v>
      </c>
      <c r="J1462" s="181" t="s">
        <v>114</v>
      </c>
      <c r="K1462" s="178" t="s">
        <v>79</v>
      </c>
      <c r="L1462" s="178" t="s">
        <v>80</v>
      </c>
      <c r="M1462" s="182">
        <v>1.0</v>
      </c>
      <c r="N1462" s="183">
        <v>0.19999999999999996</v>
      </c>
      <c r="O1462" s="184">
        <v>133.2</v>
      </c>
      <c r="P1462" s="184">
        <v>106.56</v>
      </c>
      <c r="Q1462" s="185">
        <v>0.0</v>
      </c>
      <c r="R1462" s="186">
        <v>106.56</v>
      </c>
      <c r="S1462" s="186">
        <v>0.0</v>
      </c>
      <c r="T1462" s="186">
        <v>135.7</v>
      </c>
      <c r="U1462" s="187" t="s">
        <v>143</v>
      </c>
      <c r="V1462" s="176">
        <v>46169.0</v>
      </c>
      <c r="W1462" s="175"/>
      <c r="X1462" s="175"/>
      <c r="Y1462" s="175"/>
      <c r="Z1462" s="175"/>
      <c r="AA1462" s="175"/>
      <c r="AB1462" s="175"/>
      <c r="AC1462" s="175"/>
      <c r="AD1462" s="175"/>
      <c r="AE1462" s="175"/>
      <c r="AF1462" s="175"/>
      <c r="AG1462" s="175"/>
      <c r="AH1462" s="175"/>
      <c r="AI1462" s="175"/>
    </row>
    <row r="1463">
      <c r="A1463" s="176">
        <v>46170.0</v>
      </c>
      <c r="B1463" s="177">
        <v>8619258.0</v>
      </c>
      <c r="C1463" s="178" t="s">
        <v>82</v>
      </c>
      <c r="D1463" s="178" t="s">
        <v>2325</v>
      </c>
      <c r="E1463" s="177" t="s">
        <v>2472</v>
      </c>
      <c r="F1463" s="178" t="s">
        <v>2473</v>
      </c>
      <c r="G1463" s="176">
        <v>46298.20833333333</v>
      </c>
      <c r="H1463" s="179">
        <v>46299.20833333333</v>
      </c>
      <c r="I1463" s="180">
        <v>1.0</v>
      </c>
      <c r="J1463" s="181" t="s">
        <v>91</v>
      </c>
      <c r="K1463" s="178" t="s">
        <v>79</v>
      </c>
      <c r="L1463" s="178" t="s">
        <v>80</v>
      </c>
      <c r="M1463" s="182">
        <v>4.0</v>
      </c>
      <c r="N1463" s="183">
        <v>0.0</v>
      </c>
      <c r="O1463" s="184">
        <v>0.0</v>
      </c>
      <c r="P1463" s="184">
        <v>254.26049999999998</v>
      </c>
      <c r="Q1463" s="185">
        <v>0.0</v>
      </c>
      <c r="R1463" s="186">
        <v>299.13</v>
      </c>
      <c r="S1463" s="186">
        <v>0.0</v>
      </c>
      <c r="T1463" s="186">
        <v>0.0</v>
      </c>
      <c r="U1463" s="187" t="s">
        <v>2476</v>
      </c>
      <c r="V1463" s="176">
        <v>46170.0</v>
      </c>
      <c r="W1463" s="175"/>
      <c r="X1463" s="175"/>
      <c r="Y1463" s="175"/>
      <c r="Z1463" s="175"/>
      <c r="AA1463" s="175"/>
      <c r="AB1463" s="175"/>
      <c r="AC1463" s="175"/>
      <c r="AD1463" s="175"/>
      <c r="AE1463" s="175"/>
      <c r="AF1463" s="175"/>
      <c r="AG1463" s="175"/>
      <c r="AH1463" s="175"/>
      <c r="AI1463" s="175"/>
    </row>
    <row r="1464">
      <c r="A1464" s="176">
        <v>46170.0</v>
      </c>
      <c r="B1464" s="177">
        <v>8619257.0</v>
      </c>
      <c r="C1464" s="178" t="s">
        <v>82</v>
      </c>
      <c r="D1464" s="178" t="s">
        <v>2325</v>
      </c>
      <c r="E1464" s="177" t="s">
        <v>2477</v>
      </c>
      <c r="F1464" s="178" t="s">
        <v>2478</v>
      </c>
      <c r="G1464" s="176">
        <v>46298.20833333333</v>
      </c>
      <c r="H1464" s="179">
        <v>46299.20833333333</v>
      </c>
      <c r="I1464" s="180">
        <v>1.0</v>
      </c>
      <c r="J1464" s="181" t="s">
        <v>78</v>
      </c>
      <c r="K1464" s="178" t="s">
        <v>79</v>
      </c>
      <c r="L1464" s="178" t="s">
        <v>80</v>
      </c>
      <c r="M1464" s="182">
        <v>2.0</v>
      </c>
      <c r="N1464" s="183">
        <v>0.0</v>
      </c>
      <c r="O1464" s="184">
        <v>0.0</v>
      </c>
      <c r="P1464" s="184">
        <v>105.3915</v>
      </c>
      <c r="Q1464" s="185">
        <v>0.0</v>
      </c>
      <c r="R1464" s="186">
        <v>123.99</v>
      </c>
      <c r="S1464" s="186">
        <v>0.0</v>
      </c>
      <c r="T1464" s="186">
        <v>0.0</v>
      </c>
      <c r="U1464" s="187" t="s">
        <v>2476</v>
      </c>
      <c r="V1464" s="176">
        <v>46170.0</v>
      </c>
      <c r="W1464" s="175"/>
      <c r="X1464" s="175"/>
      <c r="Y1464" s="175"/>
      <c r="Z1464" s="175"/>
      <c r="AA1464" s="175"/>
      <c r="AB1464" s="175"/>
      <c r="AC1464" s="175"/>
      <c r="AD1464" s="175"/>
      <c r="AE1464" s="175"/>
      <c r="AF1464" s="175"/>
      <c r="AG1464" s="175"/>
      <c r="AH1464" s="175"/>
      <c r="AI1464" s="175"/>
    </row>
    <row r="1465">
      <c r="A1465" s="176">
        <v>46170.0</v>
      </c>
      <c r="B1465" s="177">
        <v>8619257.0</v>
      </c>
      <c r="C1465" s="178" t="s">
        <v>82</v>
      </c>
      <c r="D1465" s="178" t="s">
        <v>2325</v>
      </c>
      <c r="E1465" s="177" t="s">
        <v>2477</v>
      </c>
      <c r="F1465" s="178" t="s">
        <v>2478</v>
      </c>
      <c r="G1465" s="176">
        <v>46298.20833333333</v>
      </c>
      <c r="H1465" s="179">
        <v>46299.20833333333</v>
      </c>
      <c r="I1465" s="180">
        <v>1.0</v>
      </c>
      <c r="J1465" s="181" t="s">
        <v>78</v>
      </c>
      <c r="K1465" s="178" t="s">
        <v>79</v>
      </c>
      <c r="L1465" s="178" t="s">
        <v>80</v>
      </c>
      <c r="M1465" s="182">
        <v>2.0</v>
      </c>
      <c r="N1465" s="183">
        <v>0.0</v>
      </c>
      <c r="O1465" s="184">
        <v>0.0</v>
      </c>
      <c r="P1465" s="184">
        <v>105.3915</v>
      </c>
      <c r="Q1465" s="185">
        <v>0.0</v>
      </c>
      <c r="R1465" s="186">
        <v>123.99</v>
      </c>
      <c r="S1465" s="186">
        <v>0.0</v>
      </c>
      <c r="T1465" s="186">
        <v>0.0</v>
      </c>
      <c r="U1465" s="187" t="s">
        <v>2476</v>
      </c>
      <c r="V1465" s="176">
        <v>46170.0</v>
      </c>
      <c r="W1465" s="188"/>
      <c r="X1465" s="188"/>
      <c r="Y1465" s="188"/>
      <c r="Z1465" s="188"/>
      <c r="AA1465" s="188"/>
      <c r="AB1465" s="188"/>
      <c r="AC1465" s="188"/>
      <c r="AD1465" s="188"/>
      <c r="AE1465" s="188"/>
      <c r="AF1465" s="188"/>
      <c r="AG1465" s="188"/>
      <c r="AH1465" s="188"/>
      <c r="AI1465" s="188"/>
    </row>
    <row r="1466">
      <c r="A1466" s="176">
        <v>46170.0</v>
      </c>
      <c r="B1466" s="177">
        <v>8619260.0</v>
      </c>
      <c r="C1466" s="178" t="s">
        <v>82</v>
      </c>
      <c r="D1466" s="178" t="s">
        <v>101</v>
      </c>
      <c r="E1466" s="177">
        <v>2.470556543E9</v>
      </c>
      <c r="F1466" s="178" t="s">
        <v>2487</v>
      </c>
      <c r="G1466" s="176">
        <v>46298.20833333333</v>
      </c>
      <c r="H1466" s="179">
        <v>46299.20833333333</v>
      </c>
      <c r="I1466" s="180">
        <v>1.0</v>
      </c>
      <c r="J1466" s="181" t="s">
        <v>78</v>
      </c>
      <c r="K1466" s="178" t="s">
        <v>79</v>
      </c>
      <c r="L1466" s="178" t="s">
        <v>103</v>
      </c>
      <c r="M1466" s="182">
        <v>2.0</v>
      </c>
      <c r="N1466" s="183">
        <v>0.0</v>
      </c>
      <c r="O1466" s="184">
        <v>181.44</v>
      </c>
      <c r="P1466" s="184">
        <v>145.15200000000002</v>
      </c>
      <c r="Q1466" s="185">
        <v>0.0</v>
      </c>
      <c r="R1466" s="186">
        <v>145.15200000000002</v>
      </c>
      <c r="S1466" s="186">
        <v>0.0</v>
      </c>
      <c r="T1466" s="186">
        <v>181.44</v>
      </c>
      <c r="U1466" s="187" t="s">
        <v>104</v>
      </c>
      <c r="V1466" s="176">
        <v>46170.0</v>
      </c>
      <c r="W1466" s="188"/>
      <c r="X1466" s="188"/>
      <c r="Y1466" s="188"/>
      <c r="Z1466" s="188"/>
      <c r="AA1466" s="188"/>
      <c r="AB1466" s="188"/>
      <c r="AC1466" s="188"/>
      <c r="AD1466" s="188"/>
      <c r="AE1466" s="188"/>
      <c r="AF1466" s="188"/>
      <c r="AG1466" s="188"/>
      <c r="AH1466" s="188"/>
      <c r="AI1466" s="188"/>
    </row>
    <row r="1467">
      <c r="A1467" s="176">
        <v>46170.0</v>
      </c>
      <c r="B1467" s="177">
        <v>8622676.0</v>
      </c>
      <c r="C1467" s="178" t="s">
        <v>82</v>
      </c>
      <c r="D1467" s="178" t="s">
        <v>35</v>
      </c>
      <c r="E1467" s="177">
        <v>5.923612618E9</v>
      </c>
      <c r="F1467" s="178" t="s">
        <v>2494</v>
      </c>
      <c r="G1467" s="176">
        <v>46265.0</v>
      </c>
      <c r="H1467" s="179">
        <v>46269.0</v>
      </c>
      <c r="I1467" s="180">
        <v>4.0</v>
      </c>
      <c r="J1467" s="181" t="s">
        <v>78</v>
      </c>
      <c r="K1467" s="178" t="s">
        <v>79</v>
      </c>
      <c r="L1467" s="178" t="s">
        <v>80</v>
      </c>
      <c r="M1467" s="182">
        <v>2.0</v>
      </c>
      <c r="N1467" s="183">
        <v>0.19999999999999996</v>
      </c>
      <c r="O1467" s="184">
        <v>113.14</v>
      </c>
      <c r="P1467" s="184">
        <v>90.512</v>
      </c>
      <c r="Q1467" s="185">
        <v>0.0</v>
      </c>
      <c r="R1467" s="186">
        <v>362.048</v>
      </c>
      <c r="S1467" s="186">
        <v>0.0</v>
      </c>
      <c r="T1467" s="186">
        <v>472.56</v>
      </c>
      <c r="U1467" s="187" t="s">
        <v>107</v>
      </c>
      <c r="V1467" s="176">
        <v>46170.0</v>
      </c>
      <c r="W1467" s="175"/>
      <c r="X1467" s="175"/>
      <c r="Y1467" s="175"/>
      <c r="Z1467" s="175"/>
      <c r="AA1467" s="175"/>
      <c r="AB1467" s="175"/>
      <c r="AC1467" s="175"/>
      <c r="AD1467" s="175"/>
      <c r="AE1467" s="175"/>
      <c r="AF1467" s="175"/>
      <c r="AG1467" s="175"/>
      <c r="AH1467" s="175"/>
      <c r="AI1467" s="175"/>
    </row>
    <row r="1468">
      <c r="A1468" s="176">
        <v>46171.0</v>
      </c>
      <c r="B1468" s="177">
        <v>8624977.0</v>
      </c>
      <c r="C1468" s="178" t="s">
        <v>82</v>
      </c>
      <c r="D1468" s="178" t="s">
        <v>35</v>
      </c>
      <c r="E1468" s="177">
        <v>5.391166625E9</v>
      </c>
      <c r="F1468" s="178" t="s">
        <v>2502</v>
      </c>
      <c r="G1468" s="176">
        <v>46291.20833333333</v>
      </c>
      <c r="H1468" s="179">
        <v>46295.20833333333</v>
      </c>
      <c r="I1468" s="180">
        <v>4.0</v>
      </c>
      <c r="J1468" s="181" t="s">
        <v>78</v>
      </c>
      <c r="K1468" s="178" t="s">
        <v>79</v>
      </c>
      <c r="L1468" s="178" t="s">
        <v>80</v>
      </c>
      <c r="M1468" s="182">
        <v>2.0</v>
      </c>
      <c r="N1468" s="183">
        <v>0.19999999999999996</v>
      </c>
      <c r="O1468" s="184">
        <v>138.71</v>
      </c>
      <c r="P1468" s="184">
        <v>110.96800000000002</v>
      </c>
      <c r="Q1468" s="185">
        <v>0.0</v>
      </c>
      <c r="R1468" s="186">
        <v>443.87200000000007</v>
      </c>
      <c r="S1468" s="186">
        <v>0.0</v>
      </c>
      <c r="T1468" s="186">
        <v>574.84</v>
      </c>
      <c r="U1468" s="187" t="s">
        <v>143</v>
      </c>
      <c r="V1468" s="176">
        <v>46171.0</v>
      </c>
      <c r="W1468" s="175"/>
      <c r="X1468" s="175"/>
      <c r="Y1468" s="175"/>
      <c r="Z1468" s="175"/>
      <c r="AA1468" s="175"/>
      <c r="AB1468" s="175"/>
      <c r="AC1468" s="175"/>
      <c r="AD1468" s="175"/>
      <c r="AE1468" s="175"/>
      <c r="AF1468" s="175"/>
      <c r="AG1468" s="175"/>
      <c r="AH1468" s="175"/>
      <c r="AI1468" s="175"/>
    </row>
    <row r="1469">
      <c r="A1469" s="176">
        <v>46171.0</v>
      </c>
      <c r="B1469" s="177">
        <v>8625904.0</v>
      </c>
      <c r="C1469" s="178" t="s">
        <v>82</v>
      </c>
      <c r="D1469" s="178" t="s">
        <v>35</v>
      </c>
      <c r="E1469" s="177">
        <v>6.319792383E9</v>
      </c>
      <c r="F1469" s="178" t="s">
        <v>2509</v>
      </c>
      <c r="G1469" s="176">
        <v>46273.0</v>
      </c>
      <c r="H1469" s="179">
        <v>46277.0</v>
      </c>
      <c r="I1469" s="180">
        <v>4.0</v>
      </c>
      <c r="J1469" s="181" t="s">
        <v>78</v>
      </c>
      <c r="K1469" s="178" t="s">
        <v>79</v>
      </c>
      <c r="L1469" s="178" t="s">
        <v>80</v>
      </c>
      <c r="M1469" s="182">
        <v>2.0</v>
      </c>
      <c r="N1469" s="183">
        <v>0.19999999999999996</v>
      </c>
      <c r="O1469" s="184">
        <v>138.8</v>
      </c>
      <c r="P1469" s="184">
        <v>111.04000000000002</v>
      </c>
      <c r="Q1469" s="185">
        <v>0.0</v>
      </c>
      <c r="R1469" s="186">
        <v>444.1600000000001</v>
      </c>
      <c r="S1469" s="186">
        <v>0.0</v>
      </c>
      <c r="T1469" s="186">
        <v>575.2</v>
      </c>
      <c r="U1469" s="187" t="s">
        <v>107</v>
      </c>
      <c r="V1469" s="176">
        <v>46171.0</v>
      </c>
      <c r="W1469" s="164"/>
      <c r="X1469" s="164"/>
      <c r="Y1469" s="164"/>
      <c r="Z1469" s="164"/>
      <c r="AA1469" s="164"/>
      <c r="AB1469" s="164"/>
      <c r="AC1469" s="164"/>
      <c r="AD1469" s="164"/>
      <c r="AE1469" s="164"/>
      <c r="AF1469" s="164"/>
      <c r="AG1469" s="164"/>
      <c r="AH1469" s="164"/>
      <c r="AI1469" s="164"/>
    </row>
    <row r="1470">
      <c r="A1470" s="176">
        <v>46171.0</v>
      </c>
      <c r="B1470" s="177">
        <v>8626015.0</v>
      </c>
      <c r="C1470" s="178" t="s">
        <v>82</v>
      </c>
      <c r="D1470" s="178" t="s">
        <v>35</v>
      </c>
      <c r="E1470" s="177">
        <v>6.719160786E9</v>
      </c>
      <c r="F1470" s="178" t="s">
        <v>2516</v>
      </c>
      <c r="G1470" s="176">
        <v>46271.0</v>
      </c>
      <c r="H1470" s="179">
        <v>46274.0</v>
      </c>
      <c r="I1470" s="180">
        <v>3.0</v>
      </c>
      <c r="J1470" s="181" t="s">
        <v>114</v>
      </c>
      <c r="K1470" s="178" t="s">
        <v>79</v>
      </c>
      <c r="L1470" s="178" t="s">
        <v>80</v>
      </c>
      <c r="M1470" s="182">
        <v>2.0</v>
      </c>
      <c r="N1470" s="183">
        <v>0.19999999999999996</v>
      </c>
      <c r="O1470" s="184">
        <v>137.03</v>
      </c>
      <c r="P1470" s="184">
        <v>109.62400000000001</v>
      </c>
      <c r="Q1470" s="185">
        <v>0.0</v>
      </c>
      <c r="R1470" s="186">
        <v>328.872</v>
      </c>
      <c r="S1470" s="186">
        <v>0.0</v>
      </c>
      <c r="T1470" s="186">
        <v>411.09</v>
      </c>
      <c r="U1470" s="187" t="s">
        <v>107</v>
      </c>
      <c r="V1470" s="176">
        <v>46171.0</v>
      </c>
      <c r="W1470" s="175"/>
      <c r="X1470" s="175"/>
      <c r="Y1470" s="175"/>
      <c r="Z1470" s="175"/>
      <c r="AA1470" s="175"/>
      <c r="AB1470" s="175"/>
      <c r="AC1470" s="175"/>
      <c r="AD1470" s="175"/>
      <c r="AE1470" s="175"/>
      <c r="AF1470" s="175"/>
      <c r="AG1470" s="175"/>
      <c r="AH1470" s="175"/>
      <c r="AI1470" s="175"/>
    </row>
    <row r="1471">
      <c r="A1471" s="176">
        <v>46171.0</v>
      </c>
      <c r="B1471" s="177">
        <v>8626036.0</v>
      </c>
      <c r="C1471" s="178" t="s">
        <v>82</v>
      </c>
      <c r="D1471" s="178" t="s">
        <v>35</v>
      </c>
      <c r="E1471" s="177">
        <v>5.835512536E9</v>
      </c>
      <c r="F1471" s="178" t="s">
        <v>2520</v>
      </c>
      <c r="G1471" s="176">
        <v>46266.0</v>
      </c>
      <c r="H1471" s="179">
        <v>46268.0</v>
      </c>
      <c r="I1471" s="180">
        <v>2.0</v>
      </c>
      <c r="J1471" s="181" t="s">
        <v>78</v>
      </c>
      <c r="K1471" s="178" t="s">
        <v>79</v>
      </c>
      <c r="L1471" s="178" t="s">
        <v>80</v>
      </c>
      <c r="M1471" s="182">
        <v>3.0</v>
      </c>
      <c r="N1471" s="183">
        <v>0.19999999999999996</v>
      </c>
      <c r="O1471" s="184">
        <v>156.48</v>
      </c>
      <c r="P1471" s="184">
        <v>125.184</v>
      </c>
      <c r="Q1471" s="185">
        <v>0.0</v>
      </c>
      <c r="R1471" s="186">
        <v>250.368</v>
      </c>
      <c r="S1471" s="186">
        <v>0.0</v>
      </c>
      <c r="T1471" s="186">
        <v>729.0</v>
      </c>
      <c r="U1471" s="187" t="s">
        <v>1367</v>
      </c>
      <c r="V1471" s="176">
        <v>46171.0</v>
      </c>
      <c r="W1471" s="175"/>
      <c r="X1471" s="175"/>
      <c r="Y1471" s="175"/>
      <c r="Z1471" s="175"/>
      <c r="AA1471" s="175"/>
      <c r="AB1471" s="175"/>
      <c r="AC1471" s="175"/>
      <c r="AD1471" s="175"/>
      <c r="AE1471" s="175"/>
      <c r="AF1471" s="175"/>
      <c r="AG1471" s="175"/>
      <c r="AH1471" s="175"/>
      <c r="AI1471" s="175"/>
    </row>
    <row r="1472">
      <c r="A1472" s="176">
        <v>46171.0</v>
      </c>
      <c r="B1472" s="177">
        <v>8626036.0</v>
      </c>
      <c r="C1472" s="178" t="s">
        <v>82</v>
      </c>
      <c r="D1472" s="178" t="s">
        <v>35</v>
      </c>
      <c r="E1472" s="177">
        <v>5.835512536E9</v>
      </c>
      <c r="F1472" s="178" t="s">
        <v>2520</v>
      </c>
      <c r="G1472" s="176">
        <v>46266.0</v>
      </c>
      <c r="H1472" s="179">
        <v>46268.0</v>
      </c>
      <c r="I1472" s="180">
        <v>2.0</v>
      </c>
      <c r="J1472" s="181" t="s">
        <v>111</v>
      </c>
      <c r="K1472" s="178" t="s">
        <v>79</v>
      </c>
      <c r="L1472" s="178" t="s">
        <v>80</v>
      </c>
      <c r="M1472" s="182">
        <v>2.0</v>
      </c>
      <c r="N1472" s="183">
        <v>0.19999999999999996</v>
      </c>
      <c r="O1472" s="184">
        <v>195.52</v>
      </c>
      <c r="P1472" s="184">
        <v>156.41600000000003</v>
      </c>
      <c r="Q1472" s="185">
        <v>0.0</v>
      </c>
      <c r="R1472" s="186">
        <v>312.83200000000005</v>
      </c>
      <c r="S1472" s="186">
        <v>0.0</v>
      </c>
      <c r="T1472" s="186">
        <v>729.0</v>
      </c>
      <c r="U1472" s="187" t="s">
        <v>1367</v>
      </c>
      <c r="V1472" s="176">
        <v>46171.0</v>
      </c>
      <c r="W1472" s="164"/>
      <c r="X1472" s="164"/>
      <c r="Y1472" s="164"/>
      <c r="Z1472" s="164"/>
      <c r="AA1472" s="164"/>
      <c r="AB1472" s="164"/>
      <c r="AC1472" s="164"/>
      <c r="AD1472" s="164"/>
      <c r="AE1472" s="164"/>
      <c r="AF1472" s="164"/>
      <c r="AG1472" s="164"/>
      <c r="AH1472" s="164"/>
      <c r="AI1472" s="164"/>
    </row>
    <row r="1473">
      <c r="A1473" s="176">
        <v>46171.0</v>
      </c>
      <c r="B1473" s="177">
        <v>8626537.0</v>
      </c>
      <c r="C1473" s="178" t="s">
        <v>82</v>
      </c>
      <c r="D1473" s="178" t="s">
        <v>35</v>
      </c>
      <c r="E1473" s="177">
        <v>6.468261926E9</v>
      </c>
      <c r="F1473" s="178" t="s">
        <v>2200</v>
      </c>
      <c r="G1473" s="176">
        <v>46321.20833333333</v>
      </c>
      <c r="H1473" s="179">
        <v>46324.20833333333</v>
      </c>
      <c r="I1473" s="180">
        <v>3.0</v>
      </c>
      <c r="J1473" s="181" t="s">
        <v>78</v>
      </c>
      <c r="K1473" s="178" t="s">
        <v>79</v>
      </c>
      <c r="L1473" s="178" t="s">
        <v>80</v>
      </c>
      <c r="M1473" s="182">
        <v>2.0</v>
      </c>
      <c r="N1473" s="183">
        <v>0.19999999999999996</v>
      </c>
      <c r="O1473" s="184">
        <v>157.02</v>
      </c>
      <c r="P1473" s="184">
        <v>125.61600000000001</v>
      </c>
      <c r="Q1473" s="185">
        <v>0.0</v>
      </c>
      <c r="R1473" s="186">
        <v>376.84800000000007</v>
      </c>
      <c r="S1473" s="186">
        <v>0.0</v>
      </c>
      <c r="T1473" s="186">
        <v>471.06</v>
      </c>
      <c r="U1473" s="187" t="s">
        <v>353</v>
      </c>
      <c r="V1473" s="176">
        <v>46171.0</v>
      </c>
      <c r="W1473" s="175"/>
      <c r="X1473" s="175"/>
      <c r="Y1473" s="175"/>
      <c r="Z1473" s="175"/>
      <c r="AA1473" s="175"/>
      <c r="AB1473" s="175"/>
      <c r="AC1473" s="175"/>
      <c r="AD1473" s="175"/>
      <c r="AE1473" s="175"/>
      <c r="AF1473" s="175"/>
      <c r="AG1473" s="175"/>
      <c r="AH1473" s="175"/>
      <c r="AI1473" s="175"/>
    </row>
    <row r="1474">
      <c r="A1474" s="176">
        <v>46171.0</v>
      </c>
      <c r="B1474" s="177">
        <v>8627865.0</v>
      </c>
      <c r="C1474" s="178" t="s">
        <v>82</v>
      </c>
      <c r="D1474" s="178" t="s">
        <v>35</v>
      </c>
      <c r="E1474" s="177">
        <v>5.197376563E9</v>
      </c>
      <c r="F1474" s="178" t="s">
        <v>2530</v>
      </c>
      <c r="G1474" s="176">
        <v>46291.20833333333</v>
      </c>
      <c r="H1474" s="179">
        <v>46292.20833333333</v>
      </c>
      <c r="I1474" s="180">
        <v>1.0</v>
      </c>
      <c r="J1474" s="181" t="s">
        <v>114</v>
      </c>
      <c r="K1474" s="178" t="s">
        <v>79</v>
      </c>
      <c r="L1474" s="178" t="s">
        <v>80</v>
      </c>
      <c r="M1474" s="182">
        <v>2.0</v>
      </c>
      <c r="N1474" s="183">
        <v>0.19999999999999996</v>
      </c>
      <c r="O1474" s="184">
        <v>149.72</v>
      </c>
      <c r="P1474" s="184">
        <v>119.77600000000001</v>
      </c>
      <c r="Q1474" s="185">
        <v>0.0</v>
      </c>
      <c r="R1474" s="186">
        <v>119.77600000000001</v>
      </c>
      <c r="S1474" s="186">
        <v>0.0</v>
      </c>
      <c r="T1474" s="186">
        <v>154.72</v>
      </c>
      <c r="U1474" s="187" t="s">
        <v>107</v>
      </c>
      <c r="V1474" s="176">
        <v>46171.0</v>
      </c>
      <c r="W1474" s="164"/>
      <c r="X1474" s="164"/>
      <c r="Y1474" s="164"/>
      <c r="Z1474" s="164"/>
      <c r="AA1474" s="164"/>
      <c r="AB1474" s="164"/>
      <c r="AC1474" s="164"/>
      <c r="AD1474" s="164"/>
      <c r="AE1474" s="164"/>
      <c r="AF1474" s="164"/>
      <c r="AG1474" s="164"/>
      <c r="AH1474" s="164"/>
      <c r="AI1474" s="164"/>
    </row>
    <row r="1475">
      <c r="A1475" s="176">
        <v>46172.0</v>
      </c>
      <c r="B1475" s="177">
        <v>8628808.0</v>
      </c>
      <c r="C1475" s="178" t="s">
        <v>82</v>
      </c>
      <c r="D1475" s="178" t="s">
        <v>35</v>
      </c>
      <c r="E1475" s="177">
        <v>6.506064282E9</v>
      </c>
      <c r="F1475" s="178" t="s">
        <v>2537</v>
      </c>
      <c r="G1475" s="176">
        <v>46207.0</v>
      </c>
      <c r="H1475" s="179">
        <v>46210.0</v>
      </c>
      <c r="I1475" s="180">
        <v>3.0</v>
      </c>
      <c r="J1475" s="181" t="s">
        <v>114</v>
      </c>
      <c r="K1475" s="178" t="s">
        <v>79</v>
      </c>
      <c r="L1475" s="178" t="s">
        <v>80</v>
      </c>
      <c r="M1475" s="182">
        <v>2.0</v>
      </c>
      <c r="N1475" s="183">
        <v>0.19999999999999996</v>
      </c>
      <c r="O1475" s="184">
        <v>137.03</v>
      </c>
      <c r="P1475" s="184">
        <v>109.62400000000001</v>
      </c>
      <c r="Q1475" s="185">
        <v>0.0</v>
      </c>
      <c r="R1475" s="186">
        <v>328.872</v>
      </c>
      <c r="S1475" s="186">
        <v>0.0</v>
      </c>
      <c r="T1475" s="186">
        <v>411.09</v>
      </c>
      <c r="U1475" s="187" t="s">
        <v>107</v>
      </c>
      <c r="V1475" s="176">
        <v>46172.0</v>
      </c>
      <c r="W1475" s="175"/>
      <c r="X1475" s="175"/>
      <c r="Y1475" s="175"/>
      <c r="Z1475" s="175"/>
      <c r="AA1475" s="175"/>
      <c r="AB1475" s="175"/>
      <c r="AC1475" s="175"/>
      <c r="AD1475" s="175"/>
      <c r="AE1475" s="175"/>
      <c r="AF1475" s="175"/>
      <c r="AG1475" s="175"/>
      <c r="AH1475" s="175"/>
      <c r="AI1475" s="175"/>
    </row>
    <row r="1476">
      <c r="A1476" s="176">
        <v>46172.0</v>
      </c>
      <c r="B1476" s="177">
        <v>8632014.0</v>
      </c>
      <c r="C1476" s="178" t="s">
        <v>75</v>
      </c>
      <c r="D1476" s="178" t="s">
        <v>35</v>
      </c>
      <c r="E1476" s="177">
        <v>6.385398449E9</v>
      </c>
      <c r="F1476" s="178" t="s">
        <v>2538</v>
      </c>
      <c r="G1476" s="176">
        <v>46270.0</v>
      </c>
      <c r="H1476" s="179">
        <v>46275.0</v>
      </c>
      <c r="I1476" s="180">
        <v>5.0</v>
      </c>
      <c r="J1476" s="181" t="s">
        <v>78</v>
      </c>
      <c r="K1476" s="178" t="s">
        <v>79</v>
      </c>
      <c r="L1476" s="178" t="s">
        <v>80</v>
      </c>
      <c r="M1476" s="182">
        <v>2.0</v>
      </c>
      <c r="N1476" s="183">
        <v>0.19999999999999996</v>
      </c>
      <c r="O1476" s="184">
        <v>138.8</v>
      </c>
      <c r="P1476" s="184">
        <v>111.04000000000002</v>
      </c>
      <c r="Q1476" s="185">
        <v>0.0</v>
      </c>
      <c r="R1476" s="186">
        <v>555.2</v>
      </c>
      <c r="S1476" s="186">
        <v>0.0</v>
      </c>
      <c r="T1476" s="186">
        <v>719.0</v>
      </c>
      <c r="U1476" s="187" t="s">
        <v>2541</v>
      </c>
      <c r="V1476" s="176">
        <v>46172.0</v>
      </c>
      <c r="W1476" s="175"/>
      <c r="X1476" s="175"/>
      <c r="Y1476" s="175"/>
      <c r="Z1476" s="175"/>
      <c r="AA1476" s="175"/>
      <c r="AB1476" s="175"/>
      <c r="AC1476" s="175"/>
      <c r="AD1476" s="175"/>
      <c r="AE1476" s="175"/>
      <c r="AF1476" s="175"/>
      <c r="AG1476" s="175"/>
      <c r="AH1476" s="175"/>
      <c r="AI1476" s="175"/>
    </row>
    <row r="1477">
      <c r="A1477" s="176">
        <v>46173.0</v>
      </c>
      <c r="B1477" s="177">
        <v>8636458.0</v>
      </c>
      <c r="C1477" s="178" t="s">
        <v>82</v>
      </c>
      <c r="D1477" s="178" t="s">
        <v>35</v>
      </c>
      <c r="E1477" s="177">
        <v>6.000283761E9</v>
      </c>
      <c r="F1477" s="178" t="s">
        <v>2545</v>
      </c>
      <c r="G1477" s="176">
        <v>46193.0</v>
      </c>
      <c r="H1477" s="179">
        <v>46194.0</v>
      </c>
      <c r="I1477" s="180">
        <v>1.0</v>
      </c>
      <c r="J1477" s="181" t="s">
        <v>78</v>
      </c>
      <c r="K1477" s="178" t="s">
        <v>79</v>
      </c>
      <c r="L1477" s="178" t="s">
        <v>80</v>
      </c>
      <c r="M1477" s="182">
        <v>2.0</v>
      </c>
      <c r="N1477" s="183">
        <v>0.19999999999999996</v>
      </c>
      <c r="O1477" s="184">
        <v>152.45</v>
      </c>
      <c r="P1477" s="184">
        <v>121.96</v>
      </c>
      <c r="Q1477" s="185">
        <v>0.0</v>
      </c>
      <c r="R1477" s="186">
        <v>121.96</v>
      </c>
      <c r="S1477" s="186">
        <v>0.0</v>
      </c>
      <c r="T1477" s="186">
        <v>157.45</v>
      </c>
      <c r="U1477" s="187" t="s">
        <v>1367</v>
      </c>
      <c r="V1477" s="176">
        <v>46173.0</v>
      </c>
      <c r="W1477" s="164"/>
      <c r="X1477" s="164"/>
      <c r="Y1477" s="164"/>
      <c r="Z1477" s="164"/>
      <c r="AA1477" s="164"/>
      <c r="AB1477" s="164"/>
      <c r="AC1477" s="164"/>
      <c r="AD1477" s="164"/>
      <c r="AE1477" s="164"/>
      <c r="AF1477" s="164"/>
      <c r="AG1477" s="164"/>
      <c r="AH1477" s="164"/>
      <c r="AI1477" s="164"/>
    </row>
    <row r="1478">
      <c r="A1478" s="176">
        <v>46173.0</v>
      </c>
      <c r="B1478" s="177">
        <v>8636605.0</v>
      </c>
      <c r="C1478" s="178" t="s">
        <v>82</v>
      </c>
      <c r="D1478" s="178" t="s">
        <v>35</v>
      </c>
      <c r="E1478" s="177">
        <v>5.407932962E9</v>
      </c>
      <c r="F1478" s="178" t="s">
        <v>2550</v>
      </c>
      <c r="G1478" s="176">
        <v>46342.20833333333</v>
      </c>
      <c r="H1478" s="179">
        <v>46345.20833333333</v>
      </c>
      <c r="I1478" s="180">
        <v>3.0</v>
      </c>
      <c r="J1478" s="181" t="s">
        <v>78</v>
      </c>
      <c r="K1478" s="178" t="s">
        <v>79</v>
      </c>
      <c r="L1478" s="178" t="s">
        <v>80</v>
      </c>
      <c r="M1478" s="182">
        <v>3.0</v>
      </c>
      <c r="N1478" s="183">
        <v>0.19999999999999996</v>
      </c>
      <c r="O1478" s="184">
        <v>170.9</v>
      </c>
      <c r="P1478" s="184">
        <v>136.72</v>
      </c>
      <c r="Q1478" s="185">
        <v>0.0</v>
      </c>
      <c r="R1478" s="186">
        <v>410.15999999999997</v>
      </c>
      <c r="S1478" s="186">
        <v>0.0</v>
      </c>
      <c r="T1478" s="186">
        <v>535.2</v>
      </c>
      <c r="U1478" s="187" t="s">
        <v>353</v>
      </c>
      <c r="V1478" s="176">
        <v>46173.0</v>
      </c>
      <c r="W1478" s="175"/>
      <c r="X1478" s="175"/>
      <c r="Y1478" s="175"/>
      <c r="Z1478" s="175"/>
      <c r="AA1478" s="175"/>
      <c r="AB1478" s="175"/>
      <c r="AC1478" s="175"/>
      <c r="AD1478" s="175"/>
      <c r="AE1478" s="175"/>
      <c r="AF1478" s="175"/>
      <c r="AG1478" s="175"/>
      <c r="AH1478" s="175"/>
      <c r="AI1478" s="175"/>
    </row>
    <row r="1479">
      <c r="A1479" s="176">
        <v>46174.0</v>
      </c>
      <c r="B1479" s="177">
        <v>8638186.0</v>
      </c>
      <c r="C1479" s="178" t="s">
        <v>82</v>
      </c>
      <c r="D1479" s="178" t="s">
        <v>35</v>
      </c>
      <c r="E1479" s="177">
        <v>5.115971101E9</v>
      </c>
      <c r="F1479" s="178" t="s">
        <v>2556</v>
      </c>
      <c r="G1479" s="176">
        <v>46588.20833333333</v>
      </c>
      <c r="H1479" s="179">
        <v>46591.20833333333</v>
      </c>
      <c r="I1479" s="180">
        <v>3.0</v>
      </c>
      <c r="J1479" s="181" t="s">
        <v>78</v>
      </c>
      <c r="K1479" s="178" t="s">
        <v>79</v>
      </c>
      <c r="L1479" s="178" t="s">
        <v>80</v>
      </c>
      <c r="M1479" s="182">
        <v>1.0</v>
      </c>
      <c r="N1479" s="183">
        <v>0.19999999999999996</v>
      </c>
      <c r="O1479" s="184">
        <v>96.89999999999999</v>
      </c>
      <c r="P1479" s="184">
        <v>77.52</v>
      </c>
      <c r="Q1479" s="185">
        <v>0.0</v>
      </c>
      <c r="R1479" s="186">
        <v>232.56</v>
      </c>
      <c r="S1479" s="186">
        <v>0.0</v>
      </c>
      <c r="T1479" s="186">
        <v>290.7</v>
      </c>
      <c r="U1479" s="187" t="s">
        <v>353</v>
      </c>
      <c r="V1479" s="176">
        <v>46174.0</v>
      </c>
      <c r="W1479" s="175"/>
      <c r="X1479" s="175"/>
      <c r="Y1479" s="175"/>
      <c r="Z1479" s="175"/>
      <c r="AA1479" s="175"/>
      <c r="AB1479" s="175"/>
      <c r="AC1479" s="175"/>
      <c r="AD1479" s="175"/>
      <c r="AE1479" s="175"/>
      <c r="AF1479" s="175"/>
      <c r="AG1479" s="175"/>
      <c r="AH1479" s="175"/>
      <c r="AI1479" s="175"/>
    </row>
    <row r="1480">
      <c r="A1480" s="176">
        <v>46174.0</v>
      </c>
      <c r="B1480" s="177">
        <v>8638770.0</v>
      </c>
      <c r="C1480" s="178" t="s">
        <v>82</v>
      </c>
      <c r="D1480" s="178" t="s">
        <v>35</v>
      </c>
      <c r="E1480" s="177">
        <v>5.678436367E9</v>
      </c>
      <c r="F1480" s="178" t="s">
        <v>2561</v>
      </c>
      <c r="G1480" s="176">
        <v>46276.0</v>
      </c>
      <c r="H1480" s="179">
        <v>46279.0</v>
      </c>
      <c r="I1480" s="180">
        <v>3.0</v>
      </c>
      <c r="J1480" s="181" t="s">
        <v>78</v>
      </c>
      <c r="K1480" s="178" t="s">
        <v>79</v>
      </c>
      <c r="L1480" s="178" t="s">
        <v>80</v>
      </c>
      <c r="M1480" s="182">
        <v>2.0</v>
      </c>
      <c r="N1480" s="183">
        <v>0.19999999999999996</v>
      </c>
      <c r="O1480" s="184">
        <v>132.01</v>
      </c>
      <c r="P1480" s="184">
        <v>105.608</v>
      </c>
      <c r="Q1480" s="185">
        <v>0.0</v>
      </c>
      <c r="R1480" s="186">
        <v>316.824</v>
      </c>
      <c r="S1480" s="186">
        <v>0.0</v>
      </c>
      <c r="T1480" s="186">
        <v>396.03</v>
      </c>
      <c r="U1480" s="187" t="s">
        <v>107</v>
      </c>
      <c r="V1480" s="176">
        <v>46174.0</v>
      </c>
      <c r="W1480" s="175"/>
      <c r="X1480" s="175"/>
      <c r="Y1480" s="175"/>
      <c r="Z1480" s="175"/>
      <c r="AA1480" s="175"/>
      <c r="AB1480" s="175"/>
      <c r="AC1480" s="175"/>
      <c r="AD1480" s="175"/>
      <c r="AE1480" s="175"/>
      <c r="AF1480" s="175"/>
      <c r="AG1480" s="175"/>
      <c r="AH1480" s="175"/>
      <c r="AI1480" s="175"/>
    </row>
    <row r="1481">
      <c r="A1481" s="176">
        <v>46175.0</v>
      </c>
      <c r="B1481" s="177">
        <v>8641633.0</v>
      </c>
      <c r="C1481" s="178" t="s">
        <v>82</v>
      </c>
      <c r="D1481" s="178" t="s">
        <v>35</v>
      </c>
      <c r="E1481" s="177">
        <v>6.72555556E9</v>
      </c>
      <c r="F1481" s="178" t="s">
        <v>2566</v>
      </c>
      <c r="G1481" s="176">
        <v>46186.0</v>
      </c>
      <c r="H1481" s="179">
        <v>46187.0</v>
      </c>
      <c r="I1481" s="180">
        <v>1.0</v>
      </c>
      <c r="J1481" s="181" t="s">
        <v>87</v>
      </c>
      <c r="K1481" s="178" t="s">
        <v>79</v>
      </c>
      <c r="L1481" s="178" t="s">
        <v>80</v>
      </c>
      <c r="M1481" s="182">
        <v>2.0</v>
      </c>
      <c r="N1481" s="183">
        <v>0.19999999999999996</v>
      </c>
      <c r="O1481" s="184">
        <v>152.84</v>
      </c>
      <c r="P1481" s="184">
        <v>122.272</v>
      </c>
      <c r="Q1481" s="185">
        <v>0.0</v>
      </c>
      <c r="R1481" s="186">
        <v>122.272</v>
      </c>
      <c r="S1481" s="186">
        <v>0.0</v>
      </c>
      <c r="T1481" s="186">
        <v>157.84</v>
      </c>
      <c r="U1481" s="187" t="s">
        <v>1441</v>
      </c>
      <c r="V1481" s="176">
        <v>46175.0</v>
      </c>
      <c r="W1481" s="188"/>
      <c r="X1481" s="188"/>
      <c r="Y1481" s="188"/>
      <c r="Z1481" s="188"/>
      <c r="AA1481" s="188"/>
      <c r="AB1481" s="188"/>
      <c r="AC1481" s="188"/>
      <c r="AD1481" s="188"/>
      <c r="AE1481" s="188"/>
      <c r="AF1481" s="188"/>
      <c r="AG1481" s="188"/>
      <c r="AH1481" s="188"/>
      <c r="AI1481" s="188"/>
    </row>
    <row r="1482">
      <c r="A1482" s="176">
        <v>46175.0</v>
      </c>
      <c r="B1482" s="177">
        <v>8643328.0</v>
      </c>
      <c r="C1482" s="178" t="s">
        <v>82</v>
      </c>
      <c r="D1482" s="178" t="s">
        <v>35</v>
      </c>
      <c r="E1482" s="177">
        <v>6.121253832E9</v>
      </c>
      <c r="F1482" s="178" t="s">
        <v>2571</v>
      </c>
      <c r="G1482" s="176">
        <v>46270.0</v>
      </c>
      <c r="H1482" s="179">
        <v>46272.0</v>
      </c>
      <c r="I1482" s="180">
        <v>2.0</v>
      </c>
      <c r="J1482" s="181" t="s">
        <v>114</v>
      </c>
      <c r="K1482" s="178" t="s">
        <v>79</v>
      </c>
      <c r="L1482" s="178" t="s">
        <v>80</v>
      </c>
      <c r="M1482" s="182">
        <v>2.0</v>
      </c>
      <c r="N1482" s="183">
        <v>0.19999999999999996</v>
      </c>
      <c r="O1482" s="184">
        <v>153.12</v>
      </c>
      <c r="P1482" s="184">
        <v>122.49600000000001</v>
      </c>
      <c r="Q1482" s="185">
        <v>0.0</v>
      </c>
      <c r="R1482" s="186">
        <v>244.99200000000002</v>
      </c>
      <c r="S1482" s="186">
        <v>0.0</v>
      </c>
      <c r="T1482" s="186">
        <v>316.24</v>
      </c>
      <c r="U1482" s="187" t="s">
        <v>107</v>
      </c>
      <c r="V1482" s="176">
        <v>46175.0</v>
      </c>
      <c r="W1482" s="175"/>
      <c r="X1482" s="175"/>
      <c r="Y1482" s="175"/>
      <c r="Z1482" s="175"/>
      <c r="AA1482" s="175"/>
      <c r="AB1482" s="175"/>
      <c r="AC1482" s="175"/>
      <c r="AD1482" s="175"/>
      <c r="AE1482" s="175"/>
      <c r="AF1482" s="175"/>
      <c r="AG1482" s="175"/>
      <c r="AH1482" s="175"/>
      <c r="AI1482" s="175"/>
    </row>
    <row r="1483">
      <c r="A1483" s="176">
        <v>46175.0</v>
      </c>
      <c r="B1483" s="177">
        <v>8646434.0</v>
      </c>
      <c r="C1483" s="178" t="s">
        <v>89</v>
      </c>
      <c r="D1483" s="178" t="s">
        <v>35</v>
      </c>
      <c r="E1483" s="177">
        <v>5.053701756E9</v>
      </c>
      <c r="F1483" s="178" t="s">
        <v>2575</v>
      </c>
      <c r="G1483" s="176">
        <v>46239.0</v>
      </c>
      <c r="H1483" s="179">
        <v>46244.0</v>
      </c>
      <c r="I1483" s="180">
        <v>5.0</v>
      </c>
      <c r="J1483" s="181" t="s">
        <v>78</v>
      </c>
      <c r="K1483" s="178" t="s">
        <v>79</v>
      </c>
      <c r="L1483" s="178" t="s">
        <v>80</v>
      </c>
      <c r="M1483" s="182">
        <v>0.0</v>
      </c>
      <c r="N1483" s="183">
        <v>0.0</v>
      </c>
      <c r="O1483" s="184">
        <v>0.0</v>
      </c>
      <c r="P1483" s="184">
        <v>0.0</v>
      </c>
      <c r="Q1483" s="185">
        <v>0.0</v>
      </c>
      <c r="R1483" s="186">
        <v>0.0</v>
      </c>
      <c r="S1483" s="186">
        <v>0.0</v>
      </c>
      <c r="T1483" s="186">
        <v>0.0</v>
      </c>
      <c r="U1483" s="187" t="s">
        <v>2578</v>
      </c>
      <c r="V1483" s="176">
        <v>46213.0</v>
      </c>
      <c r="W1483" s="175"/>
      <c r="X1483" s="175"/>
      <c r="Y1483" s="175"/>
      <c r="Z1483" s="175"/>
      <c r="AA1483" s="175"/>
      <c r="AB1483" s="175"/>
      <c r="AC1483" s="175"/>
      <c r="AD1483" s="175"/>
      <c r="AE1483" s="175"/>
      <c r="AF1483" s="175"/>
      <c r="AG1483" s="175"/>
      <c r="AH1483" s="175"/>
      <c r="AI1483" s="175"/>
    </row>
    <row r="1484">
      <c r="A1484" s="176">
        <v>46177.0</v>
      </c>
      <c r="B1484" s="177">
        <v>8653252.0</v>
      </c>
      <c r="C1484" s="178" t="s">
        <v>82</v>
      </c>
      <c r="D1484" s="178" t="s">
        <v>35</v>
      </c>
      <c r="E1484" s="177">
        <v>5.249887959E9</v>
      </c>
      <c r="F1484" s="178" t="s">
        <v>2581</v>
      </c>
      <c r="G1484" s="176">
        <v>46270.0</v>
      </c>
      <c r="H1484" s="179">
        <v>46277.0</v>
      </c>
      <c r="I1484" s="180">
        <v>7.0</v>
      </c>
      <c r="J1484" s="181" t="s">
        <v>78</v>
      </c>
      <c r="K1484" s="178" t="s">
        <v>79</v>
      </c>
      <c r="L1484" s="178" t="s">
        <v>80</v>
      </c>
      <c r="M1484" s="182">
        <v>2.0</v>
      </c>
      <c r="N1484" s="183">
        <v>0.19999999999999996</v>
      </c>
      <c r="O1484" s="184">
        <v>124.3</v>
      </c>
      <c r="P1484" s="184">
        <v>99.44</v>
      </c>
      <c r="Q1484" s="185">
        <v>0.0</v>
      </c>
      <c r="R1484" s="186">
        <v>696.0799999999999</v>
      </c>
      <c r="S1484" s="186">
        <v>0.0</v>
      </c>
      <c r="T1484" s="186">
        <v>870.1</v>
      </c>
      <c r="U1484" s="187" t="s">
        <v>107</v>
      </c>
      <c r="V1484" s="176">
        <v>46177.0</v>
      </c>
      <c r="W1484" s="175"/>
      <c r="X1484" s="175"/>
      <c r="Y1484" s="175"/>
      <c r="Z1484" s="175"/>
      <c r="AA1484" s="175"/>
      <c r="AB1484" s="175"/>
      <c r="AC1484" s="175"/>
      <c r="AD1484" s="175"/>
      <c r="AE1484" s="175"/>
      <c r="AF1484" s="175"/>
      <c r="AG1484" s="175"/>
      <c r="AH1484" s="175"/>
      <c r="AI1484" s="175"/>
    </row>
    <row r="1485">
      <c r="A1485" s="176">
        <v>46177.0</v>
      </c>
      <c r="B1485" s="177">
        <v>8655637.0</v>
      </c>
      <c r="C1485" s="178" t="s">
        <v>82</v>
      </c>
      <c r="D1485" s="178" t="s">
        <v>35</v>
      </c>
      <c r="E1485" s="177">
        <v>5.043386319E9</v>
      </c>
      <c r="F1485" s="178" t="s">
        <v>2588</v>
      </c>
      <c r="G1485" s="176">
        <v>46281.0</v>
      </c>
      <c r="H1485" s="179">
        <v>46284.0</v>
      </c>
      <c r="I1485" s="180">
        <v>3.0</v>
      </c>
      <c r="J1485" s="181" t="s">
        <v>114</v>
      </c>
      <c r="K1485" s="178" t="s">
        <v>79</v>
      </c>
      <c r="L1485" s="178" t="s">
        <v>80</v>
      </c>
      <c r="M1485" s="182">
        <v>2.0</v>
      </c>
      <c r="N1485" s="183">
        <v>0.19999999999999996</v>
      </c>
      <c r="O1485" s="184">
        <v>202.19000000000003</v>
      </c>
      <c r="P1485" s="184">
        <v>161.75200000000004</v>
      </c>
      <c r="Q1485" s="185">
        <v>0.0</v>
      </c>
      <c r="R1485" s="186">
        <v>485.2560000000001</v>
      </c>
      <c r="S1485" s="186">
        <v>0.0</v>
      </c>
      <c r="T1485" s="186">
        <v>606.57</v>
      </c>
      <c r="U1485" s="187" t="s">
        <v>1367</v>
      </c>
      <c r="V1485" s="176">
        <v>46177.0</v>
      </c>
      <c r="W1485" s="175"/>
      <c r="X1485" s="175"/>
      <c r="Y1485" s="175"/>
      <c r="Z1485" s="175"/>
      <c r="AA1485" s="175"/>
      <c r="AB1485" s="175"/>
      <c r="AC1485" s="175"/>
      <c r="AD1485" s="175"/>
      <c r="AE1485" s="175"/>
      <c r="AF1485" s="175"/>
      <c r="AG1485" s="175"/>
      <c r="AH1485" s="175"/>
      <c r="AI1485" s="175"/>
    </row>
    <row r="1486">
      <c r="A1486" s="176">
        <v>46178.0</v>
      </c>
      <c r="B1486" s="177">
        <v>8657372.0</v>
      </c>
      <c r="C1486" s="178" t="s">
        <v>82</v>
      </c>
      <c r="D1486" s="178" t="s">
        <v>35</v>
      </c>
      <c r="E1486" s="177">
        <v>5.482394876E9</v>
      </c>
      <c r="F1486" s="178" t="s">
        <v>2591</v>
      </c>
      <c r="G1486" s="176">
        <v>46195.0</v>
      </c>
      <c r="H1486" s="179">
        <v>46196.0</v>
      </c>
      <c r="I1486" s="180">
        <v>1.0</v>
      </c>
      <c r="J1486" s="181" t="s">
        <v>78</v>
      </c>
      <c r="K1486" s="178" t="s">
        <v>79</v>
      </c>
      <c r="L1486" s="178" t="s">
        <v>80</v>
      </c>
      <c r="M1486" s="182">
        <v>2.0</v>
      </c>
      <c r="N1486" s="183">
        <v>0.19999999999999996</v>
      </c>
      <c r="O1486" s="184">
        <v>125.09</v>
      </c>
      <c r="P1486" s="184">
        <v>100.072</v>
      </c>
      <c r="Q1486" s="185">
        <v>0.0</v>
      </c>
      <c r="R1486" s="186">
        <v>100.072</v>
      </c>
      <c r="S1486" s="186">
        <v>0.0</v>
      </c>
      <c r="T1486" s="186">
        <v>273.09</v>
      </c>
      <c r="U1486" s="187" t="s">
        <v>88</v>
      </c>
      <c r="V1486" s="176">
        <v>46178.0</v>
      </c>
      <c r="W1486" s="175"/>
      <c r="X1486" s="175"/>
      <c r="Y1486" s="175"/>
      <c r="Z1486" s="175"/>
      <c r="AA1486" s="175"/>
      <c r="AB1486" s="175"/>
      <c r="AC1486" s="175"/>
      <c r="AD1486" s="175"/>
      <c r="AE1486" s="175"/>
      <c r="AF1486" s="175"/>
      <c r="AG1486" s="175"/>
      <c r="AH1486" s="175"/>
      <c r="AI1486" s="175"/>
    </row>
    <row r="1487">
      <c r="A1487" s="176">
        <v>46178.0</v>
      </c>
      <c r="B1487" s="177">
        <v>8657372.0</v>
      </c>
      <c r="C1487" s="178" t="s">
        <v>82</v>
      </c>
      <c r="D1487" s="178" t="s">
        <v>35</v>
      </c>
      <c r="E1487" s="177">
        <v>5.482394876E9</v>
      </c>
      <c r="F1487" s="178" t="s">
        <v>2591</v>
      </c>
      <c r="G1487" s="176">
        <v>46195.0</v>
      </c>
      <c r="H1487" s="179">
        <v>46196.0</v>
      </c>
      <c r="I1487" s="180">
        <v>1.0</v>
      </c>
      <c r="J1487" s="181" t="s">
        <v>114</v>
      </c>
      <c r="K1487" s="178" t="s">
        <v>79</v>
      </c>
      <c r="L1487" s="178" t="s">
        <v>80</v>
      </c>
      <c r="M1487" s="182">
        <v>2.0</v>
      </c>
      <c r="N1487" s="183">
        <v>0.19999999999999996</v>
      </c>
      <c r="O1487" s="184">
        <v>138.0</v>
      </c>
      <c r="P1487" s="184">
        <v>110.4</v>
      </c>
      <c r="Q1487" s="185">
        <v>0.0</v>
      </c>
      <c r="R1487" s="186">
        <v>110.4</v>
      </c>
      <c r="S1487" s="186">
        <v>0.0</v>
      </c>
      <c r="T1487" s="186">
        <v>273.09</v>
      </c>
      <c r="U1487" s="187" t="s">
        <v>88</v>
      </c>
      <c r="V1487" s="176">
        <v>46178.0</v>
      </c>
      <c r="W1487" s="164"/>
      <c r="X1487" s="164"/>
      <c r="Y1487" s="164"/>
      <c r="Z1487" s="164"/>
      <c r="AA1487" s="164"/>
      <c r="AB1487" s="164"/>
      <c r="AC1487" s="164"/>
      <c r="AD1487" s="164"/>
      <c r="AE1487" s="164"/>
      <c r="AF1487" s="164"/>
      <c r="AG1487" s="164"/>
      <c r="AH1487" s="164"/>
      <c r="AI1487" s="164"/>
    </row>
    <row r="1488">
      <c r="A1488" s="176">
        <v>46178.0</v>
      </c>
      <c r="B1488" s="177">
        <v>8658076.0</v>
      </c>
      <c r="C1488" s="178" t="s">
        <v>82</v>
      </c>
      <c r="D1488" s="178" t="s">
        <v>35</v>
      </c>
      <c r="E1488" s="177">
        <v>6.911341523E9</v>
      </c>
      <c r="F1488" s="178" t="s">
        <v>2599</v>
      </c>
      <c r="G1488" s="176">
        <v>46274.0</v>
      </c>
      <c r="H1488" s="179">
        <v>46275.0</v>
      </c>
      <c r="I1488" s="180">
        <v>1.0</v>
      </c>
      <c r="J1488" s="181" t="s">
        <v>87</v>
      </c>
      <c r="K1488" s="178" t="s">
        <v>79</v>
      </c>
      <c r="L1488" s="178" t="s">
        <v>80</v>
      </c>
      <c r="M1488" s="182">
        <v>2.0</v>
      </c>
      <c r="N1488" s="183">
        <v>0.19999999999999996</v>
      </c>
      <c r="O1488" s="184">
        <v>139.84</v>
      </c>
      <c r="P1488" s="184">
        <v>111.87200000000001</v>
      </c>
      <c r="Q1488" s="185">
        <v>0.0</v>
      </c>
      <c r="R1488" s="186">
        <v>111.87200000000001</v>
      </c>
      <c r="S1488" s="186">
        <v>0.0</v>
      </c>
      <c r="T1488" s="186">
        <v>144.84</v>
      </c>
      <c r="U1488" s="187" t="s">
        <v>1367</v>
      </c>
      <c r="V1488" s="176">
        <v>46178.0</v>
      </c>
      <c r="W1488" s="175"/>
      <c r="X1488" s="175"/>
      <c r="Y1488" s="175"/>
      <c r="Z1488" s="175"/>
      <c r="AA1488" s="175"/>
      <c r="AB1488" s="175"/>
      <c r="AC1488" s="175"/>
      <c r="AD1488" s="175"/>
      <c r="AE1488" s="175"/>
      <c r="AF1488" s="175"/>
      <c r="AG1488" s="175"/>
      <c r="AH1488" s="175"/>
      <c r="AI1488" s="175"/>
    </row>
    <row r="1489">
      <c r="A1489" s="176">
        <v>46178.0</v>
      </c>
      <c r="B1489" s="177">
        <v>8659738.0</v>
      </c>
      <c r="C1489" s="178" t="s">
        <v>82</v>
      </c>
      <c r="D1489" s="178" t="s">
        <v>35</v>
      </c>
      <c r="E1489" s="177">
        <v>6.664621519E9</v>
      </c>
      <c r="F1489" s="178" t="s">
        <v>2605</v>
      </c>
      <c r="G1489" s="176">
        <v>46182.0</v>
      </c>
      <c r="H1489" s="179">
        <v>46184.0</v>
      </c>
      <c r="I1489" s="180">
        <v>2.0</v>
      </c>
      <c r="J1489" s="181" t="s">
        <v>78</v>
      </c>
      <c r="K1489" s="178" t="s">
        <v>79</v>
      </c>
      <c r="L1489" s="178" t="s">
        <v>80</v>
      </c>
      <c r="M1489" s="182">
        <v>1.0</v>
      </c>
      <c r="N1489" s="183">
        <v>0.19999999999999996</v>
      </c>
      <c r="O1489" s="184">
        <v>166.46</v>
      </c>
      <c r="P1489" s="184">
        <v>133.168</v>
      </c>
      <c r="Q1489" s="185">
        <v>0.0</v>
      </c>
      <c r="R1489" s="186">
        <v>266.336</v>
      </c>
      <c r="S1489" s="186">
        <v>0.0</v>
      </c>
      <c r="T1489" s="186">
        <v>337.92</v>
      </c>
      <c r="U1489" s="187" t="s">
        <v>2608</v>
      </c>
      <c r="V1489" s="176">
        <v>46178.0</v>
      </c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</row>
    <row r="1490">
      <c r="A1490" s="176">
        <v>46178.0</v>
      </c>
      <c r="B1490" s="177">
        <v>8660031.0</v>
      </c>
      <c r="C1490" s="178" t="s">
        <v>82</v>
      </c>
      <c r="D1490" s="178" t="s">
        <v>35</v>
      </c>
      <c r="E1490" s="177">
        <v>5.765041934E9</v>
      </c>
      <c r="F1490" s="178" t="s">
        <v>2611</v>
      </c>
      <c r="G1490" s="176">
        <v>46192.0</v>
      </c>
      <c r="H1490" s="179">
        <v>46193.0</v>
      </c>
      <c r="I1490" s="180">
        <v>1.0</v>
      </c>
      <c r="J1490" s="181" t="s">
        <v>78</v>
      </c>
      <c r="K1490" s="178" t="s">
        <v>138</v>
      </c>
      <c r="L1490" s="178" t="s">
        <v>80</v>
      </c>
      <c r="M1490" s="182">
        <v>2.0</v>
      </c>
      <c r="N1490" s="183">
        <v>0.19999999999999996</v>
      </c>
      <c r="O1490" s="184">
        <v>175.39999999999998</v>
      </c>
      <c r="P1490" s="184">
        <v>140.32</v>
      </c>
      <c r="Q1490" s="185">
        <v>36.0</v>
      </c>
      <c r="R1490" s="186">
        <v>140.32</v>
      </c>
      <c r="S1490" s="186">
        <v>36.0</v>
      </c>
      <c r="T1490" s="186">
        <v>209.2</v>
      </c>
      <c r="U1490" s="187" t="s">
        <v>1467</v>
      </c>
      <c r="V1490" s="176">
        <v>46178.0</v>
      </c>
      <c r="W1490" s="175"/>
      <c r="X1490" s="175"/>
      <c r="Y1490" s="175"/>
      <c r="Z1490" s="175"/>
      <c r="AA1490" s="175"/>
      <c r="AB1490" s="175"/>
      <c r="AC1490" s="175"/>
      <c r="AD1490" s="175"/>
      <c r="AE1490" s="175"/>
      <c r="AF1490" s="175"/>
      <c r="AG1490" s="175"/>
      <c r="AH1490" s="175"/>
      <c r="AI1490" s="175"/>
    </row>
    <row r="1491">
      <c r="A1491" s="176">
        <v>46178.0</v>
      </c>
      <c r="B1491" s="177">
        <v>8661154.0</v>
      </c>
      <c r="C1491" s="178" t="s">
        <v>82</v>
      </c>
      <c r="D1491" s="178" t="s">
        <v>35</v>
      </c>
      <c r="E1491" s="177">
        <v>5.566474252E9</v>
      </c>
      <c r="F1491" s="178" t="s">
        <v>2614</v>
      </c>
      <c r="G1491" s="176">
        <v>46339.20833333333</v>
      </c>
      <c r="H1491" s="179">
        <v>46340.20833333333</v>
      </c>
      <c r="I1491" s="180">
        <v>1.0</v>
      </c>
      <c r="J1491" s="181" t="s">
        <v>114</v>
      </c>
      <c r="K1491" s="178" t="s">
        <v>79</v>
      </c>
      <c r="L1491" s="178" t="s">
        <v>80</v>
      </c>
      <c r="M1491" s="182">
        <v>3.0</v>
      </c>
      <c r="N1491" s="183">
        <v>0.19999999999999996</v>
      </c>
      <c r="O1491" s="184">
        <v>165.15</v>
      </c>
      <c r="P1491" s="184">
        <v>132.12</v>
      </c>
      <c r="Q1491" s="185">
        <v>0.0</v>
      </c>
      <c r="R1491" s="186">
        <v>132.12</v>
      </c>
      <c r="S1491" s="186">
        <v>0.0</v>
      </c>
      <c r="T1491" s="186">
        <v>172.65</v>
      </c>
      <c r="U1491" s="187" t="s">
        <v>161</v>
      </c>
      <c r="V1491" s="176">
        <v>46178.0</v>
      </c>
      <c r="W1491" s="175"/>
      <c r="X1491" s="175"/>
      <c r="Y1491" s="175"/>
      <c r="Z1491" s="175"/>
      <c r="AA1491" s="175"/>
      <c r="AB1491" s="175"/>
      <c r="AC1491" s="175"/>
      <c r="AD1491" s="175"/>
      <c r="AE1491" s="175"/>
      <c r="AF1491" s="175"/>
      <c r="AG1491" s="175"/>
      <c r="AH1491" s="175"/>
      <c r="AI1491" s="175"/>
    </row>
    <row r="1492">
      <c r="A1492" s="176">
        <v>46179.0</v>
      </c>
      <c r="B1492" s="177">
        <v>8663752.0</v>
      </c>
      <c r="C1492" s="178" t="s">
        <v>82</v>
      </c>
      <c r="D1492" s="178" t="s">
        <v>35</v>
      </c>
      <c r="E1492" s="177">
        <v>5.366695557E9</v>
      </c>
      <c r="F1492" s="178" t="s">
        <v>2618</v>
      </c>
      <c r="G1492" s="176">
        <v>46297.20833333333</v>
      </c>
      <c r="H1492" s="179">
        <v>46301.20833333333</v>
      </c>
      <c r="I1492" s="180">
        <v>4.0</v>
      </c>
      <c r="J1492" s="181" t="s">
        <v>114</v>
      </c>
      <c r="K1492" s="178" t="s">
        <v>79</v>
      </c>
      <c r="L1492" s="178" t="s">
        <v>80</v>
      </c>
      <c r="M1492" s="182">
        <v>2.0</v>
      </c>
      <c r="N1492" s="183">
        <v>0.19999999999999996</v>
      </c>
      <c r="O1492" s="184">
        <v>167.25</v>
      </c>
      <c r="P1492" s="184">
        <v>133.8</v>
      </c>
      <c r="Q1492" s="185">
        <v>0.0</v>
      </c>
      <c r="R1492" s="186">
        <v>535.2</v>
      </c>
      <c r="S1492" s="186">
        <v>0.0</v>
      </c>
      <c r="T1492" s="186">
        <v>689.0</v>
      </c>
      <c r="U1492" s="187" t="s">
        <v>353</v>
      </c>
      <c r="V1492" s="176">
        <v>46179.0</v>
      </c>
      <c r="W1492" s="175"/>
      <c r="X1492" s="175"/>
      <c r="Y1492" s="175"/>
      <c r="Z1492" s="175"/>
      <c r="AA1492" s="175"/>
      <c r="AB1492" s="175"/>
      <c r="AC1492" s="175"/>
      <c r="AD1492" s="175"/>
      <c r="AE1492" s="175"/>
      <c r="AF1492" s="175"/>
      <c r="AG1492" s="175"/>
      <c r="AH1492" s="175"/>
      <c r="AI1492" s="175"/>
    </row>
    <row r="1493">
      <c r="A1493" s="176">
        <v>46179.0</v>
      </c>
      <c r="B1493" s="177">
        <v>8664465.0</v>
      </c>
      <c r="C1493" s="178" t="s">
        <v>89</v>
      </c>
      <c r="D1493" s="178" t="s">
        <v>35</v>
      </c>
      <c r="E1493" s="177">
        <v>5.144160747E9</v>
      </c>
      <c r="F1493" s="178" t="s">
        <v>2622</v>
      </c>
      <c r="G1493" s="176">
        <v>46291.20833333333</v>
      </c>
      <c r="H1493" s="179">
        <v>46293.20833333333</v>
      </c>
      <c r="I1493" s="180">
        <v>2.0</v>
      </c>
      <c r="J1493" s="181" t="s">
        <v>114</v>
      </c>
      <c r="K1493" s="178" t="s">
        <v>79</v>
      </c>
      <c r="L1493" s="178" t="s">
        <v>80</v>
      </c>
      <c r="M1493" s="182">
        <v>0.0</v>
      </c>
      <c r="N1493" s="183">
        <v>0.0</v>
      </c>
      <c r="O1493" s="184">
        <v>0.0</v>
      </c>
      <c r="P1493" s="184">
        <v>0.0</v>
      </c>
      <c r="Q1493" s="185">
        <v>0.0</v>
      </c>
      <c r="R1493" s="186">
        <v>0.0</v>
      </c>
      <c r="S1493" s="186">
        <v>0.0</v>
      </c>
      <c r="T1493" s="186">
        <v>0.0</v>
      </c>
      <c r="U1493" s="187" t="s">
        <v>2625</v>
      </c>
      <c r="V1493" s="176">
        <v>46233.0</v>
      </c>
      <c r="W1493" s="175"/>
      <c r="X1493" s="175"/>
      <c r="Y1493" s="175"/>
      <c r="Z1493" s="175"/>
      <c r="AA1493" s="175"/>
      <c r="AB1493" s="175"/>
      <c r="AC1493" s="175"/>
      <c r="AD1493" s="175"/>
      <c r="AE1493" s="175"/>
      <c r="AF1493" s="175"/>
      <c r="AG1493" s="175"/>
      <c r="AH1493" s="175"/>
      <c r="AI1493" s="175"/>
    </row>
    <row r="1494">
      <c r="A1494" s="176">
        <v>46179.0</v>
      </c>
      <c r="B1494" s="177">
        <v>8665570.0</v>
      </c>
      <c r="C1494" s="178" t="s">
        <v>82</v>
      </c>
      <c r="D1494" s="178" t="s">
        <v>35</v>
      </c>
      <c r="E1494" s="177">
        <v>6.567169618E9</v>
      </c>
      <c r="F1494" s="178" t="s">
        <v>2629</v>
      </c>
      <c r="G1494" s="176">
        <v>46353.20833333333</v>
      </c>
      <c r="H1494" s="179">
        <v>46357.20833333333</v>
      </c>
      <c r="I1494" s="180">
        <v>4.0</v>
      </c>
      <c r="J1494" s="181" t="s">
        <v>78</v>
      </c>
      <c r="K1494" s="178" t="s">
        <v>79</v>
      </c>
      <c r="L1494" s="178" t="s">
        <v>80</v>
      </c>
      <c r="M1494" s="182">
        <v>2.0</v>
      </c>
      <c r="N1494" s="183">
        <v>0.19999999999999996</v>
      </c>
      <c r="O1494" s="184">
        <v>170.9</v>
      </c>
      <c r="P1494" s="184">
        <v>136.72</v>
      </c>
      <c r="Q1494" s="185">
        <v>0.0</v>
      </c>
      <c r="R1494" s="186">
        <v>546.88</v>
      </c>
      <c r="S1494" s="186">
        <v>0.0</v>
      </c>
      <c r="T1494" s="186">
        <v>703.6</v>
      </c>
      <c r="U1494" s="187" t="s">
        <v>353</v>
      </c>
      <c r="V1494" s="176">
        <v>46179.0</v>
      </c>
      <c r="W1494" s="175"/>
      <c r="X1494" s="175"/>
      <c r="Y1494" s="175"/>
      <c r="Z1494" s="175"/>
      <c r="AA1494" s="175"/>
      <c r="AB1494" s="175"/>
      <c r="AC1494" s="175"/>
      <c r="AD1494" s="175"/>
      <c r="AE1494" s="175"/>
      <c r="AF1494" s="175"/>
      <c r="AG1494" s="175"/>
      <c r="AH1494" s="175"/>
      <c r="AI1494" s="175"/>
    </row>
    <row r="1495">
      <c r="A1495" s="176">
        <v>46180.0</v>
      </c>
      <c r="B1495" s="177">
        <v>8666581.0</v>
      </c>
      <c r="C1495" s="178" t="s">
        <v>89</v>
      </c>
      <c r="D1495" s="178" t="s">
        <v>35</v>
      </c>
      <c r="E1495" s="177">
        <v>5.366614482E9</v>
      </c>
      <c r="F1495" s="178" t="s">
        <v>2634</v>
      </c>
      <c r="G1495" s="176">
        <v>46219.0</v>
      </c>
      <c r="H1495" s="179">
        <v>46222.0</v>
      </c>
      <c r="I1495" s="180">
        <v>3.0</v>
      </c>
      <c r="J1495" s="181" t="s">
        <v>78</v>
      </c>
      <c r="K1495" s="178" t="s">
        <v>79</v>
      </c>
      <c r="L1495" s="178" t="s">
        <v>80</v>
      </c>
      <c r="M1495" s="182">
        <v>0.0</v>
      </c>
      <c r="N1495" s="183">
        <v>0.0</v>
      </c>
      <c r="O1495" s="184">
        <v>0.0</v>
      </c>
      <c r="P1495" s="184">
        <v>0.0</v>
      </c>
      <c r="Q1495" s="185">
        <v>0.0</v>
      </c>
      <c r="R1495" s="186">
        <v>0.0</v>
      </c>
      <c r="S1495" s="186">
        <v>0.0</v>
      </c>
      <c r="T1495" s="186">
        <v>0.0</v>
      </c>
      <c r="U1495" s="187" t="s">
        <v>2637</v>
      </c>
      <c r="V1495" s="176">
        <v>46186.0</v>
      </c>
      <c r="W1495" s="175"/>
      <c r="X1495" s="175"/>
      <c r="Y1495" s="175"/>
      <c r="Z1495" s="175"/>
      <c r="AA1495" s="175"/>
      <c r="AB1495" s="175"/>
      <c r="AC1495" s="175"/>
      <c r="AD1495" s="175"/>
      <c r="AE1495" s="175"/>
      <c r="AF1495" s="175"/>
      <c r="AG1495" s="175"/>
      <c r="AH1495" s="175"/>
      <c r="AI1495" s="175"/>
    </row>
    <row r="1496">
      <c r="A1496" s="176">
        <v>46180.0</v>
      </c>
      <c r="B1496" s="177">
        <v>8667139.0</v>
      </c>
      <c r="C1496" s="178" t="s">
        <v>89</v>
      </c>
      <c r="D1496" s="178" t="s">
        <v>35</v>
      </c>
      <c r="E1496" s="177">
        <v>5.95751877E9</v>
      </c>
      <c r="F1496" s="178" t="s">
        <v>2640</v>
      </c>
      <c r="G1496" s="176">
        <v>46265.0</v>
      </c>
      <c r="H1496" s="179">
        <v>46269.0</v>
      </c>
      <c r="I1496" s="180">
        <v>4.0</v>
      </c>
      <c r="J1496" s="181" t="s">
        <v>87</v>
      </c>
      <c r="K1496" s="178" t="s">
        <v>79</v>
      </c>
      <c r="L1496" s="178" t="s">
        <v>80</v>
      </c>
      <c r="M1496" s="182">
        <v>0.0</v>
      </c>
      <c r="N1496" s="183">
        <v>0.0</v>
      </c>
      <c r="O1496" s="184">
        <v>0.0</v>
      </c>
      <c r="P1496" s="184">
        <v>0.0</v>
      </c>
      <c r="Q1496" s="185">
        <v>0.0</v>
      </c>
      <c r="R1496" s="186">
        <v>0.0</v>
      </c>
      <c r="S1496" s="186">
        <v>0.0</v>
      </c>
      <c r="T1496" s="186">
        <v>0.0</v>
      </c>
      <c r="U1496" s="187" t="s">
        <v>2637</v>
      </c>
      <c r="V1496" s="176">
        <v>46209.0</v>
      </c>
      <c r="W1496" s="175"/>
      <c r="X1496" s="175"/>
      <c r="Y1496" s="175"/>
      <c r="Z1496" s="175"/>
      <c r="AA1496" s="175"/>
      <c r="AB1496" s="175"/>
      <c r="AC1496" s="175"/>
      <c r="AD1496" s="175"/>
      <c r="AE1496" s="175"/>
      <c r="AF1496" s="175"/>
      <c r="AG1496" s="175"/>
      <c r="AH1496" s="175"/>
      <c r="AI1496" s="175"/>
    </row>
    <row r="1497">
      <c r="A1497" s="176">
        <v>46180.0</v>
      </c>
      <c r="B1497" s="177">
        <v>8669313.0</v>
      </c>
      <c r="C1497" s="178" t="s">
        <v>82</v>
      </c>
      <c r="D1497" s="178" t="s">
        <v>35</v>
      </c>
      <c r="E1497" s="177">
        <v>6.382498636E9</v>
      </c>
      <c r="F1497" s="178" t="s">
        <v>1935</v>
      </c>
      <c r="G1497" s="176">
        <v>46186.0</v>
      </c>
      <c r="H1497" s="179">
        <v>46187.0</v>
      </c>
      <c r="I1497" s="180">
        <v>1.0</v>
      </c>
      <c r="J1497" s="181" t="s">
        <v>78</v>
      </c>
      <c r="K1497" s="178" t="s">
        <v>79</v>
      </c>
      <c r="L1497" s="178" t="s">
        <v>80</v>
      </c>
      <c r="M1497" s="182">
        <v>2.0</v>
      </c>
      <c r="N1497" s="183">
        <v>0.19999999999999996</v>
      </c>
      <c r="O1497" s="184">
        <v>146.0</v>
      </c>
      <c r="P1497" s="184">
        <v>116.80000000000001</v>
      </c>
      <c r="Q1497" s="185">
        <v>0.0</v>
      </c>
      <c r="R1497" s="186">
        <v>116.80000000000001</v>
      </c>
      <c r="S1497" s="186">
        <v>0.0</v>
      </c>
      <c r="T1497" s="186">
        <v>151.0</v>
      </c>
      <c r="U1497" s="187" t="s">
        <v>1441</v>
      </c>
      <c r="V1497" s="176">
        <v>46180.0</v>
      </c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</row>
    <row r="1498">
      <c r="A1498" s="176">
        <v>46180.0</v>
      </c>
      <c r="B1498" s="177">
        <v>8669810.0</v>
      </c>
      <c r="C1498" s="178" t="s">
        <v>82</v>
      </c>
      <c r="D1498" s="178" t="s">
        <v>94</v>
      </c>
      <c r="E1498" s="177">
        <v>8669810.0</v>
      </c>
      <c r="F1498" s="178" t="s">
        <v>982</v>
      </c>
      <c r="G1498" s="176">
        <v>46182.0</v>
      </c>
      <c r="H1498" s="179">
        <v>46184.0</v>
      </c>
      <c r="I1498" s="180">
        <v>2.0</v>
      </c>
      <c r="J1498" s="181" t="s">
        <v>91</v>
      </c>
      <c r="K1498" s="178" t="s">
        <v>79</v>
      </c>
      <c r="L1498" s="178" t="s">
        <v>96</v>
      </c>
      <c r="M1498" s="182">
        <v>2.0</v>
      </c>
      <c r="N1498" s="183">
        <v>0.0</v>
      </c>
      <c r="O1498" s="184">
        <v>472.32</v>
      </c>
      <c r="P1498" s="184">
        <v>472.32</v>
      </c>
      <c r="Q1498" s="185">
        <v>0.0</v>
      </c>
      <c r="R1498" s="186">
        <v>944.64</v>
      </c>
      <c r="S1498" s="186">
        <v>0.0</v>
      </c>
      <c r="T1498" s="186">
        <v>954.64</v>
      </c>
      <c r="U1498" s="187" t="s">
        <v>97</v>
      </c>
      <c r="V1498" s="176">
        <v>46180.0</v>
      </c>
      <c r="W1498" s="175"/>
      <c r="X1498" s="175"/>
      <c r="Y1498" s="175"/>
      <c r="Z1498" s="175"/>
      <c r="AA1498" s="175"/>
      <c r="AB1498" s="175"/>
      <c r="AC1498" s="175"/>
      <c r="AD1498" s="175"/>
      <c r="AE1498" s="175"/>
      <c r="AF1498" s="175"/>
      <c r="AG1498" s="175"/>
      <c r="AH1498" s="175"/>
      <c r="AI1498" s="175"/>
    </row>
    <row r="1499">
      <c r="A1499" s="176">
        <v>46180.0</v>
      </c>
      <c r="B1499" s="177">
        <v>8669818.0</v>
      </c>
      <c r="C1499" s="178" t="s">
        <v>82</v>
      </c>
      <c r="D1499" s="178" t="s">
        <v>94</v>
      </c>
      <c r="E1499" s="177">
        <v>8669818.0</v>
      </c>
      <c r="F1499" s="178" t="s">
        <v>2657</v>
      </c>
      <c r="G1499" s="176">
        <v>46181.0</v>
      </c>
      <c r="H1499" s="179">
        <v>46182.0</v>
      </c>
      <c r="I1499" s="180">
        <v>1.0</v>
      </c>
      <c r="J1499" s="181" t="s">
        <v>111</v>
      </c>
      <c r="K1499" s="178" t="s">
        <v>79</v>
      </c>
      <c r="L1499" s="178" t="s">
        <v>96</v>
      </c>
      <c r="M1499" s="182">
        <v>2.0</v>
      </c>
      <c r="N1499" s="183">
        <v>0.0</v>
      </c>
      <c r="O1499" s="184">
        <v>243.36</v>
      </c>
      <c r="P1499" s="184">
        <v>243.36</v>
      </c>
      <c r="Q1499" s="185">
        <v>0.0</v>
      </c>
      <c r="R1499" s="186">
        <v>243.36</v>
      </c>
      <c r="S1499" s="186">
        <v>0.0</v>
      </c>
      <c r="T1499" s="186">
        <v>248.36</v>
      </c>
      <c r="U1499" s="187" t="s">
        <v>97</v>
      </c>
      <c r="V1499" s="176">
        <v>46180.0</v>
      </c>
      <c r="W1499" s="175"/>
      <c r="X1499" s="175"/>
      <c r="Y1499" s="175"/>
      <c r="Z1499" s="175"/>
      <c r="AA1499" s="175"/>
      <c r="AB1499" s="175"/>
      <c r="AC1499" s="175"/>
      <c r="AD1499" s="175"/>
      <c r="AE1499" s="175"/>
      <c r="AF1499" s="175"/>
      <c r="AG1499" s="175"/>
      <c r="AH1499" s="175"/>
      <c r="AI1499" s="175"/>
    </row>
    <row r="1500">
      <c r="A1500" s="176">
        <v>46181.0</v>
      </c>
      <c r="B1500" s="177">
        <v>8671465.0</v>
      </c>
      <c r="C1500" s="178" t="s">
        <v>82</v>
      </c>
      <c r="D1500" s="178" t="s">
        <v>35</v>
      </c>
      <c r="E1500" s="177">
        <v>6.841262879E9</v>
      </c>
      <c r="F1500" s="178" t="s">
        <v>2663</v>
      </c>
      <c r="G1500" s="176">
        <v>46199.0</v>
      </c>
      <c r="H1500" s="179">
        <v>46200.0</v>
      </c>
      <c r="I1500" s="180">
        <v>1.0</v>
      </c>
      <c r="J1500" s="181" t="s">
        <v>78</v>
      </c>
      <c r="K1500" s="178" t="s">
        <v>79</v>
      </c>
      <c r="L1500" s="178" t="s">
        <v>80</v>
      </c>
      <c r="M1500" s="182">
        <v>2.0</v>
      </c>
      <c r="N1500" s="183">
        <v>0.19999999999999996</v>
      </c>
      <c r="O1500" s="184">
        <v>115.07</v>
      </c>
      <c r="P1500" s="184">
        <v>92.056</v>
      </c>
      <c r="Q1500" s="185">
        <v>0.0</v>
      </c>
      <c r="R1500" s="186">
        <v>92.056</v>
      </c>
      <c r="S1500" s="186">
        <v>0.0</v>
      </c>
      <c r="T1500" s="186">
        <v>120.07</v>
      </c>
      <c r="U1500" s="187" t="s">
        <v>143</v>
      </c>
      <c r="V1500" s="176">
        <v>46181.0</v>
      </c>
      <c r="W1500" s="175"/>
      <c r="X1500" s="175"/>
      <c r="Y1500" s="175"/>
      <c r="Z1500" s="175"/>
      <c r="AA1500" s="175"/>
      <c r="AB1500" s="175"/>
      <c r="AC1500" s="175"/>
      <c r="AD1500" s="175"/>
      <c r="AE1500" s="175"/>
      <c r="AF1500" s="175"/>
      <c r="AG1500" s="175"/>
      <c r="AH1500" s="175"/>
      <c r="AI1500" s="175"/>
    </row>
    <row r="1501">
      <c r="A1501" s="176">
        <v>46181.0</v>
      </c>
      <c r="B1501" s="177">
        <v>8672848.0</v>
      </c>
      <c r="C1501" s="178" t="s">
        <v>82</v>
      </c>
      <c r="D1501" s="178" t="s">
        <v>94</v>
      </c>
      <c r="E1501" s="177">
        <v>8672848.0</v>
      </c>
      <c r="F1501" s="178" t="s">
        <v>2669</v>
      </c>
      <c r="G1501" s="176">
        <v>46186.0</v>
      </c>
      <c r="H1501" s="179">
        <v>46187.0</v>
      </c>
      <c r="I1501" s="180">
        <v>1.0</v>
      </c>
      <c r="J1501" s="181" t="s">
        <v>111</v>
      </c>
      <c r="K1501" s="178" t="s">
        <v>79</v>
      </c>
      <c r="L1501" s="178" t="s">
        <v>96</v>
      </c>
      <c r="M1501" s="182">
        <v>2.0</v>
      </c>
      <c r="N1501" s="183">
        <v>0.0</v>
      </c>
      <c r="O1501" s="184">
        <v>243.36</v>
      </c>
      <c r="P1501" s="184">
        <v>243.36</v>
      </c>
      <c r="Q1501" s="185">
        <v>0.0</v>
      </c>
      <c r="R1501" s="186">
        <v>243.36</v>
      </c>
      <c r="S1501" s="186">
        <v>0.0</v>
      </c>
      <c r="T1501" s="186">
        <v>248.36</v>
      </c>
      <c r="U1501" s="187" t="s">
        <v>97</v>
      </c>
      <c r="V1501" s="176">
        <v>46181.0</v>
      </c>
      <c r="W1501" s="175"/>
      <c r="X1501" s="175"/>
      <c r="Y1501" s="175"/>
      <c r="Z1501" s="175"/>
      <c r="AA1501" s="175"/>
      <c r="AB1501" s="175"/>
      <c r="AC1501" s="175"/>
      <c r="AD1501" s="175"/>
      <c r="AE1501" s="175"/>
      <c r="AF1501" s="175"/>
      <c r="AG1501" s="175"/>
      <c r="AH1501" s="175"/>
      <c r="AI1501" s="175"/>
    </row>
    <row r="1502">
      <c r="A1502" s="176">
        <v>46181.0</v>
      </c>
      <c r="B1502" s="177">
        <v>8674683.0</v>
      </c>
      <c r="C1502" s="178" t="s">
        <v>82</v>
      </c>
      <c r="D1502" s="178" t="s">
        <v>35</v>
      </c>
      <c r="E1502" s="177">
        <v>5.391532751E9</v>
      </c>
      <c r="F1502" s="178" t="s">
        <v>2675</v>
      </c>
      <c r="G1502" s="176">
        <v>46228.0</v>
      </c>
      <c r="H1502" s="179">
        <v>46230.0</v>
      </c>
      <c r="I1502" s="180">
        <v>2.0</v>
      </c>
      <c r="J1502" s="181" t="s">
        <v>78</v>
      </c>
      <c r="K1502" s="178" t="s">
        <v>79</v>
      </c>
      <c r="L1502" s="178" t="s">
        <v>80</v>
      </c>
      <c r="M1502" s="182">
        <v>2.0</v>
      </c>
      <c r="N1502" s="183">
        <v>0.19999999999999996</v>
      </c>
      <c r="O1502" s="184">
        <v>116.61</v>
      </c>
      <c r="P1502" s="184">
        <v>93.28800000000001</v>
      </c>
      <c r="Q1502" s="185">
        <v>0.0</v>
      </c>
      <c r="R1502" s="186">
        <v>186.57600000000002</v>
      </c>
      <c r="S1502" s="186">
        <v>0.0</v>
      </c>
      <c r="T1502" s="186">
        <v>243.22</v>
      </c>
      <c r="U1502" s="187" t="s">
        <v>143</v>
      </c>
      <c r="V1502" s="176">
        <v>46181.0</v>
      </c>
      <c r="W1502" s="164"/>
      <c r="X1502" s="164"/>
      <c r="Y1502" s="164"/>
      <c r="Z1502" s="164"/>
      <c r="AA1502" s="164"/>
      <c r="AB1502" s="164"/>
      <c r="AC1502" s="164"/>
      <c r="AD1502" s="164"/>
      <c r="AE1502" s="164"/>
      <c r="AF1502" s="164"/>
      <c r="AG1502" s="164"/>
      <c r="AH1502" s="164"/>
      <c r="AI1502" s="164"/>
    </row>
    <row r="1503">
      <c r="A1503" s="176">
        <v>46182.0</v>
      </c>
      <c r="B1503" s="177">
        <v>8676504.0</v>
      </c>
      <c r="C1503" s="178" t="s">
        <v>89</v>
      </c>
      <c r="D1503" s="178" t="s">
        <v>35</v>
      </c>
      <c r="E1503" s="177">
        <v>6.92271614E9</v>
      </c>
      <c r="F1503" s="178" t="s">
        <v>2681</v>
      </c>
      <c r="G1503" s="176">
        <v>46344.20833333333</v>
      </c>
      <c r="H1503" s="179">
        <v>46345.20833333333</v>
      </c>
      <c r="I1503" s="180">
        <v>1.0</v>
      </c>
      <c r="J1503" s="181" t="s">
        <v>111</v>
      </c>
      <c r="K1503" s="178" t="s">
        <v>79</v>
      </c>
      <c r="L1503" s="178" t="s">
        <v>80</v>
      </c>
      <c r="M1503" s="182">
        <v>0.0</v>
      </c>
      <c r="N1503" s="183">
        <v>0.0</v>
      </c>
      <c r="O1503" s="184">
        <v>0.0</v>
      </c>
      <c r="P1503" s="184">
        <v>0.0</v>
      </c>
      <c r="Q1503" s="185">
        <v>0.0</v>
      </c>
      <c r="R1503" s="186">
        <v>0.0</v>
      </c>
      <c r="S1503" s="186">
        <v>0.0</v>
      </c>
      <c r="T1503" s="186">
        <v>0.0</v>
      </c>
      <c r="U1503" s="187" t="s">
        <v>2684</v>
      </c>
      <c r="V1503" s="176">
        <v>46183.0</v>
      </c>
      <c r="W1503" s="188"/>
      <c r="X1503" s="188"/>
      <c r="Y1503" s="188"/>
      <c r="Z1503" s="188"/>
      <c r="AA1503" s="188"/>
      <c r="AB1503" s="188"/>
      <c r="AC1503" s="188"/>
      <c r="AD1503" s="188"/>
      <c r="AE1503" s="188"/>
      <c r="AF1503" s="188"/>
      <c r="AG1503" s="188"/>
      <c r="AH1503" s="188"/>
      <c r="AI1503" s="188"/>
    </row>
    <row r="1504">
      <c r="A1504" s="176">
        <v>46182.0</v>
      </c>
      <c r="B1504" s="177">
        <v>8676504.0</v>
      </c>
      <c r="C1504" s="178" t="s">
        <v>89</v>
      </c>
      <c r="D1504" s="178" t="s">
        <v>35</v>
      </c>
      <c r="E1504" s="177">
        <v>6.92271614E9</v>
      </c>
      <c r="F1504" s="178" t="s">
        <v>2681</v>
      </c>
      <c r="G1504" s="176">
        <v>46344.20833333333</v>
      </c>
      <c r="H1504" s="179">
        <v>46345.20833333333</v>
      </c>
      <c r="I1504" s="180">
        <v>1.0</v>
      </c>
      <c r="J1504" s="181" t="s">
        <v>114</v>
      </c>
      <c r="K1504" s="178" t="s">
        <v>79</v>
      </c>
      <c r="L1504" s="178" t="s">
        <v>80</v>
      </c>
      <c r="M1504" s="182">
        <v>0.0</v>
      </c>
      <c r="N1504" s="183">
        <v>0.0</v>
      </c>
      <c r="O1504" s="184">
        <v>0.0</v>
      </c>
      <c r="P1504" s="184">
        <v>0.0</v>
      </c>
      <c r="Q1504" s="185">
        <v>0.0</v>
      </c>
      <c r="R1504" s="186">
        <v>0.0</v>
      </c>
      <c r="S1504" s="186">
        <v>0.0</v>
      </c>
      <c r="T1504" s="186">
        <v>0.0</v>
      </c>
      <c r="U1504" s="187" t="s">
        <v>2684</v>
      </c>
      <c r="V1504" s="176">
        <v>46183.0</v>
      </c>
      <c r="W1504" s="188"/>
      <c r="X1504" s="188"/>
      <c r="Y1504" s="188"/>
      <c r="Z1504" s="188"/>
      <c r="AA1504" s="188"/>
      <c r="AB1504" s="188"/>
      <c r="AC1504" s="188"/>
      <c r="AD1504" s="188"/>
      <c r="AE1504" s="188"/>
      <c r="AF1504" s="188"/>
      <c r="AG1504" s="188"/>
      <c r="AH1504" s="188"/>
      <c r="AI1504" s="188"/>
    </row>
    <row r="1505">
      <c r="A1505" s="176">
        <v>46182.0</v>
      </c>
      <c r="B1505" s="177">
        <v>8676504.0</v>
      </c>
      <c r="C1505" s="178" t="s">
        <v>89</v>
      </c>
      <c r="D1505" s="178" t="s">
        <v>35</v>
      </c>
      <c r="E1505" s="177">
        <v>6.92271614E9</v>
      </c>
      <c r="F1505" s="178" t="s">
        <v>2681</v>
      </c>
      <c r="G1505" s="176">
        <v>46344.20833333333</v>
      </c>
      <c r="H1505" s="179">
        <v>46345.20833333333</v>
      </c>
      <c r="I1505" s="180">
        <v>1.0</v>
      </c>
      <c r="J1505" s="181" t="s">
        <v>114</v>
      </c>
      <c r="K1505" s="178" t="s">
        <v>79</v>
      </c>
      <c r="L1505" s="178" t="s">
        <v>80</v>
      </c>
      <c r="M1505" s="182">
        <v>0.0</v>
      </c>
      <c r="N1505" s="183">
        <v>0.0</v>
      </c>
      <c r="O1505" s="184">
        <v>0.0</v>
      </c>
      <c r="P1505" s="184">
        <v>0.0</v>
      </c>
      <c r="Q1505" s="185">
        <v>0.0</v>
      </c>
      <c r="R1505" s="186">
        <v>0.0</v>
      </c>
      <c r="S1505" s="186">
        <v>0.0</v>
      </c>
      <c r="T1505" s="186">
        <v>0.0</v>
      </c>
      <c r="U1505" s="187" t="s">
        <v>2684</v>
      </c>
      <c r="V1505" s="176">
        <v>46183.0</v>
      </c>
      <c r="W1505" s="175"/>
      <c r="X1505" s="175"/>
      <c r="Y1505" s="175"/>
      <c r="Z1505" s="175"/>
      <c r="AA1505" s="175"/>
      <c r="AB1505" s="175"/>
      <c r="AC1505" s="175"/>
      <c r="AD1505" s="175"/>
      <c r="AE1505" s="175"/>
      <c r="AF1505" s="175"/>
      <c r="AG1505" s="175"/>
      <c r="AH1505" s="175"/>
      <c r="AI1505" s="175"/>
    </row>
    <row r="1506">
      <c r="A1506" s="176">
        <v>46182.0</v>
      </c>
      <c r="B1506" s="177">
        <v>8677048.0</v>
      </c>
      <c r="C1506" s="178" t="s">
        <v>82</v>
      </c>
      <c r="D1506" s="178" t="s">
        <v>35</v>
      </c>
      <c r="E1506" s="177">
        <v>6.315949711E9</v>
      </c>
      <c r="F1506" s="178" t="s">
        <v>2692</v>
      </c>
      <c r="G1506" s="176">
        <v>46306.20833333333</v>
      </c>
      <c r="H1506" s="179">
        <v>46307.20833333333</v>
      </c>
      <c r="I1506" s="180">
        <v>1.0</v>
      </c>
      <c r="J1506" s="181" t="s">
        <v>78</v>
      </c>
      <c r="K1506" s="178" t="s">
        <v>79</v>
      </c>
      <c r="L1506" s="178" t="s">
        <v>80</v>
      </c>
      <c r="M1506" s="182">
        <v>3.0</v>
      </c>
      <c r="N1506" s="183">
        <v>0.19999999999999996</v>
      </c>
      <c r="O1506" s="184">
        <v>182.02</v>
      </c>
      <c r="P1506" s="184">
        <v>145.616</v>
      </c>
      <c r="Q1506" s="185">
        <v>0.0</v>
      </c>
      <c r="R1506" s="186">
        <v>145.616</v>
      </c>
      <c r="S1506" s="186">
        <v>0.0</v>
      </c>
      <c r="T1506" s="186">
        <v>189.52</v>
      </c>
      <c r="U1506" s="187" t="s">
        <v>353</v>
      </c>
      <c r="V1506" s="176">
        <v>46182.0</v>
      </c>
      <c r="W1506" s="175"/>
      <c r="X1506" s="175"/>
      <c r="Y1506" s="175"/>
      <c r="Z1506" s="175"/>
      <c r="AA1506" s="175"/>
      <c r="AB1506" s="175"/>
      <c r="AC1506" s="175"/>
      <c r="AD1506" s="175"/>
      <c r="AE1506" s="175"/>
      <c r="AF1506" s="175"/>
      <c r="AG1506" s="175"/>
      <c r="AH1506" s="175"/>
      <c r="AI1506" s="175"/>
    </row>
    <row r="1507">
      <c r="A1507" s="176">
        <v>46182.0</v>
      </c>
      <c r="B1507" s="177">
        <v>8677436.0</v>
      </c>
      <c r="C1507" s="178" t="s">
        <v>82</v>
      </c>
      <c r="D1507" s="178" t="s">
        <v>35</v>
      </c>
      <c r="E1507" s="177">
        <v>5.60791896E9</v>
      </c>
      <c r="F1507" s="178" t="s">
        <v>2696</v>
      </c>
      <c r="G1507" s="176">
        <v>46305.20833333333</v>
      </c>
      <c r="H1507" s="179">
        <v>46306.20833333333</v>
      </c>
      <c r="I1507" s="180">
        <v>1.0</v>
      </c>
      <c r="J1507" s="181" t="s">
        <v>87</v>
      </c>
      <c r="K1507" s="178" t="s">
        <v>79</v>
      </c>
      <c r="L1507" s="178" t="s">
        <v>80</v>
      </c>
      <c r="M1507" s="182">
        <v>1.0</v>
      </c>
      <c r="N1507" s="183">
        <v>0.19999999999999996</v>
      </c>
      <c r="O1507" s="184">
        <v>120.84</v>
      </c>
      <c r="P1507" s="184">
        <v>96.67200000000001</v>
      </c>
      <c r="Q1507" s="185">
        <v>0.0</v>
      </c>
      <c r="R1507" s="186">
        <v>96.67200000000001</v>
      </c>
      <c r="S1507" s="186">
        <v>0.0</v>
      </c>
      <c r="T1507" s="186">
        <v>123.34</v>
      </c>
      <c r="U1507" s="187" t="s">
        <v>107</v>
      </c>
      <c r="V1507" s="176">
        <v>46182.0</v>
      </c>
      <c r="W1507" s="175"/>
      <c r="X1507" s="175"/>
      <c r="Y1507" s="175"/>
      <c r="Z1507" s="175"/>
      <c r="AA1507" s="175"/>
      <c r="AB1507" s="175"/>
      <c r="AC1507" s="175"/>
      <c r="AD1507" s="175"/>
      <c r="AE1507" s="175"/>
      <c r="AF1507" s="175"/>
      <c r="AG1507" s="175"/>
      <c r="AH1507" s="175"/>
      <c r="AI1507" s="175"/>
    </row>
    <row r="1508">
      <c r="A1508" s="176">
        <v>46182.0</v>
      </c>
      <c r="B1508" s="177">
        <v>8677498.0</v>
      </c>
      <c r="C1508" s="178" t="s">
        <v>82</v>
      </c>
      <c r="D1508" s="178" t="s">
        <v>35</v>
      </c>
      <c r="E1508" s="177">
        <v>5.310523087E9</v>
      </c>
      <c r="F1508" s="178" t="s">
        <v>2696</v>
      </c>
      <c r="G1508" s="176">
        <v>46306.20833333333</v>
      </c>
      <c r="H1508" s="179">
        <v>46307.20833333333</v>
      </c>
      <c r="I1508" s="180">
        <v>1.0</v>
      </c>
      <c r="J1508" s="181" t="s">
        <v>114</v>
      </c>
      <c r="K1508" s="178" t="s">
        <v>79</v>
      </c>
      <c r="L1508" s="178" t="s">
        <v>80</v>
      </c>
      <c r="M1508" s="182">
        <v>1.0</v>
      </c>
      <c r="N1508" s="183">
        <v>0.19999999999999996</v>
      </c>
      <c r="O1508" s="184">
        <v>147.25</v>
      </c>
      <c r="P1508" s="184">
        <v>117.80000000000001</v>
      </c>
      <c r="Q1508" s="185">
        <v>0.0</v>
      </c>
      <c r="R1508" s="186">
        <v>117.80000000000001</v>
      </c>
      <c r="S1508" s="186">
        <v>0.0</v>
      </c>
      <c r="T1508" s="186">
        <v>415.4</v>
      </c>
      <c r="U1508" s="187" t="s">
        <v>107</v>
      </c>
      <c r="V1508" s="176">
        <v>46182.0</v>
      </c>
      <c r="W1508" s="175"/>
      <c r="X1508" s="175"/>
      <c r="Y1508" s="175"/>
      <c r="Z1508" s="175"/>
      <c r="AA1508" s="175"/>
      <c r="AB1508" s="175"/>
      <c r="AC1508" s="175"/>
      <c r="AD1508" s="175"/>
      <c r="AE1508" s="175"/>
      <c r="AF1508" s="175"/>
      <c r="AG1508" s="175"/>
      <c r="AH1508" s="175"/>
      <c r="AI1508" s="175"/>
    </row>
    <row r="1509">
      <c r="A1509" s="176">
        <v>46182.0</v>
      </c>
      <c r="B1509" s="177">
        <v>8677498.0</v>
      </c>
      <c r="C1509" s="178" t="s">
        <v>82</v>
      </c>
      <c r="D1509" s="178" t="s">
        <v>35</v>
      </c>
      <c r="E1509" s="177">
        <v>5.310523087E9</v>
      </c>
      <c r="F1509" s="178" t="s">
        <v>2696</v>
      </c>
      <c r="G1509" s="176">
        <v>46306.20833333333</v>
      </c>
      <c r="H1509" s="179">
        <v>46307.20833333333</v>
      </c>
      <c r="I1509" s="180">
        <v>1.0</v>
      </c>
      <c r="J1509" s="181" t="s">
        <v>114</v>
      </c>
      <c r="K1509" s="178" t="s">
        <v>79</v>
      </c>
      <c r="L1509" s="178" t="s">
        <v>80</v>
      </c>
      <c r="M1509" s="182">
        <v>1.0</v>
      </c>
      <c r="N1509" s="183">
        <v>0.19999999999999996</v>
      </c>
      <c r="O1509" s="184">
        <v>147.25</v>
      </c>
      <c r="P1509" s="184">
        <v>117.80000000000001</v>
      </c>
      <c r="Q1509" s="185">
        <v>0.0</v>
      </c>
      <c r="R1509" s="186">
        <v>117.80000000000001</v>
      </c>
      <c r="S1509" s="186">
        <v>0.0</v>
      </c>
      <c r="T1509" s="186">
        <v>415.4</v>
      </c>
      <c r="U1509" s="187" t="s">
        <v>107</v>
      </c>
      <c r="V1509" s="176">
        <v>46182.0</v>
      </c>
      <c r="W1509" s="175"/>
      <c r="X1509" s="175"/>
      <c r="Y1509" s="175"/>
      <c r="Z1509" s="175"/>
      <c r="AA1509" s="175"/>
      <c r="AB1509" s="175"/>
      <c r="AC1509" s="175"/>
      <c r="AD1509" s="175"/>
      <c r="AE1509" s="175"/>
      <c r="AF1509" s="175"/>
      <c r="AG1509" s="175"/>
      <c r="AH1509" s="175"/>
      <c r="AI1509" s="175"/>
    </row>
    <row r="1510">
      <c r="A1510" s="176">
        <v>46182.0</v>
      </c>
      <c r="B1510" s="177">
        <v>8677498.0</v>
      </c>
      <c r="C1510" s="178" t="s">
        <v>82</v>
      </c>
      <c r="D1510" s="178" t="s">
        <v>35</v>
      </c>
      <c r="E1510" s="177">
        <v>5.310523087E9</v>
      </c>
      <c r="F1510" s="178" t="s">
        <v>2696</v>
      </c>
      <c r="G1510" s="176">
        <v>46306.20833333333</v>
      </c>
      <c r="H1510" s="179">
        <v>46307.20833333333</v>
      </c>
      <c r="I1510" s="180">
        <v>1.0</v>
      </c>
      <c r="J1510" s="181" t="s">
        <v>87</v>
      </c>
      <c r="K1510" s="178" t="s">
        <v>79</v>
      </c>
      <c r="L1510" s="178" t="s">
        <v>80</v>
      </c>
      <c r="M1510" s="182">
        <v>1.0</v>
      </c>
      <c r="N1510" s="183">
        <v>0.19999999999999996</v>
      </c>
      <c r="O1510" s="184">
        <v>113.4</v>
      </c>
      <c r="P1510" s="184">
        <v>90.72000000000001</v>
      </c>
      <c r="Q1510" s="185">
        <v>0.0</v>
      </c>
      <c r="R1510" s="186">
        <v>90.72000000000001</v>
      </c>
      <c r="S1510" s="186">
        <v>0.0</v>
      </c>
      <c r="T1510" s="186">
        <v>415.4</v>
      </c>
      <c r="U1510" s="187" t="s">
        <v>107</v>
      </c>
      <c r="V1510" s="176">
        <v>46182.0</v>
      </c>
      <c r="W1510" s="175"/>
      <c r="X1510" s="175"/>
      <c r="Y1510" s="175"/>
      <c r="Z1510" s="175"/>
      <c r="AA1510" s="175"/>
      <c r="AB1510" s="175"/>
      <c r="AC1510" s="175"/>
      <c r="AD1510" s="175"/>
      <c r="AE1510" s="175"/>
      <c r="AF1510" s="175"/>
      <c r="AG1510" s="175"/>
      <c r="AH1510" s="175"/>
      <c r="AI1510" s="175"/>
    </row>
    <row r="1511">
      <c r="A1511" s="176">
        <v>46182.0</v>
      </c>
      <c r="B1511" s="177">
        <v>8677550.0</v>
      </c>
      <c r="C1511" s="178" t="s">
        <v>82</v>
      </c>
      <c r="D1511" s="178" t="s">
        <v>35</v>
      </c>
      <c r="E1511" s="177">
        <v>5.341504325E9</v>
      </c>
      <c r="F1511" s="178" t="s">
        <v>2696</v>
      </c>
      <c r="G1511" s="176">
        <v>46312.20833333333</v>
      </c>
      <c r="H1511" s="179">
        <v>46313.20833333333</v>
      </c>
      <c r="I1511" s="180">
        <v>1.0</v>
      </c>
      <c r="J1511" s="181" t="s">
        <v>111</v>
      </c>
      <c r="K1511" s="178" t="s">
        <v>79</v>
      </c>
      <c r="L1511" s="178" t="s">
        <v>80</v>
      </c>
      <c r="M1511" s="182">
        <v>1.0</v>
      </c>
      <c r="N1511" s="183">
        <v>0.19999999999999996</v>
      </c>
      <c r="O1511" s="184">
        <v>172.18</v>
      </c>
      <c r="P1511" s="184">
        <v>137.744</v>
      </c>
      <c r="Q1511" s="185">
        <v>0.0</v>
      </c>
      <c r="R1511" s="186">
        <v>137.744</v>
      </c>
      <c r="S1511" s="186">
        <v>0.0</v>
      </c>
      <c r="T1511" s="186">
        <v>174.68</v>
      </c>
      <c r="U1511" s="187" t="s">
        <v>107</v>
      </c>
      <c r="V1511" s="176">
        <v>46182.0</v>
      </c>
      <c r="W1511" s="188"/>
      <c r="X1511" s="188"/>
      <c r="Y1511" s="188"/>
      <c r="Z1511" s="188"/>
      <c r="AA1511" s="188"/>
      <c r="AB1511" s="188"/>
      <c r="AC1511" s="188"/>
      <c r="AD1511" s="188"/>
      <c r="AE1511" s="188"/>
      <c r="AF1511" s="188"/>
      <c r="AG1511" s="188"/>
      <c r="AH1511" s="188"/>
      <c r="AI1511" s="188"/>
    </row>
    <row r="1512">
      <c r="A1512" s="176">
        <v>46182.0</v>
      </c>
      <c r="B1512" s="177">
        <v>8677977.0</v>
      </c>
      <c r="C1512" s="178" t="s">
        <v>82</v>
      </c>
      <c r="D1512" s="178" t="s">
        <v>35</v>
      </c>
      <c r="E1512" s="177">
        <v>5.860940127E9</v>
      </c>
      <c r="F1512" s="178" t="s">
        <v>2719</v>
      </c>
      <c r="G1512" s="176">
        <v>46217.0</v>
      </c>
      <c r="H1512" s="179">
        <v>46219.0</v>
      </c>
      <c r="I1512" s="180">
        <v>2.0</v>
      </c>
      <c r="J1512" s="181" t="s">
        <v>87</v>
      </c>
      <c r="K1512" s="178" t="s">
        <v>79</v>
      </c>
      <c r="L1512" s="178" t="s">
        <v>80</v>
      </c>
      <c r="M1512" s="182">
        <v>2.0</v>
      </c>
      <c r="N1512" s="183">
        <v>0.19999999999999996</v>
      </c>
      <c r="O1512" s="184">
        <v>104.5</v>
      </c>
      <c r="P1512" s="184">
        <v>83.60000000000001</v>
      </c>
      <c r="Q1512" s="185">
        <v>0.0</v>
      </c>
      <c r="R1512" s="186">
        <v>167.20000000000002</v>
      </c>
      <c r="S1512" s="186">
        <v>0.0</v>
      </c>
      <c r="T1512" s="186">
        <v>219.0</v>
      </c>
      <c r="U1512" s="187" t="s">
        <v>107</v>
      </c>
      <c r="V1512" s="176">
        <v>46182.0</v>
      </c>
      <c r="W1512" s="175"/>
      <c r="X1512" s="175"/>
      <c r="Y1512" s="175"/>
      <c r="Z1512" s="175"/>
      <c r="AA1512" s="175"/>
      <c r="AB1512" s="175"/>
      <c r="AC1512" s="175"/>
      <c r="AD1512" s="175"/>
      <c r="AE1512" s="175"/>
      <c r="AF1512" s="175"/>
      <c r="AG1512" s="175"/>
      <c r="AH1512" s="175"/>
      <c r="AI1512" s="175"/>
    </row>
    <row r="1513">
      <c r="A1513" s="176">
        <v>46182.0</v>
      </c>
      <c r="B1513" s="177">
        <v>8678237.0</v>
      </c>
      <c r="C1513" s="178" t="s">
        <v>82</v>
      </c>
      <c r="D1513" s="178" t="s">
        <v>35</v>
      </c>
      <c r="E1513" s="177">
        <v>6.814735408E9</v>
      </c>
      <c r="F1513" s="178" t="s">
        <v>2725</v>
      </c>
      <c r="G1513" s="176">
        <v>46450.0</v>
      </c>
      <c r="H1513" s="179">
        <v>46453.0</v>
      </c>
      <c r="I1513" s="180">
        <v>3.0</v>
      </c>
      <c r="J1513" s="181" t="s">
        <v>78</v>
      </c>
      <c r="K1513" s="178" t="s">
        <v>79</v>
      </c>
      <c r="L1513" s="178" t="s">
        <v>80</v>
      </c>
      <c r="M1513" s="182">
        <v>2.0</v>
      </c>
      <c r="N1513" s="183">
        <v>0.19999999999999996</v>
      </c>
      <c r="O1513" s="184">
        <v>183.87</v>
      </c>
      <c r="P1513" s="184">
        <v>147.096</v>
      </c>
      <c r="Q1513" s="185">
        <v>0.0</v>
      </c>
      <c r="R1513" s="186">
        <v>441.288</v>
      </c>
      <c r="S1513" s="186">
        <v>0.0</v>
      </c>
      <c r="T1513" s="186">
        <v>566.61</v>
      </c>
      <c r="U1513" s="187" t="s">
        <v>143</v>
      </c>
      <c r="V1513" s="176">
        <v>46182.0</v>
      </c>
      <c r="W1513" s="164"/>
      <c r="X1513" s="164"/>
      <c r="Y1513" s="164"/>
      <c r="Z1513" s="164"/>
      <c r="AA1513" s="164"/>
      <c r="AB1513" s="164"/>
      <c r="AC1513" s="164"/>
      <c r="AD1513" s="164"/>
      <c r="AE1513" s="164"/>
      <c r="AF1513" s="164"/>
      <c r="AG1513" s="164"/>
      <c r="AH1513" s="164"/>
      <c r="AI1513" s="164"/>
    </row>
    <row r="1514">
      <c r="A1514" s="176">
        <v>46182.0</v>
      </c>
      <c r="B1514" s="177">
        <v>8678913.0</v>
      </c>
      <c r="C1514" s="178" t="s">
        <v>82</v>
      </c>
      <c r="D1514" s="178" t="s">
        <v>35</v>
      </c>
      <c r="E1514" s="177">
        <v>6.358018437E9</v>
      </c>
      <c r="F1514" s="178" t="s">
        <v>2733</v>
      </c>
      <c r="G1514" s="176">
        <v>46442.0</v>
      </c>
      <c r="H1514" s="179">
        <v>46444.0</v>
      </c>
      <c r="I1514" s="180">
        <v>2.0</v>
      </c>
      <c r="J1514" s="181" t="s">
        <v>78</v>
      </c>
      <c r="K1514" s="178" t="s">
        <v>79</v>
      </c>
      <c r="L1514" s="178" t="s">
        <v>80</v>
      </c>
      <c r="M1514" s="182">
        <v>2.0</v>
      </c>
      <c r="N1514" s="183">
        <v>0.19999999999999996</v>
      </c>
      <c r="O1514" s="184">
        <v>182.08</v>
      </c>
      <c r="P1514" s="184">
        <v>145.66400000000002</v>
      </c>
      <c r="Q1514" s="185">
        <v>0.0</v>
      </c>
      <c r="R1514" s="186">
        <v>291.32800000000003</v>
      </c>
      <c r="S1514" s="186">
        <v>0.0</v>
      </c>
      <c r="T1514" s="186">
        <v>374.16</v>
      </c>
      <c r="U1514" s="187" t="s">
        <v>353</v>
      </c>
      <c r="V1514" s="176">
        <v>46182.0</v>
      </c>
      <c r="W1514" s="175"/>
      <c r="X1514" s="175"/>
      <c r="Y1514" s="175"/>
      <c r="Z1514" s="175"/>
      <c r="AA1514" s="175"/>
      <c r="AB1514" s="175"/>
      <c r="AC1514" s="175"/>
      <c r="AD1514" s="175"/>
      <c r="AE1514" s="175"/>
      <c r="AF1514" s="175"/>
      <c r="AG1514" s="175"/>
      <c r="AH1514" s="175"/>
      <c r="AI1514" s="175"/>
    </row>
    <row r="1515">
      <c r="A1515" s="176">
        <v>46182.0</v>
      </c>
      <c r="B1515" s="177">
        <v>8680094.0</v>
      </c>
      <c r="C1515" s="178" t="s">
        <v>82</v>
      </c>
      <c r="D1515" s="178" t="s">
        <v>35</v>
      </c>
      <c r="E1515" s="177">
        <v>5.523496875E9</v>
      </c>
      <c r="F1515" s="178" t="s">
        <v>2738</v>
      </c>
      <c r="G1515" s="176">
        <v>46349.20833333333</v>
      </c>
      <c r="H1515" s="179">
        <v>46350.20833333333</v>
      </c>
      <c r="I1515" s="180">
        <v>1.0</v>
      </c>
      <c r="J1515" s="181" t="s">
        <v>78</v>
      </c>
      <c r="K1515" s="178" t="s">
        <v>79</v>
      </c>
      <c r="L1515" s="178" t="s">
        <v>80</v>
      </c>
      <c r="M1515" s="182">
        <v>2.0</v>
      </c>
      <c r="N1515" s="183">
        <v>0.19999999999999996</v>
      </c>
      <c r="O1515" s="184">
        <v>141.18</v>
      </c>
      <c r="P1515" s="184">
        <v>112.94400000000002</v>
      </c>
      <c r="Q1515" s="185">
        <v>0.0</v>
      </c>
      <c r="R1515" s="186">
        <v>112.94400000000002</v>
      </c>
      <c r="S1515" s="186">
        <v>0.0</v>
      </c>
      <c r="T1515" s="186">
        <v>146.18</v>
      </c>
      <c r="U1515" s="187" t="s">
        <v>107</v>
      </c>
      <c r="V1515" s="176">
        <v>46182.0</v>
      </c>
      <c r="W1515" s="175"/>
      <c r="X1515" s="175"/>
      <c r="Y1515" s="175"/>
      <c r="Z1515" s="175"/>
      <c r="AA1515" s="175"/>
      <c r="AB1515" s="175"/>
      <c r="AC1515" s="175"/>
      <c r="AD1515" s="175"/>
      <c r="AE1515" s="175"/>
      <c r="AF1515" s="175"/>
      <c r="AG1515" s="175"/>
      <c r="AH1515" s="175"/>
      <c r="AI1515" s="175"/>
    </row>
    <row r="1516">
      <c r="A1516" s="176">
        <v>46183.0</v>
      </c>
      <c r="B1516" s="177">
        <v>8681436.0</v>
      </c>
      <c r="C1516" s="178" t="s">
        <v>82</v>
      </c>
      <c r="D1516" s="178" t="s">
        <v>35</v>
      </c>
      <c r="E1516" s="177">
        <v>6.58318673E9</v>
      </c>
      <c r="F1516" s="178" t="s">
        <v>2742</v>
      </c>
      <c r="G1516" s="176">
        <v>46192.0</v>
      </c>
      <c r="H1516" s="179">
        <v>46193.0</v>
      </c>
      <c r="I1516" s="180">
        <v>1.0</v>
      </c>
      <c r="J1516" s="181" t="s">
        <v>111</v>
      </c>
      <c r="K1516" s="178" t="s">
        <v>79</v>
      </c>
      <c r="L1516" s="178" t="s">
        <v>80</v>
      </c>
      <c r="M1516" s="182">
        <v>2.0</v>
      </c>
      <c r="N1516" s="183">
        <v>0.19999999999999996</v>
      </c>
      <c r="O1516" s="184">
        <v>170.98</v>
      </c>
      <c r="P1516" s="184">
        <v>136.784</v>
      </c>
      <c r="Q1516" s="185">
        <v>0.0</v>
      </c>
      <c r="R1516" s="186">
        <v>136.784</v>
      </c>
      <c r="S1516" s="186">
        <v>0.0</v>
      </c>
      <c r="T1516" s="186">
        <v>175.98</v>
      </c>
      <c r="U1516" s="187" t="s">
        <v>2745</v>
      </c>
      <c r="V1516" s="176">
        <v>46183.0</v>
      </c>
      <c r="W1516" s="175"/>
      <c r="X1516" s="175"/>
      <c r="Y1516" s="175"/>
      <c r="Z1516" s="175"/>
      <c r="AA1516" s="175"/>
      <c r="AB1516" s="175"/>
      <c r="AC1516" s="175"/>
      <c r="AD1516" s="175"/>
      <c r="AE1516" s="175"/>
      <c r="AF1516" s="175"/>
      <c r="AG1516" s="175"/>
      <c r="AH1516" s="175"/>
      <c r="AI1516" s="175"/>
    </row>
    <row r="1517">
      <c r="A1517" s="176">
        <v>46183.0</v>
      </c>
      <c r="B1517" s="177">
        <v>8682437.0</v>
      </c>
      <c r="C1517" s="178" t="s">
        <v>89</v>
      </c>
      <c r="D1517" s="178" t="s">
        <v>35</v>
      </c>
      <c r="E1517" s="177">
        <v>6.649815681E9</v>
      </c>
      <c r="F1517" s="178" t="s">
        <v>2749</v>
      </c>
      <c r="G1517" s="176">
        <v>46229.0</v>
      </c>
      <c r="H1517" s="179">
        <v>46231.0</v>
      </c>
      <c r="I1517" s="180">
        <v>2.0</v>
      </c>
      <c r="J1517" s="181" t="s">
        <v>78</v>
      </c>
      <c r="K1517" s="178" t="s">
        <v>79</v>
      </c>
      <c r="L1517" s="178" t="s">
        <v>80</v>
      </c>
      <c r="M1517" s="182">
        <v>0.0</v>
      </c>
      <c r="N1517" s="183">
        <v>0.0</v>
      </c>
      <c r="O1517" s="184">
        <v>0.0</v>
      </c>
      <c r="P1517" s="184">
        <v>0.0</v>
      </c>
      <c r="Q1517" s="185">
        <v>0.0</v>
      </c>
      <c r="R1517" s="186">
        <v>0.0</v>
      </c>
      <c r="S1517" s="186">
        <v>0.0</v>
      </c>
      <c r="T1517" s="186">
        <v>0.0</v>
      </c>
      <c r="U1517" s="187" t="s">
        <v>2751</v>
      </c>
      <c r="V1517" s="176">
        <v>46218.0</v>
      </c>
      <c r="W1517" s="164"/>
      <c r="X1517" s="164"/>
      <c r="Y1517" s="164"/>
      <c r="Z1517" s="164"/>
      <c r="AA1517" s="164"/>
      <c r="AB1517" s="164"/>
      <c r="AC1517" s="164"/>
      <c r="AD1517" s="164"/>
      <c r="AE1517" s="164"/>
      <c r="AF1517" s="164"/>
      <c r="AG1517" s="164"/>
      <c r="AH1517" s="164"/>
      <c r="AI1517" s="164"/>
    </row>
    <row r="1518">
      <c r="A1518" s="176">
        <v>46183.0</v>
      </c>
      <c r="B1518" s="177">
        <v>8683817.0</v>
      </c>
      <c r="C1518" s="178" t="s">
        <v>89</v>
      </c>
      <c r="D1518" s="178" t="s">
        <v>94</v>
      </c>
      <c r="E1518" s="177">
        <v>8683817.0</v>
      </c>
      <c r="F1518" s="178" t="s">
        <v>2754</v>
      </c>
      <c r="G1518" s="176">
        <v>46388.20833333333</v>
      </c>
      <c r="H1518" s="179">
        <v>46391.20833333333</v>
      </c>
      <c r="I1518" s="180">
        <v>3.0</v>
      </c>
      <c r="J1518" s="181" t="s">
        <v>78</v>
      </c>
      <c r="K1518" s="178" t="s">
        <v>79</v>
      </c>
      <c r="L1518" s="178" t="s">
        <v>96</v>
      </c>
      <c r="M1518" s="182">
        <v>0.0</v>
      </c>
      <c r="N1518" s="183">
        <v>0.0</v>
      </c>
      <c r="O1518" s="184">
        <v>0.0</v>
      </c>
      <c r="P1518" s="184">
        <v>0.0</v>
      </c>
      <c r="Q1518" s="185">
        <v>0.0</v>
      </c>
      <c r="R1518" s="186">
        <v>0.0</v>
      </c>
      <c r="S1518" s="186">
        <v>0.0</v>
      </c>
      <c r="T1518" s="186">
        <v>0.0</v>
      </c>
      <c r="U1518" s="187" t="s">
        <v>2757</v>
      </c>
      <c r="V1518" s="176">
        <v>46196.0</v>
      </c>
      <c r="W1518" s="164"/>
      <c r="X1518" s="164"/>
      <c r="Y1518" s="164"/>
      <c r="Z1518" s="164"/>
      <c r="AA1518" s="164"/>
      <c r="AB1518" s="164"/>
      <c r="AC1518" s="164"/>
      <c r="AD1518" s="164"/>
      <c r="AE1518" s="164"/>
      <c r="AF1518" s="164"/>
      <c r="AG1518" s="164"/>
      <c r="AH1518" s="164"/>
      <c r="AI1518" s="164"/>
    </row>
    <row r="1519">
      <c r="A1519" s="176">
        <v>46183.0</v>
      </c>
      <c r="B1519" s="177">
        <v>8683826.0</v>
      </c>
      <c r="C1519" s="178" t="s">
        <v>89</v>
      </c>
      <c r="D1519" s="178" t="s">
        <v>94</v>
      </c>
      <c r="E1519" s="177">
        <v>8683826.0</v>
      </c>
      <c r="F1519" s="178" t="s">
        <v>2758</v>
      </c>
      <c r="G1519" s="176">
        <v>46392.20833333333</v>
      </c>
      <c r="H1519" s="179">
        <v>46394.20833333333</v>
      </c>
      <c r="I1519" s="180">
        <v>2.0</v>
      </c>
      <c r="J1519" s="181" t="s">
        <v>78</v>
      </c>
      <c r="K1519" s="178" t="s">
        <v>79</v>
      </c>
      <c r="L1519" s="178" t="s">
        <v>96</v>
      </c>
      <c r="M1519" s="182">
        <v>0.0</v>
      </c>
      <c r="N1519" s="183">
        <v>0.0</v>
      </c>
      <c r="O1519" s="184">
        <v>0.0</v>
      </c>
      <c r="P1519" s="184">
        <v>0.0</v>
      </c>
      <c r="Q1519" s="185">
        <v>0.0</v>
      </c>
      <c r="R1519" s="186">
        <v>0.0</v>
      </c>
      <c r="S1519" s="186">
        <v>0.0</v>
      </c>
      <c r="T1519" s="186">
        <v>0.0</v>
      </c>
      <c r="U1519" s="187" t="s">
        <v>2757</v>
      </c>
      <c r="V1519" s="176">
        <v>46196.0</v>
      </c>
      <c r="W1519" s="164"/>
      <c r="X1519" s="164"/>
      <c r="Y1519" s="164"/>
      <c r="Z1519" s="164"/>
      <c r="AA1519" s="164"/>
      <c r="AB1519" s="164"/>
      <c r="AC1519" s="164"/>
      <c r="AD1519" s="164"/>
      <c r="AE1519" s="164"/>
      <c r="AF1519" s="164"/>
      <c r="AG1519" s="164"/>
      <c r="AH1519" s="164"/>
      <c r="AI1519" s="164"/>
    </row>
    <row r="1520">
      <c r="A1520" s="176">
        <v>46183.0</v>
      </c>
      <c r="B1520" s="177">
        <v>8685836.0</v>
      </c>
      <c r="C1520" s="178" t="s">
        <v>89</v>
      </c>
      <c r="D1520" s="178" t="s">
        <v>35</v>
      </c>
      <c r="E1520" s="177">
        <v>6.649800912E9</v>
      </c>
      <c r="F1520" s="178" t="s">
        <v>2763</v>
      </c>
      <c r="G1520" s="176">
        <v>46249.0</v>
      </c>
      <c r="H1520" s="179">
        <v>46251.0</v>
      </c>
      <c r="I1520" s="180">
        <v>2.0</v>
      </c>
      <c r="J1520" s="181" t="s">
        <v>114</v>
      </c>
      <c r="K1520" s="178" t="s">
        <v>79</v>
      </c>
      <c r="L1520" s="178" t="s">
        <v>80</v>
      </c>
      <c r="M1520" s="182">
        <v>0.0</v>
      </c>
      <c r="N1520" s="183">
        <v>0.0</v>
      </c>
      <c r="O1520" s="184">
        <v>0.0</v>
      </c>
      <c r="P1520" s="184">
        <v>0.0</v>
      </c>
      <c r="Q1520" s="185">
        <v>0.0</v>
      </c>
      <c r="R1520" s="186">
        <v>0.0</v>
      </c>
      <c r="S1520" s="186">
        <v>0.0</v>
      </c>
      <c r="T1520" s="186">
        <v>0.0</v>
      </c>
      <c r="U1520" s="187" t="s">
        <v>2767</v>
      </c>
      <c r="V1520" s="176">
        <v>46242.0</v>
      </c>
      <c r="W1520" s="188"/>
      <c r="X1520" s="188"/>
      <c r="Y1520" s="188"/>
      <c r="Z1520" s="188"/>
      <c r="AA1520" s="188"/>
      <c r="AB1520" s="188"/>
      <c r="AC1520" s="188"/>
      <c r="AD1520" s="188"/>
      <c r="AE1520" s="188"/>
      <c r="AF1520" s="188"/>
      <c r="AG1520" s="188"/>
      <c r="AH1520" s="188"/>
      <c r="AI1520" s="188"/>
    </row>
    <row r="1521">
      <c r="A1521" s="176">
        <v>46183.0</v>
      </c>
      <c r="B1521" s="177">
        <v>8685836.0</v>
      </c>
      <c r="C1521" s="178" t="s">
        <v>89</v>
      </c>
      <c r="D1521" s="178" t="s">
        <v>35</v>
      </c>
      <c r="E1521" s="177">
        <v>6.649800912E9</v>
      </c>
      <c r="F1521" s="178" t="s">
        <v>2763</v>
      </c>
      <c r="G1521" s="176">
        <v>46249.0</v>
      </c>
      <c r="H1521" s="179">
        <v>46251.0</v>
      </c>
      <c r="I1521" s="180">
        <v>2.0</v>
      </c>
      <c r="J1521" s="181" t="s">
        <v>114</v>
      </c>
      <c r="K1521" s="178" t="s">
        <v>79</v>
      </c>
      <c r="L1521" s="178" t="s">
        <v>80</v>
      </c>
      <c r="M1521" s="182">
        <v>0.0</v>
      </c>
      <c r="N1521" s="183">
        <v>0.0</v>
      </c>
      <c r="O1521" s="184">
        <v>0.0</v>
      </c>
      <c r="P1521" s="184">
        <v>0.0</v>
      </c>
      <c r="Q1521" s="185">
        <v>0.0</v>
      </c>
      <c r="R1521" s="186">
        <v>0.0</v>
      </c>
      <c r="S1521" s="186">
        <v>0.0</v>
      </c>
      <c r="T1521" s="186">
        <v>0.0</v>
      </c>
      <c r="U1521" s="187" t="s">
        <v>2767</v>
      </c>
      <c r="V1521" s="176">
        <v>46242.0</v>
      </c>
      <c r="W1521" s="175"/>
      <c r="X1521" s="175"/>
      <c r="Y1521" s="175"/>
      <c r="Z1521" s="175"/>
      <c r="AA1521" s="175"/>
      <c r="AB1521" s="175"/>
      <c r="AC1521" s="175"/>
      <c r="AD1521" s="175"/>
      <c r="AE1521" s="175"/>
      <c r="AF1521" s="175"/>
      <c r="AG1521" s="175"/>
      <c r="AH1521" s="175"/>
      <c r="AI1521" s="175"/>
    </row>
    <row r="1522">
      <c r="A1522" s="176">
        <v>46183.0</v>
      </c>
      <c r="B1522" s="177">
        <v>8686112.0</v>
      </c>
      <c r="C1522" s="178" t="s">
        <v>89</v>
      </c>
      <c r="D1522" s="178" t="s">
        <v>35</v>
      </c>
      <c r="E1522" s="177">
        <v>5.048987041E9</v>
      </c>
      <c r="F1522" s="178" t="s">
        <v>2772</v>
      </c>
      <c r="G1522" s="176">
        <v>46258.0</v>
      </c>
      <c r="H1522" s="179">
        <v>46267.0</v>
      </c>
      <c r="I1522" s="180">
        <v>9.0</v>
      </c>
      <c r="J1522" s="181" t="s">
        <v>111</v>
      </c>
      <c r="K1522" s="178" t="s">
        <v>79</v>
      </c>
      <c r="L1522" s="178" t="s">
        <v>80</v>
      </c>
      <c r="M1522" s="182">
        <v>0.0</v>
      </c>
      <c r="N1522" s="183">
        <v>0.0</v>
      </c>
      <c r="O1522" s="184">
        <v>0.0</v>
      </c>
      <c r="P1522" s="184">
        <v>0.0</v>
      </c>
      <c r="Q1522" s="185">
        <v>0.0</v>
      </c>
      <c r="R1522" s="186">
        <v>0.0</v>
      </c>
      <c r="S1522" s="186">
        <v>0.0</v>
      </c>
      <c r="T1522" s="186">
        <v>0.0</v>
      </c>
      <c r="U1522" s="187" t="s">
        <v>2751</v>
      </c>
      <c r="V1522" s="176">
        <v>46232.0</v>
      </c>
      <c r="W1522" s="164"/>
      <c r="X1522" s="164"/>
      <c r="Y1522" s="164"/>
      <c r="Z1522" s="164"/>
      <c r="AA1522" s="164"/>
      <c r="AB1522" s="164"/>
      <c r="AC1522" s="164"/>
      <c r="AD1522" s="164"/>
      <c r="AE1522" s="164"/>
      <c r="AF1522" s="164"/>
      <c r="AG1522" s="164"/>
      <c r="AH1522" s="164"/>
      <c r="AI1522" s="164"/>
    </row>
    <row r="1523">
      <c r="A1523" s="176">
        <v>46184.0</v>
      </c>
      <c r="B1523" s="177">
        <v>8690088.0</v>
      </c>
      <c r="C1523" s="178" t="s">
        <v>82</v>
      </c>
      <c r="D1523" s="178" t="s">
        <v>35</v>
      </c>
      <c r="E1523" s="177">
        <v>6.483672345E9</v>
      </c>
      <c r="F1523" s="178" t="s">
        <v>2780</v>
      </c>
      <c r="G1523" s="176">
        <v>46475.20833333333</v>
      </c>
      <c r="H1523" s="179">
        <v>46480.20833333333</v>
      </c>
      <c r="I1523" s="180">
        <v>5.0</v>
      </c>
      <c r="J1523" s="181" t="s">
        <v>78</v>
      </c>
      <c r="K1523" s="178" t="s">
        <v>79</v>
      </c>
      <c r="L1523" s="178" t="s">
        <v>80</v>
      </c>
      <c r="M1523" s="182">
        <v>2.0</v>
      </c>
      <c r="N1523" s="183">
        <v>0.19999999999999996</v>
      </c>
      <c r="O1523" s="184">
        <v>154.05</v>
      </c>
      <c r="P1523" s="184">
        <v>123.24000000000001</v>
      </c>
      <c r="Q1523" s="185">
        <v>0.0</v>
      </c>
      <c r="R1523" s="186">
        <v>616.2</v>
      </c>
      <c r="S1523" s="186">
        <v>0.0</v>
      </c>
      <c r="T1523" s="186">
        <v>795.25</v>
      </c>
      <c r="U1523" s="187" t="s">
        <v>143</v>
      </c>
      <c r="V1523" s="176">
        <v>46184.0</v>
      </c>
      <c r="W1523" s="164"/>
      <c r="X1523" s="164"/>
      <c r="Y1523" s="164"/>
      <c r="Z1523" s="164"/>
      <c r="AA1523" s="164"/>
      <c r="AB1523" s="164"/>
      <c r="AC1523" s="164"/>
      <c r="AD1523" s="164"/>
      <c r="AE1523" s="164"/>
      <c r="AF1523" s="164"/>
      <c r="AG1523" s="164"/>
      <c r="AH1523" s="164"/>
      <c r="AI1523" s="164"/>
    </row>
    <row r="1524">
      <c r="A1524" s="176">
        <v>46184.0</v>
      </c>
      <c r="B1524" s="177">
        <v>8690385.0</v>
      </c>
      <c r="C1524" s="178" t="s">
        <v>82</v>
      </c>
      <c r="D1524" s="178" t="s">
        <v>35</v>
      </c>
      <c r="E1524" s="177">
        <v>5.660248114E9</v>
      </c>
      <c r="F1524" s="178" t="s">
        <v>2785</v>
      </c>
      <c r="G1524" s="176">
        <v>46214.0</v>
      </c>
      <c r="H1524" s="179">
        <v>46216.0</v>
      </c>
      <c r="I1524" s="180">
        <v>2.0</v>
      </c>
      <c r="J1524" s="181" t="s">
        <v>114</v>
      </c>
      <c r="K1524" s="178" t="s">
        <v>79</v>
      </c>
      <c r="L1524" s="178" t="s">
        <v>80</v>
      </c>
      <c r="M1524" s="182">
        <v>2.0</v>
      </c>
      <c r="N1524" s="183">
        <v>0.19999999999999996</v>
      </c>
      <c r="O1524" s="184">
        <v>153.12</v>
      </c>
      <c r="P1524" s="184">
        <v>122.49600000000001</v>
      </c>
      <c r="Q1524" s="185">
        <v>0.0</v>
      </c>
      <c r="R1524" s="186">
        <v>244.99200000000002</v>
      </c>
      <c r="S1524" s="186">
        <v>0.0</v>
      </c>
      <c r="T1524" s="186">
        <v>316.24</v>
      </c>
      <c r="U1524" s="187" t="s">
        <v>107</v>
      </c>
      <c r="V1524" s="176">
        <v>46184.0</v>
      </c>
      <c r="W1524" s="164"/>
      <c r="X1524" s="164"/>
      <c r="Y1524" s="164"/>
      <c r="Z1524" s="164"/>
      <c r="AA1524" s="164"/>
      <c r="AB1524" s="164"/>
      <c r="AC1524" s="164"/>
      <c r="AD1524" s="164"/>
      <c r="AE1524" s="164"/>
      <c r="AF1524" s="164"/>
      <c r="AG1524" s="164"/>
      <c r="AH1524" s="164"/>
      <c r="AI1524" s="164"/>
    </row>
    <row r="1525">
      <c r="A1525" s="176">
        <v>46184.0</v>
      </c>
      <c r="B1525" s="177">
        <v>8690850.0</v>
      </c>
      <c r="C1525" s="178" t="s">
        <v>82</v>
      </c>
      <c r="D1525" s="178" t="s">
        <v>35</v>
      </c>
      <c r="E1525" s="177">
        <v>6.483625557E9</v>
      </c>
      <c r="F1525" s="178" t="s">
        <v>1375</v>
      </c>
      <c r="G1525" s="176">
        <v>46307.20833333333</v>
      </c>
      <c r="H1525" s="179">
        <v>46308.20833333333</v>
      </c>
      <c r="I1525" s="180">
        <v>1.0</v>
      </c>
      <c r="J1525" s="181" t="s">
        <v>78</v>
      </c>
      <c r="K1525" s="178" t="s">
        <v>79</v>
      </c>
      <c r="L1525" s="178" t="s">
        <v>80</v>
      </c>
      <c r="M1525" s="182">
        <v>2.0</v>
      </c>
      <c r="N1525" s="183">
        <v>0.19999999999999996</v>
      </c>
      <c r="O1525" s="184">
        <v>224.77</v>
      </c>
      <c r="P1525" s="184">
        <v>179.81600000000003</v>
      </c>
      <c r="Q1525" s="185">
        <v>0.0</v>
      </c>
      <c r="R1525" s="186">
        <v>179.81600000000003</v>
      </c>
      <c r="S1525" s="186">
        <v>0.0</v>
      </c>
      <c r="T1525" s="186">
        <v>229.77</v>
      </c>
      <c r="U1525" s="187" t="s">
        <v>303</v>
      </c>
      <c r="V1525" s="176">
        <v>46184.0</v>
      </c>
      <c r="W1525" s="175"/>
      <c r="X1525" s="175"/>
      <c r="Y1525" s="175"/>
      <c r="Z1525" s="175"/>
      <c r="AA1525" s="175"/>
      <c r="AB1525" s="175"/>
      <c r="AC1525" s="175"/>
      <c r="AD1525" s="175"/>
      <c r="AE1525" s="175"/>
      <c r="AF1525" s="175"/>
      <c r="AG1525" s="175"/>
      <c r="AH1525" s="175"/>
      <c r="AI1525" s="175"/>
    </row>
    <row r="1526">
      <c r="A1526" s="176">
        <v>46185.0</v>
      </c>
      <c r="B1526" s="177">
        <v>8693620.0</v>
      </c>
      <c r="C1526" s="178" t="s">
        <v>82</v>
      </c>
      <c r="D1526" s="178" t="s">
        <v>35</v>
      </c>
      <c r="E1526" s="177">
        <v>5.767550775E9</v>
      </c>
      <c r="F1526" s="178" t="s">
        <v>2795</v>
      </c>
      <c r="G1526" s="176">
        <v>46196.0</v>
      </c>
      <c r="H1526" s="179">
        <v>46197.0</v>
      </c>
      <c r="I1526" s="180">
        <v>1.0</v>
      </c>
      <c r="J1526" s="181" t="s">
        <v>114</v>
      </c>
      <c r="K1526" s="178" t="s">
        <v>79</v>
      </c>
      <c r="L1526" s="178" t="s">
        <v>80</v>
      </c>
      <c r="M1526" s="182">
        <v>2.0</v>
      </c>
      <c r="N1526" s="183">
        <v>0.19999999999999996</v>
      </c>
      <c r="O1526" s="184">
        <v>151.33</v>
      </c>
      <c r="P1526" s="184">
        <v>121.06400000000002</v>
      </c>
      <c r="Q1526" s="185">
        <v>0.0</v>
      </c>
      <c r="R1526" s="186">
        <v>121.06400000000002</v>
      </c>
      <c r="S1526" s="186">
        <v>0.0</v>
      </c>
      <c r="T1526" s="186">
        <v>156.33</v>
      </c>
      <c r="U1526" s="187" t="s">
        <v>1441</v>
      </c>
      <c r="V1526" s="176">
        <v>46185.0</v>
      </c>
      <c r="W1526" s="175"/>
      <c r="X1526" s="175"/>
      <c r="Y1526" s="175"/>
      <c r="Z1526" s="175"/>
      <c r="AA1526" s="175"/>
      <c r="AB1526" s="175"/>
      <c r="AC1526" s="175"/>
      <c r="AD1526" s="175"/>
      <c r="AE1526" s="175"/>
      <c r="AF1526" s="175"/>
      <c r="AG1526" s="175"/>
      <c r="AH1526" s="175"/>
      <c r="AI1526" s="175"/>
    </row>
    <row r="1527">
      <c r="A1527" s="176">
        <v>46185.0</v>
      </c>
      <c r="B1527" s="177">
        <v>8694931.0</v>
      </c>
      <c r="C1527" s="178" t="s">
        <v>82</v>
      </c>
      <c r="D1527" s="178" t="s">
        <v>35</v>
      </c>
      <c r="E1527" s="177">
        <v>5.401825813E9</v>
      </c>
      <c r="F1527" s="178" t="s">
        <v>2806</v>
      </c>
      <c r="G1527" s="176">
        <v>46235.0</v>
      </c>
      <c r="H1527" s="179">
        <v>46239.0</v>
      </c>
      <c r="I1527" s="180">
        <v>4.0</v>
      </c>
      <c r="J1527" s="181" t="s">
        <v>111</v>
      </c>
      <c r="K1527" s="178" t="s">
        <v>79</v>
      </c>
      <c r="L1527" s="178" t="s">
        <v>80</v>
      </c>
      <c r="M1527" s="182">
        <v>1.0</v>
      </c>
      <c r="N1527" s="183">
        <v>0.19999999999999996</v>
      </c>
      <c r="O1527" s="184">
        <v>156.83</v>
      </c>
      <c r="P1527" s="184">
        <v>125.46400000000001</v>
      </c>
      <c r="Q1527" s="185">
        <v>0.0</v>
      </c>
      <c r="R1527" s="186">
        <v>501.85600000000005</v>
      </c>
      <c r="S1527" s="186">
        <v>0.0</v>
      </c>
      <c r="T1527" s="186">
        <v>637.32</v>
      </c>
      <c r="U1527" s="187" t="s">
        <v>107</v>
      </c>
      <c r="V1527" s="176">
        <v>46185.0</v>
      </c>
      <c r="W1527" s="175"/>
      <c r="X1527" s="175"/>
      <c r="Y1527" s="175"/>
      <c r="Z1527" s="175"/>
      <c r="AA1527" s="175"/>
      <c r="AB1527" s="175"/>
      <c r="AC1527" s="175"/>
      <c r="AD1527" s="175"/>
      <c r="AE1527" s="175"/>
      <c r="AF1527" s="175"/>
      <c r="AG1527" s="175"/>
      <c r="AH1527" s="175"/>
      <c r="AI1527" s="175"/>
    </row>
    <row r="1528">
      <c r="A1528" s="176">
        <v>46185.0</v>
      </c>
      <c r="B1528" s="177">
        <v>8694942.0</v>
      </c>
      <c r="C1528" s="178" t="s">
        <v>82</v>
      </c>
      <c r="D1528" s="178" t="s">
        <v>35</v>
      </c>
      <c r="E1528" s="177">
        <v>6.190868903E9</v>
      </c>
      <c r="F1528" s="178" t="s">
        <v>2806</v>
      </c>
      <c r="G1528" s="176">
        <v>46235.0</v>
      </c>
      <c r="H1528" s="179">
        <v>46237.0</v>
      </c>
      <c r="I1528" s="180">
        <v>2.0</v>
      </c>
      <c r="J1528" s="181" t="s">
        <v>114</v>
      </c>
      <c r="K1528" s="178" t="s">
        <v>79</v>
      </c>
      <c r="L1528" s="178" t="s">
        <v>80</v>
      </c>
      <c r="M1528" s="182">
        <v>2.0</v>
      </c>
      <c r="N1528" s="183">
        <v>0.19999999999999996</v>
      </c>
      <c r="O1528" s="184">
        <v>138.84</v>
      </c>
      <c r="P1528" s="184">
        <v>111.072</v>
      </c>
      <c r="Q1528" s="185">
        <v>0.0</v>
      </c>
      <c r="R1528" s="186">
        <v>222.144</v>
      </c>
      <c r="S1528" s="186">
        <v>0.0</v>
      </c>
      <c r="T1528" s="186">
        <v>287.68</v>
      </c>
      <c r="U1528" s="187" t="s">
        <v>107</v>
      </c>
      <c r="V1528" s="176">
        <v>46185.0</v>
      </c>
      <c r="W1528" s="175"/>
      <c r="X1528" s="175"/>
      <c r="Y1528" s="175"/>
      <c r="Z1528" s="175"/>
      <c r="AA1528" s="175"/>
      <c r="AB1528" s="175"/>
      <c r="AC1528" s="175"/>
      <c r="AD1528" s="175"/>
      <c r="AE1528" s="175"/>
      <c r="AF1528" s="175"/>
      <c r="AG1528" s="175"/>
      <c r="AH1528" s="175"/>
      <c r="AI1528" s="175"/>
    </row>
    <row r="1529">
      <c r="A1529" s="176">
        <v>46186.0</v>
      </c>
      <c r="B1529" s="177">
        <v>8699438.0</v>
      </c>
      <c r="C1529" s="178" t="s">
        <v>89</v>
      </c>
      <c r="D1529" s="178" t="s">
        <v>35</v>
      </c>
      <c r="E1529" s="177">
        <v>5.386135791E9</v>
      </c>
      <c r="F1529" s="178" t="s">
        <v>2815</v>
      </c>
      <c r="G1529" s="176">
        <v>46435.0</v>
      </c>
      <c r="H1529" s="179">
        <v>46439.0</v>
      </c>
      <c r="I1529" s="180">
        <v>4.0</v>
      </c>
      <c r="J1529" s="181" t="s">
        <v>78</v>
      </c>
      <c r="K1529" s="178" t="s">
        <v>79</v>
      </c>
      <c r="L1529" s="178" t="s">
        <v>80</v>
      </c>
      <c r="M1529" s="182">
        <v>0.0</v>
      </c>
      <c r="N1529" s="183">
        <v>0.0</v>
      </c>
      <c r="O1529" s="184">
        <v>0.0</v>
      </c>
      <c r="P1529" s="184">
        <v>0.0</v>
      </c>
      <c r="Q1529" s="185">
        <v>0.0</v>
      </c>
      <c r="R1529" s="186">
        <v>0.0</v>
      </c>
      <c r="S1529" s="186">
        <v>0.0</v>
      </c>
      <c r="T1529" s="186">
        <v>0.0</v>
      </c>
      <c r="U1529" s="187" t="s">
        <v>2817</v>
      </c>
      <c r="V1529" s="176">
        <v>46228.0</v>
      </c>
      <c r="W1529" s="164"/>
      <c r="X1529" s="164"/>
      <c r="Y1529" s="164"/>
      <c r="Z1529" s="164"/>
      <c r="AA1529" s="164"/>
      <c r="AB1529" s="164"/>
      <c r="AC1529" s="164"/>
      <c r="AD1529" s="164"/>
      <c r="AE1529" s="164"/>
      <c r="AF1529" s="164"/>
      <c r="AG1529" s="164"/>
      <c r="AH1529" s="164"/>
      <c r="AI1529" s="164"/>
    </row>
    <row r="1530">
      <c r="A1530" s="176">
        <v>46187.0</v>
      </c>
      <c r="B1530" s="177">
        <v>8703308.0</v>
      </c>
      <c r="C1530" s="178" t="s">
        <v>75</v>
      </c>
      <c r="D1530" s="178" t="s">
        <v>94</v>
      </c>
      <c r="E1530" s="177">
        <v>8703308.0</v>
      </c>
      <c r="F1530" s="178" t="s">
        <v>2820</v>
      </c>
      <c r="G1530" s="176">
        <v>46219.0</v>
      </c>
      <c r="H1530" s="179">
        <v>46222.0</v>
      </c>
      <c r="I1530" s="180">
        <v>3.0</v>
      </c>
      <c r="J1530" s="181" t="s">
        <v>78</v>
      </c>
      <c r="K1530" s="178" t="s">
        <v>79</v>
      </c>
      <c r="L1530" s="178" t="s">
        <v>96</v>
      </c>
      <c r="M1530" s="182">
        <v>2.0</v>
      </c>
      <c r="N1530" s="183">
        <v>0.0</v>
      </c>
      <c r="O1530" s="184">
        <v>181.44000000000003</v>
      </c>
      <c r="P1530" s="184">
        <v>181.44000000000003</v>
      </c>
      <c r="Q1530" s="185">
        <v>0.0</v>
      </c>
      <c r="R1530" s="186">
        <v>544.32</v>
      </c>
      <c r="S1530" s="186">
        <v>0.0</v>
      </c>
      <c r="T1530" s="186">
        <v>559.32</v>
      </c>
      <c r="U1530" s="187" t="s">
        <v>2824</v>
      </c>
      <c r="V1530" s="176">
        <v>46187.0</v>
      </c>
      <c r="W1530" s="164"/>
      <c r="X1530" s="164"/>
      <c r="Y1530" s="164"/>
      <c r="Z1530" s="164"/>
      <c r="AA1530" s="164"/>
      <c r="AB1530" s="164"/>
      <c r="AC1530" s="164"/>
      <c r="AD1530" s="164"/>
      <c r="AE1530" s="164"/>
      <c r="AF1530" s="164"/>
      <c r="AG1530" s="164"/>
      <c r="AH1530" s="164"/>
      <c r="AI1530" s="164"/>
    </row>
    <row r="1531">
      <c r="A1531" s="176">
        <v>46187.0</v>
      </c>
      <c r="B1531" s="177">
        <v>8703942.0</v>
      </c>
      <c r="C1531" s="178" t="s">
        <v>82</v>
      </c>
      <c r="D1531" s="178" t="s">
        <v>35</v>
      </c>
      <c r="E1531" s="177">
        <v>6.063194712E9</v>
      </c>
      <c r="F1531" s="178" t="s">
        <v>2828</v>
      </c>
      <c r="G1531" s="176">
        <v>46379.20833333333</v>
      </c>
      <c r="H1531" s="179">
        <v>46381.20833333333</v>
      </c>
      <c r="I1531" s="180">
        <v>2.0</v>
      </c>
      <c r="J1531" s="181" t="s">
        <v>78</v>
      </c>
      <c r="K1531" s="178" t="s">
        <v>79</v>
      </c>
      <c r="L1531" s="178" t="s">
        <v>80</v>
      </c>
      <c r="M1531" s="182">
        <v>3.0</v>
      </c>
      <c r="N1531" s="183">
        <v>0.19999999999999996</v>
      </c>
      <c r="O1531" s="184">
        <v>221.64</v>
      </c>
      <c r="P1531" s="184">
        <v>177.312</v>
      </c>
      <c r="Q1531" s="185">
        <v>0.0</v>
      </c>
      <c r="R1531" s="186">
        <v>354.624</v>
      </c>
      <c r="S1531" s="186">
        <v>0.0</v>
      </c>
      <c r="T1531" s="186">
        <v>916.56</v>
      </c>
      <c r="U1531" s="187" t="s">
        <v>353</v>
      </c>
      <c r="V1531" s="176">
        <v>46187.0</v>
      </c>
      <c r="W1531" s="175"/>
      <c r="X1531" s="175"/>
      <c r="Y1531" s="175"/>
      <c r="Z1531" s="175"/>
      <c r="AA1531" s="175"/>
      <c r="AB1531" s="175"/>
      <c r="AC1531" s="175"/>
      <c r="AD1531" s="175"/>
      <c r="AE1531" s="175"/>
      <c r="AF1531" s="175"/>
      <c r="AG1531" s="175"/>
      <c r="AH1531" s="175"/>
      <c r="AI1531" s="175"/>
    </row>
    <row r="1532">
      <c r="A1532" s="176">
        <v>46187.0</v>
      </c>
      <c r="B1532" s="177">
        <v>8703942.0</v>
      </c>
      <c r="C1532" s="178" t="s">
        <v>82</v>
      </c>
      <c r="D1532" s="178" t="s">
        <v>35</v>
      </c>
      <c r="E1532" s="177">
        <v>6.063194712E9</v>
      </c>
      <c r="F1532" s="178" t="s">
        <v>2828</v>
      </c>
      <c r="G1532" s="176">
        <v>46379.20833333333</v>
      </c>
      <c r="H1532" s="179">
        <v>46381.20833333333</v>
      </c>
      <c r="I1532" s="180">
        <v>2.0</v>
      </c>
      <c r="J1532" s="181" t="s">
        <v>78</v>
      </c>
      <c r="K1532" s="178" t="s">
        <v>79</v>
      </c>
      <c r="L1532" s="178" t="s">
        <v>80</v>
      </c>
      <c r="M1532" s="182">
        <v>3.0</v>
      </c>
      <c r="N1532" s="183">
        <v>0.19999999999999996</v>
      </c>
      <c r="O1532" s="184">
        <v>221.64</v>
      </c>
      <c r="P1532" s="184">
        <v>177.312</v>
      </c>
      <c r="Q1532" s="185">
        <v>0.0</v>
      </c>
      <c r="R1532" s="186">
        <v>354.624</v>
      </c>
      <c r="S1532" s="186">
        <v>0.0</v>
      </c>
      <c r="T1532" s="186">
        <v>916.56</v>
      </c>
      <c r="U1532" s="187" t="s">
        <v>353</v>
      </c>
      <c r="V1532" s="176">
        <v>46187.0</v>
      </c>
      <c r="W1532" s="175"/>
      <c r="X1532" s="175"/>
      <c r="Y1532" s="175"/>
      <c r="Z1532" s="175"/>
      <c r="AA1532" s="175"/>
      <c r="AB1532" s="175"/>
      <c r="AC1532" s="175"/>
      <c r="AD1532" s="175"/>
      <c r="AE1532" s="175"/>
      <c r="AF1532" s="175"/>
      <c r="AG1532" s="175"/>
      <c r="AH1532" s="175"/>
      <c r="AI1532" s="175"/>
    </row>
    <row r="1533">
      <c r="A1533" s="176">
        <v>46189.0</v>
      </c>
      <c r="B1533" s="177">
        <v>8711458.0</v>
      </c>
      <c r="C1533" s="178" t="s">
        <v>82</v>
      </c>
      <c r="D1533" s="178" t="s">
        <v>35</v>
      </c>
      <c r="E1533" s="177">
        <v>5.627286636E9</v>
      </c>
      <c r="F1533" s="178" t="s">
        <v>2838</v>
      </c>
      <c r="G1533" s="176">
        <v>46190.0</v>
      </c>
      <c r="H1533" s="179">
        <v>46191.0</v>
      </c>
      <c r="I1533" s="180">
        <v>1.0</v>
      </c>
      <c r="J1533" s="181" t="s">
        <v>78</v>
      </c>
      <c r="K1533" s="178" t="s">
        <v>79</v>
      </c>
      <c r="L1533" s="178" t="s">
        <v>80</v>
      </c>
      <c r="M1533" s="182">
        <v>2.0</v>
      </c>
      <c r="N1533" s="183">
        <v>0.19999999999999996</v>
      </c>
      <c r="O1533" s="184">
        <v>138.54</v>
      </c>
      <c r="P1533" s="184">
        <v>110.832</v>
      </c>
      <c r="Q1533" s="185">
        <v>0.0</v>
      </c>
      <c r="R1533" s="186">
        <v>110.832</v>
      </c>
      <c r="S1533" s="186">
        <v>0.0</v>
      </c>
      <c r="T1533" s="186">
        <v>143.54</v>
      </c>
      <c r="U1533" s="187" t="s">
        <v>1441</v>
      </c>
      <c r="V1533" s="176">
        <v>46189.0</v>
      </c>
      <c r="W1533" s="175"/>
      <c r="X1533" s="175"/>
      <c r="Y1533" s="175"/>
      <c r="Z1533" s="175"/>
      <c r="AA1533" s="175"/>
      <c r="AB1533" s="175"/>
      <c r="AC1533" s="175"/>
      <c r="AD1533" s="175"/>
      <c r="AE1533" s="175"/>
      <c r="AF1533" s="175"/>
      <c r="AG1533" s="175"/>
      <c r="AH1533" s="175"/>
      <c r="AI1533" s="175"/>
    </row>
    <row r="1534">
      <c r="A1534" s="176">
        <v>46189.0</v>
      </c>
      <c r="B1534" s="177">
        <v>8713180.0</v>
      </c>
      <c r="C1534" s="178" t="s">
        <v>82</v>
      </c>
      <c r="D1534" s="178" t="s">
        <v>94</v>
      </c>
      <c r="E1534" s="177">
        <v>8713180.0</v>
      </c>
      <c r="F1534" s="178" t="s">
        <v>2842</v>
      </c>
      <c r="G1534" s="176">
        <v>46222.0</v>
      </c>
      <c r="H1534" s="179">
        <v>46227.0</v>
      </c>
      <c r="I1534" s="180">
        <v>5.0</v>
      </c>
      <c r="J1534" s="181" t="s">
        <v>78</v>
      </c>
      <c r="K1534" s="178" t="s">
        <v>79</v>
      </c>
      <c r="L1534" s="178" t="s">
        <v>96</v>
      </c>
      <c r="M1534" s="182">
        <v>2.0</v>
      </c>
      <c r="N1534" s="183">
        <v>0.0</v>
      </c>
      <c r="O1534" s="184">
        <v>181.44</v>
      </c>
      <c r="P1534" s="184">
        <v>181.44</v>
      </c>
      <c r="Q1534" s="185">
        <v>0.0</v>
      </c>
      <c r="R1534" s="186">
        <v>907.2</v>
      </c>
      <c r="S1534" s="186">
        <v>0.0</v>
      </c>
      <c r="T1534" s="186">
        <v>1864.4</v>
      </c>
      <c r="U1534" s="187" t="s">
        <v>97</v>
      </c>
      <c r="V1534" s="176">
        <v>46189.0</v>
      </c>
      <c r="W1534" s="175"/>
      <c r="X1534" s="175"/>
      <c r="Y1534" s="175"/>
      <c r="Z1534" s="175"/>
      <c r="AA1534" s="175"/>
      <c r="AB1534" s="175"/>
      <c r="AC1534" s="175"/>
      <c r="AD1534" s="175"/>
      <c r="AE1534" s="175"/>
      <c r="AF1534" s="175"/>
      <c r="AG1534" s="175"/>
      <c r="AH1534" s="175"/>
      <c r="AI1534" s="175"/>
    </row>
    <row r="1535">
      <c r="A1535" s="176">
        <v>46189.0</v>
      </c>
      <c r="B1535" s="177">
        <v>8713180.0</v>
      </c>
      <c r="C1535" s="178" t="s">
        <v>82</v>
      </c>
      <c r="D1535" s="178" t="s">
        <v>94</v>
      </c>
      <c r="E1535" s="177">
        <v>8713180.0</v>
      </c>
      <c r="F1535" s="178" t="s">
        <v>2842</v>
      </c>
      <c r="G1535" s="176">
        <v>46222.0</v>
      </c>
      <c r="H1535" s="179">
        <v>46227.0</v>
      </c>
      <c r="I1535" s="180">
        <v>5.0</v>
      </c>
      <c r="J1535" s="181" t="s">
        <v>78</v>
      </c>
      <c r="K1535" s="178" t="s">
        <v>79</v>
      </c>
      <c r="L1535" s="178" t="s">
        <v>96</v>
      </c>
      <c r="M1535" s="182">
        <v>2.0</v>
      </c>
      <c r="N1535" s="183">
        <v>0.0</v>
      </c>
      <c r="O1535" s="184">
        <v>181.44</v>
      </c>
      <c r="P1535" s="184">
        <v>181.44</v>
      </c>
      <c r="Q1535" s="185">
        <v>0.0</v>
      </c>
      <c r="R1535" s="186">
        <v>907.2</v>
      </c>
      <c r="S1535" s="186">
        <v>0.0</v>
      </c>
      <c r="T1535" s="186">
        <v>1864.4</v>
      </c>
      <c r="U1535" s="187" t="s">
        <v>97</v>
      </c>
      <c r="V1535" s="176">
        <v>46189.0</v>
      </c>
      <c r="W1535" s="175"/>
      <c r="X1535" s="175"/>
      <c r="Y1535" s="175"/>
      <c r="Z1535" s="175"/>
      <c r="AA1535" s="175"/>
      <c r="AB1535" s="175"/>
      <c r="AC1535" s="175"/>
      <c r="AD1535" s="175"/>
      <c r="AE1535" s="175"/>
      <c r="AF1535" s="175"/>
      <c r="AG1535" s="175"/>
      <c r="AH1535" s="175"/>
      <c r="AI1535" s="175"/>
    </row>
    <row r="1536">
      <c r="A1536" s="176">
        <v>46189.0</v>
      </c>
      <c r="B1536" s="177">
        <v>8714047.0</v>
      </c>
      <c r="C1536" s="178" t="s">
        <v>89</v>
      </c>
      <c r="D1536" s="178" t="s">
        <v>35</v>
      </c>
      <c r="E1536" s="177">
        <v>6.400566439E9</v>
      </c>
      <c r="F1536" s="178" t="s">
        <v>2640</v>
      </c>
      <c r="G1536" s="176">
        <v>46279.0</v>
      </c>
      <c r="H1536" s="179">
        <v>46283.0</v>
      </c>
      <c r="I1536" s="180">
        <v>4.0</v>
      </c>
      <c r="J1536" s="181" t="s">
        <v>78</v>
      </c>
      <c r="K1536" s="178" t="s">
        <v>79</v>
      </c>
      <c r="L1536" s="178" t="s">
        <v>80</v>
      </c>
      <c r="M1536" s="182">
        <v>0.0</v>
      </c>
      <c r="N1536" s="183">
        <v>0.0</v>
      </c>
      <c r="O1536" s="184">
        <v>0.0</v>
      </c>
      <c r="P1536" s="184">
        <v>0.0</v>
      </c>
      <c r="Q1536" s="185">
        <v>0.0</v>
      </c>
      <c r="R1536" s="186">
        <v>0.0</v>
      </c>
      <c r="S1536" s="186">
        <v>0.0</v>
      </c>
      <c r="T1536" s="186">
        <v>0.0</v>
      </c>
      <c r="U1536" s="187" t="s">
        <v>2850</v>
      </c>
      <c r="V1536" s="176">
        <v>46209.0</v>
      </c>
      <c r="W1536" s="164"/>
      <c r="X1536" s="164"/>
      <c r="Y1536" s="164"/>
      <c r="Z1536" s="164"/>
      <c r="AA1536" s="164"/>
      <c r="AB1536" s="164"/>
      <c r="AC1536" s="164"/>
      <c r="AD1536" s="164"/>
      <c r="AE1536" s="164"/>
      <c r="AF1536" s="164"/>
      <c r="AG1536" s="164"/>
      <c r="AH1536" s="164"/>
      <c r="AI1536" s="164"/>
    </row>
    <row r="1537">
      <c r="A1537" s="176">
        <v>46190.0</v>
      </c>
      <c r="B1537" s="177">
        <v>8718357.0</v>
      </c>
      <c r="C1537" s="178" t="s">
        <v>82</v>
      </c>
      <c r="D1537" s="178" t="s">
        <v>35</v>
      </c>
      <c r="E1537" s="177">
        <v>5.108237829E9</v>
      </c>
      <c r="F1537" s="178" t="s">
        <v>2852</v>
      </c>
      <c r="G1537" s="176">
        <v>46239.0</v>
      </c>
      <c r="H1537" s="179">
        <v>46242.0</v>
      </c>
      <c r="I1537" s="180">
        <v>3.0</v>
      </c>
      <c r="J1537" s="181" t="s">
        <v>91</v>
      </c>
      <c r="K1537" s="178" t="s">
        <v>79</v>
      </c>
      <c r="L1537" s="178" t="s">
        <v>80</v>
      </c>
      <c r="M1537" s="182">
        <v>3.0</v>
      </c>
      <c r="N1537" s="183">
        <v>0.19999999999999996</v>
      </c>
      <c r="O1537" s="184">
        <v>384.26</v>
      </c>
      <c r="P1537" s="184">
        <v>307.408</v>
      </c>
      <c r="Q1537" s="185">
        <v>0.0</v>
      </c>
      <c r="R1537" s="186">
        <v>922.224</v>
      </c>
      <c r="S1537" s="186">
        <v>0.0</v>
      </c>
      <c r="T1537" s="186">
        <v>1618.77</v>
      </c>
      <c r="U1537" s="187" t="s">
        <v>1367</v>
      </c>
      <c r="V1537" s="176">
        <v>46190.0</v>
      </c>
      <c r="W1537" s="175"/>
      <c r="X1537" s="175"/>
      <c r="Y1537" s="175"/>
      <c r="Z1537" s="175"/>
      <c r="AA1537" s="175"/>
      <c r="AB1537" s="175"/>
      <c r="AC1537" s="175"/>
      <c r="AD1537" s="175"/>
      <c r="AE1537" s="175"/>
      <c r="AF1537" s="175"/>
      <c r="AG1537" s="175"/>
      <c r="AH1537" s="175"/>
      <c r="AI1537" s="175"/>
    </row>
    <row r="1538">
      <c r="A1538" s="176">
        <v>46190.0</v>
      </c>
      <c r="B1538" s="177">
        <v>8718357.0</v>
      </c>
      <c r="C1538" s="178" t="s">
        <v>82</v>
      </c>
      <c r="D1538" s="178" t="s">
        <v>35</v>
      </c>
      <c r="E1538" s="177">
        <v>5.108237829E9</v>
      </c>
      <c r="F1538" s="178" t="s">
        <v>2852</v>
      </c>
      <c r="G1538" s="176">
        <v>46239.0</v>
      </c>
      <c r="H1538" s="179">
        <v>46242.0</v>
      </c>
      <c r="I1538" s="180">
        <v>3.0</v>
      </c>
      <c r="J1538" s="181" t="s">
        <v>78</v>
      </c>
      <c r="K1538" s="178" t="s">
        <v>79</v>
      </c>
      <c r="L1538" s="178" t="s">
        <v>80</v>
      </c>
      <c r="M1538" s="182">
        <v>2.0</v>
      </c>
      <c r="N1538" s="183">
        <v>0.19999999999999996</v>
      </c>
      <c r="O1538" s="184">
        <v>142.83</v>
      </c>
      <c r="P1538" s="184">
        <v>114.26400000000001</v>
      </c>
      <c r="Q1538" s="185">
        <v>0.0</v>
      </c>
      <c r="R1538" s="186">
        <v>342.79200000000003</v>
      </c>
      <c r="S1538" s="186">
        <v>0.0</v>
      </c>
      <c r="T1538" s="186">
        <v>1618.77</v>
      </c>
      <c r="U1538" s="187" t="s">
        <v>1367</v>
      </c>
      <c r="V1538" s="176">
        <v>46190.0</v>
      </c>
      <c r="W1538" s="175"/>
      <c r="X1538" s="175"/>
      <c r="Y1538" s="175"/>
      <c r="Z1538" s="175"/>
      <c r="AA1538" s="175"/>
      <c r="AB1538" s="175"/>
      <c r="AC1538" s="175"/>
      <c r="AD1538" s="175"/>
      <c r="AE1538" s="175"/>
      <c r="AF1538" s="175"/>
      <c r="AG1538" s="175"/>
      <c r="AH1538" s="175"/>
      <c r="AI1538" s="175"/>
    </row>
    <row r="1539">
      <c r="A1539" s="176">
        <v>46190.0</v>
      </c>
      <c r="B1539" s="177">
        <v>8719328.0</v>
      </c>
      <c r="C1539" s="178" t="s">
        <v>82</v>
      </c>
      <c r="D1539" s="178" t="s">
        <v>35</v>
      </c>
      <c r="E1539" s="177">
        <v>5.714681527E9</v>
      </c>
      <c r="F1539" s="178" t="s">
        <v>2859</v>
      </c>
      <c r="G1539" s="176">
        <v>46623.20833333333</v>
      </c>
      <c r="H1539" s="179">
        <v>46626.20833333333</v>
      </c>
      <c r="I1539" s="180">
        <v>3.0</v>
      </c>
      <c r="J1539" s="181" t="s">
        <v>91</v>
      </c>
      <c r="K1539" s="178" t="s">
        <v>79</v>
      </c>
      <c r="L1539" s="178" t="s">
        <v>80</v>
      </c>
      <c r="M1539" s="182">
        <v>4.0</v>
      </c>
      <c r="N1539" s="183">
        <v>0.19999999999999996</v>
      </c>
      <c r="O1539" s="184">
        <v>318.98</v>
      </c>
      <c r="P1539" s="184">
        <v>255.18400000000003</v>
      </c>
      <c r="Q1539" s="185">
        <v>0.0</v>
      </c>
      <c r="R1539" s="186">
        <v>765.5520000000001</v>
      </c>
      <c r="S1539" s="186">
        <v>0.0</v>
      </c>
      <c r="T1539" s="186">
        <v>986.94</v>
      </c>
      <c r="U1539" s="187" t="s">
        <v>143</v>
      </c>
      <c r="V1539" s="176">
        <v>46190.0</v>
      </c>
      <c r="W1539" s="175"/>
      <c r="X1539" s="175"/>
      <c r="Y1539" s="175"/>
      <c r="Z1539" s="175"/>
      <c r="AA1539" s="175"/>
      <c r="AB1539" s="175"/>
      <c r="AC1539" s="175"/>
      <c r="AD1539" s="175"/>
      <c r="AE1539" s="175"/>
      <c r="AF1539" s="175"/>
      <c r="AG1539" s="175"/>
      <c r="AH1539" s="175"/>
      <c r="AI1539" s="175"/>
    </row>
    <row r="1540">
      <c r="A1540" s="176">
        <v>46191.0</v>
      </c>
      <c r="B1540" s="177">
        <v>8720903.0</v>
      </c>
      <c r="C1540" s="178" t="s">
        <v>89</v>
      </c>
      <c r="D1540" s="178" t="s">
        <v>35</v>
      </c>
      <c r="E1540" s="177">
        <v>5.266203089E9</v>
      </c>
      <c r="F1540" s="178" t="s">
        <v>2863</v>
      </c>
      <c r="G1540" s="176">
        <v>46386.20833333333</v>
      </c>
      <c r="H1540" s="179">
        <v>46388.20833333333</v>
      </c>
      <c r="I1540" s="180">
        <v>2.0</v>
      </c>
      <c r="J1540" s="181" t="s">
        <v>78</v>
      </c>
      <c r="K1540" s="178" t="s">
        <v>79</v>
      </c>
      <c r="L1540" s="178" t="s">
        <v>80</v>
      </c>
      <c r="M1540" s="182">
        <v>0.0</v>
      </c>
      <c r="N1540" s="183">
        <v>0.0</v>
      </c>
      <c r="O1540" s="184">
        <v>0.0</v>
      </c>
      <c r="P1540" s="184">
        <v>0.0</v>
      </c>
      <c r="Q1540" s="185">
        <v>0.0</v>
      </c>
      <c r="R1540" s="186">
        <v>0.0</v>
      </c>
      <c r="S1540" s="186">
        <v>0.0</v>
      </c>
      <c r="T1540" s="186">
        <v>0.0</v>
      </c>
      <c r="U1540" s="187" t="s">
        <v>2865</v>
      </c>
      <c r="V1540" s="176">
        <v>46194.0</v>
      </c>
      <c r="W1540" s="175"/>
      <c r="X1540" s="175"/>
      <c r="Y1540" s="175"/>
      <c r="Z1540" s="175"/>
      <c r="AA1540" s="175"/>
      <c r="AB1540" s="175"/>
      <c r="AC1540" s="175"/>
      <c r="AD1540" s="175"/>
      <c r="AE1540" s="175"/>
      <c r="AF1540" s="175"/>
      <c r="AG1540" s="175"/>
      <c r="AH1540" s="175"/>
      <c r="AI1540" s="175"/>
    </row>
    <row r="1541">
      <c r="A1541" s="176">
        <v>46191.0</v>
      </c>
      <c r="B1541" s="177">
        <v>8722636.0</v>
      </c>
      <c r="C1541" s="178" t="s">
        <v>82</v>
      </c>
      <c r="D1541" s="178" t="s">
        <v>35</v>
      </c>
      <c r="E1541" s="177">
        <v>6.212067767E9</v>
      </c>
      <c r="F1541" s="178" t="s">
        <v>2866</v>
      </c>
      <c r="G1541" s="176">
        <v>46230.0</v>
      </c>
      <c r="H1541" s="179">
        <v>46231.0</v>
      </c>
      <c r="I1541" s="180">
        <v>1.0</v>
      </c>
      <c r="J1541" s="181" t="s">
        <v>78</v>
      </c>
      <c r="K1541" s="178" t="s">
        <v>79</v>
      </c>
      <c r="L1541" s="178" t="s">
        <v>80</v>
      </c>
      <c r="M1541" s="182">
        <v>2.0</v>
      </c>
      <c r="N1541" s="183">
        <v>0.19999999999999996</v>
      </c>
      <c r="O1541" s="184">
        <v>112.1</v>
      </c>
      <c r="P1541" s="184">
        <v>89.68</v>
      </c>
      <c r="Q1541" s="185">
        <v>0.0</v>
      </c>
      <c r="R1541" s="186">
        <v>89.68</v>
      </c>
      <c r="S1541" s="186">
        <v>0.0</v>
      </c>
      <c r="T1541" s="186">
        <v>117.1</v>
      </c>
      <c r="U1541" s="187" t="s">
        <v>107</v>
      </c>
      <c r="V1541" s="176">
        <v>46191.0</v>
      </c>
      <c r="W1541" s="175"/>
      <c r="X1541" s="175"/>
      <c r="Y1541" s="175"/>
      <c r="Z1541" s="175"/>
      <c r="AA1541" s="175"/>
      <c r="AB1541" s="175"/>
      <c r="AC1541" s="175"/>
      <c r="AD1541" s="175"/>
      <c r="AE1541" s="175"/>
      <c r="AF1541" s="175"/>
      <c r="AG1541" s="175"/>
      <c r="AH1541" s="175"/>
      <c r="AI1541" s="175"/>
    </row>
    <row r="1542">
      <c r="A1542" s="176">
        <v>46191.0</v>
      </c>
      <c r="B1542" s="177">
        <v>8724087.0</v>
      </c>
      <c r="C1542" s="178" t="s">
        <v>82</v>
      </c>
      <c r="D1542" s="178" t="s">
        <v>35</v>
      </c>
      <c r="E1542" s="177">
        <v>5.465757083E9</v>
      </c>
      <c r="F1542" s="178" t="s">
        <v>2871</v>
      </c>
      <c r="G1542" s="176">
        <v>46302.20833333333</v>
      </c>
      <c r="H1542" s="179">
        <v>46303.20833333333</v>
      </c>
      <c r="I1542" s="180">
        <v>1.0</v>
      </c>
      <c r="J1542" s="181" t="s">
        <v>78</v>
      </c>
      <c r="K1542" s="178" t="s">
        <v>79</v>
      </c>
      <c r="L1542" s="178" t="s">
        <v>80</v>
      </c>
      <c r="M1542" s="182">
        <v>2.0</v>
      </c>
      <c r="N1542" s="183">
        <v>0.19999999999999996</v>
      </c>
      <c r="O1542" s="184">
        <v>185.2</v>
      </c>
      <c r="P1542" s="184">
        <v>148.16</v>
      </c>
      <c r="Q1542" s="185">
        <v>0.0</v>
      </c>
      <c r="R1542" s="186">
        <v>148.16</v>
      </c>
      <c r="S1542" s="186">
        <v>0.0</v>
      </c>
      <c r="T1542" s="186">
        <v>190.2</v>
      </c>
      <c r="U1542" s="187" t="s">
        <v>161</v>
      </c>
      <c r="V1542" s="176">
        <v>46191.0</v>
      </c>
      <c r="W1542" s="175"/>
      <c r="X1542" s="175"/>
      <c r="Y1542" s="175"/>
      <c r="Z1542" s="175"/>
      <c r="AA1542" s="175"/>
      <c r="AB1542" s="175"/>
      <c r="AC1542" s="175"/>
      <c r="AD1542" s="175"/>
      <c r="AE1542" s="175"/>
      <c r="AF1542" s="175"/>
      <c r="AG1542" s="175"/>
      <c r="AH1542" s="175"/>
      <c r="AI1542" s="175"/>
    </row>
    <row r="1543">
      <c r="A1543" s="176">
        <v>46193.0</v>
      </c>
      <c r="B1543" s="177">
        <v>8729540.0</v>
      </c>
      <c r="C1543" s="178" t="s">
        <v>89</v>
      </c>
      <c r="D1543" s="178" t="s">
        <v>35</v>
      </c>
      <c r="E1543" s="177">
        <v>6.567990926E9</v>
      </c>
      <c r="F1543" s="178" t="s">
        <v>2874</v>
      </c>
      <c r="G1543" s="176">
        <v>46513.20833333333</v>
      </c>
      <c r="H1543" s="179">
        <v>46516.20833333333</v>
      </c>
      <c r="I1543" s="180">
        <v>3.0</v>
      </c>
      <c r="J1543" s="181" t="s">
        <v>78</v>
      </c>
      <c r="K1543" s="178" t="s">
        <v>79</v>
      </c>
      <c r="L1543" s="178" t="s">
        <v>80</v>
      </c>
      <c r="M1543" s="182">
        <v>0.0</v>
      </c>
      <c r="N1543" s="183">
        <v>0.0</v>
      </c>
      <c r="O1543" s="184">
        <v>0.0</v>
      </c>
      <c r="P1543" s="184">
        <v>0.0</v>
      </c>
      <c r="Q1543" s="185">
        <v>0.0</v>
      </c>
      <c r="R1543" s="186">
        <v>0.0</v>
      </c>
      <c r="S1543" s="186">
        <v>0.0</v>
      </c>
      <c r="T1543" s="186">
        <v>0.0</v>
      </c>
      <c r="U1543" s="187" t="s">
        <v>2877</v>
      </c>
      <c r="V1543" s="176">
        <v>46236.0</v>
      </c>
      <c r="W1543" s="164"/>
      <c r="X1543" s="164"/>
      <c r="Y1543" s="164"/>
      <c r="Z1543" s="164"/>
      <c r="AA1543" s="164"/>
      <c r="AB1543" s="164"/>
      <c r="AC1543" s="164"/>
      <c r="AD1543" s="164"/>
      <c r="AE1543" s="164"/>
      <c r="AF1543" s="164"/>
      <c r="AG1543" s="164"/>
      <c r="AH1543" s="164"/>
      <c r="AI1543" s="164"/>
    </row>
    <row r="1544">
      <c r="A1544" s="176">
        <v>46193.0</v>
      </c>
      <c r="B1544" s="177">
        <v>8731896.0</v>
      </c>
      <c r="C1544" s="178" t="s">
        <v>82</v>
      </c>
      <c r="D1544" s="178" t="s">
        <v>94</v>
      </c>
      <c r="E1544" s="177">
        <v>8731896.0</v>
      </c>
      <c r="F1544" s="178" t="s">
        <v>2880</v>
      </c>
      <c r="G1544" s="176">
        <v>46197.0</v>
      </c>
      <c r="H1544" s="179">
        <v>46198.0</v>
      </c>
      <c r="I1544" s="180">
        <v>1.0</v>
      </c>
      <c r="J1544" s="181" t="s">
        <v>78</v>
      </c>
      <c r="K1544" s="178" t="s">
        <v>79</v>
      </c>
      <c r="L1544" s="178" t="s">
        <v>96</v>
      </c>
      <c r="M1544" s="182">
        <v>2.0</v>
      </c>
      <c r="N1544" s="183">
        <v>0.0</v>
      </c>
      <c r="O1544" s="184">
        <v>181.44</v>
      </c>
      <c r="P1544" s="184">
        <v>181.44</v>
      </c>
      <c r="Q1544" s="185">
        <v>0.0</v>
      </c>
      <c r="R1544" s="186">
        <v>181.44</v>
      </c>
      <c r="S1544" s="186">
        <v>0.0</v>
      </c>
      <c r="T1544" s="186">
        <v>186.44</v>
      </c>
      <c r="U1544" s="187" t="s">
        <v>97</v>
      </c>
      <c r="V1544" s="176">
        <v>46193.0</v>
      </c>
      <c r="W1544" s="175"/>
      <c r="X1544" s="175"/>
      <c r="Y1544" s="175"/>
      <c r="Z1544" s="175"/>
      <c r="AA1544" s="175"/>
      <c r="AB1544" s="175"/>
      <c r="AC1544" s="175"/>
      <c r="AD1544" s="175"/>
      <c r="AE1544" s="175"/>
      <c r="AF1544" s="175"/>
      <c r="AG1544" s="175"/>
      <c r="AH1544" s="175"/>
      <c r="AI1544" s="175"/>
    </row>
    <row r="1545">
      <c r="A1545" s="176">
        <v>46193.0</v>
      </c>
      <c r="B1545" s="177">
        <v>8732221.0</v>
      </c>
      <c r="C1545" s="178" t="s">
        <v>82</v>
      </c>
      <c r="D1545" s="178" t="s">
        <v>35</v>
      </c>
      <c r="E1545" s="177">
        <v>6.398351798E9</v>
      </c>
      <c r="F1545" s="178" t="s">
        <v>2883</v>
      </c>
      <c r="G1545" s="176">
        <v>46271.0</v>
      </c>
      <c r="H1545" s="179">
        <v>46272.0</v>
      </c>
      <c r="I1545" s="180">
        <v>1.0</v>
      </c>
      <c r="J1545" s="181" t="s">
        <v>78</v>
      </c>
      <c r="K1545" s="178" t="s">
        <v>79</v>
      </c>
      <c r="L1545" s="178" t="s">
        <v>80</v>
      </c>
      <c r="M1545" s="182">
        <v>2.0</v>
      </c>
      <c r="N1545" s="183">
        <v>0.19999999999999996</v>
      </c>
      <c r="O1545" s="184">
        <v>164.93</v>
      </c>
      <c r="P1545" s="184">
        <v>131.94400000000002</v>
      </c>
      <c r="Q1545" s="185">
        <v>0.0</v>
      </c>
      <c r="R1545" s="186">
        <v>131.94400000000002</v>
      </c>
      <c r="S1545" s="186">
        <v>0.0</v>
      </c>
      <c r="T1545" s="186">
        <v>169.93</v>
      </c>
      <c r="U1545" s="187" t="s">
        <v>1367</v>
      </c>
      <c r="V1545" s="176">
        <v>46193.0</v>
      </c>
      <c r="W1545" s="175"/>
      <c r="X1545" s="175"/>
      <c r="Y1545" s="175"/>
      <c r="Z1545" s="175"/>
      <c r="AA1545" s="175"/>
      <c r="AB1545" s="175"/>
      <c r="AC1545" s="175"/>
      <c r="AD1545" s="175"/>
      <c r="AE1545" s="175"/>
      <c r="AF1545" s="175"/>
      <c r="AG1545" s="175"/>
      <c r="AH1545" s="175"/>
      <c r="AI1545" s="175"/>
    </row>
    <row r="1546">
      <c r="A1546" s="176">
        <v>46193.0</v>
      </c>
      <c r="B1546" s="177">
        <v>8733101.0</v>
      </c>
      <c r="C1546" s="178" t="s">
        <v>82</v>
      </c>
      <c r="D1546" s="178" t="s">
        <v>35</v>
      </c>
      <c r="E1546" s="177">
        <v>6.727565779E9</v>
      </c>
      <c r="F1546" s="178" t="s">
        <v>2885</v>
      </c>
      <c r="G1546" s="176">
        <v>46347.20833333333</v>
      </c>
      <c r="H1546" s="179">
        <v>46349.20833333333</v>
      </c>
      <c r="I1546" s="180">
        <v>2.0</v>
      </c>
      <c r="J1546" s="181" t="s">
        <v>78</v>
      </c>
      <c r="K1546" s="178" t="s">
        <v>79</v>
      </c>
      <c r="L1546" s="178" t="s">
        <v>80</v>
      </c>
      <c r="M1546" s="182">
        <v>2.0</v>
      </c>
      <c r="N1546" s="183">
        <v>0.19999999999999996</v>
      </c>
      <c r="O1546" s="184">
        <v>179.74</v>
      </c>
      <c r="P1546" s="184">
        <v>143.792</v>
      </c>
      <c r="Q1546" s="185">
        <v>0.0</v>
      </c>
      <c r="R1546" s="186">
        <v>287.584</v>
      </c>
      <c r="S1546" s="186">
        <v>0.0</v>
      </c>
      <c r="T1546" s="186">
        <v>369.48</v>
      </c>
      <c r="U1546" s="187" t="s">
        <v>353</v>
      </c>
      <c r="V1546" s="176">
        <v>46193.0</v>
      </c>
      <c r="W1546" s="175"/>
      <c r="X1546" s="175"/>
      <c r="Y1546" s="175"/>
      <c r="Z1546" s="175"/>
      <c r="AA1546" s="175"/>
      <c r="AB1546" s="175"/>
      <c r="AC1546" s="175"/>
      <c r="AD1546" s="175"/>
      <c r="AE1546" s="175"/>
      <c r="AF1546" s="175"/>
      <c r="AG1546" s="175"/>
      <c r="AH1546" s="175"/>
      <c r="AI1546" s="175"/>
    </row>
    <row r="1547">
      <c r="A1547" s="176">
        <v>46194.0</v>
      </c>
      <c r="B1547" s="177">
        <v>8733637.0</v>
      </c>
      <c r="C1547" s="178" t="s">
        <v>82</v>
      </c>
      <c r="D1547" s="178" t="s">
        <v>35</v>
      </c>
      <c r="E1547" s="177">
        <v>5.426121993E9</v>
      </c>
      <c r="F1547" s="178" t="s">
        <v>2863</v>
      </c>
      <c r="G1547" s="176">
        <v>46386.20833333333</v>
      </c>
      <c r="H1547" s="179">
        <v>46388.20833333333</v>
      </c>
      <c r="I1547" s="180">
        <v>2.0</v>
      </c>
      <c r="J1547" s="181" t="s">
        <v>78</v>
      </c>
      <c r="K1547" s="178" t="s">
        <v>79</v>
      </c>
      <c r="L1547" s="178" t="s">
        <v>80</v>
      </c>
      <c r="M1547" s="182">
        <v>2.0</v>
      </c>
      <c r="N1547" s="183">
        <v>0.19999999999999996</v>
      </c>
      <c r="O1547" s="184">
        <v>149.16</v>
      </c>
      <c r="P1547" s="184">
        <v>119.328</v>
      </c>
      <c r="Q1547" s="185">
        <v>0.0</v>
      </c>
      <c r="R1547" s="186">
        <v>238.656</v>
      </c>
      <c r="S1547" s="186">
        <v>0.0</v>
      </c>
      <c r="T1547" s="186">
        <v>308.32</v>
      </c>
      <c r="U1547" s="187" t="s">
        <v>107</v>
      </c>
      <c r="V1547" s="176">
        <v>46194.0</v>
      </c>
      <c r="W1547" s="164"/>
      <c r="X1547" s="164"/>
      <c r="Y1547" s="164"/>
      <c r="Z1547" s="164"/>
      <c r="AA1547" s="164"/>
      <c r="AB1547" s="164"/>
      <c r="AC1547" s="164"/>
      <c r="AD1547" s="164"/>
      <c r="AE1547" s="164"/>
      <c r="AF1547" s="164"/>
      <c r="AG1547" s="164"/>
      <c r="AH1547" s="164"/>
      <c r="AI1547" s="164"/>
    </row>
    <row r="1548">
      <c r="A1548" s="176">
        <v>46194.0</v>
      </c>
      <c r="B1548" s="177">
        <v>8737108.0</v>
      </c>
      <c r="C1548" s="178" t="s">
        <v>82</v>
      </c>
      <c r="D1548" s="178" t="s">
        <v>35</v>
      </c>
      <c r="E1548" s="177">
        <v>5.397200371E9</v>
      </c>
      <c r="F1548" s="178" t="s">
        <v>2890</v>
      </c>
      <c r="G1548" s="176">
        <v>46284.0</v>
      </c>
      <c r="H1548" s="179">
        <v>46290.20833333333</v>
      </c>
      <c r="I1548" s="180">
        <v>2.0</v>
      </c>
      <c r="J1548" s="181" t="s">
        <v>78</v>
      </c>
      <c r="K1548" s="178" t="s">
        <v>79</v>
      </c>
      <c r="L1548" s="178" t="s">
        <v>80</v>
      </c>
      <c r="M1548" s="182">
        <v>2.0</v>
      </c>
      <c r="N1548" s="183">
        <v>0.19999999999999996</v>
      </c>
      <c r="O1548" s="184">
        <v>151.67</v>
      </c>
      <c r="P1548" s="184">
        <v>121.336</v>
      </c>
      <c r="Q1548" s="185">
        <v>0.0</v>
      </c>
      <c r="R1548" s="186">
        <v>242.672</v>
      </c>
      <c r="S1548" s="186">
        <v>0.0</v>
      </c>
      <c r="T1548" s="186">
        <v>313.34</v>
      </c>
      <c r="U1548" s="187" t="s">
        <v>143</v>
      </c>
      <c r="V1548" s="176">
        <v>46194.0</v>
      </c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</row>
    <row r="1549">
      <c r="A1549" s="176">
        <v>46195.0</v>
      </c>
      <c r="B1549" s="177">
        <v>8739301.0</v>
      </c>
      <c r="C1549" s="178" t="s">
        <v>82</v>
      </c>
      <c r="D1549" s="178" t="s">
        <v>35</v>
      </c>
      <c r="E1549" s="177">
        <v>6.687785605E9</v>
      </c>
      <c r="F1549" s="178" t="s">
        <v>2891</v>
      </c>
      <c r="G1549" s="176">
        <v>46377.20833333333</v>
      </c>
      <c r="H1549" s="179">
        <v>46386.20833333333</v>
      </c>
      <c r="I1549" s="180">
        <v>9.0</v>
      </c>
      <c r="J1549" s="181" t="s">
        <v>114</v>
      </c>
      <c r="K1549" s="178" t="s">
        <v>79</v>
      </c>
      <c r="L1549" s="178" t="s">
        <v>80</v>
      </c>
      <c r="M1549" s="182">
        <v>2.0</v>
      </c>
      <c r="N1549" s="183">
        <v>0.19999999999999996</v>
      </c>
      <c r="O1549" s="184">
        <v>198.02222222222224</v>
      </c>
      <c r="P1549" s="184">
        <v>158.41777777777781</v>
      </c>
      <c r="Q1549" s="185">
        <v>0.0</v>
      </c>
      <c r="R1549" s="186">
        <v>1425.7600000000002</v>
      </c>
      <c r="S1549" s="186">
        <v>0.0</v>
      </c>
      <c r="T1549" s="186">
        <v>1782.2</v>
      </c>
      <c r="U1549" s="187" t="s">
        <v>107</v>
      </c>
      <c r="V1549" s="176">
        <v>46195.0</v>
      </c>
      <c r="W1549" s="175"/>
      <c r="X1549" s="175"/>
      <c r="Y1549" s="175"/>
      <c r="Z1549" s="175"/>
      <c r="AA1549" s="175"/>
      <c r="AB1549" s="175"/>
      <c r="AC1549" s="175"/>
      <c r="AD1549" s="175"/>
      <c r="AE1549" s="175"/>
      <c r="AF1549" s="175"/>
      <c r="AG1549" s="175"/>
      <c r="AH1549" s="175"/>
      <c r="AI1549" s="175"/>
    </row>
    <row r="1550">
      <c r="A1550" s="176">
        <v>46196.0</v>
      </c>
      <c r="B1550" s="177">
        <v>8747314.0</v>
      </c>
      <c r="C1550" s="178" t="s">
        <v>82</v>
      </c>
      <c r="D1550" s="178" t="s">
        <v>35</v>
      </c>
      <c r="E1550" s="177">
        <v>6.267398071E9</v>
      </c>
      <c r="F1550" s="178" t="s">
        <v>2892</v>
      </c>
      <c r="G1550" s="176">
        <v>46197.0</v>
      </c>
      <c r="H1550" s="179">
        <v>46198.0</v>
      </c>
      <c r="I1550" s="180">
        <v>1.0</v>
      </c>
      <c r="J1550" s="181" t="s">
        <v>78</v>
      </c>
      <c r="K1550" s="178" t="s">
        <v>79</v>
      </c>
      <c r="L1550" s="178" t="s">
        <v>80</v>
      </c>
      <c r="M1550" s="182">
        <v>1.0</v>
      </c>
      <c r="N1550" s="183">
        <v>0.19999999999999996</v>
      </c>
      <c r="O1550" s="184">
        <v>134.91</v>
      </c>
      <c r="P1550" s="184">
        <v>107.928</v>
      </c>
      <c r="Q1550" s="185">
        <v>0.0</v>
      </c>
      <c r="R1550" s="186">
        <v>107.928</v>
      </c>
      <c r="S1550" s="186">
        <v>0.0</v>
      </c>
      <c r="T1550" s="186">
        <v>137.41</v>
      </c>
      <c r="U1550" s="187" t="s">
        <v>1441</v>
      </c>
      <c r="V1550" s="176">
        <v>46196.0</v>
      </c>
      <c r="W1550" s="175"/>
      <c r="X1550" s="175"/>
      <c r="Y1550" s="175"/>
      <c r="Z1550" s="175"/>
      <c r="AA1550" s="175"/>
      <c r="AB1550" s="175"/>
      <c r="AC1550" s="175"/>
      <c r="AD1550" s="175"/>
      <c r="AE1550" s="175"/>
      <c r="AF1550" s="175"/>
      <c r="AG1550" s="175"/>
      <c r="AH1550" s="175"/>
      <c r="AI1550" s="175"/>
    </row>
    <row r="1551">
      <c r="A1551" s="176">
        <v>46197.0</v>
      </c>
      <c r="B1551" s="177">
        <v>8747718.0</v>
      </c>
      <c r="C1551" s="178" t="s">
        <v>82</v>
      </c>
      <c r="D1551" s="178" t="s">
        <v>36</v>
      </c>
      <c r="E1551" s="177">
        <v>8747718.0</v>
      </c>
      <c r="F1551" s="178" t="s">
        <v>2894</v>
      </c>
      <c r="G1551" s="176">
        <v>46478.20833333333</v>
      </c>
      <c r="H1551" s="179">
        <v>46479.20833333333</v>
      </c>
      <c r="I1551" s="180">
        <v>1.0</v>
      </c>
      <c r="J1551" s="181" t="s">
        <v>87</v>
      </c>
      <c r="K1551" s="178" t="s">
        <v>79</v>
      </c>
      <c r="L1551" s="178" t="s">
        <v>96</v>
      </c>
      <c r="M1551" s="182">
        <v>1.0</v>
      </c>
      <c r="N1551" s="183">
        <v>0.0</v>
      </c>
      <c r="O1551" s="184">
        <v>210.24</v>
      </c>
      <c r="P1551" s="184">
        <v>208.13760000000002</v>
      </c>
      <c r="Q1551" s="185">
        <v>0.0</v>
      </c>
      <c r="R1551" s="186">
        <v>208.13760000000002</v>
      </c>
      <c r="S1551" s="186">
        <v>0.0</v>
      </c>
      <c r="T1551" s="186">
        <v>212.74</v>
      </c>
      <c r="U1551" s="187" t="s">
        <v>97</v>
      </c>
      <c r="V1551" s="176">
        <v>46197.0</v>
      </c>
      <c r="W1551" s="175"/>
      <c r="X1551" s="175"/>
      <c r="Y1551" s="175"/>
      <c r="Z1551" s="175"/>
      <c r="AA1551" s="175"/>
      <c r="AB1551" s="175"/>
      <c r="AC1551" s="175"/>
      <c r="AD1551" s="175"/>
      <c r="AE1551" s="175"/>
      <c r="AF1551" s="175"/>
      <c r="AG1551" s="175"/>
      <c r="AH1551" s="175"/>
      <c r="AI1551" s="175"/>
    </row>
    <row r="1552">
      <c r="A1552" s="176">
        <v>46198.0</v>
      </c>
      <c r="B1552" s="177">
        <v>8753672.0</v>
      </c>
      <c r="C1552" s="178" t="s">
        <v>82</v>
      </c>
      <c r="D1552" s="178" t="s">
        <v>94</v>
      </c>
      <c r="E1552" s="177">
        <v>8753672.0</v>
      </c>
      <c r="F1552" s="178" t="s">
        <v>2896</v>
      </c>
      <c r="G1552" s="176">
        <v>46202.0</v>
      </c>
      <c r="H1552" s="179">
        <v>46218.0</v>
      </c>
      <c r="I1552" s="180">
        <v>16.0</v>
      </c>
      <c r="J1552" s="181" t="s">
        <v>111</v>
      </c>
      <c r="K1552" s="178" t="s">
        <v>79</v>
      </c>
      <c r="L1552" s="178" t="s">
        <v>96</v>
      </c>
      <c r="M1552" s="182">
        <v>2.0</v>
      </c>
      <c r="N1552" s="183">
        <v>0.0</v>
      </c>
      <c r="O1552" s="184">
        <v>225.36</v>
      </c>
      <c r="P1552" s="184">
        <v>225.36</v>
      </c>
      <c r="Q1552" s="185">
        <v>0.0</v>
      </c>
      <c r="R1552" s="186">
        <v>3605.76</v>
      </c>
      <c r="S1552" s="186">
        <v>0.0</v>
      </c>
      <c r="T1552" s="186">
        <v>3685.76</v>
      </c>
      <c r="U1552" s="187" t="s">
        <v>97</v>
      </c>
      <c r="V1552" s="176">
        <v>46198.0</v>
      </c>
      <c r="W1552" s="164"/>
      <c r="X1552" s="164"/>
      <c r="Y1552" s="164"/>
      <c r="Z1552" s="164"/>
      <c r="AA1552" s="164"/>
      <c r="AB1552" s="164"/>
      <c r="AC1552" s="164"/>
      <c r="AD1552" s="164"/>
      <c r="AE1552" s="164"/>
      <c r="AF1552" s="164"/>
      <c r="AG1552" s="164"/>
      <c r="AH1552" s="164"/>
      <c r="AI1552" s="164"/>
    </row>
    <row r="1553">
      <c r="A1553" s="176">
        <v>46198.0</v>
      </c>
      <c r="B1553" s="177">
        <v>8754090.0</v>
      </c>
      <c r="C1553" s="178" t="s">
        <v>82</v>
      </c>
      <c r="D1553" s="178" t="s">
        <v>35</v>
      </c>
      <c r="E1553" s="177">
        <v>5.761240558E9</v>
      </c>
      <c r="F1553" s="178" t="s">
        <v>2898</v>
      </c>
      <c r="G1553" s="176">
        <v>46235.0</v>
      </c>
      <c r="H1553" s="179">
        <v>46237.0</v>
      </c>
      <c r="I1553" s="180">
        <v>2.0</v>
      </c>
      <c r="J1553" s="181" t="s">
        <v>78</v>
      </c>
      <c r="K1553" s="178" t="s">
        <v>79</v>
      </c>
      <c r="L1553" s="178" t="s">
        <v>80</v>
      </c>
      <c r="M1553" s="182">
        <v>2.0</v>
      </c>
      <c r="N1553" s="183">
        <v>0.19999999999999996</v>
      </c>
      <c r="O1553" s="184">
        <v>154.46</v>
      </c>
      <c r="P1553" s="184">
        <v>123.56800000000001</v>
      </c>
      <c r="Q1553" s="185">
        <v>0.0</v>
      </c>
      <c r="R1553" s="186">
        <v>247.13600000000002</v>
      </c>
      <c r="S1553" s="186">
        <v>0.0</v>
      </c>
      <c r="T1553" s="186">
        <v>318.92</v>
      </c>
      <c r="U1553" s="187" t="s">
        <v>1367</v>
      </c>
      <c r="V1553" s="176">
        <v>46198.0</v>
      </c>
      <c r="W1553" s="175"/>
      <c r="X1553" s="175"/>
      <c r="Y1553" s="175"/>
      <c r="Z1553" s="175"/>
      <c r="AA1553" s="175"/>
      <c r="AB1553" s="175"/>
      <c r="AC1553" s="175"/>
      <c r="AD1553" s="175"/>
      <c r="AE1553" s="175"/>
      <c r="AF1553" s="175"/>
      <c r="AG1553" s="175"/>
      <c r="AH1553" s="175"/>
      <c r="AI1553" s="175"/>
    </row>
    <row r="1554">
      <c r="A1554" s="176">
        <v>46198.0</v>
      </c>
      <c r="B1554" s="177">
        <v>8755598.0</v>
      </c>
      <c r="C1554" s="178" t="s">
        <v>82</v>
      </c>
      <c r="D1554" s="178" t="s">
        <v>35</v>
      </c>
      <c r="E1554" s="177">
        <v>6.306625785E9</v>
      </c>
      <c r="F1554" s="178" t="s">
        <v>2900</v>
      </c>
      <c r="G1554" s="176">
        <v>46386.20833333333</v>
      </c>
      <c r="H1554" s="179">
        <v>46391.20833333333</v>
      </c>
      <c r="I1554" s="180">
        <v>5.0</v>
      </c>
      <c r="J1554" s="181" t="s">
        <v>78</v>
      </c>
      <c r="K1554" s="178" t="s">
        <v>79</v>
      </c>
      <c r="L1554" s="178" t="s">
        <v>80</v>
      </c>
      <c r="M1554" s="182">
        <v>3.0</v>
      </c>
      <c r="N1554" s="183">
        <v>0.19999999999999996</v>
      </c>
      <c r="O1554" s="184">
        <v>231.16</v>
      </c>
      <c r="P1554" s="184">
        <v>184.928</v>
      </c>
      <c r="Q1554" s="185">
        <v>0.0</v>
      </c>
      <c r="R1554" s="186">
        <v>924.64</v>
      </c>
      <c r="S1554" s="186">
        <v>0.0</v>
      </c>
      <c r="T1554" s="186">
        <v>1193.3</v>
      </c>
      <c r="U1554" s="187" t="s">
        <v>353</v>
      </c>
      <c r="V1554" s="176">
        <v>46198.0</v>
      </c>
      <c r="W1554" s="175"/>
      <c r="X1554" s="175"/>
      <c r="Y1554" s="175"/>
      <c r="Z1554" s="175"/>
      <c r="AA1554" s="175"/>
      <c r="AB1554" s="175"/>
      <c r="AC1554" s="175"/>
      <c r="AD1554" s="175"/>
      <c r="AE1554" s="175"/>
      <c r="AF1554" s="175"/>
      <c r="AG1554" s="175"/>
      <c r="AH1554" s="175"/>
      <c r="AI1554" s="175"/>
    </row>
    <row r="1555">
      <c r="A1555" s="176">
        <v>46200.0</v>
      </c>
      <c r="B1555" s="177">
        <v>8766385.0</v>
      </c>
      <c r="C1555" s="178" t="s">
        <v>82</v>
      </c>
      <c r="D1555" s="178" t="s">
        <v>35</v>
      </c>
      <c r="E1555" s="177">
        <v>5.179295412E9</v>
      </c>
      <c r="F1555" s="178" t="s">
        <v>2902</v>
      </c>
      <c r="G1555" s="176">
        <v>46302.20833333333</v>
      </c>
      <c r="H1555" s="179">
        <v>46305.20833333333</v>
      </c>
      <c r="I1555" s="180">
        <v>3.0</v>
      </c>
      <c r="J1555" s="181" t="s">
        <v>114</v>
      </c>
      <c r="K1555" s="178" t="s">
        <v>138</v>
      </c>
      <c r="L1555" s="178" t="s">
        <v>80</v>
      </c>
      <c r="M1555" s="182">
        <v>3.0</v>
      </c>
      <c r="N1555" s="183">
        <v>0.19999999999999996</v>
      </c>
      <c r="O1555" s="184">
        <v>184.88</v>
      </c>
      <c r="P1555" s="184">
        <v>147.904</v>
      </c>
      <c r="Q1555" s="185">
        <v>54.0</v>
      </c>
      <c r="R1555" s="186">
        <v>443.712</v>
      </c>
      <c r="S1555" s="186">
        <v>162.0</v>
      </c>
      <c r="T1555" s="186">
        <v>706.74</v>
      </c>
      <c r="U1555" s="187" t="s">
        <v>140</v>
      </c>
      <c r="V1555" s="176">
        <v>46200.0</v>
      </c>
      <c r="W1555" s="188"/>
      <c r="X1555" s="188"/>
      <c r="Y1555" s="188"/>
      <c r="Z1555" s="188"/>
      <c r="AA1555" s="188"/>
      <c r="AB1555" s="188"/>
      <c r="AC1555" s="188"/>
      <c r="AD1555" s="188"/>
      <c r="AE1555" s="188"/>
      <c r="AF1555" s="188"/>
      <c r="AG1555" s="188"/>
      <c r="AH1555" s="188"/>
      <c r="AI1555" s="188"/>
    </row>
    <row r="1556">
      <c r="A1556" s="176">
        <v>46200.0</v>
      </c>
      <c r="B1556" s="177">
        <v>8766510.0</v>
      </c>
      <c r="C1556" s="178" t="s">
        <v>82</v>
      </c>
      <c r="D1556" s="178" t="s">
        <v>35</v>
      </c>
      <c r="E1556" s="177">
        <v>6.175333772E9</v>
      </c>
      <c r="F1556" s="178" t="s">
        <v>2904</v>
      </c>
      <c r="G1556" s="176">
        <v>46242.0</v>
      </c>
      <c r="H1556" s="179">
        <v>46245.0</v>
      </c>
      <c r="I1556" s="180">
        <v>3.0</v>
      </c>
      <c r="J1556" s="181" t="s">
        <v>87</v>
      </c>
      <c r="K1556" s="178" t="s">
        <v>79</v>
      </c>
      <c r="L1556" s="178" t="s">
        <v>80</v>
      </c>
      <c r="M1556" s="182">
        <v>2.0</v>
      </c>
      <c r="N1556" s="183">
        <v>0.19999999999999996</v>
      </c>
      <c r="O1556" s="184">
        <v>153.68</v>
      </c>
      <c r="P1556" s="184">
        <v>122.94400000000002</v>
      </c>
      <c r="Q1556" s="185">
        <v>0.0</v>
      </c>
      <c r="R1556" s="186">
        <v>368.83200000000005</v>
      </c>
      <c r="S1556" s="186">
        <v>0.0</v>
      </c>
      <c r="T1556" s="186">
        <v>476.04</v>
      </c>
      <c r="U1556" s="187" t="s">
        <v>524</v>
      </c>
      <c r="V1556" s="176">
        <v>46200.0</v>
      </c>
      <c r="W1556" s="175"/>
      <c r="X1556" s="175"/>
      <c r="Y1556" s="175"/>
      <c r="Z1556" s="175"/>
      <c r="AA1556" s="175"/>
      <c r="AB1556" s="175"/>
      <c r="AC1556" s="175"/>
      <c r="AD1556" s="175"/>
      <c r="AE1556" s="175"/>
      <c r="AF1556" s="175"/>
      <c r="AG1556" s="175"/>
      <c r="AH1556" s="175"/>
      <c r="AI1556" s="175"/>
    </row>
    <row r="1557">
      <c r="A1557" s="176">
        <v>46202.0</v>
      </c>
      <c r="B1557" s="177">
        <v>8772522.0</v>
      </c>
      <c r="C1557" s="178" t="s">
        <v>82</v>
      </c>
      <c r="D1557" s="178" t="s">
        <v>94</v>
      </c>
      <c r="E1557" s="177">
        <v>8772522.0</v>
      </c>
      <c r="F1557" s="178" t="s">
        <v>2906</v>
      </c>
      <c r="G1557" s="176">
        <v>46207.0</v>
      </c>
      <c r="H1557" s="179">
        <v>46214.0</v>
      </c>
      <c r="I1557" s="180">
        <v>7.0</v>
      </c>
      <c r="J1557" s="181" t="s">
        <v>111</v>
      </c>
      <c r="K1557" s="178" t="s">
        <v>79</v>
      </c>
      <c r="L1557" s="178" t="s">
        <v>96</v>
      </c>
      <c r="M1557" s="182">
        <v>2.0</v>
      </c>
      <c r="N1557" s="183">
        <v>0.0</v>
      </c>
      <c r="O1557" s="184">
        <v>225.35999999999999</v>
      </c>
      <c r="P1557" s="184">
        <v>225.35999999999999</v>
      </c>
      <c r="Q1557" s="185">
        <v>0.0</v>
      </c>
      <c r="R1557" s="186">
        <v>1577.52</v>
      </c>
      <c r="S1557" s="186">
        <v>0.0</v>
      </c>
      <c r="T1557" s="186">
        <v>1612.52</v>
      </c>
      <c r="U1557" s="187" t="s">
        <v>97</v>
      </c>
      <c r="V1557" s="176">
        <v>46202.0</v>
      </c>
      <c r="W1557" s="175"/>
      <c r="X1557" s="175"/>
      <c r="Y1557" s="175"/>
      <c r="Z1557" s="175"/>
      <c r="AA1557" s="175"/>
      <c r="AB1557" s="175"/>
      <c r="AC1557" s="175"/>
      <c r="AD1557" s="175"/>
      <c r="AE1557" s="175"/>
      <c r="AF1557" s="175"/>
      <c r="AG1557" s="175"/>
      <c r="AH1557" s="175"/>
      <c r="AI1557" s="175"/>
    </row>
    <row r="1558">
      <c r="A1558" s="176">
        <v>46202.0</v>
      </c>
      <c r="B1558" s="177">
        <v>8773861.0</v>
      </c>
      <c r="C1558" s="178" t="s">
        <v>82</v>
      </c>
      <c r="D1558" s="178" t="s">
        <v>36</v>
      </c>
      <c r="E1558" s="177">
        <v>8773861.0</v>
      </c>
      <c r="F1558" s="178" t="s">
        <v>2908</v>
      </c>
      <c r="G1558" s="176">
        <v>46202.0</v>
      </c>
      <c r="H1558" s="179">
        <v>46207.0</v>
      </c>
      <c r="I1558" s="180">
        <v>5.0</v>
      </c>
      <c r="J1558" s="181" t="s">
        <v>78</v>
      </c>
      <c r="K1558" s="178" t="s">
        <v>79</v>
      </c>
      <c r="L1558" s="178" t="s">
        <v>96</v>
      </c>
      <c r="M1558" s="182">
        <v>2.0</v>
      </c>
      <c r="N1558" s="183">
        <v>0.0</v>
      </c>
      <c r="O1558" s="184">
        <v>181.44</v>
      </c>
      <c r="P1558" s="184">
        <v>179.6256</v>
      </c>
      <c r="Q1558" s="185">
        <v>0.0</v>
      </c>
      <c r="R1558" s="186">
        <v>898.1279999999999</v>
      </c>
      <c r="S1558" s="186">
        <v>0.0</v>
      </c>
      <c r="T1558" s="186">
        <v>932.2</v>
      </c>
      <c r="U1558" s="187" t="s">
        <v>97</v>
      </c>
      <c r="V1558" s="176">
        <v>46202.0</v>
      </c>
      <c r="W1558" s="175"/>
      <c r="X1558" s="175"/>
      <c r="Y1558" s="175"/>
      <c r="Z1558" s="175"/>
      <c r="AA1558" s="175"/>
      <c r="AB1558" s="175"/>
      <c r="AC1558" s="175"/>
      <c r="AD1558" s="175"/>
      <c r="AE1558" s="175"/>
      <c r="AF1558" s="175"/>
      <c r="AG1558" s="175"/>
      <c r="AH1558" s="175"/>
      <c r="AI1558" s="175"/>
    </row>
    <row r="1559">
      <c r="A1559" s="176">
        <v>46202.0</v>
      </c>
      <c r="B1559" s="177">
        <v>8775132.0</v>
      </c>
      <c r="C1559" s="178" t="s">
        <v>82</v>
      </c>
      <c r="D1559" s="178" t="s">
        <v>36</v>
      </c>
      <c r="E1559" s="177">
        <v>8775132.0</v>
      </c>
      <c r="F1559" s="178" t="s">
        <v>2910</v>
      </c>
      <c r="G1559" s="176">
        <v>46258.0</v>
      </c>
      <c r="H1559" s="179">
        <v>46262.0</v>
      </c>
      <c r="I1559" s="180">
        <v>4.0</v>
      </c>
      <c r="J1559" s="181" t="s">
        <v>114</v>
      </c>
      <c r="K1559" s="178" t="s">
        <v>79</v>
      </c>
      <c r="L1559" s="178" t="s">
        <v>96</v>
      </c>
      <c r="M1559" s="182">
        <v>2.0</v>
      </c>
      <c r="N1559" s="183">
        <v>0.0</v>
      </c>
      <c r="O1559" s="184">
        <v>200.16</v>
      </c>
      <c r="P1559" s="184">
        <v>198.1584</v>
      </c>
      <c r="Q1559" s="185">
        <v>0.0</v>
      </c>
      <c r="R1559" s="186">
        <v>792.6336</v>
      </c>
      <c r="S1559" s="186">
        <v>0.0</v>
      </c>
      <c r="T1559" s="186">
        <v>820.64</v>
      </c>
      <c r="U1559" s="187" t="s">
        <v>97</v>
      </c>
      <c r="V1559" s="176">
        <v>46202.0</v>
      </c>
      <c r="W1559" s="164"/>
      <c r="X1559" s="164"/>
      <c r="Y1559" s="164"/>
      <c r="Z1559" s="164"/>
      <c r="AA1559" s="164"/>
      <c r="AB1559" s="164"/>
      <c r="AC1559" s="164"/>
      <c r="AD1559" s="164"/>
      <c r="AE1559" s="164"/>
      <c r="AF1559" s="164"/>
      <c r="AG1559" s="164"/>
      <c r="AH1559" s="164"/>
      <c r="AI1559" s="164"/>
    </row>
    <row r="1560">
      <c r="A1560" s="176">
        <v>46202.0</v>
      </c>
      <c r="B1560" s="177">
        <v>8776791.0</v>
      </c>
      <c r="C1560" s="178" t="s">
        <v>82</v>
      </c>
      <c r="D1560" s="178" t="s">
        <v>35</v>
      </c>
      <c r="E1560" s="177">
        <v>5.974561294E9</v>
      </c>
      <c r="F1560" s="178" t="s">
        <v>2911</v>
      </c>
      <c r="G1560" s="176">
        <v>46284.0</v>
      </c>
      <c r="H1560" s="179">
        <v>46285.0</v>
      </c>
      <c r="I1560" s="180">
        <v>1.0</v>
      </c>
      <c r="J1560" s="181" t="s">
        <v>91</v>
      </c>
      <c r="K1560" s="178" t="s">
        <v>79</v>
      </c>
      <c r="L1560" s="178" t="s">
        <v>80</v>
      </c>
      <c r="M1560" s="182">
        <v>5.0</v>
      </c>
      <c r="N1560" s="183">
        <v>0.19999999999999996</v>
      </c>
      <c r="O1560" s="184">
        <v>357.31</v>
      </c>
      <c r="P1560" s="184">
        <v>285.848</v>
      </c>
      <c r="Q1560" s="185">
        <v>0.0</v>
      </c>
      <c r="R1560" s="186">
        <v>285.848</v>
      </c>
      <c r="S1560" s="186">
        <v>0.0</v>
      </c>
      <c r="T1560" s="186">
        <v>369.81</v>
      </c>
      <c r="U1560" s="187" t="s">
        <v>107</v>
      </c>
      <c r="V1560" s="176">
        <v>46202.0</v>
      </c>
      <c r="W1560" s="175"/>
      <c r="X1560" s="175"/>
      <c r="Y1560" s="175"/>
      <c r="Z1560" s="175"/>
      <c r="AA1560" s="175"/>
      <c r="AB1560" s="175"/>
      <c r="AC1560" s="175"/>
      <c r="AD1560" s="175"/>
      <c r="AE1560" s="175"/>
      <c r="AF1560" s="175"/>
      <c r="AG1560" s="175"/>
      <c r="AH1560" s="175"/>
      <c r="AI1560" s="175"/>
    </row>
    <row r="1561">
      <c r="A1561" s="176">
        <v>46203.0</v>
      </c>
      <c r="B1561" s="177">
        <v>8779197.0</v>
      </c>
      <c r="C1561" s="178" t="s">
        <v>82</v>
      </c>
      <c r="D1561" s="178" t="s">
        <v>35</v>
      </c>
      <c r="E1561" s="177">
        <v>6.771106882E9</v>
      </c>
      <c r="F1561" s="178" t="s">
        <v>2913</v>
      </c>
      <c r="G1561" s="176">
        <v>46510.20833333333</v>
      </c>
      <c r="H1561" s="179">
        <v>46511.20833333333</v>
      </c>
      <c r="I1561" s="180">
        <v>1.0</v>
      </c>
      <c r="J1561" s="181" t="s">
        <v>111</v>
      </c>
      <c r="K1561" s="178" t="s">
        <v>79</v>
      </c>
      <c r="L1561" s="178" t="s">
        <v>80</v>
      </c>
      <c r="M1561" s="182">
        <v>2.0</v>
      </c>
      <c r="N1561" s="183">
        <v>0.19999999999999996</v>
      </c>
      <c r="O1561" s="184">
        <v>294.24</v>
      </c>
      <c r="P1561" s="184">
        <v>235.39200000000002</v>
      </c>
      <c r="Q1561" s="185">
        <v>0.0</v>
      </c>
      <c r="R1561" s="186">
        <v>235.39200000000002</v>
      </c>
      <c r="S1561" s="186">
        <v>0.0</v>
      </c>
      <c r="T1561" s="186">
        <v>508.48</v>
      </c>
      <c r="U1561" s="187" t="s">
        <v>303</v>
      </c>
      <c r="V1561" s="176">
        <v>46203.0</v>
      </c>
      <c r="W1561" s="175"/>
      <c r="X1561" s="175"/>
      <c r="Y1561" s="175"/>
      <c r="Z1561" s="175"/>
      <c r="AA1561" s="175"/>
      <c r="AB1561" s="175"/>
      <c r="AC1561" s="175"/>
      <c r="AD1561" s="175"/>
      <c r="AE1561" s="175"/>
      <c r="AF1561" s="175"/>
      <c r="AG1561" s="175"/>
      <c r="AH1561" s="175"/>
      <c r="AI1561" s="175"/>
    </row>
    <row r="1562">
      <c r="A1562" s="176">
        <v>46203.0</v>
      </c>
      <c r="B1562" s="177">
        <v>8779197.0</v>
      </c>
      <c r="C1562" s="178" t="s">
        <v>82</v>
      </c>
      <c r="D1562" s="178" t="s">
        <v>35</v>
      </c>
      <c r="E1562" s="177">
        <v>6.771106882E9</v>
      </c>
      <c r="F1562" s="178" t="s">
        <v>2913</v>
      </c>
      <c r="G1562" s="176">
        <v>46510.20833333333</v>
      </c>
      <c r="H1562" s="179">
        <v>46511.20833333333</v>
      </c>
      <c r="I1562" s="180">
        <v>1.0</v>
      </c>
      <c r="J1562" s="181" t="s">
        <v>78</v>
      </c>
      <c r="K1562" s="178" t="s">
        <v>79</v>
      </c>
      <c r="L1562" s="178" t="s">
        <v>80</v>
      </c>
      <c r="M1562" s="182">
        <v>2.0</v>
      </c>
      <c r="N1562" s="183">
        <v>0.19999999999999996</v>
      </c>
      <c r="O1562" s="184">
        <v>204.24</v>
      </c>
      <c r="P1562" s="184">
        <v>163.39200000000002</v>
      </c>
      <c r="Q1562" s="185">
        <v>0.0</v>
      </c>
      <c r="R1562" s="186">
        <v>163.39200000000002</v>
      </c>
      <c r="S1562" s="186">
        <v>0.0</v>
      </c>
      <c r="T1562" s="186">
        <v>508.48</v>
      </c>
      <c r="U1562" s="187" t="s">
        <v>303</v>
      </c>
      <c r="V1562" s="176">
        <v>46203.0</v>
      </c>
      <c r="W1562" s="164"/>
      <c r="X1562" s="164"/>
      <c r="Y1562" s="164"/>
      <c r="Z1562" s="164"/>
      <c r="AA1562" s="164"/>
      <c r="AB1562" s="164"/>
      <c r="AC1562" s="164"/>
      <c r="AD1562" s="164"/>
      <c r="AE1562" s="164"/>
      <c r="AF1562" s="164"/>
      <c r="AG1562" s="164"/>
      <c r="AH1562" s="164"/>
      <c r="AI1562" s="164"/>
    </row>
    <row r="1563">
      <c r="A1563" s="176">
        <v>46203.0</v>
      </c>
      <c r="B1563" s="177">
        <v>8781009.0</v>
      </c>
      <c r="C1563" s="178" t="s">
        <v>82</v>
      </c>
      <c r="D1563" s="178" t="s">
        <v>35</v>
      </c>
      <c r="E1563" s="177">
        <v>6.537462497E9</v>
      </c>
      <c r="F1563" s="178" t="s">
        <v>2918</v>
      </c>
      <c r="G1563" s="176">
        <v>46636.20833333333</v>
      </c>
      <c r="H1563" s="179">
        <v>46641.20833333333</v>
      </c>
      <c r="I1563" s="180">
        <v>5.0</v>
      </c>
      <c r="J1563" s="181" t="s">
        <v>78</v>
      </c>
      <c r="K1563" s="178" t="s">
        <v>79</v>
      </c>
      <c r="L1563" s="178" t="s">
        <v>80</v>
      </c>
      <c r="M1563" s="182">
        <v>2.0</v>
      </c>
      <c r="N1563" s="183">
        <v>0.19999999999999996</v>
      </c>
      <c r="O1563" s="184">
        <v>161.12</v>
      </c>
      <c r="P1563" s="184">
        <v>128.89600000000002</v>
      </c>
      <c r="Q1563" s="185">
        <v>0.0</v>
      </c>
      <c r="R1563" s="186">
        <v>644.48</v>
      </c>
      <c r="S1563" s="186">
        <v>0.0</v>
      </c>
      <c r="T1563" s="186">
        <v>830.6</v>
      </c>
      <c r="U1563" s="187" t="s">
        <v>353</v>
      </c>
      <c r="V1563" s="176">
        <v>46203.0</v>
      </c>
      <c r="W1563" s="175"/>
      <c r="X1563" s="175"/>
      <c r="Y1563" s="175"/>
      <c r="Z1563" s="175"/>
      <c r="AA1563" s="175"/>
      <c r="AB1563" s="175"/>
      <c r="AC1563" s="175"/>
      <c r="AD1563" s="175"/>
      <c r="AE1563" s="175"/>
      <c r="AF1563" s="175"/>
      <c r="AG1563" s="175"/>
      <c r="AH1563" s="175"/>
      <c r="AI1563" s="175"/>
    </row>
    <row r="1564">
      <c r="A1564" s="176">
        <v>46204.0</v>
      </c>
      <c r="B1564" s="177">
        <v>8783550.0</v>
      </c>
      <c r="C1564" s="178" t="s">
        <v>75</v>
      </c>
      <c r="D1564" s="178" t="s">
        <v>35</v>
      </c>
      <c r="E1564" s="177">
        <v>6.534961955E9</v>
      </c>
      <c r="F1564" s="178" t="s">
        <v>2919</v>
      </c>
      <c r="G1564" s="176">
        <v>46254.0</v>
      </c>
      <c r="H1564" s="179">
        <v>46257.0</v>
      </c>
      <c r="I1564" s="180">
        <v>3.0</v>
      </c>
      <c r="J1564" s="181" t="s">
        <v>78</v>
      </c>
      <c r="K1564" s="178" t="s">
        <v>79</v>
      </c>
      <c r="L1564" s="178" t="s">
        <v>80</v>
      </c>
      <c r="M1564" s="182">
        <v>2.0</v>
      </c>
      <c r="N1564" s="183">
        <v>0.19999999999999996</v>
      </c>
      <c r="O1564" s="184">
        <v>109.33999999999999</v>
      </c>
      <c r="P1564" s="184">
        <v>87.472</v>
      </c>
      <c r="Q1564" s="185">
        <v>0.0</v>
      </c>
      <c r="R1564" s="186">
        <v>262.416</v>
      </c>
      <c r="S1564" s="186">
        <v>0.0</v>
      </c>
      <c r="T1564" s="186">
        <v>686.04</v>
      </c>
      <c r="U1564" s="187" t="s">
        <v>2921</v>
      </c>
      <c r="V1564" s="176">
        <v>46204.0</v>
      </c>
      <c r="W1564" s="175"/>
      <c r="X1564" s="175"/>
      <c r="Y1564" s="175"/>
      <c r="Z1564" s="175"/>
      <c r="AA1564" s="175"/>
      <c r="AB1564" s="175"/>
      <c r="AC1564" s="175"/>
      <c r="AD1564" s="175"/>
      <c r="AE1564" s="175"/>
      <c r="AF1564" s="175"/>
      <c r="AG1564" s="175"/>
      <c r="AH1564" s="175"/>
      <c r="AI1564" s="175"/>
    </row>
    <row r="1565">
      <c r="A1565" s="176">
        <v>46204.0</v>
      </c>
      <c r="B1565" s="177">
        <v>8783550.0</v>
      </c>
      <c r="C1565" s="178" t="s">
        <v>75</v>
      </c>
      <c r="D1565" s="178" t="s">
        <v>35</v>
      </c>
      <c r="E1565" s="177">
        <v>6.534961955E9</v>
      </c>
      <c r="F1565" s="178" t="s">
        <v>2919</v>
      </c>
      <c r="G1565" s="176">
        <v>46254.0</v>
      </c>
      <c r="H1565" s="179">
        <v>46257.0</v>
      </c>
      <c r="I1565" s="180">
        <v>3.0</v>
      </c>
      <c r="J1565" s="181" t="s">
        <v>87</v>
      </c>
      <c r="K1565" s="178" t="s">
        <v>79</v>
      </c>
      <c r="L1565" s="178" t="s">
        <v>80</v>
      </c>
      <c r="M1565" s="182">
        <v>2.0</v>
      </c>
      <c r="N1565" s="183">
        <v>0.19999999999999996</v>
      </c>
      <c r="O1565" s="184">
        <v>109.33999999999999</v>
      </c>
      <c r="P1565" s="184">
        <v>87.472</v>
      </c>
      <c r="Q1565" s="185">
        <v>0.0</v>
      </c>
      <c r="R1565" s="186">
        <v>262.416</v>
      </c>
      <c r="S1565" s="186">
        <v>0.0</v>
      </c>
      <c r="T1565" s="186">
        <v>686.04</v>
      </c>
      <c r="U1565" s="187" t="s">
        <v>2921</v>
      </c>
      <c r="V1565" s="176">
        <v>46204.0</v>
      </c>
      <c r="W1565" s="175"/>
      <c r="X1565" s="175"/>
      <c r="Y1565" s="175"/>
      <c r="Z1565" s="175"/>
      <c r="AA1565" s="175"/>
      <c r="AB1565" s="175"/>
      <c r="AC1565" s="175"/>
      <c r="AD1565" s="175"/>
      <c r="AE1565" s="175"/>
      <c r="AF1565" s="175"/>
      <c r="AG1565" s="175"/>
      <c r="AH1565" s="175"/>
      <c r="AI1565" s="175"/>
    </row>
    <row r="1566">
      <c r="A1566" s="176">
        <v>46204.0</v>
      </c>
      <c r="B1566" s="177">
        <v>8784712.0</v>
      </c>
      <c r="C1566" s="178" t="s">
        <v>82</v>
      </c>
      <c r="D1566" s="178" t="s">
        <v>94</v>
      </c>
      <c r="E1566" s="177">
        <v>8784712.0</v>
      </c>
      <c r="F1566" s="178" t="s">
        <v>2923</v>
      </c>
      <c r="G1566" s="176">
        <v>46207.0</v>
      </c>
      <c r="H1566" s="179">
        <v>46213.0</v>
      </c>
      <c r="I1566" s="180">
        <v>6.0</v>
      </c>
      <c r="J1566" s="181" t="s">
        <v>78</v>
      </c>
      <c r="K1566" s="178" t="s">
        <v>79</v>
      </c>
      <c r="L1566" s="178" t="s">
        <v>96</v>
      </c>
      <c r="M1566" s="182">
        <v>2.0</v>
      </c>
      <c r="N1566" s="183">
        <v>0.0</v>
      </c>
      <c r="O1566" s="184">
        <v>181.44000000000003</v>
      </c>
      <c r="P1566" s="184">
        <v>181.44000000000003</v>
      </c>
      <c r="Q1566" s="185">
        <v>0.0</v>
      </c>
      <c r="R1566" s="186">
        <v>1088.64</v>
      </c>
      <c r="S1566" s="186">
        <v>0.0</v>
      </c>
      <c r="T1566" s="186">
        <v>1118.64</v>
      </c>
      <c r="U1566" s="187" t="s">
        <v>97</v>
      </c>
      <c r="V1566" s="176">
        <v>46204.0</v>
      </c>
      <c r="W1566" s="175"/>
      <c r="X1566" s="175"/>
      <c r="Y1566" s="175"/>
      <c r="Z1566" s="175"/>
      <c r="AA1566" s="175"/>
      <c r="AB1566" s="175"/>
      <c r="AC1566" s="175"/>
      <c r="AD1566" s="175"/>
      <c r="AE1566" s="175"/>
      <c r="AF1566" s="175"/>
      <c r="AG1566" s="175"/>
      <c r="AH1566" s="175"/>
      <c r="AI1566" s="175"/>
    </row>
    <row r="1567">
      <c r="A1567" s="176">
        <v>46205.0</v>
      </c>
      <c r="B1567" s="177">
        <v>8792364.0</v>
      </c>
      <c r="C1567" s="178" t="s">
        <v>82</v>
      </c>
      <c r="D1567" s="178" t="s">
        <v>35</v>
      </c>
      <c r="E1567" s="177">
        <v>6.682916113E9</v>
      </c>
      <c r="F1567" s="178" t="s">
        <v>2926</v>
      </c>
      <c r="G1567" s="176">
        <v>46236.0</v>
      </c>
      <c r="H1567" s="179">
        <v>46239.0</v>
      </c>
      <c r="I1567" s="180">
        <v>3.0</v>
      </c>
      <c r="J1567" s="181" t="s">
        <v>78</v>
      </c>
      <c r="K1567" s="178" t="s">
        <v>79</v>
      </c>
      <c r="L1567" s="178" t="s">
        <v>80</v>
      </c>
      <c r="M1567" s="182">
        <v>2.0</v>
      </c>
      <c r="N1567" s="183">
        <v>0.19999999999999996</v>
      </c>
      <c r="O1567" s="184">
        <v>137.43</v>
      </c>
      <c r="P1567" s="184">
        <v>109.94400000000002</v>
      </c>
      <c r="Q1567" s="185">
        <v>0.0</v>
      </c>
      <c r="R1567" s="186">
        <v>329.83200000000005</v>
      </c>
      <c r="S1567" s="186">
        <v>0.0</v>
      </c>
      <c r="T1567" s="186">
        <v>952.74</v>
      </c>
      <c r="U1567" s="187" t="s">
        <v>1367</v>
      </c>
      <c r="V1567" s="176">
        <v>46205.0</v>
      </c>
      <c r="W1567" s="175"/>
      <c r="X1567" s="175"/>
      <c r="Y1567" s="175"/>
      <c r="Z1567" s="175"/>
      <c r="AA1567" s="175"/>
      <c r="AB1567" s="175"/>
      <c r="AC1567" s="175"/>
      <c r="AD1567" s="175"/>
      <c r="AE1567" s="175"/>
      <c r="AF1567" s="175"/>
      <c r="AG1567" s="175"/>
      <c r="AH1567" s="175"/>
      <c r="AI1567" s="175"/>
    </row>
    <row r="1568">
      <c r="A1568" s="154">
        <v>46205.0</v>
      </c>
      <c r="B1568" s="155">
        <v>8792364.0</v>
      </c>
      <c r="C1568" s="156" t="s">
        <v>82</v>
      </c>
      <c r="D1568" s="156" t="s">
        <v>35</v>
      </c>
      <c r="E1568" s="155">
        <v>6.682916113E9</v>
      </c>
      <c r="F1568" s="156" t="s">
        <v>2926</v>
      </c>
      <c r="G1568" s="154">
        <v>46236.0</v>
      </c>
      <c r="H1568" s="157">
        <v>46239.0</v>
      </c>
      <c r="I1568" s="158">
        <v>3.0</v>
      </c>
      <c r="J1568" s="159" t="s">
        <v>114</v>
      </c>
      <c r="K1568" s="156" t="s">
        <v>79</v>
      </c>
      <c r="L1568" s="156" t="s">
        <v>80</v>
      </c>
      <c r="M1568" s="155">
        <v>2.0</v>
      </c>
      <c r="N1568" s="160">
        <v>0.19999999999999996</v>
      </c>
      <c r="O1568" s="161">
        <v>170.15</v>
      </c>
      <c r="P1568" s="161">
        <v>136.12</v>
      </c>
      <c r="Q1568" s="203">
        <v>0.0</v>
      </c>
      <c r="R1568" s="162">
        <v>408.36</v>
      </c>
      <c r="S1568" s="162">
        <v>0.0</v>
      </c>
      <c r="T1568" s="186">
        <v>952.74</v>
      </c>
      <c r="U1568" s="187" t="s">
        <v>1367</v>
      </c>
      <c r="V1568" s="176">
        <v>46205.0</v>
      </c>
      <c r="W1568" s="175"/>
      <c r="X1568" s="175"/>
      <c r="Y1568" s="175"/>
      <c r="Z1568" s="175"/>
      <c r="AA1568" s="175"/>
      <c r="AB1568" s="175"/>
      <c r="AC1568" s="175"/>
      <c r="AD1568" s="175"/>
      <c r="AE1568" s="175"/>
      <c r="AF1568" s="175"/>
      <c r="AG1568" s="175"/>
      <c r="AH1568" s="175"/>
      <c r="AI1568" s="175"/>
    </row>
    <row r="1569">
      <c r="A1569" s="176">
        <v>46205.0</v>
      </c>
      <c r="B1569" s="177">
        <v>8792453.0</v>
      </c>
      <c r="C1569" s="178" t="s">
        <v>82</v>
      </c>
      <c r="D1569" s="178" t="s">
        <v>35</v>
      </c>
      <c r="E1569" s="177">
        <v>6.335837739E9</v>
      </c>
      <c r="F1569" s="178" t="s">
        <v>2929</v>
      </c>
      <c r="G1569" s="176">
        <v>46689.20833333333</v>
      </c>
      <c r="H1569" s="179">
        <v>46694.20833333333</v>
      </c>
      <c r="I1569" s="180">
        <v>5.0</v>
      </c>
      <c r="J1569" s="181" t="s">
        <v>78</v>
      </c>
      <c r="K1569" s="178" t="s">
        <v>79</v>
      </c>
      <c r="L1569" s="178" t="s">
        <v>80</v>
      </c>
      <c r="M1569" s="182">
        <v>2.0</v>
      </c>
      <c r="N1569" s="183">
        <v>0.19999999999999996</v>
      </c>
      <c r="O1569" s="184">
        <v>198.56</v>
      </c>
      <c r="P1569" s="184">
        <v>158.848</v>
      </c>
      <c r="Q1569" s="185">
        <v>0.0</v>
      </c>
      <c r="R1569" s="186">
        <v>794.24</v>
      </c>
      <c r="S1569" s="186">
        <v>0.0</v>
      </c>
      <c r="T1569" s="186">
        <v>1017.8</v>
      </c>
      <c r="U1569" s="187" t="s">
        <v>353</v>
      </c>
      <c r="V1569" s="176">
        <v>46205.0</v>
      </c>
      <c r="W1569" s="175"/>
      <c r="X1569" s="175"/>
      <c r="Y1569" s="175"/>
      <c r="Z1569" s="175"/>
      <c r="AA1569" s="175"/>
      <c r="AB1569" s="175"/>
      <c r="AC1569" s="175"/>
      <c r="AD1569" s="175"/>
      <c r="AE1569" s="175"/>
      <c r="AF1569" s="175"/>
      <c r="AG1569" s="175"/>
      <c r="AH1569" s="175"/>
      <c r="AI1569" s="175"/>
    </row>
    <row r="1570">
      <c r="A1570" s="176">
        <v>46206.0</v>
      </c>
      <c r="B1570" s="177">
        <v>8797092.0</v>
      </c>
      <c r="C1570" s="178" t="s">
        <v>82</v>
      </c>
      <c r="D1570" s="178" t="s">
        <v>101</v>
      </c>
      <c r="E1570" s="177">
        <v>2.500382485E9</v>
      </c>
      <c r="F1570" s="178" t="s">
        <v>2931</v>
      </c>
      <c r="G1570" s="176">
        <v>46271.0</v>
      </c>
      <c r="H1570" s="179">
        <v>46273.0</v>
      </c>
      <c r="I1570" s="180">
        <v>2.0</v>
      </c>
      <c r="J1570" s="181" t="s">
        <v>87</v>
      </c>
      <c r="K1570" s="178" t="s">
        <v>79</v>
      </c>
      <c r="L1570" s="178" t="s">
        <v>103</v>
      </c>
      <c r="M1570" s="182">
        <v>2.0</v>
      </c>
      <c r="N1570" s="183">
        <v>0.0</v>
      </c>
      <c r="O1570" s="184">
        <v>175.68</v>
      </c>
      <c r="P1570" s="184">
        <v>140.544</v>
      </c>
      <c r="Q1570" s="185">
        <v>0.0</v>
      </c>
      <c r="R1570" s="186">
        <v>281.088</v>
      </c>
      <c r="S1570" s="186">
        <v>0.0</v>
      </c>
      <c r="T1570" s="186">
        <v>351.36</v>
      </c>
      <c r="U1570" s="187" t="s">
        <v>104</v>
      </c>
      <c r="V1570" s="176">
        <v>46206.0</v>
      </c>
      <c r="W1570" s="164"/>
      <c r="X1570" s="164"/>
      <c r="Y1570" s="164"/>
      <c r="Z1570" s="164"/>
      <c r="AA1570" s="164"/>
      <c r="AB1570" s="164"/>
      <c r="AC1570" s="164"/>
      <c r="AD1570" s="164"/>
      <c r="AE1570" s="164"/>
      <c r="AF1570" s="164"/>
      <c r="AG1570" s="164"/>
      <c r="AH1570" s="164"/>
      <c r="AI1570" s="164"/>
    </row>
    <row r="1571">
      <c r="A1571" s="176">
        <v>46206.0</v>
      </c>
      <c r="B1571" s="177">
        <v>8797507.0</v>
      </c>
      <c r="C1571" s="178" t="s">
        <v>82</v>
      </c>
      <c r="D1571" s="178" t="s">
        <v>35</v>
      </c>
      <c r="E1571" s="177">
        <v>6.005418782E9</v>
      </c>
      <c r="F1571" s="178" t="s">
        <v>2933</v>
      </c>
      <c r="G1571" s="176">
        <v>46253.0</v>
      </c>
      <c r="H1571" s="179">
        <v>46256.0</v>
      </c>
      <c r="I1571" s="180">
        <v>3.0</v>
      </c>
      <c r="J1571" s="181" t="s">
        <v>114</v>
      </c>
      <c r="K1571" s="178" t="s">
        <v>79</v>
      </c>
      <c r="L1571" s="178" t="s">
        <v>80</v>
      </c>
      <c r="M1571" s="182">
        <v>2.0</v>
      </c>
      <c r="N1571" s="183">
        <v>0.19999999999999996</v>
      </c>
      <c r="O1571" s="184">
        <v>134.41</v>
      </c>
      <c r="P1571" s="184">
        <v>107.528</v>
      </c>
      <c r="Q1571" s="185">
        <v>0.0</v>
      </c>
      <c r="R1571" s="186">
        <v>322.584</v>
      </c>
      <c r="S1571" s="186">
        <v>0.0</v>
      </c>
      <c r="T1571" s="186">
        <v>418.23</v>
      </c>
      <c r="U1571" s="187" t="s">
        <v>107</v>
      </c>
      <c r="V1571" s="176">
        <v>46206.0</v>
      </c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</row>
    <row r="1572">
      <c r="A1572" s="176">
        <v>46207.0</v>
      </c>
      <c r="B1572" s="177">
        <v>8802652.0</v>
      </c>
      <c r="C1572" s="178" t="s">
        <v>82</v>
      </c>
      <c r="D1572" s="178" t="s">
        <v>94</v>
      </c>
      <c r="E1572" s="177">
        <v>8802652.0</v>
      </c>
      <c r="F1572" s="178" t="s">
        <v>2935</v>
      </c>
      <c r="G1572" s="176">
        <v>46233.0</v>
      </c>
      <c r="H1572" s="179">
        <v>46234.0</v>
      </c>
      <c r="I1572" s="180">
        <v>1.0</v>
      </c>
      <c r="J1572" s="181" t="s">
        <v>78</v>
      </c>
      <c r="K1572" s="178" t="s">
        <v>79</v>
      </c>
      <c r="L1572" s="178" t="s">
        <v>96</v>
      </c>
      <c r="M1572" s="182">
        <v>2.0</v>
      </c>
      <c r="N1572" s="183">
        <v>0.0</v>
      </c>
      <c r="O1572" s="184">
        <v>181.44</v>
      </c>
      <c r="P1572" s="184">
        <v>181.44</v>
      </c>
      <c r="Q1572" s="185">
        <v>0.0</v>
      </c>
      <c r="R1572" s="186">
        <v>181.44</v>
      </c>
      <c r="S1572" s="186">
        <v>0.0</v>
      </c>
      <c r="T1572" s="186">
        <v>372.88</v>
      </c>
      <c r="U1572" s="187" t="s">
        <v>97</v>
      </c>
      <c r="V1572" s="176">
        <v>46207.0</v>
      </c>
      <c r="W1572" s="164"/>
      <c r="X1572" s="164"/>
      <c r="Y1572" s="164"/>
      <c r="Z1572" s="164"/>
      <c r="AA1572" s="164"/>
      <c r="AB1572" s="164"/>
      <c r="AC1572" s="164"/>
      <c r="AD1572" s="164"/>
      <c r="AE1572" s="164"/>
      <c r="AF1572" s="164"/>
      <c r="AG1572" s="164"/>
      <c r="AH1572" s="164"/>
      <c r="AI1572" s="164"/>
    </row>
    <row r="1573">
      <c r="A1573" s="176">
        <v>46207.0</v>
      </c>
      <c r="B1573" s="177">
        <v>8802652.0</v>
      </c>
      <c r="C1573" s="178" t="s">
        <v>82</v>
      </c>
      <c r="D1573" s="178" t="s">
        <v>94</v>
      </c>
      <c r="E1573" s="177">
        <v>8802652.0</v>
      </c>
      <c r="F1573" s="178" t="s">
        <v>2935</v>
      </c>
      <c r="G1573" s="176">
        <v>46233.0</v>
      </c>
      <c r="H1573" s="179">
        <v>46234.0</v>
      </c>
      <c r="I1573" s="180">
        <v>1.0</v>
      </c>
      <c r="J1573" s="181" t="s">
        <v>78</v>
      </c>
      <c r="K1573" s="178" t="s">
        <v>79</v>
      </c>
      <c r="L1573" s="178" t="s">
        <v>96</v>
      </c>
      <c r="M1573" s="182">
        <v>2.0</v>
      </c>
      <c r="N1573" s="183">
        <v>0.0</v>
      </c>
      <c r="O1573" s="184">
        <v>181.44</v>
      </c>
      <c r="P1573" s="184">
        <v>181.44</v>
      </c>
      <c r="Q1573" s="185">
        <v>0.0</v>
      </c>
      <c r="R1573" s="186">
        <v>181.44</v>
      </c>
      <c r="S1573" s="186">
        <v>0.0</v>
      </c>
      <c r="T1573" s="186">
        <v>372.88</v>
      </c>
      <c r="U1573" s="187" t="s">
        <v>97</v>
      </c>
      <c r="V1573" s="176">
        <v>46207.0</v>
      </c>
      <c r="W1573" s="175"/>
      <c r="X1573" s="175"/>
      <c r="Y1573" s="175"/>
      <c r="Z1573" s="175"/>
      <c r="AA1573" s="175"/>
      <c r="AB1573" s="175"/>
      <c r="AC1573" s="175"/>
      <c r="AD1573" s="175"/>
      <c r="AE1573" s="175"/>
      <c r="AF1573" s="175"/>
      <c r="AG1573" s="175"/>
      <c r="AH1573" s="175"/>
      <c r="AI1573" s="175"/>
    </row>
    <row r="1574">
      <c r="A1574" s="176">
        <v>46207.0</v>
      </c>
      <c r="B1574" s="177">
        <v>8803152.0</v>
      </c>
      <c r="C1574" s="178" t="s">
        <v>82</v>
      </c>
      <c r="D1574" s="178" t="s">
        <v>94</v>
      </c>
      <c r="E1574" s="177">
        <v>8803152.0</v>
      </c>
      <c r="F1574" s="178" t="s">
        <v>2891</v>
      </c>
      <c r="G1574" s="176">
        <v>46376.20833333333</v>
      </c>
      <c r="H1574" s="179">
        <v>46377.20833333333</v>
      </c>
      <c r="I1574" s="180">
        <v>1.0</v>
      </c>
      <c r="J1574" s="181" t="s">
        <v>114</v>
      </c>
      <c r="K1574" s="178" t="s">
        <v>79</v>
      </c>
      <c r="L1574" s="178" t="s">
        <v>96</v>
      </c>
      <c r="M1574" s="182">
        <v>1.0</v>
      </c>
      <c r="N1574" s="183">
        <v>0.0</v>
      </c>
      <c r="O1574" s="184">
        <v>270.0</v>
      </c>
      <c r="P1574" s="184">
        <v>270.0</v>
      </c>
      <c r="Q1574" s="185">
        <v>0.0</v>
      </c>
      <c r="R1574" s="186">
        <v>270.0</v>
      </c>
      <c r="S1574" s="186">
        <v>0.0</v>
      </c>
      <c r="T1574" s="186">
        <v>272.5</v>
      </c>
      <c r="U1574" s="187" t="s">
        <v>97</v>
      </c>
      <c r="V1574" s="176">
        <v>46207.0</v>
      </c>
      <c r="W1574" s="175"/>
      <c r="X1574" s="175"/>
      <c r="Y1574" s="175"/>
      <c r="Z1574" s="175"/>
      <c r="AA1574" s="175"/>
      <c r="AB1574" s="175"/>
      <c r="AC1574" s="175"/>
      <c r="AD1574" s="175"/>
      <c r="AE1574" s="175"/>
      <c r="AF1574" s="175"/>
      <c r="AG1574" s="175"/>
      <c r="AH1574" s="175"/>
      <c r="AI1574" s="175"/>
    </row>
    <row r="1575">
      <c r="A1575" s="176">
        <v>46208.0</v>
      </c>
      <c r="B1575" s="177">
        <v>8805678.0</v>
      </c>
      <c r="C1575" s="178" t="s">
        <v>75</v>
      </c>
      <c r="D1575" s="178" t="s">
        <v>35</v>
      </c>
      <c r="E1575" s="177">
        <v>6.387469312E9</v>
      </c>
      <c r="F1575" s="178" t="s">
        <v>2939</v>
      </c>
      <c r="G1575" s="176">
        <v>46303.20833333333</v>
      </c>
      <c r="H1575" s="179">
        <v>46305.20833333333</v>
      </c>
      <c r="I1575" s="180">
        <v>2.0</v>
      </c>
      <c r="J1575" s="181" t="s">
        <v>114</v>
      </c>
      <c r="K1575" s="178" t="s">
        <v>79</v>
      </c>
      <c r="L1575" s="178" t="s">
        <v>80</v>
      </c>
      <c r="M1575" s="182">
        <v>2.0</v>
      </c>
      <c r="N1575" s="183">
        <v>0.19999999999999996</v>
      </c>
      <c r="O1575" s="184">
        <v>298.13</v>
      </c>
      <c r="P1575" s="184">
        <v>238.50400000000002</v>
      </c>
      <c r="Q1575" s="185">
        <v>0.0</v>
      </c>
      <c r="R1575" s="186">
        <v>477.00800000000004</v>
      </c>
      <c r="S1575" s="186">
        <v>0.0</v>
      </c>
      <c r="T1575" s="186">
        <v>606.26</v>
      </c>
      <c r="U1575" s="187" t="s">
        <v>2941</v>
      </c>
      <c r="V1575" s="176">
        <v>46208.0</v>
      </c>
      <c r="W1575" s="175"/>
      <c r="X1575" s="175"/>
      <c r="Y1575" s="175"/>
      <c r="Z1575" s="175"/>
      <c r="AA1575" s="175"/>
      <c r="AB1575" s="175"/>
      <c r="AC1575" s="175"/>
      <c r="AD1575" s="175"/>
      <c r="AE1575" s="175"/>
      <c r="AF1575" s="175"/>
      <c r="AG1575" s="175"/>
      <c r="AH1575" s="175"/>
      <c r="AI1575" s="175"/>
    </row>
    <row r="1576">
      <c r="A1576" s="176">
        <v>46208.0</v>
      </c>
      <c r="B1576" s="177">
        <v>8807655.0</v>
      </c>
      <c r="C1576" s="178" t="s">
        <v>89</v>
      </c>
      <c r="D1576" s="178" t="s">
        <v>35</v>
      </c>
      <c r="E1576" s="177">
        <v>6.103301547E9</v>
      </c>
      <c r="F1576" s="178" t="s">
        <v>2942</v>
      </c>
      <c r="G1576" s="176">
        <v>46603.20833333333</v>
      </c>
      <c r="H1576" s="179">
        <v>46606.20833333333</v>
      </c>
      <c r="I1576" s="180">
        <v>3.0</v>
      </c>
      <c r="J1576" s="181" t="s">
        <v>78</v>
      </c>
      <c r="K1576" s="178" t="s">
        <v>79</v>
      </c>
      <c r="L1576" s="178" t="s">
        <v>80</v>
      </c>
      <c r="M1576" s="182">
        <v>0.0</v>
      </c>
      <c r="N1576" s="183">
        <v>0.0</v>
      </c>
      <c r="O1576" s="184">
        <v>0.0</v>
      </c>
      <c r="P1576" s="184">
        <v>0.0</v>
      </c>
      <c r="Q1576" s="185">
        <v>0.0</v>
      </c>
      <c r="R1576" s="186">
        <v>0.0</v>
      </c>
      <c r="S1576" s="186">
        <v>0.0</v>
      </c>
      <c r="T1576" s="186">
        <v>0.0</v>
      </c>
      <c r="U1576" s="187" t="s">
        <v>2944</v>
      </c>
      <c r="V1576" s="176">
        <v>46209.0</v>
      </c>
      <c r="W1576" s="175"/>
      <c r="X1576" s="175"/>
      <c r="Y1576" s="175"/>
      <c r="Z1576" s="175"/>
      <c r="AA1576" s="175"/>
      <c r="AB1576" s="175"/>
      <c r="AC1576" s="175"/>
      <c r="AD1576" s="175"/>
      <c r="AE1576" s="175"/>
      <c r="AF1576" s="175"/>
      <c r="AG1576" s="175"/>
      <c r="AH1576" s="175"/>
      <c r="AI1576" s="175"/>
    </row>
    <row r="1577">
      <c r="A1577" s="176">
        <v>46208.0</v>
      </c>
      <c r="B1577" s="177">
        <v>8809307.0</v>
      </c>
      <c r="C1577" s="178" t="s">
        <v>89</v>
      </c>
      <c r="D1577" s="178" t="s">
        <v>35</v>
      </c>
      <c r="E1577" s="177">
        <v>5.335621474E9</v>
      </c>
      <c r="F1577" s="178" t="s">
        <v>2945</v>
      </c>
      <c r="G1577" s="176">
        <v>46301.20833333333</v>
      </c>
      <c r="H1577" s="179">
        <v>46303.20833333333</v>
      </c>
      <c r="I1577" s="180">
        <v>2.0</v>
      </c>
      <c r="J1577" s="181" t="s">
        <v>111</v>
      </c>
      <c r="K1577" s="178" t="s">
        <v>79</v>
      </c>
      <c r="L1577" s="178" t="s">
        <v>80</v>
      </c>
      <c r="M1577" s="182">
        <v>0.0</v>
      </c>
      <c r="N1577" s="183">
        <v>0.0</v>
      </c>
      <c r="O1577" s="184">
        <v>0.0</v>
      </c>
      <c r="P1577" s="184">
        <v>0.0</v>
      </c>
      <c r="Q1577" s="185">
        <v>0.0</v>
      </c>
      <c r="R1577" s="186">
        <v>0.0</v>
      </c>
      <c r="S1577" s="186">
        <v>0.0</v>
      </c>
      <c r="T1577" s="186">
        <v>0.0</v>
      </c>
      <c r="U1577" s="187" t="s">
        <v>2947</v>
      </c>
      <c r="V1577" s="176">
        <v>46219.0</v>
      </c>
      <c r="W1577" s="175"/>
      <c r="X1577" s="175"/>
      <c r="Y1577" s="175"/>
      <c r="Z1577" s="175"/>
      <c r="AA1577" s="175"/>
      <c r="AB1577" s="175"/>
      <c r="AC1577" s="175"/>
      <c r="AD1577" s="175"/>
      <c r="AE1577" s="175"/>
      <c r="AF1577" s="175"/>
      <c r="AG1577" s="175"/>
      <c r="AH1577" s="175"/>
      <c r="AI1577" s="175"/>
    </row>
    <row r="1578">
      <c r="A1578" s="176">
        <v>46209.0</v>
      </c>
      <c r="B1578" s="177">
        <v>8810941.0</v>
      </c>
      <c r="C1578" s="178" t="s">
        <v>82</v>
      </c>
      <c r="D1578" s="178" t="s">
        <v>101</v>
      </c>
      <c r="E1578" s="177">
        <v>2.502353084E9</v>
      </c>
      <c r="F1578" s="178" t="s">
        <v>2948</v>
      </c>
      <c r="G1578" s="176">
        <v>46605.20833333333</v>
      </c>
      <c r="H1578" s="179">
        <v>46608.20833333333</v>
      </c>
      <c r="I1578" s="180">
        <v>3.0</v>
      </c>
      <c r="J1578" s="181" t="s">
        <v>87</v>
      </c>
      <c r="K1578" s="178"/>
      <c r="L1578" s="178"/>
      <c r="M1578" s="182">
        <v>2.0</v>
      </c>
      <c r="N1578" s="183">
        <v>0.0</v>
      </c>
      <c r="O1578" s="184">
        <v>0.0</v>
      </c>
      <c r="P1578" s="184">
        <v>0.0</v>
      </c>
      <c r="Q1578" s="185">
        <v>0.0</v>
      </c>
      <c r="R1578" s="186">
        <v>0.0</v>
      </c>
      <c r="S1578" s="186">
        <v>0.0</v>
      </c>
      <c r="T1578" s="186">
        <v>0.0</v>
      </c>
      <c r="U1578" s="187" t="s">
        <v>422</v>
      </c>
      <c r="V1578" s="176">
        <v>46209.0</v>
      </c>
      <c r="W1578" s="188"/>
      <c r="X1578" s="188"/>
      <c r="Y1578" s="188"/>
      <c r="Z1578" s="188"/>
      <c r="AA1578" s="188"/>
      <c r="AB1578" s="188"/>
      <c r="AC1578" s="188"/>
      <c r="AD1578" s="188"/>
      <c r="AE1578" s="188"/>
      <c r="AF1578" s="188"/>
      <c r="AG1578" s="188"/>
      <c r="AH1578" s="188"/>
      <c r="AI1578" s="188"/>
    </row>
    <row r="1579">
      <c r="A1579" s="176">
        <v>46209.0</v>
      </c>
      <c r="B1579" s="177">
        <v>8812302.0</v>
      </c>
      <c r="C1579" s="178" t="s">
        <v>82</v>
      </c>
      <c r="D1579" s="178" t="s">
        <v>35</v>
      </c>
      <c r="E1579" s="177">
        <v>5.418459977E9</v>
      </c>
      <c r="F1579" s="178" t="s">
        <v>2942</v>
      </c>
      <c r="G1579" s="176">
        <v>46602.20833333333</v>
      </c>
      <c r="H1579" s="179">
        <v>46605.20833333333</v>
      </c>
      <c r="I1579" s="180">
        <v>3.0</v>
      </c>
      <c r="J1579" s="181" t="s">
        <v>78</v>
      </c>
      <c r="K1579" s="178" t="s">
        <v>79</v>
      </c>
      <c r="L1579" s="178" t="s">
        <v>80</v>
      </c>
      <c r="M1579" s="182">
        <v>2.0</v>
      </c>
      <c r="N1579" s="183">
        <v>0.19999999999999996</v>
      </c>
      <c r="O1579" s="184">
        <v>118.27999999999999</v>
      </c>
      <c r="P1579" s="184">
        <v>94.624</v>
      </c>
      <c r="Q1579" s="185">
        <v>0.0</v>
      </c>
      <c r="R1579" s="186">
        <v>283.87199999999996</v>
      </c>
      <c r="S1579" s="186">
        <v>0.0</v>
      </c>
      <c r="T1579" s="186">
        <v>354.84</v>
      </c>
      <c r="U1579" s="187" t="s">
        <v>268</v>
      </c>
      <c r="V1579" s="176">
        <v>46209.0</v>
      </c>
      <c r="W1579" s="175"/>
      <c r="X1579" s="175"/>
      <c r="Y1579" s="175"/>
      <c r="Z1579" s="175"/>
      <c r="AA1579" s="175"/>
      <c r="AB1579" s="175"/>
      <c r="AC1579" s="175"/>
      <c r="AD1579" s="175"/>
      <c r="AE1579" s="175"/>
      <c r="AF1579" s="175"/>
      <c r="AG1579" s="175"/>
      <c r="AH1579" s="175"/>
      <c r="AI1579" s="175"/>
    </row>
    <row r="1580">
      <c r="A1580" s="176">
        <v>46209.0</v>
      </c>
      <c r="B1580" s="177">
        <v>8814622.0</v>
      </c>
      <c r="C1580" s="178" t="s">
        <v>82</v>
      </c>
      <c r="D1580" s="178" t="s">
        <v>35</v>
      </c>
      <c r="E1580" s="177">
        <v>6.714020415E9</v>
      </c>
      <c r="F1580" s="178" t="s">
        <v>2951</v>
      </c>
      <c r="G1580" s="176">
        <v>46278.0</v>
      </c>
      <c r="H1580" s="179">
        <v>46283.0</v>
      </c>
      <c r="I1580" s="180">
        <v>5.0</v>
      </c>
      <c r="J1580" s="181" t="s">
        <v>78</v>
      </c>
      <c r="K1580" s="178" t="s">
        <v>79</v>
      </c>
      <c r="L1580" s="178" t="s">
        <v>80</v>
      </c>
      <c r="M1580" s="182">
        <v>2.0</v>
      </c>
      <c r="N1580" s="183">
        <v>0.19999999999999996</v>
      </c>
      <c r="O1580" s="184">
        <v>135.75</v>
      </c>
      <c r="P1580" s="184">
        <v>108.60000000000001</v>
      </c>
      <c r="Q1580" s="185">
        <v>0.0</v>
      </c>
      <c r="R1580" s="186">
        <v>543.0</v>
      </c>
      <c r="S1580" s="186">
        <v>0.0</v>
      </c>
      <c r="T1580" s="186">
        <v>703.75</v>
      </c>
      <c r="U1580" s="187" t="s">
        <v>107</v>
      </c>
      <c r="V1580" s="176">
        <v>46209.0</v>
      </c>
      <c r="W1580" s="175"/>
      <c r="X1580" s="175"/>
      <c r="Y1580" s="175"/>
      <c r="Z1580" s="175"/>
      <c r="AA1580" s="175"/>
      <c r="AB1580" s="175"/>
      <c r="AC1580" s="175"/>
      <c r="AD1580" s="175"/>
      <c r="AE1580" s="175"/>
      <c r="AF1580" s="175"/>
      <c r="AG1580" s="175"/>
      <c r="AH1580" s="175"/>
      <c r="AI1580" s="175"/>
    </row>
    <row r="1581">
      <c r="A1581" s="176">
        <v>46210.0</v>
      </c>
      <c r="B1581" s="177">
        <v>8816086.0</v>
      </c>
      <c r="C1581" s="178" t="s">
        <v>82</v>
      </c>
      <c r="D1581" s="178" t="s">
        <v>35</v>
      </c>
      <c r="E1581" s="177">
        <v>6.507684112E9</v>
      </c>
      <c r="F1581" s="178" t="s">
        <v>2952</v>
      </c>
      <c r="G1581" s="176">
        <v>46337.20833333333</v>
      </c>
      <c r="H1581" s="179">
        <v>46339.20833333333</v>
      </c>
      <c r="I1581" s="180">
        <v>2.0</v>
      </c>
      <c r="J1581" s="181" t="s">
        <v>78</v>
      </c>
      <c r="K1581" s="178" t="s">
        <v>79</v>
      </c>
      <c r="L1581" s="178" t="s">
        <v>80</v>
      </c>
      <c r="M1581" s="182">
        <v>2.0</v>
      </c>
      <c r="N1581" s="183">
        <v>0.19999999999999996</v>
      </c>
      <c r="O1581" s="184">
        <v>221.64</v>
      </c>
      <c r="P1581" s="184">
        <v>177.312</v>
      </c>
      <c r="Q1581" s="185">
        <v>0.0</v>
      </c>
      <c r="R1581" s="186">
        <v>354.624</v>
      </c>
      <c r="S1581" s="186">
        <v>0.0</v>
      </c>
      <c r="T1581" s="186">
        <v>453.28</v>
      </c>
      <c r="U1581" s="187" t="s">
        <v>353</v>
      </c>
      <c r="V1581" s="176">
        <v>46210.0</v>
      </c>
      <c r="W1581" s="175"/>
      <c r="X1581" s="175"/>
      <c r="Y1581" s="175"/>
      <c r="Z1581" s="175"/>
      <c r="AA1581" s="175"/>
      <c r="AB1581" s="175"/>
      <c r="AC1581" s="175"/>
      <c r="AD1581" s="175"/>
      <c r="AE1581" s="175"/>
      <c r="AF1581" s="175"/>
      <c r="AG1581" s="175"/>
      <c r="AH1581" s="175"/>
      <c r="AI1581" s="175"/>
    </row>
    <row r="1582">
      <c r="A1582" s="176">
        <v>46210.0</v>
      </c>
      <c r="B1582" s="177">
        <v>8819218.0</v>
      </c>
      <c r="C1582" s="178" t="s">
        <v>82</v>
      </c>
      <c r="D1582" s="178" t="s">
        <v>35</v>
      </c>
      <c r="E1582" s="177">
        <v>6.507645146E9</v>
      </c>
      <c r="F1582" s="178" t="s">
        <v>2954</v>
      </c>
      <c r="G1582" s="176">
        <v>46371.20833333333</v>
      </c>
      <c r="H1582" s="179">
        <v>46374.20833333333</v>
      </c>
      <c r="I1582" s="180">
        <v>3.0</v>
      </c>
      <c r="J1582" s="181" t="s">
        <v>114</v>
      </c>
      <c r="K1582" s="178" t="s">
        <v>79</v>
      </c>
      <c r="L1582" s="178" t="s">
        <v>80</v>
      </c>
      <c r="M1582" s="182">
        <v>2.0</v>
      </c>
      <c r="N1582" s="183">
        <v>0.19999999999999996</v>
      </c>
      <c r="O1582" s="184">
        <v>173.4</v>
      </c>
      <c r="P1582" s="184">
        <v>138.72</v>
      </c>
      <c r="Q1582" s="185">
        <v>0.0</v>
      </c>
      <c r="R1582" s="186">
        <v>416.15999999999997</v>
      </c>
      <c r="S1582" s="186">
        <v>0.0</v>
      </c>
      <c r="T1582" s="186">
        <v>535.2</v>
      </c>
      <c r="U1582" s="187" t="s">
        <v>107</v>
      </c>
      <c r="V1582" s="176">
        <v>46210.0</v>
      </c>
      <c r="W1582" s="175"/>
      <c r="X1582" s="175"/>
      <c r="Y1582" s="175"/>
      <c r="Z1582" s="175"/>
      <c r="AA1582" s="175"/>
      <c r="AB1582" s="175"/>
      <c r="AC1582" s="175"/>
      <c r="AD1582" s="175"/>
      <c r="AE1582" s="175"/>
      <c r="AF1582" s="175"/>
      <c r="AG1582" s="175"/>
      <c r="AH1582" s="175"/>
      <c r="AI1582" s="175"/>
    </row>
    <row r="1583">
      <c r="A1583" s="176">
        <v>46211.0</v>
      </c>
      <c r="B1583" s="177">
        <v>8822255.0</v>
      </c>
      <c r="C1583" s="178" t="s">
        <v>89</v>
      </c>
      <c r="D1583" s="178" t="s">
        <v>35</v>
      </c>
      <c r="E1583" s="177">
        <v>5.126335004E9</v>
      </c>
      <c r="F1583" s="178" t="s">
        <v>2956</v>
      </c>
      <c r="G1583" s="176">
        <v>46474.20833333333</v>
      </c>
      <c r="H1583" s="179">
        <v>46477.20833333333</v>
      </c>
      <c r="I1583" s="180">
        <v>3.0</v>
      </c>
      <c r="J1583" s="181" t="s">
        <v>78</v>
      </c>
      <c r="K1583" s="178" t="s">
        <v>79</v>
      </c>
      <c r="L1583" s="178" t="s">
        <v>80</v>
      </c>
      <c r="M1583" s="182">
        <v>0.0</v>
      </c>
      <c r="N1583" s="183">
        <v>0.0</v>
      </c>
      <c r="O1583" s="184">
        <v>0.0</v>
      </c>
      <c r="P1583" s="184">
        <v>0.0</v>
      </c>
      <c r="Q1583" s="185">
        <v>0.0</v>
      </c>
      <c r="R1583" s="186">
        <v>0.0</v>
      </c>
      <c r="S1583" s="186">
        <v>0.0</v>
      </c>
      <c r="T1583" s="186">
        <v>0.0</v>
      </c>
      <c r="U1583" s="187" t="s">
        <v>2957</v>
      </c>
      <c r="V1583" s="176">
        <v>46244.0</v>
      </c>
      <c r="W1583" s="164"/>
      <c r="X1583" s="164"/>
      <c r="Y1583" s="164"/>
      <c r="Z1583" s="164"/>
      <c r="AA1583" s="164"/>
      <c r="AB1583" s="164"/>
      <c r="AC1583" s="164"/>
      <c r="AD1583" s="164"/>
      <c r="AE1583" s="164"/>
      <c r="AF1583" s="164"/>
      <c r="AG1583" s="164"/>
      <c r="AH1583" s="164"/>
      <c r="AI1583" s="164"/>
    </row>
    <row r="1584">
      <c r="A1584" s="176">
        <v>46211.0</v>
      </c>
      <c r="B1584" s="177">
        <v>8822281.0</v>
      </c>
      <c r="C1584" s="178" t="s">
        <v>89</v>
      </c>
      <c r="D1584" s="178" t="s">
        <v>35</v>
      </c>
      <c r="E1584" s="177">
        <v>5.110190919E9</v>
      </c>
      <c r="F1584" s="178" t="s">
        <v>2956</v>
      </c>
      <c r="G1584" s="176">
        <v>46474.20833333333</v>
      </c>
      <c r="H1584" s="179">
        <v>46477.20833333333</v>
      </c>
      <c r="I1584" s="180">
        <v>3.0</v>
      </c>
      <c r="J1584" s="181" t="s">
        <v>78</v>
      </c>
      <c r="K1584" s="178" t="s">
        <v>79</v>
      </c>
      <c r="L1584" s="178" t="s">
        <v>80</v>
      </c>
      <c r="M1584" s="182">
        <v>0.0</v>
      </c>
      <c r="N1584" s="183">
        <v>0.0</v>
      </c>
      <c r="O1584" s="184">
        <v>0.0</v>
      </c>
      <c r="P1584" s="184">
        <v>0.0</v>
      </c>
      <c r="Q1584" s="185">
        <v>0.0</v>
      </c>
      <c r="R1584" s="186">
        <v>0.0</v>
      </c>
      <c r="S1584" s="186">
        <v>0.0</v>
      </c>
      <c r="T1584" s="186">
        <v>0.0</v>
      </c>
      <c r="U1584" s="187" t="s">
        <v>2957</v>
      </c>
      <c r="V1584" s="176">
        <v>46244.0</v>
      </c>
      <c r="W1584" s="175"/>
      <c r="X1584" s="175"/>
      <c r="Y1584" s="175"/>
      <c r="Z1584" s="175"/>
      <c r="AA1584" s="175"/>
      <c r="AB1584" s="175"/>
      <c r="AC1584" s="175"/>
      <c r="AD1584" s="175"/>
      <c r="AE1584" s="175"/>
      <c r="AF1584" s="175"/>
      <c r="AG1584" s="175"/>
      <c r="AH1584" s="175"/>
      <c r="AI1584" s="175"/>
    </row>
    <row r="1585">
      <c r="A1585" s="176">
        <v>46211.0</v>
      </c>
      <c r="B1585" s="177">
        <v>8823713.0</v>
      </c>
      <c r="C1585" s="178" t="s">
        <v>82</v>
      </c>
      <c r="D1585" s="178" t="s">
        <v>35</v>
      </c>
      <c r="E1585" s="177">
        <v>5.418174682E9</v>
      </c>
      <c r="F1585" s="178" t="s">
        <v>2959</v>
      </c>
      <c r="G1585" s="176">
        <v>46265.0</v>
      </c>
      <c r="H1585" s="179">
        <v>46269.0</v>
      </c>
      <c r="I1585" s="180">
        <v>4.0</v>
      </c>
      <c r="J1585" s="181" t="s">
        <v>87</v>
      </c>
      <c r="K1585" s="178" t="s">
        <v>79</v>
      </c>
      <c r="L1585" s="178" t="s">
        <v>80</v>
      </c>
      <c r="M1585" s="182">
        <v>1.0</v>
      </c>
      <c r="N1585" s="183">
        <v>0.19999999999999996</v>
      </c>
      <c r="O1585" s="184">
        <v>114.2775</v>
      </c>
      <c r="P1585" s="184">
        <v>91.42200000000001</v>
      </c>
      <c r="Q1585" s="185">
        <v>0.0</v>
      </c>
      <c r="R1585" s="186">
        <v>365.68800000000005</v>
      </c>
      <c r="S1585" s="186">
        <v>0.0</v>
      </c>
      <c r="T1585" s="186">
        <v>467.11</v>
      </c>
      <c r="U1585" s="187" t="s">
        <v>107</v>
      </c>
      <c r="V1585" s="176">
        <v>46211.0</v>
      </c>
      <c r="W1585" s="175"/>
      <c r="X1585" s="175"/>
      <c r="Y1585" s="175"/>
      <c r="Z1585" s="175"/>
      <c r="AA1585" s="175"/>
      <c r="AB1585" s="175"/>
      <c r="AC1585" s="175"/>
      <c r="AD1585" s="175"/>
      <c r="AE1585" s="175"/>
      <c r="AF1585" s="175"/>
      <c r="AG1585" s="175"/>
      <c r="AH1585" s="175"/>
      <c r="AI1585" s="175"/>
    </row>
    <row r="1586">
      <c r="A1586" s="176">
        <v>46211.0</v>
      </c>
      <c r="B1586" s="177">
        <v>8823770.0</v>
      </c>
      <c r="C1586" s="178" t="s">
        <v>82</v>
      </c>
      <c r="D1586" s="178" t="s">
        <v>35</v>
      </c>
      <c r="E1586" s="177">
        <v>5.51615675E9</v>
      </c>
      <c r="F1586" s="178" t="s">
        <v>2961</v>
      </c>
      <c r="G1586" s="176">
        <v>46237.0</v>
      </c>
      <c r="H1586" s="179">
        <v>46239.0</v>
      </c>
      <c r="I1586" s="180">
        <v>2.0</v>
      </c>
      <c r="J1586" s="181" t="s">
        <v>78</v>
      </c>
      <c r="K1586" s="178" t="s">
        <v>79</v>
      </c>
      <c r="L1586" s="178" t="s">
        <v>80</v>
      </c>
      <c r="M1586" s="182">
        <v>2.0</v>
      </c>
      <c r="N1586" s="183">
        <v>0.19999999999999996</v>
      </c>
      <c r="O1586" s="184">
        <v>115.84</v>
      </c>
      <c r="P1586" s="184">
        <v>92.67200000000001</v>
      </c>
      <c r="Q1586" s="185">
        <v>0.0</v>
      </c>
      <c r="R1586" s="186">
        <v>185.34400000000002</v>
      </c>
      <c r="S1586" s="186">
        <v>0.0</v>
      </c>
      <c r="T1586" s="186">
        <v>241.68</v>
      </c>
      <c r="U1586" s="187" t="s">
        <v>143</v>
      </c>
      <c r="V1586" s="176">
        <v>46211.0</v>
      </c>
      <c r="W1586" s="188"/>
      <c r="X1586" s="188"/>
      <c r="Y1586" s="188"/>
      <c r="Z1586" s="188"/>
      <c r="AA1586" s="188"/>
      <c r="AB1586" s="188"/>
      <c r="AC1586" s="188"/>
      <c r="AD1586" s="188"/>
      <c r="AE1586" s="188"/>
      <c r="AF1586" s="188"/>
      <c r="AG1586" s="188"/>
      <c r="AH1586" s="188"/>
      <c r="AI1586" s="188"/>
    </row>
    <row r="1587">
      <c r="A1587" s="176">
        <v>46211.0</v>
      </c>
      <c r="B1587" s="177">
        <v>8825301.0</v>
      </c>
      <c r="C1587" s="178" t="s">
        <v>82</v>
      </c>
      <c r="D1587" s="178" t="s">
        <v>35</v>
      </c>
      <c r="E1587" s="177">
        <v>5.896368263E9</v>
      </c>
      <c r="F1587" s="178" t="s">
        <v>2963</v>
      </c>
      <c r="G1587" s="176">
        <v>46305.20833333333</v>
      </c>
      <c r="H1587" s="179">
        <v>46309.20833333333</v>
      </c>
      <c r="I1587" s="180">
        <v>4.0</v>
      </c>
      <c r="J1587" s="181" t="s">
        <v>78</v>
      </c>
      <c r="K1587" s="178" t="s">
        <v>79</v>
      </c>
      <c r="L1587" s="178" t="s">
        <v>80</v>
      </c>
      <c r="M1587" s="182">
        <v>2.0</v>
      </c>
      <c r="N1587" s="183">
        <v>0.19999999999999996</v>
      </c>
      <c r="O1587" s="184">
        <v>152.84</v>
      </c>
      <c r="P1587" s="184">
        <v>122.272</v>
      </c>
      <c r="Q1587" s="185">
        <v>0.0</v>
      </c>
      <c r="R1587" s="186">
        <v>489.088</v>
      </c>
      <c r="S1587" s="186">
        <v>0.0</v>
      </c>
      <c r="T1587" s="186">
        <v>631.36</v>
      </c>
      <c r="U1587" s="187" t="s">
        <v>107</v>
      </c>
      <c r="V1587" s="176">
        <v>46211.0</v>
      </c>
      <c r="W1587" s="175"/>
      <c r="X1587" s="175"/>
      <c r="Y1587" s="175"/>
      <c r="Z1587" s="175"/>
      <c r="AA1587" s="175"/>
      <c r="AB1587" s="175"/>
      <c r="AC1587" s="175"/>
      <c r="AD1587" s="175"/>
      <c r="AE1587" s="175"/>
      <c r="AF1587" s="175"/>
      <c r="AG1587" s="175"/>
      <c r="AH1587" s="175"/>
      <c r="AI1587" s="175"/>
    </row>
    <row r="1588">
      <c r="A1588" s="176">
        <v>46211.0</v>
      </c>
      <c r="B1588" s="177">
        <v>8825378.0</v>
      </c>
      <c r="C1588" s="178" t="s">
        <v>82</v>
      </c>
      <c r="D1588" s="178" t="s">
        <v>94</v>
      </c>
      <c r="E1588" s="177">
        <v>8825378.0</v>
      </c>
      <c r="F1588" s="178" t="s">
        <v>2965</v>
      </c>
      <c r="G1588" s="176">
        <v>46344.20833333333</v>
      </c>
      <c r="H1588" s="179">
        <v>46347.20833333333</v>
      </c>
      <c r="I1588" s="180">
        <v>3.0</v>
      </c>
      <c r="J1588" s="181" t="s">
        <v>114</v>
      </c>
      <c r="K1588" s="178" t="s">
        <v>79</v>
      </c>
      <c r="L1588" s="178" t="s">
        <v>96</v>
      </c>
      <c r="M1588" s="182">
        <v>2.0</v>
      </c>
      <c r="N1588" s="183">
        <v>0.0</v>
      </c>
      <c r="O1588" s="184">
        <v>270.0</v>
      </c>
      <c r="P1588" s="184">
        <v>270.0</v>
      </c>
      <c r="Q1588" s="185">
        <v>0.0</v>
      </c>
      <c r="R1588" s="186">
        <v>810.0</v>
      </c>
      <c r="S1588" s="186">
        <v>0.0</v>
      </c>
      <c r="T1588" s="186">
        <v>2656.44</v>
      </c>
      <c r="U1588" s="187" t="s">
        <v>97</v>
      </c>
      <c r="V1588" s="176">
        <v>46211.0</v>
      </c>
      <c r="W1588" s="164"/>
      <c r="X1588" s="164"/>
      <c r="Y1588" s="164"/>
      <c r="Z1588" s="164"/>
      <c r="AA1588" s="164"/>
      <c r="AB1588" s="164"/>
      <c r="AC1588" s="164"/>
      <c r="AD1588" s="164"/>
      <c r="AE1588" s="164"/>
      <c r="AF1588" s="164"/>
      <c r="AG1588" s="164"/>
      <c r="AH1588" s="164"/>
      <c r="AI1588" s="164"/>
    </row>
    <row r="1589">
      <c r="A1589" s="176">
        <v>46211.0</v>
      </c>
      <c r="B1589" s="177">
        <v>8825378.0</v>
      </c>
      <c r="C1589" s="178" t="s">
        <v>82</v>
      </c>
      <c r="D1589" s="178" t="s">
        <v>94</v>
      </c>
      <c r="E1589" s="177">
        <v>8825378.0</v>
      </c>
      <c r="F1589" s="178" t="s">
        <v>2965</v>
      </c>
      <c r="G1589" s="176">
        <v>46344.20833333333</v>
      </c>
      <c r="H1589" s="179">
        <v>46347.20833333333</v>
      </c>
      <c r="I1589" s="180">
        <v>3.0</v>
      </c>
      <c r="J1589" s="181" t="s">
        <v>111</v>
      </c>
      <c r="K1589" s="178" t="s">
        <v>79</v>
      </c>
      <c r="L1589" s="178" t="s">
        <v>96</v>
      </c>
      <c r="M1589" s="182">
        <v>2.0</v>
      </c>
      <c r="N1589" s="183">
        <v>0.0</v>
      </c>
      <c r="O1589" s="184">
        <v>300.24</v>
      </c>
      <c r="P1589" s="184">
        <v>300.24</v>
      </c>
      <c r="Q1589" s="185">
        <v>0.0</v>
      </c>
      <c r="R1589" s="186">
        <v>900.72</v>
      </c>
      <c r="S1589" s="186">
        <v>0.0</v>
      </c>
      <c r="T1589" s="186">
        <v>2656.44</v>
      </c>
      <c r="U1589" s="187" t="s">
        <v>97</v>
      </c>
      <c r="V1589" s="176">
        <v>46211.0</v>
      </c>
      <c r="W1589" s="175"/>
      <c r="X1589" s="175"/>
      <c r="Y1589" s="175"/>
      <c r="Z1589" s="175"/>
      <c r="AA1589" s="175"/>
      <c r="AB1589" s="175"/>
      <c r="AC1589" s="175"/>
      <c r="AD1589" s="175"/>
      <c r="AE1589" s="175"/>
      <c r="AF1589" s="175"/>
      <c r="AG1589" s="175"/>
      <c r="AH1589" s="175"/>
      <c r="AI1589" s="175"/>
    </row>
    <row r="1590">
      <c r="A1590" s="176">
        <v>46211.0</v>
      </c>
      <c r="B1590" s="177">
        <v>8825378.0</v>
      </c>
      <c r="C1590" s="178" t="s">
        <v>82</v>
      </c>
      <c r="D1590" s="178" t="s">
        <v>94</v>
      </c>
      <c r="E1590" s="177">
        <v>8825378.0</v>
      </c>
      <c r="F1590" s="178" t="s">
        <v>2965</v>
      </c>
      <c r="G1590" s="176">
        <v>46344.20833333333</v>
      </c>
      <c r="H1590" s="179">
        <v>46347.20833333333</v>
      </c>
      <c r="I1590" s="180">
        <v>3.0</v>
      </c>
      <c r="J1590" s="181" t="s">
        <v>111</v>
      </c>
      <c r="K1590" s="178" t="s">
        <v>79</v>
      </c>
      <c r="L1590" s="178" t="s">
        <v>96</v>
      </c>
      <c r="M1590" s="182">
        <v>2.0</v>
      </c>
      <c r="N1590" s="183">
        <v>0.0</v>
      </c>
      <c r="O1590" s="184">
        <v>300.24</v>
      </c>
      <c r="P1590" s="184">
        <v>300.24</v>
      </c>
      <c r="Q1590" s="185">
        <v>0.0</v>
      </c>
      <c r="R1590" s="186">
        <v>900.72</v>
      </c>
      <c r="S1590" s="186">
        <v>0.0</v>
      </c>
      <c r="T1590" s="186">
        <v>2656.44</v>
      </c>
      <c r="U1590" s="187" t="s">
        <v>97</v>
      </c>
      <c r="V1590" s="176">
        <v>46211.0</v>
      </c>
      <c r="W1590" s="188"/>
      <c r="X1590" s="188"/>
      <c r="Y1590" s="188"/>
      <c r="Z1590" s="188"/>
      <c r="AA1590" s="188"/>
      <c r="AB1590" s="188"/>
      <c r="AC1590" s="188"/>
      <c r="AD1590" s="188"/>
      <c r="AE1590" s="188"/>
      <c r="AF1590" s="188"/>
      <c r="AG1590" s="188"/>
      <c r="AH1590" s="188"/>
      <c r="AI1590" s="188"/>
    </row>
    <row r="1591">
      <c r="A1591" s="176">
        <v>46212.0</v>
      </c>
      <c r="B1591" s="177">
        <v>8828717.0</v>
      </c>
      <c r="C1591" s="178" t="s">
        <v>82</v>
      </c>
      <c r="D1591" s="178" t="s">
        <v>94</v>
      </c>
      <c r="E1591" s="177">
        <v>8828717.0</v>
      </c>
      <c r="F1591" s="178" t="s">
        <v>1024</v>
      </c>
      <c r="G1591" s="176">
        <v>46212.0</v>
      </c>
      <c r="H1591" s="179">
        <v>46213.0</v>
      </c>
      <c r="I1591" s="180">
        <v>1.0</v>
      </c>
      <c r="J1591" s="181" t="s">
        <v>111</v>
      </c>
      <c r="K1591" s="178" t="s">
        <v>79</v>
      </c>
      <c r="L1591" s="178" t="s">
        <v>96</v>
      </c>
      <c r="M1591" s="182">
        <v>2.0</v>
      </c>
      <c r="N1591" s="183">
        <v>0.0</v>
      </c>
      <c r="O1591" s="184">
        <v>225.36</v>
      </c>
      <c r="P1591" s="184">
        <v>225.36</v>
      </c>
      <c r="Q1591" s="185">
        <v>0.0</v>
      </c>
      <c r="R1591" s="186">
        <v>225.36</v>
      </c>
      <c r="S1591" s="186">
        <v>0.0</v>
      </c>
      <c r="T1591" s="186">
        <v>230.36</v>
      </c>
      <c r="U1591" s="187" t="s">
        <v>97</v>
      </c>
      <c r="V1591" s="176">
        <v>46212.0</v>
      </c>
      <c r="W1591" s="175"/>
      <c r="X1591" s="175"/>
      <c r="Y1591" s="175"/>
      <c r="Z1591" s="175"/>
      <c r="AA1591" s="175"/>
      <c r="AB1591" s="175"/>
      <c r="AC1591" s="175"/>
      <c r="AD1591" s="175"/>
      <c r="AE1591" s="175"/>
      <c r="AF1591" s="175"/>
      <c r="AG1591" s="175"/>
      <c r="AH1591" s="175"/>
      <c r="AI1591" s="175"/>
    </row>
    <row r="1592">
      <c r="A1592" s="176">
        <v>46212.0</v>
      </c>
      <c r="B1592" s="177">
        <v>8829051.0</v>
      </c>
      <c r="C1592" s="178" t="s">
        <v>82</v>
      </c>
      <c r="D1592" s="178" t="s">
        <v>94</v>
      </c>
      <c r="E1592" s="177">
        <v>8829051.0</v>
      </c>
      <c r="F1592" s="178" t="s">
        <v>2969</v>
      </c>
      <c r="G1592" s="176">
        <v>46340.20833333333</v>
      </c>
      <c r="H1592" s="179">
        <v>46341.20833333333</v>
      </c>
      <c r="I1592" s="180">
        <v>1.0</v>
      </c>
      <c r="J1592" s="181" t="s">
        <v>78</v>
      </c>
      <c r="K1592" s="178" t="s">
        <v>79</v>
      </c>
      <c r="L1592" s="178" t="s">
        <v>96</v>
      </c>
      <c r="M1592" s="182">
        <v>2.0</v>
      </c>
      <c r="N1592" s="183">
        <v>0.0</v>
      </c>
      <c r="O1592" s="184">
        <v>239.76</v>
      </c>
      <c r="P1592" s="184">
        <v>239.76</v>
      </c>
      <c r="Q1592" s="185">
        <v>0.0</v>
      </c>
      <c r="R1592" s="186">
        <v>239.76</v>
      </c>
      <c r="S1592" s="186">
        <v>0.0</v>
      </c>
      <c r="T1592" s="186">
        <v>734.28</v>
      </c>
      <c r="U1592" s="187" t="s">
        <v>97</v>
      </c>
      <c r="V1592" s="176">
        <v>46212.0</v>
      </c>
      <c r="W1592" s="175"/>
      <c r="X1592" s="175"/>
      <c r="Y1592" s="175"/>
      <c r="Z1592" s="175"/>
      <c r="AA1592" s="175"/>
      <c r="AB1592" s="175"/>
      <c r="AC1592" s="175"/>
      <c r="AD1592" s="175"/>
      <c r="AE1592" s="175"/>
      <c r="AF1592" s="175"/>
      <c r="AG1592" s="175"/>
      <c r="AH1592" s="175"/>
      <c r="AI1592" s="175"/>
    </row>
    <row r="1593">
      <c r="A1593" s="176">
        <v>46212.0</v>
      </c>
      <c r="B1593" s="177">
        <v>8829051.0</v>
      </c>
      <c r="C1593" s="178" t="s">
        <v>82</v>
      </c>
      <c r="D1593" s="178" t="s">
        <v>94</v>
      </c>
      <c r="E1593" s="177">
        <v>8829051.0</v>
      </c>
      <c r="F1593" s="178" t="s">
        <v>2969</v>
      </c>
      <c r="G1593" s="176">
        <v>46340.20833333333</v>
      </c>
      <c r="H1593" s="179">
        <v>46341.20833333333</v>
      </c>
      <c r="I1593" s="180">
        <v>1.0</v>
      </c>
      <c r="J1593" s="181" t="s">
        <v>78</v>
      </c>
      <c r="K1593" s="178" t="s">
        <v>79</v>
      </c>
      <c r="L1593" s="178" t="s">
        <v>96</v>
      </c>
      <c r="M1593" s="182">
        <v>2.0</v>
      </c>
      <c r="N1593" s="183">
        <v>0.0</v>
      </c>
      <c r="O1593" s="184">
        <v>239.76</v>
      </c>
      <c r="P1593" s="184">
        <v>239.76</v>
      </c>
      <c r="Q1593" s="185">
        <v>0.0</v>
      </c>
      <c r="R1593" s="186">
        <v>239.76</v>
      </c>
      <c r="S1593" s="186">
        <v>0.0</v>
      </c>
      <c r="T1593" s="186">
        <v>734.28</v>
      </c>
      <c r="U1593" s="187" t="s">
        <v>97</v>
      </c>
      <c r="V1593" s="176">
        <v>46212.0</v>
      </c>
      <c r="W1593" s="175"/>
      <c r="X1593" s="175"/>
      <c r="Y1593" s="175"/>
      <c r="Z1593" s="175"/>
      <c r="AA1593" s="175"/>
      <c r="AB1593" s="175"/>
      <c r="AC1593" s="175"/>
      <c r="AD1593" s="175"/>
      <c r="AE1593" s="175"/>
      <c r="AF1593" s="175"/>
      <c r="AG1593" s="175"/>
      <c r="AH1593" s="175"/>
      <c r="AI1593" s="175"/>
    </row>
    <row r="1594">
      <c r="A1594" s="176">
        <v>46212.0</v>
      </c>
      <c r="B1594" s="177">
        <v>8829051.0</v>
      </c>
      <c r="C1594" s="178" t="s">
        <v>82</v>
      </c>
      <c r="D1594" s="178" t="s">
        <v>94</v>
      </c>
      <c r="E1594" s="177">
        <v>8829051.0</v>
      </c>
      <c r="F1594" s="178" t="s">
        <v>2969</v>
      </c>
      <c r="G1594" s="176">
        <v>46340.20833333333</v>
      </c>
      <c r="H1594" s="179">
        <v>46341.20833333333</v>
      </c>
      <c r="I1594" s="180">
        <v>1.0</v>
      </c>
      <c r="J1594" s="181" t="s">
        <v>78</v>
      </c>
      <c r="K1594" s="178" t="s">
        <v>79</v>
      </c>
      <c r="L1594" s="178" t="s">
        <v>96</v>
      </c>
      <c r="M1594" s="182">
        <v>2.0</v>
      </c>
      <c r="N1594" s="183">
        <v>0.0</v>
      </c>
      <c r="O1594" s="184">
        <v>239.76</v>
      </c>
      <c r="P1594" s="184">
        <v>239.76</v>
      </c>
      <c r="Q1594" s="185">
        <v>0.0</v>
      </c>
      <c r="R1594" s="186">
        <v>239.76</v>
      </c>
      <c r="S1594" s="186">
        <v>0.0</v>
      </c>
      <c r="T1594" s="186">
        <v>734.28</v>
      </c>
      <c r="U1594" s="187" t="s">
        <v>97</v>
      </c>
      <c r="V1594" s="176">
        <v>46212.0</v>
      </c>
      <c r="W1594" s="175"/>
      <c r="X1594" s="175"/>
      <c r="Y1594" s="175"/>
      <c r="Z1594" s="175"/>
      <c r="AA1594" s="175"/>
      <c r="AB1594" s="175"/>
      <c r="AC1594" s="175"/>
      <c r="AD1594" s="175"/>
      <c r="AE1594" s="175"/>
      <c r="AF1594" s="175"/>
      <c r="AG1594" s="175"/>
      <c r="AH1594" s="175"/>
      <c r="AI1594" s="175"/>
    </row>
    <row r="1595">
      <c r="A1595" s="176">
        <v>46212.0</v>
      </c>
      <c r="B1595" s="177">
        <v>8830504.0</v>
      </c>
      <c r="C1595" s="178" t="s">
        <v>82</v>
      </c>
      <c r="D1595" s="178" t="s">
        <v>35</v>
      </c>
      <c r="E1595" s="177">
        <v>5.088546669E9</v>
      </c>
      <c r="F1595" s="178" t="s">
        <v>2972</v>
      </c>
      <c r="G1595" s="176">
        <v>46276.0</v>
      </c>
      <c r="H1595" s="179">
        <v>46280.0</v>
      </c>
      <c r="I1595" s="180">
        <v>4.0</v>
      </c>
      <c r="J1595" s="181" t="s">
        <v>78</v>
      </c>
      <c r="K1595" s="178" t="s">
        <v>79</v>
      </c>
      <c r="L1595" s="178" t="s">
        <v>80</v>
      </c>
      <c r="M1595" s="182">
        <v>2.0</v>
      </c>
      <c r="N1595" s="183">
        <v>0.19999999999999996</v>
      </c>
      <c r="O1595" s="184">
        <v>136.58</v>
      </c>
      <c r="P1595" s="184">
        <v>109.26400000000001</v>
      </c>
      <c r="Q1595" s="185">
        <v>0.0</v>
      </c>
      <c r="R1595" s="186">
        <v>437.05600000000004</v>
      </c>
      <c r="S1595" s="186">
        <v>0.0</v>
      </c>
      <c r="T1595" s="186">
        <v>566.32</v>
      </c>
      <c r="U1595" s="187" t="s">
        <v>107</v>
      </c>
      <c r="V1595" s="176">
        <v>46212.0</v>
      </c>
      <c r="W1595" s="175"/>
      <c r="X1595" s="175"/>
      <c r="Y1595" s="175"/>
      <c r="Z1595" s="175"/>
      <c r="AA1595" s="175"/>
      <c r="AB1595" s="175"/>
      <c r="AC1595" s="175"/>
      <c r="AD1595" s="175"/>
      <c r="AE1595" s="175"/>
      <c r="AF1595" s="175"/>
      <c r="AG1595" s="175"/>
      <c r="AH1595" s="175"/>
      <c r="AI1595" s="175"/>
    </row>
    <row r="1596">
      <c r="A1596" s="176">
        <v>46213.0</v>
      </c>
      <c r="B1596" s="177">
        <v>8831442.0</v>
      </c>
      <c r="C1596" s="178" t="s">
        <v>82</v>
      </c>
      <c r="D1596" s="178" t="s">
        <v>35</v>
      </c>
      <c r="E1596" s="177">
        <v>6.178338085E9</v>
      </c>
      <c r="F1596" s="178" t="s">
        <v>2973</v>
      </c>
      <c r="G1596" s="176">
        <v>46251.0</v>
      </c>
      <c r="H1596" s="179">
        <v>46254.0</v>
      </c>
      <c r="I1596" s="180">
        <v>3.0</v>
      </c>
      <c r="J1596" s="181" t="s">
        <v>78</v>
      </c>
      <c r="K1596" s="178" t="s">
        <v>79</v>
      </c>
      <c r="L1596" s="178" t="s">
        <v>80</v>
      </c>
      <c r="M1596" s="182">
        <v>2.0</v>
      </c>
      <c r="N1596" s="183">
        <v>0.19999999999999996</v>
      </c>
      <c r="O1596" s="184">
        <v>73.67999999999999</v>
      </c>
      <c r="P1596" s="184">
        <v>58.943999999999996</v>
      </c>
      <c r="Q1596" s="185">
        <v>0.0</v>
      </c>
      <c r="R1596" s="186">
        <v>176.832</v>
      </c>
      <c r="S1596" s="186">
        <v>0.0</v>
      </c>
      <c r="T1596" s="186">
        <v>221.04</v>
      </c>
      <c r="U1596" s="187" t="s">
        <v>107</v>
      </c>
      <c r="V1596" s="176">
        <v>46213.0</v>
      </c>
      <c r="W1596" s="175"/>
      <c r="X1596" s="175"/>
      <c r="Y1596" s="175"/>
      <c r="Z1596" s="175"/>
      <c r="AA1596" s="175"/>
      <c r="AB1596" s="175"/>
      <c r="AC1596" s="175"/>
      <c r="AD1596" s="175"/>
      <c r="AE1596" s="175"/>
      <c r="AF1596" s="175"/>
      <c r="AG1596" s="175"/>
      <c r="AH1596" s="175"/>
      <c r="AI1596" s="175"/>
    </row>
    <row r="1597">
      <c r="A1597" s="176">
        <v>46213.0</v>
      </c>
      <c r="B1597" s="177">
        <v>8832105.0</v>
      </c>
      <c r="C1597" s="178" t="s">
        <v>82</v>
      </c>
      <c r="D1597" s="178" t="s">
        <v>35</v>
      </c>
      <c r="E1597" s="177">
        <v>5.408762625E9</v>
      </c>
      <c r="F1597" s="178" t="s">
        <v>2975</v>
      </c>
      <c r="G1597" s="176">
        <v>46214.0</v>
      </c>
      <c r="H1597" s="179">
        <v>46215.0</v>
      </c>
      <c r="I1597" s="180">
        <v>1.0</v>
      </c>
      <c r="J1597" s="181" t="s">
        <v>78</v>
      </c>
      <c r="K1597" s="178" t="s">
        <v>79</v>
      </c>
      <c r="L1597" s="178" t="s">
        <v>80</v>
      </c>
      <c r="M1597" s="182">
        <v>2.0</v>
      </c>
      <c r="N1597" s="183">
        <v>0.19999999999999996</v>
      </c>
      <c r="O1597" s="184">
        <v>79.38</v>
      </c>
      <c r="P1597" s="184">
        <v>63.504</v>
      </c>
      <c r="Q1597" s="185">
        <v>0.0</v>
      </c>
      <c r="R1597" s="186">
        <v>63.504</v>
      </c>
      <c r="S1597" s="186">
        <v>0.0</v>
      </c>
      <c r="T1597" s="186">
        <v>84.38</v>
      </c>
      <c r="U1597" s="187" t="s">
        <v>1441</v>
      </c>
      <c r="V1597" s="176">
        <v>46213.0</v>
      </c>
      <c r="W1597" s="175"/>
      <c r="X1597" s="175"/>
      <c r="Y1597" s="175"/>
      <c r="Z1597" s="175"/>
      <c r="AA1597" s="175"/>
      <c r="AB1597" s="175"/>
      <c r="AC1597" s="175"/>
      <c r="AD1597" s="175"/>
      <c r="AE1597" s="175"/>
      <c r="AF1597" s="175"/>
      <c r="AG1597" s="175"/>
      <c r="AH1597" s="175"/>
      <c r="AI1597" s="175"/>
    </row>
    <row r="1598">
      <c r="A1598" s="176">
        <v>46213.0</v>
      </c>
      <c r="B1598" s="177">
        <v>8832889.0</v>
      </c>
      <c r="C1598" s="178" t="s">
        <v>82</v>
      </c>
      <c r="D1598" s="178" t="s">
        <v>94</v>
      </c>
      <c r="E1598" s="177">
        <v>8832889.0</v>
      </c>
      <c r="F1598" s="178" t="s">
        <v>2976</v>
      </c>
      <c r="G1598" s="176">
        <v>46218.0</v>
      </c>
      <c r="H1598" s="179">
        <v>46224.0</v>
      </c>
      <c r="I1598" s="180">
        <v>6.0</v>
      </c>
      <c r="J1598" s="181" t="s">
        <v>111</v>
      </c>
      <c r="K1598" s="178" t="s">
        <v>79</v>
      </c>
      <c r="L1598" s="178" t="s">
        <v>96</v>
      </c>
      <c r="M1598" s="182">
        <v>2.0</v>
      </c>
      <c r="N1598" s="183">
        <v>0.0</v>
      </c>
      <c r="O1598" s="184">
        <v>174.96</v>
      </c>
      <c r="P1598" s="184">
        <v>174.96</v>
      </c>
      <c r="Q1598" s="185">
        <v>0.0</v>
      </c>
      <c r="R1598" s="186">
        <v>1049.76</v>
      </c>
      <c r="S1598" s="186">
        <v>0.0</v>
      </c>
      <c r="T1598" s="186">
        <v>1079.76</v>
      </c>
      <c r="U1598" s="187" t="s">
        <v>97</v>
      </c>
      <c r="V1598" s="176">
        <v>46213.0</v>
      </c>
      <c r="W1598" s="175"/>
      <c r="X1598" s="175"/>
      <c r="Y1598" s="175"/>
      <c r="Z1598" s="175"/>
      <c r="AA1598" s="175"/>
      <c r="AB1598" s="175"/>
      <c r="AC1598" s="175"/>
      <c r="AD1598" s="175"/>
      <c r="AE1598" s="175"/>
      <c r="AF1598" s="175"/>
      <c r="AG1598" s="175"/>
      <c r="AH1598" s="175"/>
      <c r="AI1598" s="175"/>
    </row>
    <row r="1599">
      <c r="A1599" s="176">
        <v>46213.0</v>
      </c>
      <c r="B1599" s="177">
        <v>8834716.0</v>
      </c>
      <c r="C1599" s="178" t="s">
        <v>82</v>
      </c>
      <c r="D1599" s="178" t="s">
        <v>94</v>
      </c>
      <c r="E1599" s="177">
        <v>8834716.0</v>
      </c>
      <c r="F1599" s="178" t="s">
        <v>2978</v>
      </c>
      <c r="G1599" s="176">
        <v>46217.0</v>
      </c>
      <c r="H1599" s="179">
        <v>46220.0</v>
      </c>
      <c r="I1599" s="180">
        <v>3.0</v>
      </c>
      <c r="J1599" s="181" t="s">
        <v>114</v>
      </c>
      <c r="K1599" s="178" t="s">
        <v>79</v>
      </c>
      <c r="L1599" s="178" t="s">
        <v>96</v>
      </c>
      <c r="M1599" s="182">
        <v>2.0</v>
      </c>
      <c r="N1599" s="183">
        <v>0.0</v>
      </c>
      <c r="O1599" s="184">
        <v>144.0</v>
      </c>
      <c r="P1599" s="184">
        <v>144.0</v>
      </c>
      <c r="Q1599" s="185">
        <v>0.0</v>
      </c>
      <c r="R1599" s="186">
        <v>432.0</v>
      </c>
      <c r="S1599" s="186">
        <v>0.0</v>
      </c>
      <c r="T1599" s="186">
        <v>986.88</v>
      </c>
      <c r="U1599" s="187" t="s">
        <v>97</v>
      </c>
      <c r="V1599" s="176">
        <v>46213.0</v>
      </c>
      <c r="W1599" s="175"/>
      <c r="X1599" s="175"/>
      <c r="Y1599" s="175"/>
      <c r="Z1599" s="175"/>
      <c r="AA1599" s="175"/>
      <c r="AB1599" s="175"/>
      <c r="AC1599" s="175"/>
      <c r="AD1599" s="175"/>
      <c r="AE1599" s="175"/>
      <c r="AF1599" s="175"/>
      <c r="AG1599" s="175"/>
      <c r="AH1599" s="175"/>
      <c r="AI1599" s="175"/>
    </row>
    <row r="1600">
      <c r="A1600" s="176">
        <v>46213.0</v>
      </c>
      <c r="B1600" s="177">
        <v>8834716.0</v>
      </c>
      <c r="C1600" s="178" t="s">
        <v>82</v>
      </c>
      <c r="D1600" s="178" t="s">
        <v>94</v>
      </c>
      <c r="E1600" s="177">
        <v>8834716.0</v>
      </c>
      <c r="F1600" s="178" t="s">
        <v>2978</v>
      </c>
      <c r="G1600" s="176">
        <v>46217.0</v>
      </c>
      <c r="H1600" s="179">
        <v>46220.0</v>
      </c>
      <c r="I1600" s="180">
        <v>3.0</v>
      </c>
      <c r="J1600" s="181" t="s">
        <v>111</v>
      </c>
      <c r="K1600" s="178" t="s">
        <v>79</v>
      </c>
      <c r="L1600" s="178" t="s">
        <v>96</v>
      </c>
      <c r="M1600" s="182">
        <v>2.0</v>
      </c>
      <c r="N1600" s="183">
        <v>0.0</v>
      </c>
      <c r="O1600" s="184">
        <v>174.96</v>
      </c>
      <c r="P1600" s="184">
        <v>174.96</v>
      </c>
      <c r="Q1600" s="185">
        <v>0.0</v>
      </c>
      <c r="R1600" s="186">
        <v>524.88</v>
      </c>
      <c r="S1600" s="186">
        <v>0.0</v>
      </c>
      <c r="T1600" s="186">
        <v>986.88</v>
      </c>
      <c r="U1600" s="187" t="s">
        <v>97</v>
      </c>
      <c r="V1600" s="176">
        <v>46213.0</v>
      </c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</row>
    <row r="1601">
      <c r="A1601" s="176">
        <v>46213.0</v>
      </c>
      <c r="B1601" s="177">
        <v>8836068.0</v>
      </c>
      <c r="C1601" s="178" t="s">
        <v>82</v>
      </c>
      <c r="D1601" s="178" t="s">
        <v>35</v>
      </c>
      <c r="E1601" s="177">
        <v>5.105574411E9</v>
      </c>
      <c r="F1601" s="178" t="s">
        <v>2575</v>
      </c>
      <c r="G1601" s="176">
        <v>46239.0</v>
      </c>
      <c r="H1601" s="179">
        <v>46244.0</v>
      </c>
      <c r="I1601" s="180">
        <v>5.0</v>
      </c>
      <c r="J1601" s="181" t="s">
        <v>78</v>
      </c>
      <c r="K1601" s="178" t="s">
        <v>79</v>
      </c>
      <c r="L1601" s="178" t="s">
        <v>80</v>
      </c>
      <c r="M1601" s="182">
        <v>3.0</v>
      </c>
      <c r="N1601" s="183">
        <v>0.19999999999999996</v>
      </c>
      <c r="O1601" s="184">
        <v>109.9</v>
      </c>
      <c r="P1601" s="184">
        <v>87.92000000000002</v>
      </c>
      <c r="Q1601" s="185">
        <v>0.0</v>
      </c>
      <c r="R1601" s="186">
        <v>439.6000000000001</v>
      </c>
      <c r="S1601" s="186">
        <v>0.0</v>
      </c>
      <c r="T1601" s="186">
        <v>587.0</v>
      </c>
      <c r="U1601" s="187" t="s">
        <v>1367</v>
      </c>
      <c r="V1601" s="176">
        <v>46213.0</v>
      </c>
      <c r="W1601" s="164"/>
      <c r="X1601" s="164"/>
      <c r="Y1601" s="164"/>
      <c r="Z1601" s="164"/>
      <c r="AA1601" s="164"/>
      <c r="AB1601" s="164"/>
      <c r="AC1601" s="164"/>
      <c r="AD1601" s="164"/>
      <c r="AE1601" s="164"/>
      <c r="AF1601" s="164"/>
      <c r="AG1601" s="164"/>
      <c r="AH1601" s="164"/>
      <c r="AI1601" s="164"/>
    </row>
    <row r="1602">
      <c r="A1602" s="176">
        <v>46214.0</v>
      </c>
      <c r="B1602" s="177">
        <v>8837081.0</v>
      </c>
      <c r="C1602" s="178" t="s">
        <v>82</v>
      </c>
      <c r="D1602" s="178" t="s">
        <v>35</v>
      </c>
      <c r="E1602" s="177">
        <v>5.997090218E9</v>
      </c>
      <c r="F1602" s="178" t="s">
        <v>2984</v>
      </c>
      <c r="G1602" s="176">
        <v>46222.0</v>
      </c>
      <c r="H1602" s="179">
        <v>46224.0</v>
      </c>
      <c r="I1602" s="180">
        <v>2.0</v>
      </c>
      <c r="J1602" s="181" t="s">
        <v>87</v>
      </c>
      <c r="K1602" s="178" t="s">
        <v>79</v>
      </c>
      <c r="L1602" s="178" t="s">
        <v>80</v>
      </c>
      <c r="M1602" s="182">
        <v>2.0</v>
      </c>
      <c r="N1602" s="183">
        <v>0.19999999999999996</v>
      </c>
      <c r="O1602" s="184">
        <v>83.65</v>
      </c>
      <c r="P1602" s="184">
        <v>66.92</v>
      </c>
      <c r="Q1602" s="185">
        <v>0.0</v>
      </c>
      <c r="R1602" s="186">
        <v>133.84</v>
      </c>
      <c r="S1602" s="186">
        <v>0.0</v>
      </c>
      <c r="T1602" s="186">
        <v>177.3</v>
      </c>
      <c r="U1602" s="187" t="s">
        <v>1441</v>
      </c>
      <c r="V1602" s="176">
        <v>46214.0</v>
      </c>
      <c r="W1602" s="175"/>
      <c r="X1602" s="175"/>
      <c r="Y1602" s="175"/>
      <c r="Z1602" s="175"/>
      <c r="AA1602" s="175"/>
      <c r="AB1602" s="175"/>
      <c r="AC1602" s="175"/>
      <c r="AD1602" s="175"/>
      <c r="AE1602" s="175"/>
      <c r="AF1602" s="175"/>
      <c r="AG1602" s="175"/>
      <c r="AH1602" s="175"/>
      <c r="AI1602" s="175"/>
    </row>
    <row r="1603">
      <c r="A1603" s="176">
        <v>46214.0</v>
      </c>
      <c r="B1603" s="177">
        <v>8837969.0</v>
      </c>
      <c r="C1603" s="178" t="s">
        <v>82</v>
      </c>
      <c r="D1603" s="178" t="s">
        <v>35</v>
      </c>
      <c r="E1603" s="177">
        <v>5.596382981E9</v>
      </c>
      <c r="F1603" s="178" t="s">
        <v>2986</v>
      </c>
      <c r="G1603" s="176">
        <v>46229.0</v>
      </c>
      <c r="H1603" s="179">
        <v>46232.0</v>
      </c>
      <c r="I1603" s="180">
        <v>3.0</v>
      </c>
      <c r="J1603" s="181" t="s">
        <v>114</v>
      </c>
      <c r="K1603" s="178" t="s">
        <v>79</v>
      </c>
      <c r="L1603" s="178" t="s">
        <v>80</v>
      </c>
      <c r="M1603" s="182">
        <v>2.0</v>
      </c>
      <c r="N1603" s="183">
        <v>0.19999999999999996</v>
      </c>
      <c r="O1603" s="184">
        <v>107.62</v>
      </c>
      <c r="P1603" s="184">
        <v>86.096</v>
      </c>
      <c r="Q1603" s="185">
        <v>0.0</v>
      </c>
      <c r="R1603" s="186">
        <v>258.288</v>
      </c>
      <c r="S1603" s="186">
        <v>0.0</v>
      </c>
      <c r="T1603" s="186">
        <v>337.86</v>
      </c>
      <c r="U1603" s="187" t="s">
        <v>143</v>
      </c>
      <c r="V1603" s="176">
        <v>46214.0</v>
      </c>
      <c r="W1603" s="175"/>
      <c r="X1603" s="175"/>
      <c r="Y1603" s="175"/>
      <c r="Z1603" s="175"/>
      <c r="AA1603" s="175"/>
      <c r="AB1603" s="175"/>
      <c r="AC1603" s="175"/>
      <c r="AD1603" s="175"/>
      <c r="AE1603" s="175"/>
      <c r="AF1603" s="175"/>
      <c r="AG1603" s="175"/>
      <c r="AH1603" s="175"/>
      <c r="AI1603" s="175"/>
    </row>
    <row r="1604">
      <c r="A1604" s="176">
        <v>46214.0</v>
      </c>
      <c r="B1604" s="177">
        <v>8838587.0</v>
      </c>
      <c r="C1604" s="178" t="s">
        <v>75</v>
      </c>
      <c r="D1604" s="178" t="s">
        <v>94</v>
      </c>
      <c r="E1604" s="177">
        <v>8838587.0</v>
      </c>
      <c r="F1604" s="178" t="s">
        <v>2988</v>
      </c>
      <c r="G1604" s="176">
        <v>46336.20833333333</v>
      </c>
      <c r="H1604" s="179">
        <v>46337.20833333333</v>
      </c>
      <c r="I1604" s="180">
        <v>1.0</v>
      </c>
      <c r="J1604" s="181" t="s">
        <v>87</v>
      </c>
      <c r="K1604" s="178" t="s">
        <v>79</v>
      </c>
      <c r="L1604" s="178" t="s">
        <v>96</v>
      </c>
      <c r="M1604" s="182">
        <v>2.0</v>
      </c>
      <c r="N1604" s="183">
        <v>0.0</v>
      </c>
      <c r="O1604" s="184">
        <v>210.24</v>
      </c>
      <c r="P1604" s="184">
        <v>210.24</v>
      </c>
      <c r="Q1604" s="185">
        <v>0.0</v>
      </c>
      <c r="R1604" s="186">
        <v>210.24</v>
      </c>
      <c r="S1604" s="186">
        <v>0.0</v>
      </c>
      <c r="T1604" s="186">
        <v>140.0</v>
      </c>
      <c r="U1604" s="187" t="s">
        <v>2990</v>
      </c>
      <c r="V1604" s="176">
        <v>46214.0</v>
      </c>
      <c r="W1604" s="175"/>
      <c r="X1604" s="175"/>
      <c r="Y1604" s="175"/>
      <c r="Z1604" s="175"/>
      <c r="AA1604" s="175"/>
      <c r="AB1604" s="175"/>
      <c r="AC1604" s="175"/>
      <c r="AD1604" s="175"/>
      <c r="AE1604" s="175"/>
      <c r="AF1604" s="175"/>
      <c r="AG1604" s="175"/>
      <c r="AH1604" s="175"/>
      <c r="AI1604" s="175"/>
    </row>
    <row r="1605">
      <c r="A1605" s="176">
        <v>46214.0</v>
      </c>
      <c r="B1605" s="177">
        <v>8838828.0</v>
      </c>
      <c r="C1605" s="178" t="s">
        <v>82</v>
      </c>
      <c r="D1605" s="178" t="s">
        <v>35</v>
      </c>
      <c r="E1605" s="177">
        <v>6.642053135E9</v>
      </c>
      <c r="F1605" s="178" t="s">
        <v>2991</v>
      </c>
      <c r="G1605" s="176">
        <v>46228.0</v>
      </c>
      <c r="H1605" s="179">
        <v>46231.0</v>
      </c>
      <c r="I1605" s="180">
        <v>3.0</v>
      </c>
      <c r="J1605" s="181" t="s">
        <v>111</v>
      </c>
      <c r="K1605" s="178" t="s">
        <v>79</v>
      </c>
      <c r="L1605" s="178" t="s">
        <v>80</v>
      </c>
      <c r="M1605" s="182">
        <v>1.0</v>
      </c>
      <c r="N1605" s="183">
        <v>0.19999999999999996</v>
      </c>
      <c r="O1605" s="184">
        <v>157.10999999999999</v>
      </c>
      <c r="P1605" s="184">
        <v>125.68799999999999</v>
      </c>
      <c r="Q1605" s="185">
        <v>0.0</v>
      </c>
      <c r="R1605" s="186">
        <v>377.06399999999996</v>
      </c>
      <c r="S1605" s="186">
        <v>0.0</v>
      </c>
      <c r="T1605" s="186">
        <v>471.33</v>
      </c>
      <c r="U1605" s="187" t="s">
        <v>1367</v>
      </c>
      <c r="V1605" s="176">
        <v>46214.0</v>
      </c>
      <c r="W1605" s="175"/>
      <c r="X1605" s="175"/>
      <c r="Y1605" s="175"/>
      <c r="Z1605" s="175"/>
      <c r="AA1605" s="175"/>
      <c r="AB1605" s="175"/>
      <c r="AC1605" s="175"/>
      <c r="AD1605" s="175"/>
      <c r="AE1605" s="175"/>
      <c r="AF1605" s="175"/>
      <c r="AG1605" s="175"/>
      <c r="AH1605" s="175"/>
      <c r="AI1605" s="175"/>
    </row>
    <row r="1606">
      <c r="A1606" s="176">
        <v>46214.0</v>
      </c>
      <c r="B1606" s="177">
        <v>8839579.0</v>
      </c>
      <c r="C1606" s="178" t="s">
        <v>82</v>
      </c>
      <c r="D1606" s="178" t="s">
        <v>35</v>
      </c>
      <c r="E1606" s="177">
        <v>6.89923133E9</v>
      </c>
      <c r="F1606" s="178" t="s">
        <v>2993</v>
      </c>
      <c r="G1606" s="176">
        <v>46239.0</v>
      </c>
      <c r="H1606" s="179">
        <v>46241.0</v>
      </c>
      <c r="I1606" s="180">
        <v>2.0</v>
      </c>
      <c r="J1606" s="181" t="s">
        <v>78</v>
      </c>
      <c r="K1606" s="178" t="s">
        <v>79</v>
      </c>
      <c r="L1606" s="178" t="s">
        <v>80</v>
      </c>
      <c r="M1606" s="182">
        <v>2.0</v>
      </c>
      <c r="N1606" s="183">
        <v>0.19999999999999996</v>
      </c>
      <c r="O1606" s="184">
        <v>73.7</v>
      </c>
      <c r="P1606" s="184">
        <v>58.96000000000001</v>
      </c>
      <c r="Q1606" s="185">
        <v>0.0</v>
      </c>
      <c r="R1606" s="186">
        <v>117.92000000000002</v>
      </c>
      <c r="S1606" s="186">
        <v>0.0</v>
      </c>
      <c r="T1606" s="186">
        <v>157.4</v>
      </c>
      <c r="U1606" s="187" t="s">
        <v>143</v>
      </c>
      <c r="V1606" s="176">
        <v>46214.0</v>
      </c>
      <c r="W1606" s="175"/>
      <c r="X1606" s="175"/>
      <c r="Y1606" s="175"/>
      <c r="Z1606" s="175"/>
      <c r="AA1606" s="175"/>
      <c r="AB1606" s="175"/>
      <c r="AC1606" s="175"/>
      <c r="AD1606" s="175"/>
      <c r="AE1606" s="175"/>
      <c r="AF1606" s="175"/>
      <c r="AG1606" s="175"/>
      <c r="AH1606" s="175"/>
      <c r="AI1606" s="175"/>
    </row>
    <row r="1607">
      <c r="A1607" s="176">
        <v>46214.0</v>
      </c>
      <c r="B1607" s="177">
        <v>8841435.0</v>
      </c>
      <c r="C1607" s="178" t="s">
        <v>82</v>
      </c>
      <c r="D1607" s="178" t="s">
        <v>35</v>
      </c>
      <c r="E1607" s="177">
        <v>5.65051376E9</v>
      </c>
      <c r="F1607" s="178" t="s">
        <v>2995</v>
      </c>
      <c r="G1607" s="176">
        <v>46246.0</v>
      </c>
      <c r="H1607" s="179">
        <v>46249.0</v>
      </c>
      <c r="I1607" s="180">
        <v>3.0</v>
      </c>
      <c r="J1607" s="181" t="s">
        <v>114</v>
      </c>
      <c r="K1607" s="178" t="s">
        <v>79</v>
      </c>
      <c r="L1607" s="178" t="s">
        <v>80</v>
      </c>
      <c r="M1607" s="182">
        <v>2.0</v>
      </c>
      <c r="N1607" s="183">
        <v>0.19999999999999996</v>
      </c>
      <c r="O1607" s="184">
        <v>93.83999999999999</v>
      </c>
      <c r="P1607" s="184">
        <v>75.07199999999999</v>
      </c>
      <c r="Q1607" s="185">
        <v>0.0</v>
      </c>
      <c r="R1607" s="186">
        <v>225.21599999999995</v>
      </c>
      <c r="S1607" s="186">
        <v>0.0</v>
      </c>
      <c r="T1607" s="186">
        <v>296.52</v>
      </c>
      <c r="U1607" s="187" t="s">
        <v>107</v>
      </c>
      <c r="V1607" s="176">
        <v>46214.0</v>
      </c>
      <c r="W1607" s="175"/>
      <c r="X1607" s="175"/>
      <c r="Y1607" s="175"/>
      <c r="Z1607" s="175"/>
      <c r="AA1607" s="175"/>
      <c r="AB1607" s="175"/>
      <c r="AC1607" s="175"/>
      <c r="AD1607" s="175"/>
      <c r="AE1607" s="175"/>
      <c r="AF1607" s="175"/>
      <c r="AG1607" s="175"/>
      <c r="AH1607" s="175"/>
      <c r="AI1607" s="175"/>
    </row>
    <row r="1608">
      <c r="A1608" s="176">
        <v>46214.0</v>
      </c>
      <c r="B1608" s="177">
        <v>8841603.0</v>
      </c>
      <c r="C1608" s="178" t="s">
        <v>82</v>
      </c>
      <c r="D1608" s="178" t="s">
        <v>35</v>
      </c>
      <c r="E1608" s="177">
        <v>5.758510019E9</v>
      </c>
      <c r="F1608" s="178" t="s">
        <v>2997</v>
      </c>
      <c r="G1608" s="176">
        <v>46238.0</v>
      </c>
      <c r="H1608" s="179">
        <v>46239.0</v>
      </c>
      <c r="I1608" s="180">
        <v>1.0</v>
      </c>
      <c r="J1608" s="181" t="s">
        <v>78</v>
      </c>
      <c r="K1608" s="178" t="s">
        <v>79</v>
      </c>
      <c r="L1608" s="178" t="s">
        <v>80</v>
      </c>
      <c r="M1608" s="182">
        <v>2.0</v>
      </c>
      <c r="N1608" s="183">
        <v>0.19999999999999996</v>
      </c>
      <c r="O1608" s="184">
        <v>78.73</v>
      </c>
      <c r="P1608" s="184">
        <v>62.98400000000001</v>
      </c>
      <c r="Q1608" s="185">
        <v>0.0</v>
      </c>
      <c r="R1608" s="186">
        <v>62.98400000000001</v>
      </c>
      <c r="S1608" s="186">
        <v>0.0</v>
      </c>
      <c r="T1608" s="186">
        <v>83.73</v>
      </c>
      <c r="U1608" s="187" t="s">
        <v>143</v>
      </c>
      <c r="V1608" s="176">
        <v>46214.0</v>
      </c>
      <c r="W1608" s="175"/>
      <c r="X1608" s="175"/>
      <c r="Y1608" s="175"/>
      <c r="Z1608" s="175"/>
      <c r="AA1608" s="175"/>
      <c r="AB1608" s="175"/>
      <c r="AC1608" s="175"/>
      <c r="AD1608" s="175"/>
      <c r="AE1608" s="175"/>
      <c r="AF1608" s="175"/>
      <c r="AG1608" s="175"/>
      <c r="AH1608" s="175"/>
      <c r="AI1608" s="175"/>
    </row>
    <row r="1609">
      <c r="A1609" s="176">
        <v>46215.0</v>
      </c>
      <c r="B1609" s="177">
        <v>8843139.0</v>
      </c>
      <c r="C1609" s="178" t="s">
        <v>82</v>
      </c>
      <c r="D1609" s="178" t="s">
        <v>35</v>
      </c>
      <c r="E1609" s="177">
        <v>6.009024826E9</v>
      </c>
      <c r="F1609" s="178" t="s">
        <v>2999</v>
      </c>
      <c r="G1609" s="176">
        <v>46240.0</v>
      </c>
      <c r="H1609" s="179">
        <v>46244.0</v>
      </c>
      <c r="I1609" s="180">
        <v>4.0</v>
      </c>
      <c r="J1609" s="181" t="s">
        <v>78</v>
      </c>
      <c r="K1609" s="178" t="s">
        <v>79</v>
      </c>
      <c r="L1609" s="178" t="s">
        <v>80</v>
      </c>
      <c r="M1609" s="182">
        <v>2.0</v>
      </c>
      <c r="N1609" s="183">
        <v>0.19999999999999996</v>
      </c>
      <c r="O1609" s="184">
        <v>89.86</v>
      </c>
      <c r="P1609" s="184">
        <v>71.888</v>
      </c>
      <c r="Q1609" s="185">
        <v>0.0</v>
      </c>
      <c r="R1609" s="186">
        <v>287.552</v>
      </c>
      <c r="S1609" s="186">
        <v>0.0</v>
      </c>
      <c r="T1609" s="186">
        <v>768.88</v>
      </c>
      <c r="U1609" s="187" t="s">
        <v>143</v>
      </c>
      <c r="V1609" s="176">
        <v>46215.0</v>
      </c>
      <c r="W1609" s="175"/>
      <c r="X1609" s="175"/>
      <c r="Y1609" s="175"/>
      <c r="Z1609" s="175"/>
      <c r="AA1609" s="175"/>
      <c r="AB1609" s="175"/>
      <c r="AC1609" s="175"/>
      <c r="AD1609" s="175"/>
      <c r="AE1609" s="175"/>
      <c r="AF1609" s="175"/>
      <c r="AG1609" s="175"/>
      <c r="AH1609" s="175"/>
      <c r="AI1609" s="175"/>
    </row>
    <row r="1610">
      <c r="A1610" s="176">
        <v>46215.0</v>
      </c>
      <c r="B1610" s="177">
        <v>8843139.0</v>
      </c>
      <c r="C1610" s="178" t="s">
        <v>82</v>
      </c>
      <c r="D1610" s="178" t="s">
        <v>35</v>
      </c>
      <c r="E1610" s="177">
        <v>6.009024826E9</v>
      </c>
      <c r="F1610" s="178" t="s">
        <v>2999</v>
      </c>
      <c r="G1610" s="176">
        <v>46240.0</v>
      </c>
      <c r="H1610" s="179">
        <v>46244.0</v>
      </c>
      <c r="I1610" s="180">
        <v>4.0</v>
      </c>
      <c r="J1610" s="181" t="s">
        <v>78</v>
      </c>
      <c r="K1610" s="178" t="s">
        <v>79</v>
      </c>
      <c r="L1610" s="178" t="s">
        <v>80</v>
      </c>
      <c r="M1610" s="182">
        <v>3.0</v>
      </c>
      <c r="N1610" s="183">
        <v>0.19999999999999996</v>
      </c>
      <c r="O1610" s="184">
        <v>89.86</v>
      </c>
      <c r="P1610" s="184">
        <v>71.888</v>
      </c>
      <c r="Q1610" s="185">
        <v>0.0</v>
      </c>
      <c r="R1610" s="186">
        <v>287.552</v>
      </c>
      <c r="S1610" s="186">
        <v>0.0</v>
      </c>
      <c r="T1610" s="186">
        <v>768.88</v>
      </c>
      <c r="U1610" s="187" t="s">
        <v>143</v>
      </c>
      <c r="V1610" s="176">
        <v>46215.0</v>
      </c>
      <c r="W1610" s="175"/>
      <c r="X1610" s="175"/>
      <c r="Y1610" s="175"/>
      <c r="Z1610" s="175"/>
      <c r="AA1610" s="175"/>
      <c r="AB1610" s="175"/>
      <c r="AC1610" s="175"/>
      <c r="AD1610" s="175"/>
      <c r="AE1610" s="175"/>
      <c r="AF1610" s="175"/>
      <c r="AG1610" s="175"/>
      <c r="AH1610" s="175"/>
      <c r="AI1610" s="175"/>
    </row>
    <row r="1611">
      <c r="A1611" s="176">
        <v>46215.0</v>
      </c>
      <c r="B1611" s="177">
        <v>8844254.0</v>
      </c>
      <c r="C1611" s="178" t="s">
        <v>82</v>
      </c>
      <c r="D1611" s="178" t="s">
        <v>35</v>
      </c>
      <c r="E1611" s="177">
        <v>6.160680331E9</v>
      </c>
      <c r="F1611" s="178" t="s">
        <v>3001</v>
      </c>
      <c r="G1611" s="176">
        <v>46332.20833333333</v>
      </c>
      <c r="H1611" s="179">
        <v>46336.20833333333</v>
      </c>
      <c r="I1611" s="180">
        <v>4.0</v>
      </c>
      <c r="J1611" s="181" t="s">
        <v>111</v>
      </c>
      <c r="K1611" s="178" t="s">
        <v>79</v>
      </c>
      <c r="L1611" s="178" t="s">
        <v>80</v>
      </c>
      <c r="M1611" s="182">
        <v>2.0</v>
      </c>
      <c r="N1611" s="183">
        <v>0.19999999999999996</v>
      </c>
      <c r="O1611" s="184">
        <v>212.85</v>
      </c>
      <c r="P1611" s="184">
        <v>170.28</v>
      </c>
      <c r="Q1611" s="185">
        <v>0.0</v>
      </c>
      <c r="R1611" s="186">
        <v>681.12</v>
      </c>
      <c r="S1611" s="186">
        <v>0.0</v>
      </c>
      <c r="T1611" s="186">
        <v>871.4</v>
      </c>
      <c r="U1611" s="187" t="s">
        <v>107</v>
      </c>
      <c r="V1611" s="176">
        <v>46215.0</v>
      </c>
      <c r="W1611" s="175"/>
      <c r="X1611" s="175"/>
      <c r="Y1611" s="175"/>
      <c r="Z1611" s="175"/>
      <c r="AA1611" s="175"/>
      <c r="AB1611" s="175"/>
      <c r="AC1611" s="175"/>
      <c r="AD1611" s="175"/>
      <c r="AE1611" s="175"/>
      <c r="AF1611" s="175"/>
      <c r="AG1611" s="175"/>
      <c r="AH1611" s="175"/>
      <c r="AI1611" s="175"/>
    </row>
    <row r="1612">
      <c r="A1612" s="176">
        <v>46215.0</v>
      </c>
      <c r="B1612" s="177">
        <v>8844659.0</v>
      </c>
      <c r="C1612" s="178" t="s">
        <v>82</v>
      </c>
      <c r="D1612" s="178" t="s">
        <v>35</v>
      </c>
      <c r="E1612" s="177">
        <v>6.009047564E9</v>
      </c>
      <c r="F1612" s="178" t="s">
        <v>3003</v>
      </c>
      <c r="G1612" s="176">
        <v>46238.0</v>
      </c>
      <c r="H1612" s="179">
        <v>46240.0</v>
      </c>
      <c r="I1612" s="180">
        <v>2.0</v>
      </c>
      <c r="J1612" s="181" t="s">
        <v>78</v>
      </c>
      <c r="K1612" s="178" t="s">
        <v>79</v>
      </c>
      <c r="L1612" s="178" t="s">
        <v>80</v>
      </c>
      <c r="M1612" s="182">
        <v>2.0</v>
      </c>
      <c r="N1612" s="183">
        <v>0.19999999999999996</v>
      </c>
      <c r="O1612" s="184">
        <v>73.7</v>
      </c>
      <c r="P1612" s="184">
        <v>58.96000000000001</v>
      </c>
      <c r="Q1612" s="185">
        <v>0.0</v>
      </c>
      <c r="R1612" s="186">
        <v>117.92000000000002</v>
      </c>
      <c r="S1612" s="186">
        <v>0.0</v>
      </c>
      <c r="T1612" s="186">
        <v>157.4</v>
      </c>
      <c r="U1612" s="187" t="s">
        <v>143</v>
      </c>
      <c r="V1612" s="176">
        <v>46215.0</v>
      </c>
      <c r="W1612" s="175"/>
      <c r="X1612" s="175"/>
      <c r="Y1612" s="175"/>
      <c r="Z1612" s="175"/>
      <c r="AA1612" s="175"/>
      <c r="AB1612" s="175"/>
      <c r="AC1612" s="175"/>
      <c r="AD1612" s="175"/>
      <c r="AE1612" s="175"/>
      <c r="AF1612" s="175"/>
      <c r="AG1612" s="175"/>
      <c r="AH1612" s="175"/>
      <c r="AI1612" s="175"/>
    </row>
    <row r="1613">
      <c r="A1613" s="176">
        <v>46215.0</v>
      </c>
      <c r="B1613" s="177">
        <v>8845095.0</v>
      </c>
      <c r="C1613" s="178" t="s">
        <v>89</v>
      </c>
      <c r="D1613" s="178" t="s">
        <v>35</v>
      </c>
      <c r="E1613" s="177">
        <v>6.390521941E9</v>
      </c>
      <c r="F1613" s="178" t="s">
        <v>3006</v>
      </c>
      <c r="G1613" s="176">
        <v>46221.0</v>
      </c>
      <c r="H1613" s="179">
        <v>46222.0</v>
      </c>
      <c r="I1613" s="180">
        <v>1.0</v>
      </c>
      <c r="J1613" s="181" t="s">
        <v>78</v>
      </c>
      <c r="K1613" s="178" t="s">
        <v>79</v>
      </c>
      <c r="L1613" s="178" t="s">
        <v>80</v>
      </c>
      <c r="M1613" s="182">
        <v>0.0</v>
      </c>
      <c r="N1613" s="183">
        <v>0.0</v>
      </c>
      <c r="O1613" s="184">
        <v>0.0</v>
      </c>
      <c r="P1613" s="184">
        <v>0.0</v>
      </c>
      <c r="Q1613" s="185">
        <v>0.0</v>
      </c>
      <c r="R1613" s="186">
        <v>0.0</v>
      </c>
      <c r="S1613" s="186">
        <v>0.0</v>
      </c>
      <c r="T1613" s="186">
        <v>0.0</v>
      </c>
      <c r="U1613" s="187" t="s">
        <v>3007</v>
      </c>
      <c r="V1613" s="176">
        <v>46215.0</v>
      </c>
      <c r="W1613" s="175"/>
      <c r="X1613" s="175"/>
      <c r="Y1613" s="175"/>
      <c r="Z1613" s="175"/>
      <c r="AA1613" s="175"/>
      <c r="AB1613" s="175"/>
      <c r="AC1613" s="175"/>
      <c r="AD1613" s="175"/>
      <c r="AE1613" s="175"/>
      <c r="AF1613" s="175"/>
      <c r="AG1613" s="175"/>
      <c r="AH1613" s="175"/>
      <c r="AI1613" s="175"/>
    </row>
    <row r="1614">
      <c r="A1614" s="176">
        <v>46215.0</v>
      </c>
      <c r="B1614" s="177">
        <v>8845597.0</v>
      </c>
      <c r="C1614" s="178" t="s">
        <v>82</v>
      </c>
      <c r="D1614" s="178" t="s">
        <v>2325</v>
      </c>
      <c r="E1614" s="177" t="s">
        <v>3009</v>
      </c>
      <c r="F1614" s="178" t="s">
        <v>3010</v>
      </c>
      <c r="G1614" s="176">
        <v>46282.0</v>
      </c>
      <c r="H1614" s="179">
        <v>46283.0</v>
      </c>
      <c r="I1614" s="180">
        <v>1.0</v>
      </c>
      <c r="J1614" s="181" t="s">
        <v>3011</v>
      </c>
      <c r="K1614" s="178"/>
      <c r="L1614" s="178"/>
      <c r="M1614" s="182">
        <v>2.0</v>
      </c>
      <c r="N1614" s="183">
        <v>0.0</v>
      </c>
      <c r="O1614" s="184">
        <v>0.0</v>
      </c>
      <c r="P1614" s="184">
        <v>0.0</v>
      </c>
      <c r="Q1614" s="185">
        <v>0.0</v>
      </c>
      <c r="R1614" s="186">
        <v>0.0</v>
      </c>
      <c r="S1614" s="186">
        <v>0.0</v>
      </c>
      <c r="T1614" s="186">
        <v>0.0</v>
      </c>
      <c r="U1614" s="187" t="s">
        <v>2329</v>
      </c>
      <c r="V1614" s="176">
        <v>46215.0</v>
      </c>
      <c r="W1614" s="175"/>
      <c r="X1614" s="175"/>
      <c r="Y1614" s="175"/>
      <c r="Z1614" s="175"/>
      <c r="AA1614" s="175"/>
      <c r="AB1614" s="175"/>
      <c r="AC1614" s="175"/>
      <c r="AD1614" s="175"/>
      <c r="AE1614" s="175"/>
      <c r="AF1614" s="175"/>
      <c r="AG1614" s="175"/>
      <c r="AH1614" s="175"/>
      <c r="AI1614" s="175"/>
    </row>
    <row r="1615">
      <c r="A1615" s="176">
        <v>46215.0</v>
      </c>
      <c r="B1615" s="177">
        <v>8845809.0</v>
      </c>
      <c r="C1615" s="178" t="s">
        <v>82</v>
      </c>
      <c r="D1615" s="178" t="s">
        <v>35</v>
      </c>
      <c r="E1615" s="177">
        <v>5.863169053E9</v>
      </c>
      <c r="F1615" s="178" t="s">
        <v>3013</v>
      </c>
      <c r="G1615" s="176">
        <v>46280.0</v>
      </c>
      <c r="H1615" s="179">
        <v>46283.0</v>
      </c>
      <c r="I1615" s="180">
        <v>3.0</v>
      </c>
      <c r="J1615" s="181" t="s">
        <v>114</v>
      </c>
      <c r="K1615" s="178" t="s">
        <v>79</v>
      </c>
      <c r="L1615" s="178" t="s">
        <v>80</v>
      </c>
      <c r="M1615" s="182">
        <v>2.0</v>
      </c>
      <c r="N1615" s="183">
        <v>0.19999999999999996</v>
      </c>
      <c r="O1615" s="184">
        <v>198.4</v>
      </c>
      <c r="P1615" s="184">
        <v>158.72000000000003</v>
      </c>
      <c r="Q1615" s="185">
        <v>0.0</v>
      </c>
      <c r="R1615" s="186">
        <v>476.1600000000001</v>
      </c>
      <c r="S1615" s="186">
        <v>0.0</v>
      </c>
      <c r="T1615" s="186">
        <v>610.2</v>
      </c>
      <c r="U1615" s="187" t="s">
        <v>1367</v>
      </c>
      <c r="V1615" s="176">
        <v>46215.0</v>
      </c>
      <c r="W1615" s="175"/>
      <c r="X1615" s="175"/>
      <c r="Y1615" s="175"/>
      <c r="Z1615" s="175"/>
      <c r="AA1615" s="175"/>
      <c r="AB1615" s="175"/>
      <c r="AC1615" s="175"/>
      <c r="AD1615" s="175"/>
      <c r="AE1615" s="175"/>
      <c r="AF1615" s="175"/>
      <c r="AG1615" s="175"/>
      <c r="AH1615" s="175"/>
      <c r="AI1615" s="175"/>
    </row>
    <row r="1616">
      <c r="A1616" s="176">
        <v>46215.0</v>
      </c>
      <c r="B1616" s="177">
        <v>8845871.0</v>
      </c>
      <c r="C1616" s="178" t="s">
        <v>82</v>
      </c>
      <c r="D1616" s="178" t="s">
        <v>35</v>
      </c>
      <c r="E1616" s="177">
        <v>6.4723057E9</v>
      </c>
      <c r="F1616" s="178" t="s">
        <v>3015</v>
      </c>
      <c r="G1616" s="176">
        <v>46234.0</v>
      </c>
      <c r="H1616" s="179">
        <v>46236.0</v>
      </c>
      <c r="I1616" s="180">
        <v>2.0</v>
      </c>
      <c r="J1616" s="181" t="s">
        <v>78</v>
      </c>
      <c r="K1616" s="178" t="s">
        <v>79</v>
      </c>
      <c r="L1616" s="178" t="s">
        <v>80</v>
      </c>
      <c r="M1616" s="182">
        <v>2.0</v>
      </c>
      <c r="N1616" s="183">
        <v>0.19999999999999996</v>
      </c>
      <c r="O1616" s="184">
        <v>118.32</v>
      </c>
      <c r="P1616" s="184">
        <v>94.656</v>
      </c>
      <c r="Q1616" s="185">
        <v>0.0</v>
      </c>
      <c r="R1616" s="186">
        <v>189.312</v>
      </c>
      <c r="S1616" s="186">
        <v>0.0</v>
      </c>
      <c r="T1616" s="186">
        <v>246.64</v>
      </c>
      <c r="U1616" s="187" t="s">
        <v>524</v>
      </c>
      <c r="V1616" s="176">
        <v>46215.0</v>
      </c>
      <c r="W1616" s="175"/>
      <c r="X1616" s="175"/>
      <c r="Y1616" s="175"/>
      <c r="Z1616" s="175"/>
      <c r="AA1616" s="175"/>
      <c r="AB1616" s="175"/>
      <c r="AC1616" s="175"/>
      <c r="AD1616" s="175"/>
      <c r="AE1616" s="175"/>
      <c r="AF1616" s="175"/>
      <c r="AG1616" s="175"/>
      <c r="AH1616" s="175"/>
      <c r="AI1616" s="175"/>
    </row>
    <row r="1617">
      <c r="A1617" s="176">
        <v>46215.0</v>
      </c>
      <c r="B1617" s="177">
        <v>8846460.0</v>
      </c>
      <c r="C1617" s="178" t="s">
        <v>82</v>
      </c>
      <c r="D1617" s="178" t="s">
        <v>35</v>
      </c>
      <c r="E1617" s="177">
        <v>5.055735845E9</v>
      </c>
      <c r="F1617" s="178" t="s">
        <v>3016</v>
      </c>
      <c r="G1617" s="176">
        <v>46259.0</v>
      </c>
      <c r="H1617" s="179">
        <v>46262.0</v>
      </c>
      <c r="I1617" s="180">
        <v>3.0</v>
      </c>
      <c r="J1617" s="181" t="s">
        <v>78</v>
      </c>
      <c r="K1617" s="178" t="s">
        <v>79</v>
      </c>
      <c r="L1617" s="178" t="s">
        <v>80</v>
      </c>
      <c r="M1617" s="182">
        <v>2.0</v>
      </c>
      <c r="N1617" s="183">
        <v>0.19999999999999996</v>
      </c>
      <c r="O1617" s="184">
        <v>81.14</v>
      </c>
      <c r="P1617" s="184">
        <v>64.912</v>
      </c>
      <c r="Q1617" s="185">
        <v>0.0</v>
      </c>
      <c r="R1617" s="186">
        <v>194.73600000000002</v>
      </c>
      <c r="S1617" s="186">
        <v>0.0</v>
      </c>
      <c r="T1617" s="186">
        <v>243.42</v>
      </c>
      <c r="U1617" s="187" t="s">
        <v>107</v>
      </c>
      <c r="V1617" s="176">
        <v>46215.0</v>
      </c>
      <c r="W1617" s="175"/>
      <c r="X1617" s="175"/>
      <c r="Y1617" s="175"/>
      <c r="Z1617" s="175"/>
      <c r="AA1617" s="175"/>
      <c r="AB1617" s="175"/>
      <c r="AC1617" s="175"/>
      <c r="AD1617" s="175"/>
      <c r="AE1617" s="175"/>
      <c r="AF1617" s="175"/>
      <c r="AG1617" s="175"/>
      <c r="AH1617" s="175"/>
      <c r="AI1617" s="175"/>
    </row>
    <row r="1618">
      <c r="A1618" s="176">
        <v>46215.0</v>
      </c>
      <c r="B1618" s="177">
        <v>8846746.0</v>
      </c>
      <c r="C1618" s="178" t="s">
        <v>82</v>
      </c>
      <c r="D1618" s="178" t="s">
        <v>35</v>
      </c>
      <c r="E1618" s="177">
        <v>6.987483074E9</v>
      </c>
      <c r="F1618" s="178" t="s">
        <v>3018</v>
      </c>
      <c r="G1618" s="176">
        <v>46245.0</v>
      </c>
      <c r="H1618" s="179">
        <v>46246.0</v>
      </c>
      <c r="I1618" s="180">
        <v>1.0</v>
      </c>
      <c r="J1618" s="181" t="s">
        <v>78</v>
      </c>
      <c r="K1618" s="178" t="s">
        <v>79</v>
      </c>
      <c r="L1618" s="178" t="s">
        <v>80</v>
      </c>
      <c r="M1618" s="182">
        <v>2.0</v>
      </c>
      <c r="N1618" s="183">
        <v>0.19999999999999996</v>
      </c>
      <c r="O1618" s="184">
        <v>82.18</v>
      </c>
      <c r="P1618" s="184">
        <v>65.74400000000001</v>
      </c>
      <c r="Q1618" s="185">
        <v>0.0</v>
      </c>
      <c r="R1618" s="186">
        <v>65.74400000000001</v>
      </c>
      <c r="S1618" s="186">
        <v>0.0</v>
      </c>
      <c r="T1618" s="186">
        <v>87.18</v>
      </c>
      <c r="U1618" s="187" t="s">
        <v>107</v>
      </c>
      <c r="V1618" s="176">
        <v>46215.0</v>
      </c>
      <c r="W1618" s="175"/>
      <c r="X1618" s="175"/>
      <c r="Y1618" s="175"/>
      <c r="Z1618" s="175"/>
      <c r="AA1618" s="175"/>
      <c r="AB1618" s="175"/>
      <c r="AC1618" s="175"/>
      <c r="AD1618" s="175"/>
      <c r="AE1618" s="175"/>
      <c r="AF1618" s="175"/>
      <c r="AG1618" s="175"/>
      <c r="AH1618" s="175"/>
      <c r="AI1618" s="175"/>
    </row>
    <row r="1619">
      <c r="A1619" s="176">
        <v>46215.0</v>
      </c>
      <c r="B1619" s="177">
        <v>8846934.0</v>
      </c>
      <c r="C1619" s="178" t="s">
        <v>82</v>
      </c>
      <c r="D1619" s="178" t="s">
        <v>35</v>
      </c>
      <c r="E1619" s="177">
        <v>6.00904709E9</v>
      </c>
      <c r="F1619" s="178" t="s">
        <v>3020</v>
      </c>
      <c r="G1619" s="176">
        <v>46238.0</v>
      </c>
      <c r="H1619" s="179">
        <v>46240.0</v>
      </c>
      <c r="I1619" s="180">
        <v>2.0</v>
      </c>
      <c r="J1619" s="181" t="s">
        <v>78</v>
      </c>
      <c r="K1619" s="178" t="s">
        <v>79</v>
      </c>
      <c r="L1619" s="178" t="s">
        <v>80</v>
      </c>
      <c r="M1619" s="182">
        <v>2.0</v>
      </c>
      <c r="N1619" s="183">
        <v>0.19999999999999996</v>
      </c>
      <c r="O1619" s="184">
        <v>87.55</v>
      </c>
      <c r="P1619" s="184">
        <v>70.04</v>
      </c>
      <c r="Q1619" s="185">
        <v>0.0</v>
      </c>
      <c r="R1619" s="186">
        <v>140.08</v>
      </c>
      <c r="S1619" s="186">
        <v>0.0</v>
      </c>
      <c r="T1619" s="186">
        <v>185.1</v>
      </c>
      <c r="U1619" s="187" t="s">
        <v>1367</v>
      </c>
      <c r="V1619" s="176">
        <v>46215.0</v>
      </c>
      <c r="W1619" s="175"/>
      <c r="X1619" s="175"/>
      <c r="Y1619" s="175"/>
      <c r="Z1619" s="175"/>
      <c r="AA1619" s="175"/>
      <c r="AB1619" s="175"/>
      <c r="AC1619" s="175"/>
      <c r="AD1619" s="175"/>
      <c r="AE1619" s="175"/>
      <c r="AF1619" s="175"/>
      <c r="AG1619" s="175"/>
      <c r="AH1619" s="175"/>
      <c r="AI1619" s="175"/>
    </row>
    <row r="1620">
      <c r="A1620" s="176">
        <v>46216.0</v>
      </c>
      <c r="B1620" s="177">
        <v>8849012.0</v>
      </c>
      <c r="C1620" s="178" t="s">
        <v>82</v>
      </c>
      <c r="D1620" s="178" t="s">
        <v>35</v>
      </c>
      <c r="E1620" s="177">
        <v>6.351521012E9</v>
      </c>
      <c r="F1620" s="178" t="s">
        <v>3022</v>
      </c>
      <c r="G1620" s="176">
        <v>46626.20833333333</v>
      </c>
      <c r="H1620" s="179">
        <v>46631.20833333333</v>
      </c>
      <c r="I1620" s="180">
        <v>5.0</v>
      </c>
      <c r="J1620" s="181" t="s">
        <v>78</v>
      </c>
      <c r="K1620" s="178" t="s">
        <v>79</v>
      </c>
      <c r="L1620" s="178" t="s">
        <v>80</v>
      </c>
      <c r="M1620" s="182">
        <v>3.0</v>
      </c>
      <c r="N1620" s="183">
        <v>0.19999999999999996</v>
      </c>
      <c r="O1620" s="184">
        <v>144.14000000000001</v>
      </c>
      <c r="P1620" s="184">
        <v>115.31200000000001</v>
      </c>
      <c r="Q1620" s="185">
        <v>0.0</v>
      </c>
      <c r="R1620" s="186">
        <v>576.5600000000001</v>
      </c>
      <c r="S1620" s="186">
        <v>0.0</v>
      </c>
      <c r="T1620" s="186">
        <v>720.7</v>
      </c>
      <c r="U1620" s="187" t="s">
        <v>353</v>
      </c>
      <c r="V1620" s="176">
        <v>46216.0</v>
      </c>
      <c r="W1620" s="175"/>
      <c r="X1620" s="175"/>
      <c r="Y1620" s="175"/>
      <c r="Z1620" s="175"/>
      <c r="AA1620" s="175"/>
      <c r="AB1620" s="175"/>
      <c r="AC1620" s="175"/>
      <c r="AD1620" s="175"/>
      <c r="AE1620" s="175"/>
      <c r="AF1620" s="175"/>
      <c r="AG1620" s="175"/>
      <c r="AH1620" s="175"/>
      <c r="AI1620" s="175"/>
    </row>
    <row r="1621">
      <c r="A1621" s="176">
        <v>46216.0</v>
      </c>
      <c r="B1621" s="177">
        <v>8850655.0</v>
      </c>
      <c r="C1621" s="178" t="s">
        <v>82</v>
      </c>
      <c r="D1621" s="178" t="s">
        <v>35</v>
      </c>
      <c r="E1621" s="177">
        <v>6.11257366E9</v>
      </c>
      <c r="F1621" s="178" t="s">
        <v>1670</v>
      </c>
      <c r="G1621" s="176">
        <v>46257.0</v>
      </c>
      <c r="H1621" s="179">
        <v>46260.0</v>
      </c>
      <c r="I1621" s="180">
        <v>3.0</v>
      </c>
      <c r="J1621" s="181" t="s">
        <v>78</v>
      </c>
      <c r="K1621" s="178" t="s">
        <v>79</v>
      </c>
      <c r="L1621" s="178" t="s">
        <v>80</v>
      </c>
      <c r="M1621" s="182">
        <v>2.0</v>
      </c>
      <c r="N1621" s="183">
        <v>0.19999999999999996</v>
      </c>
      <c r="O1621" s="184">
        <v>84.73</v>
      </c>
      <c r="P1621" s="184">
        <v>67.784</v>
      </c>
      <c r="Q1621" s="185">
        <v>0.0</v>
      </c>
      <c r="R1621" s="186">
        <v>203.35200000000003</v>
      </c>
      <c r="S1621" s="186">
        <v>0.0</v>
      </c>
      <c r="T1621" s="186">
        <v>269.19</v>
      </c>
      <c r="U1621" s="187" t="s">
        <v>143</v>
      </c>
      <c r="V1621" s="176">
        <v>46216.0</v>
      </c>
      <c r="W1621" s="175"/>
      <c r="X1621" s="175"/>
      <c r="Y1621" s="175"/>
      <c r="Z1621" s="175"/>
      <c r="AA1621" s="175"/>
      <c r="AB1621" s="175"/>
      <c r="AC1621" s="175"/>
      <c r="AD1621" s="175"/>
      <c r="AE1621" s="175"/>
      <c r="AF1621" s="175"/>
      <c r="AG1621" s="175"/>
      <c r="AH1621" s="175"/>
      <c r="AI1621" s="175"/>
    </row>
    <row r="1622">
      <c r="A1622" s="176">
        <v>46216.0</v>
      </c>
      <c r="B1622" s="177">
        <v>8851328.0</v>
      </c>
      <c r="C1622" s="178" t="s">
        <v>89</v>
      </c>
      <c r="D1622" s="178" t="s">
        <v>35</v>
      </c>
      <c r="E1622" s="177">
        <v>5.126267294E9</v>
      </c>
      <c r="F1622" s="178" t="s">
        <v>3024</v>
      </c>
      <c r="G1622" s="176">
        <v>46249.0</v>
      </c>
      <c r="H1622" s="179">
        <v>46256.0</v>
      </c>
      <c r="I1622" s="180">
        <v>7.0</v>
      </c>
      <c r="J1622" s="181" t="s">
        <v>111</v>
      </c>
      <c r="K1622" s="178" t="s">
        <v>79</v>
      </c>
      <c r="L1622" s="178" t="s">
        <v>80</v>
      </c>
      <c r="M1622" s="182">
        <v>0.0</v>
      </c>
      <c r="N1622" s="183">
        <v>0.0</v>
      </c>
      <c r="O1622" s="184">
        <v>0.0</v>
      </c>
      <c r="P1622" s="184">
        <v>0.0</v>
      </c>
      <c r="Q1622" s="185">
        <v>0.0</v>
      </c>
      <c r="R1622" s="186">
        <v>0.0</v>
      </c>
      <c r="S1622" s="186">
        <v>0.0</v>
      </c>
      <c r="T1622" s="186">
        <v>0.0</v>
      </c>
      <c r="U1622" s="187" t="s">
        <v>3025</v>
      </c>
      <c r="V1622" s="176">
        <v>46218.0</v>
      </c>
      <c r="W1622" s="164"/>
      <c r="X1622" s="164"/>
      <c r="Y1622" s="164"/>
      <c r="Z1622" s="164"/>
      <c r="AA1622" s="164"/>
      <c r="AB1622" s="164"/>
      <c r="AC1622" s="164"/>
      <c r="AD1622" s="164"/>
      <c r="AE1622" s="164"/>
      <c r="AF1622" s="164"/>
      <c r="AG1622" s="164"/>
      <c r="AH1622" s="164"/>
      <c r="AI1622" s="164"/>
    </row>
    <row r="1623">
      <c r="A1623" s="176">
        <v>46216.0</v>
      </c>
      <c r="B1623" s="177">
        <v>8851516.0</v>
      </c>
      <c r="C1623" s="178" t="s">
        <v>82</v>
      </c>
      <c r="D1623" s="178" t="s">
        <v>35</v>
      </c>
      <c r="E1623" s="177">
        <v>5.705242197E9</v>
      </c>
      <c r="F1623" s="178" t="s">
        <v>3026</v>
      </c>
      <c r="G1623" s="176">
        <v>46251.0</v>
      </c>
      <c r="H1623" s="179">
        <v>46253.0</v>
      </c>
      <c r="I1623" s="180">
        <v>2.0</v>
      </c>
      <c r="J1623" s="181" t="s">
        <v>114</v>
      </c>
      <c r="K1623" s="178" t="s">
        <v>79</v>
      </c>
      <c r="L1623" s="178" t="s">
        <v>80</v>
      </c>
      <c r="M1623" s="182">
        <v>2.0</v>
      </c>
      <c r="N1623" s="183">
        <v>0.19999999999999996</v>
      </c>
      <c r="O1623" s="184">
        <v>107.71</v>
      </c>
      <c r="P1623" s="184">
        <v>86.168</v>
      </c>
      <c r="Q1623" s="185">
        <v>0.0</v>
      </c>
      <c r="R1623" s="186">
        <v>172.336</v>
      </c>
      <c r="S1623" s="186">
        <v>0.0</v>
      </c>
      <c r="T1623" s="186">
        <v>225.42</v>
      </c>
      <c r="U1623" s="187" t="s">
        <v>107</v>
      </c>
      <c r="V1623" s="176">
        <v>46216.0</v>
      </c>
      <c r="W1623" s="175"/>
      <c r="X1623" s="175"/>
      <c r="Y1623" s="175"/>
      <c r="Z1623" s="175"/>
      <c r="AA1623" s="175"/>
      <c r="AB1623" s="175"/>
      <c r="AC1623" s="175"/>
      <c r="AD1623" s="175"/>
      <c r="AE1623" s="175"/>
      <c r="AF1623" s="175"/>
      <c r="AG1623" s="175"/>
      <c r="AH1623" s="175"/>
      <c r="AI1623" s="175"/>
    </row>
    <row r="1624">
      <c r="A1624" s="176">
        <v>46216.0</v>
      </c>
      <c r="B1624" s="177">
        <v>8851841.0</v>
      </c>
      <c r="C1624" s="178" t="s">
        <v>82</v>
      </c>
      <c r="D1624" s="178" t="s">
        <v>35</v>
      </c>
      <c r="E1624" s="177">
        <v>5.705209685E9</v>
      </c>
      <c r="F1624" s="178" t="s">
        <v>3027</v>
      </c>
      <c r="G1624" s="176">
        <v>46488.20833333333</v>
      </c>
      <c r="H1624" s="179">
        <v>46489.20833333333</v>
      </c>
      <c r="I1624" s="180">
        <v>1.0</v>
      </c>
      <c r="J1624" s="181" t="s">
        <v>91</v>
      </c>
      <c r="K1624" s="178" t="s">
        <v>79</v>
      </c>
      <c r="L1624" s="178" t="s">
        <v>80</v>
      </c>
      <c r="M1624" s="182">
        <v>5.0</v>
      </c>
      <c r="N1624" s="183">
        <v>0.19999999999999996</v>
      </c>
      <c r="O1624" s="184">
        <v>556.84</v>
      </c>
      <c r="P1624" s="184">
        <v>445.47200000000004</v>
      </c>
      <c r="Q1624" s="185">
        <v>0.0</v>
      </c>
      <c r="R1624" s="186">
        <v>445.47200000000004</v>
      </c>
      <c r="S1624" s="186">
        <v>0.0</v>
      </c>
      <c r="T1624" s="186">
        <v>569.34</v>
      </c>
      <c r="U1624" s="187" t="s">
        <v>353</v>
      </c>
      <c r="V1624" s="176">
        <v>46216.0</v>
      </c>
      <c r="W1624" s="175"/>
      <c r="X1624" s="175"/>
      <c r="Y1624" s="175"/>
      <c r="Z1624" s="175"/>
      <c r="AA1624" s="175"/>
      <c r="AB1624" s="175"/>
      <c r="AC1624" s="175"/>
      <c r="AD1624" s="175"/>
      <c r="AE1624" s="175"/>
      <c r="AF1624" s="175"/>
      <c r="AG1624" s="175"/>
      <c r="AH1624" s="175"/>
      <c r="AI1624" s="175"/>
    </row>
    <row r="1625">
      <c r="A1625" s="176">
        <v>46216.0</v>
      </c>
      <c r="B1625" s="177">
        <v>8851956.0</v>
      </c>
      <c r="C1625" s="178" t="s">
        <v>82</v>
      </c>
      <c r="D1625" s="178" t="s">
        <v>94</v>
      </c>
      <c r="E1625" s="177">
        <v>8851956.0</v>
      </c>
      <c r="F1625" s="178" t="s">
        <v>3028</v>
      </c>
      <c r="G1625" s="176">
        <v>46275.0</v>
      </c>
      <c r="H1625" s="179">
        <v>46278.0</v>
      </c>
      <c r="I1625" s="180">
        <v>3.0</v>
      </c>
      <c r="J1625" s="181" t="s">
        <v>91</v>
      </c>
      <c r="K1625" s="178" t="s">
        <v>79</v>
      </c>
      <c r="L1625" s="178" t="s">
        <v>96</v>
      </c>
      <c r="M1625" s="182">
        <v>2.0</v>
      </c>
      <c r="N1625" s="183">
        <v>0.0</v>
      </c>
      <c r="O1625" s="184">
        <v>472.32</v>
      </c>
      <c r="P1625" s="184">
        <v>472.32</v>
      </c>
      <c r="Q1625" s="185">
        <v>0.0</v>
      </c>
      <c r="R1625" s="186">
        <v>1416.96</v>
      </c>
      <c r="S1625" s="186">
        <v>0.0</v>
      </c>
      <c r="T1625" s="186">
        <v>1431.96</v>
      </c>
      <c r="U1625" s="187" t="s">
        <v>97</v>
      </c>
      <c r="V1625" s="176">
        <v>46216.0</v>
      </c>
      <c r="W1625" s="188"/>
      <c r="X1625" s="188"/>
      <c r="Y1625" s="188"/>
      <c r="Z1625" s="188"/>
      <c r="AA1625" s="188"/>
      <c r="AB1625" s="188"/>
      <c r="AC1625" s="188"/>
      <c r="AD1625" s="188"/>
      <c r="AE1625" s="188"/>
      <c r="AF1625" s="188"/>
      <c r="AG1625" s="188"/>
      <c r="AH1625" s="188"/>
      <c r="AI1625" s="188"/>
    </row>
    <row r="1626">
      <c r="A1626" s="176">
        <v>46216.0</v>
      </c>
      <c r="B1626" s="177">
        <v>8852638.0</v>
      </c>
      <c r="C1626" s="178" t="s">
        <v>82</v>
      </c>
      <c r="D1626" s="178" t="s">
        <v>35</v>
      </c>
      <c r="E1626" s="177">
        <v>6.002939829E9</v>
      </c>
      <c r="F1626" s="178" t="s">
        <v>3029</v>
      </c>
      <c r="G1626" s="176">
        <v>46239.0</v>
      </c>
      <c r="H1626" s="179">
        <v>46242.0</v>
      </c>
      <c r="I1626" s="180">
        <v>3.0</v>
      </c>
      <c r="J1626" s="181" t="s">
        <v>114</v>
      </c>
      <c r="K1626" s="178" t="s">
        <v>79</v>
      </c>
      <c r="L1626" s="178" t="s">
        <v>80</v>
      </c>
      <c r="M1626" s="182">
        <v>2.0</v>
      </c>
      <c r="N1626" s="183">
        <v>0.19999999999999996</v>
      </c>
      <c r="O1626" s="184">
        <v>102.64</v>
      </c>
      <c r="P1626" s="184">
        <v>82.11200000000001</v>
      </c>
      <c r="Q1626" s="185">
        <v>0.0</v>
      </c>
      <c r="R1626" s="186">
        <v>246.336</v>
      </c>
      <c r="S1626" s="186">
        <v>0.0</v>
      </c>
      <c r="T1626" s="186">
        <v>322.92</v>
      </c>
      <c r="U1626" s="187" t="s">
        <v>143</v>
      </c>
      <c r="V1626" s="176">
        <v>46216.0</v>
      </c>
      <c r="W1626" s="175"/>
      <c r="X1626" s="175"/>
      <c r="Y1626" s="175"/>
      <c r="Z1626" s="175"/>
      <c r="AA1626" s="175"/>
      <c r="AB1626" s="175"/>
      <c r="AC1626" s="175"/>
      <c r="AD1626" s="175"/>
      <c r="AE1626" s="175"/>
      <c r="AF1626" s="175"/>
      <c r="AG1626" s="175"/>
      <c r="AH1626" s="175"/>
      <c r="AI1626" s="175"/>
    </row>
    <row r="1627">
      <c r="A1627" s="176">
        <v>46217.0</v>
      </c>
      <c r="B1627" s="177">
        <v>8854030.0</v>
      </c>
      <c r="C1627" s="178" t="s">
        <v>82</v>
      </c>
      <c r="D1627" s="178" t="s">
        <v>94</v>
      </c>
      <c r="E1627" s="177">
        <v>8854030.0</v>
      </c>
      <c r="F1627" s="178" t="s">
        <v>3030</v>
      </c>
      <c r="G1627" s="176">
        <v>46224.0</v>
      </c>
      <c r="H1627" s="179">
        <v>46229.0</v>
      </c>
      <c r="I1627" s="180">
        <v>5.0</v>
      </c>
      <c r="J1627" s="181" t="s">
        <v>111</v>
      </c>
      <c r="K1627" s="178" t="s">
        <v>79</v>
      </c>
      <c r="L1627" s="178" t="s">
        <v>96</v>
      </c>
      <c r="M1627" s="182">
        <v>2.0</v>
      </c>
      <c r="N1627" s="183">
        <v>0.0</v>
      </c>
      <c r="O1627" s="184">
        <v>185.04000000000002</v>
      </c>
      <c r="P1627" s="184">
        <v>185.04000000000002</v>
      </c>
      <c r="Q1627" s="185">
        <v>0.0</v>
      </c>
      <c r="R1627" s="186">
        <v>925.2</v>
      </c>
      <c r="S1627" s="186">
        <v>0.0</v>
      </c>
      <c r="T1627" s="186">
        <v>950.2</v>
      </c>
      <c r="U1627" s="187" t="s">
        <v>97</v>
      </c>
      <c r="V1627" s="176">
        <v>46217.0</v>
      </c>
      <c r="W1627" s="175"/>
      <c r="X1627" s="175"/>
      <c r="Y1627" s="175"/>
      <c r="Z1627" s="175"/>
      <c r="AA1627" s="175"/>
      <c r="AB1627" s="175"/>
      <c r="AC1627" s="175"/>
      <c r="AD1627" s="175"/>
      <c r="AE1627" s="175"/>
      <c r="AF1627" s="175"/>
      <c r="AG1627" s="175"/>
      <c r="AH1627" s="175"/>
      <c r="AI1627" s="175"/>
    </row>
    <row r="1628">
      <c r="A1628" s="176">
        <v>46217.0</v>
      </c>
      <c r="B1628" s="177">
        <v>8854378.0</v>
      </c>
      <c r="C1628" s="178" t="s">
        <v>82</v>
      </c>
      <c r="D1628" s="178" t="s">
        <v>35</v>
      </c>
      <c r="E1628" s="177">
        <v>6.402949407E9</v>
      </c>
      <c r="F1628" s="178" t="s">
        <v>3031</v>
      </c>
      <c r="G1628" s="176">
        <v>46275.0</v>
      </c>
      <c r="H1628" s="179">
        <v>46278.0</v>
      </c>
      <c r="I1628" s="180">
        <v>3.0</v>
      </c>
      <c r="J1628" s="181" t="s">
        <v>111</v>
      </c>
      <c r="K1628" s="178" t="s">
        <v>79</v>
      </c>
      <c r="L1628" s="178" t="s">
        <v>80</v>
      </c>
      <c r="M1628" s="182">
        <v>2.0</v>
      </c>
      <c r="N1628" s="183">
        <v>0.19999999999999996</v>
      </c>
      <c r="O1628" s="184">
        <v>183.41</v>
      </c>
      <c r="P1628" s="184">
        <v>146.728</v>
      </c>
      <c r="Q1628" s="185">
        <v>0.0</v>
      </c>
      <c r="R1628" s="186">
        <v>440.184</v>
      </c>
      <c r="S1628" s="186">
        <v>0.0</v>
      </c>
      <c r="T1628" s="186">
        <v>565.23</v>
      </c>
      <c r="U1628" s="187" t="s">
        <v>107</v>
      </c>
      <c r="V1628" s="176">
        <v>46217.0</v>
      </c>
      <c r="W1628" s="175"/>
      <c r="X1628" s="175"/>
      <c r="Y1628" s="175"/>
      <c r="Z1628" s="175"/>
      <c r="AA1628" s="175"/>
      <c r="AB1628" s="175"/>
      <c r="AC1628" s="175"/>
      <c r="AD1628" s="175"/>
      <c r="AE1628" s="175"/>
      <c r="AF1628" s="175"/>
      <c r="AG1628" s="175"/>
      <c r="AH1628" s="175"/>
      <c r="AI1628" s="175"/>
    </row>
    <row r="1629">
      <c r="A1629" s="176">
        <v>46217.0</v>
      </c>
      <c r="B1629" s="177">
        <v>8857845.0</v>
      </c>
      <c r="C1629" s="178" t="s">
        <v>82</v>
      </c>
      <c r="D1629" s="178" t="s">
        <v>35</v>
      </c>
      <c r="E1629" s="177">
        <v>6.304143457E9</v>
      </c>
      <c r="F1629" s="178" t="s">
        <v>3032</v>
      </c>
      <c r="G1629" s="176">
        <v>46251.0</v>
      </c>
      <c r="H1629" s="179">
        <v>46254.0</v>
      </c>
      <c r="I1629" s="180">
        <v>3.0</v>
      </c>
      <c r="J1629" s="181" t="s">
        <v>78</v>
      </c>
      <c r="K1629" s="178" t="s">
        <v>79</v>
      </c>
      <c r="L1629" s="178" t="s">
        <v>80</v>
      </c>
      <c r="M1629" s="182">
        <v>2.0</v>
      </c>
      <c r="N1629" s="183">
        <v>0.19999999999999996</v>
      </c>
      <c r="O1629" s="184">
        <v>67.17</v>
      </c>
      <c r="P1629" s="184">
        <v>53.736000000000004</v>
      </c>
      <c r="Q1629" s="185">
        <v>0.0</v>
      </c>
      <c r="R1629" s="186">
        <v>161.20800000000003</v>
      </c>
      <c r="S1629" s="186">
        <v>0.0</v>
      </c>
      <c r="T1629" s="186">
        <v>216.51</v>
      </c>
      <c r="U1629" s="187" t="s">
        <v>107</v>
      </c>
      <c r="V1629" s="176">
        <v>46217.0</v>
      </c>
      <c r="W1629" s="188"/>
      <c r="X1629" s="188"/>
      <c r="Y1629" s="188"/>
      <c r="Z1629" s="188"/>
      <c r="AA1629" s="188"/>
      <c r="AB1629" s="188"/>
      <c r="AC1629" s="188"/>
      <c r="AD1629" s="188"/>
      <c r="AE1629" s="188"/>
      <c r="AF1629" s="188"/>
      <c r="AG1629" s="188"/>
      <c r="AH1629" s="188"/>
      <c r="AI1629" s="188"/>
    </row>
    <row r="1630">
      <c r="A1630" s="176">
        <v>46218.0</v>
      </c>
      <c r="B1630" s="177">
        <v>8858715.0</v>
      </c>
      <c r="C1630" s="178" t="s">
        <v>82</v>
      </c>
      <c r="D1630" s="178" t="s">
        <v>35</v>
      </c>
      <c r="E1630" s="177">
        <v>6.524361123E9</v>
      </c>
      <c r="F1630" s="178" t="s">
        <v>3033</v>
      </c>
      <c r="G1630" s="176">
        <v>46253.0</v>
      </c>
      <c r="H1630" s="179">
        <v>46255.0</v>
      </c>
      <c r="I1630" s="180">
        <v>2.0</v>
      </c>
      <c r="J1630" s="181" t="s">
        <v>114</v>
      </c>
      <c r="K1630" s="178" t="s">
        <v>79</v>
      </c>
      <c r="L1630" s="178" t="s">
        <v>80</v>
      </c>
      <c r="M1630" s="182">
        <v>2.0</v>
      </c>
      <c r="N1630" s="183">
        <v>0.19999999999999996</v>
      </c>
      <c r="O1630" s="184">
        <v>98.74</v>
      </c>
      <c r="P1630" s="184">
        <v>78.992</v>
      </c>
      <c r="Q1630" s="185">
        <v>0.0</v>
      </c>
      <c r="R1630" s="186">
        <v>157.984</v>
      </c>
      <c r="S1630" s="186">
        <v>0.0</v>
      </c>
      <c r="T1630" s="186">
        <v>207.48</v>
      </c>
      <c r="U1630" s="187" t="s">
        <v>107</v>
      </c>
      <c r="V1630" s="176">
        <v>46218.0</v>
      </c>
      <c r="W1630" s="164"/>
      <c r="X1630" s="164"/>
      <c r="Y1630" s="164"/>
      <c r="Z1630" s="164"/>
      <c r="AA1630" s="164"/>
      <c r="AB1630" s="164"/>
      <c r="AC1630" s="164"/>
      <c r="AD1630" s="164"/>
      <c r="AE1630" s="164"/>
      <c r="AF1630" s="164"/>
      <c r="AG1630" s="164"/>
      <c r="AH1630" s="164"/>
      <c r="AI1630" s="164"/>
    </row>
    <row r="1631">
      <c r="A1631" s="176">
        <v>46218.0</v>
      </c>
      <c r="B1631" s="177">
        <v>8860906.0</v>
      </c>
      <c r="C1631" s="178" t="s">
        <v>82</v>
      </c>
      <c r="D1631" s="178" t="s">
        <v>35</v>
      </c>
      <c r="E1631" s="177">
        <v>5.710249133E9</v>
      </c>
      <c r="F1631" s="178" t="s">
        <v>3034</v>
      </c>
      <c r="G1631" s="176">
        <v>46283.0</v>
      </c>
      <c r="H1631" s="179">
        <v>46285.0</v>
      </c>
      <c r="I1631" s="180">
        <v>2.0</v>
      </c>
      <c r="J1631" s="181" t="s">
        <v>111</v>
      </c>
      <c r="K1631" s="178" t="s">
        <v>79</v>
      </c>
      <c r="L1631" s="178" t="s">
        <v>80</v>
      </c>
      <c r="M1631" s="182">
        <v>2.0</v>
      </c>
      <c r="N1631" s="183">
        <v>0.19999999999999996</v>
      </c>
      <c r="O1631" s="184">
        <v>208.82</v>
      </c>
      <c r="P1631" s="184">
        <v>167.056</v>
      </c>
      <c r="Q1631" s="185">
        <v>0.0</v>
      </c>
      <c r="R1631" s="186">
        <v>334.112</v>
      </c>
      <c r="S1631" s="186">
        <v>0.0</v>
      </c>
      <c r="T1631" s="186">
        <v>427.64</v>
      </c>
      <c r="U1631" s="187" t="s">
        <v>1367</v>
      </c>
      <c r="V1631" s="176">
        <v>46218.0</v>
      </c>
      <c r="W1631" s="188"/>
      <c r="X1631" s="188"/>
      <c r="Y1631" s="188"/>
      <c r="Z1631" s="188"/>
      <c r="AA1631" s="188"/>
      <c r="AB1631" s="188"/>
      <c r="AC1631" s="188"/>
      <c r="AD1631" s="188"/>
      <c r="AE1631" s="188"/>
      <c r="AF1631" s="188"/>
      <c r="AG1631" s="188"/>
      <c r="AH1631" s="188"/>
      <c r="AI1631" s="188"/>
    </row>
    <row r="1632">
      <c r="A1632" s="176">
        <v>46218.0</v>
      </c>
      <c r="B1632" s="177">
        <v>8861721.0</v>
      </c>
      <c r="C1632" s="178" t="s">
        <v>82</v>
      </c>
      <c r="D1632" s="178" t="s">
        <v>35</v>
      </c>
      <c r="E1632" s="177">
        <v>6.400636262E9</v>
      </c>
      <c r="F1632" s="178" t="s">
        <v>3035</v>
      </c>
      <c r="G1632" s="176">
        <v>46237.0</v>
      </c>
      <c r="H1632" s="179">
        <v>46241.0</v>
      </c>
      <c r="I1632" s="180">
        <v>4.0</v>
      </c>
      <c r="J1632" s="181" t="s">
        <v>114</v>
      </c>
      <c r="K1632" s="178" t="s">
        <v>79</v>
      </c>
      <c r="L1632" s="178" t="s">
        <v>80</v>
      </c>
      <c r="M1632" s="182">
        <v>2.0</v>
      </c>
      <c r="N1632" s="183">
        <v>0.19999999999999996</v>
      </c>
      <c r="O1632" s="184">
        <v>102.64</v>
      </c>
      <c r="P1632" s="184">
        <v>82.11200000000001</v>
      </c>
      <c r="Q1632" s="185">
        <v>0.0</v>
      </c>
      <c r="R1632" s="186">
        <v>328.44800000000004</v>
      </c>
      <c r="S1632" s="186">
        <v>0.0</v>
      </c>
      <c r="T1632" s="186">
        <v>430.56</v>
      </c>
      <c r="U1632" s="187" t="s">
        <v>143</v>
      </c>
      <c r="V1632" s="176">
        <v>46218.0</v>
      </c>
      <c r="W1632" s="175"/>
      <c r="X1632" s="175"/>
      <c r="Y1632" s="175"/>
      <c r="Z1632" s="175"/>
      <c r="AA1632" s="175"/>
      <c r="AB1632" s="175"/>
      <c r="AC1632" s="175"/>
      <c r="AD1632" s="175"/>
      <c r="AE1632" s="175"/>
      <c r="AF1632" s="175"/>
      <c r="AG1632" s="175"/>
      <c r="AH1632" s="175"/>
      <c r="AI1632" s="175"/>
    </row>
    <row r="1633">
      <c r="A1633" s="176">
        <v>46218.0</v>
      </c>
      <c r="B1633" s="177">
        <v>8863154.0</v>
      </c>
      <c r="C1633" s="178" t="s">
        <v>82</v>
      </c>
      <c r="D1633" s="178" t="s">
        <v>36</v>
      </c>
      <c r="E1633" s="177">
        <v>8863154.0</v>
      </c>
      <c r="F1633" s="178" t="s">
        <v>3037</v>
      </c>
      <c r="G1633" s="176">
        <v>46229.0</v>
      </c>
      <c r="H1633" s="179">
        <v>46232.0</v>
      </c>
      <c r="I1633" s="180">
        <v>3.0</v>
      </c>
      <c r="J1633" s="181" t="s">
        <v>91</v>
      </c>
      <c r="K1633" s="178" t="s">
        <v>79</v>
      </c>
      <c r="L1633" s="178" t="s">
        <v>96</v>
      </c>
      <c r="M1633" s="182">
        <v>3.0</v>
      </c>
      <c r="N1633" s="183">
        <v>0.0</v>
      </c>
      <c r="O1633" s="184">
        <v>294.25666666666666</v>
      </c>
      <c r="P1633" s="184">
        <v>291.3141</v>
      </c>
      <c r="Q1633" s="185">
        <v>0.0</v>
      </c>
      <c r="R1633" s="186">
        <v>873.9422999999999</v>
      </c>
      <c r="S1633" s="186">
        <v>0.0</v>
      </c>
      <c r="T1633" s="186">
        <v>1346.73</v>
      </c>
      <c r="U1633" s="187" t="s">
        <v>97</v>
      </c>
      <c r="V1633" s="176">
        <v>46218.0</v>
      </c>
      <c r="W1633" s="175"/>
      <c r="X1633" s="175"/>
      <c r="Y1633" s="175"/>
      <c r="Z1633" s="175"/>
      <c r="AA1633" s="175"/>
      <c r="AB1633" s="175"/>
      <c r="AC1633" s="175"/>
      <c r="AD1633" s="175"/>
      <c r="AE1633" s="175"/>
      <c r="AF1633" s="175"/>
      <c r="AG1633" s="175"/>
      <c r="AH1633" s="175"/>
      <c r="AI1633" s="175"/>
    </row>
    <row r="1634">
      <c r="A1634" s="176">
        <v>46218.0</v>
      </c>
      <c r="B1634" s="177">
        <v>8863154.0</v>
      </c>
      <c r="C1634" s="178" t="s">
        <v>82</v>
      </c>
      <c r="D1634" s="178" t="s">
        <v>36</v>
      </c>
      <c r="E1634" s="177">
        <v>8863154.0</v>
      </c>
      <c r="F1634" s="178" t="s">
        <v>3037</v>
      </c>
      <c r="G1634" s="176">
        <v>46229.0</v>
      </c>
      <c r="H1634" s="179">
        <v>46232.0</v>
      </c>
      <c r="I1634" s="180">
        <v>3.0</v>
      </c>
      <c r="J1634" s="181" t="s">
        <v>111</v>
      </c>
      <c r="K1634" s="178" t="s">
        <v>79</v>
      </c>
      <c r="L1634" s="178" t="s">
        <v>96</v>
      </c>
      <c r="M1634" s="182">
        <v>2.0</v>
      </c>
      <c r="N1634" s="183">
        <v>0.0</v>
      </c>
      <c r="O1634" s="184">
        <v>142.15666666666667</v>
      </c>
      <c r="P1634" s="184">
        <v>140.7351</v>
      </c>
      <c r="Q1634" s="185">
        <v>0.0</v>
      </c>
      <c r="R1634" s="186">
        <v>422.20529999999997</v>
      </c>
      <c r="S1634" s="186">
        <v>0.0</v>
      </c>
      <c r="T1634" s="186">
        <v>1346.73</v>
      </c>
      <c r="U1634" s="187" t="s">
        <v>97</v>
      </c>
      <c r="V1634" s="176">
        <v>46218.0</v>
      </c>
      <c r="W1634" s="188"/>
      <c r="X1634" s="188"/>
      <c r="Y1634" s="188"/>
      <c r="Z1634" s="188"/>
      <c r="AA1634" s="188"/>
      <c r="AB1634" s="188"/>
      <c r="AC1634" s="188"/>
      <c r="AD1634" s="188"/>
      <c r="AE1634" s="188"/>
      <c r="AF1634" s="188"/>
      <c r="AG1634" s="188"/>
      <c r="AH1634" s="188"/>
      <c r="AI1634" s="188"/>
    </row>
    <row r="1635">
      <c r="A1635" s="176">
        <v>46218.0</v>
      </c>
      <c r="B1635" s="177">
        <v>8863268.0</v>
      </c>
      <c r="C1635" s="178" t="s">
        <v>82</v>
      </c>
      <c r="D1635" s="178" t="s">
        <v>36</v>
      </c>
      <c r="E1635" s="177">
        <v>8863268.0</v>
      </c>
      <c r="F1635" s="178" t="s">
        <v>2719</v>
      </c>
      <c r="G1635" s="176">
        <v>46221.0</v>
      </c>
      <c r="H1635" s="179">
        <v>46222.0</v>
      </c>
      <c r="I1635" s="180">
        <v>1.0</v>
      </c>
      <c r="J1635" s="181" t="s">
        <v>91</v>
      </c>
      <c r="K1635" s="178" t="s">
        <v>79</v>
      </c>
      <c r="L1635" s="178" t="s">
        <v>96</v>
      </c>
      <c r="M1635" s="182">
        <v>2.0</v>
      </c>
      <c r="N1635" s="183">
        <v>0.0</v>
      </c>
      <c r="O1635" s="184">
        <v>362.16</v>
      </c>
      <c r="P1635" s="184">
        <v>358.5384</v>
      </c>
      <c r="Q1635" s="185">
        <v>0.0</v>
      </c>
      <c r="R1635" s="186">
        <v>358.5384</v>
      </c>
      <c r="S1635" s="186">
        <v>0.0</v>
      </c>
      <c r="T1635" s="186">
        <v>367.16</v>
      </c>
      <c r="U1635" s="187" t="s">
        <v>97</v>
      </c>
      <c r="V1635" s="176">
        <v>46218.0</v>
      </c>
      <c r="W1635" s="175"/>
      <c r="X1635" s="175"/>
      <c r="Y1635" s="175"/>
      <c r="Z1635" s="175"/>
      <c r="AA1635" s="175"/>
      <c r="AB1635" s="175"/>
      <c r="AC1635" s="175"/>
      <c r="AD1635" s="175"/>
      <c r="AE1635" s="175"/>
      <c r="AF1635" s="175"/>
      <c r="AG1635" s="175"/>
      <c r="AH1635" s="175"/>
      <c r="AI1635" s="175"/>
    </row>
    <row r="1636">
      <c r="A1636" s="176">
        <v>46218.0</v>
      </c>
      <c r="B1636" s="177">
        <v>8863476.0</v>
      </c>
      <c r="C1636" s="178" t="s">
        <v>82</v>
      </c>
      <c r="D1636" s="178" t="s">
        <v>35</v>
      </c>
      <c r="E1636" s="177">
        <v>5.502248668E9</v>
      </c>
      <c r="F1636" s="178" t="s">
        <v>3040</v>
      </c>
      <c r="G1636" s="176">
        <v>46239.0</v>
      </c>
      <c r="H1636" s="179">
        <v>46241.0</v>
      </c>
      <c r="I1636" s="180">
        <v>2.0</v>
      </c>
      <c r="J1636" s="181" t="s">
        <v>87</v>
      </c>
      <c r="K1636" s="178" t="s">
        <v>79</v>
      </c>
      <c r="L1636" s="178" t="s">
        <v>80</v>
      </c>
      <c r="M1636" s="182">
        <v>2.0</v>
      </c>
      <c r="N1636" s="183">
        <v>0.19999999999999996</v>
      </c>
      <c r="O1636" s="184">
        <v>74.7</v>
      </c>
      <c r="P1636" s="184">
        <v>59.760000000000005</v>
      </c>
      <c r="Q1636" s="185">
        <v>0.0</v>
      </c>
      <c r="R1636" s="186">
        <v>119.52000000000001</v>
      </c>
      <c r="S1636" s="186">
        <v>0.0</v>
      </c>
      <c r="T1636" s="186">
        <v>159.4</v>
      </c>
      <c r="U1636" s="187" t="s">
        <v>143</v>
      </c>
      <c r="V1636" s="176">
        <v>46218.0</v>
      </c>
      <c r="W1636" s="175"/>
      <c r="X1636" s="175"/>
      <c r="Y1636" s="175"/>
      <c r="Z1636" s="175"/>
      <c r="AA1636" s="175"/>
      <c r="AB1636" s="175"/>
      <c r="AC1636" s="175"/>
      <c r="AD1636" s="175"/>
      <c r="AE1636" s="175"/>
      <c r="AF1636" s="175"/>
      <c r="AG1636" s="175"/>
      <c r="AH1636" s="175"/>
      <c r="AI1636" s="175"/>
    </row>
    <row r="1637">
      <c r="A1637" s="176">
        <v>46218.0</v>
      </c>
      <c r="B1637" s="177">
        <v>8864084.0</v>
      </c>
      <c r="C1637" s="178" t="s">
        <v>89</v>
      </c>
      <c r="D1637" s="178" t="s">
        <v>35</v>
      </c>
      <c r="E1637" s="177">
        <v>5.416587805E9</v>
      </c>
      <c r="F1637" s="178" t="s">
        <v>3024</v>
      </c>
      <c r="G1637" s="176">
        <v>46251.0</v>
      </c>
      <c r="H1637" s="179">
        <v>46256.0</v>
      </c>
      <c r="I1637" s="180">
        <v>5.0</v>
      </c>
      <c r="J1637" s="181" t="s">
        <v>111</v>
      </c>
      <c r="K1637" s="178" t="s">
        <v>79</v>
      </c>
      <c r="L1637" s="178" t="s">
        <v>80</v>
      </c>
      <c r="M1637" s="182">
        <v>0.0</v>
      </c>
      <c r="N1637" s="183">
        <v>0.0</v>
      </c>
      <c r="O1637" s="184">
        <v>0.0</v>
      </c>
      <c r="P1637" s="184">
        <v>0.0</v>
      </c>
      <c r="Q1637" s="185">
        <v>0.0</v>
      </c>
      <c r="R1637" s="186">
        <v>0.0</v>
      </c>
      <c r="S1637" s="186">
        <v>0.0</v>
      </c>
      <c r="T1637" s="186">
        <v>0.0</v>
      </c>
      <c r="U1637" s="187" t="s">
        <v>3042</v>
      </c>
      <c r="V1637" s="176">
        <v>46224.0</v>
      </c>
      <c r="W1637" s="188"/>
      <c r="X1637" s="188"/>
      <c r="Y1637" s="188"/>
      <c r="Z1637" s="188"/>
      <c r="AA1637" s="188"/>
      <c r="AB1637" s="188"/>
      <c r="AC1637" s="188"/>
      <c r="AD1637" s="188"/>
      <c r="AE1637" s="188"/>
      <c r="AF1637" s="188"/>
      <c r="AG1637" s="188"/>
      <c r="AH1637" s="188"/>
      <c r="AI1637" s="188"/>
    </row>
    <row r="1638">
      <c r="A1638" s="176">
        <v>46219.0</v>
      </c>
      <c r="B1638" s="177">
        <v>8864507.0</v>
      </c>
      <c r="C1638" s="178" t="s">
        <v>82</v>
      </c>
      <c r="D1638" s="178" t="s">
        <v>35</v>
      </c>
      <c r="E1638" s="177">
        <v>6.733871884E9</v>
      </c>
      <c r="F1638" s="178" t="s">
        <v>3044</v>
      </c>
      <c r="G1638" s="176">
        <v>46228.0</v>
      </c>
      <c r="H1638" s="179">
        <v>46232.0</v>
      </c>
      <c r="I1638" s="180">
        <v>4.0</v>
      </c>
      <c r="J1638" s="181" t="s">
        <v>78</v>
      </c>
      <c r="K1638" s="178" t="s">
        <v>79</v>
      </c>
      <c r="L1638" s="178" t="s">
        <v>80</v>
      </c>
      <c r="M1638" s="182">
        <v>1.0</v>
      </c>
      <c r="N1638" s="183">
        <v>0.19999999999999996</v>
      </c>
      <c r="O1638" s="184">
        <v>88.74</v>
      </c>
      <c r="P1638" s="184">
        <v>70.992</v>
      </c>
      <c r="Q1638" s="185">
        <v>0.0</v>
      </c>
      <c r="R1638" s="186">
        <v>283.968</v>
      </c>
      <c r="S1638" s="186">
        <v>0.0</v>
      </c>
      <c r="T1638" s="186">
        <v>364.96</v>
      </c>
      <c r="U1638" s="187" t="s">
        <v>1367</v>
      </c>
      <c r="V1638" s="176">
        <v>46219.0</v>
      </c>
      <c r="W1638" s="188"/>
      <c r="X1638" s="188"/>
      <c r="Y1638" s="188"/>
      <c r="Z1638" s="188"/>
      <c r="AA1638" s="188"/>
      <c r="AB1638" s="188"/>
      <c r="AC1638" s="188"/>
      <c r="AD1638" s="188"/>
      <c r="AE1638" s="188"/>
      <c r="AF1638" s="188"/>
      <c r="AG1638" s="188"/>
      <c r="AH1638" s="188"/>
      <c r="AI1638" s="188"/>
    </row>
    <row r="1639">
      <c r="A1639" s="176">
        <v>46219.0</v>
      </c>
      <c r="B1639" s="177">
        <v>8865591.0</v>
      </c>
      <c r="C1639" s="178" t="s">
        <v>82</v>
      </c>
      <c r="D1639" s="178" t="s">
        <v>35</v>
      </c>
      <c r="E1639" s="177">
        <v>6.230646254E9</v>
      </c>
      <c r="F1639" s="178" t="s">
        <v>3045</v>
      </c>
      <c r="G1639" s="176">
        <v>46251.0</v>
      </c>
      <c r="H1639" s="179">
        <v>46253.0</v>
      </c>
      <c r="I1639" s="180">
        <v>2.0</v>
      </c>
      <c r="J1639" s="181" t="s">
        <v>78</v>
      </c>
      <c r="K1639" s="178" t="s">
        <v>79</v>
      </c>
      <c r="L1639" s="178" t="s">
        <v>80</v>
      </c>
      <c r="M1639" s="182">
        <v>2.0</v>
      </c>
      <c r="N1639" s="183">
        <v>0.19999999999999996</v>
      </c>
      <c r="O1639" s="184">
        <v>74.7</v>
      </c>
      <c r="P1639" s="184">
        <v>59.760000000000005</v>
      </c>
      <c r="Q1639" s="185">
        <v>0.0</v>
      </c>
      <c r="R1639" s="186">
        <v>119.52000000000001</v>
      </c>
      <c r="S1639" s="186">
        <v>0.0</v>
      </c>
      <c r="T1639" s="186">
        <v>159.4</v>
      </c>
      <c r="U1639" s="187" t="s">
        <v>143</v>
      </c>
      <c r="V1639" s="176">
        <v>46219.0</v>
      </c>
      <c r="W1639" s="175"/>
      <c r="X1639" s="175"/>
      <c r="Y1639" s="175"/>
      <c r="Z1639" s="175"/>
      <c r="AA1639" s="175"/>
      <c r="AB1639" s="175"/>
      <c r="AC1639" s="175"/>
      <c r="AD1639" s="175"/>
      <c r="AE1639" s="175"/>
      <c r="AF1639" s="175"/>
      <c r="AG1639" s="175"/>
      <c r="AH1639" s="175"/>
      <c r="AI1639" s="175"/>
    </row>
    <row r="1640">
      <c r="A1640" s="176">
        <v>46219.0</v>
      </c>
      <c r="B1640" s="177">
        <v>8865812.0</v>
      </c>
      <c r="C1640" s="178" t="s">
        <v>82</v>
      </c>
      <c r="D1640" s="178" t="s">
        <v>2325</v>
      </c>
      <c r="E1640" s="177" t="s">
        <v>3047</v>
      </c>
      <c r="F1640" s="178" t="s">
        <v>3048</v>
      </c>
      <c r="G1640" s="176">
        <v>46220.0</v>
      </c>
      <c r="H1640" s="179">
        <v>46221.0</v>
      </c>
      <c r="I1640" s="180">
        <v>1.0</v>
      </c>
      <c r="J1640" s="181" t="s">
        <v>3049</v>
      </c>
      <c r="K1640" s="178"/>
      <c r="L1640" s="178"/>
      <c r="M1640" s="182">
        <v>2.0</v>
      </c>
      <c r="N1640" s="183">
        <v>0.0</v>
      </c>
      <c r="O1640" s="184">
        <v>0.0</v>
      </c>
      <c r="P1640" s="184">
        <v>0.0</v>
      </c>
      <c r="Q1640" s="185">
        <v>0.0</v>
      </c>
      <c r="R1640" s="186">
        <v>0.0</v>
      </c>
      <c r="S1640" s="186">
        <v>0.0</v>
      </c>
      <c r="T1640" s="186">
        <v>0.0</v>
      </c>
      <c r="U1640" s="187" t="s">
        <v>2329</v>
      </c>
      <c r="V1640" s="176">
        <v>46219.0</v>
      </c>
      <c r="W1640" s="175"/>
      <c r="X1640" s="175"/>
      <c r="Y1640" s="175"/>
      <c r="Z1640" s="175"/>
      <c r="AA1640" s="175"/>
      <c r="AB1640" s="175"/>
      <c r="AC1640" s="175"/>
      <c r="AD1640" s="175"/>
      <c r="AE1640" s="175"/>
      <c r="AF1640" s="175"/>
      <c r="AG1640" s="175"/>
      <c r="AH1640" s="175"/>
      <c r="AI1640" s="175"/>
    </row>
    <row r="1641">
      <c r="A1641" s="176">
        <v>46219.0</v>
      </c>
      <c r="B1641" s="177">
        <v>8865951.0</v>
      </c>
      <c r="C1641" s="178" t="s">
        <v>82</v>
      </c>
      <c r="D1641" s="178" t="s">
        <v>35</v>
      </c>
      <c r="E1641" s="177">
        <v>6.89289324E9</v>
      </c>
      <c r="F1641" s="178" t="s">
        <v>3051</v>
      </c>
      <c r="G1641" s="176">
        <v>46251.0</v>
      </c>
      <c r="H1641" s="179">
        <v>46252.0</v>
      </c>
      <c r="I1641" s="180">
        <v>1.0</v>
      </c>
      <c r="J1641" s="181" t="s">
        <v>78</v>
      </c>
      <c r="K1641" s="178" t="s">
        <v>79</v>
      </c>
      <c r="L1641" s="178" t="s">
        <v>80</v>
      </c>
      <c r="M1641" s="182">
        <v>2.0</v>
      </c>
      <c r="N1641" s="183">
        <v>0.19999999999999996</v>
      </c>
      <c r="O1641" s="184">
        <v>88.74</v>
      </c>
      <c r="P1641" s="184">
        <v>70.992</v>
      </c>
      <c r="Q1641" s="185">
        <v>0.0</v>
      </c>
      <c r="R1641" s="186">
        <v>70.992</v>
      </c>
      <c r="S1641" s="186">
        <v>0.0</v>
      </c>
      <c r="T1641" s="186">
        <v>93.74</v>
      </c>
      <c r="U1641" s="187" t="s">
        <v>1367</v>
      </c>
      <c r="V1641" s="176">
        <v>46219.0</v>
      </c>
      <c r="W1641" s="164"/>
      <c r="X1641" s="164"/>
      <c r="Y1641" s="164"/>
      <c r="Z1641" s="164"/>
      <c r="AA1641" s="164"/>
      <c r="AB1641" s="164"/>
      <c r="AC1641" s="164"/>
      <c r="AD1641" s="164"/>
      <c r="AE1641" s="164"/>
      <c r="AF1641" s="164"/>
      <c r="AG1641" s="164"/>
      <c r="AH1641" s="164"/>
      <c r="AI1641" s="164"/>
    </row>
    <row r="1642">
      <c r="A1642" s="176">
        <v>46219.0</v>
      </c>
      <c r="B1642" s="177">
        <v>8866387.0</v>
      </c>
      <c r="C1642" s="178" t="s">
        <v>82</v>
      </c>
      <c r="D1642" s="178" t="s">
        <v>2325</v>
      </c>
      <c r="E1642" s="177" t="s">
        <v>3052</v>
      </c>
      <c r="F1642" s="178" t="s">
        <v>3053</v>
      </c>
      <c r="G1642" s="176">
        <v>46219.0</v>
      </c>
      <c r="H1642" s="179">
        <v>46220.0</v>
      </c>
      <c r="I1642" s="180">
        <v>1.0</v>
      </c>
      <c r="J1642" s="181" t="s">
        <v>3049</v>
      </c>
      <c r="K1642" s="178"/>
      <c r="L1642" s="178"/>
      <c r="M1642" s="182">
        <v>2.0</v>
      </c>
      <c r="N1642" s="183">
        <v>0.0</v>
      </c>
      <c r="O1642" s="184">
        <v>0.0</v>
      </c>
      <c r="P1642" s="184">
        <v>0.0</v>
      </c>
      <c r="Q1642" s="185">
        <v>0.0</v>
      </c>
      <c r="R1642" s="186">
        <v>0.0</v>
      </c>
      <c r="S1642" s="186">
        <v>0.0</v>
      </c>
      <c r="T1642" s="186">
        <v>0.0</v>
      </c>
      <c r="U1642" s="187" t="s">
        <v>2329</v>
      </c>
      <c r="V1642" s="176">
        <v>46219.0</v>
      </c>
      <c r="W1642" s="164"/>
      <c r="X1642" s="164"/>
      <c r="Y1642" s="164"/>
      <c r="Z1642" s="164"/>
      <c r="AA1642" s="164"/>
      <c r="AB1642" s="164"/>
      <c r="AC1642" s="164"/>
      <c r="AD1642" s="164"/>
      <c r="AE1642" s="164"/>
      <c r="AF1642" s="164"/>
      <c r="AG1642" s="164"/>
      <c r="AH1642" s="164"/>
      <c r="AI1642" s="164"/>
    </row>
    <row r="1643">
      <c r="A1643" s="176">
        <v>46220.0</v>
      </c>
      <c r="B1643" s="177">
        <v>8870710.0</v>
      </c>
      <c r="C1643" s="178" t="s">
        <v>82</v>
      </c>
      <c r="D1643" s="178" t="s">
        <v>35</v>
      </c>
      <c r="E1643" s="177">
        <v>6.515143192E9</v>
      </c>
      <c r="F1643" s="178" t="s">
        <v>3055</v>
      </c>
      <c r="G1643" s="176">
        <v>46265.0</v>
      </c>
      <c r="H1643" s="179">
        <v>46266.0</v>
      </c>
      <c r="I1643" s="180">
        <v>1.0</v>
      </c>
      <c r="J1643" s="181" t="s">
        <v>78</v>
      </c>
      <c r="K1643" s="178" t="s">
        <v>79</v>
      </c>
      <c r="L1643" s="178" t="s">
        <v>80</v>
      </c>
      <c r="M1643" s="182">
        <v>2.0</v>
      </c>
      <c r="N1643" s="183">
        <v>0.19999999999999996</v>
      </c>
      <c r="O1643" s="184">
        <v>75.79</v>
      </c>
      <c r="P1643" s="184">
        <v>60.632000000000005</v>
      </c>
      <c r="Q1643" s="185">
        <v>0.0</v>
      </c>
      <c r="R1643" s="186">
        <v>60.632000000000005</v>
      </c>
      <c r="S1643" s="186">
        <v>0.0</v>
      </c>
      <c r="T1643" s="186">
        <v>80.79</v>
      </c>
      <c r="U1643" s="187" t="s">
        <v>107</v>
      </c>
      <c r="V1643" s="176">
        <v>46220.0</v>
      </c>
      <c r="W1643" s="164"/>
      <c r="X1643" s="164"/>
      <c r="Y1643" s="164"/>
      <c r="Z1643" s="164"/>
      <c r="AA1643" s="164"/>
      <c r="AB1643" s="164"/>
      <c r="AC1643" s="164"/>
      <c r="AD1643" s="164"/>
      <c r="AE1643" s="164"/>
      <c r="AF1643" s="164"/>
      <c r="AG1643" s="164"/>
      <c r="AH1643" s="164"/>
      <c r="AI1643" s="164"/>
    </row>
    <row r="1644">
      <c r="A1644" s="176">
        <v>46220.0</v>
      </c>
      <c r="B1644" s="177">
        <v>8872070.0</v>
      </c>
      <c r="C1644" s="178" t="s">
        <v>82</v>
      </c>
      <c r="D1644" s="178" t="s">
        <v>35</v>
      </c>
      <c r="E1644" s="177">
        <v>6.527422486E9</v>
      </c>
      <c r="F1644" s="178" t="s">
        <v>3057</v>
      </c>
      <c r="G1644" s="176">
        <v>46235.0</v>
      </c>
      <c r="H1644" s="179">
        <v>46237.0</v>
      </c>
      <c r="I1644" s="180">
        <v>2.0</v>
      </c>
      <c r="J1644" s="181" t="s">
        <v>78</v>
      </c>
      <c r="K1644" s="178" t="s">
        <v>79</v>
      </c>
      <c r="L1644" s="178" t="s">
        <v>80</v>
      </c>
      <c r="M1644" s="182">
        <v>2.0</v>
      </c>
      <c r="N1644" s="183">
        <v>0.19999999999999996</v>
      </c>
      <c r="O1644" s="184">
        <v>94.59</v>
      </c>
      <c r="P1644" s="184">
        <v>75.67200000000001</v>
      </c>
      <c r="Q1644" s="185">
        <v>0.0</v>
      </c>
      <c r="R1644" s="186">
        <v>151.34400000000002</v>
      </c>
      <c r="S1644" s="186">
        <v>0.0</v>
      </c>
      <c r="T1644" s="186">
        <v>199.18</v>
      </c>
      <c r="U1644" s="187" t="s">
        <v>143</v>
      </c>
      <c r="V1644" s="176">
        <v>46220.0</v>
      </c>
      <c r="W1644" s="188"/>
      <c r="X1644" s="188"/>
      <c r="Y1644" s="188"/>
      <c r="Z1644" s="188"/>
      <c r="AA1644" s="188"/>
      <c r="AB1644" s="188"/>
      <c r="AC1644" s="188"/>
      <c r="AD1644" s="188"/>
      <c r="AE1644" s="188"/>
      <c r="AF1644" s="188"/>
      <c r="AG1644" s="188"/>
      <c r="AH1644" s="188"/>
      <c r="AI1644" s="188"/>
    </row>
    <row r="1645">
      <c r="A1645" s="176">
        <v>46220.0</v>
      </c>
      <c r="B1645" s="177">
        <v>8872359.0</v>
      </c>
      <c r="C1645" s="178" t="s">
        <v>82</v>
      </c>
      <c r="D1645" s="178" t="s">
        <v>35</v>
      </c>
      <c r="E1645" s="177">
        <v>6.491606069E9</v>
      </c>
      <c r="F1645" s="178" t="s">
        <v>3058</v>
      </c>
      <c r="G1645" s="176">
        <v>46392.54166666667</v>
      </c>
      <c r="H1645" s="179">
        <v>46398.54166666667</v>
      </c>
      <c r="I1645" s="180">
        <v>6.0</v>
      </c>
      <c r="J1645" s="181" t="s">
        <v>78</v>
      </c>
      <c r="K1645" s="178" t="s">
        <v>79</v>
      </c>
      <c r="L1645" s="178" t="s">
        <v>80</v>
      </c>
      <c r="M1645" s="182">
        <v>2.0</v>
      </c>
      <c r="N1645" s="183">
        <v>0.19999999999999996</v>
      </c>
      <c r="O1645" s="184">
        <v>219.59</v>
      </c>
      <c r="P1645" s="184">
        <v>175.67200000000003</v>
      </c>
      <c r="Q1645" s="185">
        <v>0.0</v>
      </c>
      <c r="R1645" s="186">
        <v>1054.0320000000002</v>
      </c>
      <c r="S1645" s="186">
        <v>0.0</v>
      </c>
      <c r="T1645" s="186">
        <v>1347.54</v>
      </c>
      <c r="U1645" s="187" t="s">
        <v>353</v>
      </c>
      <c r="V1645" s="176">
        <v>46220.0</v>
      </c>
      <c r="W1645" s="175"/>
      <c r="X1645" s="175"/>
      <c r="Y1645" s="175"/>
      <c r="Z1645" s="175"/>
      <c r="AA1645" s="175"/>
      <c r="AB1645" s="175"/>
      <c r="AC1645" s="175"/>
      <c r="AD1645" s="175"/>
      <c r="AE1645" s="175"/>
      <c r="AF1645" s="175"/>
      <c r="AG1645" s="175"/>
      <c r="AH1645" s="175"/>
      <c r="AI1645" s="175"/>
    </row>
    <row r="1646">
      <c r="A1646" s="176">
        <v>46220.0</v>
      </c>
      <c r="B1646" s="177">
        <v>8872596.0</v>
      </c>
      <c r="C1646" s="178" t="s">
        <v>82</v>
      </c>
      <c r="D1646" s="178" t="s">
        <v>2325</v>
      </c>
      <c r="E1646" s="177" t="s">
        <v>3060</v>
      </c>
      <c r="F1646" s="178" t="s">
        <v>3061</v>
      </c>
      <c r="G1646" s="176">
        <v>46220.0</v>
      </c>
      <c r="H1646" s="179">
        <v>46221.0</v>
      </c>
      <c r="I1646" s="180">
        <v>1.0</v>
      </c>
      <c r="J1646" s="181" t="s">
        <v>78</v>
      </c>
      <c r="K1646" s="178"/>
      <c r="L1646" s="178"/>
      <c r="M1646" s="182">
        <v>2.0</v>
      </c>
      <c r="N1646" s="183">
        <v>0.0</v>
      </c>
      <c r="O1646" s="184">
        <v>0.0</v>
      </c>
      <c r="P1646" s="184">
        <v>0.0</v>
      </c>
      <c r="Q1646" s="185">
        <v>0.0</v>
      </c>
      <c r="R1646" s="186">
        <v>0.0</v>
      </c>
      <c r="S1646" s="186">
        <v>0.0</v>
      </c>
      <c r="T1646" s="186">
        <v>0.0</v>
      </c>
      <c r="U1646" s="187" t="s">
        <v>2329</v>
      </c>
      <c r="V1646" s="176">
        <v>46220.0</v>
      </c>
      <c r="W1646" s="175"/>
      <c r="X1646" s="175"/>
      <c r="Y1646" s="175"/>
      <c r="Z1646" s="175"/>
      <c r="AA1646" s="175"/>
      <c r="AB1646" s="175"/>
      <c r="AC1646" s="175"/>
      <c r="AD1646" s="175"/>
      <c r="AE1646" s="175"/>
      <c r="AF1646" s="175"/>
      <c r="AG1646" s="175"/>
      <c r="AH1646" s="175"/>
      <c r="AI1646" s="175"/>
    </row>
    <row r="1647">
      <c r="A1647" s="176">
        <v>46220.0</v>
      </c>
      <c r="B1647" s="177">
        <v>8874706.0</v>
      </c>
      <c r="C1647" s="178" t="s">
        <v>82</v>
      </c>
      <c r="D1647" s="178" t="s">
        <v>109</v>
      </c>
      <c r="E1647" s="177">
        <v>6.80052775E8</v>
      </c>
      <c r="F1647" s="178" t="s">
        <v>3063</v>
      </c>
      <c r="G1647" s="176">
        <v>46222.0</v>
      </c>
      <c r="H1647" s="179">
        <v>46223.0</v>
      </c>
      <c r="I1647" s="180">
        <v>1.0</v>
      </c>
      <c r="J1647" s="181" t="s">
        <v>78</v>
      </c>
      <c r="K1647" s="178" t="s">
        <v>79</v>
      </c>
      <c r="L1647" s="178" t="s">
        <v>96</v>
      </c>
      <c r="M1647" s="182">
        <v>2.0</v>
      </c>
      <c r="N1647" s="183">
        <v>0.19999999999999996</v>
      </c>
      <c r="O1647" s="184">
        <v>110.93</v>
      </c>
      <c r="P1647" s="184">
        <v>88.74400000000001</v>
      </c>
      <c r="Q1647" s="185">
        <v>0.0</v>
      </c>
      <c r="R1647" s="186">
        <v>88.74400000000001</v>
      </c>
      <c r="S1647" s="186">
        <v>0.0</v>
      </c>
      <c r="T1647" s="186">
        <v>110.93</v>
      </c>
      <c r="U1647" s="187" t="s">
        <v>1464</v>
      </c>
      <c r="V1647" s="176">
        <v>46220.0</v>
      </c>
      <c r="W1647" s="175"/>
      <c r="X1647" s="175"/>
      <c r="Y1647" s="175"/>
      <c r="Z1647" s="175"/>
      <c r="AA1647" s="175"/>
      <c r="AB1647" s="175"/>
      <c r="AC1647" s="175"/>
      <c r="AD1647" s="175"/>
      <c r="AE1647" s="175"/>
      <c r="AF1647" s="175"/>
      <c r="AG1647" s="175"/>
      <c r="AH1647" s="175"/>
      <c r="AI1647" s="175"/>
    </row>
    <row r="1648">
      <c r="A1648" s="176">
        <v>46221.0</v>
      </c>
      <c r="B1648" s="177">
        <v>8876044.0</v>
      </c>
      <c r="C1648" s="178" t="s">
        <v>89</v>
      </c>
      <c r="D1648" s="178" t="s">
        <v>35</v>
      </c>
      <c r="E1648" s="177">
        <v>5.347796612E9</v>
      </c>
      <c r="F1648" s="178" t="s">
        <v>3064</v>
      </c>
      <c r="G1648" s="176">
        <v>46251.0</v>
      </c>
      <c r="H1648" s="179">
        <v>46255.0</v>
      </c>
      <c r="I1648" s="180">
        <v>4.0</v>
      </c>
      <c r="J1648" s="181" t="s">
        <v>78</v>
      </c>
      <c r="K1648" s="178" t="s">
        <v>138</v>
      </c>
      <c r="L1648" s="178" t="s">
        <v>80</v>
      </c>
      <c r="M1648" s="182">
        <v>0.0</v>
      </c>
      <c r="N1648" s="183">
        <v>0.0</v>
      </c>
      <c r="O1648" s="184">
        <v>0.0</v>
      </c>
      <c r="P1648" s="184">
        <v>0.0</v>
      </c>
      <c r="Q1648" s="185">
        <v>0.0</v>
      </c>
      <c r="R1648" s="186">
        <v>0.0</v>
      </c>
      <c r="S1648" s="186">
        <v>0.0</v>
      </c>
      <c r="T1648" s="186">
        <v>0.0</v>
      </c>
      <c r="U1648" s="187" t="s">
        <v>3066</v>
      </c>
      <c r="V1648" s="176">
        <v>46231.0</v>
      </c>
      <c r="W1648" s="175"/>
      <c r="X1648" s="175"/>
      <c r="Y1648" s="175"/>
      <c r="Z1648" s="175"/>
      <c r="AA1648" s="175"/>
      <c r="AB1648" s="175"/>
      <c r="AC1648" s="175"/>
      <c r="AD1648" s="175"/>
      <c r="AE1648" s="175"/>
      <c r="AF1648" s="175"/>
      <c r="AG1648" s="175"/>
      <c r="AH1648" s="175"/>
      <c r="AI1648" s="175"/>
    </row>
    <row r="1649">
      <c r="A1649" s="176">
        <v>46221.0</v>
      </c>
      <c r="B1649" s="177">
        <v>8876451.0</v>
      </c>
      <c r="C1649" s="178" t="s">
        <v>82</v>
      </c>
      <c r="D1649" s="178" t="s">
        <v>94</v>
      </c>
      <c r="E1649" s="177">
        <v>8876451.0</v>
      </c>
      <c r="F1649" s="178" t="s">
        <v>3067</v>
      </c>
      <c r="G1649" s="176">
        <v>46232.0</v>
      </c>
      <c r="H1649" s="179">
        <v>46235.0</v>
      </c>
      <c r="I1649" s="180">
        <v>3.0</v>
      </c>
      <c r="J1649" s="181" t="s">
        <v>91</v>
      </c>
      <c r="K1649" s="178" t="s">
        <v>79</v>
      </c>
      <c r="L1649" s="178" t="s">
        <v>96</v>
      </c>
      <c r="M1649" s="182">
        <v>2.0</v>
      </c>
      <c r="N1649" s="183">
        <v>0.0</v>
      </c>
      <c r="O1649" s="184">
        <v>362.16</v>
      </c>
      <c r="P1649" s="184">
        <v>362.16</v>
      </c>
      <c r="Q1649" s="185">
        <v>0.0</v>
      </c>
      <c r="R1649" s="186">
        <v>1086.48</v>
      </c>
      <c r="S1649" s="186">
        <v>0.0</v>
      </c>
      <c r="T1649" s="186">
        <v>1101.48</v>
      </c>
      <c r="U1649" s="187" t="s">
        <v>97</v>
      </c>
      <c r="V1649" s="176">
        <v>46221.0</v>
      </c>
      <c r="W1649" s="175"/>
      <c r="X1649" s="175"/>
      <c r="Y1649" s="175"/>
      <c r="Z1649" s="175"/>
      <c r="AA1649" s="175"/>
      <c r="AB1649" s="175"/>
      <c r="AC1649" s="175"/>
      <c r="AD1649" s="175"/>
      <c r="AE1649" s="175"/>
      <c r="AF1649" s="175"/>
      <c r="AG1649" s="175"/>
      <c r="AH1649" s="175"/>
      <c r="AI1649" s="175"/>
    </row>
    <row r="1650">
      <c r="A1650" s="176">
        <v>46221.0</v>
      </c>
      <c r="B1650" s="177">
        <v>8877127.0</v>
      </c>
      <c r="C1650" s="178" t="s">
        <v>82</v>
      </c>
      <c r="D1650" s="178" t="s">
        <v>35</v>
      </c>
      <c r="E1650" s="177">
        <v>6.917080203E9</v>
      </c>
      <c r="F1650" s="178" t="s">
        <v>3069</v>
      </c>
      <c r="G1650" s="176">
        <v>46245.0</v>
      </c>
      <c r="H1650" s="179">
        <v>46246.0</v>
      </c>
      <c r="I1650" s="180">
        <v>1.0</v>
      </c>
      <c r="J1650" s="181" t="s">
        <v>78</v>
      </c>
      <c r="K1650" s="178" t="s">
        <v>79</v>
      </c>
      <c r="L1650" s="178" t="s">
        <v>80</v>
      </c>
      <c r="M1650" s="182">
        <v>2.0</v>
      </c>
      <c r="N1650" s="183">
        <v>0.19999999999999996</v>
      </c>
      <c r="O1650" s="184">
        <v>94.59</v>
      </c>
      <c r="P1650" s="184">
        <v>75.67200000000001</v>
      </c>
      <c r="Q1650" s="185">
        <v>0.0</v>
      </c>
      <c r="R1650" s="186">
        <v>75.67200000000001</v>
      </c>
      <c r="S1650" s="186">
        <v>0.0</v>
      </c>
      <c r="T1650" s="186">
        <v>99.59</v>
      </c>
      <c r="U1650" s="187" t="s">
        <v>143</v>
      </c>
      <c r="V1650" s="176">
        <v>46221.0</v>
      </c>
      <c r="W1650" s="175"/>
      <c r="X1650" s="175"/>
      <c r="Y1650" s="175"/>
      <c r="Z1650" s="175"/>
      <c r="AA1650" s="175"/>
      <c r="AB1650" s="175"/>
      <c r="AC1650" s="175"/>
      <c r="AD1650" s="175"/>
      <c r="AE1650" s="175"/>
      <c r="AF1650" s="175"/>
      <c r="AG1650" s="175"/>
      <c r="AH1650" s="175"/>
      <c r="AI1650" s="175"/>
    </row>
    <row r="1651">
      <c r="A1651" s="176">
        <v>46221.0</v>
      </c>
      <c r="B1651" s="177">
        <v>8878728.0</v>
      </c>
      <c r="C1651" s="178" t="s">
        <v>89</v>
      </c>
      <c r="D1651" s="178" t="s">
        <v>35</v>
      </c>
      <c r="E1651" s="177">
        <v>5.347713427E9</v>
      </c>
      <c r="F1651" s="178" t="s">
        <v>3071</v>
      </c>
      <c r="G1651" s="176">
        <v>46251.0</v>
      </c>
      <c r="H1651" s="179">
        <v>46254.0</v>
      </c>
      <c r="I1651" s="180">
        <v>3.0</v>
      </c>
      <c r="J1651" s="181" t="s">
        <v>87</v>
      </c>
      <c r="K1651" s="178" t="s">
        <v>79</v>
      </c>
      <c r="L1651" s="178" t="s">
        <v>80</v>
      </c>
      <c r="M1651" s="182">
        <v>0.0</v>
      </c>
      <c r="N1651" s="183">
        <v>0.0</v>
      </c>
      <c r="O1651" s="184">
        <v>0.0</v>
      </c>
      <c r="P1651" s="184">
        <v>0.0</v>
      </c>
      <c r="Q1651" s="185">
        <v>0.0</v>
      </c>
      <c r="R1651" s="186">
        <v>0.0</v>
      </c>
      <c r="S1651" s="186">
        <v>0.0</v>
      </c>
      <c r="T1651" s="186">
        <v>0.0</v>
      </c>
      <c r="U1651" s="187" t="s">
        <v>3072</v>
      </c>
      <c r="V1651" s="176">
        <v>46224.0</v>
      </c>
      <c r="W1651" s="164"/>
      <c r="X1651" s="164"/>
      <c r="Y1651" s="164"/>
      <c r="Z1651" s="164"/>
      <c r="AA1651" s="164"/>
      <c r="AB1651" s="164"/>
      <c r="AC1651" s="164"/>
      <c r="AD1651" s="164"/>
      <c r="AE1651" s="164"/>
      <c r="AF1651" s="164"/>
      <c r="AG1651" s="164"/>
      <c r="AH1651" s="164"/>
      <c r="AI1651" s="164"/>
    </row>
    <row r="1652">
      <c r="A1652" s="176">
        <v>46221.0</v>
      </c>
      <c r="B1652" s="177">
        <v>8879777.0</v>
      </c>
      <c r="C1652" s="178" t="s">
        <v>82</v>
      </c>
      <c r="D1652" s="178" t="s">
        <v>109</v>
      </c>
      <c r="E1652" s="177">
        <v>6.80353039E8</v>
      </c>
      <c r="F1652" s="178" t="s">
        <v>3073</v>
      </c>
      <c r="G1652" s="176">
        <v>46221.0</v>
      </c>
      <c r="H1652" s="179">
        <v>46222.0</v>
      </c>
      <c r="I1652" s="180">
        <v>1.0</v>
      </c>
      <c r="J1652" s="181" t="s">
        <v>78</v>
      </c>
      <c r="K1652" s="178" t="s">
        <v>79</v>
      </c>
      <c r="L1652" s="178" t="s">
        <v>96</v>
      </c>
      <c r="M1652" s="182">
        <v>2.0</v>
      </c>
      <c r="N1652" s="183">
        <v>0.19999999999999996</v>
      </c>
      <c r="O1652" s="184">
        <v>110.93</v>
      </c>
      <c r="P1652" s="184">
        <v>88.74400000000001</v>
      </c>
      <c r="Q1652" s="185">
        <v>0.0</v>
      </c>
      <c r="R1652" s="186">
        <v>88.74400000000001</v>
      </c>
      <c r="S1652" s="186">
        <v>0.0</v>
      </c>
      <c r="T1652" s="186">
        <v>110.93</v>
      </c>
      <c r="U1652" s="187" t="s">
        <v>1464</v>
      </c>
      <c r="V1652" s="176">
        <v>46221.0</v>
      </c>
      <c r="W1652" s="188"/>
      <c r="X1652" s="188"/>
      <c r="Y1652" s="188"/>
      <c r="Z1652" s="188"/>
      <c r="AA1652" s="188"/>
      <c r="AB1652" s="188"/>
      <c r="AC1652" s="188"/>
      <c r="AD1652" s="188"/>
      <c r="AE1652" s="188"/>
      <c r="AF1652" s="188"/>
      <c r="AG1652" s="188"/>
      <c r="AH1652" s="188"/>
      <c r="AI1652" s="188"/>
    </row>
    <row r="1653">
      <c r="A1653" s="176">
        <v>46221.0</v>
      </c>
      <c r="B1653" s="177">
        <v>8880027.0</v>
      </c>
      <c r="C1653" s="178" t="s">
        <v>82</v>
      </c>
      <c r="D1653" s="178" t="s">
        <v>35</v>
      </c>
      <c r="E1653" s="177">
        <v>5.111089272E9</v>
      </c>
      <c r="F1653" s="178" t="s">
        <v>3074</v>
      </c>
      <c r="G1653" s="176">
        <v>46245.0</v>
      </c>
      <c r="H1653" s="179">
        <v>46249.0</v>
      </c>
      <c r="I1653" s="180">
        <v>4.0</v>
      </c>
      <c r="J1653" s="181" t="s">
        <v>114</v>
      </c>
      <c r="K1653" s="178" t="s">
        <v>79</v>
      </c>
      <c r="L1653" s="178" t="s">
        <v>80</v>
      </c>
      <c r="M1653" s="182">
        <v>2.0</v>
      </c>
      <c r="N1653" s="183">
        <v>0.19999999999999996</v>
      </c>
      <c r="O1653" s="184">
        <v>109.44</v>
      </c>
      <c r="P1653" s="184">
        <v>87.552</v>
      </c>
      <c r="Q1653" s="185">
        <v>0.0</v>
      </c>
      <c r="R1653" s="186">
        <v>350.208</v>
      </c>
      <c r="S1653" s="186">
        <v>0.0</v>
      </c>
      <c r="T1653" s="186">
        <v>457.76</v>
      </c>
      <c r="U1653" s="187" t="s">
        <v>143</v>
      </c>
      <c r="V1653" s="176">
        <v>46221.0</v>
      </c>
      <c r="W1653" s="164"/>
      <c r="X1653" s="164"/>
      <c r="Y1653" s="164"/>
      <c r="Z1653" s="164"/>
      <c r="AA1653" s="164"/>
      <c r="AB1653" s="164"/>
      <c r="AC1653" s="164"/>
      <c r="AD1653" s="164"/>
      <c r="AE1653" s="164"/>
      <c r="AF1653" s="164"/>
      <c r="AG1653" s="164"/>
      <c r="AH1653" s="164"/>
      <c r="AI1653" s="164"/>
    </row>
    <row r="1654">
      <c r="A1654" s="176">
        <v>46222.0</v>
      </c>
      <c r="B1654" s="177">
        <v>8882945.0</v>
      </c>
      <c r="C1654" s="178" t="s">
        <v>89</v>
      </c>
      <c r="D1654" s="178" t="s">
        <v>35</v>
      </c>
      <c r="E1654" s="177">
        <v>6.336105875E9</v>
      </c>
      <c r="F1654" s="178" t="s">
        <v>3076</v>
      </c>
      <c r="G1654" s="176">
        <v>46395.54166666667</v>
      </c>
      <c r="H1654" s="179">
        <v>46400.54166666667</v>
      </c>
      <c r="I1654" s="180">
        <v>5.0</v>
      </c>
      <c r="J1654" s="181" t="s">
        <v>78</v>
      </c>
      <c r="K1654" s="178" t="s">
        <v>79</v>
      </c>
      <c r="L1654" s="178" t="s">
        <v>80</v>
      </c>
      <c r="M1654" s="182">
        <v>0.0</v>
      </c>
      <c r="N1654" s="183">
        <v>0.0</v>
      </c>
      <c r="O1654" s="184">
        <v>0.0</v>
      </c>
      <c r="P1654" s="184">
        <v>0.0</v>
      </c>
      <c r="Q1654" s="185">
        <v>0.0</v>
      </c>
      <c r="R1654" s="186">
        <v>0.0</v>
      </c>
      <c r="S1654" s="186">
        <v>0.0</v>
      </c>
      <c r="T1654" s="186">
        <v>0.0</v>
      </c>
      <c r="U1654" s="187" t="s">
        <v>3077</v>
      </c>
      <c r="V1654" s="176">
        <v>46223.0</v>
      </c>
      <c r="W1654" s="175"/>
      <c r="X1654" s="175"/>
      <c r="Y1654" s="175"/>
      <c r="Z1654" s="175"/>
      <c r="AA1654" s="175"/>
      <c r="AB1654" s="175"/>
      <c r="AC1654" s="175"/>
      <c r="AD1654" s="175"/>
      <c r="AE1654" s="175"/>
      <c r="AF1654" s="175"/>
      <c r="AG1654" s="175"/>
      <c r="AH1654" s="175"/>
      <c r="AI1654" s="175"/>
    </row>
    <row r="1655">
      <c r="A1655" s="176">
        <v>46222.0</v>
      </c>
      <c r="B1655" s="177">
        <v>8883058.0</v>
      </c>
      <c r="C1655" s="178" t="s">
        <v>82</v>
      </c>
      <c r="D1655" s="178" t="s">
        <v>35</v>
      </c>
      <c r="E1655" s="177">
        <v>6.888818576E9</v>
      </c>
      <c r="F1655" s="178" t="s">
        <v>3079</v>
      </c>
      <c r="G1655" s="176">
        <v>46255.0</v>
      </c>
      <c r="H1655" s="179">
        <v>46257.0</v>
      </c>
      <c r="I1655" s="180">
        <v>2.0</v>
      </c>
      <c r="J1655" s="181" t="s">
        <v>114</v>
      </c>
      <c r="K1655" s="178" t="s">
        <v>79</v>
      </c>
      <c r="L1655" s="178" t="s">
        <v>80</v>
      </c>
      <c r="M1655" s="182">
        <v>3.0</v>
      </c>
      <c r="N1655" s="183">
        <v>0.19999999999999996</v>
      </c>
      <c r="O1655" s="184">
        <v>108.94</v>
      </c>
      <c r="P1655" s="184">
        <v>87.152</v>
      </c>
      <c r="Q1655" s="185">
        <v>0.0</v>
      </c>
      <c r="R1655" s="186">
        <v>174.304</v>
      </c>
      <c r="S1655" s="186">
        <v>0.0</v>
      </c>
      <c r="T1655" s="186">
        <v>232.88</v>
      </c>
      <c r="U1655" s="187" t="s">
        <v>107</v>
      </c>
      <c r="V1655" s="176">
        <v>46222.0</v>
      </c>
      <c r="W1655" s="175"/>
      <c r="X1655" s="175"/>
      <c r="Y1655" s="175"/>
      <c r="Z1655" s="175"/>
      <c r="AA1655" s="175"/>
      <c r="AB1655" s="175"/>
      <c r="AC1655" s="175"/>
      <c r="AD1655" s="175"/>
      <c r="AE1655" s="175"/>
      <c r="AF1655" s="175"/>
      <c r="AG1655" s="175"/>
      <c r="AH1655" s="175"/>
      <c r="AI1655" s="175"/>
    </row>
    <row r="1656">
      <c r="A1656" s="176">
        <v>46222.0</v>
      </c>
      <c r="B1656" s="177">
        <v>8884531.0</v>
      </c>
      <c r="C1656" s="178" t="s">
        <v>82</v>
      </c>
      <c r="D1656" s="178" t="s">
        <v>35</v>
      </c>
      <c r="E1656" s="177">
        <v>6.677666413E9</v>
      </c>
      <c r="F1656" s="178" t="s">
        <v>3080</v>
      </c>
      <c r="G1656" s="176">
        <v>46224.0</v>
      </c>
      <c r="H1656" s="179">
        <v>46226.0</v>
      </c>
      <c r="I1656" s="180">
        <v>2.0</v>
      </c>
      <c r="J1656" s="181" t="s">
        <v>87</v>
      </c>
      <c r="K1656" s="178" t="s">
        <v>79</v>
      </c>
      <c r="L1656" s="178" t="s">
        <v>80</v>
      </c>
      <c r="M1656" s="182">
        <v>2.0</v>
      </c>
      <c r="N1656" s="183">
        <v>0.19999999999999996</v>
      </c>
      <c r="O1656" s="184">
        <v>94.31</v>
      </c>
      <c r="P1656" s="184">
        <v>75.44800000000001</v>
      </c>
      <c r="Q1656" s="185">
        <v>0.0</v>
      </c>
      <c r="R1656" s="186">
        <v>150.89600000000002</v>
      </c>
      <c r="S1656" s="186">
        <v>0.0</v>
      </c>
      <c r="T1656" s="186">
        <v>198.62</v>
      </c>
      <c r="U1656" s="187" t="s">
        <v>1441</v>
      </c>
      <c r="V1656" s="176">
        <v>46222.0</v>
      </c>
      <c r="W1656" s="175"/>
      <c r="X1656" s="175"/>
      <c r="Y1656" s="175"/>
      <c r="Z1656" s="175"/>
      <c r="AA1656" s="175"/>
      <c r="AB1656" s="175"/>
      <c r="AC1656" s="175"/>
      <c r="AD1656" s="175"/>
      <c r="AE1656" s="175"/>
      <c r="AF1656" s="175"/>
      <c r="AG1656" s="175"/>
      <c r="AH1656" s="175"/>
      <c r="AI1656" s="175"/>
    </row>
    <row r="1657">
      <c r="A1657" s="176">
        <v>46222.0</v>
      </c>
      <c r="B1657" s="177">
        <v>8885246.0</v>
      </c>
      <c r="C1657" s="178" t="s">
        <v>82</v>
      </c>
      <c r="D1657" s="178" t="s">
        <v>35</v>
      </c>
      <c r="E1657" s="177">
        <v>6.560447615E9</v>
      </c>
      <c r="F1657" s="178" t="s">
        <v>3081</v>
      </c>
      <c r="G1657" s="176">
        <v>46305.20833333333</v>
      </c>
      <c r="H1657" s="179">
        <v>46306.20833333333</v>
      </c>
      <c r="I1657" s="180">
        <v>1.0</v>
      </c>
      <c r="J1657" s="181" t="s">
        <v>78</v>
      </c>
      <c r="K1657" s="178" t="s">
        <v>79</v>
      </c>
      <c r="L1657" s="178" t="s">
        <v>80</v>
      </c>
      <c r="M1657" s="182">
        <v>2.0</v>
      </c>
      <c r="N1657" s="183">
        <v>0.19999999999999996</v>
      </c>
      <c r="O1657" s="184">
        <v>189.67</v>
      </c>
      <c r="P1657" s="184">
        <v>151.736</v>
      </c>
      <c r="Q1657" s="185">
        <v>0.0</v>
      </c>
      <c r="R1657" s="186">
        <v>151.736</v>
      </c>
      <c r="S1657" s="186">
        <v>0.0</v>
      </c>
      <c r="T1657" s="186">
        <v>194.67</v>
      </c>
      <c r="U1657" s="187" t="s">
        <v>353</v>
      </c>
      <c r="V1657" s="176">
        <v>46222.0</v>
      </c>
      <c r="W1657" s="164"/>
      <c r="X1657" s="164"/>
      <c r="Y1657" s="164"/>
      <c r="Z1657" s="164"/>
      <c r="AA1657" s="164"/>
      <c r="AB1657" s="164"/>
      <c r="AC1657" s="164"/>
      <c r="AD1657" s="164"/>
      <c r="AE1657" s="164"/>
      <c r="AF1657" s="164"/>
      <c r="AG1657" s="164"/>
      <c r="AH1657" s="164"/>
      <c r="AI1657" s="164"/>
    </row>
    <row r="1658">
      <c r="A1658" s="176">
        <v>46223.0</v>
      </c>
      <c r="B1658" s="177">
        <v>8885786.0</v>
      </c>
      <c r="C1658" s="178" t="s">
        <v>82</v>
      </c>
      <c r="D1658" s="178" t="s">
        <v>35</v>
      </c>
      <c r="E1658" s="177">
        <v>6.745177535E9</v>
      </c>
      <c r="F1658" s="178" t="s">
        <v>3082</v>
      </c>
      <c r="G1658" s="176">
        <v>46251.0</v>
      </c>
      <c r="H1658" s="179">
        <v>46255.0</v>
      </c>
      <c r="I1658" s="180">
        <v>4.0</v>
      </c>
      <c r="J1658" s="181" t="s">
        <v>111</v>
      </c>
      <c r="K1658" s="178" t="s">
        <v>79</v>
      </c>
      <c r="L1658" s="178" t="s">
        <v>80</v>
      </c>
      <c r="M1658" s="182">
        <v>2.0</v>
      </c>
      <c r="N1658" s="183">
        <v>0.19999999999999996</v>
      </c>
      <c r="O1658" s="184">
        <v>132.39</v>
      </c>
      <c r="P1658" s="184">
        <v>105.91199999999999</v>
      </c>
      <c r="Q1658" s="185">
        <v>0.0</v>
      </c>
      <c r="R1658" s="186">
        <v>423.64799999999997</v>
      </c>
      <c r="S1658" s="186">
        <v>0.0</v>
      </c>
      <c r="T1658" s="186">
        <v>529.56</v>
      </c>
      <c r="U1658" s="187" t="s">
        <v>143</v>
      </c>
      <c r="V1658" s="176">
        <v>46223.0</v>
      </c>
      <c r="W1658" s="175"/>
      <c r="X1658" s="175"/>
      <c r="Y1658" s="175"/>
      <c r="Z1658" s="175"/>
      <c r="AA1658" s="175"/>
      <c r="AB1658" s="175"/>
      <c r="AC1658" s="175"/>
      <c r="AD1658" s="175"/>
      <c r="AE1658" s="175"/>
      <c r="AF1658" s="175"/>
      <c r="AG1658" s="175"/>
      <c r="AH1658" s="175"/>
      <c r="AI1658" s="175"/>
    </row>
    <row r="1659">
      <c r="A1659" s="176">
        <v>46223.0</v>
      </c>
      <c r="B1659" s="177">
        <v>8886041.0</v>
      </c>
      <c r="C1659" s="178" t="s">
        <v>82</v>
      </c>
      <c r="D1659" s="178" t="s">
        <v>35</v>
      </c>
      <c r="E1659" s="177">
        <v>6.519464445E9</v>
      </c>
      <c r="F1659" s="178" t="s">
        <v>3084</v>
      </c>
      <c r="G1659" s="176">
        <v>46238.0</v>
      </c>
      <c r="H1659" s="179">
        <v>46239.0</v>
      </c>
      <c r="I1659" s="180">
        <v>1.0</v>
      </c>
      <c r="J1659" s="181" t="s">
        <v>87</v>
      </c>
      <c r="K1659" s="178" t="s">
        <v>79</v>
      </c>
      <c r="L1659" s="178" t="s">
        <v>80</v>
      </c>
      <c r="M1659" s="182">
        <v>2.0</v>
      </c>
      <c r="N1659" s="183">
        <v>0.19999999999999996</v>
      </c>
      <c r="O1659" s="184">
        <v>105.38</v>
      </c>
      <c r="P1659" s="184">
        <v>84.304</v>
      </c>
      <c r="Q1659" s="185">
        <v>0.0</v>
      </c>
      <c r="R1659" s="186">
        <v>84.304</v>
      </c>
      <c r="S1659" s="186">
        <v>0.0</v>
      </c>
      <c r="T1659" s="186">
        <v>110.38</v>
      </c>
      <c r="U1659" s="187" t="s">
        <v>1367</v>
      </c>
      <c r="V1659" s="176">
        <v>46223.0</v>
      </c>
      <c r="W1659" s="175"/>
      <c r="X1659" s="175"/>
      <c r="Y1659" s="175"/>
      <c r="Z1659" s="175"/>
      <c r="AA1659" s="175"/>
      <c r="AB1659" s="175"/>
      <c r="AC1659" s="175"/>
      <c r="AD1659" s="175"/>
      <c r="AE1659" s="175"/>
      <c r="AF1659" s="175"/>
      <c r="AG1659" s="175"/>
      <c r="AH1659" s="175"/>
      <c r="AI1659" s="175"/>
    </row>
    <row r="1660">
      <c r="A1660" s="176">
        <v>46223.0</v>
      </c>
      <c r="B1660" s="177">
        <v>8886801.0</v>
      </c>
      <c r="C1660" s="178" t="s">
        <v>82</v>
      </c>
      <c r="D1660" s="178" t="s">
        <v>94</v>
      </c>
      <c r="E1660" s="177">
        <v>8886801.0</v>
      </c>
      <c r="F1660" s="178" t="s">
        <v>3086</v>
      </c>
      <c r="G1660" s="176">
        <v>46224.0</v>
      </c>
      <c r="H1660" s="179">
        <v>46225.0</v>
      </c>
      <c r="I1660" s="180">
        <v>1.0</v>
      </c>
      <c r="J1660" s="181" t="s">
        <v>111</v>
      </c>
      <c r="K1660" s="178" t="s">
        <v>79</v>
      </c>
      <c r="L1660" s="178" t="s">
        <v>96</v>
      </c>
      <c r="M1660" s="182">
        <v>2.0</v>
      </c>
      <c r="N1660" s="183">
        <v>0.0</v>
      </c>
      <c r="O1660" s="184">
        <v>174.96</v>
      </c>
      <c r="P1660" s="184">
        <v>174.96</v>
      </c>
      <c r="Q1660" s="185">
        <v>0.0</v>
      </c>
      <c r="R1660" s="186">
        <v>174.96</v>
      </c>
      <c r="S1660" s="186">
        <v>0.0</v>
      </c>
      <c r="T1660" s="186">
        <v>179.96</v>
      </c>
      <c r="U1660" s="187" t="s">
        <v>97</v>
      </c>
      <c r="V1660" s="176">
        <v>46223.0</v>
      </c>
      <c r="W1660" s="164"/>
      <c r="X1660" s="164"/>
      <c r="Y1660" s="164"/>
      <c r="Z1660" s="164"/>
      <c r="AA1660" s="164"/>
      <c r="AB1660" s="164"/>
      <c r="AC1660" s="164"/>
      <c r="AD1660" s="164"/>
      <c r="AE1660" s="164"/>
      <c r="AF1660" s="164"/>
      <c r="AG1660" s="164"/>
      <c r="AH1660" s="164"/>
      <c r="AI1660" s="164"/>
    </row>
    <row r="1661">
      <c r="A1661" s="176">
        <v>46223.0</v>
      </c>
      <c r="B1661" s="177">
        <v>8887633.0</v>
      </c>
      <c r="C1661" s="178" t="s">
        <v>89</v>
      </c>
      <c r="D1661" s="178" t="s">
        <v>35</v>
      </c>
      <c r="E1661" s="177">
        <v>5.981540961E9</v>
      </c>
      <c r="F1661" s="178" t="s">
        <v>3087</v>
      </c>
      <c r="G1661" s="176">
        <v>46295.58333333333</v>
      </c>
      <c r="H1661" s="179">
        <v>46298.58333333333</v>
      </c>
      <c r="I1661" s="180">
        <v>3.0</v>
      </c>
      <c r="J1661" s="181" t="s">
        <v>78</v>
      </c>
      <c r="K1661" s="178" t="s">
        <v>79</v>
      </c>
      <c r="L1661" s="178" t="s">
        <v>80</v>
      </c>
      <c r="M1661" s="182">
        <v>0.0</v>
      </c>
      <c r="N1661" s="183">
        <v>0.0</v>
      </c>
      <c r="O1661" s="184">
        <v>0.0</v>
      </c>
      <c r="P1661" s="184">
        <v>0.0</v>
      </c>
      <c r="Q1661" s="185">
        <v>0.0</v>
      </c>
      <c r="R1661" s="186">
        <v>0.0</v>
      </c>
      <c r="S1661" s="186">
        <v>0.0</v>
      </c>
      <c r="T1661" s="186">
        <v>0.0</v>
      </c>
      <c r="U1661" s="187" t="s">
        <v>3089</v>
      </c>
      <c r="V1661" s="176">
        <v>46236.0</v>
      </c>
      <c r="W1661" s="175"/>
      <c r="X1661" s="175"/>
      <c r="Y1661" s="175"/>
      <c r="Z1661" s="175"/>
      <c r="AA1661" s="175"/>
      <c r="AB1661" s="175"/>
      <c r="AC1661" s="175"/>
      <c r="AD1661" s="175"/>
      <c r="AE1661" s="175"/>
      <c r="AF1661" s="175"/>
      <c r="AG1661" s="175"/>
      <c r="AH1661" s="175"/>
      <c r="AI1661" s="175"/>
    </row>
    <row r="1662">
      <c r="A1662" s="176">
        <v>46223.0</v>
      </c>
      <c r="B1662" s="177">
        <v>8889192.0</v>
      </c>
      <c r="C1662" s="178" t="s">
        <v>82</v>
      </c>
      <c r="D1662" s="178" t="s">
        <v>12</v>
      </c>
      <c r="E1662" s="177" t="s">
        <v>3090</v>
      </c>
      <c r="F1662" s="178" t="s">
        <v>3091</v>
      </c>
      <c r="G1662" s="176">
        <v>46295.45833333333</v>
      </c>
      <c r="H1662" s="179">
        <v>46296.45833333333</v>
      </c>
      <c r="I1662" s="180">
        <v>1.0</v>
      </c>
      <c r="J1662" s="181" t="s">
        <v>87</v>
      </c>
      <c r="K1662" s="178" t="s">
        <v>79</v>
      </c>
      <c r="L1662" s="178" t="s">
        <v>123</v>
      </c>
      <c r="M1662" s="182">
        <v>2.0</v>
      </c>
      <c r="N1662" s="183">
        <v>0.0</v>
      </c>
      <c r="O1662" s="184">
        <v>170.07</v>
      </c>
      <c r="P1662" s="184">
        <v>136.056</v>
      </c>
      <c r="Q1662" s="185">
        <v>0.0</v>
      </c>
      <c r="R1662" s="186">
        <v>136.056</v>
      </c>
      <c r="S1662" s="186">
        <v>0.0</v>
      </c>
      <c r="T1662" s="186" t="s">
        <v>127</v>
      </c>
      <c r="U1662" s="187" t="s">
        <v>3092</v>
      </c>
      <c r="V1662" s="176">
        <v>46223.0</v>
      </c>
      <c r="W1662" s="164"/>
      <c r="X1662" s="164"/>
      <c r="Y1662" s="164"/>
      <c r="Z1662" s="164"/>
      <c r="AA1662" s="164"/>
      <c r="AB1662" s="164"/>
      <c r="AC1662" s="164"/>
      <c r="AD1662" s="164"/>
      <c r="AE1662" s="164"/>
      <c r="AF1662" s="164"/>
      <c r="AG1662" s="164"/>
      <c r="AH1662" s="164"/>
      <c r="AI1662" s="164"/>
    </row>
    <row r="1663">
      <c r="A1663" s="176">
        <v>46223.0</v>
      </c>
      <c r="B1663" s="177">
        <v>8889192.0</v>
      </c>
      <c r="C1663" s="178" t="s">
        <v>82</v>
      </c>
      <c r="D1663" s="178" t="s">
        <v>12</v>
      </c>
      <c r="E1663" s="177" t="s">
        <v>3090</v>
      </c>
      <c r="F1663" s="178" t="s">
        <v>3091</v>
      </c>
      <c r="G1663" s="176">
        <v>46295.45833333333</v>
      </c>
      <c r="H1663" s="179">
        <v>46296.45833333333</v>
      </c>
      <c r="I1663" s="180">
        <v>1.0</v>
      </c>
      <c r="J1663" s="181" t="s">
        <v>78</v>
      </c>
      <c r="K1663" s="178" t="s">
        <v>79</v>
      </c>
      <c r="L1663" s="178" t="s">
        <v>123</v>
      </c>
      <c r="M1663" s="182">
        <v>2.0</v>
      </c>
      <c r="N1663" s="183">
        <v>0.0</v>
      </c>
      <c r="O1663" s="184">
        <v>189.58</v>
      </c>
      <c r="P1663" s="184">
        <v>151.66400000000002</v>
      </c>
      <c r="Q1663" s="185">
        <v>0.0</v>
      </c>
      <c r="R1663" s="186">
        <v>151.66400000000002</v>
      </c>
      <c r="S1663" s="186">
        <v>0.0</v>
      </c>
      <c r="T1663" s="186" t="s">
        <v>127</v>
      </c>
      <c r="U1663" s="187" t="s">
        <v>3092</v>
      </c>
      <c r="V1663" s="176">
        <v>46223.0</v>
      </c>
      <c r="W1663" s="175"/>
      <c r="X1663" s="175"/>
      <c r="Y1663" s="175"/>
      <c r="Z1663" s="175"/>
      <c r="AA1663" s="175"/>
      <c r="AB1663" s="175"/>
      <c r="AC1663" s="175"/>
      <c r="AD1663" s="175"/>
      <c r="AE1663" s="175"/>
      <c r="AF1663" s="175"/>
      <c r="AG1663" s="175"/>
      <c r="AH1663" s="175"/>
      <c r="AI1663" s="175"/>
    </row>
    <row r="1664">
      <c r="A1664" s="176">
        <v>46223.0</v>
      </c>
      <c r="B1664" s="177">
        <v>8890641.0</v>
      </c>
      <c r="C1664" s="178" t="s">
        <v>82</v>
      </c>
      <c r="D1664" s="178" t="s">
        <v>35</v>
      </c>
      <c r="E1664" s="177">
        <v>5.948902837E9</v>
      </c>
      <c r="F1664" s="178" t="s">
        <v>3094</v>
      </c>
      <c r="G1664" s="176">
        <v>46225.0</v>
      </c>
      <c r="H1664" s="179">
        <v>46228.0</v>
      </c>
      <c r="I1664" s="180">
        <v>3.0</v>
      </c>
      <c r="J1664" s="181" t="s">
        <v>114</v>
      </c>
      <c r="K1664" s="178" t="s">
        <v>79</v>
      </c>
      <c r="L1664" s="178" t="s">
        <v>80</v>
      </c>
      <c r="M1664" s="182">
        <v>2.0</v>
      </c>
      <c r="N1664" s="183">
        <v>0.19999999999999996</v>
      </c>
      <c r="O1664" s="184">
        <v>119.95333333333333</v>
      </c>
      <c r="P1664" s="184">
        <v>95.96266666666668</v>
      </c>
      <c r="Q1664" s="185">
        <v>0.0</v>
      </c>
      <c r="R1664" s="186">
        <v>287.88800000000003</v>
      </c>
      <c r="S1664" s="186">
        <v>0.0</v>
      </c>
      <c r="T1664" s="186">
        <v>374.86</v>
      </c>
      <c r="U1664" s="187" t="s">
        <v>1441</v>
      </c>
      <c r="V1664" s="176">
        <v>46223.0</v>
      </c>
      <c r="W1664" s="175"/>
      <c r="X1664" s="175"/>
      <c r="Y1664" s="175"/>
      <c r="Z1664" s="175"/>
      <c r="AA1664" s="175"/>
      <c r="AB1664" s="175"/>
      <c r="AC1664" s="175"/>
      <c r="AD1664" s="175"/>
      <c r="AE1664" s="175"/>
      <c r="AF1664" s="175"/>
      <c r="AG1664" s="175"/>
      <c r="AH1664" s="175"/>
      <c r="AI1664" s="175"/>
    </row>
    <row r="1665">
      <c r="A1665" s="176">
        <v>46223.0</v>
      </c>
      <c r="B1665" s="177">
        <v>8891138.0</v>
      </c>
      <c r="C1665" s="178" t="s">
        <v>82</v>
      </c>
      <c r="D1665" s="178" t="s">
        <v>35</v>
      </c>
      <c r="E1665" s="177">
        <v>6.962562497E9</v>
      </c>
      <c r="F1665" s="178" t="s">
        <v>3096</v>
      </c>
      <c r="G1665" s="176">
        <v>46280.0</v>
      </c>
      <c r="H1665" s="179">
        <v>46282.0</v>
      </c>
      <c r="I1665" s="180">
        <v>2.0</v>
      </c>
      <c r="J1665" s="181" t="s">
        <v>78</v>
      </c>
      <c r="K1665" s="178" t="s">
        <v>79</v>
      </c>
      <c r="L1665" s="178" t="s">
        <v>80</v>
      </c>
      <c r="M1665" s="182">
        <v>2.0</v>
      </c>
      <c r="N1665" s="183">
        <v>0.19999999999999996</v>
      </c>
      <c r="O1665" s="184">
        <v>129.92</v>
      </c>
      <c r="P1665" s="184">
        <v>103.93599999999999</v>
      </c>
      <c r="Q1665" s="185">
        <v>0.0</v>
      </c>
      <c r="R1665" s="186">
        <v>207.87199999999999</v>
      </c>
      <c r="S1665" s="186">
        <v>0.0</v>
      </c>
      <c r="T1665" s="186">
        <v>269.84</v>
      </c>
      <c r="U1665" s="187" t="s">
        <v>107</v>
      </c>
      <c r="V1665" s="176">
        <v>46223.0</v>
      </c>
      <c r="W1665" s="175"/>
      <c r="X1665" s="175"/>
      <c r="Y1665" s="175"/>
      <c r="Z1665" s="175"/>
      <c r="AA1665" s="175"/>
      <c r="AB1665" s="175"/>
      <c r="AC1665" s="175"/>
      <c r="AD1665" s="175"/>
      <c r="AE1665" s="175"/>
      <c r="AF1665" s="175"/>
      <c r="AG1665" s="175"/>
      <c r="AH1665" s="175"/>
      <c r="AI1665" s="175"/>
    </row>
    <row r="1666">
      <c r="A1666" s="176">
        <v>46224.0</v>
      </c>
      <c r="B1666" s="177">
        <v>8891329.0</v>
      </c>
      <c r="C1666" s="178" t="s">
        <v>82</v>
      </c>
      <c r="D1666" s="178" t="s">
        <v>36</v>
      </c>
      <c r="E1666" s="177">
        <v>8891329.0</v>
      </c>
      <c r="F1666" s="178" t="s">
        <v>3097</v>
      </c>
      <c r="G1666" s="176">
        <v>46285.0</v>
      </c>
      <c r="H1666" s="179">
        <v>46287.16666666667</v>
      </c>
      <c r="I1666" s="180">
        <v>2.0</v>
      </c>
      <c r="J1666" s="181" t="s">
        <v>111</v>
      </c>
      <c r="K1666" s="178" t="s">
        <v>79</v>
      </c>
      <c r="L1666" s="178" t="s">
        <v>96</v>
      </c>
      <c r="M1666" s="182">
        <v>2.0</v>
      </c>
      <c r="N1666" s="183">
        <v>0.0</v>
      </c>
      <c r="O1666" s="184">
        <v>197.73</v>
      </c>
      <c r="P1666" s="184">
        <v>195.75269999999998</v>
      </c>
      <c r="Q1666" s="185">
        <v>0.0</v>
      </c>
      <c r="R1666" s="186">
        <v>391.50539999999995</v>
      </c>
      <c r="S1666" s="186">
        <v>0.0</v>
      </c>
      <c r="T1666" s="186">
        <v>405.46</v>
      </c>
      <c r="U1666" s="187" t="s">
        <v>97</v>
      </c>
      <c r="V1666" s="176">
        <v>46224.0</v>
      </c>
      <c r="W1666" s="175"/>
      <c r="X1666" s="175"/>
      <c r="Y1666" s="175"/>
      <c r="Z1666" s="175"/>
      <c r="AA1666" s="175"/>
      <c r="AB1666" s="175"/>
      <c r="AC1666" s="175"/>
      <c r="AD1666" s="175"/>
      <c r="AE1666" s="175"/>
      <c r="AF1666" s="175"/>
      <c r="AG1666" s="175"/>
      <c r="AH1666" s="175"/>
      <c r="AI1666" s="175"/>
    </row>
    <row r="1667">
      <c r="A1667" s="176">
        <v>46224.0</v>
      </c>
      <c r="B1667" s="177">
        <v>8893500.0</v>
      </c>
      <c r="C1667" s="178" t="s">
        <v>82</v>
      </c>
      <c r="D1667" s="178" t="s">
        <v>35</v>
      </c>
      <c r="E1667" s="177">
        <v>6.660861114E9</v>
      </c>
      <c r="F1667" s="178" t="s">
        <v>3100</v>
      </c>
      <c r="G1667" s="176">
        <v>46253.0</v>
      </c>
      <c r="H1667" s="179">
        <v>46254.0</v>
      </c>
      <c r="I1667" s="180">
        <v>1.0</v>
      </c>
      <c r="J1667" s="181" t="s">
        <v>78</v>
      </c>
      <c r="K1667" s="178" t="s">
        <v>79</v>
      </c>
      <c r="L1667" s="178" t="s">
        <v>80</v>
      </c>
      <c r="M1667" s="182">
        <v>2.0</v>
      </c>
      <c r="N1667" s="183">
        <v>0.19999999999999996</v>
      </c>
      <c r="O1667" s="184">
        <v>89.92</v>
      </c>
      <c r="P1667" s="184">
        <v>71.936</v>
      </c>
      <c r="Q1667" s="185">
        <v>0.0</v>
      </c>
      <c r="R1667" s="186">
        <v>71.936</v>
      </c>
      <c r="S1667" s="186">
        <v>0.0</v>
      </c>
      <c r="T1667" s="186">
        <v>94.92</v>
      </c>
      <c r="U1667" s="187" t="s">
        <v>1367</v>
      </c>
      <c r="V1667" s="176">
        <v>46224.0</v>
      </c>
      <c r="W1667" s="175"/>
      <c r="X1667" s="175"/>
      <c r="Y1667" s="175"/>
      <c r="Z1667" s="175"/>
      <c r="AA1667" s="175"/>
      <c r="AB1667" s="175"/>
      <c r="AC1667" s="175"/>
      <c r="AD1667" s="175"/>
      <c r="AE1667" s="175"/>
      <c r="AF1667" s="175"/>
      <c r="AG1667" s="175"/>
      <c r="AH1667" s="175"/>
      <c r="AI1667" s="175"/>
    </row>
    <row r="1668">
      <c r="A1668" s="176">
        <v>46224.0</v>
      </c>
      <c r="B1668" s="177">
        <v>8894743.0</v>
      </c>
      <c r="C1668" s="178" t="s">
        <v>82</v>
      </c>
      <c r="D1668" s="178" t="s">
        <v>101</v>
      </c>
      <c r="E1668" s="177">
        <v>2.515103327E9</v>
      </c>
      <c r="F1668" s="178" t="s">
        <v>3102</v>
      </c>
      <c r="G1668" s="176">
        <v>46469.95833333333</v>
      </c>
      <c r="H1668" s="179">
        <v>46474.95833333333</v>
      </c>
      <c r="I1668" s="180">
        <v>5.0</v>
      </c>
      <c r="J1668" s="181" t="s">
        <v>78</v>
      </c>
      <c r="K1668" s="178"/>
      <c r="L1668" s="178"/>
      <c r="M1668" s="182">
        <v>3.0</v>
      </c>
      <c r="N1668" s="183">
        <v>0.0</v>
      </c>
      <c r="O1668" s="184">
        <v>0.0</v>
      </c>
      <c r="P1668" s="184">
        <v>0.0</v>
      </c>
      <c r="Q1668" s="185">
        <v>0.0</v>
      </c>
      <c r="R1668" s="186">
        <v>0.0</v>
      </c>
      <c r="S1668" s="186">
        <v>0.0</v>
      </c>
      <c r="T1668" s="186">
        <v>0.0</v>
      </c>
      <c r="U1668" s="187" t="s">
        <v>422</v>
      </c>
      <c r="V1668" s="176">
        <v>46224.0</v>
      </c>
      <c r="W1668" s="188"/>
      <c r="X1668" s="188"/>
      <c r="Y1668" s="188"/>
      <c r="Z1668" s="188"/>
      <c r="AA1668" s="188"/>
      <c r="AB1668" s="188"/>
      <c r="AC1668" s="188"/>
      <c r="AD1668" s="188"/>
      <c r="AE1668" s="188"/>
      <c r="AF1668" s="188"/>
      <c r="AG1668" s="188"/>
      <c r="AH1668" s="188"/>
      <c r="AI1668" s="188"/>
    </row>
    <row r="1669">
      <c r="A1669" s="176">
        <v>46224.0</v>
      </c>
      <c r="B1669" s="177">
        <v>8896221.0</v>
      </c>
      <c r="C1669" s="178" t="s">
        <v>82</v>
      </c>
      <c r="D1669" s="178" t="s">
        <v>35</v>
      </c>
      <c r="E1669" s="177">
        <v>5.697305011E9</v>
      </c>
      <c r="F1669" s="178" t="s">
        <v>3103</v>
      </c>
      <c r="G1669" s="176">
        <v>46278.0</v>
      </c>
      <c r="H1669" s="179">
        <v>46281.0</v>
      </c>
      <c r="I1669" s="180">
        <v>3.0</v>
      </c>
      <c r="J1669" s="181" t="s">
        <v>111</v>
      </c>
      <c r="K1669" s="178" t="s">
        <v>79</v>
      </c>
      <c r="L1669" s="178" t="s">
        <v>80</v>
      </c>
      <c r="M1669" s="182">
        <v>2.0</v>
      </c>
      <c r="N1669" s="183">
        <v>0.19999999999999996</v>
      </c>
      <c r="O1669" s="184">
        <v>179.96</v>
      </c>
      <c r="P1669" s="184">
        <v>143.96800000000002</v>
      </c>
      <c r="Q1669" s="185">
        <v>0.0</v>
      </c>
      <c r="R1669" s="186">
        <v>431.90400000000005</v>
      </c>
      <c r="S1669" s="186">
        <v>0.0</v>
      </c>
      <c r="T1669" s="186">
        <v>554.88</v>
      </c>
      <c r="U1669" s="187" t="s">
        <v>107</v>
      </c>
      <c r="V1669" s="176">
        <v>46224.0</v>
      </c>
      <c r="W1669" s="175"/>
      <c r="X1669" s="175"/>
      <c r="Y1669" s="175"/>
      <c r="Z1669" s="175"/>
      <c r="AA1669" s="175"/>
      <c r="AB1669" s="175"/>
      <c r="AC1669" s="175"/>
      <c r="AD1669" s="175"/>
      <c r="AE1669" s="175"/>
      <c r="AF1669" s="175"/>
      <c r="AG1669" s="175"/>
      <c r="AH1669" s="175"/>
      <c r="AI1669" s="175"/>
    </row>
    <row r="1670">
      <c r="A1670" s="176">
        <v>46225.0</v>
      </c>
      <c r="B1670" s="177">
        <v>8896902.0</v>
      </c>
      <c r="C1670" s="178" t="s">
        <v>82</v>
      </c>
      <c r="D1670" s="178" t="s">
        <v>35</v>
      </c>
      <c r="E1670" s="177">
        <v>6.03729827E9</v>
      </c>
      <c r="F1670" s="178" t="s">
        <v>3104</v>
      </c>
      <c r="G1670" s="176">
        <v>46242.0</v>
      </c>
      <c r="H1670" s="179">
        <v>46243.0</v>
      </c>
      <c r="I1670" s="180">
        <v>1.0</v>
      </c>
      <c r="J1670" s="181" t="s">
        <v>78</v>
      </c>
      <c r="K1670" s="178" t="s">
        <v>79</v>
      </c>
      <c r="L1670" s="178" t="s">
        <v>80</v>
      </c>
      <c r="M1670" s="182">
        <v>3.0</v>
      </c>
      <c r="N1670" s="183">
        <v>0.19999999999999996</v>
      </c>
      <c r="O1670" s="184">
        <v>94.59</v>
      </c>
      <c r="P1670" s="184">
        <v>75.67200000000001</v>
      </c>
      <c r="Q1670" s="185">
        <v>0.0</v>
      </c>
      <c r="R1670" s="186">
        <v>75.67200000000001</v>
      </c>
      <c r="S1670" s="186">
        <v>0.0</v>
      </c>
      <c r="T1670" s="186">
        <v>102.09</v>
      </c>
      <c r="U1670" s="187" t="s">
        <v>143</v>
      </c>
      <c r="V1670" s="176">
        <v>46225.0</v>
      </c>
      <c r="W1670" s="175"/>
      <c r="X1670" s="175"/>
      <c r="Y1670" s="175"/>
      <c r="Z1670" s="175"/>
      <c r="AA1670" s="175"/>
      <c r="AB1670" s="175"/>
      <c r="AC1670" s="175"/>
      <c r="AD1670" s="175"/>
      <c r="AE1670" s="175"/>
      <c r="AF1670" s="175"/>
      <c r="AG1670" s="175"/>
      <c r="AH1670" s="175"/>
      <c r="AI1670" s="175"/>
    </row>
    <row r="1671">
      <c r="A1671" s="176">
        <v>46225.0</v>
      </c>
      <c r="B1671" s="177">
        <v>8899882.0</v>
      </c>
      <c r="C1671" s="178" t="s">
        <v>82</v>
      </c>
      <c r="D1671" s="178" t="s">
        <v>35</v>
      </c>
      <c r="E1671" s="177">
        <v>6.929721662E9</v>
      </c>
      <c r="F1671" s="178" t="s">
        <v>3106</v>
      </c>
      <c r="G1671" s="176">
        <v>46242.0</v>
      </c>
      <c r="H1671" s="179">
        <v>46243.0</v>
      </c>
      <c r="I1671" s="180">
        <v>1.0</v>
      </c>
      <c r="J1671" s="181" t="s">
        <v>111</v>
      </c>
      <c r="K1671" s="178" t="s">
        <v>79</v>
      </c>
      <c r="L1671" s="178" t="s">
        <v>80</v>
      </c>
      <c r="M1671" s="182">
        <v>3.0</v>
      </c>
      <c r="N1671" s="183">
        <v>0.19999999999999996</v>
      </c>
      <c r="O1671" s="184">
        <v>147.06</v>
      </c>
      <c r="P1671" s="184">
        <v>117.64800000000001</v>
      </c>
      <c r="Q1671" s="185">
        <v>0.0</v>
      </c>
      <c r="R1671" s="186">
        <v>117.64800000000001</v>
      </c>
      <c r="S1671" s="186">
        <v>0.0</v>
      </c>
      <c r="T1671" s="186">
        <v>309.12</v>
      </c>
      <c r="U1671" s="187" t="s">
        <v>143</v>
      </c>
      <c r="V1671" s="176">
        <v>46225.0</v>
      </c>
      <c r="W1671" s="164"/>
      <c r="X1671" s="164"/>
      <c r="Y1671" s="164"/>
      <c r="Z1671" s="164"/>
      <c r="AA1671" s="164"/>
      <c r="AB1671" s="164"/>
      <c r="AC1671" s="164"/>
      <c r="AD1671" s="164"/>
      <c r="AE1671" s="164"/>
      <c r="AF1671" s="164"/>
      <c r="AG1671" s="164"/>
      <c r="AH1671" s="164"/>
      <c r="AI1671" s="164"/>
    </row>
    <row r="1672">
      <c r="A1672" s="176">
        <v>46225.0</v>
      </c>
      <c r="B1672" s="177">
        <v>8899882.0</v>
      </c>
      <c r="C1672" s="178" t="s">
        <v>82</v>
      </c>
      <c r="D1672" s="178" t="s">
        <v>35</v>
      </c>
      <c r="E1672" s="177">
        <v>6.929721662E9</v>
      </c>
      <c r="F1672" s="178" t="s">
        <v>3106</v>
      </c>
      <c r="G1672" s="176">
        <v>46242.0</v>
      </c>
      <c r="H1672" s="179">
        <v>46243.0</v>
      </c>
      <c r="I1672" s="180">
        <v>1.0</v>
      </c>
      <c r="J1672" s="181" t="s">
        <v>111</v>
      </c>
      <c r="K1672" s="178" t="s">
        <v>79</v>
      </c>
      <c r="L1672" s="178" t="s">
        <v>80</v>
      </c>
      <c r="M1672" s="182">
        <v>3.0</v>
      </c>
      <c r="N1672" s="183">
        <v>0.19999999999999996</v>
      </c>
      <c r="O1672" s="184">
        <v>147.06</v>
      </c>
      <c r="P1672" s="184">
        <v>117.64800000000001</v>
      </c>
      <c r="Q1672" s="185">
        <v>0.0</v>
      </c>
      <c r="R1672" s="186">
        <v>117.64800000000001</v>
      </c>
      <c r="S1672" s="186">
        <v>0.0</v>
      </c>
      <c r="T1672" s="186">
        <v>309.12</v>
      </c>
      <c r="U1672" s="187" t="s">
        <v>143</v>
      </c>
      <c r="V1672" s="176">
        <v>46225.0</v>
      </c>
      <c r="W1672" s="175"/>
      <c r="X1672" s="175"/>
      <c r="Y1672" s="175"/>
      <c r="Z1672" s="175"/>
      <c r="AA1672" s="175"/>
      <c r="AB1672" s="175"/>
      <c r="AC1672" s="175"/>
      <c r="AD1672" s="175"/>
      <c r="AE1672" s="175"/>
      <c r="AF1672" s="175"/>
      <c r="AG1672" s="175"/>
      <c r="AH1672" s="175"/>
      <c r="AI1672" s="175"/>
    </row>
    <row r="1673">
      <c r="A1673" s="176">
        <v>46225.0</v>
      </c>
      <c r="B1673" s="177">
        <v>8901424.0</v>
      </c>
      <c r="C1673" s="178" t="s">
        <v>82</v>
      </c>
      <c r="D1673" s="178" t="s">
        <v>35</v>
      </c>
      <c r="E1673" s="177">
        <v>6.895360963E9</v>
      </c>
      <c r="F1673" s="178" t="s">
        <v>3109</v>
      </c>
      <c r="G1673" s="176">
        <v>46246.0</v>
      </c>
      <c r="H1673" s="179">
        <v>46248.0</v>
      </c>
      <c r="I1673" s="180">
        <v>2.0</v>
      </c>
      <c r="J1673" s="181" t="s">
        <v>87</v>
      </c>
      <c r="K1673" s="178" t="s">
        <v>79</v>
      </c>
      <c r="L1673" s="178" t="s">
        <v>80</v>
      </c>
      <c r="M1673" s="182">
        <v>2.0</v>
      </c>
      <c r="N1673" s="183">
        <v>0.19999999999999996</v>
      </c>
      <c r="O1673" s="184">
        <v>74.7</v>
      </c>
      <c r="P1673" s="184">
        <v>59.760000000000005</v>
      </c>
      <c r="Q1673" s="185">
        <v>0.0</v>
      </c>
      <c r="R1673" s="186">
        <v>119.52000000000001</v>
      </c>
      <c r="S1673" s="186">
        <v>0.0</v>
      </c>
      <c r="T1673" s="186">
        <v>159.4</v>
      </c>
      <c r="U1673" s="187" t="s">
        <v>143</v>
      </c>
      <c r="V1673" s="176">
        <v>46225.0</v>
      </c>
      <c r="W1673" s="175"/>
      <c r="X1673" s="175"/>
      <c r="Y1673" s="175"/>
      <c r="Z1673" s="175"/>
      <c r="AA1673" s="175"/>
      <c r="AB1673" s="175"/>
      <c r="AC1673" s="175"/>
      <c r="AD1673" s="175"/>
      <c r="AE1673" s="175"/>
      <c r="AF1673" s="175"/>
      <c r="AG1673" s="175"/>
      <c r="AH1673" s="175"/>
      <c r="AI1673" s="175"/>
    </row>
    <row r="1674">
      <c r="A1674" s="176">
        <v>46226.0</v>
      </c>
      <c r="B1674" s="177">
        <v>8902181.0</v>
      </c>
      <c r="C1674" s="178" t="s">
        <v>82</v>
      </c>
      <c r="D1674" s="178" t="s">
        <v>35</v>
      </c>
      <c r="E1674" s="177">
        <v>5.555762785E9</v>
      </c>
      <c r="F1674" s="178" t="s">
        <v>3110</v>
      </c>
      <c r="G1674" s="176">
        <v>46269.0</v>
      </c>
      <c r="H1674" s="179">
        <v>46270.0</v>
      </c>
      <c r="I1674" s="180">
        <v>1.0</v>
      </c>
      <c r="J1674" s="181" t="s">
        <v>87</v>
      </c>
      <c r="K1674" s="178" t="s">
        <v>79</v>
      </c>
      <c r="L1674" s="178" t="s">
        <v>80</v>
      </c>
      <c r="M1674" s="182">
        <v>2.0</v>
      </c>
      <c r="N1674" s="183">
        <v>0.19999999999999996</v>
      </c>
      <c r="O1674" s="184">
        <v>169.82</v>
      </c>
      <c r="P1674" s="184">
        <v>135.856</v>
      </c>
      <c r="Q1674" s="185">
        <v>0.0</v>
      </c>
      <c r="R1674" s="186">
        <v>135.856</v>
      </c>
      <c r="S1674" s="186">
        <v>0.0</v>
      </c>
      <c r="T1674" s="186">
        <v>174.82</v>
      </c>
      <c r="U1674" s="187" t="s">
        <v>1367</v>
      </c>
      <c r="V1674" s="176">
        <v>46226.0</v>
      </c>
      <c r="W1674" s="188"/>
      <c r="X1674" s="188"/>
      <c r="Y1674" s="188"/>
      <c r="Z1674" s="188"/>
      <c r="AA1674" s="188"/>
      <c r="AB1674" s="188"/>
      <c r="AC1674" s="188"/>
      <c r="AD1674" s="188"/>
      <c r="AE1674" s="188"/>
      <c r="AF1674" s="188"/>
      <c r="AG1674" s="188"/>
      <c r="AH1674" s="188"/>
      <c r="AI1674" s="188"/>
    </row>
    <row r="1675">
      <c r="A1675" s="176">
        <v>46226.0</v>
      </c>
      <c r="B1675" s="177">
        <v>8904400.0</v>
      </c>
      <c r="C1675" s="178" t="s">
        <v>82</v>
      </c>
      <c r="D1675" s="178" t="s">
        <v>35</v>
      </c>
      <c r="E1675" s="177">
        <v>6.686100211E9</v>
      </c>
      <c r="F1675" s="178" t="s">
        <v>3112</v>
      </c>
      <c r="G1675" s="176">
        <v>46278.0</v>
      </c>
      <c r="H1675" s="179">
        <v>46282.0</v>
      </c>
      <c r="I1675" s="180">
        <v>4.0</v>
      </c>
      <c r="J1675" s="181" t="s">
        <v>111</v>
      </c>
      <c r="K1675" s="178" t="s">
        <v>138</v>
      </c>
      <c r="L1675" s="178" t="s">
        <v>80</v>
      </c>
      <c r="M1675" s="182">
        <v>2.0</v>
      </c>
      <c r="N1675" s="183">
        <v>0.19999999999999996</v>
      </c>
      <c r="O1675" s="184">
        <v>196.95</v>
      </c>
      <c r="P1675" s="184">
        <v>157.56</v>
      </c>
      <c r="Q1675" s="185">
        <v>36.0</v>
      </c>
      <c r="R1675" s="186">
        <v>630.24</v>
      </c>
      <c r="S1675" s="186">
        <v>144.0</v>
      </c>
      <c r="T1675" s="186">
        <v>923.0</v>
      </c>
      <c r="U1675" s="187" t="s">
        <v>140</v>
      </c>
      <c r="V1675" s="176">
        <v>46226.0</v>
      </c>
      <c r="W1675" s="175"/>
      <c r="X1675" s="175"/>
      <c r="Y1675" s="175"/>
      <c r="Z1675" s="175"/>
      <c r="AA1675" s="175"/>
      <c r="AB1675" s="175"/>
      <c r="AC1675" s="175"/>
      <c r="AD1675" s="175"/>
      <c r="AE1675" s="175"/>
      <c r="AF1675" s="175"/>
      <c r="AG1675" s="175"/>
      <c r="AH1675" s="175"/>
      <c r="AI1675" s="175"/>
    </row>
    <row r="1676">
      <c r="A1676" s="176">
        <v>46226.0</v>
      </c>
      <c r="B1676" s="177">
        <v>8905117.0</v>
      </c>
      <c r="C1676" s="178" t="s">
        <v>82</v>
      </c>
      <c r="D1676" s="178" t="s">
        <v>35</v>
      </c>
      <c r="E1676" s="177">
        <v>6.963569473E9</v>
      </c>
      <c r="F1676" s="178" t="s">
        <v>3114</v>
      </c>
      <c r="G1676" s="176">
        <v>46335.95833333333</v>
      </c>
      <c r="H1676" s="179">
        <v>46340.95833333333</v>
      </c>
      <c r="I1676" s="180">
        <v>5.0</v>
      </c>
      <c r="J1676" s="181" t="s">
        <v>114</v>
      </c>
      <c r="K1676" s="178" t="s">
        <v>79</v>
      </c>
      <c r="L1676" s="178" t="s">
        <v>80</v>
      </c>
      <c r="M1676" s="182">
        <v>2.0</v>
      </c>
      <c r="N1676" s="183">
        <v>0.19999999999999996</v>
      </c>
      <c r="O1676" s="184">
        <v>201.45</v>
      </c>
      <c r="P1676" s="184">
        <v>161.16</v>
      </c>
      <c r="Q1676" s="185">
        <v>0.0</v>
      </c>
      <c r="R1676" s="186">
        <v>805.8</v>
      </c>
      <c r="S1676" s="186">
        <v>0.0</v>
      </c>
      <c r="T1676" s="186">
        <v>1032.25</v>
      </c>
      <c r="U1676" s="187" t="s">
        <v>161</v>
      </c>
      <c r="V1676" s="176">
        <v>46226.0</v>
      </c>
      <c r="W1676" s="175"/>
      <c r="X1676" s="175"/>
      <c r="Y1676" s="175"/>
      <c r="Z1676" s="175"/>
      <c r="AA1676" s="175"/>
      <c r="AB1676" s="175"/>
      <c r="AC1676" s="175"/>
      <c r="AD1676" s="175"/>
      <c r="AE1676" s="175"/>
      <c r="AF1676" s="175"/>
      <c r="AG1676" s="175"/>
      <c r="AH1676" s="175"/>
      <c r="AI1676" s="175"/>
    </row>
    <row r="1677">
      <c r="A1677" s="176">
        <v>46226.0</v>
      </c>
      <c r="B1677" s="177">
        <v>8906402.0</v>
      </c>
      <c r="C1677" s="178" t="s">
        <v>82</v>
      </c>
      <c r="D1677" s="178" t="s">
        <v>35</v>
      </c>
      <c r="E1677" s="177">
        <v>5.398876677E9</v>
      </c>
      <c r="F1677" s="178" t="s">
        <v>3115</v>
      </c>
      <c r="G1677" s="176">
        <v>46381.95833333333</v>
      </c>
      <c r="H1677" s="179">
        <v>46385.95833333333</v>
      </c>
      <c r="I1677" s="180">
        <v>4.0</v>
      </c>
      <c r="J1677" s="181" t="s">
        <v>78</v>
      </c>
      <c r="K1677" s="178" t="s">
        <v>79</v>
      </c>
      <c r="L1677" s="178" t="s">
        <v>80</v>
      </c>
      <c r="M1677" s="182">
        <v>2.0</v>
      </c>
      <c r="N1677" s="183">
        <v>0.19999999999999996</v>
      </c>
      <c r="O1677" s="184">
        <v>191.77</v>
      </c>
      <c r="P1677" s="184">
        <v>153.41600000000003</v>
      </c>
      <c r="Q1677" s="185">
        <v>0.0</v>
      </c>
      <c r="R1677" s="186">
        <v>613.6640000000001</v>
      </c>
      <c r="S1677" s="186">
        <v>0.0</v>
      </c>
      <c r="T1677" s="186">
        <v>787.08</v>
      </c>
      <c r="U1677" s="187" t="s">
        <v>353</v>
      </c>
      <c r="V1677" s="176">
        <v>46226.0</v>
      </c>
      <c r="W1677" s="164"/>
      <c r="X1677" s="164"/>
      <c r="Y1677" s="164"/>
      <c r="Z1677" s="164"/>
      <c r="AA1677" s="164"/>
      <c r="AB1677" s="164"/>
      <c r="AC1677" s="164"/>
      <c r="AD1677" s="164"/>
      <c r="AE1677" s="164"/>
      <c r="AF1677" s="164"/>
      <c r="AG1677" s="164"/>
      <c r="AH1677" s="164"/>
      <c r="AI1677" s="164"/>
    </row>
    <row r="1678">
      <c r="A1678" s="176">
        <v>46227.0</v>
      </c>
      <c r="B1678" s="177">
        <v>8908879.0</v>
      </c>
      <c r="C1678" s="178" t="s">
        <v>82</v>
      </c>
      <c r="D1678" s="178" t="s">
        <v>101</v>
      </c>
      <c r="E1678" s="177">
        <v>2.517456748E9</v>
      </c>
      <c r="F1678" s="178" t="s">
        <v>3116</v>
      </c>
      <c r="G1678" s="176">
        <v>46321.95833333333</v>
      </c>
      <c r="H1678" s="179">
        <v>46323.95833333333</v>
      </c>
      <c r="I1678" s="180">
        <v>2.0</v>
      </c>
      <c r="J1678" s="181" t="s">
        <v>78</v>
      </c>
      <c r="K1678" s="178" t="s">
        <v>79</v>
      </c>
      <c r="L1678" s="178" t="s">
        <v>103</v>
      </c>
      <c r="M1678" s="182">
        <v>3.0</v>
      </c>
      <c r="N1678" s="183">
        <v>0.0</v>
      </c>
      <c r="O1678" s="184">
        <v>239.76</v>
      </c>
      <c r="P1678" s="184">
        <v>191.808</v>
      </c>
      <c r="Q1678" s="185">
        <v>0.0</v>
      </c>
      <c r="R1678" s="186">
        <v>383.616</v>
      </c>
      <c r="S1678" s="186">
        <v>0.0</v>
      </c>
      <c r="T1678" s="186">
        <v>479.52</v>
      </c>
      <c r="U1678" s="187" t="s">
        <v>104</v>
      </c>
      <c r="V1678" s="176">
        <v>46227.0</v>
      </c>
      <c r="W1678" s="164"/>
      <c r="X1678" s="164"/>
      <c r="Y1678" s="164"/>
      <c r="Z1678" s="164"/>
      <c r="AA1678" s="164"/>
      <c r="AB1678" s="164"/>
      <c r="AC1678" s="164"/>
      <c r="AD1678" s="164"/>
      <c r="AE1678" s="164"/>
      <c r="AF1678" s="164"/>
      <c r="AG1678" s="164"/>
      <c r="AH1678" s="164"/>
      <c r="AI1678" s="164"/>
    </row>
    <row r="1679">
      <c r="A1679" s="176">
        <v>46227.0</v>
      </c>
      <c r="B1679" s="177">
        <v>8908880.0</v>
      </c>
      <c r="C1679" s="178" t="s">
        <v>82</v>
      </c>
      <c r="D1679" s="178" t="s">
        <v>101</v>
      </c>
      <c r="E1679" s="177">
        <v>2.517456679E9</v>
      </c>
      <c r="F1679" s="178" t="s">
        <v>3118</v>
      </c>
      <c r="G1679" s="176">
        <v>46321.95833333333</v>
      </c>
      <c r="H1679" s="179">
        <v>46323.95833333333</v>
      </c>
      <c r="I1679" s="180">
        <v>2.0</v>
      </c>
      <c r="J1679" s="181" t="s">
        <v>78</v>
      </c>
      <c r="K1679" s="178" t="s">
        <v>79</v>
      </c>
      <c r="L1679" s="178" t="s">
        <v>103</v>
      </c>
      <c r="M1679" s="182">
        <v>2.0</v>
      </c>
      <c r="N1679" s="183">
        <v>0.0</v>
      </c>
      <c r="O1679" s="184">
        <v>239.76</v>
      </c>
      <c r="P1679" s="184">
        <v>191.808</v>
      </c>
      <c r="Q1679" s="185">
        <v>0.0</v>
      </c>
      <c r="R1679" s="186">
        <v>383.616</v>
      </c>
      <c r="S1679" s="186">
        <v>0.0</v>
      </c>
      <c r="T1679" s="186">
        <v>479.52</v>
      </c>
      <c r="U1679" s="187" t="s">
        <v>104</v>
      </c>
      <c r="V1679" s="176">
        <v>46227.0</v>
      </c>
      <c r="W1679" s="175"/>
      <c r="X1679" s="175"/>
      <c r="Y1679" s="175"/>
      <c r="Z1679" s="175"/>
      <c r="AA1679" s="175"/>
      <c r="AB1679" s="175"/>
      <c r="AC1679" s="175"/>
      <c r="AD1679" s="175"/>
      <c r="AE1679" s="175"/>
      <c r="AF1679" s="175"/>
      <c r="AG1679" s="175"/>
      <c r="AH1679" s="175"/>
      <c r="AI1679" s="175"/>
    </row>
    <row r="1680">
      <c r="A1680" s="176">
        <v>46227.0</v>
      </c>
      <c r="B1680" s="177">
        <v>8909086.0</v>
      </c>
      <c r="C1680" s="178" t="s">
        <v>82</v>
      </c>
      <c r="D1680" s="178" t="s">
        <v>35</v>
      </c>
      <c r="E1680" s="177">
        <v>5.969871097E9</v>
      </c>
      <c r="F1680" s="178" t="s">
        <v>3119</v>
      </c>
      <c r="G1680" s="176">
        <v>46290.95833333333</v>
      </c>
      <c r="H1680" s="179">
        <v>46291.95833333333</v>
      </c>
      <c r="I1680" s="180">
        <v>1.0</v>
      </c>
      <c r="J1680" s="181" t="s">
        <v>78</v>
      </c>
      <c r="K1680" s="178" t="s">
        <v>79</v>
      </c>
      <c r="L1680" s="178" t="s">
        <v>80</v>
      </c>
      <c r="M1680" s="182">
        <v>2.0</v>
      </c>
      <c r="N1680" s="183">
        <v>0.19999999999999996</v>
      </c>
      <c r="O1680" s="184">
        <v>130.76</v>
      </c>
      <c r="P1680" s="184">
        <v>104.608</v>
      </c>
      <c r="Q1680" s="185">
        <v>0.0</v>
      </c>
      <c r="R1680" s="186">
        <v>104.608</v>
      </c>
      <c r="S1680" s="186">
        <v>0.0</v>
      </c>
      <c r="T1680" s="186">
        <v>130.76</v>
      </c>
      <c r="U1680" s="187" t="s">
        <v>107</v>
      </c>
      <c r="V1680" s="176">
        <v>46227.0</v>
      </c>
      <c r="W1680" s="175"/>
      <c r="X1680" s="175"/>
      <c r="Y1680" s="175"/>
      <c r="Z1680" s="175"/>
      <c r="AA1680" s="175"/>
      <c r="AB1680" s="175"/>
      <c r="AC1680" s="175"/>
      <c r="AD1680" s="175"/>
      <c r="AE1680" s="175"/>
      <c r="AF1680" s="175"/>
      <c r="AG1680" s="175"/>
      <c r="AH1680" s="175"/>
      <c r="AI1680" s="175"/>
    </row>
    <row r="1681">
      <c r="A1681" s="176">
        <v>46227.0</v>
      </c>
      <c r="B1681" s="177">
        <v>8909138.0</v>
      </c>
      <c r="C1681" s="178" t="s">
        <v>82</v>
      </c>
      <c r="D1681" s="178" t="s">
        <v>101</v>
      </c>
      <c r="E1681" s="177">
        <v>2.517479871E9</v>
      </c>
      <c r="F1681" s="178" t="s">
        <v>3118</v>
      </c>
      <c r="G1681" s="176">
        <v>46324.95833333333</v>
      </c>
      <c r="H1681" s="179">
        <v>46325.95833333333</v>
      </c>
      <c r="I1681" s="180">
        <v>1.0</v>
      </c>
      <c r="J1681" s="181" t="s">
        <v>78</v>
      </c>
      <c r="K1681" s="178" t="s">
        <v>79</v>
      </c>
      <c r="L1681" s="178" t="s">
        <v>103</v>
      </c>
      <c r="M1681" s="182">
        <v>2.0</v>
      </c>
      <c r="N1681" s="183">
        <v>0.0</v>
      </c>
      <c r="O1681" s="184">
        <v>239.76</v>
      </c>
      <c r="P1681" s="184">
        <v>191.808</v>
      </c>
      <c r="Q1681" s="185">
        <v>0.0</v>
      </c>
      <c r="R1681" s="186">
        <v>191.808</v>
      </c>
      <c r="S1681" s="186">
        <v>0.0</v>
      </c>
      <c r="T1681" s="186">
        <v>239.76</v>
      </c>
      <c r="U1681" s="187" t="s">
        <v>104</v>
      </c>
      <c r="V1681" s="176">
        <v>46227.0</v>
      </c>
      <c r="W1681" s="175"/>
      <c r="X1681" s="175"/>
      <c r="Y1681" s="175"/>
      <c r="Z1681" s="175"/>
      <c r="AA1681" s="175"/>
      <c r="AB1681" s="175"/>
      <c r="AC1681" s="175"/>
      <c r="AD1681" s="175"/>
      <c r="AE1681" s="175"/>
      <c r="AF1681" s="175"/>
      <c r="AG1681" s="175"/>
      <c r="AH1681" s="175"/>
      <c r="AI1681" s="175"/>
    </row>
    <row r="1682">
      <c r="A1682" s="176">
        <v>46227.0</v>
      </c>
      <c r="B1682" s="177">
        <v>8909137.0</v>
      </c>
      <c r="C1682" s="178" t="s">
        <v>82</v>
      </c>
      <c r="D1682" s="178" t="s">
        <v>101</v>
      </c>
      <c r="E1682" s="177">
        <v>2.517479804E9</v>
      </c>
      <c r="F1682" s="178" t="s">
        <v>3116</v>
      </c>
      <c r="G1682" s="176">
        <v>46324.95833333333</v>
      </c>
      <c r="H1682" s="179">
        <v>46325.95833333333</v>
      </c>
      <c r="I1682" s="180">
        <v>1.0</v>
      </c>
      <c r="J1682" s="181" t="s">
        <v>78</v>
      </c>
      <c r="K1682" s="178" t="s">
        <v>79</v>
      </c>
      <c r="L1682" s="178" t="s">
        <v>103</v>
      </c>
      <c r="M1682" s="182">
        <v>3.0</v>
      </c>
      <c r="N1682" s="183">
        <v>0.0</v>
      </c>
      <c r="O1682" s="184">
        <v>239.76</v>
      </c>
      <c r="P1682" s="184">
        <v>191.808</v>
      </c>
      <c r="Q1682" s="185">
        <v>0.0</v>
      </c>
      <c r="R1682" s="186">
        <v>191.808</v>
      </c>
      <c r="S1682" s="186">
        <v>0.0</v>
      </c>
      <c r="T1682" s="186">
        <v>239.76</v>
      </c>
      <c r="U1682" s="187" t="s">
        <v>104</v>
      </c>
      <c r="V1682" s="176">
        <v>46227.0</v>
      </c>
      <c r="W1682" s="175"/>
      <c r="X1682" s="175"/>
      <c r="Y1682" s="175"/>
      <c r="Z1682" s="175"/>
      <c r="AA1682" s="175"/>
      <c r="AB1682" s="175"/>
      <c r="AC1682" s="175"/>
      <c r="AD1682" s="175"/>
      <c r="AE1682" s="175"/>
      <c r="AF1682" s="175"/>
      <c r="AG1682" s="175"/>
      <c r="AH1682" s="175"/>
      <c r="AI1682" s="175"/>
    </row>
    <row r="1683">
      <c r="A1683" s="176">
        <v>46227.0</v>
      </c>
      <c r="B1683" s="177">
        <v>8909167.0</v>
      </c>
      <c r="C1683" s="178" t="s">
        <v>82</v>
      </c>
      <c r="D1683" s="178" t="s">
        <v>35</v>
      </c>
      <c r="E1683" s="177">
        <v>5.969832052E9</v>
      </c>
      <c r="F1683" s="178" t="s">
        <v>3122</v>
      </c>
      <c r="G1683" s="176">
        <v>46244.0</v>
      </c>
      <c r="H1683" s="179">
        <v>46247.0</v>
      </c>
      <c r="I1683" s="180">
        <v>3.0</v>
      </c>
      <c r="J1683" s="181" t="s">
        <v>91</v>
      </c>
      <c r="K1683" s="178" t="s">
        <v>79</v>
      </c>
      <c r="L1683" s="178" t="s">
        <v>80</v>
      </c>
      <c r="M1683" s="182">
        <v>5.0</v>
      </c>
      <c r="N1683" s="183">
        <v>0.19999999999999996</v>
      </c>
      <c r="O1683" s="184">
        <v>290.21</v>
      </c>
      <c r="P1683" s="184">
        <v>232.168</v>
      </c>
      <c r="Q1683" s="185">
        <v>0.0</v>
      </c>
      <c r="R1683" s="186">
        <v>696.504</v>
      </c>
      <c r="S1683" s="186">
        <v>0.0</v>
      </c>
      <c r="T1683" s="186">
        <v>870.63</v>
      </c>
      <c r="U1683" s="187" t="s">
        <v>143</v>
      </c>
      <c r="V1683" s="176">
        <v>46227.0</v>
      </c>
      <c r="W1683" s="175"/>
      <c r="X1683" s="175"/>
      <c r="Y1683" s="175"/>
      <c r="Z1683" s="175"/>
      <c r="AA1683" s="175"/>
      <c r="AB1683" s="175"/>
      <c r="AC1683" s="175"/>
      <c r="AD1683" s="175"/>
      <c r="AE1683" s="175"/>
      <c r="AF1683" s="175"/>
      <c r="AG1683" s="175"/>
      <c r="AH1683" s="175"/>
      <c r="AI1683" s="175"/>
    </row>
    <row r="1684">
      <c r="A1684" s="176">
        <v>46227.0</v>
      </c>
      <c r="B1684" s="177">
        <v>8910880.0</v>
      </c>
      <c r="C1684" s="178" t="s">
        <v>82</v>
      </c>
      <c r="D1684" s="178" t="s">
        <v>35</v>
      </c>
      <c r="E1684" s="177">
        <v>6.812037751E9</v>
      </c>
      <c r="F1684" s="178" t="s">
        <v>3124</v>
      </c>
      <c r="G1684" s="176">
        <v>46261.0</v>
      </c>
      <c r="H1684" s="179">
        <v>46262.0</v>
      </c>
      <c r="I1684" s="180">
        <v>1.0</v>
      </c>
      <c r="J1684" s="181" t="s">
        <v>78</v>
      </c>
      <c r="K1684" s="178" t="s">
        <v>79</v>
      </c>
      <c r="L1684" s="178" t="s">
        <v>80</v>
      </c>
      <c r="M1684" s="182">
        <v>2.0</v>
      </c>
      <c r="N1684" s="183">
        <v>0.19999999999999996</v>
      </c>
      <c r="O1684" s="184">
        <v>80.04</v>
      </c>
      <c r="P1684" s="184">
        <v>64.03200000000001</v>
      </c>
      <c r="Q1684" s="185">
        <v>0.0</v>
      </c>
      <c r="R1684" s="186">
        <v>64.03200000000001</v>
      </c>
      <c r="S1684" s="186">
        <v>0.0</v>
      </c>
      <c r="T1684" s="186">
        <v>85.04</v>
      </c>
      <c r="U1684" s="187" t="s">
        <v>107</v>
      </c>
      <c r="V1684" s="176">
        <v>46227.0</v>
      </c>
      <c r="W1684" s="188"/>
      <c r="X1684" s="188"/>
      <c r="Y1684" s="188"/>
      <c r="Z1684" s="188"/>
      <c r="AA1684" s="188"/>
      <c r="AB1684" s="188"/>
      <c r="AC1684" s="188"/>
      <c r="AD1684" s="188"/>
      <c r="AE1684" s="188"/>
      <c r="AF1684" s="188"/>
      <c r="AG1684" s="188"/>
      <c r="AH1684" s="188"/>
      <c r="AI1684" s="188"/>
    </row>
    <row r="1685">
      <c r="A1685" s="176">
        <v>46227.0</v>
      </c>
      <c r="B1685" s="177">
        <v>8912009.0</v>
      </c>
      <c r="C1685" s="178" t="s">
        <v>82</v>
      </c>
      <c r="D1685" s="178" t="s">
        <v>35</v>
      </c>
      <c r="E1685" s="177">
        <v>5.209334912E9</v>
      </c>
      <c r="F1685" s="178" t="s">
        <v>3126</v>
      </c>
      <c r="G1685" s="176">
        <v>46286.95833333333</v>
      </c>
      <c r="H1685" s="179">
        <v>46289.95833333333</v>
      </c>
      <c r="I1685" s="180">
        <v>3.0</v>
      </c>
      <c r="J1685" s="181" t="s">
        <v>78</v>
      </c>
      <c r="K1685" s="178" t="s">
        <v>79</v>
      </c>
      <c r="L1685" s="178" t="s">
        <v>80</v>
      </c>
      <c r="M1685" s="182">
        <v>2.0</v>
      </c>
      <c r="N1685" s="183">
        <v>0.19999999999999996</v>
      </c>
      <c r="O1685" s="184">
        <v>124.10000000000001</v>
      </c>
      <c r="P1685" s="184">
        <v>99.28000000000002</v>
      </c>
      <c r="Q1685" s="185">
        <v>0.0</v>
      </c>
      <c r="R1685" s="186">
        <v>297.84000000000003</v>
      </c>
      <c r="S1685" s="186">
        <v>0.0</v>
      </c>
      <c r="T1685" s="186">
        <v>372.3</v>
      </c>
      <c r="U1685" s="187" t="s">
        <v>107</v>
      </c>
      <c r="V1685" s="176">
        <v>46227.0</v>
      </c>
      <c r="W1685" s="175"/>
      <c r="X1685" s="175"/>
      <c r="Y1685" s="175"/>
      <c r="Z1685" s="175"/>
      <c r="AA1685" s="175"/>
      <c r="AB1685" s="175"/>
      <c r="AC1685" s="175"/>
      <c r="AD1685" s="175"/>
      <c r="AE1685" s="175"/>
      <c r="AF1685" s="175"/>
      <c r="AG1685" s="175"/>
      <c r="AH1685" s="175"/>
      <c r="AI1685" s="175"/>
    </row>
    <row r="1686">
      <c r="A1686" s="176">
        <v>46228.0</v>
      </c>
      <c r="B1686" s="177">
        <v>8915180.0</v>
      </c>
      <c r="C1686" s="178" t="s">
        <v>89</v>
      </c>
      <c r="D1686" s="178" t="s">
        <v>94</v>
      </c>
      <c r="E1686" s="177">
        <v>8915180.0</v>
      </c>
      <c r="F1686" s="178" t="s">
        <v>3128</v>
      </c>
      <c r="G1686" s="176">
        <v>46232.0</v>
      </c>
      <c r="H1686" s="179">
        <v>46237.0</v>
      </c>
      <c r="I1686" s="180">
        <v>5.0</v>
      </c>
      <c r="J1686" s="181" t="s">
        <v>78</v>
      </c>
      <c r="K1686" s="178" t="s">
        <v>79</v>
      </c>
      <c r="L1686" s="178" t="s">
        <v>96</v>
      </c>
      <c r="M1686" s="182">
        <v>0.0</v>
      </c>
      <c r="N1686" s="183">
        <v>0.0</v>
      </c>
      <c r="O1686" s="184">
        <v>0.0</v>
      </c>
      <c r="P1686" s="184">
        <v>0.0</v>
      </c>
      <c r="Q1686" s="185">
        <v>0.0</v>
      </c>
      <c r="R1686" s="186">
        <v>0.0</v>
      </c>
      <c r="S1686" s="186">
        <v>0.0</v>
      </c>
      <c r="T1686" s="186">
        <v>0.0</v>
      </c>
      <c r="U1686" s="187" t="s">
        <v>3129</v>
      </c>
      <c r="V1686" s="176">
        <v>46232.0</v>
      </c>
      <c r="W1686" s="188"/>
      <c r="X1686" s="188"/>
      <c r="Y1686" s="188"/>
      <c r="Z1686" s="188"/>
      <c r="AA1686" s="188"/>
      <c r="AB1686" s="188"/>
      <c r="AC1686" s="188"/>
      <c r="AD1686" s="188"/>
      <c r="AE1686" s="188"/>
      <c r="AF1686" s="188"/>
      <c r="AG1686" s="188"/>
      <c r="AH1686" s="188"/>
      <c r="AI1686" s="188"/>
    </row>
    <row r="1687">
      <c r="A1687" s="176">
        <v>46228.0</v>
      </c>
      <c r="B1687" s="177">
        <v>8915180.0</v>
      </c>
      <c r="C1687" s="178" t="s">
        <v>89</v>
      </c>
      <c r="D1687" s="178" t="s">
        <v>94</v>
      </c>
      <c r="E1687" s="177">
        <v>8915180.0</v>
      </c>
      <c r="F1687" s="178" t="s">
        <v>3128</v>
      </c>
      <c r="G1687" s="176">
        <v>46232.0</v>
      </c>
      <c r="H1687" s="179">
        <v>46237.0</v>
      </c>
      <c r="I1687" s="180">
        <v>5.0</v>
      </c>
      <c r="J1687" s="181" t="s">
        <v>87</v>
      </c>
      <c r="K1687" s="178" t="s">
        <v>79</v>
      </c>
      <c r="L1687" s="178" t="s">
        <v>96</v>
      </c>
      <c r="M1687" s="182">
        <v>0.0</v>
      </c>
      <c r="N1687" s="183">
        <v>0.0</v>
      </c>
      <c r="O1687" s="184">
        <v>0.0</v>
      </c>
      <c r="P1687" s="184">
        <v>0.0</v>
      </c>
      <c r="Q1687" s="185">
        <v>0.0</v>
      </c>
      <c r="R1687" s="186">
        <v>0.0</v>
      </c>
      <c r="S1687" s="186">
        <v>0.0</v>
      </c>
      <c r="T1687" s="186">
        <v>0.0</v>
      </c>
      <c r="U1687" s="187" t="s">
        <v>3129</v>
      </c>
      <c r="V1687" s="176">
        <v>46232.0</v>
      </c>
      <c r="W1687" s="188"/>
      <c r="X1687" s="188"/>
      <c r="Y1687" s="188"/>
      <c r="Z1687" s="188"/>
      <c r="AA1687" s="188"/>
      <c r="AB1687" s="188"/>
      <c r="AC1687" s="188"/>
      <c r="AD1687" s="188"/>
      <c r="AE1687" s="188"/>
      <c r="AF1687" s="188"/>
      <c r="AG1687" s="188"/>
      <c r="AH1687" s="188"/>
      <c r="AI1687" s="188"/>
    </row>
    <row r="1688">
      <c r="A1688" s="176">
        <v>46228.0</v>
      </c>
      <c r="B1688" s="177">
        <v>8915790.0</v>
      </c>
      <c r="C1688" s="178" t="s">
        <v>82</v>
      </c>
      <c r="D1688" s="178" t="s">
        <v>94</v>
      </c>
      <c r="E1688" s="177">
        <v>8915790.0</v>
      </c>
      <c r="F1688" s="178" t="s">
        <v>3131</v>
      </c>
      <c r="G1688" s="176">
        <v>46231.0</v>
      </c>
      <c r="H1688" s="179">
        <v>46233.0</v>
      </c>
      <c r="I1688" s="180">
        <v>2.0</v>
      </c>
      <c r="J1688" s="181" t="s">
        <v>114</v>
      </c>
      <c r="K1688" s="178" t="s">
        <v>79</v>
      </c>
      <c r="L1688" s="178" t="s">
        <v>96</v>
      </c>
      <c r="M1688" s="182">
        <v>1.0</v>
      </c>
      <c r="N1688" s="183">
        <v>0.0</v>
      </c>
      <c r="O1688" s="184">
        <v>144.0</v>
      </c>
      <c r="P1688" s="184">
        <v>144.0</v>
      </c>
      <c r="Q1688" s="185">
        <v>0.0</v>
      </c>
      <c r="R1688" s="186">
        <v>288.0</v>
      </c>
      <c r="S1688" s="186">
        <v>0.0</v>
      </c>
      <c r="T1688" s="186">
        <v>647.92</v>
      </c>
      <c r="U1688" s="187" t="s">
        <v>97</v>
      </c>
      <c r="V1688" s="176">
        <v>46228.0</v>
      </c>
      <c r="W1688" s="164"/>
      <c r="X1688" s="164"/>
      <c r="Y1688" s="164"/>
      <c r="Z1688" s="164"/>
      <c r="AA1688" s="164"/>
      <c r="AB1688" s="164"/>
      <c r="AC1688" s="164"/>
      <c r="AD1688" s="164"/>
      <c r="AE1688" s="164"/>
      <c r="AF1688" s="164"/>
      <c r="AG1688" s="164"/>
      <c r="AH1688" s="164"/>
      <c r="AI1688" s="164"/>
    </row>
    <row r="1689">
      <c r="A1689" s="176">
        <v>46228.0</v>
      </c>
      <c r="B1689" s="177">
        <v>8915790.0</v>
      </c>
      <c r="C1689" s="178" t="s">
        <v>82</v>
      </c>
      <c r="D1689" s="178" t="s">
        <v>94</v>
      </c>
      <c r="E1689" s="177">
        <v>8915790.0</v>
      </c>
      <c r="F1689" s="178" t="s">
        <v>3131</v>
      </c>
      <c r="G1689" s="176">
        <v>46231.0</v>
      </c>
      <c r="H1689" s="179">
        <v>46233.0</v>
      </c>
      <c r="I1689" s="180">
        <v>2.0</v>
      </c>
      <c r="J1689" s="181" t="s">
        <v>111</v>
      </c>
      <c r="K1689" s="178" t="s">
        <v>79</v>
      </c>
      <c r="L1689" s="178" t="s">
        <v>96</v>
      </c>
      <c r="M1689" s="182">
        <v>1.0</v>
      </c>
      <c r="N1689" s="183">
        <v>0.0</v>
      </c>
      <c r="O1689" s="184">
        <v>174.96</v>
      </c>
      <c r="P1689" s="184">
        <v>174.96</v>
      </c>
      <c r="Q1689" s="185">
        <v>0.0</v>
      </c>
      <c r="R1689" s="186">
        <v>349.92</v>
      </c>
      <c r="S1689" s="186">
        <v>0.0</v>
      </c>
      <c r="T1689" s="186">
        <v>647.92</v>
      </c>
      <c r="U1689" s="187" t="s">
        <v>97</v>
      </c>
      <c r="V1689" s="176">
        <v>46228.0</v>
      </c>
      <c r="W1689" s="175"/>
      <c r="X1689" s="175"/>
      <c r="Y1689" s="175"/>
      <c r="Z1689" s="175"/>
      <c r="AA1689" s="175"/>
      <c r="AB1689" s="175"/>
      <c r="AC1689" s="175"/>
      <c r="AD1689" s="175"/>
      <c r="AE1689" s="175"/>
      <c r="AF1689" s="175"/>
      <c r="AG1689" s="175"/>
      <c r="AH1689" s="175"/>
      <c r="AI1689" s="175"/>
    </row>
    <row r="1690">
      <c r="A1690" s="176">
        <v>46228.0</v>
      </c>
      <c r="B1690" s="177">
        <v>8917398.0</v>
      </c>
      <c r="C1690" s="178" t="s">
        <v>89</v>
      </c>
      <c r="D1690" s="178" t="s">
        <v>35</v>
      </c>
      <c r="E1690" s="177">
        <v>5.049019987E9</v>
      </c>
      <c r="F1690" s="178" t="s">
        <v>3133</v>
      </c>
      <c r="G1690" s="176">
        <v>46479.95833333333</v>
      </c>
      <c r="H1690" s="179">
        <v>46483.95833333333</v>
      </c>
      <c r="I1690" s="180">
        <v>4.0</v>
      </c>
      <c r="J1690" s="181" t="s">
        <v>78</v>
      </c>
      <c r="K1690" s="178" t="s">
        <v>138</v>
      </c>
      <c r="L1690" s="178" t="s">
        <v>80</v>
      </c>
      <c r="M1690" s="182">
        <v>0.0</v>
      </c>
      <c r="N1690" s="183">
        <v>0.0</v>
      </c>
      <c r="O1690" s="184">
        <v>0.0</v>
      </c>
      <c r="P1690" s="184">
        <v>0.0</v>
      </c>
      <c r="Q1690" s="185">
        <v>0.0</v>
      </c>
      <c r="R1690" s="186">
        <v>0.0</v>
      </c>
      <c r="S1690" s="186">
        <v>0.0</v>
      </c>
      <c r="T1690" s="186">
        <v>0.0</v>
      </c>
      <c r="U1690" s="187" t="s">
        <v>3134</v>
      </c>
      <c r="V1690" s="176">
        <v>46233.0</v>
      </c>
      <c r="W1690" s="175"/>
      <c r="X1690" s="175"/>
      <c r="Y1690" s="175"/>
      <c r="Z1690" s="175"/>
      <c r="AA1690" s="175"/>
      <c r="AB1690" s="175"/>
      <c r="AC1690" s="175"/>
      <c r="AD1690" s="175"/>
      <c r="AE1690" s="175"/>
      <c r="AF1690" s="175"/>
      <c r="AG1690" s="175"/>
      <c r="AH1690" s="175"/>
      <c r="AI1690" s="175"/>
    </row>
    <row r="1691">
      <c r="A1691" s="176">
        <v>46228.0</v>
      </c>
      <c r="B1691" s="177">
        <v>8917552.0</v>
      </c>
      <c r="C1691" s="178" t="s">
        <v>82</v>
      </c>
      <c r="D1691" s="178" t="s">
        <v>35</v>
      </c>
      <c r="E1691" s="177">
        <v>6.765584654E9</v>
      </c>
      <c r="F1691" s="178" t="s">
        <v>2376</v>
      </c>
      <c r="G1691" s="176">
        <v>46269.0</v>
      </c>
      <c r="H1691" s="179">
        <v>46272.0</v>
      </c>
      <c r="I1691" s="180">
        <v>3.0</v>
      </c>
      <c r="J1691" s="181" t="s">
        <v>111</v>
      </c>
      <c r="K1691" s="178" t="s">
        <v>79</v>
      </c>
      <c r="L1691" s="178" t="s">
        <v>80</v>
      </c>
      <c r="M1691" s="182">
        <v>2.0</v>
      </c>
      <c r="N1691" s="183">
        <v>0.19999999999999996</v>
      </c>
      <c r="O1691" s="184">
        <v>169.85</v>
      </c>
      <c r="P1691" s="184">
        <v>135.88</v>
      </c>
      <c r="Q1691" s="185">
        <v>0.0</v>
      </c>
      <c r="R1691" s="186">
        <v>407.64</v>
      </c>
      <c r="S1691" s="186">
        <v>0.0</v>
      </c>
      <c r="T1691" s="186">
        <v>509.55</v>
      </c>
      <c r="U1691" s="187" t="s">
        <v>107</v>
      </c>
      <c r="V1691" s="176">
        <v>46228.0</v>
      </c>
      <c r="W1691" s="175"/>
      <c r="X1691" s="175"/>
      <c r="Y1691" s="175"/>
      <c r="Z1691" s="175"/>
      <c r="AA1691" s="175"/>
      <c r="AB1691" s="175"/>
      <c r="AC1691" s="175"/>
      <c r="AD1691" s="175"/>
      <c r="AE1691" s="175"/>
      <c r="AF1691" s="175"/>
      <c r="AG1691" s="175"/>
      <c r="AH1691" s="175"/>
      <c r="AI1691" s="175"/>
    </row>
    <row r="1692">
      <c r="A1692" s="176">
        <v>46229.0</v>
      </c>
      <c r="B1692" s="177">
        <v>8919226.0</v>
      </c>
      <c r="C1692" s="178" t="s">
        <v>82</v>
      </c>
      <c r="D1692" s="178" t="s">
        <v>109</v>
      </c>
      <c r="E1692" s="177">
        <v>1.753488858E9</v>
      </c>
      <c r="F1692" s="178" t="s">
        <v>3136</v>
      </c>
      <c r="G1692" s="176">
        <v>46251.0</v>
      </c>
      <c r="H1692" s="179">
        <v>46253.0</v>
      </c>
      <c r="I1692" s="180">
        <v>2.0</v>
      </c>
      <c r="J1692" s="181" t="s">
        <v>87</v>
      </c>
      <c r="K1692" s="178" t="s">
        <v>79</v>
      </c>
      <c r="L1692" s="178" t="s">
        <v>96</v>
      </c>
      <c r="M1692" s="182">
        <v>1.0</v>
      </c>
      <c r="N1692" s="183">
        <v>0.19999999999999996</v>
      </c>
      <c r="O1692" s="184">
        <v>94.35</v>
      </c>
      <c r="P1692" s="184">
        <v>75.48</v>
      </c>
      <c r="Q1692" s="185">
        <v>0.0</v>
      </c>
      <c r="R1692" s="186">
        <v>150.96</v>
      </c>
      <c r="S1692" s="186">
        <v>0.0</v>
      </c>
      <c r="T1692" s="186">
        <v>188.7</v>
      </c>
      <c r="U1692" s="187" t="s">
        <v>1464</v>
      </c>
      <c r="V1692" s="176">
        <v>46229.0</v>
      </c>
      <c r="W1692" s="221"/>
      <c r="X1692" s="175"/>
      <c r="Y1692" s="175"/>
      <c r="Z1692" s="175"/>
      <c r="AA1692" s="175"/>
      <c r="AB1692" s="175"/>
      <c r="AC1692" s="175"/>
      <c r="AD1692" s="175"/>
      <c r="AE1692" s="175"/>
      <c r="AF1692" s="175"/>
      <c r="AG1692" s="175"/>
      <c r="AH1692" s="175"/>
      <c r="AI1692" s="175"/>
    </row>
    <row r="1693">
      <c r="A1693" s="176">
        <v>46229.0</v>
      </c>
      <c r="B1693" s="177">
        <v>8921402.0</v>
      </c>
      <c r="C1693" s="178" t="s">
        <v>82</v>
      </c>
      <c r="D1693" s="178" t="s">
        <v>35</v>
      </c>
      <c r="E1693" s="177">
        <v>5.261725046E9</v>
      </c>
      <c r="F1693" s="178" t="s">
        <v>3138</v>
      </c>
      <c r="G1693" s="176">
        <v>46350.95833333333</v>
      </c>
      <c r="H1693" s="179">
        <v>46353.95833333333</v>
      </c>
      <c r="I1693" s="180">
        <v>3.0</v>
      </c>
      <c r="J1693" s="181" t="s">
        <v>78</v>
      </c>
      <c r="K1693" s="178" t="s">
        <v>79</v>
      </c>
      <c r="L1693" s="178" t="s">
        <v>80</v>
      </c>
      <c r="M1693" s="182">
        <v>2.0</v>
      </c>
      <c r="N1693" s="183">
        <v>0.19999999999999996</v>
      </c>
      <c r="O1693" s="184">
        <v>172.11</v>
      </c>
      <c r="P1693" s="184">
        <v>137.68800000000002</v>
      </c>
      <c r="Q1693" s="185">
        <v>0.0</v>
      </c>
      <c r="R1693" s="186">
        <v>413.0640000000001</v>
      </c>
      <c r="S1693" s="186">
        <v>0.0</v>
      </c>
      <c r="T1693" s="186">
        <v>516.33</v>
      </c>
      <c r="U1693" s="187" t="s">
        <v>107</v>
      </c>
      <c r="V1693" s="176">
        <v>46229.0</v>
      </c>
      <c r="W1693" s="164"/>
      <c r="X1693" s="164"/>
      <c r="Y1693" s="164"/>
      <c r="Z1693" s="164"/>
      <c r="AA1693" s="164"/>
      <c r="AB1693" s="164"/>
      <c r="AC1693" s="164"/>
      <c r="AD1693" s="164"/>
      <c r="AE1693" s="164"/>
      <c r="AF1693" s="164"/>
      <c r="AG1693" s="164"/>
      <c r="AH1693" s="164"/>
      <c r="AI1693" s="164"/>
    </row>
    <row r="1694">
      <c r="A1694" s="176">
        <v>46229.0</v>
      </c>
      <c r="B1694" s="177">
        <v>8921512.0</v>
      </c>
      <c r="C1694" s="178" t="s">
        <v>89</v>
      </c>
      <c r="D1694" s="178" t="s">
        <v>35</v>
      </c>
      <c r="E1694" s="177">
        <v>5.473878761E9</v>
      </c>
      <c r="F1694" s="178" t="s">
        <v>3140</v>
      </c>
      <c r="G1694" s="176">
        <v>46496.95833333333</v>
      </c>
      <c r="H1694" s="179">
        <v>46498.95833333333</v>
      </c>
      <c r="I1694" s="180">
        <v>2.0</v>
      </c>
      <c r="J1694" s="181" t="s">
        <v>78</v>
      </c>
      <c r="K1694" s="178" t="s">
        <v>138</v>
      </c>
      <c r="L1694" s="178" t="s">
        <v>80</v>
      </c>
      <c r="M1694" s="182">
        <v>0.0</v>
      </c>
      <c r="N1694" s="183">
        <v>0.0</v>
      </c>
      <c r="O1694" s="184">
        <v>0.0</v>
      </c>
      <c r="P1694" s="184">
        <v>0.0</v>
      </c>
      <c r="Q1694" s="185">
        <v>0.0</v>
      </c>
      <c r="R1694" s="186">
        <v>0.0</v>
      </c>
      <c r="S1694" s="186">
        <v>0.0</v>
      </c>
      <c r="T1694" s="186">
        <v>0.0</v>
      </c>
      <c r="U1694" s="187" t="s">
        <v>3141</v>
      </c>
      <c r="V1694" s="176">
        <v>46238.0</v>
      </c>
      <c r="W1694" s="164"/>
      <c r="X1694" s="164"/>
      <c r="Y1694" s="164"/>
      <c r="Z1694" s="164"/>
      <c r="AA1694" s="164"/>
      <c r="AB1694" s="164"/>
      <c r="AC1694" s="164"/>
      <c r="AD1694" s="164"/>
      <c r="AE1694" s="164"/>
      <c r="AF1694" s="164"/>
      <c r="AG1694" s="164"/>
      <c r="AH1694" s="164"/>
      <c r="AI1694" s="164"/>
    </row>
    <row r="1695">
      <c r="A1695" s="176">
        <v>46229.0</v>
      </c>
      <c r="B1695" s="177">
        <v>8921558.0</v>
      </c>
      <c r="C1695" s="178" t="s">
        <v>82</v>
      </c>
      <c r="D1695" s="178" t="s">
        <v>35</v>
      </c>
      <c r="E1695" s="177">
        <v>5.202796647E9</v>
      </c>
      <c r="F1695" s="178" t="s">
        <v>3143</v>
      </c>
      <c r="G1695" s="176">
        <v>46295.95833333333</v>
      </c>
      <c r="H1695" s="179">
        <v>46296.95833333333</v>
      </c>
      <c r="I1695" s="180">
        <v>1.0</v>
      </c>
      <c r="J1695" s="181" t="s">
        <v>114</v>
      </c>
      <c r="K1695" s="178" t="s">
        <v>138</v>
      </c>
      <c r="L1695" s="178" t="s">
        <v>80</v>
      </c>
      <c r="M1695" s="182">
        <v>2.0</v>
      </c>
      <c r="N1695" s="183">
        <v>0.19999999999999996</v>
      </c>
      <c r="O1695" s="184">
        <v>186.08999999999997</v>
      </c>
      <c r="P1695" s="184">
        <v>148.87199999999999</v>
      </c>
      <c r="Q1695" s="185">
        <v>36.0</v>
      </c>
      <c r="R1695" s="186">
        <v>148.87199999999999</v>
      </c>
      <c r="S1695" s="186">
        <v>36.0</v>
      </c>
      <c r="T1695" s="186">
        <v>219.89</v>
      </c>
      <c r="U1695" s="187" t="s">
        <v>140</v>
      </c>
      <c r="V1695" s="176">
        <v>46229.0</v>
      </c>
      <c r="W1695" s="175"/>
      <c r="X1695" s="175"/>
      <c r="Y1695" s="175"/>
      <c r="Z1695" s="175"/>
      <c r="AA1695" s="175"/>
      <c r="AB1695" s="175"/>
      <c r="AC1695" s="175"/>
      <c r="AD1695" s="175"/>
      <c r="AE1695" s="175"/>
      <c r="AF1695" s="175"/>
      <c r="AG1695" s="175"/>
      <c r="AH1695" s="175"/>
      <c r="AI1695" s="175"/>
    </row>
    <row r="1696">
      <c r="A1696" s="176">
        <v>46229.0</v>
      </c>
      <c r="B1696" s="177">
        <v>8921875.0</v>
      </c>
      <c r="C1696" s="178" t="s">
        <v>82</v>
      </c>
      <c r="D1696" s="178" t="s">
        <v>109</v>
      </c>
      <c r="E1696" s="177">
        <v>6.82952615E8</v>
      </c>
      <c r="F1696" s="178" t="s">
        <v>3144</v>
      </c>
      <c r="G1696" s="176">
        <v>46284.0</v>
      </c>
      <c r="H1696" s="179">
        <v>46286.95833333333</v>
      </c>
      <c r="I1696" s="180">
        <v>3.0</v>
      </c>
      <c r="J1696" s="181" t="s">
        <v>114</v>
      </c>
      <c r="K1696" s="178" t="s">
        <v>79</v>
      </c>
      <c r="L1696" s="178" t="s">
        <v>96</v>
      </c>
      <c r="M1696" s="182">
        <v>2.0</v>
      </c>
      <c r="N1696" s="183">
        <v>0.19999999999999996</v>
      </c>
      <c r="O1696" s="184">
        <v>191.25</v>
      </c>
      <c r="P1696" s="184">
        <v>153.0</v>
      </c>
      <c r="Q1696" s="185">
        <v>0.0</v>
      </c>
      <c r="R1696" s="186">
        <v>459.0</v>
      </c>
      <c r="S1696" s="186">
        <v>0.0</v>
      </c>
      <c r="T1696" s="186">
        <v>573.75</v>
      </c>
      <c r="U1696" s="187" t="s">
        <v>1464</v>
      </c>
      <c r="V1696" s="176">
        <v>46229.0</v>
      </c>
      <c r="W1696" s="175"/>
      <c r="X1696" s="175"/>
      <c r="Y1696" s="175"/>
      <c r="Z1696" s="175"/>
      <c r="AA1696" s="175"/>
      <c r="AB1696" s="175"/>
      <c r="AC1696" s="175"/>
      <c r="AD1696" s="175"/>
      <c r="AE1696" s="175"/>
      <c r="AF1696" s="175"/>
      <c r="AG1696" s="175"/>
      <c r="AH1696" s="175"/>
      <c r="AI1696" s="175"/>
    </row>
    <row r="1697">
      <c r="A1697" s="176">
        <v>46229.0</v>
      </c>
      <c r="B1697" s="177">
        <v>8922309.0</v>
      </c>
      <c r="C1697" s="178" t="s">
        <v>82</v>
      </c>
      <c r="D1697" s="178" t="s">
        <v>35</v>
      </c>
      <c r="E1697" s="177">
        <v>5.643237475E9</v>
      </c>
      <c r="F1697" s="178" t="s">
        <v>3146</v>
      </c>
      <c r="G1697" s="176">
        <v>46279.0</v>
      </c>
      <c r="H1697" s="179">
        <v>46281.0</v>
      </c>
      <c r="I1697" s="180">
        <v>2.0</v>
      </c>
      <c r="J1697" s="181" t="s">
        <v>114</v>
      </c>
      <c r="K1697" s="178" t="s">
        <v>79</v>
      </c>
      <c r="L1697" s="178" t="s">
        <v>80</v>
      </c>
      <c r="M1697" s="182">
        <v>2.0</v>
      </c>
      <c r="N1697" s="183">
        <v>0.19999999999999996</v>
      </c>
      <c r="O1697" s="184">
        <v>133.62</v>
      </c>
      <c r="P1697" s="184">
        <v>106.89600000000002</v>
      </c>
      <c r="Q1697" s="185">
        <v>0.0</v>
      </c>
      <c r="R1697" s="186">
        <v>213.79200000000003</v>
      </c>
      <c r="S1697" s="186">
        <v>0.0</v>
      </c>
      <c r="T1697" s="186">
        <v>277.24</v>
      </c>
      <c r="U1697" s="187" t="s">
        <v>107</v>
      </c>
      <c r="V1697" s="176">
        <v>46229.0</v>
      </c>
      <c r="W1697" s="175"/>
      <c r="X1697" s="175"/>
      <c r="Y1697" s="175"/>
      <c r="Z1697" s="175"/>
      <c r="AA1697" s="175"/>
      <c r="AB1697" s="175"/>
      <c r="AC1697" s="175"/>
      <c r="AD1697" s="175"/>
      <c r="AE1697" s="175"/>
      <c r="AF1697" s="175"/>
      <c r="AG1697" s="175"/>
      <c r="AH1697" s="175"/>
      <c r="AI1697" s="175"/>
    </row>
    <row r="1698">
      <c r="A1698" s="176">
        <v>46229.0</v>
      </c>
      <c r="B1698" s="177">
        <v>8922329.0</v>
      </c>
      <c r="C1698" s="178" t="s">
        <v>82</v>
      </c>
      <c r="D1698" s="178" t="s">
        <v>2325</v>
      </c>
      <c r="E1698" s="177" t="s">
        <v>3148</v>
      </c>
      <c r="F1698" s="178" t="s">
        <v>3149</v>
      </c>
      <c r="G1698" s="176">
        <v>46231.0</v>
      </c>
      <c r="H1698" s="179">
        <v>46232.0</v>
      </c>
      <c r="I1698" s="180">
        <v>1.0</v>
      </c>
      <c r="J1698" s="181" t="s">
        <v>3049</v>
      </c>
      <c r="K1698" s="178"/>
      <c r="L1698" s="178"/>
      <c r="M1698" s="182">
        <v>2.0</v>
      </c>
      <c r="N1698" s="183">
        <v>0.0</v>
      </c>
      <c r="O1698" s="184">
        <v>0.0</v>
      </c>
      <c r="P1698" s="184">
        <v>0.0</v>
      </c>
      <c r="Q1698" s="185">
        <v>0.0</v>
      </c>
      <c r="R1698" s="186">
        <v>0.0</v>
      </c>
      <c r="S1698" s="186">
        <v>0.0</v>
      </c>
      <c r="T1698" s="186">
        <v>0.0</v>
      </c>
      <c r="U1698" s="187" t="s">
        <v>2329</v>
      </c>
      <c r="V1698" s="176">
        <v>46229.0</v>
      </c>
      <c r="W1698" s="188"/>
      <c r="X1698" s="188"/>
      <c r="Y1698" s="188"/>
      <c r="Z1698" s="188"/>
      <c r="AA1698" s="188"/>
      <c r="AB1698" s="188"/>
      <c r="AC1698" s="188"/>
      <c r="AD1698" s="188"/>
      <c r="AE1698" s="188"/>
      <c r="AF1698" s="188"/>
      <c r="AG1698" s="188"/>
      <c r="AH1698" s="188"/>
      <c r="AI1698" s="188"/>
    </row>
    <row r="1699">
      <c r="A1699" s="176">
        <v>46229.0</v>
      </c>
      <c r="B1699" s="177">
        <v>8923890.0</v>
      </c>
      <c r="C1699" s="178" t="s">
        <v>82</v>
      </c>
      <c r="D1699" s="178" t="s">
        <v>35</v>
      </c>
      <c r="E1699" s="177">
        <v>5.745834857E9</v>
      </c>
      <c r="F1699" s="178" t="s">
        <v>3150</v>
      </c>
      <c r="G1699" s="176">
        <v>46380.95833333333</v>
      </c>
      <c r="H1699" s="179">
        <v>46386.95833333333</v>
      </c>
      <c r="I1699" s="180">
        <v>6.0</v>
      </c>
      <c r="J1699" s="181" t="s">
        <v>111</v>
      </c>
      <c r="K1699" s="178" t="s">
        <v>79</v>
      </c>
      <c r="L1699" s="178" t="s">
        <v>80</v>
      </c>
      <c r="M1699" s="182">
        <v>2.0</v>
      </c>
      <c r="N1699" s="183">
        <v>0.19999999999999996</v>
      </c>
      <c r="O1699" s="184">
        <v>194.54999999999998</v>
      </c>
      <c r="P1699" s="184">
        <v>155.64</v>
      </c>
      <c r="Q1699" s="185">
        <v>0.0</v>
      </c>
      <c r="R1699" s="186">
        <v>933.8399999999999</v>
      </c>
      <c r="S1699" s="186">
        <v>0.0</v>
      </c>
      <c r="T1699" s="186">
        <v>1197.3</v>
      </c>
      <c r="U1699" s="187" t="s">
        <v>107</v>
      </c>
      <c r="V1699" s="176">
        <v>46229.0</v>
      </c>
      <c r="W1699" s="175"/>
      <c r="X1699" s="175"/>
      <c r="Y1699" s="175"/>
      <c r="Z1699" s="175"/>
      <c r="AA1699" s="175"/>
      <c r="AB1699" s="175"/>
      <c r="AC1699" s="175"/>
      <c r="AD1699" s="175"/>
      <c r="AE1699" s="175"/>
      <c r="AF1699" s="175"/>
      <c r="AG1699" s="175"/>
      <c r="AH1699" s="175"/>
      <c r="AI1699" s="175"/>
    </row>
    <row r="1700">
      <c r="A1700" s="176">
        <v>46230.0</v>
      </c>
      <c r="B1700" s="177">
        <v>8924613.0</v>
      </c>
      <c r="C1700" s="178" t="s">
        <v>82</v>
      </c>
      <c r="D1700" s="178" t="s">
        <v>35</v>
      </c>
      <c r="E1700" s="177">
        <v>5.266523199E9</v>
      </c>
      <c r="F1700" s="178" t="s">
        <v>3152</v>
      </c>
      <c r="G1700" s="176">
        <v>46270.0</v>
      </c>
      <c r="H1700" s="179">
        <v>46272.0</v>
      </c>
      <c r="I1700" s="180">
        <v>2.0</v>
      </c>
      <c r="J1700" s="181" t="s">
        <v>78</v>
      </c>
      <c r="K1700" s="178" t="s">
        <v>79</v>
      </c>
      <c r="L1700" s="178" t="s">
        <v>80</v>
      </c>
      <c r="M1700" s="182">
        <v>2.0</v>
      </c>
      <c r="N1700" s="183">
        <v>0.19999999999999996</v>
      </c>
      <c r="O1700" s="184">
        <v>168.19</v>
      </c>
      <c r="P1700" s="184">
        <v>134.552</v>
      </c>
      <c r="Q1700" s="185">
        <v>0.0</v>
      </c>
      <c r="R1700" s="186">
        <v>269.104</v>
      </c>
      <c r="S1700" s="186">
        <v>0.0</v>
      </c>
      <c r="T1700" s="186">
        <v>346.38</v>
      </c>
      <c r="U1700" s="187" t="s">
        <v>1367</v>
      </c>
      <c r="V1700" s="176">
        <v>46230.0</v>
      </c>
      <c r="W1700" s="164"/>
      <c r="X1700" s="164"/>
      <c r="Y1700" s="164"/>
      <c r="Z1700" s="164"/>
      <c r="AA1700" s="164"/>
      <c r="AB1700" s="164"/>
      <c r="AC1700" s="164"/>
      <c r="AD1700" s="164"/>
      <c r="AE1700" s="164"/>
      <c r="AF1700" s="164"/>
      <c r="AG1700" s="164"/>
      <c r="AH1700" s="164"/>
      <c r="AI1700" s="164"/>
    </row>
    <row r="1701">
      <c r="A1701" s="176">
        <v>46230.0</v>
      </c>
      <c r="B1701" s="177">
        <v>8928573.0</v>
      </c>
      <c r="C1701" s="178" t="s">
        <v>89</v>
      </c>
      <c r="D1701" s="178" t="s">
        <v>35</v>
      </c>
      <c r="E1701" s="177">
        <v>6.352574694E9</v>
      </c>
      <c r="F1701" s="178" t="s">
        <v>3154</v>
      </c>
      <c r="G1701" s="176">
        <v>46265.0</v>
      </c>
      <c r="H1701" s="179">
        <v>46269.0</v>
      </c>
      <c r="I1701" s="180">
        <v>4.0</v>
      </c>
      <c r="J1701" s="181" t="s">
        <v>91</v>
      </c>
      <c r="K1701" s="178" t="s">
        <v>138</v>
      </c>
      <c r="L1701" s="178" t="s">
        <v>80</v>
      </c>
      <c r="M1701" s="182">
        <v>0.0</v>
      </c>
      <c r="N1701" s="183">
        <v>0.0</v>
      </c>
      <c r="O1701" s="184">
        <v>0.0</v>
      </c>
      <c r="P1701" s="184">
        <v>0.0</v>
      </c>
      <c r="Q1701" s="185">
        <v>0.0</v>
      </c>
      <c r="R1701" s="186">
        <v>0.0</v>
      </c>
      <c r="S1701" s="186">
        <v>0.0</v>
      </c>
      <c r="T1701" s="186">
        <v>0.0</v>
      </c>
      <c r="U1701" s="187" t="s">
        <v>3155</v>
      </c>
      <c r="V1701" s="176">
        <v>46231.0</v>
      </c>
      <c r="W1701" s="188"/>
      <c r="X1701" s="188"/>
      <c r="Y1701" s="188"/>
      <c r="Z1701" s="188"/>
      <c r="AA1701" s="188"/>
      <c r="AB1701" s="188"/>
      <c r="AC1701" s="188"/>
      <c r="AD1701" s="188"/>
      <c r="AE1701" s="188"/>
      <c r="AF1701" s="188"/>
      <c r="AG1701" s="188"/>
      <c r="AH1701" s="188"/>
      <c r="AI1701" s="188"/>
    </row>
    <row r="1702">
      <c r="A1702" s="176">
        <v>46230.0</v>
      </c>
      <c r="B1702" s="177">
        <v>8929344.0</v>
      </c>
      <c r="C1702" s="178" t="s">
        <v>82</v>
      </c>
      <c r="D1702" s="178" t="s">
        <v>35</v>
      </c>
      <c r="E1702" s="177">
        <v>5.077668197E9</v>
      </c>
      <c r="F1702" s="178" t="s">
        <v>3156</v>
      </c>
      <c r="G1702" s="176">
        <v>46256.0</v>
      </c>
      <c r="H1702" s="179">
        <v>46258.0</v>
      </c>
      <c r="I1702" s="180">
        <v>2.0</v>
      </c>
      <c r="J1702" s="181" t="s">
        <v>78</v>
      </c>
      <c r="K1702" s="178" t="s">
        <v>79</v>
      </c>
      <c r="L1702" s="178" t="s">
        <v>80</v>
      </c>
      <c r="M1702" s="182">
        <v>2.0</v>
      </c>
      <c r="N1702" s="183">
        <v>0.19999999999999996</v>
      </c>
      <c r="O1702" s="184">
        <v>129.58</v>
      </c>
      <c r="P1702" s="184">
        <v>103.66400000000002</v>
      </c>
      <c r="Q1702" s="185">
        <v>0.0</v>
      </c>
      <c r="R1702" s="186">
        <v>207.32800000000003</v>
      </c>
      <c r="S1702" s="186">
        <v>0.0</v>
      </c>
      <c r="T1702" s="186">
        <v>259.16</v>
      </c>
      <c r="U1702" s="187" t="s">
        <v>1367</v>
      </c>
      <c r="V1702" s="176">
        <v>46230.0</v>
      </c>
      <c r="W1702" s="164"/>
      <c r="X1702" s="164"/>
      <c r="Y1702" s="164"/>
      <c r="Z1702" s="164"/>
      <c r="AA1702" s="164"/>
      <c r="AB1702" s="164"/>
      <c r="AC1702" s="164"/>
      <c r="AD1702" s="164"/>
      <c r="AE1702" s="164"/>
      <c r="AF1702" s="164"/>
      <c r="AG1702" s="164"/>
      <c r="AH1702" s="164"/>
      <c r="AI1702" s="164"/>
    </row>
    <row r="1703">
      <c r="A1703" s="176">
        <v>46231.0</v>
      </c>
      <c r="B1703" s="177">
        <v>8931416.0</v>
      </c>
      <c r="C1703" s="178" t="s">
        <v>82</v>
      </c>
      <c r="D1703" s="178" t="s">
        <v>94</v>
      </c>
      <c r="E1703" s="177">
        <v>8931416.0</v>
      </c>
      <c r="F1703" s="178" t="s">
        <v>3157</v>
      </c>
      <c r="G1703" s="176">
        <v>46231.0</v>
      </c>
      <c r="H1703" s="179">
        <v>46232.0</v>
      </c>
      <c r="I1703" s="180">
        <v>1.0</v>
      </c>
      <c r="J1703" s="181" t="s">
        <v>78</v>
      </c>
      <c r="K1703" s="178" t="s">
        <v>79</v>
      </c>
      <c r="L1703" s="178" t="s">
        <v>96</v>
      </c>
      <c r="M1703" s="182">
        <v>2.0</v>
      </c>
      <c r="N1703" s="183">
        <v>0.0</v>
      </c>
      <c r="O1703" s="184">
        <v>125.28</v>
      </c>
      <c r="P1703" s="184">
        <v>125.28</v>
      </c>
      <c r="Q1703" s="185">
        <v>0.0</v>
      </c>
      <c r="R1703" s="186">
        <v>125.28</v>
      </c>
      <c r="S1703" s="186">
        <v>0.0</v>
      </c>
      <c r="T1703" s="186">
        <v>130.28</v>
      </c>
      <c r="U1703" s="187" t="s">
        <v>97</v>
      </c>
      <c r="V1703" s="176">
        <v>46231.0</v>
      </c>
      <c r="W1703" s="175"/>
      <c r="X1703" s="175"/>
      <c r="Y1703" s="175"/>
      <c r="Z1703" s="175"/>
      <c r="AA1703" s="175"/>
      <c r="AB1703" s="175"/>
      <c r="AC1703" s="175"/>
      <c r="AD1703" s="175"/>
      <c r="AE1703" s="175"/>
      <c r="AF1703" s="175"/>
      <c r="AG1703" s="175"/>
      <c r="AH1703" s="175"/>
      <c r="AI1703" s="175"/>
    </row>
    <row r="1704">
      <c r="A1704" s="176">
        <v>46231.0</v>
      </c>
      <c r="B1704" s="177">
        <v>8931987.0</v>
      </c>
      <c r="C1704" s="178" t="s">
        <v>82</v>
      </c>
      <c r="D1704" s="178" t="s">
        <v>35</v>
      </c>
      <c r="E1704" s="177">
        <v>5.258942776E9</v>
      </c>
      <c r="F1704" s="178" t="s">
        <v>3159</v>
      </c>
      <c r="G1704" s="176">
        <v>46263.0</v>
      </c>
      <c r="H1704" s="179">
        <v>46265.0</v>
      </c>
      <c r="I1704" s="180">
        <v>2.0</v>
      </c>
      <c r="J1704" s="181" t="s">
        <v>78</v>
      </c>
      <c r="K1704" s="178" t="s">
        <v>79</v>
      </c>
      <c r="L1704" s="178" t="s">
        <v>80</v>
      </c>
      <c r="M1704" s="182">
        <v>2.0</v>
      </c>
      <c r="N1704" s="183">
        <v>0.19999999999999996</v>
      </c>
      <c r="O1704" s="184">
        <v>95.84</v>
      </c>
      <c r="P1704" s="184">
        <v>76.67200000000001</v>
      </c>
      <c r="Q1704" s="185">
        <v>0.0</v>
      </c>
      <c r="R1704" s="186">
        <v>153.34400000000002</v>
      </c>
      <c r="S1704" s="186">
        <v>0.0</v>
      </c>
      <c r="T1704" s="186">
        <v>201.68</v>
      </c>
      <c r="U1704" s="187" t="s">
        <v>1367</v>
      </c>
      <c r="V1704" s="176">
        <v>46231.0</v>
      </c>
      <c r="W1704" s="164"/>
      <c r="X1704" s="164"/>
      <c r="Y1704" s="164"/>
      <c r="Z1704" s="164"/>
      <c r="AA1704" s="164"/>
      <c r="AB1704" s="164"/>
      <c r="AC1704" s="164"/>
      <c r="AD1704" s="164"/>
      <c r="AE1704" s="164"/>
      <c r="AF1704" s="164"/>
      <c r="AG1704" s="164"/>
      <c r="AH1704" s="164"/>
      <c r="AI1704" s="164"/>
    </row>
    <row r="1705">
      <c r="A1705" s="176">
        <v>46231.0</v>
      </c>
      <c r="B1705" s="177">
        <v>8932282.0</v>
      </c>
      <c r="C1705" s="178" t="s">
        <v>89</v>
      </c>
      <c r="D1705" s="178" t="s">
        <v>94</v>
      </c>
      <c r="E1705" s="177">
        <v>8932282.0</v>
      </c>
      <c r="F1705" s="178" t="s">
        <v>3161</v>
      </c>
      <c r="G1705" s="176">
        <v>46520.95833333333</v>
      </c>
      <c r="H1705" s="179">
        <v>46524.95833333333</v>
      </c>
      <c r="I1705" s="180">
        <v>4.0</v>
      </c>
      <c r="J1705" s="181" t="s">
        <v>87</v>
      </c>
      <c r="K1705" s="178" t="s">
        <v>79</v>
      </c>
      <c r="L1705" s="178" t="s">
        <v>96</v>
      </c>
      <c r="M1705" s="182">
        <v>0.0</v>
      </c>
      <c r="N1705" s="183">
        <v>0.0</v>
      </c>
      <c r="O1705" s="184">
        <v>0.0</v>
      </c>
      <c r="P1705" s="184">
        <v>0.0</v>
      </c>
      <c r="Q1705" s="185">
        <v>0.0</v>
      </c>
      <c r="R1705" s="186">
        <v>0.0</v>
      </c>
      <c r="S1705" s="186">
        <v>0.0</v>
      </c>
      <c r="T1705" s="186">
        <v>0.0</v>
      </c>
      <c r="U1705" s="187" t="s">
        <v>3163</v>
      </c>
      <c r="V1705" s="176">
        <v>46231.0</v>
      </c>
      <c r="W1705" s="164"/>
      <c r="X1705" s="164"/>
      <c r="Y1705" s="164"/>
      <c r="Z1705" s="164"/>
      <c r="AA1705" s="164"/>
      <c r="AB1705" s="164"/>
      <c r="AC1705" s="164"/>
      <c r="AD1705" s="164"/>
      <c r="AE1705" s="164"/>
      <c r="AF1705" s="164"/>
      <c r="AG1705" s="164"/>
      <c r="AH1705" s="164"/>
      <c r="AI1705" s="164"/>
    </row>
    <row r="1706">
      <c r="A1706" s="176">
        <v>46231.0</v>
      </c>
      <c r="B1706" s="177">
        <v>8932282.0</v>
      </c>
      <c r="C1706" s="178" t="s">
        <v>89</v>
      </c>
      <c r="D1706" s="178" t="s">
        <v>94</v>
      </c>
      <c r="E1706" s="177">
        <v>8932282.0</v>
      </c>
      <c r="F1706" s="178" t="s">
        <v>3161</v>
      </c>
      <c r="G1706" s="176">
        <v>46520.95833333333</v>
      </c>
      <c r="H1706" s="179">
        <v>46524.95833333333</v>
      </c>
      <c r="I1706" s="180">
        <v>4.0</v>
      </c>
      <c r="J1706" s="181" t="s">
        <v>78</v>
      </c>
      <c r="K1706" s="178" t="s">
        <v>79</v>
      </c>
      <c r="L1706" s="178" t="s">
        <v>96</v>
      </c>
      <c r="M1706" s="182">
        <v>0.0</v>
      </c>
      <c r="N1706" s="183">
        <v>0.0</v>
      </c>
      <c r="O1706" s="184">
        <v>0.0</v>
      </c>
      <c r="P1706" s="184">
        <v>0.0</v>
      </c>
      <c r="Q1706" s="185">
        <v>0.0</v>
      </c>
      <c r="R1706" s="186">
        <v>0.0</v>
      </c>
      <c r="S1706" s="186">
        <v>0.0</v>
      </c>
      <c r="T1706" s="186">
        <v>0.0</v>
      </c>
      <c r="U1706" s="187" t="s">
        <v>3163</v>
      </c>
      <c r="V1706" s="176">
        <v>46231.0</v>
      </c>
      <c r="W1706" s="188"/>
      <c r="X1706" s="188"/>
      <c r="Y1706" s="188"/>
      <c r="Z1706" s="188"/>
      <c r="AA1706" s="188"/>
      <c r="AB1706" s="188"/>
      <c r="AC1706" s="188"/>
      <c r="AD1706" s="188"/>
      <c r="AE1706" s="188"/>
      <c r="AF1706" s="188"/>
      <c r="AG1706" s="188"/>
      <c r="AH1706" s="188"/>
      <c r="AI1706" s="188"/>
    </row>
    <row r="1707">
      <c r="A1707" s="176">
        <v>46231.0</v>
      </c>
      <c r="B1707" s="177">
        <v>8932282.0</v>
      </c>
      <c r="C1707" s="178" t="s">
        <v>89</v>
      </c>
      <c r="D1707" s="178" t="s">
        <v>94</v>
      </c>
      <c r="E1707" s="177">
        <v>8932282.0</v>
      </c>
      <c r="F1707" s="178" t="s">
        <v>3161</v>
      </c>
      <c r="G1707" s="176">
        <v>46520.95833333333</v>
      </c>
      <c r="H1707" s="179">
        <v>46524.95833333333</v>
      </c>
      <c r="I1707" s="180">
        <v>4.0</v>
      </c>
      <c r="J1707" s="181" t="s">
        <v>78</v>
      </c>
      <c r="K1707" s="178" t="s">
        <v>79</v>
      </c>
      <c r="L1707" s="178" t="s">
        <v>96</v>
      </c>
      <c r="M1707" s="182">
        <v>0.0</v>
      </c>
      <c r="N1707" s="183">
        <v>0.0</v>
      </c>
      <c r="O1707" s="184">
        <v>0.0</v>
      </c>
      <c r="P1707" s="184">
        <v>0.0</v>
      </c>
      <c r="Q1707" s="185">
        <v>0.0</v>
      </c>
      <c r="R1707" s="186">
        <v>0.0</v>
      </c>
      <c r="S1707" s="186">
        <v>0.0</v>
      </c>
      <c r="T1707" s="186">
        <v>0.0</v>
      </c>
      <c r="U1707" s="187" t="s">
        <v>3163</v>
      </c>
      <c r="V1707" s="176">
        <v>46231.0</v>
      </c>
      <c r="W1707" s="188"/>
      <c r="X1707" s="188"/>
      <c r="Y1707" s="188"/>
      <c r="Z1707" s="188"/>
      <c r="AA1707" s="188"/>
      <c r="AB1707" s="188"/>
      <c r="AC1707" s="188"/>
      <c r="AD1707" s="188"/>
      <c r="AE1707" s="188"/>
      <c r="AF1707" s="188"/>
      <c r="AG1707" s="188"/>
      <c r="AH1707" s="188"/>
      <c r="AI1707" s="188"/>
    </row>
    <row r="1708">
      <c r="A1708" s="176">
        <v>46231.0</v>
      </c>
      <c r="B1708" s="177">
        <v>8932282.0</v>
      </c>
      <c r="C1708" s="178" t="s">
        <v>89</v>
      </c>
      <c r="D1708" s="178" t="s">
        <v>94</v>
      </c>
      <c r="E1708" s="177">
        <v>8932282.0</v>
      </c>
      <c r="F1708" s="178" t="s">
        <v>3161</v>
      </c>
      <c r="G1708" s="176">
        <v>46520.95833333333</v>
      </c>
      <c r="H1708" s="179">
        <v>46524.95833333333</v>
      </c>
      <c r="I1708" s="180">
        <v>4.0</v>
      </c>
      <c r="J1708" s="181" t="s">
        <v>78</v>
      </c>
      <c r="K1708" s="178" t="s">
        <v>79</v>
      </c>
      <c r="L1708" s="178" t="s">
        <v>96</v>
      </c>
      <c r="M1708" s="182">
        <v>0.0</v>
      </c>
      <c r="N1708" s="183">
        <v>0.0</v>
      </c>
      <c r="O1708" s="184">
        <v>0.0</v>
      </c>
      <c r="P1708" s="184">
        <v>0.0</v>
      </c>
      <c r="Q1708" s="185">
        <v>0.0</v>
      </c>
      <c r="R1708" s="186">
        <v>0.0</v>
      </c>
      <c r="S1708" s="186">
        <v>0.0</v>
      </c>
      <c r="T1708" s="186">
        <v>0.0</v>
      </c>
      <c r="U1708" s="187" t="s">
        <v>3163</v>
      </c>
      <c r="V1708" s="176">
        <v>46231.0</v>
      </c>
      <c r="W1708" s="188"/>
      <c r="X1708" s="188"/>
      <c r="Y1708" s="188"/>
      <c r="Z1708" s="188"/>
      <c r="AA1708" s="188"/>
      <c r="AB1708" s="188"/>
      <c r="AC1708" s="188"/>
      <c r="AD1708" s="188"/>
      <c r="AE1708" s="188"/>
      <c r="AF1708" s="188"/>
      <c r="AG1708" s="188"/>
      <c r="AH1708" s="188"/>
      <c r="AI1708" s="188"/>
    </row>
    <row r="1709">
      <c r="A1709" s="176">
        <v>46231.0</v>
      </c>
      <c r="B1709" s="177">
        <v>8932282.0</v>
      </c>
      <c r="C1709" s="178" t="s">
        <v>89</v>
      </c>
      <c r="D1709" s="178" t="s">
        <v>94</v>
      </c>
      <c r="E1709" s="177">
        <v>8932282.0</v>
      </c>
      <c r="F1709" s="178" t="s">
        <v>3161</v>
      </c>
      <c r="G1709" s="176">
        <v>46520.95833333333</v>
      </c>
      <c r="H1709" s="179">
        <v>46524.95833333333</v>
      </c>
      <c r="I1709" s="180">
        <v>4.0</v>
      </c>
      <c r="J1709" s="181" t="s">
        <v>78</v>
      </c>
      <c r="K1709" s="178" t="s">
        <v>79</v>
      </c>
      <c r="L1709" s="178" t="s">
        <v>96</v>
      </c>
      <c r="M1709" s="182">
        <v>0.0</v>
      </c>
      <c r="N1709" s="183">
        <v>0.0</v>
      </c>
      <c r="O1709" s="184">
        <v>0.0</v>
      </c>
      <c r="P1709" s="184">
        <v>0.0</v>
      </c>
      <c r="Q1709" s="185">
        <v>0.0</v>
      </c>
      <c r="R1709" s="186">
        <v>0.0</v>
      </c>
      <c r="S1709" s="186">
        <v>0.0</v>
      </c>
      <c r="T1709" s="186">
        <v>0.0</v>
      </c>
      <c r="U1709" s="187" t="s">
        <v>3163</v>
      </c>
      <c r="V1709" s="176">
        <v>46231.0</v>
      </c>
      <c r="W1709" s="175"/>
      <c r="X1709" s="175"/>
      <c r="Y1709" s="175"/>
      <c r="Z1709" s="175"/>
      <c r="AA1709" s="175"/>
      <c r="AB1709" s="175"/>
      <c r="AC1709" s="175"/>
      <c r="AD1709" s="175"/>
      <c r="AE1709" s="175"/>
      <c r="AF1709" s="175"/>
      <c r="AG1709" s="175"/>
      <c r="AH1709" s="175"/>
      <c r="AI1709" s="175"/>
    </row>
    <row r="1710">
      <c r="A1710" s="176">
        <v>46231.0</v>
      </c>
      <c r="B1710" s="177">
        <v>8932282.0</v>
      </c>
      <c r="C1710" s="178" t="s">
        <v>89</v>
      </c>
      <c r="D1710" s="178" t="s">
        <v>94</v>
      </c>
      <c r="E1710" s="177">
        <v>8932282.0</v>
      </c>
      <c r="F1710" s="178" t="s">
        <v>3161</v>
      </c>
      <c r="G1710" s="176">
        <v>46520.95833333333</v>
      </c>
      <c r="H1710" s="179">
        <v>46524.95833333333</v>
      </c>
      <c r="I1710" s="180">
        <v>4.0</v>
      </c>
      <c r="J1710" s="181" t="s">
        <v>114</v>
      </c>
      <c r="K1710" s="178" t="s">
        <v>79</v>
      </c>
      <c r="L1710" s="178" t="s">
        <v>96</v>
      </c>
      <c r="M1710" s="182">
        <v>0.0</v>
      </c>
      <c r="N1710" s="183">
        <v>0.0</v>
      </c>
      <c r="O1710" s="184">
        <v>0.0</v>
      </c>
      <c r="P1710" s="184">
        <v>0.0</v>
      </c>
      <c r="Q1710" s="185">
        <v>0.0</v>
      </c>
      <c r="R1710" s="186">
        <v>0.0</v>
      </c>
      <c r="S1710" s="186">
        <v>0.0</v>
      </c>
      <c r="T1710" s="186">
        <v>0.0</v>
      </c>
      <c r="U1710" s="187" t="s">
        <v>3163</v>
      </c>
      <c r="V1710" s="176">
        <v>46231.0</v>
      </c>
      <c r="W1710" s="188"/>
      <c r="X1710" s="188"/>
      <c r="Y1710" s="188"/>
      <c r="Z1710" s="188"/>
      <c r="AA1710" s="188"/>
      <c r="AB1710" s="188"/>
      <c r="AC1710" s="188"/>
      <c r="AD1710" s="188"/>
      <c r="AE1710" s="188"/>
      <c r="AF1710" s="188"/>
      <c r="AG1710" s="188"/>
      <c r="AH1710" s="188"/>
      <c r="AI1710" s="188"/>
    </row>
    <row r="1711">
      <c r="A1711" s="176">
        <v>46231.0</v>
      </c>
      <c r="B1711" s="177">
        <v>8932282.0</v>
      </c>
      <c r="C1711" s="178" t="s">
        <v>89</v>
      </c>
      <c r="D1711" s="178" t="s">
        <v>94</v>
      </c>
      <c r="E1711" s="177">
        <v>8932282.0</v>
      </c>
      <c r="F1711" s="178" t="s">
        <v>3161</v>
      </c>
      <c r="G1711" s="176">
        <v>46520.95833333333</v>
      </c>
      <c r="H1711" s="179">
        <v>46524.95833333333</v>
      </c>
      <c r="I1711" s="180">
        <v>4.0</v>
      </c>
      <c r="J1711" s="181" t="s">
        <v>114</v>
      </c>
      <c r="K1711" s="178" t="s">
        <v>79</v>
      </c>
      <c r="L1711" s="178" t="s">
        <v>96</v>
      </c>
      <c r="M1711" s="182">
        <v>0.0</v>
      </c>
      <c r="N1711" s="183">
        <v>0.0</v>
      </c>
      <c r="O1711" s="184">
        <v>0.0</v>
      </c>
      <c r="P1711" s="184">
        <v>0.0</v>
      </c>
      <c r="Q1711" s="185">
        <v>0.0</v>
      </c>
      <c r="R1711" s="186">
        <v>0.0</v>
      </c>
      <c r="S1711" s="186">
        <v>0.0</v>
      </c>
      <c r="T1711" s="186">
        <v>0.0</v>
      </c>
      <c r="U1711" s="187" t="s">
        <v>3163</v>
      </c>
      <c r="V1711" s="176">
        <v>46231.0</v>
      </c>
      <c r="W1711" s="175"/>
      <c r="X1711" s="175"/>
      <c r="Y1711" s="175"/>
      <c r="Z1711" s="175"/>
      <c r="AA1711" s="175"/>
      <c r="AB1711" s="175"/>
      <c r="AC1711" s="175"/>
      <c r="AD1711" s="175"/>
      <c r="AE1711" s="175"/>
      <c r="AF1711" s="175"/>
      <c r="AG1711" s="175"/>
      <c r="AH1711" s="175"/>
      <c r="AI1711" s="175"/>
    </row>
    <row r="1712">
      <c r="A1712" s="176">
        <v>46231.0</v>
      </c>
      <c r="B1712" s="177">
        <v>8933107.0</v>
      </c>
      <c r="C1712" s="178" t="s">
        <v>82</v>
      </c>
      <c r="D1712" s="178" t="s">
        <v>35</v>
      </c>
      <c r="E1712" s="177">
        <v>5.791484101E9</v>
      </c>
      <c r="F1712" s="178" t="s">
        <v>3170</v>
      </c>
      <c r="G1712" s="176">
        <v>46262.0</v>
      </c>
      <c r="H1712" s="179">
        <v>46265.0</v>
      </c>
      <c r="I1712" s="180">
        <v>3.0</v>
      </c>
      <c r="J1712" s="181" t="s">
        <v>78</v>
      </c>
      <c r="K1712" s="178" t="s">
        <v>79</v>
      </c>
      <c r="L1712" s="178" t="s">
        <v>80</v>
      </c>
      <c r="M1712" s="182">
        <v>2.0</v>
      </c>
      <c r="N1712" s="183">
        <v>0.19999999999999996</v>
      </c>
      <c r="O1712" s="184">
        <v>106.56</v>
      </c>
      <c r="P1712" s="184">
        <v>85.248</v>
      </c>
      <c r="Q1712" s="185">
        <v>0.0</v>
      </c>
      <c r="R1712" s="186">
        <v>255.74400000000003</v>
      </c>
      <c r="S1712" s="186">
        <v>0.0</v>
      </c>
      <c r="T1712" s="186">
        <v>334.68</v>
      </c>
      <c r="U1712" s="187" t="s">
        <v>1367</v>
      </c>
      <c r="V1712" s="176">
        <v>46231.0</v>
      </c>
      <c r="W1712" s="175"/>
      <c r="X1712" s="175"/>
      <c r="Y1712" s="175"/>
      <c r="Z1712" s="175"/>
      <c r="AA1712" s="175"/>
      <c r="AB1712" s="175"/>
      <c r="AC1712" s="175"/>
      <c r="AD1712" s="175"/>
      <c r="AE1712" s="175"/>
      <c r="AF1712" s="175"/>
      <c r="AG1712" s="175"/>
      <c r="AH1712" s="175"/>
      <c r="AI1712" s="175"/>
    </row>
    <row r="1713">
      <c r="A1713" s="176">
        <v>46231.0</v>
      </c>
      <c r="B1713" s="177">
        <v>8933212.0</v>
      </c>
      <c r="C1713" s="178" t="s">
        <v>82</v>
      </c>
      <c r="D1713" s="178" t="s">
        <v>35</v>
      </c>
      <c r="E1713" s="177">
        <v>5.58232819E9</v>
      </c>
      <c r="F1713" s="178" t="s">
        <v>3170</v>
      </c>
      <c r="G1713" s="176">
        <v>46270.0</v>
      </c>
      <c r="H1713" s="179">
        <v>46271.0</v>
      </c>
      <c r="I1713" s="180">
        <v>1.0</v>
      </c>
      <c r="J1713" s="181" t="s">
        <v>87</v>
      </c>
      <c r="K1713" s="178" t="s">
        <v>79</v>
      </c>
      <c r="L1713" s="178" t="s">
        <v>80</v>
      </c>
      <c r="M1713" s="182">
        <v>2.0</v>
      </c>
      <c r="N1713" s="183">
        <v>0.19999999999999996</v>
      </c>
      <c r="O1713" s="184">
        <v>151.36</v>
      </c>
      <c r="P1713" s="184">
        <v>121.08800000000002</v>
      </c>
      <c r="Q1713" s="185">
        <v>0.0</v>
      </c>
      <c r="R1713" s="186">
        <v>121.08800000000002</v>
      </c>
      <c r="S1713" s="186">
        <v>0.0</v>
      </c>
      <c r="T1713" s="186">
        <v>156.36</v>
      </c>
      <c r="U1713" s="187" t="s">
        <v>1367</v>
      </c>
      <c r="V1713" s="176">
        <v>46231.0</v>
      </c>
      <c r="W1713" s="175"/>
      <c r="X1713" s="175"/>
      <c r="Y1713" s="175"/>
      <c r="Z1713" s="175"/>
      <c r="AA1713" s="175"/>
      <c r="AB1713" s="175"/>
      <c r="AC1713" s="175"/>
      <c r="AD1713" s="175"/>
      <c r="AE1713" s="175"/>
      <c r="AF1713" s="175"/>
      <c r="AG1713" s="175"/>
      <c r="AH1713" s="175"/>
      <c r="AI1713" s="175"/>
    </row>
    <row r="1714">
      <c r="A1714" s="176">
        <v>46231.0</v>
      </c>
      <c r="B1714" s="177">
        <v>8933463.0</v>
      </c>
      <c r="C1714" s="178" t="s">
        <v>75</v>
      </c>
      <c r="D1714" s="178" t="s">
        <v>35</v>
      </c>
      <c r="E1714" s="177">
        <v>5.791404405E9</v>
      </c>
      <c r="F1714" s="178" t="s">
        <v>3174</v>
      </c>
      <c r="G1714" s="176">
        <v>46431.0</v>
      </c>
      <c r="H1714" s="179">
        <v>46438.0</v>
      </c>
      <c r="I1714" s="180">
        <v>7.0</v>
      </c>
      <c r="J1714" s="181" t="s">
        <v>78</v>
      </c>
      <c r="K1714" s="178" t="s">
        <v>79</v>
      </c>
      <c r="L1714" s="178" t="s">
        <v>80</v>
      </c>
      <c r="M1714" s="182">
        <v>3.0</v>
      </c>
      <c r="N1714" s="183">
        <v>0.19999999999999996</v>
      </c>
      <c r="O1714" s="184">
        <v>229.14000000000001</v>
      </c>
      <c r="P1714" s="184">
        <v>183.312</v>
      </c>
      <c r="Q1714" s="185">
        <v>0.0</v>
      </c>
      <c r="R1714" s="186">
        <v>1283.1840000000002</v>
      </c>
      <c r="S1714" s="186">
        <v>0.0</v>
      </c>
      <c r="T1714" s="186">
        <v>4581.78</v>
      </c>
      <c r="U1714" s="187" t="s">
        <v>3175</v>
      </c>
      <c r="V1714" s="176">
        <v>46231.0</v>
      </c>
      <c r="W1714" s="175"/>
      <c r="X1714" s="175"/>
      <c r="Y1714" s="175"/>
      <c r="Z1714" s="175"/>
      <c r="AA1714" s="175"/>
      <c r="AB1714" s="175"/>
      <c r="AC1714" s="175"/>
      <c r="AD1714" s="175"/>
      <c r="AE1714" s="175"/>
      <c r="AF1714" s="175"/>
      <c r="AG1714" s="175"/>
      <c r="AH1714" s="175"/>
      <c r="AI1714" s="175"/>
    </row>
    <row r="1715">
      <c r="A1715" s="176">
        <v>46231.0</v>
      </c>
      <c r="B1715" s="177">
        <v>8933463.0</v>
      </c>
      <c r="C1715" s="178" t="s">
        <v>75</v>
      </c>
      <c r="D1715" s="178" t="s">
        <v>35</v>
      </c>
      <c r="E1715" s="177">
        <v>5.791404405E9</v>
      </c>
      <c r="F1715" s="178" t="s">
        <v>3174</v>
      </c>
      <c r="G1715" s="176">
        <v>46431.0</v>
      </c>
      <c r="H1715" s="179">
        <v>46438.0</v>
      </c>
      <c r="I1715" s="180">
        <v>7.0</v>
      </c>
      <c r="J1715" s="181" t="s">
        <v>87</v>
      </c>
      <c r="K1715" s="178" t="s">
        <v>79</v>
      </c>
      <c r="L1715" s="178" t="s">
        <v>80</v>
      </c>
      <c r="M1715" s="182">
        <v>2.0</v>
      </c>
      <c r="N1715" s="183">
        <v>0.19999999999999996</v>
      </c>
      <c r="O1715" s="184">
        <v>198.76</v>
      </c>
      <c r="P1715" s="184">
        <v>159.008</v>
      </c>
      <c r="Q1715" s="185">
        <v>0.0</v>
      </c>
      <c r="R1715" s="186">
        <v>1113.056</v>
      </c>
      <c r="S1715" s="186">
        <v>0.0</v>
      </c>
      <c r="T1715" s="186">
        <v>4581.78</v>
      </c>
      <c r="U1715" s="187" t="s">
        <v>3175</v>
      </c>
      <c r="V1715" s="176">
        <v>46231.0</v>
      </c>
      <c r="W1715" s="175"/>
      <c r="X1715" s="175"/>
      <c r="Y1715" s="175"/>
      <c r="Z1715" s="175"/>
      <c r="AA1715" s="175"/>
      <c r="AB1715" s="175"/>
      <c r="AC1715" s="175"/>
      <c r="AD1715" s="175"/>
      <c r="AE1715" s="175"/>
      <c r="AF1715" s="175"/>
      <c r="AG1715" s="175"/>
      <c r="AH1715" s="175"/>
      <c r="AI1715" s="175"/>
    </row>
    <row r="1716">
      <c r="A1716" s="176">
        <v>46231.0</v>
      </c>
      <c r="B1716" s="177">
        <v>8933463.0</v>
      </c>
      <c r="C1716" s="178" t="s">
        <v>75</v>
      </c>
      <c r="D1716" s="178" t="s">
        <v>35</v>
      </c>
      <c r="E1716" s="177">
        <v>5.791404405E9</v>
      </c>
      <c r="F1716" s="178" t="s">
        <v>3174</v>
      </c>
      <c r="G1716" s="176">
        <v>46431.0</v>
      </c>
      <c r="H1716" s="179">
        <v>46438.0</v>
      </c>
      <c r="I1716" s="180">
        <v>7.0</v>
      </c>
      <c r="J1716" s="181" t="s">
        <v>78</v>
      </c>
      <c r="K1716" s="178" t="s">
        <v>79</v>
      </c>
      <c r="L1716" s="178" t="s">
        <v>80</v>
      </c>
      <c r="M1716" s="182">
        <v>2.0</v>
      </c>
      <c r="N1716" s="183">
        <v>0.19999999999999996</v>
      </c>
      <c r="O1716" s="184">
        <v>226.64000000000001</v>
      </c>
      <c r="P1716" s="184">
        <v>181.312</v>
      </c>
      <c r="Q1716" s="185">
        <v>0.0</v>
      </c>
      <c r="R1716" s="186">
        <v>1269.1840000000002</v>
      </c>
      <c r="S1716" s="186">
        <v>0.0</v>
      </c>
      <c r="T1716" s="186">
        <v>4581.78</v>
      </c>
      <c r="U1716" s="187" t="s">
        <v>3175</v>
      </c>
      <c r="V1716" s="176">
        <v>46231.0</v>
      </c>
      <c r="W1716" s="175"/>
      <c r="X1716" s="175"/>
      <c r="Y1716" s="175"/>
      <c r="Z1716" s="175"/>
      <c r="AA1716" s="175"/>
      <c r="AB1716" s="175"/>
      <c r="AC1716" s="175"/>
      <c r="AD1716" s="175"/>
      <c r="AE1716" s="175"/>
      <c r="AF1716" s="175"/>
      <c r="AG1716" s="175"/>
      <c r="AH1716" s="175"/>
      <c r="AI1716" s="175"/>
    </row>
    <row r="1717">
      <c r="A1717" s="176">
        <v>46231.0</v>
      </c>
      <c r="B1717" s="177">
        <v>8933661.0</v>
      </c>
      <c r="C1717" s="178" t="s">
        <v>82</v>
      </c>
      <c r="D1717" s="178" t="s">
        <v>2325</v>
      </c>
      <c r="E1717" s="177">
        <v>1.12814964303929E15</v>
      </c>
      <c r="F1717" s="178" t="s">
        <v>3180</v>
      </c>
      <c r="G1717" s="176">
        <v>46249.0</v>
      </c>
      <c r="H1717" s="179">
        <v>46250.0</v>
      </c>
      <c r="I1717" s="180">
        <v>1.0</v>
      </c>
      <c r="J1717" s="181" t="s">
        <v>3011</v>
      </c>
      <c r="K1717" s="178"/>
      <c r="L1717" s="178"/>
      <c r="M1717" s="182">
        <v>2.0</v>
      </c>
      <c r="N1717" s="183">
        <v>0.0</v>
      </c>
      <c r="O1717" s="184">
        <v>0.0</v>
      </c>
      <c r="P1717" s="184">
        <v>0.0</v>
      </c>
      <c r="Q1717" s="185">
        <v>0.0</v>
      </c>
      <c r="R1717" s="186">
        <v>0.0</v>
      </c>
      <c r="S1717" s="186">
        <v>0.0</v>
      </c>
      <c r="T1717" s="186">
        <v>0.0</v>
      </c>
      <c r="U1717" s="187" t="s">
        <v>2329</v>
      </c>
      <c r="V1717" s="176">
        <v>46231.0</v>
      </c>
      <c r="W1717" s="175"/>
      <c r="X1717" s="175"/>
      <c r="Y1717" s="175"/>
      <c r="Z1717" s="175"/>
      <c r="AA1717" s="175"/>
      <c r="AB1717" s="175"/>
      <c r="AC1717" s="175"/>
      <c r="AD1717" s="175"/>
      <c r="AE1717" s="175"/>
      <c r="AF1717" s="175"/>
      <c r="AG1717" s="175"/>
      <c r="AH1717" s="175"/>
      <c r="AI1717" s="175"/>
    </row>
    <row r="1718">
      <c r="A1718" s="176">
        <v>46231.0</v>
      </c>
      <c r="B1718" s="177">
        <v>8933708.0</v>
      </c>
      <c r="C1718" s="178" t="s">
        <v>82</v>
      </c>
      <c r="D1718" s="178" t="s">
        <v>2325</v>
      </c>
      <c r="E1718" s="177" t="s">
        <v>3182</v>
      </c>
      <c r="F1718" s="178" t="s">
        <v>3180</v>
      </c>
      <c r="G1718" s="176">
        <v>46252.0</v>
      </c>
      <c r="H1718" s="179">
        <v>46253.0</v>
      </c>
      <c r="I1718" s="180">
        <v>1.0</v>
      </c>
      <c r="J1718" s="181" t="s">
        <v>78</v>
      </c>
      <c r="K1718" s="178"/>
      <c r="L1718" s="178"/>
      <c r="M1718" s="182">
        <v>2.0</v>
      </c>
      <c r="N1718" s="183">
        <v>0.0</v>
      </c>
      <c r="O1718" s="184">
        <v>0.0</v>
      </c>
      <c r="P1718" s="184">
        <v>0.0</v>
      </c>
      <c r="Q1718" s="185">
        <v>0.0</v>
      </c>
      <c r="R1718" s="186">
        <v>0.0</v>
      </c>
      <c r="S1718" s="186">
        <v>0.0</v>
      </c>
      <c r="T1718" s="186">
        <v>0.0</v>
      </c>
      <c r="U1718" s="187" t="s">
        <v>2329</v>
      </c>
      <c r="V1718" s="176">
        <v>46231.0</v>
      </c>
      <c r="W1718" s="175"/>
      <c r="X1718" s="175"/>
      <c r="Y1718" s="175"/>
      <c r="Z1718" s="175"/>
      <c r="AA1718" s="175"/>
      <c r="AB1718" s="175"/>
      <c r="AC1718" s="175"/>
      <c r="AD1718" s="175"/>
      <c r="AE1718" s="175"/>
      <c r="AF1718" s="175"/>
      <c r="AG1718" s="175"/>
      <c r="AH1718" s="175"/>
      <c r="AI1718" s="175"/>
    </row>
    <row r="1719">
      <c r="A1719" s="176">
        <v>46231.0</v>
      </c>
      <c r="B1719" s="177">
        <v>8934064.0</v>
      </c>
      <c r="C1719" s="178" t="s">
        <v>82</v>
      </c>
      <c r="D1719" s="178" t="s">
        <v>35</v>
      </c>
      <c r="E1719" s="177">
        <v>5.35124308E9</v>
      </c>
      <c r="F1719" s="178" t="s">
        <v>3184</v>
      </c>
      <c r="G1719" s="176">
        <v>46388.95833333333</v>
      </c>
      <c r="H1719" s="179">
        <v>46391.95833333333</v>
      </c>
      <c r="I1719" s="180">
        <v>3.0</v>
      </c>
      <c r="J1719" s="181" t="s">
        <v>78</v>
      </c>
      <c r="K1719" s="178" t="s">
        <v>79</v>
      </c>
      <c r="L1719" s="178" t="s">
        <v>80</v>
      </c>
      <c r="M1719" s="182">
        <v>2.0</v>
      </c>
      <c r="N1719" s="183">
        <v>0.19999999999999996</v>
      </c>
      <c r="O1719" s="184">
        <v>234.47</v>
      </c>
      <c r="P1719" s="184">
        <v>187.57600000000002</v>
      </c>
      <c r="Q1719" s="185">
        <v>0.0</v>
      </c>
      <c r="R1719" s="186">
        <v>562.7280000000001</v>
      </c>
      <c r="S1719" s="186">
        <v>0.0</v>
      </c>
      <c r="T1719" s="186">
        <v>718.41</v>
      </c>
      <c r="U1719" s="187" t="s">
        <v>303</v>
      </c>
      <c r="V1719" s="176">
        <v>46231.0</v>
      </c>
      <c r="W1719" s="175"/>
      <c r="X1719" s="175"/>
      <c r="Y1719" s="175"/>
      <c r="Z1719" s="175"/>
      <c r="AA1719" s="175"/>
      <c r="AB1719" s="175"/>
      <c r="AC1719" s="175"/>
      <c r="AD1719" s="175"/>
      <c r="AE1719" s="175"/>
      <c r="AF1719" s="175"/>
      <c r="AG1719" s="175"/>
      <c r="AH1719" s="175"/>
      <c r="AI1719" s="175"/>
    </row>
    <row r="1720">
      <c r="A1720" s="176">
        <v>46231.0</v>
      </c>
      <c r="B1720" s="177">
        <v>8934706.0</v>
      </c>
      <c r="C1720" s="178" t="s">
        <v>82</v>
      </c>
      <c r="D1720" s="178" t="s">
        <v>35</v>
      </c>
      <c r="E1720" s="177">
        <v>6.231133525E9</v>
      </c>
      <c r="F1720" s="178" t="s">
        <v>3185</v>
      </c>
      <c r="G1720" s="176">
        <v>46231.0</v>
      </c>
      <c r="H1720" s="179">
        <v>46233.0</v>
      </c>
      <c r="I1720" s="180">
        <v>2.0</v>
      </c>
      <c r="J1720" s="181" t="s">
        <v>78</v>
      </c>
      <c r="K1720" s="178" t="s">
        <v>79</v>
      </c>
      <c r="L1720" s="178" t="s">
        <v>80</v>
      </c>
      <c r="M1720" s="182">
        <v>2.0</v>
      </c>
      <c r="N1720" s="183">
        <v>0.19999999999999996</v>
      </c>
      <c r="O1720" s="184">
        <v>94.17</v>
      </c>
      <c r="P1720" s="184">
        <v>75.336</v>
      </c>
      <c r="Q1720" s="185">
        <v>0.0</v>
      </c>
      <c r="R1720" s="186">
        <v>150.672</v>
      </c>
      <c r="S1720" s="186">
        <v>0.0</v>
      </c>
      <c r="T1720" s="186">
        <v>396.68</v>
      </c>
      <c r="U1720" s="187" t="s">
        <v>1441</v>
      </c>
      <c r="V1720" s="176">
        <v>46231.0</v>
      </c>
      <c r="W1720" s="188"/>
      <c r="X1720" s="188"/>
      <c r="Y1720" s="188"/>
      <c r="Z1720" s="188"/>
      <c r="AA1720" s="188"/>
      <c r="AB1720" s="188"/>
      <c r="AC1720" s="188"/>
      <c r="AD1720" s="188"/>
      <c r="AE1720" s="188"/>
      <c r="AF1720" s="188"/>
      <c r="AG1720" s="188"/>
      <c r="AH1720" s="188"/>
      <c r="AI1720" s="188"/>
    </row>
    <row r="1721">
      <c r="A1721" s="176">
        <v>46231.0</v>
      </c>
      <c r="B1721" s="177">
        <v>8934706.0</v>
      </c>
      <c r="C1721" s="178" t="s">
        <v>82</v>
      </c>
      <c r="D1721" s="178" t="s">
        <v>35</v>
      </c>
      <c r="E1721" s="177">
        <v>6.231133525E9</v>
      </c>
      <c r="F1721" s="178" t="s">
        <v>3185</v>
      </c>
      <c r="G1721" s="176">
        <v>46231.0</v>
      </c>
      <c r="H1721" s="179">
        <v>46233.0</v>
      </c>
      <c r="I1721" s="180">
        <v>2.0</v>
      </c>
      <c r="J1721" s="181" t="s">
        <v>78</v>
      </c>
      <c r="K1721" s="178" t="s">
        <v>79</v>
      </c>
      <c r="L1721" s="178" t="s">
        <v>80</v>
      </c>
      <c r="M1721" s="182">
        <v>2.0</v>
      </c>
      <c r="N1721" s="183">
        <v>0.19999999999999996</v>
      </c>
      <c r="O1721" s="184">
        <v>94.17</v>
      </c>
      <c r="P1721" s="184">
        <v>75.336</v>
      </c>
      <c r="Q1721" s="185">
        <v>0.0</v>
      </c>
      <c r="R1721" s="186">
        <v>150.672</v>
      </c>
      <c r="S1721" s="186">
        <v>0.0</v>
      </c>
      <c r="T1721" s="186">
        <v>396.68</v>
      </c>
      <c r="U1721" s="187" t="s">
        <v>1441</v>
      </c>
      <c r="V1721" s="176">
        <v>46231.0</v>
      </c>
      <c r="W1721" s="175"/>
      <c r="X1721" s="175"/>
      <c r="Y1721" s="175"/>
      <c r="Z1721" s="175"/>
      <c r="AA1721" s="175"/>
      <c r="AB1721" s="175"/>
      <c r="AC1721" s="175"/>
      <c r="AD1721" s="175"/>
      <c r="AE1721" s="175"/>
      <c r="AF1721" s="175"/>
      <c r="AG1721" s="175"/>
      <c r="AH1721" s="175"/>
      <c r="AI1721" s="175"/>
    </row>
    <row r="1722">
      <c r="A1722" s="176">
        <v>46231.0</v>
      </c>
      <c r="B1722" s="177">
        <v>8934826.0</v>
      </c>
      <c r="C1722" s="178" t="s">
        <v>82</v>
      </c>
      <c r="D1722" s="178" t="s">
        <v>35</v>
      </c>
      <c r="E1722" s="177">
        <v>5.214025553E9</v>
      </c>
      <c r="F1722" s="178" t="s">
        <v>3188</v>
      </c>
      <c r="G1722" s="176">
        <v>46257.0</v>
      </c>
      <c r="H1722" s="179">
        <v>46259.0</v>
      </c>
      <c r="I1722" s="180">
        <v>2.0</v>
      </c>
      <c r="J1722" s="181" t="s">
        <v>78</v>
      </c>
      <c r="K1722" s="178" t="s">
        <v>79</v>
      </c>
      <c r="L1722" s="178" t="s">
        <v>80</v>
      </c>
      <c r="M1722" s="182">
        <v>2.0</v>
      </c>
      <c r="N1722" s="183">
        <v>0.19999999999999996</v>
      </c>
      <c r="O1722" s="184">
        <v>75.71</v>
      </c>
      <c r="P1722" s="184">
        <v>60.568</v>
      </c>
      <c r="Q1722" s="185">
        <v>0.0</v>
      </c>
      <c r="R1722" s="186">
        <v>121.136</v>
      </c>
      <c r="S1722" s="186">
        <v>0.0</v>
      </c>
      <c r="T1722" s="186">
        <v>161.42</v>
      </c>
      <c r="U1722" s="187" t="s">
        <v>143</v>
      </c>
      <c r="V1722" s="176">
        <v>46231.0</v>
      </c>
      <c r="W1722" s="175"/>
      <c r="X1722" s="175"/>
      <c r="Y1722" s="175"/>
      <c r="Z1722" s="175"/>
      <c r="AA1722" s="175"/>
      <c r="AB1722" s="175"/>
      <c r="AC1722" s="175"/>
      <c r="AD1722" s="175"/>
      <c r="AE1722" s="175"/>
      <c r="AF1722" s="175"/>
      <c r="AG1722" s="175"/>
      <c r="AH1722" s="175"/>
      <c r="AI1722" s="175"/>
    </row>
    <row r="1723">
      <c r="A1723" s="176">
        <v>46232.0</v>
      </c>
      <c r="B1723" s="177">
        <v>8935978.0</v>
      </c>
      <c r="C1723" s="178" t="s">
        <v>82</v>
      </c>
      <c r="D1723" s="178" t="s">
        <v>35</v>
      </c>
      <c r="E1723" s="177">
        <v>5.187589299E9</v>
      </c>
      <c r="F1723" s="178" t="s">
        <v>3189</v>
      </c>
      <c r="G1723" s="176">
        <v>46264.0</v>
      </c>
      <c r="H1723" s="179">
        <v>46266.0</v>
      </c>
      <c r="I1723" s="180">
        <v>2.0</v>
      </c>
      <c r="J1723" s="181" t="s">
        <v>78</v>
      </c>
      <c r="K1723" s="178" t="s">
        <v>79</v>
      </c>
      <c r="L1723" s="178" t="s">
        <v>80</v>
      </c>
      <c r="M1723" s="182">
        <v>2.0</v>
      </c>
      <c r="N1723" s="183">
        <v>0.19999999999999996</v>
      </c>
      <c r="O1723" s="184">
        <v>105.86</v>
      </c>
      <c r="P1723" s="184">
        <v>84.688</v>
      </c>
      <c r="Q1723" s="185">
        <v>0.0</v>
      </c>
      <c r="R1723" s="186">
        <v>169.376</v>
      </c>
      <c r="S1723" s="186">
        <v>0.0</v>
      </c>
      <c r="T1723" s="186">
        <v>221.72</v>
      </c>
      <c r="U1723" s="187" t="s">
        <v>1367</v>
      </c>
      <c r="V1723" s="176">
        <v>46232.0</v>
      </c>
      <c r="W1723" s="175"/>
      <c r="X1723" s="175"/>
      <c r="Y1723" s="175"/>
      <c r="Z1723" s="175"/>
      <c r="AA1723" s="175"/>
      <c r="AB1723" s="175"/>
      <c r="AC1723" s="175"/>
      <c r="AD1723" s="175"/>
      <c r="AE1723" s="175"/>
      <c r="AF1723" s="175"/>
      <c r="AG1723" s="175"/>
      <c r="AH1723" s="175"/>
      <c r="AI1723" s="175"/>
    </row>
    <row r="1724">
      <c r="A1724" s="176">
        <v>46232.0</v>
      </c>
      <c r="B1724" s="177">
        <v>8937580.0</v>
      </c>
      <c r="C1724" s="178" t="s">
        <v>82</v>
      </c>
      <c r="D1724" s="178" t="s">
        <v>35</v>
      </c>
      <c r="E1724" s="177">
        <v>6.593925413E9</v>
      </c>
      <c r="F1724" s="178" t="s">
        <v>3191</v>
      </c>
      <c r="G1724" s="176">
        <v>46290.95833333333</v>
      </c>
      <c r="H1724" s="179">
        <v>46291.95833333333</v>
      </c>
      <c r="I1724" s="180">
        <v>1.0</v>
      </c>
      <c r="J1724" s="181" t="s">
        <v>111</v>
      </c>
      <c r="K1724" s="178" t="s">
        <v>79</v>
      </c>
      <c r="L1724" s="178" t="s">
        <v>80</v>
      </c>
      <c r="M1724" s="182">
        <v>2.0</v>
      </c>
      <c r="N1724" s="183">
        <v>0.19999999999999996</v>
      </c>
      <c r="O1724" s="184">
        <v>162.98</v>
      </c>
      <c r="P1724" s="184">
        <v>130.384</v>
      </c>
      <c r="Q1724" s="185">
        <v>0.0</v>
      </c>
      <c r="R1724" s="186">
        <v>130.384</v>
      </c>
      <c r="S1724" s="186">
        <v>0.0</v>
      </c>
      <c r="T1724" s="186">
        <v>167.98</v>
      </c>
      <c r="U1724" s="187" t="s">
        <v>143</v>
      </c>
      <c r="V1724" s="176">
        <v>46232.0</v>
      </c>
      <c r="W1724" s="188"/>
      <c r="X1724" s="188"/>
      <c r="Y1724" s="188"/>
      <c r="Z1724" s="188"/>
      <c r="AA1724" s="188"/>
      <c r="AB1724" s="188"/>
      <c r="AC1724" s="188"/>
      <c r="AD1724" s="188"/>
      <c r="AE1724" s="188"/>
      <c r="AF1724" s="188"/>
      <c r="AG1724" s="188"/>
      <c r="AH1724" s="188"/>
      <c r="AI1724" s="188"/>
    </row>
    <row r="1725">
      <c r="A1725" s="176">
        <v>46232.0</v>
      </c>
      <c r="B1725" s="177">
        <v>8938038.0</v>
      </c>
      <c r="C1725" s="178" t="s">
        <v>82</v>
      </c>
      <c r="D1725" s="178" t="s">
        <v>94</v>
      </c>
      <c r="E1725" s="177">
        <v>8938038.0</v>
      </c>
      <c r="F1725" s="178" t="s">
        <v>3161</v>
      </c>
      <c r="G1725" s="176">
        <v>46520.95833333333</v>
      </c>
      <c r="H1725" s="179">
        <v>46524.95833333333</v>
      </c>
      <c r="I1725" s="180">
        <v>4.0</v>
      </c>
      <c r="J1725" s="181" t="s">
        <v>87</v>
      </c>
      <c r="K1725" s="178" t="s">
        <v>79</v>
      </c>
      <c r="L1725" s="178" t="s">
        <v>96</v>
      </c>
      <c r="M1725" s="182">
        <v>2.0</v>
      </c>
      <c r="N1725" s="183">
        <v>0.0</v>
      </c>
      <c r="O1725" s="184">
        <v>210.24</v>
      </c>
      <c r="P1725" s="184">
        <v>210.24</v>
      </c>
      <c r="Q1725" s="185">
        <v>0.0</v>
      </c>
      <c r="R1725" s="186">
        <v>840.96</v>
      </c>
      <c r="S1725" s="186">
        <v>0.0</v>
      </c>
      <c r="T1725" s="186">
        <v>6977.12</v>
      </c>
      <c r="U1725" s="187" t="s">
        <v>97</v>
      </c>
      <c r="V1725" s="176">
        <v>46232.0</v>
      </c>
      <c r="W1725" s="175"/>
      <c r="X1725" s="175"/>
      <c r="Y1725" s="175"/>
      <c r="Z1725" s="175"/>
      <c r="AA1725" s="175"/>
      <c r="AB1725" s="175"/>
      <c r="AC1725" s="175"/>
      <c r="AD1725" s="175"/>
      <c r="AE1725" s="175"/>
      <c r="AF1725" s="175"/>
      <c r="AG1725" s="175"/>
      <c r="AH1725" s="175"/>
      <c r="AI1725" s="175"/>
    </row>
    <row r="1726">
      <c r="A1726" s="176">
        <v>46232.0</v>
      </c>
      <c r="B1726" s="177">
        <v>8938038.0</v>
      </c>
      <c r="C1726" s="178" t="s">
        <v>82</v>
      </c>
      <c r="D1726" s="178" t="s">
        <v>94</v>
      </c>
      <c r="E1726" s="177">
        <v>8938038.0</v>
      </c>
      <c r="F1726" s="178" t="s">
        <v>3161</v>
      </c>
      <c r="G1726" s="176">
        <v>46520.95833333333</v>
      </c>
      <c r="H1726" s="179">
        <v>46524.95833333333</v>
      </c>
      <c r="I1726" s="180">
        <v>4.0</v>
      </c>
      <c r="J1726" s="181" t="s">
        <v>78</v>
      </c>
      <c r="K1726" s="178" t="s">
        <v>79</v>
      </c>
      <c r="L1726" s="178" t="s">
        <v>96</v>
      </c>
      <c r="M1726" s="182">
        <v>2.0</v>
      </c>
      <c r="N1726" s="183">
        <v>0.0</v>
      </c>
      <c r="O1726" s="184">
        <v>239.76</v>
      </c>
      <c r="P1726" s="184">
        <v>239.76</v>
      </c>
      <c r="Q1726" s="185">
        <v>0.0</v>
      </c>
      <c r="R1726" s="186">
        <v>959.04</v>
      </c>
      <c r="S1726" s="186">
        <v>0.0</v>
      </c>
      <c r="T1726" s="186">
        <v>6977.12</v>
      </c>
      <c r="U1726" s="187" t="s">
        <v>97</v>
      </c>
      <c r="V1726" s="176">
        <v>46232.0</v>
      </c>
      <c r="W1726" s="175"/>
      <c r="X1726" s="175"/>
      <c r="Y1726" s="175"/>
      <c r="Z1726" s="175"/>
      <c r="AA1726" s="175"/>
      <c r="AB1726" s="175"/>
      <c r="AC1726" s="175"/>
      <c r="AD1726" s="175"/>
      <c r="AE1726" s="175"/>
      <c r="AF1726" s="175"/>
      <c r="AG1726" s="175"/>
      <c r="AH1726" s="175"/>
      <c r="AI1726" s="175"/>
    </row>
    <row r="1727">
      <c r="A1727" s="176">
        <v>46232.0</v>
      </c>
      <c r="B1727" s="177">
        <v>8938038.0</v>
      </c>
      <c r="C1727" s="178" t="s">
        <v>82</v>
      </c>
      <c r="D1727" s="178" t="s">
        <v>94</v>
      </c>
      <c r="E1727" s="177">
        <v>8938038.0</v>
      </c>
      <c r="F1727" s="178" t="s">
        <v>3161</v>
      </c>
      <c r="G1727" s="176">
        <v>46520.95833333333</v>
      </c>
      <c r="H1727" s="179">
        <v>46524.95833333333</v>
      </c>
      <c r="I1727" s="180">
        <v>4.0</v>
      </c>
      <c r="J1727" s="181" t="s">
        <v>78</v>
      </c>
      <c r="K1727" s="178" t="s">
        <v>79</v>
      </c>
      <c r="L1727" s="178" t="s">
        <v>96</v>
      </c>
      <c r="M1727" s="182">
        <v>2.0</v>
      </c>
      <c r="N1727" s="183">
        <v>0.0</v>
      </c>
      <c r="O1727" s="184">
        <v>239.76</v>
      </c>
      <c r="P1727" s="184">
        <v>239.76</v>
      </c>
      <c r="Q1727" s="185">
        <v>0.0</v>
      </c>
      <c r="R1727" s="186">
        <v>959.04</v>
      </c>
      <c r="S1727" s="186">
        <v>0.0</v>
      </c>
      <c r="T1727" s="186">
        <v>6977.12</v>
      </c>
      <c r="U1727" s="187" t="s">
        <v>97</v>
      </c>
      <c r="V1727" s="176">
        <v>46232.0</v>
      </c>
      <c r="W1727" s="175"/>
      <c r="X1727" s="175"/>
      <c r="Y1727" s="175"/>
      <c r="Z1727" s="175"/>
      <c r="AA1727" s="175"/>
      <c r="AB1727" s="175"/>
      <c r="AC1727" s="175"/>
      <c r="AD1727" s="175"/>
      <c r="AE1727" s="175"/>
      <c r="AF1727" s="175"/>
      <c r="AG1727" s="175"/>
      <c r="AH1727" s="175"/>
      <c r="AI1727" s="175"/>
    </row>
    <row r="1728">
      <c r="A1728" s="176">
        <v>46232.0</v>
      </c>
      <c r="B1728" s="177">
        <v>8938038.0</v>
      </c>
      <c r="C1728" s="178" t="s">
        <v>82</v>
      </c>
      <c r="D1728" s="178" t="s">
        <v>94</v>
      </c>
      <c r="E1728" s="177">
        <v>8938038.0</v>
      </c>
      <c r="F1728" s="178" t="s">
        <v>3161</v>
      </c>
      <c r="G1728" s="176">
        <v>46520.95833333333</v>
      </c>
      <c r="H1728" s="179">
        <v>46524.95833333333</v>
      </c>
      <c r="I1728" s="180">
        <v>4.0</v>
      </c>
      <c r="J1728" s="181" t="s">
        <v>78</v>
      </c>
      <c r="K1728" s="178" t="s">
        <v>79</v>
      </c>
      <c r="L1728" s="178" t="s">
        <v>96</v>
      </c>
      <c r="M1728" s="182">
        <v>2.0</v>
      </c>
      <c r="N1728" s="183">
        <v>0.0</v>
      </c>
      <c r="O1728" s="184">
        <v>239.76</v>
      </c>
      <c r="P1728" s="184">
        <v>239.76</v>
      </c>
      <c r="Q1728" s="185">
        <v>0.0</v>
      </c>
      <c r="R1728" s="186">
        <v>959.04</v>
      </c>
      <c r="S1728" s="186">
        <v>0.0</v>
      </c>
      <c r="T1728" s="186">
        <v>6977.12</v>
      </c>
      <c r="U1728" s="187" t="s">
        <v>97</v>
      </c>
      <c r="V1728" s="176">
        <v>46232.0</v>
      </c>
      <c r="W1728" s="188"/>
      <c r="X1728" s="188"/>
      <c r="Y1728" s="188"/>
      <c r="Z1728" s="188"/>
      <c r="AA1728" s="188"/>
      <c r="AB1728" s="188"/>
      <c r="AC1728" s="188"/>
      <c r="AD1728" s="188"/>
      <c r="AE1728" s="188"/>
      <c r="AF1728" s="188"/>
      <c r="AG1728" s="188"/>
      <c r="AH1728" s="188"/>
      <c r="AI1728" s="188"/>
    </row>
    <row r="1729">
      <c r="A1729" s="176">
        <v>46232.0</v>
      </c>
      <c r="B1729" s="177">
        <v>8938038.0</v>
      </c>
      <c r="C1729" s="178" t="s">
        <v>82</v>
      </c>
      <c r="D1729" s="178" t="s">
        <v>94</v>
      </c>
      <c r="E1729" s="177">
        <v>8938038.0</v>
      </c>
      <c r="F1729" s="178" t="s">
        <v>3161</v>
      </c>
      <c r="G1729" s="176">
        <v>46520.95833333333</v>
      </c>
      <c r="H1729" s="179">
        <v>46524.95833333333</v>
      </c>
      <c r="I1729" s="180">
        <v>4.0</v>
      </c>
      <c r="J1729" s="181" t="s">
        <v>78</v>
      </c>
      <c r="K1729" s="178" t="s">
        <v>79</v>
      </c>
      <c r="L1729" s="178" t="s">
        <v>96</v>
      </c>
      <c r="M1729" s="182">
        <v>2.0</v>
      </c>
      <c r="N1729" s="183">
        <v>0.0</v>
      </c>
      <c r="O1729" s="184">
        <v>239.76</v>
      </c>
      <c r="P1729" s="184">
        <v>239.76</v>
      </c>
      <c r="Q1729" s="185">
        <v>0.0</v>
      </c>
      <c r="R1729" s="186">
        <v>959.04</v>
      </c>
      <c r="S1729" s="186">
        <v>0.0</v>
      </c>
      <c r="T1729" s="186">
        <v>6977.12</v>
      </c>
      <c r="U1729" s="187" t="s">
        <v>97</v>
      </c>
      <c r="V1729" s="176">
        <v>46232.0</v>
      </c>
      <c r="W1729" s="188"/>
      <c r="X1729" s="188"/>
      <c r="Y1729" s="188"/>
      <c r="Z1729" s="188"/>
      <c r="AA1729" s="188"/>
      <c r="AB1729" s="188"/>
      <c r="AC1729" s="188"/>
      <c r="AD1729" s="188"/>
      <c r="AE1729" s="188"/>
      <c r="AF1729" s="188"/>
      <c r="AG1729" s="188"/>
      <c r="AH1729" s="188"/>
      <c r="AI1729" s="188"/>
    </row>
    <row r="1730">
      <c r="A1730" s="176">
        <v>46232.0</v>
      </c>
      <c r="B1730" s="177">
        <v>8938038.0</v>
      </c>
      <c r="C1730" s="178" t="s">
        <v>82</v>
      </c>
      <c r="D1730" s="178" t="s">
        <v>94</v>
      </c>
      <c r="E1730" s="177">
        <v>8938038.0</v>
      </c>
      <c r="F1730" s="178" t="s">
        <v>3161</v>
      </c>
      <c r="G1730" s="176">
        <v>46520.95833333333</v>
      </c>
      <c r="H1730" s="179">
        <v>46524.95833333333</v>
      </c>
      <c r="I1730" s="180">
        <v>4.0</v>
      </c>
      <c r="J1730" s="181" t="s">
        <v>114</v>
      </c>
      <c r="K1730" s="178" t="s">
        <v>79</v>
      </c>
      <c r="L1730" s="178" t="s">
        <v>96</v>
      </c>
      <c r="M1730" s="182">
        <v>2.0</v>
      </c>
      <c r="N1730" s="183">
        <v>0.0</v>
      </c>
      <c r="O1730" s="184">
        <v>270.0</v>
      </c>
      <c r="P1730" s="184">
        <v>270.0</v>
      </c>
      <c r="Q1730" s="185">
        <v>0.0</v>
      </c>
      <c r="R1730" s="186">
        <v>1080.0</v>
      </c>
      <c r="S1730" s="186">
        <v>0.0</v>
      </c>
      <c r="T1730" s="186">
        <v>6977.12</v>
      </c>
      <c r="U1730" s="187" t="s">
        <v>97</v>
      </c>
      <c r="V1730" s="176">
        <v>46232.0</v>
      </c>
      <c r="W1730" s="175"/>
      <c r="X1730" s="175"/>
      <c r="Y1730" s="175"/>
      <c r="Z1730" s="175"/>
      <c r="AA1730" s="175"/>
      <c r="AB1730" s="175"/>
      <c r="AC1730" s="175"/>
      <c r="AD1730" s="175"/>
      <c r="AE1730" s="175"/>
      <c r="AF1730" s="175"/>
      <c r="AG1730" s="175"/>
      <c r="AH1730" s="175"/>
      <c r="AI1730" s="175"/>
    </row>
    <row r="1731">
      <c r="A1731" s="176">
        <v>46232.0</v>
      </c>
      <c r="B1731" s="177">
        <v>8938038.0</v>
      </c>
      <c r="C1731" s="178" t="s">
        <v>82</v>
      </c>
      <c r="D1731" s="178" t="s">
        <v>94</v>
      </c>
      <c r="E1731" s="177">
        <v>8938038.0</v>
      </c>
      <c r="F1731" s="178" t="s">
        <v>3161</v>
      </c>
      <c r="G1731" s="176">
        <v>46520.95833333333</v>
      </c>
      <c r="H1731" s="179">
        <v>46524.95833333333</v>
      </c>
      <c r="I1731" s="180">
        <v>4.0</v>
      </c>
      <c r="J1731" s="181" t="s">
        <v>114</v>
      </c>
      <c r="K1731" s="178" t="s">
        <v>79</v>
      </c>
      <c r="L1731" s="178" t="s">
        <v>96</v>
      </c>
      <c r="M1731" s="182">
        <v>2.0</v>
      </c>
      <c r="N1731" s="183">
        <v>0.0</v>
      </c>
      <c r="O1731" s="184">
        <v>270.0</v>
      </c>
      <c r="P1731" s="184">
        <v>270.0</v>
      </c>
      <c r="Q1731" s="185">
        <v>0.0</v>
      </c>
      <c r="R1731" s="186">
        <v>1080.0</v>
      </c>
      <c r="S1731" s="186">
        <v>0.0</v>
      </c>
      <c r="T1731" s="186">
        <v>6977.12</v>
      </c>
      <c r="U1731" s="187" t="s">
        <v>97</v>
      </c>
      <c r="V1731" s="176">
        <v>46232.0</v>
      </c>
      <c r="W1731" s="188"/>
      <c r="X1731" s="188"/>
      <c r="Y1731" s="188"/>
      <c r="Z1731" s="188"/>
      <c r="AA1731" s="188"/>
      <c r="AB1731" s="188"/>
      <c r="AC1731" s="188"/>
      <c r="AD1731" s="188"/>
      <c r="AE1731" s="188"/>
      <c r="AF1731" s="188"/>
      <c r="AG1731" s="188"/>
      <c r="AH1731" s="188"/>
      <c r="AI1731" s="188"/>
    </row>
    <row r="1732">
      <c r="A1732" s="176">
        <v>46232.0</v>
      </c>
      <c r="B1732" s="177">
        <v>8938387.0</v>
      </c>
      <c r="C1732" s="178" t="s">
        <v>82</v>
      </c>
      <c r="D1732" s="178" t="s">
        <v>2325</v>
      </c>
      <c r="E1732" s="177" t="s">
        <v>3196</v>
      </c>
      <c r="F1732" s="178" t="s">
        <v>3197</v>
      </c>
      <c r="G1732" s="176">
        <v>46232.0</v>
      </c>
      <c r="H1732" s="179">
        <v>46233.0</v>
      </c>
      <c r="I1732" s="180">
        <v>1.0</v>
      </c>
      <c r="J1732" s="181" t="s">
        <v>3199</v>
      </c>
      <c r="K1732" s="178"/>
      <c r="L1732" s="178"/>
      <c r="M1732" s="182">
        <v>2.0</v>
      </c>
      <c r="N1732" s="183">
        <v>0.0</v>
      </c>
      <c r="O1732" s="184">
        <v>0.0</v>
      </c>
      <c r="P1732" s="184">
        <v>0.0</v>
      </c>
      <c r="Q1732" s="185">
        <v>0.0</v>
      </c>
      <c r="R1732" s="186">
        <v>0.0</v>
      </c>
      <c r="S1732" s="186">
        <v>0.0</v>
      </c>
      <c r="T1732" s="186">
        <v>0.0</v>
      </c>
      <c r="U1732" s="187" t="s">
        <v>2329</v>
      </c>
      <c r="V1732" s="176">
        <v>46232.0</v>
      </c>
      <c r="W1732" s="175"/>
      <c r="X1732" s="175"/>
      <c r="Y1732" s="175"/>
      <c r="Z1732" s="175"/>
      <c r="AA1732" s="175"/>
      <c r="AB1732" s="175"/>
      <c r="AC1732" s="175"/>
      <c r="AD1732" s="175"/>
      <c r="AE1732" s="175"/>
      <c r="AF1732" s="175"/>
      <c r="AG1732" s="175"/>
      <c r="AH1732" s="175"/>
      <c r="AI1732" s="175"/>
    </row>
    <row r="1733">
      <c r="A1733" s="176">
        <v>46232.0</v>
      </c>
      <c r="B1733" s="177">
        <v>8940271.0</v>
      </c>
      <c r="C1733" s="178" t="s">
        <v>82</v>
      </c>
      <c r="D1733" s="178" t="s">
        <v>35</v>
      </c>
      <c r="E1733" s="177">
        <v>5.214032686E9</v>
      </c>
      <c r="F1733" s="178" t="s">
        <v>3200</v>
      </c>
      <c r="G1733" s="176">
        <v>46251.0</v>
      </c>
      <c r="H1733" s="179">
        <v>46255.0</v>
      </c>
      <c r="I1733" s="180">
        <v>4.0</v>
      </c>
      <c r="J1733" s="181" t="s">
        <v>78</v>
      </c>
      <c r="K1733" s="178" t="s">
        <v>79</v>
      </c>
      <c r="L1733" s="178" t="s">
        <v>80</v>
      </c>
      <c r="M1733" s="182">
        <v>2.0</v>
      </c>
      <c r="N1733" s="183">
        <v>0.19999999999999996</v>
      </c>
      <c r="O1733" s="184">
        <v>105.6</v>
      </c>
      <c r="P1733" s="184">
        <v>84.48</v>
      </c>
      <c r="Q1733" s="185">
        <v>0.0</v>
      </c>
      <c r="R1733" s="186">
        <v>337.92</v>
      </c>
      <c r="S1733" s="186">
        <v>0.0</v>
      </c>
      <c r="T1733" s="186">
        <v>442.4</v>
      </c>
      <c r="U1733" s="187" t="s">
        <v>143</v>
      </c>
      <c r="V1733" s="176">
        <v>46232.0</v>
      </c>
      <c r="W1733" s="175"/>
      <c r="X1733" s="175"/>
      <c r="Y1733" s="175"/>
      <c r="Z1733" s="175"/>
      <c r="AA1733" s="175"/>
      <c r="AB1733" s="175"/>
      <c r="AC1733" s="175"/>
      <c r="AD1733" s="175"/>
      <c r="AE1733" s="175"/>
      <c r="AF1733" s="175"/>
      <c r="AG1733" s="175"/>
      <c r="AH1733" s="175"/>
      <c r="AI1733" s="175"/>
    </row>
    <row r="1734">
      <c r="A1734" s="176">
        <v>46232.0</v>
      </c>
      <c r="B1734" s="177">
        <v>8940690.0</v>
      </c>
      <c r="C1734" s="178" t="s">
        <v>82</v>
      </c>
      <c r="D1734" s="178" t="s">
        <v>36</v>
      </c>
      <c r="E1734" s="177">
        <v>8940690.0</v>
      </c>
      <c r="F1734" s="178" t="s">
        <v>3202</v>
      </c>
      <c r="G1734" s="176">
        <v>46309.95833333333</v>
      </c>
      <c r="H1734" s="179">
        <v>46311.95833333333</v>
      </c>
      <c r="I1734" s="180">
        <v>2.0</v>
      </c>
      <c r="J1734" s="181" t="s">
        <v>78</v>
      </c>
      <c r="K1734" s="178" t="s">
        <v>138</v>
      </c>
      <c r="L1734" s="178" t="s">
        <v>80</v>
      </c>
      <c r="M1734" s="182">
        <v>2.0</v>
      </c>
      <c r="N1734" s="183">
        <v>0.0</v>
      </c>
      <c r="O1734" s="184">
        <v>300.0</v>
      </c>
      <c r="P1734" s="184">
        <v>297.0</v>
      </c>
      <c r="Q1734" s="185">
        <v>36.0</v>
      </c>
      <c r="R1734" s="186">
        <v>594.0</v>
      </c>
      <c r="S1734" s="186">
        <v>72.0</v>
      </c>
      <c r="T1734" s="186">
        <v>1296.8</v>
      </c>
      <c r="U1734" s="187" t="s">
        <v>448</v>
      </c>
      <c r="V1734" s="176">
        <v>46232.0</v>
      </c>
      <c r="W1734" s="175"/>
      <c r="X1734" s="175"/>
      <c r="Y1734" s="175"/>
      <c r="Z1734" s="175"/>
      <c r="AA1734" s="175"/>
      <c r="AB1734" s="175"/>
      <c r="AC1734" s="175"/>
      <c r="AD1734" s="175"/>
      <c r="AE1734" s="175"/>
      <c r="AF1734" s="175"/>
      <c r="AG1734" s="175"/>
      <c r="AH1734" s="175"/>
      <c r="AI1734" s="175"/>
    </row>
    <row r="1735">
      <c r="A1735" s="176">
        <v>46232.0</v>
      </c>
      <c r="B1735" s="177">
        <v>8940690.0</v>
      </c>
      <c r="C1735" s="178" t="s">
        <v>82</v>
      </c>
      <c r="D1735" s="178" t="s">
        <v>36</v>
      </c>
      <c r="E1735" s="177">
        <v>8940690.0</v>
      </c>
      <c r="F1735" s="178" t="s">
        <v>3202</v>
      </c>
      <c r="G1735" s="176">
        <v>46309.95833333333</v>
      </c>
      <c r="H1735" s="179">
        <v>46311.95833333333</v>
      </c>
      <c r="I1735" s="180">
        <v>2.0</v>
      </c>
      <c r="J1735" s="181" t="s">
        <v>87</v>
      </c>
      <c r="K1735" s="178" t="s">
        <v>138</v>
      </c>
      <c r="L1735" s="178" t="s">
        <v>80</v>
      </c>
      <c r="M1735" s="182">
        <v>2.0</v>
      </c>
      <c r="N1735" s="183">
        <v>0.0</v>
      </c>
      <c r="O1735" s="184">
        <v>266.4</v>
      </c>
      <c r="P1735" s="184">
        <v>263.736</v>
      </c>
      <c r="Q1735" s="185">
        <v>36.0</v>
      </c>
      <c r="R1735" s="186">
        <v>527.472</v>
      </c>
      <c r="S1735" s="186">
        <v>72.0</v>
      </c>
      <c r="T1735" s="186">
        <v>1296.8</v>
      </c>
      <c r="U1735" s="187" t="s">
        <v>448</v>
      </c>
      <c r="V1735" s="176">
        <v>46232.0</v>
      </c>
      <c r="W1735" s="175"/>
      <c r="X1735" s="175"/>
      <c r="Y1735" s="175"/>
      <c r="Z1735" s="175"/>
      <c r="AA1735" s="175"/>
      <c r="AB1735" s="175"/>
      <c r="AC1735" s="175"/>
      <c r="AD1735" s="175"/>
      <c r="AE1735" s="175"/>
      <c r="AF1735" s="175"/>
      <c r="AG1735" s="175"/>
      <c r="AH1735" s="175"/>
      <c r="AI1735" s="175"/>
    </row>
    <row r="1736">
      <c r="A1736" s="176">
        <v>46232.0</v>
      </c>
      <c r="B1736" s="177">
        <v>8941120.0</v>
      </c>
      <c r="C1736" s="178" t="s">
        <v>82</v>
      </c>
      <c r="D1736" s="178" t="s">
        <v>35</v>
      </c>
      <c r="E1736" s="177">
        <v>6.231111051E9</v>
      </c>
      <c r="F1736" s="178" t="s">
        <v>3204</v>
      </c>
      <c r="G1736" s="176">
        <v>46249.0</v>
      </c>
      <c r="H1736" s="179">
        <v>46254.0</v>
      </c>
      <c r="I1736" s="180">
        <v>5.0</v>
      </c>
      <c r="J1736" s="181" t="s">
        <v>111</v>
      </c>
      <c r="K1736" s="178" t="s">
        <v>79</v>
      </c>
      <c r="L1736" s="178" t="s">
        <v>80</v>
      </c>
      <c r="M1736" s="182">
        <v>2.0</v>
      </c>
      <c r="N1736" s="183">
        <v>0.19999999999999996</v>
      </c>
      <c r="O1736" s="184">
        <v>125.08</v>
      </c>
      <c r="P1736" s="184">
        <v>100.06400000000001</v>
      </c>
      <c r="Q1736" s="185">
        <v>0.0</v>
      </c>
      <c r="R1736" s="186">
        <v>500.32000000000005</v>
      </c>
      <c r="S1736" s="186">
        <v>0.0</v>
      </c>
      <c r="T1736" s="186">
        <v>650.4</v>
      </c>
      <c r="U1736" s="187" t="s">
        <v>143</v>
      </c>
      <c r="V1736" s="176">
        <v>46232.0</v>
      </c>
      <c r="W1736" s="175"/>
      <c r="X1736" s="175"/>
      <c r="Y1736" s="175"/>
      <c r="Z1736" s="175"/>
      <c r="AA1736" s="175"/>
      <c r="AB1736" s="175"/>
      <c r="AC1736" s="175"/>
      <c r="AD1736" s="175"/>
      <c r="AE1736" s="175"/>
      <c r="AF1736" s="175"/>
      <c r="AG1736" s="175"/>
      <c r="AH1736" s="175"/>
      <c r="AI1736" s="175"/>
    </row>
    <row r="1737">
      <c r="A1737" s="176">
        <v>46233.0</v>
      </c>
      <c r="B1737" s="177">
        <v>8941623.0</v>
      </c>
      <c r="C1737" s="178" t="s">
        <v>82</v>
      </c>
      <c r="D1737" s="178" t="s">
        <v>35</v>
      </c>
      <c r="E1737" s="177">
        <v>6.844349589E9</v>
      </c>
      <c r="F1737" s="178" t="s">
        <v>3206</v>
      </c>
      <c r="G1737" s="176">
        <v>46237.0</v>
      </c>
      <c r="H1737" s="179">
        <v>46239.0</v>
      </c>
      <c r="I1737" s="180">
        <v>2.0</v>
      </c>
      <c r="J1737" s="181" t="s">
        <v>111</v>
      </c>
      <c r="K1737" s="178" t="s">
        <v>79</v>
      </c>
      <c r="L1737" s="178" t="s">
        <v>80</v>
      </c>
      <c r="M1737" s="182">
        <v>2.0</v>
      </c>
      <c r="N1737" s="183">
        <v>0.19999999999999996</v>
      </c>
      <c r="O1737" s="184">
        <v>140.42</v>
      </c>
      <c r="P1737" s="184">
        <v>112.336</v>
      </c>
      <c r="Q1737" s="185">
        <v>0.0</v>
      </c>
      <c r="R1737" s="186">
        <v>224.672</v>
      </c>
      <c r="S1737" s="186">
        <v>0.0</v>
      </c>
      <c r="T1737" s="186">
        <v>290.84</v>
      </c>
      <c r="U1737" s="187" t="s">
        <v>1441</v>
      </c>
      <c r="V1737" s="176">
        <v>46233.0</v>
      </c>
      <c r="W1737" s="175"/>
      <c r="X1737" s="175"/>
      <c r="Y1737" s="175"/>
      <c r="Z1737" s="175"/>
      <c r="AA1737" s="175"/>
      <c r="AB1737" s="175"/>
      <c r="AC1737" s="175"/>
      <c r="AD1737" s="175"/>
      <c r="AE1737" s="175"/>
      <c r="AF1737" s="175"/>
      <c r="AG1737" s="175"/>
      <c r="AH1737" s="175"/>
      <c r="AI1737" s="175"/>
    </row>
    <row r="1738">
      <c r="A1738" s="176">
        <v>46233.0</v>
      </c>
      <c r="B1738" s="177">
        <v>8941864.0</v>
      </c>
      <c r="C1738" s="178" t="s">
        <v>82</v>
      </c>
      <c r="D1738" s="178" t="s">
        <v>109</v>
      </c>
      <c r="E1738" s="177">
        <v>6.84173039E8</v>
      </c>
      <c r="F1738" s="178" t="s">
        <v>3185</v>
      </c>
      <c r="G1738" s="176">
        <v>46233.0</v>
      </c>
      <c r="H1738" s="179">
        <v>46234.0</v>
      </c>
      <c r="I1738" s="180">
        <v>1.0</v>
      </c>
      <c r="J1738" s="181" t="s">
        <v>114</v>
      </c>
      <c r="K1738" s="178" t="s">
        <v>79</v>
      </c>
      <c r="L1738" s="178" t="s">
        <v>96</v>
      </c>
      <c r="M1738" s="182">
        <v>2.0</v>
      </c>
      <c r="N1738" s="183">
        <v>0.19999999999999996</v>
      </c>
      <c r="O1738" s="184">
        <v>127.5</v>
      </c>
      <c r="P1738" s="184">
        <v>102.0</v>
      </c>
      <c r="Q1738" s="185">
        <v>0.0</v>
      </c>
      <c r="R1738" s="186">
        <v>102.0</v>
      </c>
      <c r="S1738" s="186">
        <v>0.0</v>
      </c>
      <c r="T1738" s="186">
        <v>255.0</v>
      </c>
      <c r="U1738" s="187" t="s">
        <v>1464</v>
      </c>
      <c r="V1738" s="176">
        <v>46233.0</v>
      </c>
      <c r="W1738" s="164"/>
      <c r="X1738" s="164"/>
      <c r="Y1738" s="164"/>
      <c r="Z1738" s="164"/>
      <c r="AA1738" s="164"/>
      <c r="AB1738" s="164"/>
      <c r="AC1738" s="164"/>
      <c r="AD1738" s="164"/>
      <c r="AE1738" s="164"/>
      <c r="AF1738" s="164"/>
      <c r="AG1738" s="164"/>
      <c r="AH1738" s="164"/>
      <c r="AI1738" s="164"/>
    </row>
    <row r="1739">
      <c r="A1739" s="176">
        <v>46233.0</v>
      </c>
      <c r="B1739" s="177">
        <v>8941864.0</v>
      </c>
      <c r="C1739" s="178" t="s">
        <v>82</v>
      </c>
      <c r="D1739" s="178" t="s">
        <v>109</v>
      </c>
      <c r="E1739" s="177">
        <v>6.84173039E8</v>
      </c>
      <c r="F1739" s="178" t="s">
        <v>3185</v>
      </c>
      <c r="G1739" s="176">
        <v>46233.0</v>
      </c>
      <c r="H1739" s="179">
        <v>46234.0</v>
      </c>
      <c r="I1739" s="180">
        <v>1.0</v>
      </c>
      <c r="J1739" s="181" t="s">
        <v>114</v>
      </c>
      <c r="K1739" s="178" t="s">
        <v>79</v>
      </c>
      <c r="L1739" s="178" t="s">
        <v>96</v>
      </c>
      <c r="M1739" s="182">
        <v>2.0</v>
      </c>
      <c r="N1739" s="183">
        <v>0.19999999999999996</v>
      </c>
      <c r="O1739" s="184">
        <v>127.5</v>
      </c>
      <c r="P1739" s="184">
        <v>102.0</v>
      </c>
      <c r="Q1739" s="185">
        <v>0.0</v>
      </c>
      <c r="R1739" s="186">
        <v>102.0</v>
      </c>
      <c r="S1739" s="186">
        <v>0.0</v>
      </c>
      <c r="T1739" s="186">
        <v>255.0</v>
      </c>
      <c r="U1739" s="187" t="s">
        <v>1464</v>
      </c>
      <c r="V1739" s="176">
        <v>46233.0</v>
      </c>
      <c r="W1739" s="175"/>
      <c r="X1739" s="175"/>
      <c r="Y1739" s="175"/>
      <c r="Z1739" s="175"/>
      <c r="AA1739" s="175"/>
      <c r="AB1739" s="175"/>
      <c r="AC1739" s="175"/>
      <c r="AD1739" s="175"/>
      <c r="AE1739" s="175"/>
      <c r="AF1739" s="175"/>
      <c r="AG1739" s="175"/>
      <c r="AH1739" s="175"/>
      <c r="AI1739" s="175"/>
    </row>
    <row r="1740">
      <c r="A1740" s="176">
        <v>46233.0</v>
      </c>
      <c r="B1740" s="177">
        <v>8942654.0</v>
      </c>
      <c r="C1740" s="178" t="s">
        <v>82</v>
      </c>
      <c r="D1740" s="178" t="s">
        <v>35</v>
      </c>
      <c r="E1740" s="177">
        <v>5.773160449E9</v>
      </c>
      <c r="F1740" s="178" t="s">
        <v>3208</v>
      </c>
      <c r="G1740" s="176">
        <v>46241.0</v>
      </c>
      <c r="H1740" s="179">
        <v>46242.0</v>
      </c>
      <c r="I1740" s="180">
        <v>1.0</v>
      </c>
      <c r="J1740" s="181" t="s">
        <v>78</v>
      </c>
      <c r="K1740" s="178" t="s">
        <v>79</v>
      </c>
      <c r="L1740" s="178" t="s">
        <v>80</v>
      </c>
      <c r="M1740" s="182">
        <v>2.0</v>
      </c>
      <c r="N1740" s="183">
        <v>0.19999999999999996</v>
      </c>
      <c r="O1740" s="184">
        <v>75.12</v>
      </c>
      <c r="P1740" s="184">
        <v>60.096000000000004</v>
      </c>
      <c r="Q1740" s="185">
        <v>0.0</v>
      </c>
      <c r="R1740" s="186">
        <v>60.096000000000004</v>
      </c>
      <c r="S1740" s="186">
        <v>0.0</v>
      </c>
      <c r="T1740" s="186">
        <v>160.24</v>
      </c>
      <c r="U1740" s="187" t="s">
        <v>2745</v>
      </c>
      <c r="V1740" s="176">
        <v>46233.0</v>
      </c>
      <c r="W1740" s="175"/>
      <c r="X1740" s="175"/>
      <c r="Y1740" s="175"/>
      <c r="Z1740" s="175"/>
      <c r="AA1740" s="175"/>
      <c r="AB1740" s="175"/>
      <c r="AC1740" s="175"/>
      <c r="AD1740" s="175"/>
      <c r="AE1740" s="175"/>
      <c r="AF1740" s="175"/>
      <c r="AG1740" s="175"/>
      <c r="AH1740" s="175"/>
      <c r="AI1740" s="175"/>
    </row>
    <row r="1741">
      <c r="A1741" s="176">
        <v>46233.0</v>
      </c>
      <c r="B1741" s="177">
        <v>8942654.0</v>
      </c>
      <c r="C1741" s="178" t="s">
        <v>82</v>
      </c>
      <c r="D1741" s="178" t="s">
        <v>35</v>
      </c>
      <c r="E1741" s="177">
        <v>5.773160449E9</v>
      </c>
      <c r="F1741" s="178" t="s">
        <v>3208</v>
      </c>
      <c r="G1741" s="176">
        <v>46241.0</v>
      </c>
      <c r="H1741" s="179">
        <v>46242.0</v>
      </c>
      <c r="I1741" s="180">
        <v>1.0</v>
      </c>
      <c r="J1741" s="181" t="s">
        <v>87</v>
      </c>
      <c r="K1741" s="178" t="s">
        <v>79</v>
      </c>
      <c r="L1741" s="178" t="s">
        <v>80</v>
      </c>
      <c r="M1741" s="182">
        <v>2.0</v>
      </c>
      <c r="N1741" s="183">
        <v>0.19999999999999996</v>
      </c>
      <c r="O1741" s="184">
        <v>75.12</v>
      </c>
      <c r="P1741" s="184">
        <v>60.096000000000004</v>
      </c>
      <c r="Q1741" s="185">
        <v>0.0</v>
      </c>
      <c r="R1741" s="186">
        <v>60.096000000000004</v>
      </c>
      <c r="S1741" s="186">
        <v>0.0</v>
      </c>
      <c r="T1741" s="186">
        <v>160.24</v>
      </c>
      <c r="U1741" s="187" t="s">
        <v>2745</v>
      </c>
      <c r="V1741" s="176">
        <v>46233.0</v>
      </c>
      <c r="W1741" s="175"/>
      <c r="X1741" s="175"/>
      <c r="Y1741" s="175"/>
      <c r="Z1741" s="175"/>
      <c r="AA1741" s="175"/>
      <c r="AB1741" s="175"/>
      <c r="AC1741" s="175"/>
      <c r="AD1741" s="175"/>
      <c r="AE1741" s="175"/>
      <c r="AF1741" s="175"/>
      <c r="AG1741" s="175"/>
      <c r="AH1741" s="175"/>
      <c r="AI1741" s="175"/>
    </row>
    <row r="1742">
      <c r="A1742" s="176">
        <v>46233.0</v>
      </c>
      <c r="B1742" s="177">
        <v>8943559.0</v>
      </c>
      <c r="C1742" s="178" t="s">
        <v>82</v>
      </c>
      <c r="D1742" s="178" t="s">
        <v>94</v>
      </c>
      <c r="E1742" s="177">
        <v>8943559.0</v>
      </c>
      <c r="F1742" s="178" t="s">
        <v>2561</v>
      </c>
      <c r="G1742" s="176">
        <v>46279.0</v>
      </c>
      <c r="H1742" s="179">
        <v>46280.0</v>
      </c>
      <c r="I1742" s="180">
        <v>1.0</v>
      </c>
      <c r="J1742" s="181" t="s">
        <v>78</v>
      </c>
      <c r="K1742" s="178" t="s">
        <v>79</v>
      </c>
      <c r="L1742" s="178" t="s">
        <v>96</v>
      </c>
      <c r="M1742" s="182">
        <v>2.0</v>
      </c>
      <c r="N1742" s="183">
        <v>0.0</v>
      </c>
      <c r="O1742" s="184">
        <v>195.84</v>
      </c>
      <c r="P1742" s="184">
        <v>195.84</v>
      </c>
      <c r="Q1742" s="185">
        <v>0.0</v>
      </c>
      <c r="R1742" s="186">
        <v>195.84</v>
      </c>
      <c r="S1742" s="186">
        <v>0.0</v>
      </c>
      <c r="T1742" s="186">
        <v>200.84</v>
      </c>
      <c r="U1742" s="187" t="s">
        <v>97</v>
      </c>
      <c r="V1742" s="176">
        <v>46233.0</v>
      </c>
      <c r="W1742" s="175"/>
      <c r="X1742" s="175"/>
      <c r="Y1742" s="175"/>
      <c r="Z1742" s="175"/>
      <c r="AA1742" s="175"/>
      <c r="AB1742" s="175"/>
      <c r="AC1742" s="175"/>
      <c r="AD1742" s="175"/>
      <c r="AE1742" s="175"/>
      <c r="AF1742" s="175"/>
      <c r="AG1742" s="175"/>
      <c r="AH1742" s="175"/>
      <c r="AI1742" s="175"/>
    </row>
    <row r="1743">
      <c r="A1743" s="176">
        <v>46234.0</v>
      </c>
      <c r="B1743" s="177">
        <v>8947421.0</v>
      </c>
      <c r="C1743" s="178" t="s">
        <v>82</v>
      </c>
      <c r="D1743" s="178" t="s">
        <v>35</v>
      </c>
      <c r="E1743" s="177">
        <v>6.539868028E9</v>
      </c>
      <c r="F1743" s="178" t="s">
        <v>3213</v>
      </c>
      <c r="G1743" s="176">
        <v>46235.0</v>
      </c>
      <c r="H1743" s="179">
        <v>46236.0</v>
      </c>
      <c r="I1743" s="180">
        <v>1.0</v>
      </c>
      <c r="J1743" s="181" t="s">
        <v>87</v>
      </c>
      <c r="K1743" s="178" t="s">
        <v>79</v>
      </c>
      <c r="L1743" s="178" t="s">
        <v>80</v>
      </c>
      <c r="M1743" s="182">
        <v>2.0</v>
      </c>
      <c r="N1743" s="183">
        <v>0.19999999999999996</v>
      </c>
      <c r="O1743" s="184">
        <v>79.38</v>
      </c>
      <c r="P1743" s="184">
        <v>63.504</v>
      </c>
      <c r="Q1743" s="185">
        <v>0.0</v>
      </c>
      <c r="R1743" s="186">
        <v>63.504</v>
      </c>
      <c r="S1743" s="186">
        <v>0.0</v>
      </c>
      <c r="T1743" s="186">
        <v>84.38</v>
      </c>
      <c r="U1743" s="187" t="s">
        <v>1441</v>
      </c>
      <c r="V1743" s="176">
        <v>46234.0</v>
      </c>
      <c r="W1743" s="188"/>
      <c r="X1743" s="188"/>
      <c r="Y1743" s="188"/>
      <c r="Z1743" s="188"/>
      <c r="AA1743" s="188"/>
      <c r="AB1743" s="188"/>
      <c r="AC1743" s="188"/>
      <c r="AD1743" s="188"/>
      <c r="AE1743" s="188"/>
      <c r="AF1743" s="188"/>
      <c r="AG1743" s="188"/>
      <c r="AH1743" s="188"/>
      <c r="AI1743" s="188"/>
    </row>
    <row r="1744">
      <c r="A1744" s="176">
        <v>46234.0</v>
      </c>
      <c r="B1744" s="177">
        <v>8947799.0</v>
      </c>
      <c r="C1744" s="178" t="s">
        <v>82</v>
      </c>
      <c r="D1744" s="178" t="s">
        <v>35</v>
      </c>
      <c r="E1744" s="177">
        <v>6.62841442E9</v>
      </c>
      <c r="F1744" s="178" t="s">
        <v>3185</v>
      </c>
      <c r="G1744" s="176">
        <v>46234.0</v>
      </c>
      <c r="H1744" s="179">
        <v>46235.0</v>
      </c>
      <c r="I1744" s="180">
        <v>1.0</v>
      </c>
      <c r="J1744" s="181" t="s">
        <v>78</v>
      </c>
      <c r="K1744" s="178" t="s">
        <v>79</v>
      </c>
      <c r="L1744" s="178" t="s">
        <v>80</v>
      </c>
      <c r="M1744" s="182">
        <v>2.0</v>
      </c>
      <c r="N1744" s="183">
        <v>0.19999999999999996</v>
      </c>
      <c r="O1744" s="184">
        <v>76.18</v>
      </c>
      <c r="P1744" s="184">
        <v>60.94400000000001</v>
      </c>
      <c r="Q1744" s="185">
        <v>0.0</v>
      </c>
      <c r="R1744" s="186">
        <v>60.94400000000001</v>
      </c>
      <c r="S1744" s="186">
        <v>0.0</v>
      </c>
      <c r="T1744" s="186">
        <v>190.82</v>
      </c>
      <c r="U1744" s="187" t="s">
        <v>1441</v>
      </c>
      <c r="V1744" s="176">
        <v>46234.0</v>
      </c>
      <c r="W1744" s="188"/>
      <c r="X1744" s="188"/>
      <c r="Y1744" s="188"/>
      <c r="Z1744" s="188"/>
      <c r="AA1744" s="188"/>
      <c r="AB1744" s="188"/>
      <c r="AC1744" s="188"/>
      <c r="AD1744" s="188"/>
      <c r="AE1744" s="188"/>
      <c r="AF1744" s="188"/>
      <c r="AG1744" s="188"/>
      <c r="AH1744" s="188"/>
      <c r="AI1744" s="188"/>
    </row>
    <row r="1745">
      <c r="A1745" s="176">
        <v>46234.0</v>
      </c>
      <c r="B1745" s="177">
        <v>8947799.0</v>
      </c>
      <c r="C1745" s="178" t="s">
        <v>82</v>
      </c>
      <c r="D1745" s="178" t="s">
        <v>35</v>
      </c>
      <c r="E1745" s="177">
        <v>6.62841442E9</v>
      </c>
      <c r="F1745" s="178" t="s">
        <v>3185</v>
      </c>
      <c r="G1745" s="176">
        <v>46234.0</v>
      </c>
      <c r="H1745" s="179">
        <v>46235.0</v>
      </c>
      <c r="I1745" s="180">
        <v>1.0</v>
      </c>
      <c r="J1745" s="181" t="s">
        <v>114</v>
      </c>
      <c r="K1745" s="178" t="s">
        <v>79</v>
      </c>
      <c r="L1745" s="178" t="s">
        <v>80</v>
      </c>
      <c r="M1745" s="182">
        <v>2.0</v>
      </c>
      <c r="N1745" s="183">
        <v>0.19999999999999996</v>
      </c>
      <c r="O1745" s="184">
        <v>104.64</v>
      </c>
      <c r="P1745" s="184">
        <v>83.712</v>
      </c>
      <c r="Q1745" s="185">
        <v>0.0</v>
      </c>
      <c r="R1745" s="186">
        <v>83.712</v>
      </c>
      <c r="S1745" s="186">
        <v>0.0</v>
      </c>
      <c r="T1745" s="186">
        <v>190.82</v>
      </c>
      <c r="U1745" s="187" t="s">
        <v>1441</v>
      </c>
      <c r="V1745" s="176">
        <v>46234.0</v>
      </c>
      <c r="W1745" s="175"/>
      <c r="X1745" s="175"/>
      <c r="Y1745" s="175"/>
      <c r="Z1745" s="175"/>
      <c r="AA1745" s="175"/>
      <c r="AB1745" s="175"/>
      <c r="AC1745" s="175"/>
      <c r="AD1745" s="175"/>
      <c r="AE1745" s="175"/>
      <c r="AF1745" s="175"/>
      <c r="AG1745" s="175"/>
      <c r="AH1745" s="175"/>
      <c r="AI1745" s="175"/>
    </row>
    <row r="1746">
      <c r="A1746" s="176">
        <v>46234.0</v>
      </c>
      <c r="B1746" s="177">
        <v>8948823.0</v>
      </c>
      <c r="C1746" s="178" t="s">
        <v>82</v>
      </c>
      <c r="D1746" s="178" t="s">
        <v>35</v>
      </c>
      <c r="E1746" s="177">
        <v>6.715301867E9</v>
      </c>
      <c r="F1746" s="178" t="s">
        <v>3216</v>
      </c>
      <c r="G1746" s="176">
        <v>46345.95833333333</v>
      </c>
      <c r="H1746" s="179">
        <v>46348.95833333333</v>
      </c>
      <c r="I1746" s="180">
        <v>3.0</v>
      </c>
      <c r="J1746" s="181" t="s">
        <v>78</v>
      </c>
      <c r="K1746" s="178" t="s">
        <v>79</v>
      </c>
      <c r="L1746" s="178" t="s">
        <v>80</v>
      </c>
      <c r="M1746" s="182">
        <v>2.0</v>
      </c>
      <c r="N1746" s="183">
        <v>0.19999999999999996</v>
      </c>
      <c r="O1746" s="184">
        <v>237.1</v>
      </c>
      <c r="P1746" s="184">
        <v>189.68</v>
      </c>
      <c r="Q1746" s="185">
        <v>0.0</v>
      </c>
      <c r="R1746" s="186">
        <v>569.04</v>
      </c>
      <c r="S1746" s="186">
        <v>0.0</v>
      </c>
      <c r="T1746" s="186">
        <v>726.3</v>
      </c>
      <c r="U1746" s="187" t="s">
        <v>353</v>
      </c>
      <c r="V1746" s="176">
        <v>46234.0</v>
      </c>
      <c r="W1746" s="175"/>
      <c r="X1746" s="175"/>
      <c r="Y1746" s="175"/>
      <c r="Z1746" s="175"/>
      <c r="AA1746" s="175"/>
      <c r="AB1746" s="175"/>
      <c r="AC1746" s="175"/>
      <c r="AD1746" s="175"/>
      <c r="AE1746" s="175"/>
      <c r="AF1746" s="175"/>
      <c r="AG1746" s="175"/>
      <c r="AH1746" s="175"/>
      <c r="AI1746" s="175"/>
    </row>
    <row r="1747">
      <c r="A1747" s="176">
        <v>46234.0</v>
      </c>
      <c r="B1747" s="177">
        <v>8952361.0</v>
      </c>
      <c r="C1747" s="178" t="s">
        <v>82</v>
      </c>
      <c r="D1747" s="178" t="s">
        <v>2325</v>
      </c>
      <c r="E1747" s="177" t="s">
        <v>3217</v>
      </c>
      <c r="F1747" s="178" t="s">
        <v>3218</v>
      </c>
      <c r="G1747" s="176">
        <v>46234.0</v>
      </c>
      <c r="H1747" s="179">
        <v>46235.0</v>
      </c>
      <c r="I1747" s="180">
        <v>1.0</v>
      </c>
      <c r="J1747" s="181" t="s">
        <v>3011</v>
      </c>
      <c r="K1747" s="178"/>
      <c r="L1747" s="178"/>
      <c r="M1747" s="182">
        <v>2.0</v>
      </c>
      <c r="N1747" s="183">
        <v>0.0</v>
      </c>
      <c r="O1747" s="184">
        <v>0.0</v>
      </c>
      <c r="P1747" s="184">
        <v>0.0</v>
      </c>
      <c r="Q1747" s="185">
        <v>0.0</v>
      </c>
      <c r="R1747" s="186">
        <v>0.0</v>
      </c>
      <c r="S1747" s="186">
        <v>0.0</v>
      </c>
      <c r="T1747" s="186">
        <v>0.0</v>
      </c>
      <c r="U1747" s="187" t="s">
        <v>2329</v>
      </c>
      <c r="V1747" s="176">
        <v>46234.0</v>
      </c>
      <c r="W1747" s="175"/>
      <c r="X1747" s="175"/>
      <c r="Y1747" s="175"/>
      <c r="Z1747" s="175"/>
      <c r="AA1747" s="175"/>
      <c r="AB1747" s="175"/>
      <c r="AC1747" s="175"/>
      <c r="AD1747" s="175"/>
      <c r="AE1747" s="175"/>
      <c r="AF1747" s="175"/>
      <c r="AG1747" s="175"/>
      <c r="AH1747" s="175"/>
      <c r="AI1747" s="175"/>
    </row>
    <row r="1748">
      <c r="A1748" s="176">
        <v>46234.0</v>
      </c>
      <c r="B1748" s="177">
        <v>8952444.0</v>
      </c>
      <c r="C1748" s="178" t="s">
        <v>82</v>
      </c>
      <c r="D1748" s="178" t="s">
        <v>35</v>
      </c>
      <c r="E1748" s="177">
        <v>5.488511387E9</v>
      </c>
      <c r="F1748" s="178" t="s">
        <v>3220</v>
      </c>
      <c r="G1748" s="176">
        <v>46256.0</v>
      </c>
      <c r="H1748" s="179">
        <v>46258.0</v>
      </c>
      <c r="I1748" s="180">
        <v>2.0</v>
      </c>
      <c r="J1748" s="181" t="s">
        <v>114</v>
      </c>
      <c r="K1748" s="178" t="s">
        <v>79</v>
      </c>
      <c r="L1748" s="178" t="s">
        <v>80</v>
      </c>
      <c r="M1748" s="182">
        <v>3.0</v>
      </c>
      <c r="N1748" s="183">
        <v>0.19999999999999996</v>
      </c>
      <c r="O1748" s="184">
        <v>102.64</v>
      </c>
      <c r="P1748" s="184">
        <v>82.11200000000001</v>
      </c>
      <c r="Q1748" s="185">
        <v>0.0</v>
      </c>
      <c r="R1748" s="186">
        <v>164.22400000000002</v>
      </c>
      <c r="S1748" s="186">
        <v>0.0</v>
      </c>
      <c r="T1748" s="186">
        <v>220.28</v>
      </c>
      <c r="U1748" s="187" t="s">
        <v>143</v>
      </c>
      <c r="V1748" s="176">
        <v>46234.0</v>
      </c>
      <c r="W1748" s="175"/>
      <c r="X1748" s="175"/>
      <c r="Y1748" s="175"/>
      <c r="Z1748" s="175"/>
      <c r="AA1748" s="175"/>
      <c r="AB1748" s="175"/>
      <c r="AC1748" s="175"/>
      <c r="AD1748" s="175"/>
      <c r="AE1748" s="175"/>
      <c r="AF1748" s="175"/>
      <c r="AG1748" s="175"/>
      <c r="AH1748" s="175"/>
      <c r="AI1748" s="175"/>
    </row>
    <row r="1749">
      <c r="A1749" s="176">
        <v>46234.0</v>
      </c>
      <c r="B1749" s="177">
        <v>8952903.0</v>
      </c>
      <c r="C1749" s="178" t="s">
        <v>82</v>
      </c>
      <c r="D1749" s="178" t="s">
        <v>35</v>
      </c>
      <c r="E1749" s="177">
        <v>6.787840942E9</v>
      </c>
      <c r="F1749" s="178" t="s">
        <v>3221</v>
      </c>
      <c r="G1749" s="176">
        <v>46381.95833333333</v>
      </c>
      <c r="H1749" s="179">
        <v>46382.95833333333</v>
      </c>
      <c r="I1749" s="180">
        <v>1.0</v>
      </c>
      <c r="J1749" s="181" t="s">
        <v>114</v>
      </c>
      <c r="K1749" s="178" t="s">
        <v>79</v>
      </c>
      <c r="L1749" s="178" t="s">
        <v>80</v>
      </c>
      <c r="M1749" s="182">
        <v>2.0</v>
      </c>
      <c r="N1749" s="183">
        <v>0.19999999999999996</v>
      </c>
      <c r="O1749" s="184">
        <v>259.96</v>
      </c>
      <c r="P1749" s="184">
        <v>207.968</v>
      </c>
      <c r="Q1749" s="185">
        <v>0.0</v>
      </c>
      <c r="R1749" s="186">
        <v>207.968</v>
      </c>
      <c r="S1749" s="186">
        <v>0.0</v>
      </c>
      <c r="T1749" s="186">
        <v>259.96</v>
      </c>
      <c r="U1749" s="187" t="s">
        <v>268</v>
      </c>
      <c r="V1749" s="176">
        <v>46234.0</v>
      </c>
      <c r="W1749" s="188"/>
      <c r="X1749" s="188"/>
      <c r="Y1749" s="188"/>
      <c r="Z1749" s="188"/>
      <c r="AA1749" s="188"/>
      <c r="AB1749" s="188"/>
      <c r="AC1749" s="188"/>
      <c r="AD1749" s="188"/>
      <c r="AE1749" s="188"/>
      <c r="AF1749" s="188"/>
      <c r="AG1749" s="188"/>
      <c r="AH1749" s="188"/>
      <c r="AI1749" s="188"/>
    </row>
    <row r="1750">
      <c r="A1750" s="176">
        <v>46234.0</v>
      </c>
      <c r="B1750" s="177">
        <v>8952916.0</v>
      </c>
      <c r="C1750" s="178" t="s">
        <v>82</v>
      </c>
      <c r="D1750" s="178" t="s">
        <v>35</v>
      </c>
      <c r="E1750" s="177">
        <v>6.105710362E9</v>
      </c>
      <c r="F1750" s="178" t="s">
        <v>3221</v>
      </c>
      <c r="G1750" s="176">
        <v>46379.95833333333</v>
      </c>
      <c r="H1750" s="179">
        <v>46380.95833333333</v>
      </c>
      <c r="I1750" s="180">
        <v>1.0</v>
      </c>
      <c r="J1750" s="181" t="s">
        <v>114</v>
      </c>
      <c r="K1750" s="178" t="s">
        <v>79</v>
      </c>
      <c r="L1750" s="178" t="s">
        <v>80</v>
      </c>
      <c r="M1750" s="182">
        <v>2.0</v>
      </c>
      <c r="N1750" s="183">
        <v>0.19999999999999996</v>
      </c>
      <c r="O1750" s="184">
        <v>256.9</v>
      </c>
      <c r="P1750" s="184">
        <v>205.51999999999998</v>
      </c>
      <c r="Q1750" s="185">
        <v>0.0</v>
      </c>
      <c r="R1750" s="186">
        <v>205.51999999999998</v>
      </c>
      <c r="S1750" s="186">
        <v>0.0</v>
      </c>
      <c r="T1750" s="186">
        <v>256.9</v>
      </c>
      <c r="U1750" s="187" t="s">
        <v>268</v>
      </c>
      <c r="V1750" s="176">
        <v>46234.0</v>
      </c>
      <c r="W1750" s="175"/>
      <c r="X1750" s="175"/>
      <c r="Y1750" s="175"/>
      <c r="Z1750" s="175"/>
      <c r="AA1750" s="175"/>
      <c r="AB1750" s="175"/>
      <c r="AC1750" s="175"/>
      <c r="AD1750" s="175"/>
      <c r="AE1750" s="175"/>
      <c r="AF1750" s="175"/>
      <c r="AG1750" s="175"/>
      <c r="AH1750" s="175"/>
      <c r="AI1750" s="175"/>
    </row>
    <row r="1751">
      <c r="A1751" s="176">
        <v>46235.0</v>
      </c>
      <c r="B1751" s="177">
        <v>8953211.0</v>
      </c>
      <c r="C1751" s="178" t="s">
        <v>82</v>
      </c>
      <c r="D1751" s="178" t="s">
        <v>35</v>
      </c>
      <c r="E1751" s="177">
        <v>6.946823977E9</v>
      </c>
      <c r="F1751" s="178" t="s">
        <v>3224</v>
      </c>
      <c r="G1751" s="176">
        <v>46257.0</v>
      </c>
      <c r="H1751" s="179">
        <v>46258.0</v>
      </c>
      <c r="I1751" s="180">
        <v>1.0</v>
      </c>
      <c r="J1751" s="181" t="s">
        <v>78</v>
      </c>
      <c r="K1751" s="178" t="s">
        <v>79</v>
      </c>
      <c r="L1751" s="178" t="s">
        <v>80</v>
      </c>
      <c r="M1751" s="182">
        <v>2.0</v>
      </c>
      <c r="N1751" s="183">
        <v>0.19999999999999996</v>
      </c>
      <c r="O1751" s="184">
        <v>79.74</v>
      </c>
      <c r="P1751" s="184">
        <v>63.792</v>
      </c>
      <c r="Q1751" s="185">
        <v>0.0</v>
      </c>
      <c r="R1751" s="186">
        <v>63.792</v>
      </c>
      <c r="S1751" s="186">
        <v>0.0</v>
      </c>
      <c r="T1751" s="186">
        <v>84.74</v>
      </c>
      <c r="U1751" s="187" t="s">
        <v>143</v>
      </c>
      <c r="V1751" s="176">
        <v>46235.0</v>
      </c>
      <c r="W1751" s="164"/>
      <c r="X1751" s="164"/>
      <c r="Y1751" s="164"/>
      <c r="Z1751" s="164"/>
      <c r="AA1751" s="164"/>
      <c r="AB1751" s="164"/>
      <c r="AC1751" s="164"/>
      <c r="AD1751" s="164"/>
      <c r="AE1751" s="164"/>
      <c r="AF1751" s="164"/>
      <c r="AG1751" s="164"/>
      <c r="AH1751" s="164"/>
      <c r="AI1751" s="164"/>
    </row>
    <row r="1752">
      <c r="A1752" s="176">
        <v>46235.0</v>
      </c>
      <c r="B1752" s="177">
        <v>8954747.0</v>
      </c>
      <c r="C1752" s="178" t="s">
        <v>82</v>
      </c>
      <c r="D1752" s="178" t="s">
        <v>35</v>
      </c>
      <c r="E1752" s="177">
        <v>5.837789207E9</v>
      </c>
      <c r="F1752" s="178" t="s">
        <v>3225</v>
      </c>
      <c r="G1752" s="176">
        <v>46295.95833333333</v>
      </c>
      <c r="H1752" s="179">
        <v>46296.95833333333</v>
      </c>
      <c r="I1752" s="180">
        <v>1.0</v>
      </c>
      <c r="J1752" s="181" t="s">
        <v>78</v>
      </c>
      <c r="K1752" s="178" t="s">
        <v>79</v>
      </c>
      <c r="L1752" s="178" t="s">
        <v>80</v>
      </c>
      <c r="M1752" s="182">
        <v>2.0</v>
      </c>
      <c r="N1752" s="183">
        <v>0.19999999999999996</v>
      </c>
      <c r="O1752" s="184">
        <v>151.72</v>
      </c>
      <c r="P1752" s="184">
        <v>121.376</v>
      </c>
      <c r="Q1752" s="185">
        <v>0.0</v>
      </c>
      <c r="R1752" s="186">
        <v>121.376</v>
      </c>
      <c r="S1752" s="186">
        <v>0.0</v>
      </c>
      <c r="T1752" s="186">
        <v>156.72</v>
      </c>
      <c r="U1752" s="187" t="s">
        <v>161</v>
      </c>
      <c r="V1752" s="176">
        <v>46235.0</v>
      </c>
      <c r="W1752" s="175"/>
      <c r="X1752" s="175"/>
      <c r="Y1752" s="175"/>
      <c r="Z1752" s="175"/>
      <c r="AA1752" s="175"/>
      <c r="AB1752" s="175"/>
      <c r="AC1752" s="175"/>
      <c r="AD1752" s="175"/>
      <c r="AE1752" s="175"/>
      <c r="AF1752" s="175"/>
      <c r="AG1752" s="175"/>
      <c r="AH1752" s="175"/>
      <c r="AI1752" s="175"/>
    </row>
    <row r="1753">
      <c r="A1753" s="176">
        <v>46236.0</v>
      </c>
      <c r="B1753" s="177">
        <v>8960967.0</v>
      </c>
      <c r="C1753" s="178" t="s">
        <v>82</v>
      </c>
      <c r="D1753" s="178" t="s">
        <v>35</v>
      </c>
      <c r="E1753" s="177">
        <v>6.578527412E9</v>
      </c>
      <c r="F1753" s="178" t="s">
        <v>3227</v>
      </c>
      <c r="G1753" s="176">
        <v>46294.95833333333</v>
      </c>
      <c r="H1753" s="179">
        <v>46297.95833333333</v>
      </c>
      <c r="I1753" s="180">
        <v>3.0</v>
      </c>
      <c r="J1753" s="181" t="s">
        <v>78</v>
      </c>
      <c r="K1753" s="178" t="s">
        <v>79</v>
      </c>
      <c r="L1753" s="178" t="s">
        <v>80</v>
      </c>
      <c r="M1753" s="182">
        <v>2.0</v>
      </c>
      <c r="N1753" s="183">
        <v>0.19999999999999996</v>
      </c>
      <c r="O1753" s="184">
        <v>143.26</v>
      </c>
      <c r="P1753" s="184">
        <v>114.608</v>
      </c>
      <c r="Q1753" s="185">
        <v>0.0</v>
      </c>
      <c r="R1753" s="186">
        <v>343.824</v>
      </c>
      <c r="S1753" s="186">
        <v>0.0</v>
      </c>
      <c r="T1753" s="186">
        <v>444.78</v>
      </c>
      <c r="U1753" s="187" t="s">
        <v>107</v>
      </c>
      <c r="V1753" s="176">
        <v>46236.0</v>
      </c>
      <c r="W1753" s="188"/>
      <c r="X1753" s="188"/>
      <c r="Y1753" s="188"/>
      <c r="Z1753" s="188"/>
      <c r="AA1753" s="188"/>
      <c r="AB1753" s="188"/>
      <c r="AC1753" s="188"/>
      <c r="AD1753" s="188"/>
      <c r="AE1753" s="188"/>
      <c r="AF1753" s="188"/>
      <c r="AG1753" s="188"/>
      <c r="AH1753" s="188"/>
      <c r="AI1753" s="188"/>
    </row>
    <row r="1754">
      <c r="A1754" s="176">
        <v>46236.0</v>
      </c>
      <c r="B1754" s="177">
        <v>8961810.0</v>
      </c>
      <c r="C1754" s="178" t="s">
        <v>82</v>
      </c>
      <c r="D1754" s="178" t="s">
        <v>35</v>
      </c>
      <c r="E1754" s="177">
        <v>6.922337956E9</v>
      </c>
      <c r="F1754" s="178" t="s">
        <v>3229</v>
      </c>
      <c r="G1754" s="176">
        <v>46561.95833333333</v>
      </c>
      <c r="H1754" s="179">
        <v>46564.95833333333</v>
      </c>
      <c r="I1754" s="180">
        <v>3.0</v>
      </c>
      <c r="J1754" s="181" t="s">
        <v>78</v>
      </c>
      <c r="K1754" s="178" t="s">
        <v>79</v>
      </c>
      <c r="L1754" s="178" t="s">
        <v>80</v>
      </c>
      <c r="M1754" s="182">
        <v>2.0</v>
      </c>
      <c r="N1754" s="183">
        <v>0.19999999999999996</v>
      </c>
      <c r="O1754" s="184">
        <v>115.56</v>
      </c>
      <c r="P1754" s="184">
        <v>92.44800000000001</v>
      </c>
      <c r="Q1754" s="185">
        <v>0.0</v>
      </c>
      <c r="R1754" s="186">
        <v>277.34400000000005</v>
      </c>
      <c r="S1754" s="186">
        <v>0.0</v>
      </c>
      <c r="T1754" s="186">
        <v>361.68</v>
      </c>
      <c r="U1754" s="187" t="s">
        <v>353</v>
      </c>
      <c r="V1754" s="176">
        <v>46236.0</v>
      </c>
      <c r="W1754" s="175"/>
      <c r="X1754" s="175"/>
      <c r="Y1754" s="175"/>
      <c r="Z1754" s="175"/>
      <c r="AA1754" s="175"/>
      <c r="AB1754" s="175"/>
      <c r="AC1754" s="175"/>
      <c r="AD1754" s="175"/>
      <c r="AE1754" s="175"/>
      <c r="AF1754" s="175"/>
      <c r="AG1754" s="175"/>
      <c r="AH1754" s="175"/>
      <c r="AI1754" s="175"/>
    </row>
    <row r="1755">
      <c r="A1755" s="176">
        <v>46236.0</v>
      </c>
      <c r="B1755" s="177">
        <v>8962492.0</v>
      </c>
      <c r="C1755" s="178" t="s">
        <v>89</v>
      </c>
      <c r="D1755" s="178" t="s">
        <v>35</v>
      </c>
      <c r="E1755" s="177">
        <v>6.067635526E9</v>
      </c>
      <c r="F1755" s="178" t="s">
        <v>3232</v>
      </c>
      <c r="G1755" s="176">
        <v>46236.0</v>
      </c>
      <c r="H1755" s="179">
        <v>46237.0</v>
      </c>
      <c r="I1755" s="180">
        <v>1.0</v>
      </c>
      <c r="J1755" s="181" t="s">
        <v>87</v>
      </c>
      <c r="K1755" s="178" t="s">
        <v>79</v>
      </c>
      <c r="L1755" s="178" t="s">
        <v>80</v>
      </c>
      <c r="M1755" s="182">
        <v>0.0</v>
      </c>
      <c r="N1755" s="183">
        <v>0.0</v>
      </c>
      <c r="O1755" s="184">
        <v>0.0</v>
      </c>
      <c r="P1755" s="184">
        <v>0.0</v>
      </c>
      <c r="Q1755" s="185">
        <v>0.0</v>
      </c>
      <c r="R1755" s="186">
        <v>0.0</v>
      </c>
      <c r="S1755" s="186">
        <v>0.0</v>
      </c>
      <c r="T1755" s="186">
        <v>0.0</v>
      </c>
      <c r="U1755" s="187" t="s">
        <v>3233</v>
      </c>
      <c r="V1755" s="176">
        <v>46237.0</v>
      </c>
      <c r="W1755" s="175"/>
      <c r="X1755" s="175"/>
      <c r="Y1755" s="175"/>
      <c r="Z1755" s="175"/>
      <c r="AA1755" s="175"/>
      <c r="AB1755" s="175"/>
      <c r="AC1755" s="175"/>
      <c r="AD1755" s="175"/>
      <c r="AE1755" s="175"/>
      <c r="AF1755" s="175"/>
      <c r="AG1755" s="175"/>
      <c r="AH1755" s="175"/>
      <c r="AI1755" s="175"/>
    </row>
    <row r="1756">
      <c r="A1756" s="176">
        <v>46236.0</v>
      </c>
      <c r="B1756" s="177">
        <v>8963374.0</v>
      </c>
      <c r="C1756" s="178" t="s">
        <v>82</v>
      </c>
      <c r="D1756" s="178" t="s">
        <v>2325</v>
      </c>
      <c r="E1756" s="177" t="s">
        <v>3235</v>
      </c>
      <c r="F1756" s="178" t="s">
        <v>3236</v>
      </c>
      <c r="G1756" s="176">
        <v>46244.0</v>
      </c>
      <c r="H1756" s="179">
        <v>46247.0</v>
      </c>
      <c r="I1756" s="180">
        <v>3.0</v>
      </c>
      <c r="J1756" s="181" t="s">
        <v>3011</v>
      </c>
      <c r="K1756" s="178"/>
      <c r="L1756" s="178"/>
      <c r="M1756" s="182">
        <v>2.0</v>
      </c>
      <c r="N1756" s="183">
        <v>0.0</v>
      </c>
      <c r="O1756" s="184">
        <v>0.0</v>
      </c>
      <c r="P1756" s="184">
        <v>0.0</v>
      </c>
      <c r="Q1756" s="185">
        <v>0.0</v>
      </c>
      <c r="R1756" s="186">
        <v>0.0</v>
      </c>
      <c r="S1756" s="186">
        <v>0.0</v>
      </c>
      <c r="T1756" s="186">
        <v>0.0</v>
      </c>
      <c r="U1756" s="187" t="s">
        <v>2329</v>
      </c>
      <c r="V1756" s="176">
        <v>46236.0</v>
      </c>
      <c r="W1756" s="175"/>
      <c r="X1756" s="175"/>
      <c r="Y1756" s="175"/>
      <c r="Z1756" s="175"/>
      <c r="AA1756" s="175"/>
      <c r="AB1756" s="175"/>
      <c r="AC1756" s="175"/>
      <c r="AD1756" s="175"/>
      <c r="AE1756" s="175"/>
      <c r="AF1756" s="175"/>
      <c r="AG1756" s="175"/>
      <c r="AH1756" s="175"/>
      <c r="AI1756" s="175"/>
    </row>
    <row r="1757">
      <c r="A1757" s="176">
        <v>46236.0</v>
      </c>
      <c r="B1757" s="177">
        <v>8963828.0</v>
      </c>
      <c r="C1757" s="178" t="s">
        <v>82</v>
      </c>
      <c r="D1757" s="178" t="s">
        <v>35</v>
      </c>
      <c r="E1757" s="177">
        <v>5.20499632E9</v>
      </c>
      <c r="F1757" s="178" t="s">
        <v>3238</v>
      </c>
      <c r="G1757" s="176">
        <v>46316.95833333333</v>
      </c>
      <c r="H1757" s="179">
        <v>46318.95833333333</v>
      </c>
      <c r="I1757" s="180">
        <v>2.0</v>
      </c>
      <c r="J1757" s="181" t="s">
        <v>87</v>
      </c>
      <c r="K1757" s="178" t="s">
        <v>79</v>
      </c>
      <c r="L1757" s="178" t="s">
        <v>80</v>
      </c>
      <c r="M1757" s="182">
        <v>2.0</v>
      </c>
      <c r="N1757" s="183">
        <v>0.19999999999999996</v>
      </c>
      <c r="O1757" s="184">
        <v>195.04</v>
      </c>
      <c r="P1757" s="184">
        <v>156.032</v>
      </c>
      <c r="Q1757" s="185">
        <v>0.0</v>
      </c>
      <c r="R1757" s="186">
        <v>312.064</v>
      </c>
      <c r="S1757" s="186">
        <v>0.0</v>
      </c>
      <c r="T1757" s="186">
        <v>400.08</v>
      </c>
      <c r="U1757" s="187" t="s">
        <v>303</v>
      </c>
      <c r="V1757" s="176">
        <v>46236.0</v>
      </c>
      <c r="W1757" s="164"/>
      <c r="X1757" s="164"/>
      <c r="Y1757" s="164"/>
      <c r="Z1757" s="164"/>
      <c r="AA1757" s="164"/>
      <c r="AB1757" s="164"/>
      <c r="AC1757" s="164"/>
      <c r="AD1757" s="164"/>
      <c r="AE1757" s="164"/>
      <c r="AF1757" s="164"/>
      <c r="AG1757" s="164"/>
      <c r="AH1757" s="164"/>
      <c r="AI1757" s="164"/>
    </row>
    <row r="1758">
      <c r="A1758" s="176">
        <v>46236.0</v>
      </c>
      <c r="B1758" s="177">
        <v>8963933.0</v>
      </c>
      <c r="C1758" s="178" t="s">
        <v>82</v>
      </c>
      <c r="D1758" s="178" t="s">
        <v>35</v>
      </c>
      <c r="E1758" s="177">
        <v>5.522085235E9</v>
      </c>
      <c r="F1758" s="178" t="s">
        <v>3240</v>
      </c>
      <c r="G1758" s="176">
        <v>46264.0</v>
      </c>
      <c r="H1758" s="179">
        <v>46268.0</v>
      </c>
      <c r="I1758" s="180">
        <v>4.0</v>
      </c>
      <c r="J1758" s="181" t="s">
        <v>91</v>
      </c>
      <c r="K1758" s="178" t="s">
        <v>79</v>
      </c>
      <c r="L1758" s="178" t="s">
        <v>80</v>
      </c>
      <c r="M1758" s="182">
        <v>3.0</v>
      </c>
      <c r="N1758" s="183">
        <v>0.19999999999999996</v>
      </c>
      <c r="O1758" s="184">
        <v>294.81</v>
      </c>
      <c r="P1758" s="184">
        <v>235.848</v>
      </c>
      <c r="Q1758" s="185">
        <v>0.0</v>
      </c>
      <c r="R1758" s="186">
        <v>943.392</v>
      </c>
      <c r="S1758" s="186">
        <v>0.0</v>
      </c>
      <c r="T1758" s="186">
        <v>1209.24</v>
      </c>
      <c r="U1758" s="187" t="s">
        <v>143</v>
      </c>
      <c r="V1758" s="176">
        <v>46236.0</v>
      </c>
      <c r="W1758" s="164"/>
      <c r="X1758" s="164"/>
      <c r="Y1758" s="164"/>
      <c r="Z1758" s="164"/>
      <c r="AA1758" s="164"/>
      <c r="AB1758" s="164"/>
      <c r="AC1758" s="164"/>
      <c r="AD1758" s="164"/>
      <c r="AE1758" s="164"/>
      <c r="AF1758" s="164"/>
      <c r="AG1758" s="164"/>
      <c r="AH1758" s="164"/>
      <c r="AI1758" s="164"/>
    </row>
    <row r="1759">
      <c r="A1759" s="176">
        <v>46237.0</v>
      </c>
      <c r="B1759" s="177">
        <v>8964825.0</v>
      </c>
      <c r="C1759" s="178" t="s">
        <v>82</v>
      </c>
      <c r="D1759" s="178" t="s">
        <v>35</v>
      </c>
      <c r="E1759" s="177">
        <v>6.284041982E9</v>
      </c>
      <c r="F1759" s="178" t="s">
        <v>3241</v>
      </c>
      <c r="G1759" s="176">
        <v>46357.95833333333</v>
      </c>
      <c r="H1759" s="179">
        <v>46359.95833333333</v>
      </c>
      <c r="I1759" s="180">
        <v>2.0</v>
      </c>
      <c r="J1759" s="181" t="s">
        <v>78</v>
      </c>
      <c r="K1759" s="178" t="s">
        <v>79</v>
      </c>
      <c r="L1759" s="178" t="s">
        <v>80</v>
      </c>
      <c r="M1759" s="182">
        <v>2.0</v>
      </c>
      <c r="N1759" s="183">
        <v>0.19999999999999996</v>
      </c>
      <c r="O1759" s="184">
        <v>201.61</v>
      </c>
      <c r="P1759" s="184">
        <v>161.288</v>
      </c>
      <c r="Q1759" s="185">
        <v>0.0</v>
      </c>
      <c r="R1759" s="186">
        <v>322.576</v>
      </c>
      <c r="S1759" s="186">
        <v>0.0</v>
      </c>
      <c r="T1759" s="186">
        <v>413.22</v>
      </c>
      <c r="U1759" s="187" t="s">
        <v>303</v>
      </c>
      <c r="V1759" s="176">
        <v>46237.0</v>
      </c>
      <c r="W1759" s="175"/>
      <c r="X1759" s="175"/>
      <c r="Y1759" s="175"/>
      <c r="Z1759" s="175"/>
      <c r="AA1759" s="175"/>
      <c r="AB1759" s="175"/>
      <c r="AC1759" s="175"/>
      <c r="AD1759" s="175"/>
      <c r="AE1759" s="175"/>
      <c r="AF1759" s="175"/>
      <c r="AG1759" s="175"/>
      <c r="AH1759" s="175"/>
      <c r="AI1759" s="175"/>
    </row>
    <row r="1760">
      <c r="A1760" s="176">
        <v>46237.0</v>
      </c>
      <c r="B1760" s="177">
        <v>8966683.0</v>
      </c>
      <c r="C1760" s="178" t="s">
        <v>82</v>
      </c>
      <c r="D1760" s="178" t="s">
        <v>35</v>
      </c>
      <c r="E1760" s="177">
        <v>5.995637939E9</v>
      </c>
      <c r="F1760" s="178" t="s">
        <v>3243</v>
      </c>
      <c r="G1760" s="176">
        <v>46340.95833333333</v>
      </c>
      <c r="H1760" s="179">
        <v>46341.95833333333</v>
      </c>
      <c r="I1760" s="180">
        <v>1.0</v>
      </c>
      <c r="J1760" s="181" t="s">
        <v>114</v>
      </c>
      <c r="K1760" s="178" t="s">
        <v>79</v>
      </c>
      <c r="L1760" s="178" t="s">
        <v>80</v>
      </c>
      <c r="M1760" s="182">
        <v>2.0</v>
      </c>
      <c r="N1760" s="183">
        <v>0.19999999999999996</v>
      </c>
      <c r="O1760" s="184">
        <v>261.0</v>
      </c>
      <c r="P1760" s="184">
        <v>208.8</v>
      </c>
      <c r="Q1760" s="185">
        <v>0.0</v>
      </c>
      <c r="R1760" s="186">
        <v>208.8</v>
      </c>
      <c r="S1760" s="186">
        <v>0.0</v>
      </c>
      <c r="T1760" s="186">
        <v>266.0</v>
      </c>
      <c r="U1760" s="187" t="s">
        <v>353</v>
      </c>
      <c r="V1760" s="176">
        <v>46237.0</v>
      </c>
      <c r="W1760" s="175"/>
      <c r="X1760" s="175"/>
      <c r="Y1760" s="175"/>
      <c r="Z1760" s="175"/>
      <c r="AA1760" s="175"/>
      <c r="AB1760" s="175"/>
      <c r="AC1760" s="175"/>
      <c r="AD1760" s="175"/>
      <c r="AE1760" s="175"/>
      <c r="AF1760" s="175"/>
      <c r="AG1760" s="175"/>
      <c r="AH1760" s="175"/>
      <c r="AI1760" s="175"/>
    </row>
    <row r="1761">
      <c r="A1761" s="176">
        <v>46237.0</v>
      </c>
      <c r="B1761" s="177">
        <v>8966976.0</v>
      </c>
      <c r="C1761" s="178" t="s">
        <v>82</v>
      </c>
      <c r="D1761" s="178" t="s">
        <v>2325</v>
      </c>
      <c r="E1761" s="177" t="s">
        <v>3246</v>
      </c>
      <c r="F1761" s="178" t="s">
        <v>3247</v>
      </c>
      <c r="G1761" s="176">
        <v>46237.0</v>
      </c>
      <c r="H1761" s="179">
        <v>46238.0</v>
      </c>
      <c r="I1761" s="180">
        <v>1.0</v>
      </c>
      <c r="J1761" s="181" t="s">
        <v>3049</v>
      </c>
      <c r="K1761" s="178"/>
      <c r="L1761" s="178"/>
      <c r="M1761" s="182">
        <v>2.0</v>
      </c>
      <c r="N1761" s="183">
        <v>0.0</v>
      </c>
      <c r="O1761" s="184">
        <v>0.0</v>
      </c>
      <c r="P1761" s="184">
        <v>0.0</v>
      </c>
      <c r="Q1761" s="185">
        <v>0.0</v>
      </c>
      <c r="R1761" s="186">
        <v>0.0</v>
      </c>
      <c r="S1761" s="186">
        <v>0.0</v>
      </c>
      <c r="T1761" s="186">
        <v>0.0</v>
      </c>
      <c r="U1761" s="187" t="s">
        <v>2329</v>
      </c>
      <c r="V1761" s="176">
        <v>46237.0</v>
      </c>
      <c r="W1761" s="164"/>
      <c r="X1761" s="164"/>
      <c r="Y1761" s="164"/>
      <c r="Z1761" s="164"/>
      <c r="AA1761" s="164"/>
      <c r="AB1761" s="164"/>
      <c r="AC1761" s="164"/>
      <c r="AD1761" s="164"/>
      <c r="AE1761" s="164"/>
      <c r="AF1761" s="164"/>
      <c r="AG1761" s="164"/>
      <c r="AH1761" s="164"/>
      <c r="AI1761" s="164"/>
    </row>
    <row r="1762">
      <c r="A1762" s="176">
        <v>46237.0</v>
      </c>
      <c r="B1762" s="177">
        <v>8969786.0</v>
      </c>
      <c r="C1762" s="178" t="s">
        <v>82</v>
      </c>
      <c r="D1762" s="178" t="s">
        <v>35</v>
      </c>
      <c r="E1762" s="177">
        <v>5.766954714E9</v>
      </c>
      <c r="F1762" s="178" t="s">
        <v>3248</v>
      </c>
      <c r="G1762" s="176">
        <v>46438.0</v>
      </c>
      <c r="H1762" s="179">
        <v>46439.0</v>
      </c>
      <c r="I1762" s="180">
        <v>1.0</v>
      </c>
      <c r="J1762" s="181" t="s">
        <v>78</v>
      </c>
      <c r="K1762" s="178" t="s">
        <v>138</v>
      </c>
      <c r="L1762" s="178" t="s">
        <v>80</v>
      </c>
      <c r="M1762" s="182">
        <v>2.0</v>
      </c>
      <c r="N1762" s="183">
        <v>0.19999999999999996</v>
      </c>
      <c r="O1762" s="184">
        <v>240.0</v>
      </c>
      <c r="P1762" s="184">
        <v>192.0</v>
      </c>
      <c r="Q1762" s="185">
        <v>36.0</v>
      </c>
      <c r="R1762" s="186">
        <v>192.0</v>
      </c>
      <c r="S1762" s="186">
        <v>36.0</v>
      </c>
      <c r="T1762" s="186">
        <v>574.48</v>
      </c>
      <c r="U1762" s="187" t="s">
        <v>498</v>
      </c>
      <c r="V1762" s="176">
        <v>46237.0</v>
      </c>
      <c r="W1762" s="175"/>
      <c r="X1762" s="175"/>
      <c r="Y1762" s="175"/>
      <c r="Z1762" s="175"/>
      <c r="AA1762" s="175"/>
      <c r="AB1762" s="175"/>
      <c r="AC1762" s="175"/>
      <c r="AD1762" s="175"/>
      <c r="AE1762" s="175"/>
      <c r="AF1762" s="175"/>
      <c r="AG1762" s="175"/>
      <c r="AH1762" s="175"/>
      <c r="AI1762" s="175"/>
    </row>
    <row r="1763">
      <c r="A1763" s="176">
        <v>46237.0</v>
      </c>
      <c r="B1763" s="177">
        <v>8969786.0</v>
      </c>
      <c r="C1763" s="178" t="s">
        <v>82</v>
      </c>
      <c r="D1763" s="178" t="s">
        <v>35</v>
      </c>
      <c r="E1763" s="177">
        <v>5.766954714E9</v>
      </c>
      <c r="F1763" s="178" t="s">
        <v>3248</v>
      </c>
      <c r="G1763" s="176">
        <v>46438.0</v>
      </c>
      <c r="H1763" s="179">
        <v>46439.0</v>
      </c>
      <c r="I1763" s="180">
        <v>1.0</v>
      </c>
      <c r="J1763" s="181" t="s">
        <v>114</v>
      </c>
      <c r="K1763" s="178" t="s">
        <v>138</v>
      </c>
      <c r="L1763" s="178" t="s">
        <v>80</v>
      </c>
      <c r="M1763" s="182">
        <v>2.0</v>
      </c>
      <c r="N1763" s="183">
        <v>0.19999999999999996</v>
      </c>
      <c r="O1763" s="184">
        <v>266.88</v>
      </c>
      <c r="P1763" s="184">
        <v>213.50400000000002</v>
      </c>
      <c r="Q1763" s="185">
        <v>36.0</v>
      </c>
      <c r="R1763" s="186">
        <v>213.50400000000002</v>
      </c>
      <c r="S1763" s="186">
        <v>36.0</v>
      </c>
      <c r="T1763" s="186">
        <v>574.48</v>
      </c>
      <c r="U1763" s="187" t="s">
        <v>498</v>
      </c>
      <c r="V1763" s="176">
        <v>46237.0</v>
      </c>
      <c r="W1763" s="175"/>
      <c r="X1763" s="175"/>
      <c r="Y1763" s="175"/>
      <c r="Z1763" s="175"/>
      <c r="AA1763" s="175"/>
      <c r="AB1763" s="175"/>
      <c r="AC1763" s="175"/>
      <c r="AD1763" s="175"/>
      <c r="AE1763" s="175"/>
      <c r="AF1763" s="175"/>
      <c r="AG1763" s="175"/>
      <c r="AH1763" s="175"/>
      <c r="AI1763" s="175"/>
    </row>
    <row r="1764">
      <c r="A1764" s="176">
        <v>46237.0</v>
      </c>
      <c r="B1764" s="177">
        <v>8969896.0</v>
      </c>
      <c r="C1764" s="178" t="s">
        <v>82</v>
      </c>
      <c r="D1764" s="178" t="s">
        <v>35</v>
      </c>
      <c r="E1764" s="177">
        <v>6.920914856E9</v>
      </c>
      <c r="F1764" s="178" t="s">
        <v>3251</v>
      </c>
      <c r="G1764" s="176">
        <v>46254.0</v>
      </c>
      <c r="H1764" s="179">
        <v>46257.0</v>
      </c>
      <c r="I1764" s="180">
        <v>3.0</v>
      </c>
      <c r="J1764" s="181" t="s">
        <v>111</v>
      </c>
      <c r="K1764" s="178" t="s">
        <v>79</v>
      </c>
      <c r="L1764" s="178" t="s">
        <v>80</v>
      </c>
      <c r="M1764" s="182">
        <v>3.0</v>
      </c>
      <c r="N1764" s="183">
        <v>0.19999999999999996</v>
      </c>
      <c r="O1764" s="184">
        <v>134.0</v>
      </c>
      <c r="P1764" s="184">
        <v>107.2</v>
      </c>
      <c r="Q1764" s="185">
        <v>0.0</v>
      </c>
      <c r="R1764" s="186">
        <v>321.6</v>
      </c>
      <c r="S1764" s="186">
        <v>0.0</v>
      </c>
      <c r="T1764" s="186">
        <v>424.5</v>
      </c>
      <c r="U1764" s="187" t="s">
        <v>143</v>
      </c>
      <c r="V1764" s="176">
        <v>46237.0</v>
      </c>
      <c r="W1764" s="164"/>
      <c r="X1764" s="164"/>
      <c r="Y1764" s="164"/>
      <c r="Z1764" s="164"/>
      <c r="AA1764" s="164"/>
      <c r="AB1764" s="164"/>
      <c r="AC1764" s="164"/>
      <c r="AD1764" s="164"/>
      <c r="AE1764" s="164"/>
      <c r="AF1764" s="164"/>
      <c r="AG1764" s="164"/>
      <c r="AH1764" s="164"/>
      <c r="AI1764" s="164"/>
    </row>
    <row r="1765">
      <c r="A1765" s="176">
        <v>46237.0</v>
      </c>
      <c r="B1765" s="177">
        <v>8970254.0</v>
      </c>
      <c r="C1765" s="178" t="s">
        <v>82</v>
      </c>
      <c r="D1765" s="178" t="s">
        <v>35</v>
      </c>
      <c r="E1765" s="177">
        <v>5.546934025E9</v>
      </c>
      <c r="F1765" s="178" t="s">
        <v>3254</v>
      </c>
      <c r="G1765" s="176">
        <v>46262.0</v>
      </c>
      <c r="H1765" s="179">
        <v>46265.0</v>
      </c>
      <c r="I1765" s="180">
        <v>3.0</v>
      </c>
      <c r="J1765" s="181" t="s">
        <v>114</v>
      </c>
      <c r="K1765" s="178" t="s">
        <v>79</v>
      </c>
      <c r="L1765" s="178" t="s">
        <v>80</v>
      </c>
      <c r="M1765" s="182">
        <v>2.0</v>
      </c>
      <c r="N1765" s="183">
        <v>0.19999999999999996</v>
      </c>
      <c r="O1765" s="184">
        <v>130.66</v>
      </c>
      <c r="P1765" s="184">
        <v>104.528</v>
      </c>
      <c r="Q1765" s="185">
        <v>0.0</v>
      </c>
      <c r="R1765" s="186">
        <v>313.584</v>
      </c>
      <c r="S1765" s="186">
        <v>0.0</v>
      </c>
      <c r="T1765" s="186">
        <v>406.98</v>
      </c>
      <c r="U1765" s="187" t="s">
        <v>268</v>
      </c>
      <c r="V1765" s="176">
        <v>46237.0</v>
      </c>
      <c r="W1765" s="175"/>
      <c r="X1765" s="175"/>
      <c r="Y1765" s="175"/>
      <c r="Z1765" s="175"/>
      <c r="AA1765" s="175"/>
      <c r="AB1765" s="175"/>
      <c r="AC1765" s="175"/>
      <c r="AD1765" s="175"/>
      <c r="AE1765" s="175"/>
      <c r="AF1765" s="175"/>
      <c r="AG1765" s="175"/>
      <c r="AH1765" s="175"/>
      <c r="AI1765" s="175"/>
    </row>
    <row r="1766">
      <c r="A1766" s="176">
        <v>46238.0</v>
      </c>
      <c r="B1766" s="177">
        <v>8972476.0</v>
      </c>
      <c r="C1766" s="178" t="s">
        <v>82</v>
      </c>
      <c r="D1766" s="178" t="s">
        <v>35</v>
      </c>
      <c r="E1766" s="177">
        <v>5.592749024E9</v>
      </c>
      <c r="F1766" s="178" t="s">
        <v>3255</v>
      </c>
      <c r="G1766" s="176">
        <v>46254.0</v>
      </c>
      <c r="H1766" s="179">
        <v>46257.0</v>
      </c>
      <c r="I1766" s="180">
        <v>3.0</v>
      </c>
      <c r="J1766" s="181" t="s">
        <v>91</v>
      </c>
      <c r="K1766" s="178" t="s">
        <v>79</v>
      </c>
      <c r="L1766" s="178" t="s">
        <v>80</v>
      </c>
      <c r="M1766" s="182">
        <v>2.0</v>
      </c>
      <c r="N1766" s="183">
        <v>0.19999999999999996</v>
      </c>
      <c r="O1766" s="184">
        <v>282.71</v>
      </c>
      <c r="P1766" s="184">
        <v>226.168</v>
      </c>
      <c r="Q1766" s="185">
        <v>0.0</v>
      </c>
      <c r="R1766" s="186">
        <v>678.504</v>
      </c>
      <c r="S1766" s="186">
        <v>0.0</v>
      </c>
      <c r="T1766" s="186">
        <v>848.13</v>
      </c>
      <c r="U1766" s="187" t="s">
        <v>143</v>
      </c>
      <c r="V1766" s="176">
        <v>46238.0</v>
      </c>
      <c r="W1766" s="164"/>
      <c r="X1766" s="164"/>
      <c r="Y1766" s="164"/>
      <c r="Z1766" s="164"/>
      <c r="AA1766" s="164"/>
      <c r="AB1766" s="164"/>
      <c r="AC1766" s="164"/>
      <c r="AD1766" s="164"/>
      <c r="AE1766" s="164"/>
      <c r="AF1766" s="164"/>
      <c r="AG1766" s="164"/>
      <c r="AH1766" s="164"/>
      <c r="AI1766" s="164"/>
    </row>
    <row r="1767">
      <c r="A1767" s="176">
        <v>46238.0</v>
      </c>
      <c r="B1767" s="177">
        <v>8974796.0</v>
      </c>
      <c r="C1767" s="178" t="s">
        <v>82</v>
      </c>
      <c r="D1767" s="178" t="s">
        <v>35</v>
      </c>
      <c r="E1767" s="177">
        <v>5.283982846E9</v>
      </c>
      <c r="F1767" s="178" t="s">
        <v>3257</v>
      </c>
      <c r="G1767" s="176">
        <v>46322.95833333333</v>
      </c>
      <c r="H1767" s="179">
        <v>46324.95833333333</v>
      </c>
      <c r="I1767" s="180">
        <v>2.0</v>
      </c>
      <c r="J1767" s="181" t="s">
        <v>114</v>
      </c>
      <c r="K1767" s="178" t="s">
        <v>79</v>
      </c>
      <c r="L1767" s="178" t="s">
        <v>80</v>
      </c>
      <c r="M1767" s="182">
        <v>3.0</v>
      </c>
      <c r="N1767" s="183">
        <v>0.19999999999999996</v>
      </c>
      <c r="O1767" s="184">
        <v>177.23</v>
      </c>
      <c r="P1767" s="184">
        <v>141.784</v>
      </c>
      <c r="Q1767" s="185">
        <v>0.0</v>
      </c>
      <c r="R1767" s="186">
        <v>283.568</v>
      </c>
      <c r="S1767" s="186">
        <v>0.0</v>
      </c>
      <c r="T1767" s="186">
        <v>369.46</v>
      </c>
      <c r="U1767" s="187" t="s">
        <v>107</v>
      </c>
      <c r="V1767" s="176">
        <v>46238.0</v>
      </c>
      <c r="W1767" s="175"/>
      <c r="X1767" s="175"/>
      <c r="Y1767" s="175"/>
      <c r="Z1767" s="175"/>
      <c r="AA1767" s="175"/>
      <c r="AB1767" s="175"/>
      <c r="AC1767" s="175"/>
      <c r="AD1767" s="175"/>
      <c r="AE1767" s="175"/>
      <c r="AF1767" s="175"/>
      <c r="AG1767" s="175"/>
      <c r="AH1767" s="175"/>
      <c r="AI1767" s="175"/>
    </row>
    <row r="1768">
      <c r="A1768" s="176">
        <v>46238.0</v>
      </c>
      <c r="B1768" s="177">
        <v>8974908.0</v>
      </c>
      <c r="C1768" s="178" t="s">
        <v>82</v>
      </c>
      <c r="D1768" s="178" t="s">
        <v>35</v>
      </c>
      <c r="E1768" s="177">
        <v>5.766941004E9</v>
      </c>
      <c r="F1768" s="178" t="s">
        <v>3140</v>
      </c>
      <c r="G1768" s="176">
        <v>46496.95833333333</v>
      </c>
      <c r="H1768" s="179">
        <v>46498.95833333333</v>
      </c>
      <c r="I1768" s="180">
        <v>2.0</v>
      </c>
      <c r="J1768" s="181" t="s">
        <v>114</v>
      </c>
      <c r="K1768" s="178" t="s">
        <v>138</v>
      </c>
      <c r="L1768" s="178" t="s">
        <v>80</v>
      </c>
      <c r="M1768" s="182">
        <v>2.0</v>
      </c>
      <c r="N1768" s="183">
        <v>0.19999999999999996</v>
      </c>
      <c r="O1768" s="184">
        <v>303.84</v>
      </c>
      <c r="P1768" s="184">
        <v>243.072</v>
      </c>
      <c r="Q1768" s="185">
        <v>36.0</v>
      </c>
      <c r="R1768" s="186">
        <v>486.144</v>
      </c>
      <c r="S1768" s="186">
        <v>72.0</v>
      </c>
      <c r="T1768" s="186">
        <v>675.28</v>
      </c>
      <c r="U1768" s="187" t="s">
        <v>751</v>
      </c>
      <c r="V1768" s="176">
        <v>46238.0</v>
      </c>
      <c r="W1768" s="175"/>
      <c r="X1768" s="175"/>
      <c r="Y1768" s="175"/>
      <c r="Z1768" s="175"/>
      <c r="AA1768" s="175"/>
      <c r="AB1768" s="175"/>
      <c r="AC1768" s="175"/>
      <c r="AD1768" s="175"/>
      <c r="AE1768" s="175"/>
      <c r="AF1768" s="175"/>
      <c r="AG1768" s="175"/>
      <c r="AH1768" s="175"/>
      <c r="AI1768" s="175"/>
    </row>
    <row r="1769">
      <c r="A1769" s="176">
        <v>46238.0</v>
      </c>
      <c r="B1769" s="177">
        <v>8976056.0</v>
      </c>
      <c r="C1769" s="178" t="s">
        <v>82</v>
      </c>
      <c r="D1769" s="178" t="s">
        <v>35</v>
      </c>
      <c r="E1769" s="177">
        <v>6.463737736E9</v>
      </c>
      <c r="F1769" s="178" t="s">
        <v>3260</v>
      </c>
      <c r="G1769" s="176">
        <v>46257.0</v>
      </c>
      <c r="H1769" s="179">
        <v>46258.0</v>
      </c>
      <c r="I1769" s="180">
        <v>1.0</v>
      </c>
      <c r="J1769" s="181" t="s">
        <v>114</v>
      </c>
      <c r="K1769" s="178" t="s">
        <v>79</v>
      </c>
      <c r="L1769" s="178" t="s">
        <v>80</v>
      </c>
      <c r="M1769" s="182">
        <v>2.0</v>
      </c>
      <c r="N1769" s="183">
        <v>0.19999999999999996</v>
      </c>
      <c r="O1769" s="184">
        <v>121.04</v>
      </c>
      <c r="P1769" s="184">
        <v>96.83200000000001</v>
      </c>
      <c r="Q1769" s="185">
        <v>0.0</v>
      </c>
      <c r="R1769" s="186">
        <v>96.83200000000001</v>
      </c>
      <c r="S1769" s="186">
        <v>0.0</v>
      </c>
      <c r="T1769" s="186">
        <v>126.04</v>
      </c>
      <c r="U1769" s="187" t="s">
        <v>143</v>
      </c>
      <c r="V1769" s="176">
        <v>46238.0</v>
      </c>
      <c r="W1769" s="188"/>
      <c r="X1769" s="188"/>
      <c r="Y1769" s="188"/>
      <c r="Z1769" s="188"/>
      <c r="AA1769" s="188"/>
      <c r="AB1769" s="188"/>
      <c r="AC1769" s="188"/>
      <c r="AD1769" s="188"/>
      <c r="AE1769" s="188"/>
      <c r="AF1769" s="188"/>
      <c r="AG1769" s="188"/>
      <c r="AH1769" s="188"/>
      <c r="AI1769" s="188"/>
    </row>
    <row r="1770">
      <c r="A1770" s="176">
        <v>46239.0</v>
      </c>
      <c r="B1770" s="177">
        <v>8977036.0</v>
      </c>
      <c r="C1770" s="178" t="s">
        <v>82</v>
      </c>
      <c r="D1770" s="178" t="s">
        <v>35</v>
      </c>
      <c r="E1770" s="177">
        <v>6.521855614E9</v>
      </c>
      <c r="F1770" s="178" t="s">
        <v>3152</v>
      </c>
      <c r="G1770" s="176">
        <v>46274.0</v>
      </c>
      <c r="H1770" s="179">
        <v>46275.0</v>
      </c>
      <c r="I1770" s="180">
        <v>1.0</v>
      </c>
      <c r="J1770" s="181" t="s">
        <v>114</v>
      </c>
      <c r="K1770" s="178" t="s">
        <v>79</v>
      </c>
      <c r="L1770" s="178" t="s">
        <v>80</v>
      </c>
      <c r="M1770" s="182">
        <v>2.0</v>
      </c>
      <c r="N1770" s="183">
        <v>0.19999999999999996</v>
      </c>
      <c r="O1770" s="184">
        <v>182.4</v>
      </c>
      <c r="P1770" s="184">
        <v>145.92000000000002</v>
      </c>
      <c r="Q1770" s="185">
        <v>0.0</v>
      </c>
      <c r="R1770" s="186">
        <v>145.92000000000002</v>
      </c>
      <c r="S1770" s="186">
        <v>0.0</v>
      </c>
      <c r="T1770" s="186">
        <v>187.4</v>
      </c>
      <c r="U1770" s="187" t="s">
        <v>1367</v>
      </c>
      <c r="V1770" s="176">
        <v>46239.0</v>
      </c>
      <c r="W1770" s="188"/>
      <c r="X1770" s="188"/>
      <c r="Y1770" s="188"/>
      <c r="Z1770" s="188"/>
      <c r="AA1770" s="188"/>
      <c r="AB1770" s="188"/>
      <c r="AC1770" s="188"/>
      <c r="AD1770" s="188"/>
      <c r="AE1770" s="188"/>
      <c r="AF1770" s="188"/>
      <c r="AG1770" s="188"/>
      <c r="AH1770" s="188"/>
      <c r="AI1770" s="188"/>
    </row>
    <row r="1771">
      <c r="A1771" s="176">
        <v>46239.0</v>
      </c>
      <c r="B1771" s="177">
        <v>8981212.0</v>
      </c>
      <c r="C1771" s="178" t="s">
        <v>89</v>
      </c>
      <c r="D1771" s="178" t="s">
        <v>35</v>
      </c>
      <c r="E1771" s="177">
        <v>6.250212817E9</v>
      </c>
      <c r="F1771" s="178" t="s">
        <v>3261</v>
      </c>
      <c r="G1771" s="176">
        <v>46381.95833333333</v>
      </c>
      <c r="H1771" s="179">
        <v>46384.95833333333</v>
      </c>
      <c r="I1771" s="180">
        <v>3.0</v>
      </c>
      <c r="J1771" s="181" t="s">
        <v>78</v>
      </c>
      <c r="K1771" s="178" t="s">
        <v>79</v>
      </c>
      <c r="L1771" s="178" t="s">
        <v>80</v>
      </c>
      <c r="M1771" s="182">
        <v>0.0</v>
      </c>
      <c r="N1771" s="183">
        <v>0.0</v>
      </c>
      <c r="O1771" s="184">
        <v>0.0</v>
      </c>
      <c r="P1771" s="184">
        <v>0.0</v>
      </c>
      <c r="Q1771" s="185">
        <v>0.0</v>
      </c>
      <c r="R1771" s="186">
        <v>0.0</v>
      </c>
      <c r="S1771" s="186">
        <v>0.0</v>
      </c>
      <c r="T1771" s="186">
        <v>0.0</v>
      </c>
      <c r="U1771" s="187" t="s">
        <v>3262</v>
      </c>
      <c r="V1771" s="176">
        <v>46240.0</v>
      </c>
      <c r="W1771" s="175"/>
      <c r="X1771" s="175"/>
      <c r="Y1771" s="175"/>
      <c r="Z1771" s="175"/>
      <c r="AA1771" s="175"/>
      <c r="AB1771" s="175"/>
      <c r="AC1771" s="175"/>
      <c r="AD1771" s="175"/>
      <c r="AE1771" s="175"/>
      <c r="AF1771" s="175"/>
      <c r="AG1771" s="175"/>
      <c r="AH1771" s="175"/>
      <c r="AI1771" s="175"/>
    </row>
    <row r="1772">
      <c r="A1772" s="176">
        <v>46239.0</v>
      </c>
      <c r="B1772" s="177">
        <v>8981611.0</v>
      </c>
      <c r="C1772" s="178" t="s">
        <v>82</v>
      </c>
      <c r="D1772" s="178" t="s">
        <v>35</v>
      </c>
      <c r="E1772" s="177">
        <v>5.668805527E9</v>
      </c>
      <c r="F1772" s="178" t="s">
        <v>3264</v>
      </c>
      <c r="G1772" s="176">
        <v>46245.0</v>
      </c>
      <c r="H1772" s="179">
        <v>46247.0</v>
      </c>
      <c r="I1772" s="180">
        <v>2.0</v>
      </c>
      <c r="J1772" s="181" t="s">
        <v>111</v>
      </c>
      <c r="K1772" s="178" t="s">
        <v>79</v>
      </c>
      <c r="L1772" s="178" t="s">
        <v>80</v>
      </c>
      <c r="M1772" s="182">
        <v>2.0</v>
      </c>
      <c r="N1772" s="183">
        <v>0.19999999999999996</v>
      </c>
      <c r="O1772" s="184">
        <v>137.79</v>
      </c>
      <c r="P1772" s="184">
        <v>110.232</v>
      </c>
      <c r="Q1772" s="185">
        <v>0.0</v>
      </c>
      <c r="R1772" s="186">
        <v>220.464</v>
      </c>
      <c r="S1772" s="186">
        <v>0.0</v>
      </c>
      <c r="T1772" s="186">
        <v>285.58</v>
      </c>
      <c r="U1772" s="187" t="s">
        <v>1441</v>
      </c>
      <c r="V1772" s="176">
        <v>46239.0</v>
      </c>
      <c r="W1772" s="175"/>
      <c r="X1772" s="175"/>
      <c r="Y1772" s="175"/>
      <c r="Z1772" s="175"/>
      <c r="AA1772" s="175"/>
      <c r="AB1772" s="175"/>
      <c r="AC1772" s="175"/>
      <c r="AD1772" s="175"/>
      <c r="AE1772" s="175"/>
      <c r="AF1772" s="175"/>
      <c r="AG1772" s="175"/>
      <c r="AH1772" s="175"/>
      <c r="AI1772" s="175"/>
    </row>
    <row r="1773">
      <c r="A1773" s="176">
        <v>46239.0</v>
      </c>
      <c r="B1773" s="177">
        <v>8981984.0</v>
      </c>
      <c r="C1773" s="178" t="s">
        <v>82</v>
      </c>
      <c r="D1773" s="178" t="s">
        <v>35</v>
      </c>
      <c r="E1773" s="177">
        <v>6.136746298E9</v>
      </c>
      <c r="F1773" s="178" t="s">
        <v>3265</v>
      </c>
      <c r="G1773" s="176">
        <v>46239.0</v>
      </c>
      <c r="H1773" s="179">
        <v>46240.0</v>
      </c>
      <c r="I1773" s="180">
        <v>1.0</v>
      </c>
      <c r="J1773" s="181" t="s">
        <v>78</v>
      </c>
      <c r="K1773" s="178" t="s">
        <v>79</v>
      </c>
      <c r="L1773" s="178" t="s">
        <v>80</v>
      </c>
      <c r="M1773" s="182">
        <v>1.0</v>
      </c>
      <c r="N1773" s="183">
        <v>0.19999999999999996</v>
      </c>
      <c r="O1773" s="184">
        <v>108.99</v>
      </c>
      <c r="P1773" s="184">
        <v>87.19200000000001</v>
      </c>
      <c r="Q1773" s="185">
        <v>0.0</v>
      </c>
      <c r="R1773" s="186">
        <v>87.19200000000001</v>
      </c>
      <c r="S1773" s="186">
        <v>0.0</v>
      </c>
      <c r="T1773" s="186">
        <v>111.49</v>
      </c>
      <c r="U1773" s="187" t="s">
        <v>1441</v>
      </c>
      <c r="V1773" s="176">
        <v>46239.0</v>
      </c>
      <c r="W1773" s="175"/>
      <c r="X1773" s="175"/>
      <c r="Y1773" s="175"/>
      <c r="Z1773" s="175"/>
      <c r="AA1773" s="175"/>
      <c r="AB1773" s="175"/>
      <c r="AC1773" s="175"/>
      <c r="AD1773" s="175"/>
      <c r="AE1773" s="175"/>
      <c r="AF1773" s="175"/>
      <c r="AG1773" s="175"/>
      <c r="AH1773" s="175"/>
      <c r="AI1773" s="175"/>
    </row>
    <row r="1774">
      <c r="A1774" s="176">
        <v>46239.0</v>
      </c>
      <c r="B1774" s="177">
        <v>8983043.0</v>
      </c>
      <c r="C1774" s="178" t="s">
        <v>82</v>
      </c>
      <c r="D1774" s="178" t="s">
        <v>35</v>
      </c>
      <c r="E1774" s="177">
        <v>6.617981527E9</v>
      </c>
      <c r="F1774" s="178" t="s">
        <v>3267</v>
      </c>
      <c r="G1774" s="176">
        <v>46263.0</v>
      </c>
      <c r="H1774" s="179">
        <v>46265.0</v>
      </c>
      <c r="I1774" s="180">
        <v>2.0</v>
      </c>
      <c r="J1774" s="181" t="s">
        <v>111</v>
      </c>
      <c r="K1774" s="178" t="s">
        <v>79</v>
      </c>
      <c r="L1774" s="178" t="s">
        <v>80</v>
      </c>
      <c r="M1774" s="182">
        <v>2.0</v>
      </c>
      <c r="N1774" s="183">
        <v>0.19999999999999996</v>
      </c>
      <c r="O1774" s="184">
        <v>174.96</v>
      </c>
      <c r="P1774" s="184">
        <v>139.96800000000002</v>
      </c>
      <c r="Q1774" s="185">
        <v>0.0</v>
      </c>
      <c r="R1774" s="186">
        <v>279.93600000000004</v>
      </c>
      <c r="S1774" s="186">
        <v>0.0</v>
      </c>
      <c r="T1774" s="186">
        <v>359.92</v>
      </c>
      <c r="U1774" s="187" t="s">
        <v>1367</v>
      </c>
      <c r="V1774" s="176">
        <v>46239.0</v>
      </c>
      <c r="W1774" s="175"/>
      <c r="X1774" s="175"/>
      <c r="Y1774" s="175"/>
      <c r="Z1774" s="175"/>
      <c r="AA1774" s="175"/>
      <c r="AB1774" s="175"/>
      <c r="AC1774" s="175"/>
      <c r="AD1774" s="175"/>
      <c r="AE1774" s="175"/>
      <c r="AF1774" s="175"/>
      <c r="AG1774" s="175"/>
      <c r="AH1774" s="175"/>
      <c r="AI1774" s="175"/>
    </row>
    <row r="1775">
      <c r="A1775" s="176">
        <v>46240.0</v>
      </c>
      <c r="B1775" s="177">
        <v>8983162.0</v>
      </c>
      <c r="C1775" s="178" t="s">
        <v>82</v>
      </c>
      <c r="D1775" s="178" t="s">
        <v>35</v>
      </c>
      <c r="E1775" s="177">
        <v>5.556285303E9</v>
      </c>
      <c r="F1775" s="178" t="s">
        <v>3268</v>
      </c>
      <c r="G1775" s="176">
        <v>46243.0</v>
      </c>
      <c r="H1775" s="179">
        <v>46246.0</v>
      </c>
      <c r="I1775" s="180">
        <v>3.0</v>
      </c>
      <c r="J1775" s="181" t="s">
        <v>78</v>
      </c>
      <c r="K1775" s="178" t="s">
        <v>79</v>
      </c>
      <c r="L1775" s="178" t="s">
        <v>80</v>
      </c>
      <c r="M1775" s="182">
        <v>2.0</v>
      </c>
      <c r="N1775" s="183">
        <v>0.19999999999999996</v>
      </c>
      <c r="O1775" s="184">
        <v>110.66000000000001</v>
      </c>
      <c r="P1775" s="184">
        <v>88.52800000000002</v>
      </c>
      <c r="Q1775" s="185">
        <v>0.0</v>
      </c>
      <c r="R1775" s="186">
        <v>265.58400000000006</v>
      </c>
      <c r="S1775" s="186">
        <v>0.0</v>
      </c>
      <c r="T1775" s="186">
        <v>346.98</v>
      </c>
      <c r="U1775" s="187" t="s">
        <v>1441</v>
      </c>
      <c r="V1775" s="176">
        <v>46240.0</v>
      </c>
      <c r="W1775" s="175"/>
      <c r="X1775" s="175"/>
      <c r="Y1775" s="175"/>
      <c r="Z1775" s="175"/>
      <c r="AA1775" s="175"/>
      <c r="AB1775" s="175"/>
      <c r="AC1775" s="175"/>
      <c r="AD1775" s="175"/>
      <c r="AE1775" s="175"/>
      <c r="AF1775" s="175"/>
      <c r="AG1775" s="175"/>
      <c r="AH1775" s="175"/>
      <c r="AI1775" s="175"/>
    </row>
    <row r="1776">
      <c r="A1776" s="176">
        <v>46240.0</v>
      </c>
      <c r="B1776" s="177">
        <v>8983199.0</v>
      </c>
      <c r="C1776" s="178" t="s">
        <v>82</v>
      </c>
      <c r="D1776" s="178" t="s">
        <v>35</v>
      </c>
      <c r="E1776" s="177">
        <v>5.799350817E9</v>
      </c>
      <c r="F1776" s="178" t="s">
        <v>3269</v>
      </c>
      <c r="G1776" s="176">
        <v>46286.95833333333</v>
      </c>
      <c r="H1776" s="179">
        <v>46288.95833333333</v>
      </c>
      <c r="I1776" s="180">
        <v>2.0</v>
      </c>
      <c r="J1776" s="181" t="s">
        <v>114</v>
      </c>
      <c r="K1776" s="178" t="s">
        <v>79</v>
      </c>
      <c r="L1776" s="178" t="s">
        <v>80</v>
      </c>
      <c r="M1776" s="182">
        <v>1.0</v>
      </c>
      <c r="N1776" s="183">
        <v>0.19999999999999996</v>
      </c>
      <c r="O1776" s="184">
        <v>131.78</v>
      </c>
      <c r="P1776" s="184">
        <v>105.424</v>
      </c>
      <c r="Q1776" s="185">
        <v>0.0</v>
      </c>
      <c r="R1776" s="186">
        <v>210.848</v>
      </c>
      <c r="S1776" s="186">
        <v>0.0</v>
      </c>
      <c r="T1776" s="186">
        <v>268.56</v>
      </c>
      <c r="U1776" s="187" t="s">
        <v>107</v>
      </c>
      <c r="V1776" s="176">
        <v>46240.0</v>
      </c>
      <c r="W1776" s="164"/>
      <c r="X1776" s="164"/>
      <c r="Y1776" s="164"/>
      <c r="Z1776" s="164"/>
      <c r="AA1776" s="164"/>
      <c r="AB1776" s="164"/>
      <c r="AC1776" s="164"/>
      <c r="AD1776" s="164"/>
      <c r="AE1776" s="164"/>
      <c r="AF1776" s="164"/>
      <c r="AG1776" s="164"/>
      <c r="AH1776" s="164"/>
      <c r="AI1776" s="164"/>
    </row>
    <row r="1777">
      <c r="A1777" s="176">
        <v>46240.0</v>
      </c>
      <c r="B1777" s="177">
        <v>8983761.0</v>
      </c>
      <c r="C1777" s="178" t="s">
        <v>82</v>
      </c>
      <c r="D1777" s="178" t="s">
        <v>35</v>
      </c>
      <c r="E1777" s="177">
        <v>6.709147175E9</v>
      </c>
      <c r="F1777" s="178" t="s">
        <v>3270</v>
      </c>
      <c r="G1777" s="176">
        <v>46391.95833333333</v>
      </c>
      <c r="H1777" s="179">
        <v>46392.95833333333</v>
      </c>
      <c r="I1777" s="180">
        <v>1.0</v>
      </c>
      <c r="J1777" s="181" t="s">
        <v>78</v>
      </c>
      <c r="K1777" s="178" t="s">
        <v>79</v>
      </c>
      <c r="L1777" s="178" t="s">
        <v>80</v>
      </c>
      <c r="M1777" s="182">
        <v>2.0</v>
      </c>
      <c r="N1777" s="183">
        <v>0.19999999999999996</v>
      </c>
      <c r="O1777" s="184">
        <v>205.54</v>
      </c>
      <c r="P1777" s="184">
        <v>164.43200000000002</v>
      </c>
      <c r="Q1777" s="185">
        <v>0.0</v>
      </c>
      <c r="R1777" s="186">
        <v>164.43200000000002</v>
      </c>
      <c r="S1777" s="186">
        <v>0.0</v>
      </c>
      <c r="T1777" s="186">
        <v>210.54</v>
      </c>
      <c r="U1777" s="187" t="s">
        <v>353</v>
      </c>
      <c r="V1777" s="176">
        <v>46240.0</v>
      </c>
      <c r="W1777" s="164"/>
      <c r="X1777" s="164"/>
      <c r="Y1777" s="164"/>
      <c r="Z1777" s="164"/>
      <c r="AA1777" s="164"/>
      <c r="AB1777" s="164"/>
      <c r="AC1777" s="164"/>
      <c r="AD1777" s="164"/>
      <c r="AE1777" s="164"/>
      <c r="AF1777" s="164"/>
      <c r="AG1777" s="164"/>
      <c r="AH1777" s="164"/>
      <c r="AI1777" s="164"/>
    </row>
    <row r="1778">
      <c r="A1778" s="176">
        <v>46240.0</v>
      </c>
      <c r="B1778" s="177">
        <v>8983818.0</v>
      </c>
      <c r="C1778" s="178" t="s">
        <v>82</v>
      </c>
      <c r="D1778" s="178" t="s">
        <v>35</v>
      </c>
      <c r="E1778" s="177">
        <v>5.770651168E9</v>
      </c>
      <c r="F1778" s="178" t="s">
        <v>3272</v>
      </c>
      <c r="G1778" s="176">
        <v>46278.0</v>
      </c>
      <c r="H1778" s="179">
        <v>46280.0</v>
      </c>
      <c r="I1778" s="180">
        <v>2.0</v>
      </c>
      <c r="J1778" s="181" t="s">
        <v>114</v>
      </c>
      <c r="K1778" s="178" t="s">
        <v>79</v>
      </c>
      <c r="L1778" s="178" t="s">
        <v>80</v>
      </c>
      <c r="M1778" s="182">
        <v>2.0</v>
      </c>
      <c r="N1778" s="183">
        <v>0.19999999999999996</v>
      </c>
      <c r="O1778" s="184">
        <v>137.29</v>
      </c>
      <c r="P1778" s="184">
        <v>109.832</v>
      </c>
      <c r="Q1778" s="185">
        <v>0.0</v>
      </c>
      <c r="R1778" s="186">
        <v>219.664</v>
      </c>
      <c r="S1778" s="186">
        <v>0.0</v>
      </c>
      <c r="T1778" s="186">
        <v>284.58</v>
      </c>
      <c r="U1778" s="187" t="s">
        <v>107</v>
      </c>
      <c r="V1778" s="176">
        <v>46240.0</v>
      </c>
      <c r="W1778" s="175"/>
      <c r="X1778" s="175"/>
      <c r="Y1778" s="175"/>
      <c r="Z1778" s="175"/>
      <c r="AA1778" s="175"/>
      <c r="AB1778" s="175"/>
      <c r="AC1778" s="175"/>
      <c r="AD1778" s="175"/>
      <c r="AE1778" s="175"/>
      <c r="AF1778" s="175"/>
      <c r="AG1778" s="175"/>
      <c r="AH1778" s="175"/>
      <c r="AI1778" s="175"/>
    </row>
    <row r="1779">
      <c r="A1779" s="176">
        <v>46240.0</v>
      </c>
      <c r="B1779" s="177">
        <v>8987958.0</v>
      </c>
      <c r="C1779" s="178" t="s">
        <v>82</v>
      </c>
      <c r="D1779" s="178" t="s">
        <v>35</v>
      </c>
      <c r="E1779" s="177">
        <v>5.588350179E9</v>
      </c>
      <c r="F1779" s="178" t="s">
        <v>3274</v>
      </c>
      <c r="G1779" s="176">
        <v>46295.95833333333</v>
      </c>
      <c r="H1779" s="179">
        <v>46297.95833333333</v>
      </c>
      <c r="I1779" s="180">
        <v>2.0</v>
      </c>
      <c r="J1779" s="181" t="s">
        <v>78</v>
      </c>
      <c r="K1779" s="178" t="s">
        <v>79</v>
      </c>
      <c r="L1779" s="178" t="s">
        <v>80</v>
      </c>
      <c r="M1779" s="182">
        <v>2.0</v>
      </c>
      <c r="N1779" s="183">
        <v>0.19999999999999996</v>
      </c>
      <c r="O1779" s="184">
        <v>152.72</v>
      </c>
      <c r="P1779" s="184">
        <v>122.176</v>
      </c>
      <c r="Q1779" s="185">
        <v>0.0</v>
      </c>
      <c r="R1779" s="186">
        <v>244.352</v>
      </c>
      <c r="S1779" s="186">
        <v>0.0</v>
      </c>
      <c r="T1779" s="186">
        <v>315.44</v>
      </c>
      <c r="U1779" s="187" t="s">
        <v>161</v>
      </c>
      <c r="V1779" s="176">
        <v>46240.0</v>
      </c>
      <c r="W1779" s="188"/>
      <c r="X1779" s="188"/>
      <c r="Y1779" s="188"/>
      <c r="Z1779" s="188"/>
      <c r="AA1779" s="188"/>
      <c r="AB1779" s="188"/>
      <c r="AC1779" s="188"/>
      <c r="AD1779" s="188"/>
      <c r="AE1779" s="188"/>
      <c r="AF1779" s="188"/>
      <c r="AG1779" s="188"/>
      <c r="AH1779" s="188"/>
      <c r="AI1779" s="188"/>
    </row>
    <row r="1780">
      <c r="A1780" s="176">
        <v>46240.0</v>
      </c>
      <c r="B1780" s="177">
        <v>8988666.0</v>
      </c>
      <c r="C1780" s="178" t="s">
        <v>82</v>
      </c>
      <c r="D1780" s="178" t="s">
        <v>35</v>
      </c>
      <c r="E1780" s="177">
        <v>6.709193437E9</v>
      </c>
      <c r="F1780" s="178" t="s">
        <v>3276</v>
      </c>
      <c r="G1780" s="176">
        <v>46381.95833333333</v>
      </c>
      <c r="H1780" s="179">
        <v>46382.95833333333</v>
      </c>
      <c r="I1780" s="180">
        <v>1.0</v>
      </c>
      <c r="J1780" s="181" t="s">
        <v>87</v>
      </c>
      <c r="K1780" s="178" t="s">
        <v>79</v>
      </c>
      <c r="L1780" s="178" t="s">
        <v>80</v>
      </c>
      <c r="M1780" s="182">
        <v>1.0</v>
      </c>
      <c r="N1780" s="183">
        <v>0.19999999999999996</v>
      </c>
      <c r="O1780" s="184">
        <v>158.75</v>
      </c>
      <c r="P1780" s="184">
        <v>127.0</v>
      </c>
      <c r="Q1780" s="185">
        <v>0.0</v>
      </c>
      <c r="R1780" s="186">
        <v>127.0</v>
      </c>
      <c r="S1780" s="186">
        <v>0.0</v>
      </c>
      <c r="T1780" s="186">
        <v>161.25</v>
      </c>
      <c r="U1780" s="187" t="s">
        <v>107</v>
      </c>
      <c r="V1780" s="176">
        <v>46240.0</v>
      </c>
      <c r="W1780" s="188"/>
      <c r="X1780" s="188"/>
      <c r="Y1780" s="188"/>
      <c r="Z1780" s="188"/>
      <c r="AA1780" s="188"/>
      <c r="AB1780" s="188"/>
      <c r="AC1780" s="188"/>
      <c r="AD1780" s="188"/>
      <c r="AE1780" s="188"/>
      <c r="AF1780" s="188"/>
      <c r="AG1780" s="188"/>
      <c r="AH1780" s="188"/>
      <c r="AI1780" s="188"/>
    </row>
    <row r="1781">
      <c r="A1781" s="176">
        <v>46240.0</v>
      </c>
      <c r="B1781" s="177">
        <v>8989110.0</v>
      </c>
      <c r="C1781" s="178" t="s">
        <v>82</v>
      </c>
      <c r="D1781" s="178" t="s">
        <v>35</v>
      </c>
      <c r="E1781" s="177">
        <v>5.709579033E9</v>
      </c>
      <c r="F1781" s="178" t="s">
        <v>3279</v>
      </c>
      <c r="G1781" s="176">
        <v>46295.95833333333</v>
      </c>
      <c r="H1781" s="179">
        <v>46297.95833333333</v>
      </c>
      <c r="I1781" s="180">
        <v>2.0</v>
      </c>
      <c r="J1781" s="181" t="s">
        <v>78</v>
      </c>
      <c r="K1781" s="178" t="s">
        <v>79</v>
      </c>
      <c r="L1781" s="178" t="s">
        <v>80</v>
      </c>
      <c r="M1781" s="182">
        <v>2.0</v>
      </c>
      <c r="N1781" s="183">
        <v>0.19999999999999996</v>
      </c>
      <c r="O1781" s="184">
        <v>155.74</v>
      </c>
      <c r="P1781" s="184">
        <v>124.59200000000001</v>
      </c>
      <c r="Q1781" s="185">
        <v>0.0</v>
      </c>
      <c r="R1781" s="186">
        <v>249.18400000000003</v>
      </c>
      <c r="S1781" s="186">
        <v>0.0</v>
      </c>
      <c r="T1781" s="186">
        <v>321.48</v>
      </c>
      <c r="U1781" s="187" t="s">
        <v>161</v>
      </c>
      <c r="V1781" s="176">
        <v>46240.0</v>
      </c>
      <c r="W1781" s="175"/>
      <c r="X1781" s="175"/>
      <c r="Y1781" s="175"/>
      <c r="Z1781" s="175"/>
      <c r="AA1781" s="175"/>
      <c r="AB1781" s="175"/>
      <c r="AC1781" s="175"/>
      <c r="AD1781" s="175"/>
      <c r="AE1781" s="175"/>
      <c r="AF1781" s="175"/>
      <c r="AG1781" s="175"/>
      <c r="AH1781" s="175"/>
      <c r="AI1781" s="175"/>
    </row>
    <row r="1782">
      <c r="A1782" s="176">
        <v>46241.0</v>
      </c>
      <c r="B1782" s="177">
        <v>8990481.0</v>
      </c>
      <c r="C1782" s="178" t="s">
        <v>82</v>
      </c>
      <c r="D1782" s="178" t="s">
        <v>35</v>
      </c>
      <c r="E1782" s="177">
        <v>5.212020357E9</v>
      </c>
      <c r="F1782" s="178" t="s">
        <v>3282</v>
      </c>
      <c r="G1782" s="176">
        <v>46332.95833333333</v>
      </c>
      <c r="H1782" s="179">
        <v>46334.95833333333</v>
      </c>
      <c r="I1782" s="180">
        <v>2.0</v>
      </c>
      <c r="J1782" s="181" t="s">
        <v>78</v>
      </c>
      <c r="K1782" s="178" t="s">
        <v>79</v>
      </c>
      <c r="L1782" s="178" t="s">
        <v>80</v>
      </c>
      <c r="M1782" s="182">
        <v>3.0</v>
      </c>
      <c r="N1782" s="183">
        <v>0.19999999999999996</v>
      </c>
      <c r="O1782" s="184">
        <v>158.96</v>
      </c>
      <c r="P1782" s="184">
        <v>127.168</v>
      </c>
      <c r="Q1782" s="185">
        <v>0.0</v>
      </c>
      <c r="R1782" s="186">
        <v>254.336</v>
      </c>
      <c r="S1782" s="186">
        <v>0.0</v>
      </c>
      <c r="T1782" s="186">
        <v>332.92</v>
      </c>
      <c r="U1782" s="187" t="s">
        <v>107</v>
      </c>
      <c r="V1782" s="176">
        <v>46241.0</v>
      </c>
      <c r="W1782" s="164"/>
      <c r="X1782" s="164"/>
      <c r="Y1782" s="164"/>
      <c r="Z1782" s="164"/>
      <c r="AA1782" s="164"/>
      <c r="AB1782" s="164"/>
      <c r="AC1782" s="164"/>
      <c r="AD1782" s="164"/>
      <c r="AE1782" s="164"/>
      <c r="AF1782" s="164"/>
      <c r="AG1782" s="164"/>
      <c r="AH1782" s="164"/>
      <c r="AI1782" s="164"/>
    </row>
    <row r="1783">
      <c r="A1783" s="176">
        <v>46241.0</v>
      </c>
      <c r="B1783" s="177">
        <v>8991807.0</v>
      </c>
      <c r="C1783" s="178" t="s">
        <v>82</v>
      </c>
      <c r="D1783" s="178" t="s">
        <v>35</v>
      </c>
      <c r="E1783" s="177">
        <v>5.548359985E9</v>
      </c>
      <c r="F1783" s="178" t="s">
        <v>3283</v>
      </c>
      <c r="G1783" s="176">
        <v>46348.95833333333</v>
      </c>
      <c r="H1783" s="179">
        <v>46349.95833333333</v>
      </c>
      <c r="I1783" s="180">
        <v>1.0</v>
      </c>
      <c r="J1783" s="181" t="s">
        <v>78</v>
      </c>
      <c r="K1783" s="178" t="s">
        <v>79</v>
      </c>
      <c r="L1783" s="178" t="s">
        <v>80</v>
      </c>
      <c r="M1783" s="182">
        <v>2.0</v>
      </c>
      <c r="N1783" s="183">
        <v>0.19999999999999996</v>
      </c>
      <c r="O1783" s="184">
        <v>146.03</v>
      </c>
      <c r="P1783" s="184">
        <v>116.82400000000001</v>
      </c>
      <c r="Q1783" s="185">
        <v>0.0</v>
      </c>
      <c r="R1783" s="186">
        <v>116.82400000000001</v>
      </c>
      <c r="S1783" s="186">
        <v>0.0</v>
      </c>
      <c r="T1783" s="186">
        <v>151.03</v>
      </c>
      <c r="U1783" s="187" t="s">
        <v>107</v>
      </c>
      <c r="V1783" s="176">
        <v>46241.0</v>
      </c>
      <c r="W1783" s="175"/>
      <c r="X1783" s="175"/>
      <c r="Y1783" s="175"/>
      <c r="Z1783" s="175"/>
      <c r="AA1783" s="175"/>
      <c r="AB1783" s="175"/>
      <c r="AC1783" s="175"/>
      <c r="AD1783" s="175"/>
      <c r="AE1783" s="175"/>
      <c r="AF1783" s="175"/>
      <c r="AG1783" s="175"/>
      <c r="AH1783" s="175"/>
      <c r="AI1783" s="175"/>
    </row>
    <row r="1784">
      <c r="A1784" s="176">
        <v>46241.0</v>
      </c>
      <c r="B1784" s="177">
        <v>8992199.0</v>
      </c>
      <c r="C1784" s="178" t="s">
        <v>82</v>
      </c>
      <c r="D1784" s="178" t="s">
        <v>35</v>
      </c>
      <c r="E1784" s="177">
        <v>5.623181452E9</v>
      </c>
      <c r="F1784" s="178" t="s">
        <v>3286</v>
      </c>
      <c r="G1784" s="176">
        <v>46244.0</v>
      </c>
      <c r="H1784" s="179">
        <v>46246.0</v>
      </c>
      <c r="I1784" s="180">
        <v>2.0</v>
      </c>
      <c r="J1784" s="181" t="s">
        <v>78</v>
      </c>
      <c r="K1784" s="178" t="s">
        <v>79</v>
      </c>
      <c r="L1784" s="178" t="s">
        <v>80</v>
      </c>
      <c r="M1784" s="182">
        <v>2.0</v>
      </c>
      <c r="N1784" s="183">
        <v>0.19999999999999996</v>
      </c>
      <c r="O1784" s="184">
        <v>101.69</v>
      </c>
      <c r="P1784" s="184">
        <v>81.352</v>
      </c>
      <c r="Q1784" s="185">
        <v>0.0</v>
      </c>
      <c r="R1784" s="186">
        <v>162.704</v>
      </c>
      <c r="S1784" s="186">
        <v>0.0</v>
      </c>
      <c r="T1784" s="186">
        <v>213.38</v>
      </c>
      <c r="U1784" s="187" t="s">
        <v>1441</v>
      </c>
      <c r="V1784" s="176">
        <v>46241.0</v>
      </c>
      <c r="W1784" s="175"/>
      <c r="X1784" s="175"/>
      <c r="Y1784" s="175"/>
      <c r="Z1784" s="175"/>
      <c r="AA1784" s="175"/>
      <c r="AB1784" s="175"/>
      <c r="AC1784" s="175"/>
      <c r="AD1784" s="175"/>
      <c r="AE1784" s="175"/>
      <c r="AF1784" s="175"/>
      <c r="AG1784" s="175"/>
      <c r="AH1784" s="175"/>
      <c r="AI1784" s="175"/>
    </row>
    <row r="1785">
      <c r="A1785" s="176">
        <v>46241.0</v>
      </c>
      <c r="B1785" s="177">
        <v>8994365.0</v>
      </c>
      <c r="C1785" s="178" t="s">
        <v>82</v>
      </c>
      <c r="D1785" s="178" t="s">
        <v>35</v>
      </c>
      <c r="E1785" s="177">
        <v>6.98998924E9</v>
      </c>
      <c r="F1785" s="178" t="s">
        <v>3288</v>
      </c>
      <c r="G1785" s="176">
        <v>46242.0</v>
      </c>
      <c r="H1785" s="179">
        <v>46243.0</v>
      </c>
      <c r="I1785" s="180">
        <v>1.0</v>
      </c>
      <c r="J1785" s="181" t="s">
        <v>78</v>
      </c>
      <c r="K1785" s="178" t="s">
        <v>79</v>
      </c>
      <c r="L1785" s="178" t="s">
        <v>80</v>
      </c>
      <c r="M1785" s="182">
        <v>2.0</v>
      </c>
      <c r="N1785" s="183">
        <v>0.19999999999999996</v>
      </c>
      <c r="O1785" s="184">
        <v>87.9</v>
      </c>
      <c r="P1785" s="184">
        <v>70.32000000000001</v>
      </c>
      <c r="Q1785" s="185">
        <v>0.0</v>
      </c>
      <c r="R1785" s="186">
        <v>70.32000000000001</v>
      </c>
      <c r="S1785" s="186">
        <v>0.0</v>
      </c>
      <c r="T1785" s="186">
        <v>92.9</v>
      </c>
      <c r="U1785" s="187" t="s">
        <v>1441</v>
      </c>
      <c r="V1785" s="176">
        <v>46241.0</v>
      </c>
      <c r="W1785" s="164"/>
      <c r="X1785" s="164"/>
      <c r="Y1785" s="164"/>
      <c r="Z1785" s="164"/>
      <c r="AA1785" s="164"/>
      <c r="AB1785" s="164"/>
      <c r="AC1785" s="164"/>
      <c r="AD1785" s="164"/>
      <c r="AE1785" s="164"/>
      <c r="AF1785" s="164"/>
      <c r="AG1785" s="164"/>
      <c r="AH1785" s="164"/>
      <c r="AI1785" s="164"/>
    </row>
    <row r="1786">
      <c r="A1786" s="176">
        <v>46241.0</v>
      </c>
      <c r="B1786" s="177">
        <v>8994976.0</v>
      </c>
      <c r="C1786" s="178" t="s">
        <v>82</v>
      </c>
      <c r="D1786" s="178" t="s">
        <v>35</v>
      </c>
      <c r="E1786" s="177">
        <v>5.603650129E9</v>
      </c>
      <c r="F1786" s="178" t="s">
        <v>3289</v>
      </c>
      <c r="G1786" s="176">
        <v>46273.0</v>
      </c>
      <c r="H1786" s="179">
        <v>46274.0</v>
      </c>
      <c r="I1786" s="180">
        <v>1.0</v>
      </c>
      <c r="J1786" s="181" t="s">
        <v>87</v>
      </c>
      <c r="K1786" s="178" t="s">
        <v>79</v>
      </c>
      <c r="L1786" s="178" t="s">
        <v>80</v>
      </c>
      <c r="M1786" s="182">
        <v>2.0</v>
      </c>
      <c r="N1786" s="183">
        <v>0.19999999999999996</v>
      </c>
      <c r="O1786" s="184">
        <v>119.86</v>
      </c>
      <c r="P1786" s="184">
        <v>95.888</v>
      </c>
      <c r="Q1786" s="185">
        <v>0.0</v>
      </c>
      <c r="R1786" s="186">
        <v>95.888</v>
      </c>
      <c r="S1786" s="186">
        <v>0.0</v>
      </c>
      <c r="T1786" s="186">
        <v>124.86</v>
      </c>
      <c r="U1786" s="187" t="s">
        <v>107</v>
      </c>
      <c r="V1786" s="176">
        <v>46241.0</v>
      </c>
      <c r="W1786" s="175"/>
      <c r="X1786" s="175"/>
      <c r="Y1786" s="175"/>
      <c r="Z1786" s="175"/>
      <c r="AA1786" s="175"/>
      <c r="AB1786" s="175"/>
      <c r="AC1786" s="175"/>
      <c r="AD1786" s="175"/>
      <c r="AE1786" s="175"/>
      <c r="AF1786" s="175"/>
      <c r="AG1786" s="175"/>
      <c r="AH1786" s="175"/>
      <c r="AI1786" s="175"/>
    </row>
    <row r="1787">
      <c r="A1787" s="176">
        <v>46242.0</v>
      </c>
      <c r="B1787" s="177">
        <v>8997395.0</v>
      </c>
      <c r="C1787" s="178" t="s">
        <v>89</v>
      </c>
      <c r="D1787" s="178" t="s">
        <v>35</v>
      </c>
      <c r="E1787" s="177">
        <v>5.534218506E9</v>
      </c>
      <c r="F1787" s="178" t="s">
        <v>3291</v>
      </c>
      <c r="G1787" s="176">
        <v>46501.95833333333</v>
      </c>
      <c r="H1787" s="179">
        <v>46508.95833333333</v>
      </c>
      <c r="I1787" s="180">
        <v>7.0</v>
      </c>
      <c r="J1787" s="181" t="s">
        <v>78</v>
      </c>
      <c r="K1787" s="178" t="s">
        <v>79</v>
      </c>
      <c r="L1787" s="178" t="s">
        <v>80</v>
      </c>
      <c r="M1787" s="182">
        <v>0.0</v>
      </c>
      <c r="N1787" s="183">
        <v>0.0</v>
      </c>
      <c r="O1787" s="184">
        <v>0.0</v>
      </c>
      <c r="P1787" s="184">
        <v>0.0</v>
      </c>
      <c r="Q1787" s="185">
        <v>0.0</v>
      </c>
      <c r="R1787" s="186">
        <v>0.0</v>
      </c>
      <c r="S1787" s="186">
        <v>0.0</v>
      </c>
      <c r="T1787" s="186">
        <v>0.0</v>
      </c>
      <c r="U1787" s="187" t="s">
        <v>3292</v>
      </c>
      <c r="V1787" s="176">
        <v>46242.0</v>
      </c>
      <c r="W1787" s="175"/>
      <c r="X1787" s="175"/>
      <c r="Y1787" s="175"/>
      <c r="Z1787" s="175"/>
      <c r="AA1787" s="175"/>
      <c r="AB1787" s="175"/>
      <c r="AC1787" s="175"/>
      <c r="AD1787" s="175"/>
      <c r="AE1787" s="175"/>
      <c r="AF1787" s="175"/>
      <c r="AG1787" s="175"/>
      <c r="AH1787" s="175"/>
      <c r="AI1787" s="175"/>
    </row>
    <row r="1788">
      <c r="A1788" s="176">
        <v>46242.0</v>
      </c>
      <c r="B1788" s="177">
        <v>8997395.0</v>
      </c>
      <c r="C1788" s="178" t="s">
        <v>89</v>
      </c>
      <c r="D1788" s="178" t="s">
        <v>35</v>
      </c>
      <c r="E1788" s="177">
        <v>5.534218506E9</v>
      </c>
      <c r="F1788" s="178" t="s">
        <v>3291</v>
      </c>
      <c r="G1788" s="176">
        <v>46501.95833333333</v>
      </c>
      <c r="H1788" s="179">
        <v>46508.95833333333</v>
      </c>
      <c r="I1788" s="180">
        <v>7.0</v>
      </c>
      <c r="J1788" s="181" t="s">
        <v>111</v>
      </c>
      <c r="K1788" s="178" t="s">
        <v>79</v>
      </c>
      <c r="L1788" s="178" t="s">
        <v>80</v>
      </c>
      <c r="M1788" s="182">
        <v>0.0</v>
      </c>
      <c r="N1788" s="183">
        <v>0.0</v>
      </c>
      <c r="O1788" s="184">
        <v>0.0</v>
      </c>
      <c r="P1788" s="184">
        <v>0.0</v>
      </c>
      <c r="Q1788" s="185">
        <v>0.0</v>
      </c>
      <c r="R1788" s="186">
        <v>0.0</v>
      </c>
      <c r="S1788" s="186">
        <v>0.0</v>
      </c>
      <c r="T1788" s="186">
        <v>0.0</v>
      </c>
      <c r="U1788" s="187" t="s">
        <v>3292</v>
      </c>
      <c r="V1788" s="176">
        <v>46242.0</v>
      </c>
      <c r="W1788" s="175"/>
      <c r="X1788" s="175"/>
      <c r="Y1788" s="175"/>
      <c r="Z1788" s="175"/>
      <c r="AA1788" s="175"/>
      <c r="AB1788" s="175"/>
      <c r="AC1788" s="175"/>
      <c r="AD1788" s="175"/>
      <c r="AE1788" s="175"/>
      <c r="AF1788" s="175"/>
      <c r="AG1788" s="175"/>
      <c r="AH1788" s="175"/>
      <c r="AI1788" s="175"/>
    </row>
    <row r="1789">
      <c r="A1789" s="176">
        <v>46242.0</v>
      </c>
      <c r="B1789" s="177">
        <v>8997440.0</v>
      </c>
      <c r="C1789" s="178" t="s">
        <v>82</v>
      </c>
      <c r="D1789" s="178" t="s">
        <v>35</v>
      </c>
      <c r="E1789" s="177">
        <v>6.98993342E9</v>
      </c>
      <c r="F1789" s="178" t="s">
        <v>3291</v>
      </c>
      <c r="G1789" s="176">
        <v>46501.95833333333</v>
      </c>
      <c r="H1789" s="179">
        <v>46507.95833333333</v>
      </c>
      <c r="I1789" s="180">
        <v>6.0</v>
      </c>
      <c r="J1789" s="181" t="s">
        <v>87</v>
      </c>
      <c r="K1789" s="178" t="s">
        <v>79</v>
      </c>
      <c r="L1789" s="178" t="s">
        <v>80</v>
      </c>
      <c r="M1789" s="182">
        <v>2.0</v>
      </c>
      <c r="N1789" s="183">
        <v>0.19999999999999996</v>
      </c>
      <c r="O1789" s="184">
        <v>182.08</v>
      </c>
      <c r="P1789" s="184">
        <v>145.66400000000002</v>
      </c>
      <c r="Q1789" s="185">
        <v>0.0</v>
      </c>
      <c r="R1789" s="186">
        <v>873.9840000000002</v>
      </c>
      <c r="S1789" s="186">
        <v>0.0</v>
      </c>
      <c r="T1789" s="186">
        <v>2229.96</v>
      </c>
      <c r="U1789" s="187" t="s">
        <v>353</v>
      </c>
      <c r="V1789" s="176">
        <v>46242.0</v>
      </c>
      <c r="W1789" s="188"/>
      <c r="X1789" s="188"/>
      <c r="Y1789" s="188"/>
      <c r="Z1789" s="188"/>
      <c r="AA1789" s="188"/>
      <c r="AB1789" s="188"/>
      <c r="AC1789" s="188"/>
      <c r="AD1789" s="188"/>
      <c r="AE1789" s="188"/>
      <c r="AF1789" s="188"/>
      <c r="AG1789" s="188"/>
      <c r="AH1789" s="188"/>
      <c r="AI1789" s="188"/>
    </row>
    <row r="1790">
      <c r="A1790" s="176">
        <v>46242.0</v>
      </c>
      <c r="B1790" s="177">
        <v>8997440.0</v>
      </c>
      <c r="C1790" s="178" t="s">
        <v>82</v>
      </c>
      <c r="D1790" s="178" t="s">
        <v>35</v>
      </c>
      <c r="E1790" s="177">
        <v>6.98993342E9</v>
      </c>
      <c r="F1790" s="178" t="s">
        <v>3291</v>
      </c>
      <c r="G1790" s="176">
        <v>46501.95833333333</v>
      </c>
      <c r="H1790" s="179">
        <v>46507.95833333333</v>
      </c>
      <c r="I1790" s="180">
        <v>6.0</v>
      </c>
      <c r="J1790" s="181" t="s">
        <v>78</v>
      </c>
      <c r="K1790" s="178" t="s">
        <v>79</v>
      </c>
      <c r="L1790" s="178" t="s">
        <v>80</v>
      </c>
      <c r="M1790" s="182">
        <v>1.0</v>
      </c>
      <c r="N1790" s="183">
        <v>0.19999999999999996</v>
      </c>
      <c r="O1790" s="184">
        <v>182.08</v>
      </c>
      <c r="P1790" s="184">
        <v>145.66400000000002</v>
      </c>
      <c r="Q1790" s="185">
        <v>0.0</v>
      </c>
      <c r="R1790" s="186">
        <v>873.9840000000002</v>
      </c>
      <c r="S1790" s="186">
        <v>0.0</v>
      </c>
      <c r="T1790" s="186">
        <v>2229.96</v>
      </c>
      <c r="U1790" s="187" t="s">
        <v>353</v>
      </c>
      <c r="V1790" s="176">
        <v>46242.0</v>
      </c>
      <c r="W1790" s="175"/>
      <c r="X1790" s="175"/>
      <c r="Y1790" s="175"/>
      <c r="Z1790" s="175"/>
      <c r="AA1790" s="175"/>
      <c r="AB1790" s="175"/>
      <c r="AC1790" s="175"/>
      <c r="AD1790" s="175"/>
      <c r="AE1790" s="175"/>
      <c r="AF1790" s="175"/>
      <c r="AG1790" s="175"/>
      <c r="AH1790" s="175"/>
      <c r="AI1790" s="175"/>
    </row>
    <row r="1791">
      <c r="A1791" s="176">
        <v>46242.0</v>
      </c>
      <c r="B1791" s="177">
        <v>8998864.0</v>
      </c>
      <c r="C1791" s="178" t="s">
        <v>82</v>
      </c>
      <c r="D1791" s="178" t="s">
        <v>35</v>
      </c>
      <c r="E1791" s="177">
        <v>5.280632447E9</v>
      </c>
      <c r="F1791" s="178" t="s">
        <v>3295</v>
      </c>
      <c r="G1791" s="176">
        <v>46377.95833333333</v>
      </c>
      <c r="H1791" s="179">
        <v>46381.95833333333</v>
      </c>
      <c r="I1791" s="180">
        <v>4.0</v>
      </c>
      <c r="J1791" s="181" t="s">
        <v>78</v>
      </c>
      <c r="K1791" s="178" t="s">
        <v>79</v>
      </c>
      <c r="L1791" s="178" t="s">
        <v>80</v>
      </c>
      <c r="M1791" s="182">
        <v>3.0</v>
      </c>
      <c r="N1791" s="183">
        <v>0.19999999999999996</v>
      </c>
      <c r="O1791" s="184">
        <v>215.2</v>
      </c>
      <c r="P1791" s="184">
        <v>172.16</v>
      </c>
      <c r="Q1791" s="185">
        <v>0.0</v>
      </c>
      <c r="R1791" s="186">
        <v>688.64</v>
      </c>
      <c r="S1791" s="186">
        <v>0.0</v>
      </c>
      <c r="T1791" s="186">
        <v>1771.6</v>
      </c>
      <c r="U1791" s="187" t="s">
        <v>353</v>
      </c>
      <c r="V1791" s="176">
        <v>46242.0</v>
      </c>
      <c r="W1791" s="164"/>
      <c r="X1791" s="164"/>
      <c r="Y1791" s="164"/>
      <c r="Z1791" s="164"/>
      <c r="AA1791" s="164"/>
      <c r="AB1791" s="164"/>
      <c r="AC1791" s="164"/>
      <c r="AD1791" s="164"/>
      <c r="AE1791" s="164"/>
      <c r="AF1791" s="164"/>
      <c r="AG1791" s="164"/>
      <c r="AH1791" s="164"/>
      <c r="AI1791" s="164"/>
    </row>
    <row r="1792">
      <c r="A1792" s="176">
        <v>46242.0</v>
      </c>
      <c r="B1792" s="177">
        <v>8998864.0</v>
      </c>
      <c r="C1792" s="178" t="s">
        <v>82</v>
      </c>
      <c r="D1792" s="178" t="s">
        <v>35</v>
      </c>
      <c r="E1792" s="177">
        <v>5.280632447E9</v>
      </c>
      <c r="F1792" s="178" t="s">
        <v>3295</v>
      </c>
      <c r="G1792" s="176">
        <v>46377.95833333333</v>
      </c>
      <c r="H1792" s="179">
        <v>46381.95833333333</v>
      </c>
      <c r="I1792" s="180">
        <v>4.0</v>
      </c>
      <c r="J1792" s="181" t="s">
        <v>78</v>
      </c>
      <c r="K1792" s="178" t="s">
        <v>79</v>
      </c>
      <c r="L1792" s="178" t="s">
        <v>80</v>
      </c>
      <c r="M1792" s="182">
        <v>2.0</v>
      </c>
      <c r="N1792" s="183">
        <v>0.19999999999999996</v>
      </c>
      <c r="O1792" s="184">
        <v>215.2</v>
      </c>
      <c r="P1792" s="184">
        <v>172.16</v>
      </c>
      <c r="Q1792" s="185">
        <v>0.0</v>
      </c>
      <c r="R1792" s="186">
        <v>688.64</v>
      </c>
      <c r="S1792" s="186">
        <v>0.0</v>
      </c>
      <c r="T1792" s="186">
        <v>1771.6</v>
      </c>
      <c r="U1792" s="187" t="s">
        <v>353</v>
      </c>
      <c r="V1792" s="176">
        <v>46242.0</v>
      </c>
      <c r="W1792" s="175"/>
      <c r="X1792" s="175"/>
      <c r="Y1792" s="175"/>
      <c r="Z1792" s="175"/>
      <c r="AA1792" s="175"/>
      <c r="AB1792" s="175"/>
      <c r="AC1792" s="175"/>
      <c r="AD1792" s="175"/>
      <c r="AE1792" s="175"/>
      <c r="AF1792" s="175"/>
      <c r="AG1792" s="175"/>
      <c r="AH1792" s="175"/>
      <c r="AI1792" s="175"/>
    </row>
    <row r="1793">
      <c r="A1793" s="176">
        <v>46242.0</v>
      </c>
      <c r="B1793" s="177">
        <v>9000023.0</v>
      </c>
      <c r="C1793" s="178" t="s">
        <v>82</v>
      </c>
      <c r="D1793" s="178" t="s">
        <v>94</v>
      </c>
      <c r="E1793" s="177">
        <v>9000023.0</v>
      </c>
      <c r="F1793" s="178" t="s">
        <v>2763</v>
      </c>
      <c r="G1793" s="176">
        <v>46250.0</v>
      </c>
      <c r="H1793" s="179">
        <v>46252.0</v>
      </c>
      <c r="I1793" s="180">
        <v>2.0</v>
      </c>
      <c r="J1793" s="181" t="s">
        <v>91</v>
      </c>
      <c r="K1793" s="178" t="s">
        <v>79</v>
      </c>
      <c r="L1793" s="178" t="s">
        <v>96</v>
      </c>
      <c r="M1793" s="182">
        <v>2.0</v>
      </c>
      <c r="N1793" s="183">
        <v>0.0</v>
      </c>
      <c r="O1793" s="184">
        <v>362.16</v>
      </c>
      <c r="P1793" s="184">
        <v>362.16</v>
      </c>
      <c r="Q1793" s="185">
        <v>0.0</v>
      </c>
      <c r="R1793" s="186">
        <v>724.32</v>
      </c>
      <c r="S1793" s="186">
        <v>0.0</v>
      </c>
      <c r="T1793" s="186">
        <v>734.32</v>
      </c>
      <c r="U1793" s="187" t="s">
        <v>97</v>
      </c>
      <c r="V1793" s="176">
        <v>46242.0</v>
      </c>
      <c r="W1793" s="164"/>
      <c r="X1793" s="164"/>
      <c r="Y1793" s="164"/>
      <c r="Z1793" s="164"/>
      <c r="AA1793" s="164"/>
      <c r="AB1793" s="164"/>
      <c r="AC1793" s="164"/>
      <c r="AD1793" s="164"/>
      <c r="AE1793" s="164"/>
      <c r="AF1793" s="164"/>
      <c r="AG1793" s="164"/>
      <c r="AH1793" s="164"/>
      <c r="AI1793" s="164"/>
    </row>
    <row r="1794">
      <c r="A1794" s="176">
        <v>46242.0</v>
      </c>
      <c r="B1794" s="177">
        <v>9000037.0</v>
      </c>
      <c r="C1794" s="178" t="s">
        <v>82</v>
      </c>
      <c r="D1794" s="178" t="s">
        <v>94</v>
      </c>
      <c r="E1794" s="177">
        <v>9000037.0</v>
      </c>
      <c r="F1794" s="178" t="s">
        <v>2763</v>
      </c>
      <c r="G1794" s="176">
        <v>46250.0</v>
      </c>
      <c r="H1794" s="179">
        <v>46252.0</v>
      </c>
      <c r="I1794" s="180">
        <v>2.0</v>
      </c>
      <c r="J1794" s="181" t="s">
        <v>114</v>
      </c>
      <c r="K1794" s="178" t="s">
        <v>79</v>
      </c>
      <c r="L1794" s="178" t="s">
        <v>96</v>
      </c>
      <c r="M1794" s="182">
        <v>2.0</v>
      </c>
      <c r="N1794" s="183">
        <v>0.0</v>
      </c>
      <c r="O1794" s="184">
        <v>144.0</v>
      </c>
      <c r="P1794" s="184">
        <v>144.0</v>
      </c>
      <c r="Q1794" s="185">
        <v>0.0</v>
      </c>
      <c r="R1794" s="186">
        <v>288.0</v>
      </c>
      <c r="S1794" s="186">
        <v>0.0</v>
      </c>
      <c r="T1794" s="162">
        <v>298.0</v>
      </c>
      <c r="U1794" s="163" t="s">
        <v>97</v>
      </c>
      <c r="V1794" s="154">
        <v>46242.0</v>
      </c>
      <c r="W1794" s="188"/>
      <c r="X1794" s="188"/>
      <c r="Y1794" s="188"/>
      <c r="Z1794" s="188"/>
      <c r="AA1794" s="188"/>
      <c r="AB1794" s="188"/>
      <c r="AC1794" s="188"/>
      <c r="AD1794" s="188"/>
      <c r="AE1794" s="188"/>
      <c r="AF1794" s="188"/>
      <c r="AG1794" s="188"/>
      <c r="AH1794" s="188"/>
      <c r="AI1794" s="188"/>
    </row>
    <row r="1795">
      <c r="A1795" s="176">
        <v>46243.0</v>
      </c>
      <c r="B1795" s="177">
        <v>9001990.0</v>
      </c>
      <c r="C1795" s="178" t="s">
        <v>89</v>
      </c>
      <c r="D1795" s="178" t="s">
        <v>35</v>
      </c>
      <c r="E1795" s="177">
        <v>6.381091166E9</v>
      </c>
      <c r="F1795" s="178" t="s">
        <v>3300</v>
      </c>
      <c r="G1795" s="176">
        <v>46346.95833333333</v>
      </c>
      <c r="H1795" s="179">
        <v>46349.95833333333</v>
      </c>
      <c r="I1795" s="180">
        <v>3.0</v>
      </c>
      <c r="J1795" s="181" t="s">
        <v>91</v>
      </c>
      <c r="K1795" s="178" t="s">
        <v>79</v>
      </c>
      <c r="L1795" s="178" t="s">
        <v>80</v>
      </c>
      <c r="M1795" s="182">
        <v>0.0</v>
      </c>
      <c r="N1795" s="183">
        <v>0.0</v>
      </c>
      <c r="O1795" s="184">
        <v>0.0</v>
      </c>
      <c r="P1795" s="184">
        <v>0.0</v>
      </c>
      <c r="Q1795" s="185">
        <v>0.0</v>
      </c>
      <c r="R1795" s="186">
        <v>0.0</v>
      </c>
      <c r="S1795" s="186">
        <v>0.0</v>
      </c>
      <c r="T1795" s="186">
        <v>0.0</v>
      </c>
      <c r="U1795" s="187" t="s">
        <v>3302</v>
      </c>
      <c r="V1795" s="176">
        <v>46243.0</v>
      </c>
      <c r="W1795" s="164"/>
      <c r="X1795" s="164"/>
      <c r="Y1795" s="164"/>
      <c r="Z1795" s="164"/>
      <c r="AA1795" s="164"/>
      <c r="AB1795" s="164"/>
      <c r="AC1795" s="164"/>
      <c r="AD1795" s="164"/>
      <c r="AE1795" s="164"/>
      <c r="AF1795" s="164"/>
      <c r="AG1795" s="164"/>
      <c r="AH1795" s="164"/>
      <c r="AI1795" s="164"/>
    </row>
    <row r="1796">
      <c r="A1796" s="176">
        <v>46243.0</v>
      </c>
      <c r="B1796" s="177">
        <v>9002008.0</v>
      </c>
      <c r="C1796" s="178" t="s">
        <v>89</v>
      </c>
      <c r="D1796" s="178" t="s">
        <v>35</v>
      </c>
      <c r="E1796" s="177">
        <v>6.142154526E9</v>
      </c>
      <c r="F1796" s="178" t="s">
        <v>3300</v>
      </c>
      <c r="G1796" s="176">
        <v>46346.95833333333</v>
      </c>
      <c r="H1796" s="179">
        <v>46349.95833333333</v>
      </c>
      <c r="I1796" s="180">
        <v>3.0</v>
      </c>
      <c r="J1796" s="181" t="s">
        <v>78</v>
      </c>
      <c r="K1796" s="178" t="s">
        <v>79</v>
      </c>
      <c r="L1796" s="178" t="s">
        <v>80</v>
      </c>
      <c r="M1796" s="182">
        <v>0.0</v>
      </c>
      <c r="N1796" s="183">
        <v>0.0</v>
      </c>
      <c r="O1796" s="184">
        <v>0.0</v>
      </c>
      <c r="P1796" s="184">
        <v>0.0</v>
      </c>
      <c r="Q1796" s="185">
        <v>0.0</v>
      </c>
      <c r="R1796" s="186">
        <v>0.0</v>
      </c>
      <c r="S1796" s="186">
        <v>0.0</v>
      </c>
      <c r="T1796" s="186">
        <v>0.0</v>
      </c>
      <c r="U1796" s="187" t="s">
        <v>3303</v>
      </c>
      <c r="V1796" s="176">
        <v>46243.0</v>
      </c>
      <c r="W1796" s="175"/>
      <c r="X1796" s="175"/>
      <c r="Y1796" s="175"/>
      <c r="Z1796" s="175"/>
      <c r="AA1796" s="175"/>
      <c r="AB1796" s="175"/>
      <c r="AC1796" s="175"/>
      <c r="AD1796" s="175"/>
      <c r="AE1796" s="175"/>
      <c r="AF1796" s="175"/>
      <c r="AG1796" s="175"/>
      <c r="AH1796" s="175"/>
      <c r="AI1796" s="175"/>
    </row>
    <row r="1797">
      <c r="A1797" s="176">
        <v>46243.0</v>
      </c>
      <c r="B1797" s="177">
        <v>9002008.0</v>
      </c>
      <c r="C1797" s="178" t="s">
        <v>89</v>
      </c>
      <c r="D1797" s="178" t="s">
        <v>35</v>
      </c>
      <c r="E1797" s="177">
        <v>6.142154526E9</v>
      </c>
      <c r="F1797" s="178" t="s">
        <v>3300</v>
      </c>
      <c r="G1797" s="176">
        <v>46346.95833333333</v>
      </c>
      <c r="H1797" s="179">
        <v>46349.95833333333</v>
      </c>
      <c r="I1797" s="180">
        <v>3.0</v>
      </c>
      <c r="J1797" s="181" t="s">
        <v>78</v>
      </c>
      <c r="K1797" s="178" t="s">
        <v>79</v>
      </c>
      <c r="L1797" s="178" t="s">
        <v>80</v>
      </c>
      <c r="M1797" s="182">
        <v>0.0</v>
      </c>
      <c r="N1797" s="183">
        <v>0.0</v>
      </c>
      <c r="O1797" s="184">
        <v>0.0</v>
      </c>
      <c r="P1797" s="184">
        <v>0.0</v>
      </c>
      <c r="Q1797" s="185">
        <v>0.0</v>
      </c>
      <c r="R1797" s="186">
        <v>0.0</v>
      </c>
      <c r="S1797" s="186">
        <v>0.0</v>
      </c>
      <c r="T1797" s="186">
        <v>0.0</v>
      </c>
      <c r="U1797" s="187" t="s">
        <v>3303</v>
      </c>
      <c r="V1797" s="176">
        <v>46243.0</v>
      </c>
      <c r="W1797" s="175"/>
      <c r="X1797" s="175"/>
      <c r="Y1797" s="175"/>
      <c r="Z1797" s="175"/>
      <c r="AA1797" s="175"/>
      <c r="AB1797" s="175"/>
      <c r="AC1797" s="175"/>
      <c r="AD1797" s="175"/>
      <c r="AE1797" s="175"/>
      <c r="AF1797" s="175"/>
      <c r="AG1797" s="175"/>
      <c r="AH1797" s="175"/>
      <c r="AI1797" s="175"/>
    </row>
    <row r="1798">
      <c r="A1798" s="176">
        <v>46243.0</v>
      </c>
      <c r="B1798" s="177">
        <v>9004107.0</v>
      </c>
      <c r="C1798" s="178" t="s">
        <v>82</v>
      </c>
      <c r="D1798" s="178" t="s">
        <v>35</v>
      </c>
      <c r="E1798" s="177">
        <v>5.19619862E9</v>
      </c>
      <c r="F1798" s="178" t="s">
        <v>3305</v>
      </c>
      <c r="G1798" s="176">
        <v>46540.95833333333</v>
      </c>
      <c r="H1798" s="179">
        <v>46544.95833333333</v>
      </c>
      <c r="I1798" s="180">
        <v>4.0</v>
      </c>
      <c r="J1798" s="181" t="s">
        <v>78</v>
      </c>
      <c r="K1798" s="178" t="s">
        <v>79</v>
      </c>
      <c r="L1798" s="178" t="s">
        <v>80</v>
      </c>
      <c r="M1798" s="182">
        <v>2.0</v>
      </c>
      <c r="N1798" s="183">
        <v>0.19999999999999996</v>
      </c>
      <c r="O1798" s="184">
        <v>121.44</v>
      </c>
      <c r="P1798" s="184">
        <v>97.152</v>
      </c>
      <c r="Q1798" s="185">
        <v>0.0</v>
      </c>
      <c r="R1798" s="186">
        <v>388.608</v>
      </c>
      <c r="S1798" s="186">
        <v>0.0</v>
      </c>
      <c r="T1798" s="186">
        <v>505.76</v>
      </c>
      <c r="U1798" s="187" t="s">
        <v>303</v>
      </c>
      <c r="V1798" s="176">
        <v>46243.0</v>
      </c>
      <c r="W1798" s="175"/>
      <c r="X1798" s="175"/>
      <c r="Y1798" s="175"/>
      <c r="Z1798" s="175"/>
      <c r="AA1798" s="175"/>
      <c r="AB1798" s="175"/>
      <c r="AC1798" s="175"/>
      <c r="AD1798" s="175"/>
      <c r="AE1798" s="175"/>
      <c r="AF1798" s="175"/>
      <c r="AG1798" s="175"/>
      <c r="AH1798" s="175"/>
      <c r="AI1798" s="175"/>
    </row>
    <row r="1799">
      <c r="A1799" s="176">
        <v>46243.0</v>
      </c>
      <c r="B1799" s="177">
        <v>9004729.0</v>
      </c>
      <c r="C1799" s="178" t="s">
        <v>82</v>
      </c>
      <c r="D1799" s="178" t="s">
        <v>35</v>
      </c>
      <c r="E1799" s="177">
        <v>5.869796249E9</v>
      </c>
      <c r="F1799" s="178" t="s">
        <v>3308</v>
      </c>
      <c r="G1799" s="176">
        <v>46380.95833333333</v>
      </c>
      <c r="H1799" s="179">
        <v>46382.95833333333</v>
      </c>
      <c r="I1799" s="180">
        <v>2.0</v>
      </c>
      <c r="J1799" s="181" t="s">
        <v>91</v>
      </c>
      <c r="K1799" s="178" t="s">
        <v>79</v>
      </c>
      <c r="L1799" s="178" t="s">
        <v>80</v>
      </c>
      <c r="M1799" s="182">
        <v>5.0</v>
      </c>
      <c r="N1799" s="183">
        <v>0.19999999999999996</v>
      </c>
      <c r="O1799" s="184">
        <v>407.48</v>
      </c>
      <c r="P1799" s="184">
        <v>325.98400000000004</v>
      </c>
      <c r="Q1799" s="185">
        <v>0.0</v>
      </c>
      <c r="R1799" s="186">
        <v>651.9680000000001</v>
      </c>
      <c r="S1799" s="186">
        <v>0.0</v>
      </c>
      <c r="T1799" s="186">
        <v>839.96</v>
      </c>
      <c r="U1799" s="187" t="s">
        <v>107</v>
      </c>
      <c r="V1799" s="176">
        <v>46243.0</v>
      </c>
      <c r="W1799" s="175"/>
      <c r="X1799" s="175"/>
      <c r="Y1799" s="175"/>
      <c r="Z1799" s="175"/>
      <c r="AA1799" s="175"/>
      <c r="AB1799" s="175"/>
      <c r="AC1799" s="175"/>
      <c r="AD1799" s="175"/>
      <c r="AE1799" s="175"/>
      <c r="AF1799" s="175"/>
      <c r="AG1799" s="175"/>
      <c r="AH1799" s="175"/>
      <c r="AI1799" s="175"/>
    </row>
    <row r="1800">
      <c r="A1800" s="176">
        <v>46244.0</v>
      </c>
      <c r="B1800" s="177">
        <v>9008543.0</v>
      </c>
      <c r="C1800" s="178" t="s">
        <v>82</v>
      </c>
      <c r="D1800" s="178" t="s">
        <v>35</v>
      </c>
      <c r="E1800" s="177">
        <v>5.830014102E9</v>
      </c>
      <c r="F1800" s="178" t="s">
        <v>3310</v>
      </c>
      <c r="G1800" s="176">
        <v>46593.95833333333</v>
      </c>
      <c r="H1800" s="179">
        <v>46597.95833333333</v>
      </c>
      <c r="I1800" s="180">
        <v>4.0</v>
      </c>
      <c r="J1800" s="181" t="s">
        <v>78</v>
      </c>
      <c r="K1800" s="178" t="s">
        <v>79</v>
      </c>
      <c r="L1800" s="178" t="s">
        <v>80</v>
      </c>
      <c r="M1800" s="182">
        <v>1.0</v>
      </c>
      <c r="N1800" s="183">
        <v>0.19999999999999996</v>
      </c>
      <c r="O1800" s="184">
        <v>97.5</v>
      </c>
      <c r="P1800" s="184">
        <v>78.0</v>
      </c>
      <c r="Q1800" s="185">
        <v>0.0</v>
      </c>
      <c r="R1800" s="186">
        <v>312.0</v>
      </c>
      <c r="S1800" s="186">
        <v>0.0</v>
      </c>
      <c r="T1800" s="186">
        <v>400.0</v>
      </c>
      <c r="U1800" s="187" t="s">
        <v>143</v>
      </c>
      <c r="V1800" s="176">
        <v>46244.0</v>
      </c>
      <c r="W1800" s="175"/>
      <c r="X1800" s="175"/>
      <c r="Y1800" s="175"/>
      <c r="Z1800" s="175"/>
      <c r="AA1800" s="175"/>
      <c r="AB1800" s="175"/>
      <c r="AC1800" s="175"/>
      <c r="AD1800" s="175"/>
      <c r="AE1800" s="175"/>
      <c r="AF1800" s="175"/>
      <c r="AG1800" s="175"/>
      <c r="AH1800" s="175"/>
      <c r="AI1800" s="175"/>
    </row>
    <row r="1801">
      <c r="A1801" s="176">
        <v>46244.0</v>
      </c>
      <c r="B1801" s="177">
        <v>9008601.0</v>
      </c>
      <c r="C1801" s="178" t="s">
        <v>82</v>
      </c>
      <c r="D1801" s="178" t="s">
        <v>35</v>
      </c>
      <c r="E1801" s="177">
        <v>6.687843869E9</v>
      </c>
      <c r="F1801" s="178" t="s">
        <v>3312</v>
      </c>
      <c r="G1801" s="176">
        <v>46277.0</v>
      </c>
      <c r="H1801" s="179">
        <v>46279.0</v>
      </c>
      <c r="I1801" s="180">
        <v>2.0</v>
      </c>
      <c r="J1801" s="181" t="s">
        <v>78</v>
      </c>
      <c r="K1801" s="178" t="s">
        <v>79</v>
      </c>
      <c r="L1801" s="178" t="s">
        <v>80</v>
      </c>
      <c r="M1801" s="182">
        <v>2.0</v>
      </c>
      <c r="N1801" s="183">
        <v>0.19999999999999996</v>
      </c>
      <c r="O1801" s="184">
        <v>127.43</v>
      </c>
      <c r="P1801" s="184">
        <v>101.94400000000002</v>
      </c>
      <c r="Q1801" s="185">
        <v>0.0</v>
      </c>
      <c r="R1801" s="186">
        <v>203.88800000000003</v>
      </c>
      <c r="S1801" s="186">
        <v>0.0</v>
      </c>
      <c r="T1801" s="186">
        <v>264.86</v>
      </c>
      <c r="U1801" s="187" t="s">
        <v>107</v>
      </c>
      <c r="V1801" s="176">
        <v>46244.0</v>
      </c>
      <c r="W1801" s="188"/>
      <c r="X1801" s="188"/>
      <c r="Y1801" s="188"/>
      <c r="Z1801" s="188"/>
      <c r="AA1801" s="188"/>
      <c r="AB1801" s="188"/>
      <c r="AC1801" s="188"/>
      <c r="AD1801" s="188"/>
      <c r="AE1801" s="188"/>
      <c r="AF1801" s="188"/>
      <c r="AG1801" s="188"/>
      <c r="AH1801" s="188"/>
      <c r="AI1801" s="188"/>
    </row>
    <row r="1802">
      <c r="A1802" s="176">
        <v>46244.0</v>
      </c>
      <c r="B1802" s="177">
        <v>9009591.0</v>
      </c>
      <c r="C1802" s="178" t="s">
        <v>82</v>
      </c>
      <c r="D1802" s="178" t="s">
        <v>35</v>
      </c>
      <c r="E1802" s="177">
        <v>5.600990794E9</v>
      </c>
      <c r="F1802" s="178" t="s">
        <v>3315</v>
      </c>
      <c r="G1802" s="176">
        <v>46271.0</v>
      </c>
      <c r="H1802" s="179">
        <v>46273.0</v>
      </c>
      <c r="I1802" s="180">
        <v>2.0</v>
      </c>
      <c r="J1802" s="181" t="s">
        <v>78</v>
      </c>
      <c r="K1802" s="178" t="s">
        <v>79</v>
      </c>
      <c r="L1802" s="178" t="s">
        <v>80</v>
      </c>
      <c r="M1802" s="182">
        <v>2.0</v>
      </c>
      <c r="N1802" s="183">
        <v>0.19999999999999996</v>
      </c>
      <c r="O1802" s="184">
        <v>145.02</v>
      </c>
      <c r="P1802" s="184">
        <v>116.01600000000002</v>
      </c>
      <c r="Q1802" s="185">
        <v>0.0</v>
      </c>
      <c r="R1802" s="186">
        <v>232.03200000000004</v>
      </c>
      <c r="S1802" s="186">
        <v>0.0</v>
      </c>
      <c r="T1802" s="186">
        <v>300.04</v>
      </c>
      <c r="U1802" s="187" t="s">
        <v>143</v>
      </c>
      <c r="V1802" s="176">
        <v>46244.0</v>
      </c>
      <c r="W1802" s="164"/>
      <c r="X1802" s="164"/>
      <c r="Y1802" s="164"/>
      <c r="Z1802" s="164"/>
      <c r="AA1802" s="164"/>
      <c r="AB1802" s="164"/>
      <c r="AC1802" s="164"/>
      <c r="AD1802" s="164"/>
      <c r="AE1802" s="164"/>
      <c r="AF1802" s="164"/>
      <c r="AG1802" s="164"/>
      <c r="AH1802" s="164"/>
      <c r="AI1802" s="164"/>
    </row>
    <row r="1803">
      <c r="A1803" s="176">
        <v>46244.0</v>
      </c>
      <c r="B1803" s="177">
        <v>9011836.0</v>
      </c>
      <c r="C1803" s="178" t="s">
        <v>82</v>
      </c>
      <c r="D1803" s="178" t="s">
        <v>36</v>
      </c>
      <c r="E1803" s="177">
        <v>9011836.0</v>
      </c>
      <c r="F1803" s="178" t="s">
        <v>3318</v>
      </c>
      <c r="G1803" s="176">
        <v>46380.95833333333</v>
      </c>
      <c r="H1803" s="179">
        <v>46384.95833333333</v>
      </c>
      <c r="I1803" s="180">
        <v>4.0</v>
      </c>
      <c r="J1803" s="181" t="s">
        <v>78</v>
      </c>
      <c r="K1803" s="178" t="s">
        <v>79</v>
      </c>
      <c r="L1803" s="178" t="s">
        <v>96</v>
      </c>
      <c r="M1803" s="182">
        <v>2.0</v>
      </c>
      <c r="N1803" s="183">
        <v>0.0</v>
      </c>
      <c r="O1803" s="184">
        <v>202.995</v>
      </c>
      <c r="P1803" s="184">
        <v>200.96505</v>
      </c>
      <c r="Q1803" s="185">
        <v>0.0</v>
      </c>
      <c r="R1803" s="186">
        <v>803.8602</v>
      </c>
      <c r="S1803" s="186">
        <v>0.0</v>
      </c>
      <c r="T1803" s="186">
        <v>831.98</v>
      </c>
      <c r="U1803" s="187" t="s">
        <v>97</v>
      </c>
      <c r="V1803" s="176">
        <v>46244.0</v>
      </c>
      <c r="W1803" s="175"/>
      <c r="X1803" s="175"/>
      <c r="Y1803" s="175"/>
      <c r="Z1803" s="175"/>
      <c r="AA1803" s="175"/>
      <c r="AB1803" s="175"/>
      <c r="AC1803" s="175"/>
      <c r="AD1803" s="175"/>
      <c r="AE1803" s="175"/>
      <c r="AF1803" s="175"/>
      <c r="AG1803" s="175"/>
      <c r="AH1803" s="175"/>
      <c r="AI1803" s="175"/>
    </row>
    <row r="1804">
      <c r="A1804" s="176">
        <v>46244.0</v>
      </c>
      <c r="B1804" s="177">
        <v>9012673.0</v>
      </c>
      <c r="C1804" s="178" t="s">
        <v>82</v>
      </c>
      <c r="D1804" s="178" t="s">
        <v>35</v>
      </c>
      <c r="E1804" s="177">
        <v>6.925266864E9</v>
      </c>
      <c r="F1804" s="178" t="s">
        <v>3319</v>
      </c>
      <c r="G1804" s="176">
        <v>46283.0</v>
      </c>
      <c r="H1804" s="179">
        <v>46285.0</v>
      </c>
      <c r="I1804" s="180">
        <v>2.0</v>
      </c>
      <c r="J1804" s="181" t="s">
        <v>78</v>
      </c>
      <c r="K1804" s="178" t="s">
        <v>79</v>
      </c>
      <c r="L1804" s="178" t="s">
        <v>80</v>
      </c>
      <c r="M1804" s="182">
        <v>2.0</v>
      </c>
      <c r="N1804" s="183">
        <v>0.19999999999999996</v>
      </c>
      <c r="O1804" s="184">
        <v>129.09</v>
      </c>
      <c r="P1804" s="184">
        <v>103.272</v>
      </c>
      <c r="Q1804" s="185">
        <v>0.0</v>
      </c>
      <c r="R1804" s="186">
        <v>206.544</v>
      </c>
      <c r="S1804" s="186">
        <v>0.0</v>
      </c>
      <c r="T1804" s="186">
        <v>268.18</v>
      </c>
      <c r="U1804" s="187" t="s">
        <v>107</v>
      </c>
      <c r="V1804" s="176">
        <v>46244.0</v>
      </c>
      <c r="W1804" s="175"/>
      <c r="X1804" s="175"/>
      <c r="Y1804" s="175"/>
      <c r="Z1804" s="175"/>
      <c r="AA1804" s="175"/>
      <c r="AB1804" s="175"/>
      <c r="AC1804" s="175"/>
      <c r="AD1804" s="175"/>
      <c r="AE1804" s="175"/>
      <c r="AF1804" s="175"/>
      <c r="AG1804" s="175"/>
      <c r="AH1804" s="175"/>
      <c r="AI1804" s="175"/>
    </row>
    <row r="1805">
      <c r="A1805" s="176">
        <v>46245.0</v>
      </c>
      <c r="B1805" s="177">
        <v>9014647.0</v>
      </c>
      <c r="C1805" s="178" t="s">
        <v>82</v>
      </c>
      <c r="D1805" s="178" t="s">
        <v>35</v>
      </c>
      <c r="E1805" s="177">
        <v>6.859476081E9</v>
      </c>
      <c r="F1805" s="178" t="s">
        <v>3320</v>
      </c>
      <c r="G1805" s="176">
        <v>46540.95833333333</v>
      </c>
      <c r="H1805" s="179">
        <v>46545.95833333333</v>
      </c>
      <c r="I1805" s="180">
        <v>5.0</v>
      </c>
      <c r="J1805" s="181" t="s">
        <v>78</v>
      </c>
      <c r="K1805" s="178" t="s">
        <v>79</v>
      </c>
      <c r="L1805" s="178" t="s">
        <v>80</v>
      </c>
      <c r="M1805" s="182">
        <v>2.0</v>
      </c>
      <c r="N1805" s="183">
        <v>0.19999999999999996</v>
      </c>
      <c r="O1805" s="184">
        <v>115.55999999999999</v>
      </c>
      <c r="P1805" s="184">
        <v>92.448</v>
      </c>
      <c r="Q1805" s="185">
        <v>0.0</v>
      </c>
      <c r="R1805" s="186">
        <v>462.23999999999995</v>
      </c>
      <c r="S1805" s="186">
        <v>0.0</v>
      </c>
      <c r="T1805" s="186">
        <v>602.8</v>
      </c>
      <c r="U1805" s="187" t="s">
        <v>353</v>
      </c>
      <c r="V1805" s="176">
        <v>46245.0</v>
      </c>
      <c r="W1805" s="175"/>
      <c r="X1805" s="175"/>
      <c r="Y1805" s="175"/>
      <c r="Z1805" s="175"/>
      <c r="AA1805" s="175"/>
      <c r="AB1805" s="175"/>
      <c r="AC1805" s="175"/>
      <c r="AD1805" s="175"/>
      <c r="AE1805" s="175"/>
      <c r="AF1805" s="175"/>
      <c r="AG1805" s="175"/>
      <c r="AH1805" s="175"/>
      <c r="AI1805" s="175"/>
    </row>
    <row r="1806">
      <c r="A1806" s="176">
        <v>46245.0</v>
      </c>
      <c r="B1806" s="177">
        <v>9016065.0</v>
      </c>
      <c r="C1806" s="178" t="s">
        <v>82</v>
      </c>
      <c r="D1806" s="178" t="s">
        <v>35</v>
      </c>
      <c r="E1806" s="177">
        <v>5.481454232E9</v>
      </c>
      <c r="F1806" s="178" t="s">
        <v>3322</v>
      </c>
      <c r="G1806" s="176">
        <v>46331.95833333333</v>
      </c>
      <c r="H1806" s="179">
        <v>46334.95833333333</v>
      </c>
      <c r="I1806" s="180">
        <v>3.0</v>
      </c>
      <c r="J1806" s="181" t="s">
        <v>78</v>
      </c>
      <c r="K1806" s="178" t="s">
        <v>79</v>
      </c>
      <c r="L1806" s="178" t="s">
        <v>80</v>
      </c>
      <c r="M1806" s="182">
        <v>2.0</v>
      </c>
      <c r="N1806" s="183">
        <v>0.19999999999999996</v>
      </c>
      <c r="O1806" s="184">
        <v>156.92</v>
      </c>
      <c r="P1806" s="184">
        <v>125.536</v>
      </c>
      <c r="Q1806" s="185">
        <v>0.0</v>
      </c>
      <c r="R1806" s="186">
        <v>376.608</v>
      </c>
      <c r="S1806" s="186">
        <v>0.0</v>
      </c>
      <c r="T1806" s="186">
        <v>485.76</v>
      </c>
      <c r="U1806" s="187" t="s">
        <v>107</v>
      </c>
      <c r="V1806" s="176">
        <v>46245.0</v>
      </c>
      <c r="W1806" s="175"/>
      <c r="X1806" s="175"/>
      <c r="Y1806" s="175"/>
      <c r="Z1806" s="175"/>
      <c r="AA1806" s="175"/>
      <c r="AB1806" s="175"/>
      <c r="AC1806" s="175"/>
      <c r="AD1806" s="175"/>
      <c r="AE1806" s="175"/>
      <c r="AF1806" s="175"/>
      <c r="AG1806" s="175"/>
      <c r="AH1806" s="175"/>
      <c r="AI1806" s="175"/>
    </row>
    <row r="1807">
      <c r="A1807" s="176">
        <v>46245.0</v>
      </c>
      <c r="B1807" s="177">
        <v>9016391.0</v>
      </c>
      <c r="C1807" s="178" t="s">
        <v>82</v>
      </c>
      <c r="D1807" s="178" t="s">
        <v>35</v>
      </c>
      <c r="E1807" s="177">
        <v>5.676539912E9</v>
      </c>
      <c r="F1807" s="178" t="s">
        <v>3324</v>
      </c>
      <c r="G1807" s="176">
        <v>46258.0</v>
      </c>
      <c r="H1807" s="179">
        <v>46259.0</v>
      </c>
      <c r="I1807" s="180">
        <v>1.0</v>
      </c>
      <c r="J1807" s="181" t="s">
        <v>78</v>
      </c>
      <c r="K1807" s="178" t="s">
        <v>79</v>
      </c>
      <c r="L1807" s="178" t="s">
        <v>80</v>
      </c>
      <c r="M1807" s="182">
        <v>2.0</v>
      </c>
      <c r="N1807" s="183">
        <v>0.19999999999999996</v>
      </c>
      <c r="O1807" s="184">
        <v>93.54</v>
      </c>
      <c r="P1807" s="184">
        <v>74.83200000000001</v>
      </c>
      <c r="Q1807" s="185">
        <v>0.0</v>
      </c>
      <c r="R1807" s="186">
        <v>74.83200000000001</v>
      </c>
      <c r="S1807" s="186">
        <v>0.0</v>
      </c>
      <c r="T1807" s="186">
        <v>98.54</v>
      </c>
      <c r="U1807" s="187" t="s">
        <v>1367</v>
      </c>
      <c r="V1807" s="176">
        <v>46245.0</v>
      </c>
      <c r="W1807" s="175"/>
      <c r="X1807" s="175"/>
      <c r="Y1807" s="175"/>
      <c r="Z1807" s="175"/>
      <c r="AA1807" s="175"/>
      <c r="AB1807" s="175"/>
      <c r="AC1807" s="175"/>
      <c r="AD1807" s="175"/>
      <c r="AE1807" s="175"/>
      <c r="AF1807" s="175"/>
      <c r="AG1807" s="175"/>
      <c r="AH1807" s="175"/>
      <c r="AI1807" s="175"/>
    </row>
    <row r="1808">
      <c r="A1808" s="176">
        <v>46245.0</v>
      </c>
      <c r="B1808" s="177">
        <v>9018117.0</v>
      </c>
      <c r="C1808" s="178" t="s">
        <v>82</v>
      </c>
      <c r="D1808" s="178" t="s">
        <v>35</v>
      </c>
      <c r="E1808" s="177">
        <v>6.877786453E9</v>
      </c>
      <c r="F1808" s="178" t="s">
        <v>3325</v>
      </c>
      <c r="G1808" s="176">
        <v>46275.0</v>
      </c>
      <c r="H1808" s="179">
        <v>46278.0</v>
      </c>
      <c r="I1808" s="180">
        <v>3.0</v>
      </c>
      <c r="J1808" s="181" t="s">
        <v>114</v>
      </c>
      <c r="K1808" s="178" t="s">
        <v>79</v>
      </c>
      <c r="L1808" s="178" t="s">
        <v>80</v>
      </c>
      <c r="M1808" s="182">
        <v>2.0</v>
      </c>
      <c r="N1808" s="183">
        <v>0.19999999999999996</v>
      </c>
      <c r="O1808" s="184">
        <v>165.24</v>
      </c>
      <c r="P1808" s="184">
        <v>132.192</v>
      </c>
      <c r="Q1808" s="185">
        <v>0.0</v>
      </c>
      <c r="R1808" s="186">
        <v>396.576</v>
      </c>
      <c r="S1808" s="186">
        <v>0.0</v>
      </c>
      <c r="T1808" s="186">
        <v>510.72</v>
      </c>
      <c r="U1808" s="187" t="s">
        <v>107</v>
      </c>
      <c r="V1808" s="176">
        <v>46245.0</v>
      </c>
      <c r="W1808" s="175"/>
      <c r="X1808" s="175"/>
      <c r="Y1808" s="175"/>
      <c r="Z1808" s="175"/>
      <c r="AA1808" s="175"/>
      <c r="AB1808" s="175"/>
      <c r="AC1808" s="175"/>
      <c r="AD1808" s="175"/>
      <c r="AE1808" s="175"/>
      <c r="AF1808" s="175"/>
      <c r="AG1808" s="175"/>
      <c r="AH1808" s="175"/>
      <c r="AI1808" s="175"/>
    </row>
    <row r="1809">
      <c r="A1809" s="176">
        <v>46246.0</v>
      </c>
      <c r="B1809" s="177">
        <v>9020264.0</v>
      </c>
      <c r="C1809" s="178" t="s">
        <v>82</v>
      </c>
      <c r="D1809" s="178" t="s">
        <v>35</v>
      </c>
      <c r="E1809" s="177">
        <v>6.588400657E9</v>
      </c>
      <c r="F1809" s="178" t="s">
        <v>3327</v>
      </c>
      <c r="G1809" s="176">
        <v>46249.0</v>
      </c>
      <c r="H1809" s="179">
        <v>46250.0</v>
      </c>
      <c r="I1809" s="180">
        <v>1.0</v>
      </c>
      <c r="J1809" s="181" t="s">
        <v>114</v>
      </c>
      <c r="K1809" s="178" t="s">
        <v>79</v>
      </c>
      <c r="L1809" s="178" t="s">
        <v>80</v>
      </c>
      <c r="M1809" s="182">
        <v>2.0</v>
      </c>
      <c r="N1809" s="183">
        <v>0.19999999999999996</v>
      </c>
      <c r="O1809" s="184">
        <v>111.84</v>
      </c>
      <c r="P1809" s="184">
        <v>89.47200000000001</v>
      </c>
      <c r="Q1809" s="185">
        <v>0.0</v>
      </c>
      <c r="R1809" s="186">
        <v>89.47200000000001</v>
      </c>
      <c r="S1809" s="186">
        <v>0.0</v>
      </c>
      <c r="T1809" s="186">
        <v>116.84</v>
      </c>
      <c r="U1809" s="187" t="s">
        <v>1441</v>
      </c>
      <c r="V1809" s="176">
        <v>46246.0</v>
      </c>
      <c r="W1809" s="164"/>
      <c r="X1809" s="164"/>
      <c r="Y1809" s="164"/>
      <c r="Z1809" s="164"/>
      <c r="AA1809" s="164"/>
      <c r="AB1809" s="164"/>
      <c r="AC1809" s="164"/>
      <c r="AD1809" s="164"/>
      <c r="AE1809" s="164"/>
      <c r="AF1809" s="164"/>
      <c r="AG1809" s="164"/>
      <c r="AH1809" s="164"/>
      <c r="AI1809" s="164"/>
    </row>
    <row r="1810">
      <c r="A1810" s="176">
        <v>46247.0</v>
      </c>
      <c r="B1810" s="177">
        <v>9027680.0</v>
      </c>
      <c r="C1810" s="178" t="s">
        <v>82</v>
      </c>
      <c r="D1810" s="178" t="s">
        <v>35</v>
      </c>
      <c r="E1810" s="177">
        <v>5.91681002E9</v>
      </c>
      <c r="F1810" s="178" t="s">
        <v>3328</v>
      </c>
      <c r="G1810" s="176">
        <v>46309.95833333333</v>
      </c>
      <c r="H1810" s="179">
        <v>46312.95833333333</v>
      </c>
      <c r="I1810" s="180">
        <v>3.0</v>
      </c>
      <c r="J1810" s="181" t="s">
        <v>91</v>
      </c>
      <c r="K1810" s="178" t="s">
        <v>79</v>
      </c>
      <c r="L1810" s="178" t="s">
        <v>80</v>
      </c>
      <c r="M1810" s="182">
        <v>4.0</v>
      </c>
      <c r="N1810" s="183">
        <v>0.19999999999999996</v>
      </c>
      <c r="O1810" s="184">
        <v>572.77</v>
      </c>
      <c r="P1810" s="184">
        <v>458.216</v>
      </c>
      <c r="Q1810" s="185">
        <v>0.0</v>
      </c>
      <c r="R1810" s="186">
        <v>1374.6480000000001</v>
      </c>
      <c r="S1810" s="186">
        <v>0.0</v>
      </c>
      <c r="T1810" s="186">
        <v>1748.31</v>
      </c>
      <c r="U1810" s="187" t="s">
        <v>303</v>
      </c>
      <c r="V1810" s="176">
        <v>46247.0</v>
      </c>
      <c r="W1810" s="175"/>
      <c r="X1810" s="175"/>
      <c r="Y1810" s="175"/>
      <c r="Z1810" s="175"/>
      <c r="AA1810" s="175"/>
      <c r="AB1810" s="175"/>
      <c r="AC1810" s="175"/>
      <c r="AD1810" s="175"/>
      <c r="AE1810" s="175"/>
      <c r="AF1810" s="175"/>
      <c r="AG1810" s="175"/>
      <c r="AH1810" s="175"/>
      <c r="AI1810" s="175"/>
    </row>
    <row r="1811">
      <c r="A1811" s="176">
        <v>46247.0</v>
      </c>
      <c r="B1811" s="177">
        <v>9030012.0</v>
      </c>
      <c r="C1811" s="178" t="s">
        <v>82</v>
      </c>
      <c r="D1811" s="178" t="s">
        <v>35</v>
      </c>
      <c r="E1811" s="177">
        <v>6.369795716E9</v>
      </c>
      <c r="F1811" s="178" t="s">
        <v>3329</v>
      </c>
      <c r="G1811" s="176">
        <v>46327.95833333333</v>
      </c>
      <c r="H1811" s="179">
        <v>46329.95833333333</v>
      </c>
      <c r="I1811" s="180">
        <v>2.0</v>
      </c>
      <c r="J1811" s="181" t="s">
        <v>114</v>
      </c>
      <c r="K1811" s="178" t="s">
        <v>138</v>
      </c>
      <c r="L1811" s="178" t="s">
        <v>80</v>
      </c>
      <c r="M1811" s="182">
        <v>3.0</v>
      </c>
      <c r="N1811" s="183">
        <v>0.19999999999999996</v>
      </c>
      <c r="O1811" s="184">
        <v>178.75</v>
      </c>
      <c r="P1811" s="184">
        <v>143.0</v>
      </c>
      <c r="Q1811" s="185">
        <v>54.0</v>
      </c>
      <c r="R1811" s="186">
        <v>286.0</v>
      </c>
      <c r="S1811" s="186">
        <v>108.0</v>
      </c>
      <c r="T1811" s="186">
        <v>458.9</v>
      </c>
      <c r="U1811" s="187" t="s">
        <v>140</v>
      </c>
      <c r="V1811" s="176">
        <v>46247.0</v>
      </c>
      <c r="W1811" s="175"/>
      <c r="X1811" s="175"/>
      <c r="Y1811" s="175"/>
      <c r="Z1811" s="175"/>
      <c r="AA1811" s="175"/>
      <c r="AB1811" s="175"/>
      <c r="AC1811" s="175"/>
      <c r="AD1811" s="175"/>
      <c r="AE1811" s="175"/>
      <c r="AF1811" s="175"/>
      <c r="AG1811" s="175"/>
      <c r="AH1811" s="175"/>
      <c r="AI1811" s="175"/>
    </row>
    <row r="1812">
      <c r="A1812" s="176">
        <v>46247.0</v>
      </c>
      <c r="B1812" s="177">
        <v>9031019.0</v>
      </c>
      <c r="C1812" s="178" t="s">
        <v>82</v>
      </c>
      <c r="D1812" s="178" t="s">
        <v>35</v>
      </c>
      <c r="E1812" s="177">
        <v>6.591882185E9</v>
      </c>
      <c r="F1812" s="178" t="s">
        <v>3330</v>
      </c>
      <c r="G1812" s="176">
        <v>46248.0</v>
      </c>
      <c r="H1812" s="179">
        <v>46250.0</v>
      </c>
      <c r="I1812" s="180">
        <v>2.0</v>
      </c>
      <c r="J1812" s="181" t="s">
        <v>78</v>
      </c>
      <c r="K1812" s="178" t="s">
        <v>79</v>
      </c>
      <c r="L1812" s="178" t="s">
        <v>80</v>
      </c>
      <c r="M1812" s="182">
        <v>3.0</v>
      </c>
      <c r="N1812" s="183">
        <v>0.19999999999999996</v>
      </c>
      <c r="O1812" s="184">
        <v>110.25</v>
      </c>
      <c r="P1812" s="184">
        <v>88.2</v>
      </c>
      <c r="Q1812" s="185">
        <v>0.0</v>
      </c>
      <c r="R1812" s="186">
        <v>176.4</v>
      </c>
      <c r="S1812" s="186">
        <v>0.0</v>
      </c>
      <c r="T1812" s="186">
        <v>235.5</v>
      </c>
      <c r="U1812" s="187" t="s">
        <v>1441</v>
      </c>
      <c r="V1812" s="176">
        <v>46247.0</v>
      </c>
      <c r="W1812" s="164"/>
      <c r="X1812" s="164"/>
      <c r="Y1812" s="164"/>
      <c r="Z1812" s="164"/>
      <c r="AA1812" s="164"/>
      <c r="AB1812" s="164"/>
      <c r="AC1812" s="164"/>
      <c r="AD1812" s="164"/>
      <c r="AE1812" s="164"/>
      <c r="AF1812" s="164"/>
      <c r="AG1812" s="164"/>
      <c r="AH1812" s="164"/>
      <c r="AI1812" s="164"/>
    </row>
    <row r="1813">
      <c r="A1813" s="176">
        <v>46248.0</v>
      </c>
      <c r="B1813" s="177">
        <v>9032271.0</v>
      </c>
      <c r="C1813" s="178" t="s">
        <v>82</v>
      </c>
      <c r="D1813" s="178" t="s">
        <v>35</v>
      </c>
      <c r="E1813" s="177">
        <v>5.707870985E9</v>
      </c>
      <c r="F1813" s="178" t="s">
        <v>3331</v>
      </c>
      <c r="G1813" s="176">
        <v>46250.0</v>
      </c>
      <c r="H1813" s="179">
        <v>46251.0</v>
      </c>
      <c r="I1813" s="180">
        <v>1.0</v>
      </c>
      <c r="J1813" s="181" t="s">
        <v>78</v>
      </c>
      <c r="K1813" s="178" t="s">
        <v>79</v>
      </c>
      <c r="L1813" s="178" t="s">
        <v>80</v>
      </c>
      <c r="M1813" s="182">
        <v>3.0</v>
      </c>
      <c r="N1813" s="183">
        <v>0.19999999999999996</v>
      </c>
      <c r="O1813" s="184">
        <v>91.66</v>
      </c>
      <c r="P1813" s="184">
        <v>73.328</v>
      </c>
      <c r="Q1813" s="185">
        <v>0.0</v>
      </c>
      <c r="R1813" s="186">
        <v>73.328</v>
      </c>
      <c r="S1813" s="186">
        <v>0.0</v>
      </c>
      <c r="T1813" s="186">
        <v>195.82</v>
      </c>
      <c r="U1813" s="187" t="s">
        <v>1441</v>
      </c>
      <c r="V1813" s="176">
        <v>46248.0</v>
      </c>
      <c r="W1813" s="188"/>
      <c r="X1813" s="188"/>
      <c r="Y1813" s="188"/>
      <c r="Z1813" s="188"/>
      <c r="AA1813" s="188"/>
      <c r="AB1813" s="188"/>
      <c r="AC1813" s="188"/>
      <c r="AD1813" s="188"/>
      <c r="AE1813" s="188"/>
      <c r="AF1813" s="188"/>
      <c r="AG1813" s="188"/>
      <c r="AH1813" s="188"/>
      <c r="AI1813" s="188"/>
    </row>
    <row r="1814">
      <c r="A1814" s="176">
        <v>46248.0</v>
      </c>
      <c r="B1814" s="177">
        <v>9032271.0</v>
      </c>
      <c r="C1814" s="178" t="s">
        <v>82</v>
      </c>
      <c r="D1814" s="178" t="s">
        <v>35</v>
      </c>
      <c r="E1814" s="177">
        <v>5.707870985E9</v>
      </c>
      <c r="F1814" s="178" t="s">
        <v>3331</v>
      </c>
      <c r="G1814" s="176">
        <v>46250.0</v>
      </c>
      <c r="H1814" s="179">
        <v>46251.0</v>
      </c>
      <c r="I1814" s="180">
        <v>1.0</v>
      </c>
      <c r="J1814" s="181" t="s">
        <v>78</v>
      </c>
      <c r="K1814" s="178" t="s">
        <v>79</v>
      </c>
      <c r="L1814" s="178" t="s">
        <v>80</v>
      </c>
      <c r="M1814" s="182">
        <v>2.0</v>
      </c>
      <c r="N1814" s="183">
        <v>0.19999999999999996</v>
      </c>
      <c r="O1814" s="184">
        <v>91.66</v>
      </c>
      <c r="P1814" s="184">
        <v>73.328</v>
      </c>
      <c r="Q1814" s="185">
        <v>0.0</v>
      </c>
      <c r="R1814" s="186">
        <v>73.328</v>
      </c>
      <c r="S1814" s="186">
        <v>0.0</v>
      </c>
      <c r="T1814" s="186">
        <v>195.82</v>
      </c>
      <c r="U1814" s="187" t="s">
        <v>1441</v>
      </c>
      <c r="V1814" s="176">
        <v>46248.0</v>
      </c>
      <c r="W1814" s="175"/>
      <c r="X1814" s="175"/>
      <c r="Y1814" s="175"/>
      <c r="Z1814" s="175"/>
      <c r="AA1814" s="175"/>
      <c r="AB1814" s="175"/>
      <c r="AC1814" s="175"/>
      <c r="AD1814" s="175"/>
      <c r="AE1814" s="175"/>
      <c r="AF1814" s="175"/>
      <c r="AG1814" s="175"/>
      <c r="AH1814" s="175"/>
      <c r="AI1814" s="175"/>
    </row>
    <row r="1815">
      <c r="A1815" s="176">
        <v>46248.0</v>
      </c>
      <c r="B1815" s="177">
        <v>9032285.0</v>
      </c>
      <c r="C1815" s="178" t="s">
        <v>82</v>
      </c>
      <c r="D1815" s="178" t="s">
        <v>35</v>
      </c>
      <c r="E1815" s="177">
        <v>5.916886821E9</v>
      </c>
      <c r="F1815" s="178" t="s">
        <v>3332</v>
      </c>
      <c r="G1815" s="176">
        <v>46279.0</v>
      </c>
      <c r="H1815" s="179">
        <v>46280.0</v>
      </c>
      <c r="I1815" s="180">
        <v>1.0</v>
      </c>
      <c r="J1815" s="181" t="s">
        <v>87</v>
      </c>
      <c r="K1815" s="178" t="s">
        <v>79</v>
      </c>
      <c r="L1815" s="178" t="s">
        <v>80</v>
      </c>
      <c r="M1815" s="182">
        <v>1.0</v>
      </c>
      <c r="N1815" s="183">
        <v>0.19999999999999996</v>
      </c>
      <c r="O1815" s="184">
        <v>117.98</v>
      </c>
      <c r="P1815" s="184">
        <v>94.38400000000001</v>
      </c>
      <c r="Q1815" s="185">
        <v>0.0</v>
      </c>
      <c r="R1815" s="186">
        <v>94.38400000000001</v>
      </c>
      <c r="S1815" s="186">
        <v>0.0</v>
      </c>
      <c r="T1815" s="186">
        <v>120.48</v>
      </c>
      <c r="U1815" s="187" t="s">
        <v>143</v>
      </c>
      <c r="V1815" s="176">
        <v>46248.0</v>
      </c>
      <c r="W1815" s="175"/>
      <c r="X1815" s="175"/>
      <c r="Y1815" s="175"/>
      <c r="Z1815" s="175"/>
      <c r="AA1815" s="175"/>
      <c r="AB1815" s="175"/>
      <c r="AC1815" s="175"/>
      <c r="AD1815" s="175"/>
      <c r="AE1815" s="175"/>
      <c r="AF1815" s="175"/>
      <c r="AG1815" s="175"/>
      <c r="AH1815" s="175"/>
      <c r="AI1815" s="175"/>
    </row>
    <row r="1816">
      <c r="A1816" s="176">
        <v>46248.0</v>
      </c>
      <c r="B1816" s="177">
        <v>9032652.0</v>
      </c>
      <c r="C1816" s="178" t="s">
        <v>82</v>
      </c>
      <c r="D1816" s="178" t="s">
        <v>2325</v>
      </c>
      <c r="E1816" s="177" t="s">
        <v>3334</v>
      </c>
      <c r="F1816" s="178" t="s">
        <v>3335</v>
      </c>
      <c r="G1816" s="176">
        <v>46321.95833333333</v>
      </c>
      <c r="H1816" s="179">
        <v>46322.95833333333</v>
      </c>
      <c r="I1816" s="180">
        <v>1.0</v>
      </c>
      <c r="J1816" s="181" t="s">
        <v>3336</v>
      </c>
      <c r="K1816" s="178" t="s">
        <v>79</v>
      </c>
      <c r="L1816" s="178" t="s">
        <v>80</v>
      </c>
      <c r="M1816" s="182">
        <v>2.0</v>
      </c>
      <c r="N1816" s="183">
        <v>0.0</v>
      </c>
      <c r="O1816" s="184">
        <v>163.83</v>
      </c>
      <c r="P1816" s="184">
        <v>139.2555</v>
      </c>
      <c r="Q1816" s="185">
        <v>0.0</v>
      </c>
      <c r="R1816" s="186">
        <v>139.2555</v>
      </c>
      <c r="S1816" s="186">
        <v>0.0</v>
      </c>
      <c r="T1816" s="186">
        <v>163.83</v>
      </c>
      <c r="U1816" s="187" t="s">
        <v>2476</v>
      </c>
      <c r="V1816" s="176">
        <v>46248.0</v>
      </c>
      <c r="W1816" s="188"/>
      <c r="X1816" s="188"/>
      <c r="Y1816" s="188"/>
      <c r="Z1816" s="188"/>
      <c r="AA1816" s="188"/>
      <c r="AB1816" s="188"/>
      <c r="AC1816" s="188"/>
      <c r="AD1816" s="188"/>
      <c r="AE1816" s="188"/>
      <c r="AF1816" s="188"/>
      <c r="AG1816" s="188"/>
      <c r="AH1816" s="188"/>
      <c r="AI1816" s="188"/>
    </row>
    <row r="1817">
      <c r="A1817" s="176">
        <v>46248.0</v>
      </c>
      <c r="B1817" s="177">
        <v>9033027.0</v>
      </c>
      <c r="C1817" s="178" t="s">
        <v>82</v>
      </c>
      <c r="D1817" s="178" t="s">
        <v>35</v>
      </c>
      <c r="E1817" s="177">
        <v>6.868247748E9</v>
      </c>
      <c r="F1817" s="178" t="s">
        <v>3338</v>
      </c>
      <c r="G1817" s="176">
        <v>46406.95833333333</v>
      </c>
      <c r="H1817" s="179">
        <v>46407.95833333333</v>
      </c>
      <c r="I1817" s="180">
        <v>1.0</v>
      </c>
      <c r="J1817" s="181" t="s">
        <v>87</v>
      </c>
      <c r="K1817" s="178" t="s">
        <v>138</v>
      </c>
      <c r="L1817" s="178" t="s">
        <v>80</v>
      </c>
      <c r="M1817" s="182">
        <v>2.0</v>
      </c>
      <c r="N1817" s="183">
        <v>0.19999999999999996</v>
      </c>
      <c r="O1817" s="184">
        <v>219.17</v>
      </c>
      <c r="P1817" s="184">
        <v>175.336</v>
      </c>
      <c r="Q1817" s="185">
        <v>36.0</v>
      </c>
      <c r="R1817" s="186">
        <v>175.336</v>
      </c>
      <c r="S1817" s="186">
        <v>36.0</v>
      </c>
      <c r="T1817" s="186">
        <v>252.97</v>
      </c>
      <c r="U1817" s="187" t="s">
        <v>498</v>
      </c>
      <c r="V1817" s="176">
        <v>46248.0</v>
      </c>
      <c r="W1817" s="175"/>
      <c r="X1817" s="175"/>
      <c r="Y1817" s="175"/>
      <c r="Z1817" s="175"/>
      <c r="AA1817" s="175"/>
      <c r="AB1817" s="175"/>
      <c r="AC1817" s="175"/>
      <c r="AD1817" s="175"/>
      <c r="AE1817" s="175"/>
      <c r="AF1817" s="175"/>
      <c r="AG1817" s="175"/>
      <c r="AH1817" s="175"/>
      <c r="AI1817" s="175"/>
    </row>
    <row r="1818">
      <c r="A1818" s="176">
        <v>46248.0</v>
      </c>
      <c r="B1818" s="177">
        <v>9033215.0</v>
      </c>
      <c r="C1818" s="178" t="s">
        <v>82</v>
      </c>
      <c r="D1818" s="178" t="s">
        <v>35</v>
      </c>
      <c r="E1818" s="177">
        <v>5.287616077E9</v>
      </c>
      <c r="F1818" s="178" t="s">
        <v>3340</v>
      </c>
      <c r="G1818" s="176">
        <v>46474.95833333333</v>
      </c>
      <c r="H1818" s="179">
        <v>46480.95833333333</v>
      </c>
      <c r="I1818" s="180">
        <v>6.0</v>
      </c>
      <c r="J1818" s="181" t="s">
        <v>78</v>
      </c>
      <c r="K1818" s="178" t="s">
        <v>138</v>
      </c>
      <c r="L1818" s="178" t="s">
        <v>80</v>
      </c>
      <c r="M1818" s="182">
        <v>2.0</v>
      </c>
      <c r="N1818" s="183">
        <v>0.19999999999999996</v>
      </c>
      <c r="O1818" s="184">
        <v>213.11999999999998</v>
      </c>
      <c r="P1818" s="184">
        <v>170.49599999999998</v>
      </c>
      <c r="Q1818" s="185">
        <v>36.0</v>
      </c>
      <c r="R1818" s="186">
        <v>1022.9759999999999</v>
      </c>
      <c r="S1818" s="186">
        <v>216.0</v>
      </c>
      <c r="T1818" s="186">
        <v>1481.52</v>
      </c>
      <c r="U1818" s="187" t="s">
        <v>498</v>
      </c>
      <c r="V1818" s="176">
        <v>46248.0</v>
      </c>
      <c r="W1818" s="175"/>
      <c r="X1818" s="175"/>
      <c r="Y1818" s="175"/>
      <c r="Z1818" s="175"/>
      <c r="AA1818" s="175"/>
      <c r="AB1818" s="175"/>
      <c r="AC1818" s="175"/>
      <c r="AD1818" s="175"/>
      <c r="AE1818" s="175"/>
      <c r="AF1818" s="175"/>
      <c r="AG1818" s="175"/>
      <c r="AH1818" s="175"/>
      <c r="AI1818" s="175"/>
    </row>
    <row r="1819">
      <c r="A1819" s="176">
        <v>46248.0</v>
      </c>
      <c r="B1819" s="177">
        <v>9033960.0</v>
      </c>
      <c r="C1819" s="178" t="s">
        <v>82</v>
      </c>
      <c r="D1819" s="178" t="s">
        <v>35</v>
      </c>
      <c r="E1819" s="177">
        <v>6.778245728E9</v>
      </c>
      <c r="F1819" s="178" t="s">
        <v>3342</v>
      </c>
      <c r="G1819" s="176">
        <v>46344.95833333333</v>
      </c>
      <c r="H1819" s="179">
        <v>46347.95833333333</v>
      </c>
      <c r="I1819" s="180">
        <v>3.0</v>
      </c>
      <c r="J1819" s="181" t="s">
        <v>78</v>
      </c>
      <c r="K1819" s="178" t="s">
        <v>79</v>
      </c>
      <c r="L1819" s="178" t="s">
        <v>80</v>
      </c>
      <c r="M1819" s="182">
        <v>2.0</v>
      </c>
      <c r="N1819" s="183">
        <v>0.19999999999999996</v>
      </c>
      <c r="O1819" s="184">
        <v>205.66</v>
      </c>
      <c r="P1819" s="184">
        <v>164.52800000000002</v>
      </c>
      <c r="Q1819" s="185">
        <v>0.0</v>
      </c>
      <c r="R1819" s="186">
        <v>493.58400000000006</v>
      </c>
      <c r="S1819" s="186">
        <v>0.0</v>
      </c>
      <c r="T1819" s="186">
        <v>631.98</v>
      </c>
      <c r="U1819" s="187" t="s">
        <v>353</v>
      </c>
      <c r="V1819" s="176">
        <v>46248.0</v>
      </c>
      <c r="W1819" s="188"/>
      <c r="X1819" s="188"/>
      <c r="Y1819" s="188"/>
      <c r="Z1819" s="188"/>
      <c r="AA1819" s="188"/>
      <c r="AB1819" s="188"/>
      <c r="AC1819" s="188"/>
      <c r="AD1819" s="188"/>
      <c r="AE1819" s="188"/>
      <c r="AF1819" s="188"/>
      <c r="AG1819" s="188"/>
      <c r="AH1819" s="188"/>
      <c r="AI1819" s="188"/>
    </row>
    <row r="1820">
      <c r="A1820" s="176">
        <v>46248.0</v>
      </c>
      <c r="B1820" s="177">
        <v>9035248.0</v>
      </c>
      <c r="C1820" s="178" t="s">
        <v>82</v>
      </c>
      <c r="D1820" s="178" t="s">
        <v>35</v>
      </c>
      <c r="E1820" s="177">
        <v>6.176324076E9</v>
      </c>
      <c r="F1820" s="178" t="s">
        <v>3343</v>
      </c>
      <c r="G1820" s="176">
        <v>46248.0</v>
      </c>
      <c r="H1820" s="179">
        <v>46249.0</v>
      </c>
      <c r="I1820" s="180">
        <v>1.0</v>
      </c>
      <c r="J1820" s="181" t="s">
        <v>78</v>
      </c>
      <c r="K1820" s="178" t="s">
        <v>79</v>
      </c>
      <c r="L1820" s="178" t="s">
        <v>80</v>
      </c>
      <c r="M1820" s="182">
        <v>2.0</v>
      </c>
      <c r="N1820" s="183">
        <v>0.19999999999999996</v>
      </c>
      <c r="O1820" s="184">
        <v>80.45</v>
      </c>
      <c r="P1820" s="184">
        <v>64.36</v>
      </c>
      <c r="Q1820" s="185">
        <v>0.0</v>
      </c>
      <c r="R1820" s="186">
        <v>64.36</v>
      </c>
      <c r="S1820" s="186">
        <v>0.0</v>
      </c>
      <c r="T1820" s="186">
        <v>85.45</v>
      </c>
      <c r="U1820" s="187" t="s">
        <v>1441</v>
      </c>
      <c r="V1820" s="176">
        <v>46248.0</v>
      </c>
      <c r="W1820" s="164"/>
      <c r="X1820" s="164"/>
      <c r="Y1820" s="164"/>
      <c r="Z1820" s="164"/>
      <c r="AA1820" s="164"/>
      <c r="AB1820" s="164"/>
      <c r="AC1820" s="164"/>
      <c r="AD1820" s="164"/>
      <c r="AE1820" s="164"/>
      <c r="AF1820" s="164"/>
      <c r="AG1820" s="164"/>
      <c r="AH1820" s="164"/>
      <c r="AI1820" s="164"/>
    </row>
    <row r="1821">
      <c r="A1821" s="176">
        <v>46248.0</v>
      </c>
      <c r="B1821" s="177">
        <v>9035385.0</v>
      </c>
      <c r="C1821" s="178" t="s">
        <v>82</v>
      </c>
      <c r="D1821" s="178" t="s">
        <v>109</v>
      </c>
      <c r="E1821" s="177">
        <v>6.89809699E8</v>
      </c>
      <c r="F1821" s="178" t="s">
        <v>3345</v>
      </c>
      <c r="G1821" s="176">
        <v>46249.0</v>
      </c>
      <c r="H1821" s="179">
        <v>46251.0</v>
      </c>
      <c r="I1821" s="180">
        <v>2.0</v>
      </c>
      <c r="J1821" s="181" t="s">
        <v>87</v>
      </c>
      <c r="K1821" s="178" t="s">
        <v>79</v>
      </c>
      <c r="L1821" s="178" t="s">
        <v>96</v>
      </c>
      <c r="M1821" s="182">
        <v>2.0</v>
      </c>
      <c r="N1821" s="183">
        <v>0.19999999999999996</v>
      </c>
      <c r="O1821" s="184">
        <v>94.35</v>
      </c>
      <c r="P1821" s="184">
        <v>75.48</v>
      </c>
      <c r="Q1821" s="185">
        <v>0.0</v>
      </c>
      <c r="R1821" s="186">
        <v>150.96</v>
      </c>
      <c r="S1821" s="186">
        <v>0.0</v>
      </c>
      <c r="T1821" s="186">
        <v>188.7</v>
      </c>
      <c r="U1821" s="187" t="s">
        <v>1464</v>
      </c>
      <c r="V1821" s="176">
        <v>46248.0</v>
      </c>
      <c r="W1821" s="164"/>
      <c r="X1821" s="164"/>
      <c r="Y1821" s="164"/>
      <c r="Z1821" s="164"/>
      <c r="AA1821" s="164"/>
      <c r="AB1821" s="164"/>
      <c r="AC1821" s="164"/>
      <c r="AD1821" s="164"/>
      <c r="AE1821" s="164"/>
      <c r="AF1821" s="164"/>
      <c r="AG1821" s="164"/>
      <c r="AH1821" s="164"/>
      <c r="AI1821" s="164"/>
    </row>
    <row r="1822">
      <c r="A1822" s="176">
        <v>46248.0</v>
      </c>
      <c r="B1822" s="177">
        <v>9036133.0</v>
      </c>
      <c r="C1822" s="178" t="s">
        <v>82</v>
      </c>
      <c r="D1822" s="178" t="s">
        <v>35</v>
      </c>
      <c r="E1822" s="177">
        <v>6.345499213E9</v>
      </c>
      <c r="F1822" s="178" t="s">
        <v>3347</v>
      </c>
      <c r="G1822" s="176">
        <v>46291.95833333333</v>
      </c>
      <c r="H1822" s="179">
        <v>46293.95833333333</v>
      </c>
      <c r="I1822" s="180">
        <v>2.0</v>
      </c>
      <c r="J1822" s="181" t="s">
        <v>78</v>
      </c>
      <c r="K1822" s="178" t="s">
        <v>79</v>
      </c>
      <c r="L1822" s="178" t="s">
        <v>80</v>
      </c>
      <c r="M1822" s="182">
        <v>2.0</v>
      </c>
      <c r="N1822" s="183">
        <v>0.19999999999999996</v>
      </c>
      <c r="O1822" s="184">
        <v>158.4</v>
      </c>
      <c r="P1822" s="184">
        <v>126.72000000000001</v>
      </c>
      <c r="Q1822" s="185">
        <v>0.0</v>
      </c>
      <c r="R1822" s="186">
        <v>253.44000000000003</v>
      </c>
      <c r="S1822" s="186">
        <v>0.0</v>
      </c>
      <c r="T1822" s="186">
        <v>326.8</v>
      </c>
      <c r="U1822" s="187" t="s">
        <v>1367</v>
      </c>
      <c r="V1822" s="176">
        <v>46248.0</v>
      </c>
      <c r="W1822" s="175"/>
      <c r="X1822" s="175"/>
      <c r="Y1822" s="175"/>
      <c r="Z1822" s="175"/>
      <c r="AA1822" s="175"/>
      <c r="AB1822" s="175"/>
      <c r="AC1822" s="175"/>
      <c r="AD1822" s="175"/>
      <c r="AE1822" s="175"/>
      <c r="AF1822" s="175"/>
      <c r="AG1822" s="175"/>
      <c r="AH1822" s="175"/>
      <c r="AI1822" s="175"/>
    </row>
    <row r="1823">
      <c r="A1823" s="176">
        <v>46248.0</v>
      </c>
      <c r="B1823" s="177">
        <v>9036944.0</v>
      </c>
      <c r="C1823" s="178" t="s">
        <v>82</v>
      </c>
      <c r="D1823" s="178" t="s">
        <v>2325</v>
      </c>
      <c r="E1823" s="177">
        <v>1.128150229761E15</v>
      </c>
      <c r="F1823" s="178" t="s">
        <v>3348</v>
      </c>
      <c r="G1823" s="176">
        <v>46321.95833333333</v>
      </c>
      <c r="H1823" s="179">
        <v>46322.95833333333</v>
      </c>
      <c r="I1823" s="180">
        <v>1.0</v>
      </c>
      <c r="J1823" s="181" t="s">
        <v>3336</v>
      </c>
      <c r="K1823" s="178" t="s">
        <v>79</v>
      </c>
      <c r="L1823" s="178" t="s">
        <v>80</v>
      </c>
      <c r="M1823" s="182">
        <v>2.0</v>
      </c>
      <c r="N1823" s="183">
        <v>0.0</v>
      </c>
      <c r="O1823" s="184">
        <v>163.83</v>
      </c>
      <c r="P1823" s="184">
        <v>139.2555</v>
      </c>
      <c r="Q1823" s="185">
        <v>0.0</v>
      </c>
      <c r="R1823" s="186">
        <v>139.2555</v>
      </c>
      <c r="S1823" s="186">
        <v>0.0</v>
      </c>
      <c r="T1823" s="186">
        <v>163.83</v>
      </c>
      <c r="U1823" s="187" t="s">
        <v>2476</v>
      </c>
      <c r="V1823" s="176">
        <v>46248.0</v>
      </c>
      <c r="W1823" s="164"/>
      <c r="X1823" s="164"/>
      <c r="Y1823" s="164"/>
      <c r="Z1823" s="164"/>
      <c r="AA1823" s="164"/>
      <c r="AB1823" s="164"/>
      <c r="AC1823" s="164"/>
      <c r="AD1823" s="164"/>
      <c r="AE1823" s="164"/>
      <c r="AF1823" s="164"/>
      <c r="AG1823" s="164"/>
      <c r="AH1823" s="164"/>
      <c r="AI1823" s="164"/>
    </row>
    <row r="1824">
      <c r="A1824" s="176">
        <v>46249.0</v>
      </c>
      <c r="B1824" s="177">
        <v>9039535.0</v>
      </c>
      <c r="C1824" s="178" t="s">
        <v>82</v>
      </c>
      <c r="D1824" s="178" t="s">
        <v>35</v>
      </c>
      <c r="E1824" s="177">
        <v>5.0204251E9</v>
      </c>
      <c r="F1824" s="178" t="s">
        <v>3350</v>
      </c>
      <c r="G1824" s="176">
        <v>46379.95833333333</v>
      </c>
      <c r="H1824" s="179">
        <v>46382.95833333333</v>
      </c>
      <c r="I1824" s="180">
        <v>3.0</v>
      </c>
      <c r="J1824" s="181" t="s">
        <v>78</v>
      </c>
      <c r="K1824" s="178" t="s">
        <v>79</v>
      </c>
      <c r="L1824" s="178" t="s">
        <v>80</v>
      </c>
      <c r="M1824" s="182">
        <v>2.0</v>
      </c>
      <c r="N1824" s="183">
        <v>0.19999999999999996</v>
      </c>
      <c r="O1824" s="184">
        <v>217.28</v>
      </c>
      <c r="P1824" s="184">
        <v>173.824</v>
      </c>
      <c r="Q1824" s="185">
        <v>0.0</v>
      </c>
      <c r="R1824" s="186">
        <v>521.472</v>
      </c>
      <c r="S1824" s="186">
        <v>0.0</v>
      </c>
      <c r="T1824" s="186">
        <v>1468.08</v>
      </c>
      <c r="U1824" s="187" t="s">
        <v>353</v>
      </c>
      <c r="V1824" s="176">
        <v>46249.0</v>
      </c>
      <c r="W1824" s="175"/>
      <c r="X1824" s="175"/>
      <c r="Y1824" s="175"/>
      <c r="Z1824" s="175"/>
      <c r="AA1824" s="175"/>
      <c r="AB1824" s="175"/>
      <c r="AC1824" s="175"/>
      <c r="AD1824" s="175"/>
      <c r="AE1824" s="175"/>
      <c r="AF1824" s="175"/>
      <c r="AG1824" s="175"/>
      <c r="AH1824" s="175"/>
      <c r="AI1824" s="175"/>
    </row>
    <row r="1825">
      <c r="A1825" s="176">
        <v>46249.0</v>
      </c>
      <c r="B1825" s="177">
        <v>9039535.0</v>
      </c>
      <c r="C1825" s="178" t="s">
        <v>82</v>
      </c>
      <c r="D1825" s="178" t="s">
        <v>35</v>
      </c>
      <c r="E1825" s="177">
        <v>5.0204251E9</v>
      </c>
      <c r="F1825" s="178" t="s">
        <v>3350</v>
      </c>
      <c r="G1825" s="176">
        <v>46379.95833333333</v>
      </c>
      <c r="H1825" s="179">
        <v>46382.95833333333</v>
      </c>
      <c r="I1825" s="180">
        <v>3.0</v>
      </c>
      <c r="J1825" s="181" t="s">
        <v>111</v>
      </c>
      <c r="K1825" s="178" t="s">
        <v>79</v>
      </c>
      <c r="L1825" s="178" t="s">
        <v>80</v>
      </c>
      <c r="M1825" s="182">
        <v>2.0</v>
      </c>
      <c r="N1825" s="183">
        <v>0.19999999999999996</v>
      </c>
      <c r="O1825" s="184">
        <v>262.08</v>
      </c>
      <c r="P1825" s="184">
        <v>209.664</v>
      </c>
      <c r="Q1825" s="185">
        <v>0.0</v>
      </c>
      <c r="R1825" s="186">
        <v>628.992</v>
      </c>
      <c r="S1825" s="186">
        <v>0.0</v>
      </c>
      <c r="T1825" s="186">
        <v>1468.08</v>
      </c>
      <c r="U1825" s="187" t="s">
        <v>353</v>
      </c>
      <c r="V1825" s="176">
        <v>46249.0</v>
      </c>
      <c r="W1825" s="175"/>
      <c r="X1825" s="175"/>
      <c r="Y1825" s="175"/>
      <c r="Z1825" s="175"/>
      <c r="AA1825" s="175"/>
      <c r="AB1825" s="175"/>
      <c r="AC1825" s="175"/>
      <c r="AD1825" s="175"/>
      <c r="AE1825" s="175"/>
      <c r="AF1825" s="175"/>
      <c r="AG1825" s="175"/>
      <c r="AH1825" s="175"/>
      <c r="AI1825" s="175"/>
    </row>
    <row r="1826">
      <c r="A1826" s="176">
        <v>46249.0</v>
      </c>
      <c r="B1826" s="177">
        <v>9040231.0</v>
      </c>
      <c r="C1826" s="178" t="s">
        <v>82</v>
      </c>
      <c r="D1826" s="178" t="s">
        <v>35</v>
      </c>
      <c r="E1826" s="177">
        <v>5.484190626E9</v>
      </c>
      <c r="F1826" s="178" t="s">
        <v>3352</v>
      </c>
      <c r="G1826" s="176">
        <v>46345.95833333333</v>
      </c>
      <c r="H1826" s="179">
        <v>46347.95833333333</v>
      </c>
      <c r="I1826" s="180">
        <v>2.0</v>
      </c>
      <c r="J1826" s="181" t="s">
        <v>78</v>
      </c>
      <c r="K1826" s="178" t="s">
        <v>79</v>
      </c>
      <c r="L1826" s="178" t="s">
        <v>80</v>
      </c>
      <c r="M1826" s="182">
        <v>2.0</v>
      </c>
      <c r="N1826" s="183">
        <v>0.19999999999999996</v>
      </c>
      <c r="O1826" s="184">
        <v>171.19</v>
      </c>
      <c r="P1826" s="184">
        <v>136.952</v>
      </c>
      <c r="Q1826" s="185">
        <v>0.0</v>
      </c>
      <c r="R1826" s="186">
        <v>273.904</v>
      </c>
      <c r="S1826" s="186">
        <v>0.0</v>
      </c>
      <c r="T1826" s="186">
        <v>352.38</v>
      </c>
      <c r="U1826" s="187" t="s">
        <v>107</v>
      </c>
      <c r="V1826" s="176">
        <v>46249.0</v>
      </c>
      <c r="W1826" s="164"/>
      <c r="X1826" s="164"/>
      <c r="Y1826" s="164"/>
      <c r="Z1826" s="164"/>
      <c r="AA1826" s="164"/>
      <c r="AB1826" s="164"/>
      <c r="AC1826" s="164"/>
      <c r="AD1826" s="164"/>
      <c r="AE1826" s="164"/>
      <c r="AF1826" s="164"/>
      <c r="AG1826" s="164"/>
      <c r="AH1826" s="164"/>
      <c r="AI1826" s="164"/>
    </row>
    <row r="1827">
      <c r="A1827" s="176">
        <v>46249.0</v>
      </c>
      <c r="B1827" s="177">
        <v>9040528.0</v>
      </c>
      <c r="C1827" s="178" t="s">
        <v>82</v>
      </c>
      <c r="D1827" s="178" t="s">
        <v>35</v>
      </c>
      <c r="E1827" s="177">
        <v>5.923864233E9</v>
      </c>
      <c r="F1827" s="178" t="s">
        <v>3353</v>
      </c>
      <c r="G1827" s="176">
        <v>46327.95833333333</v>
      </c>
      <c r="H1827" s="179">
        <v>46329.95833333333</v>
      </c>
      <c r="I1827" s="180">
        <v>2.0</v>
      </c>
      <c r="J1827" s="181" t="s">
        <v>78</v>
      </c>
      <c r="K1827" s="178" t="s">
        <v>138</v>
      </c>
      <c r="L1827" s="178" t="s">
        <v>80</v>
      </c>
      <c r="M1827" s="182">
        <v>2.0</v>
      </c>
      <c r="N1827" s="183">
        <v>0.19999999999999996</v>
      </c>
      <c r="O1827" s="184">
        <v>164.36999999999998</v>
      </c>
      <c r="P1827" s="184">
        <v>131.49599999999998</v>
      </c>
      <c r="Q1827" s="185">
        <v>36.0</v>
      </c>
      <c r="R1827" s="186">
        <v>262.99199999999996</v>
      </c>
      <c r="S1827" s="186">
        <v>72.0</v>
      </c>
      <c r="T1827" s="186">
        <v>396.34</v>
      </c>
      <c r="U1827" s="187" t="s">
        <v>140</v>
      </c>
      <c r="V1827" s="176">
        <v>46249.0</v>
      </c>
      <c r="W1827" s="175"/>
      <c r="X1827" s="175"/>
      <c r="Y1827" s="175"/>
      <c r="Z1827" s="175"/>
      <c r="AA1827" s="175"/>
      <c r="AB1827" s="175"/>
      <c r="AC1827" s="175"/>
      <c r="AD1827" s="175"/>
      <c r="AE1827" s="175"/>
      <c r="AF1827" s="175"/>
      <c r="AG1827" s="175"/>
      <c r="AH1827" s="175"/>
      <c r="AI1827" s="175"/>
    </row>
    <row r="1828">
      <c r="A1828" s="176">
        <v>46249.0</v>
      </c>
      <c r="B1828" s="177">
        <v>9040928.0</v>
      </c>
      <c r="C1828" s="178" t="s">
        <v>82</v>
      </c>
      <c r="D1828" s="178" t="s">
        <v>35</v>
      </c>
      <c r="E1828" s="177">
        <v>6.016183344E9</v>
      </c>
      <c r="F1828" s="178" t="s">
        <v>3355</v>
      </c>
      <c r="G1828" s="176">
        <v>46254.0</v>
      </c>
      <c r="H1828" s="179">
        <v>46255.0</v>
      </c>
      <c r="I1828" s="180">
        <v>1.0</v>
      </c>
      <c r="J1828" s="181" t="s">
        <v>78</v>
      </c>
      <c r="K1828" s="178" t="s">
        <v>79</v>
      </c>
      <c r="L1828" s="178" t="s">
        <v>80</v>
      </c>
      <c r="M1828" s="182">
        <v>2.0</v>
      </c>
      <c r="N1828" s="183">
        <v>0.19999999999999996</v>
      </c>
      <c r="O1828" s="184">
        <v>87.9</v>
      </c>
      <c r="P1828" s="184">
        <v>70.32000000000001</v>
      </c>
      <c r="Q1828" s="185">
        <v>0.0</v>
      </c>
      <c r="R1828" s="186">
        <v>70.32000000000001</v>
      </c>
      <c r="S1828" s="186">
        <v>0.0</v>
      </c>
      <c r="T1828" s="186">
        <v>92.9</v>
      </c>
      <c r="U1828" s="187" t="s">
        <v>1441</v>
      </c>
      <c r="V1828" s="176">
        <v>46249.0</v>
      </c>
      <c r="W1828" s="175"/>
      <c r="X1828" s="175"/>
      <c r="Y1828" s="175"/>
      <c r="Z1828" s="175"/>
      <c r="AA1828" s="175"/>
      <c r="AB1828" s="175"/>
      <c r="AC1828" s="175"/>
      <c r="AD1828" s="175"/>
      <c r="AE1828" s="175"/>
      <c r="AF1828" s="175"/>
      <c r="AG1828" s="175"/>
      <c r="AH1828" s="175"/>
      <c r="AI1828" s="175"/>
    </row>
    <row r="1829">
      <c r="A1829" s="176"/>
      <c r="B1829" s="177"/>
      <c r="C1829" s="178"/>
      <c r="D1829" s="178"/>
      <c r="E1829" s="177"/>
      <c r="F1829" s="178"/>
      <c r="G1829" s="176"/>
      <c r="H1829" s="179"/>
      <c r="I1829" s="180"/>
      <c r="J1829" s="181"/>
      <c r="K1829" s="178"/>
      <c r="L1829" s="178"/>
      <c r="M1829" s="182"/>
      <c r="N1829" s="183"/>
      <c r="O1829" s="184"/>
      <c r="P1829" s="184"/>
      <c r="Q1829" s="185"/>
      <c r="R1829" s="186"/>
      <c r="S1829" s="186"/>
      <c r="T1829" s="186"/>
      <c r="U1829" s="187"/>
      <c r="V1829" s="176"/>
      <c r="W1829" s="175"/>
      <c r="X1829" s="175"/>
      <c r="Y1829" s="175"/>
      <c r="Z1829" s="175"/>
      <c r="AA1829" s="175"/>
      <c r="AB1829" s="175"/>
      <c r="AC1829" s="175"/>
      <c r="AD1829" s="175"/>
      <c r="AE1829" s="175"/>
      <c r="AF1829" s="175"/>
      <c r="AG1829" s="175"/>
      <c r="AH1829" s="175"/>
      <c r="AI1829" s="175"/>
    </row>
    <row r="1830">
      <c r="A1830" s="176"/>
      <c r="B1830" s="177"/>
      <c r="C1830" s="178"/>
      <c r="D1830" s="178"/>
      <c r="E1830" s="177"/>
      <c r="F1830" s="178"/>
      <c r="G1830" s="176"/>
      <c r="H1830" s="179"/>
      <c r="I1830" s="180"/>
      <c r="J1830" s="181"/>
      <c r="K1830" s="178"/>
      <c r="L1830" s="178"/>
      <c r="M1830" s="182"/>
      <c r="N1830" s="183"/>
      <c r="O1830" s="184"/>
      <c r="P1830" s="184"/>
      <c r="Q1830" s="185"/>
      <c r="R1830" s="186"/>
      <c r="S1830" s="186"/>
      <c r="T1830" s="186"/>
      <c r="U1830" s="187"/>
      <c r="V1830" s="176"/>
      <c r="W1830" s="175"/>
      <c r="X1830" s="175"/>
      <c r="Y1830" s="175"/>
      <c r="Z1830" s="175"/>
      <c r="AA1830" s="175"/>
      <c r="AB1830" s="175"/>
      <c r="AC1830" s="175"/>
      <c r="AD1830" s="175"/>
      <c r="AE1830" s="175"/>
      <c r="AF1830" s="175"/>
      <c r="AG1830" s="175"/>
      <c r="AH1830" s="175"/>
      <c r="AI1830" s="175"/>
    </row>
    <row r="1831">
      <c r="A1831" s="176"/>
      <c r="B1831" s="177"/>
      <c r="C1831" s="178"/>
      <c r="D1831" s="178"/>
      <c r="E1831" s="177"/>
      <c r="F1831" s="178"/>
      <c r="G1831" s="176"/>
      <c r="H1831" s="179"/>
      <c r="I1831" s="180"/>
      <c r="J1831" s="181"/>
      <c r="K1831" s="178"/>
      <c r="L1831" s="178"/>
      <c r="M1831" s="182"/>
      <c r="N1831" s="183"/>
      <c r="O1831" s="184"/>
      <c r="P1831" s="184"/>
      <c r="Q1831" s="185"/>
      <c r="R1831" s="186"/>
      <c r="S1831" s="186"/>
      <c r="T1831" s="186"/>
      <c r="U1831" s="187"/>
      <c r="V1831" s="176"/>
      <c r="W1831" s="164"/>
      <c r="X1831" s="164"/>
      <c r="Y1831" s="164"/>
      <c r="Z1831" s="164"/>
      <c r="AA1831" s="164"/>
      <c r="AB1831" s="164"/>
      <c r="AC1831" s="164"/>
      <c r="AD1831" s="164"/>
      <c r="AE1831" s="164"/>
      <c r="AF1831" s="164"/>
      <c r="AG1831" s="164"/>
      <c r="AH1831" s="164"/>
      <c r="AI1831" s="164"/>
    </row>
    <row r="1832">
      <c r="A1832" s="176"/>
      <c r="B1832" s="177"/>
      <c r="C1832" s="178"/>
      <c r="D1832" s="178"/>
      <c r="E1832" s="177"/>
      <c r="F1832" s="178"/>
      <c r="G1832" s="176"/>
      <c r="H1832" s="179"/>
      <c r="I1832" s="180"/>
      <c r="J1832" s="181"/>
      <c r="K1832" s="178"/>
      <c r="L1832" s="178"/>
      <c r="M1832" s="182"/>
      <c r="N1832" s="183"/>
      <c r="O1832" s="184"/>
      <c r="P1832" s="184"/>
      <c r="Q1832" s="185"/>
      <c r="R1832" s="186"/>
      <c r="S1832" s="186"/>
      <c r="T1832" s="186"/>
      <c r="U1832" s="187"/>
      <c r="V1832" s="176"/>
      <c r="W1832" s="175"/>
      <c r="X1832" s="175"/>
      <c r="Y1832" s="175"/>
      <c r="Z1832" s="175"/>
      <c r="AA1832" s="175"/>
      <c r="AB1832" s="175"/>
      <c r="AC1832" s="175"/>
      <c r="AD1832" s="175"/>
      <c r="AE1832" s="175"/>
      <c r="AF1832" s="175"/>
      <c r="AG1832" s="175"/>
      <c r="AH1832" s="175"/>
      <c r="AI1832" s="175"/>
    </row>
    <row r="1833">
      <c r="A1833" s="176"/>
      <c r="B1833" s="177"/>
      <c r="C1833" s="178"/>
      <c r="D1833" s="178"/>
      <c r="E1833" s="177"/>
      <c r="F1833" s="178"/>
      <c r="G1833" s="176"/>
      <c r="H1833" s="179"/>
      <c r="I1833" s="180"/>
      <c r="J1833" s="181"/>
      <c r="K1833" s="178"/>
      <c r="L1833" s="178"/>
      <c r="M1833" s="182"/>
      <c r="N1833" s="183"/>
      <c r="O1833" s="184"/>
      <c r="P1833" s="184"/>
      <c r="Q1833" s="185"/>
      <c r="R1833" s="186"/>
      <c r="S1833" s="186"/>
      <c r="T1833" s="186"/>
      <c r="U1833" s="187"/>
      <c r="V1833" s="176"/>
      <c r="W1833" s="188"/>
      <c r="X1833" s="188"/>
      <c r="Y1833" s="188"/>
      <c r="Z1833" s="188"/>
      <c r="AA1833" s="188"/>
      <c r="AB1833" s="188"/>
      <c r="AC1833" s="188"/>
      <c r="AD1833" s="188"/>
      <c r="AE1833" s="188"/>
      <c r="AF1833" s="188"/>
      <c r="AG1833" s="188"/>
      <c r="AH1833" s="188"/>
      <c r="AI1833" s="188"/>
    </row>
    <row r="1834">
      <c r="A1834" s="176"/>
      <c r="B1834" s="177"/>
      <c r="C1834" s="178"/>
      <c r="D1834" s="178"/>
      <c r="E1834" s="177"/>
      <c r="F1834" s="178"/>
      <c r="G1834" s="176"/>
      <c r="H1834" s="179"/>
      <c r="I1834" s="180"/>
      <c r="J1834" s="181"/>
      <c r="K1834" s="178"/>
      <c r="L1834" s="178"/>
      <c r="M1834" s="182"/>
      <c r="N1834" s="183"/>
      <c r="O1834" s="184"/>
      <c r="P1834" s="184"/>
      <c r="Q1834" s="185"/>
      <c r="R1834" s="186"/>
      <c r="S1834" s="186"/>
      <c r="T1834" s="186"/>
      <c r="U1834" s="187"/>
      <c r="V1834" s="176"/>
      <c r="W1834" s="188"/>
      <c r="X1834" s="188"/>
      <c r="Y1834" s="188"/>
      <c r="Z1834" s="188"/>
      <c r="AA1834" s="188"/>
      <c r="AB1834" s="188"/>
      <c r="AC1834" s="188"/>
      <c r="AD1834" s="188"/>
      <c r="AE1834" s="188"/>
      <c r="AF1834" s="188"/>
      <c r="AG1834" s="188"/>
      <c r="AH1834" s="188"/>
      <c r="AI1834" s="188"/>
    </row>
    <row r="1835">
      <c r="A1835" s="176"/>
      <c r="B1835" s="177"/>
      <c r="C1835" s="178"/>
      <c r="D1835" s="178"/>
      <c r="E1835" s="177"/>
      <c r="F1835" s="178"/>
      <c r="G1835" s="176"/>
      <c r="H1835" s="179"/>
      <c r="I1835" s="180"/>
      <c r="J1835" s="181"/>
      <c r="K1835" s="178"/>
      <c r="L1835" s="178"/>
      <c r="M1835" s="182"/>
      <c r="N1835" s="183"/>
      <c r="O1835" s="184"/>
      <c r="P1835" s="184"/>
      <c r="Q1835" s="185"/>
      <c r="R1835" s="186"/>
      <c r="S1835" s="186"/>
      <c r="T1835" s="186"/>
      <c r="U1835" s="187"/>
      <c r="V1835" s="176"/>
      <c r="W1835" s="164"/>
      <c r="X1835" s="164"/>
      <c r="Y1835" s="164"/>
      <c r="Z1835" s="164"/>
      <c r="AA1835" s="164"/>
      <c r="AB1835" s="164"/>
      <c r="AC1835" s="164"/>
      <c r="AD1835" s="164"/>
      <c r="AE1835" s="164"/>
      <c r="AF1835" s="164"/>
      <c r="AG1835" s="164"/>
      <c r="AH1835" s="164"/>
      <c r="AI1835" s="164"/>
    </row>
    <row r="1836">
      <c r="A1836" s="176"/>
      <c r="B1836" s="177"/>
      <c r="C1836" s="178"/>
      <c r="D1836" s="178"/>
      <c r="E1836" s="177"/>
      <c r="F1836" s="178"/>
      <c r="G1836" s="176"/>
      <c r="H1836" s="179"/>
      <c r="I1836" s="180"/>
      <c r="J1836" s="181"/>
      <c r="K1836" s="178"/>
      <c r="L1836" s="178"/>
      <c r="M1836" s="182"/>
      <c r="N1836" s="183"/>
      <c r="O1836" s="184"/>
      <c r="P1836" s="184"/>
      <c r="Q1836" s="185"/>
      <c r="R1836" s="186"/>
      <c r="S1836" s="186"/>
      <c r="T1836" s="186"/>
      <c r="U1836" s="187"/>
      <c r="V1836" s="176"/>
      <c r="W1836" s="188"/>
      <c r="X1836" s="188"/>
      <c r="Y1836" s="188"/>
      <c r="Z1836" s="188"/>
      <c r="AA1836" s="188"/>
      <c r="AB1836" s="188"/>
      <c r="AC1836" s="188"/>
      <c r="AD1836" s="188"/>
      <c r="AE1836" s="188"/>
      <c r="AF1836" s="188"/>
      <c r="AG1836" s="188"/>
      <c r="AH1836" s="188"/>
      <c r="AI1836" s="188"/>
    </row>
    <row r="1837">
      <c r="A1837" s="176"/>
      <c r="B1837" s="177"/>
      <c r="C1837" s="178"/>
      <c r="D1837" s="178"/>
      <c r="E1837" s="177"/>
      <c r="F1837" s="178"/>
      <c r="G1837" s="176"/>
      <c r="H1837" s="179"/>
      <c r="I1837" s="180"/>
      <c r="J1837" s="181"/>
      <c r="K1837" s="178"/>
      <c r="L1837" s="178"/>
      <c r="M1837" s="182"/>
      <c r="N1837" s="183"/>
      <c r="O1837" s="184"/>
      <c r="P1837" s="184"/>
      <c r="Q1837" s="185"/>
      <c r="R1837" s="186"/>
      <c r="S1837" s="186"/>
      <c r="T1837" s="186"/>
      <c r="U1837" s="187"/>
      <c r="V1837" s="176"/>
      <c r="W1837" s="175"/>
      <c r="X1837" s="175"/>
      <c r="Y1837" s="175"/>
      <c r="Z1837" s="175"/>
      <c r="AA1837" s="175"/>
      <c r="AB1837" s="175"/>
      <c r="AC1837" s="175"/>
      <c r="AD1837" s="175"/>
      <c r="AE1837" s="175"/>
      <c r="AF1837" s="175"/>
      <c r="AG1837" s="175"/>
      <c r="AH1837" s="175"/>
      <c r="AI1837" s="175"/>
    </row>
    <row r="1838">
      <c r="A1838" s="176"/>
      <c r="B1838" s="177"/>
      <c r="C1838" s="178"/>
      <c r="D1838" s="178"/>
      <c r="E1838" s="177"/>
      <c r="F1838" s="178"/>
      <c r="G1838" s="176"/>
      <c r="H1838" s="179"/>
      <c r="I1838" s="180"/>
      <c r="J1838" s="181"/>
      <c r="K1838" s="178"/>
      <c r="L1838" s="178"/>
      <c r="M1838" s="182"/>
      <c r="N1838" s="183"/>
      <c r="O1838" s="184"/>
      <c r="P1838" s="184"/>
      <c r="Q1838" s="185"/>
      <c r="R1838" s="186"/>
      <c r="S1838" s="186"/>
      <c r="T1838" s="186"/>
      <c r="U1838" s="187"/>
      <c r="V1838" s="176"/>
      <c r="W1838" s="188"/>
      <c r="X1838" s="188"/>
      <c r="Y1838" s="188"/>
      <c r="Z1838" s="188"/>
      <c r="AA1838" s="188"/>
      <c r="AB1838" s="188"/>
      <c r="AC1838" s="188"/>
      <c r="AD1838" s="188"/>
      <c r="AE1838" s="188"/>
      <c r="AF1838" s="188"/>
      <c r="AG1838" s="188"/>
      <c r="AH1838" s="188"/>
      <c r="AI1838" s="188"/>
    </row>
    <row r="1839">
      <c r="A1839" s="176"/>
      <c r="B1839" s="177"/>
      <c r="C1839" s="178"/>
      <c r="D1839" s="178"/>
      <c r="E1839" s="177"/>
      <c r="F1839" s="178"/>
      <c r="G1839" s="176"/>
      <c r="H1839" s="179"/>
      <c r="I1839" s="180"/>
      <c r="J1839" s="181"/>
      <c r="K1839" s="178"/>
      <c r="L1839" s="178"/>
      <c r="M1839" s="182"/>
      <c r="N1839" s="183"/>
      <c r="O1839" s="184"/>
      <c r="P1839" s="184"/>
      <c r="Q1839" s="185"/>
      <c r="R1839" s="186"/>
      <c r="S1839" s="186"/>
      <c r="T1839" s="186"/>
      <c r="U1839" s="187"/>
      <c r="V1839" s="176"/>
      <c r="W1839" s="164"/>
      <c r="X1839" s="164"/>
      <c r="Y1839" s="164"/>
      <c r="Z1839" s="164"/>
      <c r="AA1839" s="164"/>
      <c r="AB1839" s="164"/>
      <c r="AC1839" s="164"/>
      <c r="AD1839" s="164"/>
      <c r="AE1839" s="164"/>
      <c r="AF1839" s="164"/>
      <c r="AG1839" s="164"/>
      <c r="AH1839" s="164"/>
      <c r="AI1839" s="164"/>
    </row>
    <row r="1840">
      <c r="A1840" s="176"/>
      <c r="B1840" s="177"/>
      <c r="C1840" s="178"/>
      <c r="D1840" s="178"/>
      <c r="E1840" s="177"/>
      <c r="F1840" s="178"/>
      <c r="G1840" s="176"/>
      <c r="H1840" s="179"/>
      <c r="I1840" s="180"/>
      <c r="J1840" s="181"/>
      <c r="K1840" s="178"/>
      <c r="L1840" s="178"/>
      <c r="M1840" s="182"/>
      <c r="N1840" s="183"/>
      <c r="O1840" s="184"/>
      <c r="P1840" s="184"/>
      <c r="Q1840" s="185"/>
      <c r="R1840" s="186"/>
      <c r="S1840" s="186"/>
      <c r="T1840" s="186"/>
      <c r="U1840" s="187"/>
      <c r="V1840" s="176"/>
      <c r="W1840" s="175"/>
      <c r="X1840" s="175"/>
      <c r="Y1840" s="175"/>
      <c r="Z1840" s="175"/>
      <c r="AA1840" s="175"/>
      <c r="AB1840" s="175"/>
      <c r="AC1840" s="175"/>
      <c r="AD1840" s="175"/>
      <c r="AE1840" s="175"/>
      <c r="AF1840" s="175"/>
      <c r="AG1840" s="175"/>
      <c r="AH1840" s="175"/>
      <c r="AI1840" s="175"/>
    </row>
    <row r="1841">
      <c r="A1841" s="176"/>
      <c r="B1841" s="177"/>
      <c r="C1841" s="178"/>
      <c r="D1841" s="178"/>
      <c r="E1841" s="177"/>
      <c r="F1841" s="178"/>
      <c r="G1841" s="176"/>
      <c r="H1841" s="179"/>
      <c r="I1841" s="180"/>
      <c r="J1841" s="181"/>
      <c r="K1841" s="178"/>
      <c r="L1841" s="178"/>
      <c r="M1841" s="182"/>
      <c r="N1841" s="183"/>
      <c r="O1841" s="184"/>
      <c r="P1841" s="184"/>
      <c r="Q1841" s="185"/>
      <c r="R1841" s="186"/>
      <c r="S1841" s="186"/>
      <c r="T1841" s="186"/>
      <c r="U1841" s="187"/>
      <c r="V1841" s="176"/>
      <c r="W1841" s="188"/>
      <c r="X1841" s="188"/>
      <c r="Y1841" s="188"/>
      <c r="Z1841" s="188"/>
      <c r="AA1841" s="188"/>
      <c r="AB1841" s="188"/>
      <c r="AC1841" s="188"/>
      <c r="AD1841" s="188"/>
      <c r="AE1841" s="188"/>
      <c r="AF1841" s="188"/>
      <c r="AG1841" s="188"/>
      <c r="AH1841" s="188"/>
      <c r="AI1841" s="188"/>
    </row>
    <row r="1842">
      <c r="A1842" s="176"/>
      <c r="B1842" s="177"/>
      <c r="C1842" s="178"/>
      <c r="D1842" s="178"/>
      <c r="E1842" s="177"/>
      <c r="F1842" s="178"/>
      <c r="G1842" s="176"/>
      <c r="H1842" s="179"/>
      <c r="I1842" s="180"/>
      <c r="J1842" s="181"/>
      <c r="K1842" s="178"/>
      <c r="L1842" s="178"/>
      <c r="M1842" s="182"/>
      <c r="N1842" s="183"/>
      <c r="O1842" s="184"/>
      <c r="P1842" s="184"/>
      <c r="Q1842" s="185"/>
      <c r="R1842" s="186"/>
      <c r="S1842" s="186"/>
      <c r="T1842" s="186"/>
      <c r="U1842" s="187"/>
      <c r="V1842" s="176"/>
      <c r="W1842" s="175"/>
      <c r="X1842" s="175"/>
      <c r="Y1842" s="175"/>
      <c r="Z1842" s="175"/>
      <c r="AA1842" s="175"/>
      <c r="AB1842" s="175"/>
      <c r="AC1842" s="175"/>
      <c r="AD1842" s="175"/>
      <c r="AE1842" s="175"/>
      <c r="AF1842" s="175"/>
      <c r="AG1842" s="175"/>
      <c r="AH1842" s="175"/>
      <c r="AI1842" s="175"/>
    </row>
    <row r="1843">
      <c r="A1843" s="176"/>
      <c r="B1843" s="177"/>
      <c r="C1843" s="178"/>
      <c r="D1843" s="178"/>
      <c r="E1843" s="177"/>
      <c r="F1843" s="178"/>
      <c r="G1843" s="176"/>
      <c r="H1843" s="179"/>
      <c r="I1843" s="180"/>
      <c r="J1843" s="181"/>
      <c r="K1843" s="178"/>
      <c r="L1843" s="178"/>
      <c r="M1843" s="182"/>
      <c r="N1843" s="183"/>
      <c r="O1843" s="184"/>
      <c r="P1843" s="184"/>
      <c r="Q1843" s="185"/>
      <c r="R1843" s="186"/>
      <c r="S1843" s="186"/>
      <c r="T1843" s="186"/>
      <c r="U1843" s="187"/>
      <c r="V1843" s="176"/>
      <c r="W1843" s="175"/>
      <c r="X1843" s="175"/>
      <c r="Y1843" s="175"/>
      <c r="Z1843" s="175"/>
      <c r="AA1843" s="175"/>
      <c r="AB1843" s="175"/>
      <c r="AC1843" s="175"/>
      <c r="AD1843" s="175"/>
      <c r="AE1843" s="175"/>
      <c r="AF1843" s="175"/>
      <c r="AG1843" s="175"/>
      <c r="AH1843" s="175"/>
      <c r="AI1843" s="175"/>
    </row>
    <row r="1844">
      <c r="A1844" s="176"/>
      <c r="B1844" s="177"/>
      <c r="C1844" s="178"/>
      <c r="D1844" s="178"/>
      <c r="E1844" s="177"/>
      <c r="F1844" s="178"/>
      <c r="G1844" s="176"/>
      <c r="H1844" s="179"/>
      <c r="I1844" s="180"/>
      <c r="J1844" s="181"/>
      <c r="K1844" s="178"/>
      <c r="L1844" s="178"/>
      <c r="M1844" s="182"/>
      <c r="N1844" s="183"/>
      <c r="O1844" s="184"/>
      <c r="P1844" s="184"/>
      <c r="Q1844" s="185"/>
      <c r="R1844" s="186"/>
      <c r="S1844" s="186"/>
      <c r="T1844" s="186"/>
      <c r="U1844" s="187"/>
      <c r="V1844" s="176"/>
      <c r="W1844" s="175"/>
      <c r="X1844" s="175"/>
      <c r="Y1844" s="175"/>
      <c r="Z1844" s="175"/>
      <c r="AA1844" s="175"/>
      <c r="AB1844" s="175"/>
      <c r="AC1844" s="175"/>
      <c r="AD1844" s="175"/>
      <c r="AE1844" s="175"/>
      <c r="AF1844" s="175"/>
      <c r="AG1844" s="175"/>
      <c r="AH1844" s="175"/>
      <c r="AI1844" s="175"/>
    </row>
    <row r="1845">
      <c r="A1845" s="176"/>
      <c r="B1845" s="177"/>
      <c r="C1845" s="178"/>
      <c r="D1845" s="178"/>
      <c r="E1845" s="177"/>
      <c r="F1845" s="178"/>
      <c r="G1845" s="176"/>
      <c r="H1845" s="179"/>
      <c r="I1845" s="180"/>
      <c r="J1845" s="181"/>
      <c r="K1845" s="178"/>
      <c r="L1845" s="178"/>
      <c r="M1845" s="182"/>
      <c r="N1845" s="183"/>
      <c r="O1845" s="184"/>
      <c r="P1845" s="184"/>
      <c r="Q1845" s="185"/>
      <c r="R1845" s="186"/>
      <c r="S1845" s="186"/>
      <c r="T1845" s="162"/>
      <c r="U1845" s="163"/>
      <c r="V1845" s="154"/>
      <c r="W1845" s="175"/>
      <c r="X1845" s="175"/>
      <c r="Y1845" s="175"/>
      <c r="Z1845" s="175"/>
      <c r="AA1845" s="175"/>
      <c r="AB1845" s="175"/>
      <c r="AC1845" s="175"/>
      <c r="AD1845" s="175"/>
      <c r="AE1845" s="175"/>
      <c r="AF1845" s="175"/>
      <c r="AG1845" s="175"/>
      <c r="AH1845" s="175"/>
      <c r="AI1845" s="175"/>
    </row>
    <row r="1846">
      <c r="A1846" s="176"/>
      <c r="B1846" s="177"/>
      <c r="C1846" s="178"/>
      <c r="D1846" s="178"/>
      <c r="E1846" s="177"/>
      <c r="F1846" s="178"/>
      <c r="G1846" s="176"/>
      <c r="H1846" s="179"/>
      <c r="I1846" s="180"/>
      <c r="J1846" s="181"/>
      <c r="K1846" s="178"/>
      <c r="L1846" s="178"/>
      <c r="M1846" s="182"/>
      <c r="N1846" s="183"/>
      <c r="O1846" s="184"/>
      <c r="P1846" s="184"/>
      <c r="Q1846" s="185"/>
      <c r="R1846" s="186"/>
      <c r="S1846" s="186"/>
      <c r="T1846" s="186"/>
      <c r="U1846" s="187"/>
      <c r="V1846" s="176"/>
      <c r="W1846" s="188"/>
      <c r="X1846" s="188"/>
      <c r="Y1846" s="188"/>
      <c r="Z1846" s="188"/>
      <c r="AA1846" s="188"/>
      <c r="AB1846" s="188"/>
      <c r="AC1846" s="188"/>
      <c r="AD1846" s="188"/>
      <c r="AE1846" s="188"/>
      <c r="AF1846" s="188"/>
      <c r="AG1846" s="188"/>
      <c r="AH1846" s="188"/>
      <c r="AI1846" s="188"/>
    </row>
    <row r="1847">
      <c r="A1847" s="176"/>
      <c r="B1847" s="177"/>
      <c r="C1847" s="178"/>
      <c r="D1847" s="178"/>
      <c r="E1847" s="177"/>
      <c r="F1847" s="178"/>
      <c r="G1847" s="176"/>
      <c r="H1847" s="179"/>
      <c r="I1847" s="180"/>
      <c r="J1847" s="181"/>
      <c r="K1847" s="178"/>
      <c r="L1847" s="178"/>
      <c r="M1847" s="182"/>
      <c r="N1847" s="183"/>
      <c r="O1847" s="184"/>
      <c r="P1847" s="184"/>
      <c r="Q1847" s="185"/>
      <c r="R1847" s="186"/>
      <c r="S1847" s="186"/>
      <c r="T1847" s="186"/>
      <c r="U1847" s="187"/>
      <c r="V1847" s="176"/>
      <c r="W1847" s="175"/>
      <c r="X1847" s="175"/>
      <c r="Y1847" s="175"/>
      <c r="Z1847" s="175"/>
      <c r="AA1847" s="175"/>
      <c r="AB1847" s="175"/>
      <c r="AC1847" s="175"/>
      <c r="AD1847" s="175"/>
      <c r="AE1847" s="175"/>
      <c r="AF1847" s="175"/>
      <c r="AG1847" s="175"/>
      <c r="AH1847" s="175"/>
      <c r="AI1847" s="175"/>
    </row>
    <row r="1848">
      <c r="A1848" s="176"/>
      <c r="B1848" s="177"/>
      <c r="C1848" s="178"/>
      <c r="D1848" s="178"/>
      <c r="E1848" s="177"/>
      <c r="F1848" s="178"/>
      <c r="G1848" s="176"/>
      <c r="H1848" s="179"/>
      <c r="I1848" s="180"/>
      <c r="J1848" s="181"/>
      <c r="K1848" s="178"/>
      <c r="L1848" s="178"/>
      <c r="M1848" s="182"/>
      <c r="N1848" s="183"/>
      <c r="O1848" s="184"/>
      <c r="P1848" s="184"/>
      <c r="Q1848" s="185"/>
      <c r="R1848" s="186"/>
      <c r="S1848" s="186"/>
      <c r="T1848" s="186"/>
      <c r="U1848" s="187"/>
      <c r="V1848" s="176"/>
      <c r="W1848" s="164"/>
      <c r="X1848" s="164"/>
      <c r="Y1848" s="164"/>
      <c r="Z1848" s="164"/>
      <c r="AA1848" s="164"/>
      <c r="AB1848" s="164"/>
      <c r="AC1848" s="164"/>
      <c r="AD1848" s="164"/>
      <c r="AE1848" s="164"/>
      <c r="AF1848" s="164"/>
      <c r="AG1848" s="164"/>
      <c r="AH1848" s="164"/>
      <c r="AI1848" s="164"/>
    </row>
    <row r="1849">
      <c r="A1849" s="176"/>
      <c r="B1849" s="177"/>
      <c r="C1849" s="178"/>
      <c r="D1849" s="178"/>
      <c r="E1849" s="177"/>
      <c r="F1849" s="178"/>
      <c r="G1849" s="176"/>
      <c r="H1849" s="179"/>
      <c r="I1849" s="180"/>
      <c r="J1849" s="181"/>
      <c r="K1849" s="178"/>
      <c r="L1849" s="178"/>
      <c r="M1849" s="182"/>
      <c r="N1849" s="183"/>
      <c r="O1849" s="184"/>
      <c r="P1849" s="184"/>
      <c r="Q1849" s="185"/>
      <c r="R1849" s="186"/>
      <c r="S1849" s="186"/>
      <c r="T1849" s="186"/>
      <c r="U1849" s="187"/>
      <c r="V1849" s="176"/>
      <c r="W1849" s="188"/>
      <c r="X1849" s="188"/>
      <c r="Y1849" s="188"/>
      <c r="Z1849" s="188"/>
      <c r="AA1849" s="188"/>
      <c r="AB1849" s="188"/>
      <c r="AC1849" s="188"/>
      <c r="AD1849" s="188"/>
      <c r="AE1849" s="188"/>
      <c r="AF1849" s="188"/>
      <c r="AG1849" s="188"/>
      <c r="AH1849" s="188"/>
      <c r="AI1849" s="188"/>
    </row>
    <row r="1850">
      <c r="A1850" s="176"/>
      <c r="B1850" s="177"/>
      <c r="C1850" s="178"/>
      <c r="D1850" s="178"/>
      <c r="E1850" s="177"/>
      <c r="F1850" s="178"/>
      <c r="G1850" s="176"/>
      <c r="H1850" s="179"/>
      <c r="I1850" s="180"/>
      <c r="J1850" s="181"/>
      <c r="K1850" s="178"/>
      <c r="L1850" s="178"/>
      <c r="M1850" s="182"/>
      <c r="N1850" s="183"/>
      <c r="O1850" s="184"/>
      <c r="P1850" s="184"/>
      <c r="Q1850" s="185"/>
      <c r="R1850" s="186"/>
      <c r="S1850" s="186"/>
      <c r="T1850" s="186"/>
      <c r="U1850" s="187"/>
      <c r="V1850" s="176"/>
      <c r="W1850" s="175"/>
      <c r="X1850" s="175"/>
      <c r="Y1850" s="175"/>
      <c r="Z1850" s="175"/>
      <c r="AA1850" s="175"/>
      <c r="AB1850" s="175"/>
      <c r="AC1850" s="175"/>
      <c r="AD1850" s="175"/>
      <c r="AE1850" s="175"/>
      <c r="AF1850" s="175"/>
      <c r="AG1850" s="175"/>
      <c r="AH1850" s="175"/>
      <c r="AI1850" s="175"/>
    </row>
    <row r="1851">
      <c r="A1851" s="176"/>
      <c r="B1851" s="177"/>
      <c r="C1851" s="178"/>
      <c r="D1851" s="178"/>
      <c r="E1851" s="177"/>
      <c r="F1851" s="178"/>
      <c r="G1851" s="176"/>
      <c r="H1851" s="179"/>
      <c r="I1851" s="180"/>
      <c r="J1851" s="181"/>
      <c r="K1851" s="178"/>
      <c r="L1851" s="178"/>
      <c r="M1851" s="182"/>
      <c r="N1851" s="183"/>
      <c r="O1851" s="184"/>
      <c r="P1851" s="184"/>
      <c r="Q1851" s="185"/>
      <c r="R1851" s="186"/>
      <c r="S1851" s="186"/>
      <c r="T1851" s="186"/>
      <c r="U1851" s="187"/>
      <c r="V1851" s="176"/>
      <c r="W1851" s="188"/>
      <c r="X1851" s="188"/>
      <c r="Y1851" s="188"/>
      <c r="Z1851" s="188"/>
      <c r="AA1851" s="188"/>
      <c r="AB1851" s="188"/>
      <c r="AC1851" s="188"/>
      <c r="AD1851" s="188"/>
      <c r="AE1851" s="188"/>
      <c r="AF1851" s="188"/>
      <c r="AG1851" s="188"/>
      <c r="AH1851" s="188"/>
      <c r="AI1851" s="188"/>
    </row>
    <row r="1852">
      <c r="A1852" s="176"/>
      <c r="B1852" s="177"/>
      <c r="C1852" s="178"/>
      <c r="D1852" s="178"/>
      <c r="E1852" s="177"/>
      <c r="F1852" s="178"/>
      <c r="G1852" s="176"/>
      <c r="H1852" s="179"/>
      <c r="I1852" s="180"/>
      <c r="J1852" s="181"/>
      <c r="K1852" s="178"/>
      <c r="L1852" s="178"/>
      <c r="M1852" s="182"/>
      <c r="N1852" s="183"/>
      <c r="O1852" s="184"/>
      <c r="P1852" s="184"/>
      <c r="Q1852" s="185"/>
      <c r="R1852" s="186"/>
      <c r="S1852" s="186"/>
      <c r="T1852" s="186"/>
      <c r="U1852" s="187"/>
      <c r="V1852" s="176"/>
      <c r="W1852" s="175"/>
      <c r="X1852" s="175"/>
      <c r="Y1852" s="175"/>
      <c r="Z1852" s="175"/>
      <c r="AA1852" s="175"/>
      <c r="AB1852" s="175"/>
      <c r="AC1852" s="175"/>
      <c r="AD1852" s="175"/>
      <c r="AE1852" s="175"/>
      <c r="AF1852" s="175"/>
      <c r="AG1852" s="175"/>
      <c r="AH1852" s="175"/>
      <c r="AI1852" s="175"/>
    </row>
    <row r="1853">
      <c r="A1853" s="176"/>
      <c r="B1853" s="177"/>
      <c r="C1853" s="178"/>
      <c r="D1853" s="178"/>
      <c r="E1853" s="177"/>
      <c r="F1853" s="178"/>
      <c r="G1853" s="176"/>
      <c r="H1853" s="179"/>
      <c r="I1853" s="180"/>
      <c r="J1853" s="181"/>
      <c r="K1853" s="178"/>
      <c r="L1853" s="178"/>
      <c r="M1853" s="182"/>
      <c r="N1853" s="183"/>
      <c r="O1853" s="184"/>
      <c r="P1853" s="184"/>
      <c r="Q1853" s="185"/>
      <c r="R1853" s="186"/>
      <c r="S1853" s="186"/>
      <c r="T1853" s="186"/>
      <c r="U1853" s="187"/>
      <c r="V1853" s="176"/>
      <c r="W1853" s="188"/>
      <c r="X1853" s="188"/>
      <c r="Y1853" s="188"/>
      <c r="Z1853" s="188"/>
      <c r="AA1853" s="188"/>
      <c r="AB1853" s="188"/>
      <c r="AC1853" s="188"/>
      <c r="AD1853" s="188"/>
      <c r="AE1853" s="188"/>
      <c r="AF1853" s="188"/>
      <c r="AG1853" s="188"/>
      <c r="AH1853" s="188"/>
      <c r="AI1853" s="188"/>
    </row>
    <row r="1854">
      <c r="A1854" s="176"/>
      <c r="B1854" s="177"/>
      <c r="C1854" s="178"/>
      <c r="D1854" s="178"/>
      <c r="E1854" s="177"/>
      <c r="F1854" s="178"/>
      <c r="G1854" s="176"/>
      <c r="H1854" s="179"/>
      <c r="I1854" s="180"/>
      <c r="J1854" s="181"/>
      <c r="K1854" s="178"/>
      <c r="L1854" s="178"/>
      <c r="M1854" s="182"/>
      <c r="N1854" s="183"/>
      <c r="O1854" s="184"/>
      <c r="P1854" s="184"/>
      <c r="Q1854" s="185"/>
      <c r="R1854" s="186"/>
      <c r="S1854" s="186"/>
      <c r="T1854" s="186"/>
      <c r="U1854" s="187"/>
      <c r="V1854" s="176"/>
      <c r="W1854" s="164"/>
      <c r="X1854" s="164"/>
      <c r="Y1854" s="164"/>
      <c r="Z1854" s="164"/>
      <c r="AA1854" s="164"/>
      <c r="AB1854" s="164"/>
      <c r="AC1854" s="164"/>
      <c r="AD1854" s="164"/>
      <c r="AE1854" s="164"/>
      <c r="AF1854" s="164"/>
      <c r="AG1854" s="164"/>
      <c r="AH1854" s="164"/>
      <c r="AI1854" s="164"/>
    </row>
    <row r="1855">
      <c r="A1855" s="176"/>
      <c r="B1855" s="177"/>
      <c r="C1855" s="178"/>
      <c r="D1855" s="178"/>
      <c r="E1855" s="177"/>
      <c r="F1855" s="178"/>
      <c r="G1855" s="176"/>
      <c r="H1855" s="179"/>
      <c r="I1855" s="180"/>
      <c r="J1855" s="181"/>
      <c r="K1855" s="178"/>
      <c r="L1855" s="178"/>
      <c r="M1855" s="182"/>
      <c r="N1855" s="183"/>
      <c r="O1855" s="184"/>
      <c r="P1855" s="184"/>
      <c r="Q1855" s="185"/>
      <c r="R1855" s="186"/>
      <c r="S1855" s="186"/>
      <c r="T1855" s="186"/>
      <c r="U1855" s="187"/>
      <c r="V1855" s="176"/>
      <c r="W1855" s="175"/>
      <c r="X1855" s="175"/>
      <c r="Y1855" s="175"/>
      <c r="Z1855" s="175"/>
      <c r="AA1855" s="175"/>
      <c r="AB1855" s="175"/>
      <c r="AC1855" s="175"/>
      <c r="AD1855" s="175"/>
      <c r="AE1855" s="175"/>
      <c r="AF1855" s="175"/>
      <c r="AG1855" s="175"/>
      <c r="AH1855" s="175"/>
      <c r="AI1855" s="175"/>
    </row>
    <row r="1856">
      <c r="A1856" s="176"/>
      <c r="B1856" s="177"/>
      <c r="C1856" s="178"/>
      <c r="D1856" s="178"/>
      <c r="E1856" s="177"/>
      <c r="F1856" s="178"/>
      <c r="G1856" s="176"/>
      <c r="H1856" s="179"/>
      <c r="I1856" s="180"/>
      <c r="J1856" s="181"/>
      <c r="K1856" s="178"/>
      <c r="L1856" s="178"/>
      <c r="M1856" s="182"/>
      <c r="N1856" s="183"/>
      <c r="O1856" s="184"/>
      <c r="P1856" s="184"/>
      <c r="Q1856" s="185"/>
      <c r="R1856" s="186"/>
      <c r="S1856" s="186"/>
      <c r="T1856" s="186"/>
      <c r="U1856" s="187"/>
      <c r="V1856" s="176"/>
      <c r="W1856" s="175"/>
      <c r="X1856" s="175"/>
      <c r="Y1856" s="175"/>
      <c r="Z1856" s="175"/>
      <c r="AA1856" s="175"/>
      <c r="AB1856" s="175"/>
      <c r="AC1856" s="175"/>
      <c r="AD1856" s="175"/>
      <c r="AE1856" s="175"/>
      <c r="AF1856" s="175"/>
      <c r="AG1856" s="175"/>
      <c r="AH1856" s="175"/>
      <c r="AI1856" s="175"/>
    </row>
    <row r="1857">
      <c r="A1857" s="176"/>
      <c r="B1857" s="177"/>
      <c r="C1857" s="178"/>
      <c r="D1857" s="178"/>
      <c r="E1857" s="177"/>
      <c r="F1857" s="178"/>
      <c r="G1857" s="176"/>
      <c r="H1857" s="179"/>
      <c r="I1857" s="180"/>
      <c r="J1857" s="181"/>
      <c r="K1857" s="178"/>
      <c r="L1857" s="178"/>
      <c r="M1857" s="182"/>
      <c r="N1857" s="183"/>
      <c r="O1857" s="184"/>
      <c r="P1857" s="184"/>
      <c r="Q1857" s="185"/>
      <c r="R1857" s="186"/>
      <c r="S1857" s="186"/>
      <c r="T1857" s="186"/>
      <c r="U1857" s="187"/>
      <c r="V1857" s="176"/>
      <c r="W1857" s="175"/>
      <c r="X1857" s="175"/>
      <c r="Y1857" s="175"/>
      <c r="Z1857" s="175"/>
      <c r="AA1857" s="175"/>
      <c r="AB1857" s="175"/>
      <c r="AC1857" s="175"/>
      <c r="AD1857" s="175"/>
      <c r="AE1857" s="175"/>
      <c r="AF1857" s="175"/>
      <c r="AG1857" s="175"/>
      <c r="AH1857" s="175"/>
      <c r="AI1857" s="175"/>
    </row>
    <row r="1858">
      <c r="A1858" s="176"/>
      <c r="B1858" s="177"/>
      <c r="C1858" s="178"/>
      <c r="D1858" s="178"/>
      <c r="E1858" s="177"/>
      <c r="F1858" s="178"/>
      <c r="G1858" s="176"/>
      <c r="H1858" s="179"/>
      <c r="I1858" s="180"/>
      <c r="J1858" s="181"/>
      <c r="K1858" s="178"/>
      <c r="L1858" s="178"/>
      <c r="M1858" s="182"/>
      <c r="N1858" s="183"/>
      <c r="O1858" s="184"/>
      <c r="P1858" s="184"/>
      <c r="Q1858" s="185"/>
      <c r="R1858" s="186"/>
      <c r="S1858" s="186"/>
      <c r="T1858" s="186"/>
      <c r="U1858" s="187"/>
      <c r="V1858" s="176"/>
      <c r="W1858" s="188"/>
      <c r="X1858" s="188"/>
      <c r="Y1858" s="188"/>
      <c r="Z1858" s="188"/>
      <c r="AA1858" s="188"/>
      <c r="AB1858" s="188"/>
      <c r="AC1858" s="188"/>
      <c r="AD1858" s="188"/>
      <c r="AE1858" s="188"/>
      <c r="AF1858" s="188"/>
      <c r="AG1858" s="188"/>
      <c r="AH1858" s="188"/>
      <c r="AI1858" s="188"/>
    </row>
    <row r="1859">
      <c r="A1859" s="176"/>
      <c r="B1859" s="177"/>
      <c r="C1859" s="178"/>
      <c r="D1859" s="178"/>
      <c r="E1859" s="177"/>
      <c r="F1859" s="178"/>
      <c r="G1859" s="176"/>
      <c r="H1859" s="179"/>
      <c r="I1859" s="180"/>
      <c r="J1859" s="181"/>
      <c r="K1859" s="178"/>
      <c r="L1859" s="178"/>
      <c r="M1859" s="182"/>
      <c r="N1859" s="183"/>
      <c r="O1859" s="184"/>
      <c r="P1859" s="184"/>
      <c r="Q1859" s="185"/>
      <c r="R1859" s="186"/>
      <c r="S1859" s="186"/>
      <c r="T1859" s="186"/>
      <c r="U1859" s="187"/>
      <c r="V1859" s="176"/>
      <c r="W1859" s="175"/>
      <c r="X1859" s="175"/>
      <c r="Y1859" s="175"/>
      <c r="Z1859" s="175"/>
      <c r="AA1859" s="175"/>
      <c r="AB1859" s="175"/>
      <c r="AC1859" s="175"/>
      <c r="AD1859" s="175"/>
      <c r="AE1859" s="175"/>
      <c r="AF1859" s="175"/>
      <c r="AG1859" s="175"/>
      <c r="AH1859" s="175"/>
      <c r="AI1859" s="175"/>
    </row>
    <row r="1860">
      <c r="A1860" s="176"/>
      <c r="B1860" s="177"/>
      <c r="C1860" s="178"/>
      <c r="D1860" s="178"/>
      <c r="E1860" s="177"/>
      <c r="F1860" s="178"/>
      <c r="G1860" s="176"/>
      <c r="H1860" s="179"/>
      <c r="I1860" s="180"/>
      <c r="J1860" s="181"/>
      <c r="K1860" s="178"/>
      <c r="L1860" s="178"/>
      <c r="M1860" s="182"/>
      <c r="N1860" s="183"/>
      <c r="O1860" s="184"/>
      <c r="P1860" s="184"/>
      <c r="Q1860" s="185"/>
      <c r="R1860" s="186"/>
      <c r="S1860" s="186"/>
      <c r="T1860" s="186"/>
      <c r="U1860" s="187"/>
      <c r="V1860" s="176"/>
      <c r="W1860" s="175"/>
      <c r="X1860" s="175"/>
      <c r="Y1860" s="175"/>
      <c r="Z1860" s="175"/>
      <c r="AA1860" s="175"/>
      <c r="AB1860" s="175"/>
      <c r="AC1860" s="175"/>
      <c r="AD1860" s="175"/>
      <c r="AE1860" s="175"/>
      <c r="AF1860" s="175"/>
      <c r="AG1860" s="175"/>
      <c r="AH1860" s="175"/>
      <c r="AI1860" s="175"/>
    </row>
    <row r="1861">
      <c r="A1861" s="176"/>
      <c r="B1861" s="177"/>
      <c r="C1861" s="178"/>
      <c r="D1861" s="178"/>
      <c r="E1861" s="177"/>
      <c r="F1861" s="178"/>
      <c r="G1861" s="176"/>
      <c r="H1861" s="179"/>
      <c r="I1861" s="180"/>
      <c r="J1861" s="181"/>
      <c r="K1861" s="178"/>
      <c r="L1861" s="178"/>
      <c r="M1861" s="182"/>
      <c r="N1861" s="183"/>
      <c r="O1861" s="184"/>
      <c r="P1861" s="184"/>
      <c r="Q1861" s="185"/>
      <c r="R1861" s="186"/>
      <c r="S1861" s="186"/>
      <c r="T1861" s="186"/>
      <c r="U1861" s="187"/>
      <c r="V1861" s="176"/>
      <c r="W1861" s="188"/>
      <c r="X1861" s="188"/>
      <c r="Y1861" s="188"/>
      <c r="Z1861" s="188"/>
      <c r="AA1861" s="188"/>
      <c r="AB1861" s="188"/>
      <c r="AC1861" s="188"/>
      <c r="AD1861" s="188"/>
      <c r="AE1861" s="188"/>
      <c r="AF1861" s="188"/>
      <c r="AG1861" s="188"/>
      <c r="AH1861" s="188"/>
      <c r="AI1861" s="188"/>
    </row>
    <row r="1862">
      <c r="A1862" s="176"/>
      <c r="B1862" s="177"/>
      <c r="C1862" s="178"/>
      <c r="D1862" s="178"/>
      <c r="E1862" s="177"/>
      <c r="F1862" s="178"/>
      <c r="G1862" s="176"/>
      <c r="H1862" s="179"/>
      <c r="I1862" s="180"/>
      <c r="J1862" s="181"/>
      <c r="K1862" s="178"/>
      <c r="L1862" s="178"/>
      <c r="M1862" s="182"/>
      <c r="N1862" s="183"/>
      <c r="O1862" s="184"/>
      <c r="P1862" s="184"/>
      <c r="Q1862" s="185"/>
      <c r="R1862" s="186"/>
      <c r="S1862" s="186"/>
      <c r="T1862" s="186"/>
      <c r="U1862" s="187"/>
      <c r="V1862" s="176"/>
      <c r="W1862" s="175"/>
      <c r="X1862" s="175"/>
      <c r="Y1862" s="175"/>
      <c r="Z1862" s="175"/>
      <c r="AA1862" s="175"/>
      <c r="AB1862" s="175"/>
      <c r="AC1862" s="175"/>
      <c r="AD1862" s="175"/>
      <c r="AE1862" s="175"/>
      <c r="AF1862" s="175"/>
      <c r="AG1862" s="175"/>
      <c r="AH1862" s="175"/>
      <c r="AI1862" s="175"/>
    </row>
    <row r="1863">
      <c r="A1863" s="176"/>
      <c r="B1863" s="177"/>
      <c r="C1863" s="178"/>
      <c r="D1863" s="178"/>
      <c r="E1863" s="177"/>
      <c r="F1863" s="178"/>
      <c r="G1863" s="176"/>
      <c r="H1863" s="179"/>
      <c r="I1863" s="180"/>
      <c r="J1863" s="181"/>
      <c r="K1863" s="178"/>
      <c r="L1863" s="178"/>
      <c r="M1863" s="182"/>
      <c r="N1863" s="183"/>
      <c r="O1863" s="184"/>
      <c r="P1863" s="184"/>
      <c r="Q1863" s="185"/>
      <c r="R1863" s="186"/>
      <c r="S1863" s="186"/>
      <c r="T1863" s="186"/>
      <c r="U1863" s="187"/>
      <c r="V1863" s="176"/>
      <c r="W1863" s="175"/>
      <c r="X1863" s="175"/>
      <c r="Y1863" s="175"/>
      <c r="Z1863" s="175"/>
      <c r="AA1863" s="175"/>
      <c r="AB1863" s="175"/>
      <c r="AC1863" s="175"/>
      <c r="AD1863" s="175"/>
      <c r="AE1863" s="175"/>
      <c r="AF1863" s="175"/>
      <c r="AG1863" s="175"/>
      <c r="AH1863" s="175"/>
      <c r="AI1863" s="175"/>
    </row>
    <row r="1864">
      <c r="A1864" s="176"/>
      <c r="B1864" s="177"/>
      <c r="C1864" s="178"/>
      <c r="D1864" s="178"/>
      <c r="E1864" s="177"/>
      <c r="F1864" s="178"/>
      <c r="G1864" s="176"/>
      <c r="H1864" s="179"/>
      <c r="I1864" s="180"/>
      <c r="J1864" s="181"/>
      <c r="K1864" s="178"/>
      <c r="L1864" s="178"/>
      <c r="M1864" s="182"/>
      <c r="N1864" s="183"/>
      <c r="O1864" s="184"/>
      <c r="P1864" s="184"/>
      <c r="Q1864" s="185"/>
      <c r="R1864" s="186"/>
      <c r="S1864" s="186"/>
      <c r="T1864" s="186"/>
      <c r="U1864" s="187"/>
      <c r="V1864" s="176"/>
      <c r="W1864" s="175"/>
      <c r="X1864" s="175"/>
      <c r="Y1864" s="175"/>
      <c r="Z1864" s="175"/>
      <c r="AA1864" s="175"/>
      <c r="AB1864" s="175"/>
      <c r="AC1864" s="175"/>
      <c r="AD1864" s="175"/>
      <c r="AE1864" s="175"/>
      <c r="AF1864" s="175"/>
      <c r="AG1864" s="175"/>
      <c r="AH1864" s="175"/>
      <c r="AI1864" s="175"/>
    </row>
    <row r="1865">
      <c r="A1865" s="176"/>
      <c r="B1865" s="177"/>
      <c r="C1865" s="178"/>
      <c r="D1865" s="178"/>
      <c r="E1865" s="177"/>
      <c r="F1865" s="178"/>
      <c r="G1865" s="176"/>
      <c r="H1865" s="179"/>
      <c r="I1865" s="180"/>
      <c r="J1865" s="181"/>
      <c r="K1865" s="178"/>
      <c r="L1865" s="178"/>
      <c r="M1865" s="182"/>
      <c r="N1865" s="183"/>
      <c r="O1865" s="184"/>
      <c r="P1865" s="184"/>
      <c r="Q1865" s="185"/>
      <c r="R1865" s="186"/>
      <c r="S1865" s="186"/>
      <c r="T1865" s="186"/>
      <c r="U1865" s="187"/>
      <c r="V1865" s="176"/>
      <c r="W1865" s="164"/>
      <c r="X1865" s="164"/>
      <c r="Y1865" s="164"/>
      <c r="Z1865" s="164"/>
      <c r="AA1865" s="164"/>
      <c r="AB1865" s="164"/>
      <c r="AC1865" s="164"/>
      <c r="AD1865" s="164"/>
      <c r="AE1865" s="164"/>
      <c r="AF1865" s="164"/>
      <c r="AG1865" s="164"/>
      <c r="AH1865" s="164"/>
      <c r="AI1865" s="164"/>
    </row>
    <row r="1866">
      <c r="A1866" s="176"/>
      <c r="B1866" s="177"/>
      <c r="C1866" s="178"/>
      <c r="D1866" s="178"/>
      <c r="E1866" s="177"/>
      <c r="F1866" s="178"/>
      <c r="G1866" s="176"/>
      <c r="H1866" s="179"/>
      <c r="I1866" s="180"/>
      <c r="J1866" s="181"/>
      <c r="K1866" s="178"/>
      <c r="L1866" s="178"/>
      <c r="M1866" s="182"/>
      <c r="N1866" s="183"/>
      <c r="O1866" s="184"/>
      <c r="P1866" s="184"/>
      <c r="Q1866" s="185"/>
      <c r="R1866" s="186"/>
      <c r="S1866" s="186"/>
      <c r="T1866" s="186"/>
      <c r="U1866" s="187"/>
      <c r="V1866" s="176"/>
      <c r="W1866" s="164"/>
      <c r="X1866" s="164"/>
      <c r="Y1866" s="164"/>
      <c r="Z1866" s="164"/>
      <c r="AA1866" s="164"/>
      <c r="AB1866" s="164"/>
      <c r="AC1866" s="164"/>
      <c r="AD1866" s="164"/>
      <c r="AE1866" s="164"/>
      <c r="AF1866" s="164"/>
      <c r="AG1866" s="164"/>
      <c r="AH1866" s="164"/>
      <c r="AI1866" s="164"/>
    </row>
    <row r="1867">
      <c r="A1867" s="176"/>
      <c r="B1867" s="177"/>
      <c r="C1867" s="178"/>
      <c r="D1867" s="178"/>
      <c r="E1867" s="177"/>
      <c r="F1867" s="178"/>
      <c r="G1867" s="176"/>
      <c r="H1867" s="179"/>
      <c r="I1867" s="180"/>
      <c r="J1867" s="181"/>
      <c r="K1867" s="178"/>
      <c r="L1867" s="178"/>
      <c r="M1867" s="182"/>
      <c r="N1867" s="183"/>
      <c r="O1867" s="184"/>
      <c r="P1867" s="184"/>
      <c r="Q1867" s="185"/>
      <c r="R1867" s="186"/>
      <c r="S1867" s="186"/>
      <c r="T1867" s="186"/>
      <c r="U1867" s="187"/>
      <c r="V1867" s="176"/>
      <c r="W1867" s="164"/>
      <c r="X1867" s="164"/>
      <c r="Y1867" s="164"/>
      <c r="Z1867" s="164"/>
      <c r="AA1867" s="164"/>
      <c r="AB1867" s="164"/>
      <c r="AC1867" s="164"/>
      <c r="AD1867" s="164"/>
      <c r="AE1867" s="164"/>
      <c r="AF1867" s="164"/>
      <c r="AG1867" s="164"/>
      <c r="AH1867" s="164"/>
      <c r="AI1867" s="164"/>
    </row>
    <row r="1868">
      <c r="A1868" s="176"/>
      <c r="B1868" s="177"/>
      <c r="C1868" s="178"/>
      <c r="D1868" s="178"/>
      <c r="E1868" s="177"/>
      <c r="F1868" s="178"/>
      <c r="G1868" s="176"/>
      <c r="H1868" s="179"/>
      <c r="I1868" s="180"/>
      <c r="J1868" s="181"/>
      <c r="K1868" s="178"/>
      <c r="L1868" s="178"/>
      <c r="M1868" s="182"/>
      <c r="N1868" s="183"/>
      <c r="O1868" s="184"/>
      <c r="P1868" s="184"/>
      <c r="Q1868" s="185"/>
      <c r="R1868" s="186"/>
      <c r="S1868" s="186"/>
      <c r="T1868" s="186"/>
      <c r="U1868" s="187"/>
      <c r="V1868" s="176"/>
      <c r="W1868" s="175"/>
      <c r="X1868" s="175"/>
      <c r="Y1868" s="175"/>
      <c r="Z1868" s="175"/>
      <c r="AA1868" s="175"/>
      <c r="AB1868" s="175"/>
      <c r="AC1868" s="175"/>
      <c r="AD1868" s="175"/>
      <c r="AE1868" s="175"/>
      <c r="AF1868" s="175"/>
      <c r="AG1868" s="175"/>
      <c r="AH1868" s="175"/>
      <c r="AI1868" s="175"/>
    </row>
    <row r="1869">
      <c r="A1869" s="176"/>
      <c r="B1869" s="177"/>
      <c r="C1869" s="178"/>
      <c r="D1869" s="178"/>
      <c r="E1869" s="177"/>
      <c r="F1869" s="178"/>
      <c r="G1869" s="176"/>
      <c r="H1869" s="179"/>
      <c r="I1869" s="180"/>
      <c r="J1869" s="181"/>
      <c r="K1869" s="178"/>
      <c r="L1869" s="178"/>
      <c r="M1869" s="182"/>
      <c r="N1869" s="183"/>
      <c r="O1869" s="184"/>
      <c r="P1869" s="184"/>
      <c r="Q1869" s="185"/>
      <c r="R1869" s="186"/>
      <c r="S1869" s="186"/>
      <c r="T1869" s="186"/>
      <c r="U1869" s="187"/>
      <c r="V1869" s="176"/>
      <c r="W1869" s="175"/>
      <c r="X1869" s="175"/>
      <c r="Y1869" s="175"/>
      <c r="Z1869" s="175"/>
      <c r="AA1869" s="175"/>
      <c r="AB1869" s="175"/>
      <c r="AC1869" s="175"/>
      <c r="AD1869" s="175"/>
      <c r="AE1869" s="175"/>
      <c r="AF1869" s="175"/>
      <c r="AG1869" s="175"/>
      <c r="AH1869" s="175"/>
      <c r="AI1869" s="175"/>
    </row>
    <row r="1870">
      <c r="A1870" s="176"/>
      <c r="B1870" s="177"/>
      <c r="C1870" s="178"/>
      <c r="D1870" s="178"/>
      <c r="E1870" s="177"/>
      <c r="F1870" s="178"/>
      <c r="G1870" s="176"/>
      <c r="H1870" s="179"/>
      <c r="I1870" s="180"/>
      <c r="J1870" s="181"/>
      <c r="K1870" s="178"/>
      <c r="L1870" s="178"/>
      <c r="M1870" s="182"/>
      <c r="N1870" s="183"/>
      <c r="O1870" s="184"/>
      <c r="P1870" s="184"/>
      <c r="Q1870" s="185"/>
      <c r="R1870" s="186"/>
      <c r="S1870" s="186"/>
      <c r="T1870" s="186"/>
      <c r="U1870" s="187"/>
      <c r="V1870" s="176"/>
      <c r="W1870" s="175"/>
      <c r="X1870" s="175"/>
      <c r="Y1870" s="175"/>
      <c r="Z1870" s="175"/>
      <c r="AA1870" s="175"/>
      <c r="AB1870" s="175"/>
      <c r="AC1870" s="175"/>
      <c r="AD1870" s="175"/>
      <c r="AE1870" s="175"/>
      <c r="AF1870" s="175"/>
      <c r="AG1870" s="175"/>
      <c r="AH1870" s="175"/>
      <c r="AI1870" s="175"/>
    </row>
    <row r="1871">
      <c r="A1871" s="176"/>
      <c r="B1871" s="177"/>
      <c r="C1871" s="178"/>
      <c r="D1871" s="178"/>
      <c r="E1871" s="177"/>
      <c r="F1871" s="178"/>
      <c r="G1871" s="176"/>
      <c r="H1871" s="179"/>
      <c r="I1871" s="180"/>
      <c r="J1871" s="181"/>
      <c r="K1871" s="178"/>
      <c r="L1871" s="178"/>
      <c r="M1871" s="182"/>
      <c r="N1871" s="183"/>
      <c r="O1871" s="184"/>
      <c r="P1871" s="184"/>
      <c r="Q1871" s="185"/>
      <c r="R1871" s="186"/>
      <c r="S1871" s="186"/>
      <c r="T1871" s="186"/>
      <c r="U1871" s="187"/>
      <c r="V1871" s="176"/>
      <c r="W1871" s="188"/>
      <c r="X1871" s="188"/>
      <c r="Y1871" s="188"/>
      <c r="Z1871" s="188"/>
      <c r="AA1871" s="188"/>
      <c r="AB1871" s="188"/>
      <c r="AC1871" s="188"/>
      <c r="AD1871" s="188"/>
      <c r="AE1871" s="188"/>
      <c r="AF1871" s="188"/>
      <c r="AG1871" s="188"/>
      <c r="AH1871" s="188"/>
      <c r="AI1871" s="188"/>
    </row>
    <row r="1872">
      <c r="A1872" s="176"/>
      <c r="B1872" s="177"/>
      <c r="C1872" s="178"/>
      <c r="D1872" s="178"/>
      <c r="E1872" s="177"/>
      <c r="F1872" s="178"/>
      <c r="G1872" s="176"/>
      <c r="H1872" s="179"/>
      <c r="I1872" s="180"/>
      <c r="J1872" s="181"/>
      <c r="K1872" s="178"/>
      <c r="L1872" s="178"/>
      <c r="M1872" s="182"/>
      <c r="N1872" s="183"/>
      <c r="O1872" s="184"/>
      <c r="P1872" s="184"/>
      <c r="Q1872" s="185"/>
      <c r="R1872" s="186"/>
      <c r="S1872" s="186"/>
      <c r="T1872" s="186"/>
      <c r="U1872" s="187"/>
      <c r="V1872" s="176"/>
      <c r="W1872" s="175"/>
      <c r="X1872" s="175"/>
      <c r="Y1872" s="175"/>
      <c r="Z1872" s="175"/>
      <c r="AA1872" s="175"/>
      <c r="AB1872" s="175"/>
      <c r="AC1872" s="175"/>
      <c r="AD1872" s="175"/>
      <c r="AE1872" s="175"/>
      <c r="AF1872" s="175"/>
      <c r="AG1872" s="175"/>
      <c r="AH1872" s="175"/>
      <c r="AI1872" s="175"/>
    </row>
    <row r="1873">
      <c r="A1873" s="176"/>
      <c r="B1873" s="177"/>
      <c r="C1873" s="178"/>
      <c r="D1873" s="178"/>
      <c r="E1873" s="177"/>
      <c r="F1873" s="178"/>
      <c r="G1873" s="176"/>
      <c r="H1873" s="179"/>
      <c r="I1873" s="180"/>
      <c r="J1873" s="181"/>
      <c r="K1873" s="178"/>
      <c r="L1873" s="178"/>
      <c r="M1873" s="182"/>
      <c r="N1873" s="183"/>
      <c r="O1873" s="184"/>
      <c r="P1873" s="184"/>
      <c r="Q1873" s="185"/>
      <c r="R1873" s="186"/>
      <c r="S1873" s="186"/>
      <c r="T1873" s="186"/>
      <c r="U1873" s="187"/>
      <c r="V1873" s="176"/>
      <c r="W1873" s="175"/>
      <c r="X1873" s="175"/>
      <c r="Y1873" s="175"/>
      <c r="Z1873" s="175"/>
      <c r="AA1873" s="175"/>
      <c r="AB1873" s="175"/>
      <c r="AC1873" s="175"/>
      <c r="AD1873" s="175"/>
      <c r="AE1873" s="175"/>
      <c r="AF1873" s="175"/>
      <c r="AG1873" s="175"/>
      <c r="AH1873" s="175"/>
      <c r="AI1873" s="175"/>
    </row>
    <row r="1874">
      <c r="A1874" s="176"/>
      <c r="B1874" s="177"/>
      <c r="C1874" s="178"/>
      <c r="D1874" s="178"/>
      <c r="E1874" s="177"/>
      <c r="F1874" s="178"/>
      <c r="G1874" s="176"/>
      <c r="H1874" s="179"/>
      <c r="I1874" s="180"/>
      <c r="J1874" s="181"/>
      <c r="K1874" s="178"/>
      <c r="L1874" s="178"/>
      <c r="M1874" s="182"/>
      <c r="N1874" s="183"/>
      <c r="O1874" s="184"/>
      <c r="P1874" s="184"/>
      <c r="Q1874" s="185"/>
      <c r="R1874" s="186"/>
      <c r="S1874" s="186"/>
      <c r="T1874" s="186"/>
      <c r="U1874" s="187"/>
      <c r="V1874" s="176"/>
      <c r="W1874" s="175"/>
      <c r="X1874" s="175"/>
      <c r="Y1874" s="175"/>
      <c r="Z1874" s="175"/>
      <c r="AA1874" s="175"/>
      <c r="AB1874" s="175"/>
      <c r="AC1874" s="175"/>
      <c r="AD1874" s="175"/>
      <c r="AE1874" s="175"/>
      <c r="AF1874" s="175"/>
      <c r="AG1874" s="175"/>
      <c r="AH1874" s="175"/>
      <c r="AI1874" s="175"/>
    </row>
    <row r="1875">
      <c r="A1875" s="176"/>
      <c r="B1875" s="177"/>
      <c r="C1875" s="178"/>
      <c r="D1875" s="178"/>
      <c r="E1875" s="177"/>
      <c r="F1875" s="178"/>
      <c r="G1875" s="176"/>
      <c r="H1875" s="179"/>
      <c r="I1875" s="180"/>
      <c r="J1875" s="181"/>
      <c r="K1875" s="178"/>
      <c r="L1875" s="178"/>
      <c r="M1875" s="182"/>
      <c r="N1875" s="183"/>
      <c r="O1875" s="184"/>
      <c r="P1875" s="184"/>
      <c r="Q1875" s="185"/>
      <c r="R1875" s="186"/>
      <c r="S1875" s="186"/>
      <c r="T1875" s="186"/>
      <c r="U1875" s="187"/>
      <c r="V1875" s="176"/>
      <c r="W1875" s="175"/>
      <c r="X1875" s="175"/>
      <c r="Y1875" s="175"/>
      <c r="Z1875" s="175"/>
      <c r="AA1875" s="175"/>
      <c r="AB1875" s="175"/>
      <c r="AC1875" s="175"/>
      <c r="AD1875" s="175"/>
      <c r="AE1875" s="175"/>
      <c r="AF1875" s="175"/>
      <c r="AG1875" s="175"/>
      <c r="AH1875" s="175"/>
      <c r="AI1875" s="175"/>
    </row>
    <row r="1876">
      <c r="A1876" s="176"/>
      <c r="B1876" s="177"/>
      <c r="C1876" s="178"/>
      <c r="D1876" s="178"/>
      <c r="E1876" s="177"/>
      <c r="F1876" s="178"/>
      <c r="G1876" s="176"/>
      <c r="H1876" s="179"/>
      <c r="I1876" s="180"/>
      <c r="J1876" s="181"/>
      <c r="K1876" s="178"/>
      <c r="L1876" s="178"/>
      <c r="M1876" s="182"/>
      <c r="N1876" s="183"/>
      <c r="O1876" s="184"/>
      <c r="P1876" s="184"/>
      <c r="Q1876" s="185"/>
      <c r="R1876" s="186"/>
      <c r="S1876" s="186"/>
      <c r="T1876" s="186"/>
      <c r="U1876" s="187"/>
      <c r="V1876" s="176"/>
      <c r="W1876" s="164"/>
      <c r="X1876" s="164"/>
      <c r="Y1876" s="164"/>
      <c r="Z1876" s="164"/>
      <c r="AA1876" s="164"/>
      <c r="AB1876" s="164"/>
      <c r="AC1876" s="164"/>
      <c r="AD1876" s="164"/>
      <c r="AE1876" s="164"/>
      <c r="AF1876" s="164"/>
      <c r="AG1876" s="164"/>
      <c r="AH1876" s="164"/>
      <c r="AI1876" s="164"/>
    </row>
    <row r="1877">
      <c r="A1877" s="176"/>
      <c r="B1877" s="177"/>
      <c r="C1877" s="178"/>
      <c r="D1877" s="178"/>
      <c r="E1877" s="177"/>
      <c r="F1877" s="178"/>
      <c r="G1877" s="176"/>
      <c r="H1877" s="179"/>
      <c r="I1877" s="180"/>
      <c r="J1877" s="181"/>
      <c r="K1877" s="178"/>
      <c r="L1877" s="178"/>
      <c r="M1877" s="182"/>
      <c r="N1877" s="183"/>
      <c r="O1877" s="184"/>
      <c r="P1877" s="184"/>
      <c r="Q1877" s="185"/>
      <c r="R1877" s="186"/>
      <c r="S1877" s="186"/>
      <c r="T1877" s="186"/>
      <c r="U1877" s="187"/>
      <c r="V1877" s="176"/>
      <c r="W1877" s="175"/>
      <c r="X1877" s="175"/>
      <c r="Y1877" s="175"/>
      <c r="Z1877" s="175"/>
      <c r="AA1877" s="175"/>
      <c r="AB1877" s="175"/>
      <c r="AC1877" s="175"/>
      <c r="AD1877" s="175"/>
      <c r="AE1877" s="175"/>
      <c r="AF1877" s="175"/>
      <c r="AG1877" s="175"/>
      <c r="AH1877" s="175"/>
      <c r="AI1877" s="175"/>
    </row>
    <row r="1878">
      <c r="A1878" s="176"/>
      <c r="B1878" s="177"/>
      <c r="C1878" s="178"/>
      <c r="D1878" s="178"/>
      <c r="E1878" s="177"/>
      <c r="F1878" s="178"/>
      <c r="G1878" s="176"/>
      <c r="H1878" s="179"/>
      <c r="I1878" s="180"/>
      <c r="J1878" s="181"/>
      <c r="K1878" s="178"/>
      <c r="L1878" s="178"/>
      <c r="M1878" s="182"/>
      <c r="N1878" s="183"/>
      <c r="O1878" s="184"/>
      <c r="P1878" s="184"/>
      <c r="Q1878" s="185"/>
      <c r="R1878" s="186"/>
      <c r="S1878" s="186"/>
      <c r="T1878" s="186"/>
      <c r="U1878" s="187"/>
      <c r="V1878" s="176"/>
      <c r="W1878" s="175"/>
      <c r="X1878" s="175"/>
      <c r="Y1878" s="175"/>
      <c r="Z1878" s="175"/>
      <c r="AA1878" s="175"/>
      <c r="AB1878" s="175"/>
      <c r="AC1878" s="175"/>
      <c r="AD1878" s="175"/>
      <c r="AE1878" s="175"/>
      <c r="AF1878" s="175"/>
      <c r="AG1878" s="175"/>
      <c r="AH1878" s="175"/>
      <c r="AI1878" s="175"/>
    </row>
    <row r="1879">
      <c r="A1879" s="176"/>
      <c r="B1879" s="177"/>
      <c r="C1879" s="178"/>
      <c r="D1879" s="178"/>
      <c r="E1879" s="177"/>
      <c r="F1879" s="178"/>
      <c r="G1879" s="176"/>
      <c r="H1879" s="179"/>
      <c r="I1879" s="180"/>
      <c r="J1879" s="181"/>
      <c r="K1879" s="178"/>
      <c r="L1879" s="178"/>
      <c r="M1879" s="182"/>
      <c r="N1879" s="183"/>
      <c r="O1879" s="184"/>
      <c r="P1879" s="184"/>
      <c r="Q1879" s="185"/>
      <c r="R1879" s="186"/>
      <c r="S1879" s="186"/>
      <c r="T1879" s="186"/>
      <c r="U1879" s="187"/>
      <c r="V1879" s="176"/>
      <c r="W1879" s="164"/>
      <c r="X1879" s="164"/>
      <c r="Y1879" s="164"/>
      <c r="Z1879" s="164"/>
      <c r="AA1879" s="164"/>
      <c r="AB1879" s="164"/>
      <c r="AC1879" s="164"/>
      <c r="AD1879" s="164"/>
      <c r="AE1879" s="164"/>
      <c r="AF1879" s="164"/>
      <c r="AG1879" s="164"/>
      <c r="AH1879" s="164"/>
      <c r="AI1879" s="164"/>
    </row>
    <row r="1880">
      <c r="A1880" s="176"/>
      <c r="B1880" s="177"/>
      <c r="C1880" s="178"/>
      <c r="D1880" s="178"/>
      <c r="E1880" s="177"/>
      <c r="F1880" s="178"/>
      <c r="G1880" s="176"/>
      <c r="H1880" s="179"/>
      <c r="I1880" s="180"/>
      <c r="J1880" s="181"/>
      <c r="K1880" s="178"/>
      <c r="L1880" s="178"/>
      <c r="M1880" s="182"/>
      <c r="N1880" s="183"/>
      <c r="O1880" s="184"/>
      <c r="P1880" s="184"/>
      <c r="Q1880" s="185"/>
      <c r="R1880" s="186"/>
      <c r="S1880" s="186"/>
      <c r="T1880" s="186"/>
      <c r="U1880" s="187"/>
      <c r="V1880" s="176"/>
      <c r="W1880" s="175"/>
      <c r="X1880" s="175"/>
      <c r="Y1880" s="175"/>
      <c r="Z1880" s="175"/>
      <c r="AA1880" s="175"/>
      <c r="AB1880" s="175"/>
      <c r="AC1880" s="175"/>
      <c r="AD1880" s="175"/>
      <c r="AE1880" s="175"/>
      <c r="AF1880" s="175"/>
      <c r="AG1880" s="175"/>
      <c r="AH1880" s="175"/>
      <c r="AI1880" s="175"/>
    </row>
    <row r="1881">
      <c r="A1881" s="176"/>
      <c r="B1881" s="177"/>
      <c r="C1881" s="178"/>
      <c r="D1881" s="178"/>
      <c r="E1881" s="177"/>
      <c r="F1881" s="178"/>
      <c r="G1881" s="176"/>
      <c r="H1881" s="179"/>
      <c r="I1881" s="180"/>
      <c r="J1881" s="181"/>
      <c r="K1881" s="178"/>
      <c r="L1881" s="178"/>
      <c r="M1881" s="182"/>
      <c r="N1881" s="183"/>
      <c r="O1881" s="184"/>
      <c r="P1881" s="184"/>
      <c r="Q1881" s="185"/>
      <c r="R1881" s="186"/>
      <c r="S1881" s="186"/>
      <c r="T1881" s="186"/>
      <c r="U1881" s="187"/>
      <c r="V1881" s="176"/>
      <c r="W1881" s="175"/>
      <c r="X1881" s="175"/>
      <c r="Y1881" s="175"/>
      <c r="Z1881" s="175"/>
      <c r="AA1881" s="175"/>
      <c r="AB1881" s="175"/>
      <c r="AC1881" s="175"/>
      <c r="AD1881" s="175"/>
      <c r="AE1881" s="175"/>
      <c r="AF1881" s="175"/>
      <c r="AG1881" s="175"/>
      <c r="AH1881" s="175"/>
      <c r="AI1881" s="175"/>
    </row>
    <row r="1882">
      <c r="A1882" s="176"/>
      <c r="B1882" s="177"/>
      <c r="C1882" s="178"/>
      <c r="D1882" s="178"/>
      <c r="E1882" s="177"/>
      <c r="F1882" s="178"/>
      <c r="G1882" s="176"/>
      <c r="H1882" s="179"/>
      <c r="I1882" s="180"/>
      <c r="J1882" s="181"/>
      <c r="K1882" s="178"/>
      <c r="L1882" s="178"/>
      <c r="M1882" s="182"/>
      <c r="N1882" s="183"/>
      <c r="O1882" s="184"/>
      <c r="P1882" s="184"/>
      <c r="Q1882" s="185"/>
      <c r="R1882" s="186"/>
      <c r="S1882" s="186"/>
      <c r="T1882" s="186"/>
      <c r="U1882" s="187"/>
      <c r="V1882" s="176"/>
      <c r="W1882" s="175"/>
      <c r="X1882" s="175"/>
      <c r="Y1882" s="175"/>
      <c r="Z1882" s="175"/>
      <c r="AA1882" s="175"/>
      <c r="AB1882" s="175"/>
      <c r="AC1882" s="175"/>
      <c r="AD1882" s="175"/>
      <c r="AE1882" s="175"/>
      <c r="AF1882" s="175"/>
      <c r="AG1882" s="175"/>
      <c r="AH1882" s="175"/>
      <c r="AI1882" s="175"/>
    </row>
    <row r="1883">
      <c r="A1883" s="176"/>
      <c r="B1883" s="177"/>
      <c r="C1883" s="178"/>
      <c r="D1883" s="178"/>
      <c r="E1883" s="177"/>
      <c r="F1883" s="178"/>
      <c r="G1883" s="176"/>
      <c r="H1883" s="179"/>
      <c r="I1883" s="180"/>
      <c r="J1883" s="181"/>
      <c r="K1883" s="178"/>
      <c r="L1883" s="178"/>
      <c r="M1883" s="182"/>
      <c r="N1883" s="183"/>
      <c r="O1883" s="184"/>
      <c r="P1883" s="184"/>
      <c r="Q1883" s="185"/>
      <c r="R1883" s="186"/>
      <c r="S1883" s="186"/>
      <c r="T1883" s="186"/>
      <c r="U1883" s="187"/>
      <c r="V1883" s="176"/>
      <c r="W1883" s="175"/>
      <c r="X1883" s="175"/>
      <c r="Y1883" s="175"/>
      <c r="Z1883" s="175"/>
      <c r="AA1883" s="175"/>
      <c r="AB1883" s="175"/>
      <c r="AC1883" s="175"/>
      <c r="AD1883" s="175"/>
      <c r="AE1883" s="175"/>
      <c r="AF1883" s="175"/>
      <c r="AG1883" s="175"/>
      <c r="AH1883" s="175"/>
      <c r="AI1883" s="175"/>
    </row>
    <row r="1884">
      <c r="A1884" s="176"/>
      <c r="B1884" s="177"/>
      <c r="C1884" s="178"/>
      <c r="D1884" s="178"/>
      <c r="E1884" s="177"/>
      <c r="F1884" s="178"/>
      <c r="G1884" s="176"/>
      <c r="H1884" s="179"/>
      <c r="I1884" s="180"/>
      <c r="J1884" s="181"/>
      <c r="K1884" s="178"/>
      <c r="L1884" s="178"/>
      <c r="M1884" s="182"/>
      <c r="N1884" s="183"/>
      <c r="O1884" s="184"/>
      <c r="P1884" s="184"/>
      <c r="Q1884" s="185"/>
      <c r="R1884" s="186"/>
      <c r="S1884" s="186"/>
      <c r="T1884" s="186"/>
      <c r="U1884" s="187"/>
      <c r="V1884" s="176"/>
      <c r="W1884" s="175"/>
      <c r="X1884" s="175"/>
      <c r="Y1884" s="175"/>
      <c r="Z1884" s="175"/>
      <c r="AA1884" s="175"/>
      <c r="AB1884" s="175"/>
      <c r="AC1884" s="175"/>
      <c r="AD1884" s="175"/>
      <c r="AE1884" s="175"/>
      <c r="AF1884" s="175"/>
      <c r="AG1884" s="175"/>
      <c r="AH1884" s="175"/>
      <c r="AI1884" s="175"/>
    </row>
    <row r="1885">
      <c r="A1885" s="176"/>
      <c r="B1885" s="177"/>
      <c r="C1885" s="178"/>
      <c r="D1885" s="178"/>
      <c r="E1885" s="177"/>
      <c r="F1885" s="178"/>
      <c r="G1885" s="176"/>
      <c r="H1885" s="179"/>
      <c r="I1885" s="180"/>
      <c r="J1885" s="181"/>
      <c r="K1885" s="178"/>
      <c r="L1885" s="178"/>
      <c r="M1885" s="182"/>
      <c r="N1885" s="183"/>
      <c r="O1885" s="184"/>
      <c r="P1885" s="184"/>
      <c r="Q1885" s="185"/>
      <c r="R1885" s="186"/>
      <c r="S1885" s="186"/>
      <c r="T1885" s="186"/>
      <c r="U1885" s="187"/>
      <c r="V1885" s="176"/>
      <c r="W1885" s="175"/>
      <c r="X1885" s="175"/>
      <c r="Y1885" s="175"/>
      <c r="Z1885" s="175"/>
      <c r="AA1885" s="175"/>
      <c r="AB1885" s="175"/>
      <c r="AC1885" s="175"/>
      <c r="AD1885" s="175"/>
      <c r="AE1885" s="175"/>
      <c r="AF1885" s="175"/>
      <c r="AG1885" s="175"/>
      <c r="AH1885" s="175"/>
      <c r="AI1885" s="175"/>
    </row>
    <row r="1886">
      <c r="A1886" s="176"/>
      <c r="B1886" s="177"/>
      <c r="C1886" s="178"/>
      <c r="D1886" s="178"/>
      <c r="E1886" s="177"/>
      <c r="F1886" s="178"/>
      <c r="G1886" s="176"/>
      <c r="H1886" s="179"/>
      <c r="I1886" s="180"/>
      <c r="J1886" s="181"/>
      <c r="K1886" s="178"/>
      <c r="L1886" s="178"/>
      <c r="M1886" s="182"/>
      <c r="N1886" s="183"/>
      <c r="O1886" s="184"/>
      <c r="P1886" s="184"/>
      <c r="Q1886" s="185"/>
      <c r="R1886" s="186"/>
      <c r="S1886" s="186"/>
      <c r="T1886" s="186"/>
      <c r="U1886" s="187"/>
      <c r="V1886" s="176"/>
      <c r="W1886" s="188"/>
      <c r="X1886" s="188"/>
      <c r="Y1886" s="188"/>
      <c r="Z1886" s="188"/>
      <c r="AA1886" s="188"/>
      <c r="AB1886" s="188"/>
      <c r="AC1886" s="188"/>
      <c r="AD1886" s="188"/>
      <c r="AE1886" s="188"/>
      <c r="AF1886" s="188"/>
      <c r="AG1886" s="188"/>
      <c r="AH1886" s="188"/>
      <c r="AI1886" s="188"/>
    </row>
    <row r="1887">
      <c r="A1887" s="176"/>
      <c r="B1887" s="177"/>
      <c r="C1887" s="178"/>
      <c r="D1887" s="178"/>
      <c r="E1887" s="177"/>
      <c r="F1887" s="178"/>
      <c r="G1887" s="176"/>
      <c r="H1887" s="179"/>
      <c r="I1887" s="180"/>
      <c r="J1887" s="181"/>
      <c r="K1887" s="178"/>
      <c r="L1887" s="178"/>
      <c r="M1887" s="182"/>
      <c r="N1887" s="183"/>
      <c r="O1887" s="184"/>
      <c r="P1887" s="184"/>
      <c r="Q1887" s="185"/>
      <c r="R1887" s="186"/>
      <c r="S1887" s="186"/>
      <c r="T1887" s="186"/>
      <c r="U1887" s="187"/>
      <c r="V1887" s="176"/>
      <c r="W1887" s="175"/>
      <c r="X1887" s="175"/>
      <c r="Y1887" s="175"/>
      <c r="Z1887" s="175"/>
      <c r="AA1887" s="175"/>
      <c r="AB1887" s="175"/>
      <c r="AC1887" s="175"/>
      <c r="AD1887" s="175"/>
      <c r="AE1887" s="175"/>
      <c r="AF1887" s="175"/>
      <c r="AG1887" s="175"/>
      <c r="AH1887" s="175"/>
      <c r="AI1887" s="175"/>
    </row>
    <row r="1888">
      <c r="A1888" s="176"/>
      <c r="B1888" s="177"/>
      <c r="C1888" s="178"/>
      <c r="D1888" s="178"/>
      <c r="E1888" s="177"/>
      <c r="F1888" s="178"/>
      <c r="G1888" s="176"/>
      <c r="H1888" s="179"/>
      <c r="I1888" s="180"/>
      <c r="J1888" s="181"/>
      <c r="K1888" s="178"/>
      <c r="L1888" s="178"/>
      <c r="M1888" s="182"/>
      <c r="N1888" s="183"/>
      <c r="O1888" s="184"/>
      <c r="P1888" s="184"/>
      <c r="Q1888" s="185"/>
      <c r="R1888" s="186"/>
      <c r="S1888" s="186"/>
      <c r="T1888" s="186"/>
      <c r="U1888" s="187"/>
      <c r="V1888" s="176"/>
      <c r="W1888" s="175"/>
      <c r="X1888" s="175"/>
      <c r="Y1888" s="175"/>
      <c r="Z1888" s="175"/>
      <c r="AA1888" s="175"/>
      <c r="AB1888" s="175"/>
      <c r="AC1888" s="175"/>
      <c r="AD1888" s="175"/>
      <c r="AE1888" s="175"/>
      <c r="AF1888" s="175"/>
      <c r="AG1888" s="175"/>
      <c r="AH1888" s="175"/>
      <c r="AI1888" s="175"/>
    </row>
    <row r="1889">
      <c r="A1889" s="176"/>
      <c r="B1889" s="177"/>
      <c r="C1889" s="178"/>
      <c r="D1889" s="178"/>
      <c r="E1889" s="177"/>
      <c r="F1889" s="178"/>
      <c r="G1889" s="176"/>
      <c r="H1889" s="179"/>
      <c r="I1889" s="180"/>
      <c r="J1889" s="181"/>
      <c r="K1889" s="178"/>
      <c r="L1889" s="178"/>
      <c r="M1889" s="182"/>
      <c r="N1889" s="183"/>
      <c r="O1889" s="184"/>
      <c r="P1889" s="184"/>
      <c r="Q1889" s="185"/>
      <c r="R1889" s="186"/>
      <c r="S1889" s="186"/>
      <c r="T1889" s="186"/>
      <c r="U1889" s="187"/>
      <c r="V1889" s="176"/>
      <c r="W1889" s="164"/>
      <c r="X1889" s="164"/>
      <c r="Y1889" s="164"/>
      <c r="Z1889" s="164"/>
      <c r="AA1889" s="164"/>
      <c r="AB1889" s="164"/>
      <c r="AC1889" s="164"/>
      <c r="AD1889" s="164"/>
      <c r="AE1889" s="164"/>
      <c r="AF1889" s="164"/>
      <c r="AG1889" s="164"/>
      <c r="AH1889" s="164"/>
      <c r="AI1889" s="164"/>
    </row>
    <row r="1890">
      <c r="A1890" s="176"/>
      <c r="B1890" s="177"/>
      <c r="C1890" s="178"/>
      <c r="D1890" s="178"/>
      <c r="E1890" s="177"/>
      <c r="F1890" s="178"/>
      <c r="G1890" s="176"/>
      <c r="H1890" s="179"/>
      <c r="I1890" s="180"/>
      <c r="J1890" s="181"/>
      <c r="K1890" s="178"/>
      <c r="L1890" s="178"/>
      <c r="M1890" s="182"/>
      <c r="N1890" s="183"/>
      <c r="O1890" s="184"/>
      <c r="P1890" s="184"/>
      <c r="Q1890" s="185"/>
      <c r="R1890" s="186"/>
      <c r="S1890" s="186"/>
      <c r="T1890" s="186"/>
      <c r="U1890" s="187"/>
      <c r="V1890" s="176"/>
      <c r="W1890" s="188"/>
      <c r="X1890" s="188"/>
      <c r="Y1890" s="188"/>
      <c r="Z1890" s="188"/>
      <c r="AA1890" s="188"/>
      <c r="AB1890" s="188"/>
      <c r="AC1890" s="188"/>
      <c r="AD1890" s="188"/>
      <c r="AE1890" s="188"/>
      <c r="AF1890" s="188"/>
      <c r="AG1890" s="188"/>
      <c r="AH1890" s="188"/>
      <c r="AI1890" s="188"/>
    </row>
    <row r="1891">
      <c r="A1891" s="176"/>
      <c r="B1891" s="177"/>
      <c r="C1891" s="178"/>
      <c r="D1891" s="178"/>
      <c r="E1891" s="177"/>
      <c r="F1891" s="178"/>
      <c r="G1891" s="176"/>
      <c r="H1891" s="179"/>
      <c r="I1891" s="180"/>
      <c r="J1891" s="181"/>
      <c r="K1891" s="178"/>
      <c r="L1891" s="178"/>
      <c r="M1891" s="182"/>
      <c r="N1891" s="183"/>
      <c r="O1891" s="184"/>
      <c r="P1891" s="184"/>
      <c r="Q1891" s="185"/>
      <c r="R1891" s="186"/>
      <c r="S1891" s="186"/>
      <c r="T1891" s="186"/>
      <c r="U1891" s="187"/>
      <c r="V1891" s="176"/>
      <c r="W1891" s="175"/>
      <c r="X1891" s="175"/>
      <c r="Y1891" s="175"/>
      <c r="Z1891" s="175"/>
      <c r="AA1891" s="175"/>
      <c r="AB1891" s="175"/>
      <c r="AC1891" s="175"/>
      <c r="AD1891" s="175"/>
      <c r="AE1891" s="175"/>
      <c r="AF1891" s="175"/>
      <c r="AG1891" s="175"/>
      <c r="AH1891" s="175"/>
      <c r="AI1891" s="175"/>
    </row>
    <row r="1892">
      <c r="A1892" s="176"/>
      <c r="B1892" s="177"/>
      <c r="C1892" s="178"/>
      <c r="D1892" s="178"/>
      <c r="E1892" s="177"/>
      <c r="F1892" s="178"/>
      <c r="G1892" s="176"/>
      <c r="H1892" s="179"/>
      <c r="I1892" s="180"/>
      <c r="J1892" s="181"/>
      <c r="K1892" s="178"/>
      <c r="L1892" s="178"/>
      <c r="M1892" s="182"/>
      <c r="N1892" s="183"/>
      <c r="O1892" s="184"/>
      <c r="P1892" s="184"/>
      <c r="Q1892" s="185"/>
      <c r="R1892" s="186"/>
      <c r="S1892" s="186"/>
      <c r="T1892" s="186"/>
      <c r="U1892" s="187"/>
      <c r="V1892" s="176"/>
      <c r="W1892" s="175"/>
      <c r="X1892" s="175"/>
      <c r="Y1892" s="175"/>
      <c r="Z1892" s="175"/>
      <c r="AA1892" s="175"/>
      <c r="AB1892" s="175"/>
      <c r="AC1892" s="175"/>
      <c r="AD1892" s="175"/>
      <c r="AE1892" s="175"/>
      <c r="AF1892" s="175"/>
      <c r="AG1892" s="175"/>
      <c r="AH1892" s="175"/>
      <c r="AI1892" s="175"/>
    </row>
    <row r="1893">
      <c r="A1893" s="176"/>
      <c r="B1893" s="177"/>
      <c r="C1893" s="178"/>
      <c r="D1893" s="178"/>
      <c r="E1893" s="177"/>
      <c r="F1893" s="178"/>
      <c r="G1893" s="176"/>
      <c r="H1893" s="179"/>
      <c r="I1893" s="180"/>
      <c r="J1893" s="181"/>
      <c r="K1893" s="178"/>
      <c r="L1893" s="178"/>
      <c r="M1893" s="182"/>
      <c r="N1893" s="183"/>
      <c r="O1893" s="184"/>
      <c r="P1893" s="184"/>
      <c r="Q1893" s="185"/>
      <c r="R1893" s="186"/>
      <c r="S1893" s="186"/>
      <c r="T1893" s="186"/>
      <c r="U1893" s="187"/>
      <c r="V1893" s="176"/>
      <c r="W1893" s="164"/>
      <c r="X1893" s="164"/>
      <c r="Y1893" s="164"/>
      <c r="Z1893" s="164"/>
      <c r="AA1893" s="164"/>
      <c r="AB1893" s="164"/>
      <c r="AC1893" s="164"/>
      <c r="AD1893" s="164"/>
      <c r="AE1893" s="164"/>
      <c r="AF1893" s="164"/>
      <c r="AG1893" s="164"/>
      <c r="AH1893" s="164"/>
      <c r="AI1893" s="164"/>
    </row>
    <row r="1894">
      <c r="A1894" s="176"/>
      <c r="B1894" s="177"/>
      <c r="C1894" s="178"/>
      <c r="D1894" s="178"/>
      <c r="E1894" s="177"/>
      <c r="F1894" s="178"/>
      <c r="G1894" s="176"/>
      <c r="H1894" s="179"/>
      <c r="I1894" s="180"/>
      <c r="J1894" s="181"/>
      <c r="K1894" s="178"/>
      <c r="L1894" s="178"/>
      <c r="M1894" s="182"/>
      <c r="N1894" s="183"/>
      <c r="O1894" s="184"/>
      <c r="P1894" s="184"/>
      <c r="Q1894" s="185"/>
      <c r="R1894" s="186"/>
      <c r="S1894" s="186"/>
      <c r="T1894" s="186"/>
      <c r="U1894" s="187"/>
      <c r="V1894" s="176"/>
      <c r="W1894" s="164"/>
      <c r="X1894" s="164"/>
      <c r="Y1894" s="164"/>
      <c r="Z1894" s="164"/>
      <c r="AA1894" s="164"/>
      <c r="AB1894" s="164"/>
      <c r="AC1894" s="164"/>
      <c r="AD1894" s="164"/>
      <c r="AE1894" s="164"/>
      <c r="AF1894" s="164"/>
      <c r="AG1894" s="164"/>
      <c r="AH1894" s="164"/>
      <c r="AI1894" s="164"/>
    </row>
    <row r="1895">
      <c r="A1895" s="176"/>
      <c r="B1895" s="177"/>
      <c r="C1895" s="178"/>
      <c r="D1895" s="178"/>
      <c r="E1895" s="177"/>
      <c r="F1895" s="178"/>
      <c r="G1895" s="176"/>
      <c r="H1895" s="179"/>
      <c r="I1895" s="180"/>
      <c r="J1895" s="181"/>
      <c r="K1895" s="178"/>
      <c r="L1895" s="178"/>
      <c r="M1895" s="182"/>
      <c r="N1895" s="183"/>
      <c r="O1895" s="184"/>
      <c r="P1895" s="184"/>
      <c r="Q1895" s="185"/>
      <c r="R1895" s="186"/>
      <c r="S1895" s="186"/>
      <c r="T1895" s="186"/>
      <c r="U1895" s="187"/>
      <c r="V1895" s="176"/>
      <c r="W1895" s="164"/>
      <c r="X1895" s="164"/>
      <c r="Y1895" s="164"/>
      <c r="Z1895" s="164"/>
      <c r="AA1895" s="164"/>
      <c r="AB1895" s="164"/>
      <c r="AC1895" s="164"/>
      <c r="AD1895" s="164"/>
      <c r="AE1895" s="164"/>
      <c r="AF1895" s="164"/>
      <c r="AG1895" s="164"/>
      <c r="AH1895" s="164"/>
      <c r="AI1895" s="164"/>
    </row>
    <row r="1896">
      <c r="A1896" s="176"/>
      <c r="B1896" s="177"/>
      <c r="C1896" s="178"/>
      <c r="D1896" s="178"/>
      <c r="E1896" s="177"/>
      <c r="F1896" s="178"/>
      <c r="G1896" s="176"/>
      <c r="H1896" s="179"/>
      <c r="I1896" s="180"/>
      <c r="J1896" s="181"/>
      <c r="K1896" s="178"/>
      <c r="L1896" s="178"/>
      <c r="M1896" s="182"/>
      <c r="N1896" s="183"/>
      <c r="O1896" s="184"/>
      <c r="P1896" s="184"/>
      <c r="Q1896" s="185"/>
      <c r="R1896" s="186"/>
      <c r="S1896" s="186"/>
      <c r="T1896" s="186"/>
      <c r="U1896" s="187"/>
      <c r="V1896" s="176"/>
      <c r="W1896" s="175"/>
      <c r="X1896" s="175"/>
      <c r="Y1896" s="175"/>
      <c r="Z1896" s="175"/>
      <c r="AA1896" s="175"/>
      <c r="AB1896" s="175"/>
      <c r="AC1896" s="175"/>
      <c r="AD1896" s="175"/>
      <c r="AE1896" s="175"/>
      <c r="AF1896" s="175"/>
      <c r="AG1896" s="175"/>
      <c r="AH1896" s="175"/>
      <c r="AI1896" s="175"/>
    </row>
    <row r="1897">
      <c r="A1897" s="176"/>
      <c r="B1897" s="177"/>
      <c r="C1897" s="178"/>
      <c r="D1897" s="178"/>
      <c r="E1897" s="177"/>
      <c r="F1897" s="178"/>
      <c r="G1897" s="176"/>
      <c r="H1897" s="179"/>
      <c r="I1897" s="180"/>
      <c r="J1897" s="181"/>
      <c r="K1897" s="178"/>
      <c r="L1897" s="178"/>
      <c r="M1897" s="182"/>
      <c r="N1897" s="183"/>
      <c r="O1897" s="184"/>
      <c r="P1897" s="184"/>
      <c r="Q1897" s="185"/>
      <c r="R1897" s="186"/>
      <c r="S1897" s="186"/>
      <c r="T1897" s="186"/>
      <c r="U1897" s="187"/>
      <c r="V1897" s="176"/>
      <c r="W1897" s="164"/>
      <c r="X1897" s="164"/>
      <c r="Y1897" s="164"/>
      <c r="Z1897" s="164"/>
      <c r="AA1897" s="164"/>
      <c r="AB1897" s="164"/>
      <c r="AC1897" s="164"/>
      <c r="AD1897" s="164"/>
      <c r="AE1897" s="164"/>
      <c r="AF1897" s="164"/>
      <c r="AG1897" s="164"/>
      <c r="AH1897" s="164"/>
      <c r="AI1897" s="164"/>
    </row>
    <row r="1898">
      <c r="A1898" s="176"/>
      <c r="B1898" s="177"/>
      <c r="C1898" s="178"/>
      <c r="D1898" s="178"/>
      <c r="E1898" s="177"/>
      <c r="F1898" s="178"/>
      <c r="G1898" s="176"/>
      <c r="H1898" s="179"/>
      <c r="I1898" s="180"/>
      <c r="J1898" s="181"/>
      <c r="K1898" s="178"/>
      <c r="L1898" s="178"/>
      <c r="M1898" s="182"/>
      <c r="N1898" s="183"/>
      <c r="O1898" s="184"/>
      <c r="P1898" s="184"/>
      <c r="Q1898" s="185"/>
      <c r="R1898" s="186"/>
      <c r="S1898" s="186"/>
      <c r="T1898" s="186"/>
      <c r="U1898" s="187"/>
      <c r="V1898" s="176"/>
      <c r="W1898" s="175"/>
      <c r="X1898" s="175"/>
      <c r="Y1898" s="175"/>
      <c r="Z1898" s="175"/>
      <c r="AA1898" s="175"/>
      <c r="AB1898" s="175"/>
      <c r="AC1898" s="175"/>
      <c r="AD1898" s="175"/>
      <c r="AE1898" s="175"/>
      <c r="AF1898" s="175"/>
      <c r="AG1898" s="175"/>
      <c r="AH1898" s="175"/>
      <c r="AI1898" s="175"/>
    </row>
    <row r="1899">
      <c r="A1899" s="176"/>
      <c r="B1899" s="177"/>
      <c r="C1899" s="178"/>
      <c r="D1899" s="178"/>
      <c r="E1899" s="177"/>
      <c r="F1899" s="178"/>
      <c r="G1899" s="176"/>
      <c r="H1899" s="179"/>
      <c r="I1899" s="180"/>
      <c r="J1899" s="181"/>
      <c r="K1899" s="178"/>
      <c r="L1899" s="178"/>
      <c r="M1899" s="182"/>
      <c r="N1899" s="183"/>
      <c r="O1899" s="184"/>
      <c r="P1899" s="184"/>
      <c r="Q1899" s="185"/>
      <c r="R1899" s="186"/>
      <c r="S1899" s="186"/>
      <c r="T1899" s="186"/>
      <c r="U1899" s="187"/>
      <c r="V1899" s="176"/>
      <c r="W1899" s="175"/>
      <c r="X1899" s="175"/>
      <c r="Y1899" s="175"/>
      <c r="Z1899" s="175"/>
      <c r="AA1899" s="175"/>
      <c r="AB1899" s="175"/>
      <c r="AC1899" s="175"/>
      <c r="AD1899" s="175"/>
      <c r="AE1899" s="175"/>
      <c r="AF1899" s="175"/>
      <c r="AG1899" s="175"/>
      <c r="AH1899" s="175"/>
      <c r="AI1899" s="175"/>
    </row>
    <row r="1900">
      <c r="A1900" s="176"/>
      <c r="B1900" s="177"/>
      <c r="C1900" s="178"/>
      <c r="D1900" s="178"/>
      <c r="E1900" s="177"/>
      <c r="F1900" s="178"/>
      <c r="G1900" s="176"/>
      <c r="H1900" s="179"/>
      <c r="I1900" s="180"/>
      <c r="J1900" s="181"/>
      <c r="K1900" s="178"/>
      <c r="L1900" s="178"/>
      <c r="M1900" s="182"/>
      <c r="N1900" s="183"/>
      <c r="O1900" s="184"/>
      <c r="P1900" s="184"/>
      <c r="Q1900" s="185"/>
      <c r="R1900" s="186"/>
      <c r="S1900" s="186"/>
      <c r="T1900" s="186"/>
      <c r="U1900" s="187"/>
      <c r="V1900" s="176"/>
      <c r="W1900" s="175"/>
      <c r="X1900" s="175"/>
      <c r="Y1900" s="175"/>
      <c r="Z1900" s="175"/>
      <c r="AA1900" s="175"/>
      <c r="AB1900" s="175"/>
      <c r="AC1900" s="175"/>
      <c r="AD1900" s="175"/>
      <c r="AE1900" s="175"/>
      <c r="AF1900" s="175"/>
      <c r="AG1900" s="175"/>
      <c r="AH1900" s="175"/>
      <c r="AI1900" s="175"/>
    </row>
    <row r="1901">
      <c r="A1901" s="176"/>
      <c r="B1901" s="177"/>
      <c r="C1901" s="178"/>
      <c r="D1901" s="178"/>
      <c r="E1901" s="177"/>
      <c r="F1901" s="178"/>
      <c r="G1901" s="176"/>
      <c r="H1901" s="179"/>
      <c r="I1901" s="180"/>
      <c r="J1901" s="181"/>
      <c r="K1901" s="178"/>
      <c r="L1901" s="178"/>
      <c r="M1901" s="182"/>
      <c r="N1901" s="183"/>
      <c r="O1901" s="184"/>
      <c r="P1901" s="184"/>
      <c r="Q1901" s="185"/>
      <c r="R1901" s="186"/>
      <c r="S1901" s="186"/>
      <c r="T1901" s="186"/>
      <c r="U1901" s="187"/>
      <c r="V1901" s="176"/>
      <c r="W1901" s="164"/>
      <c r="X1901" s="164"/>
      <c r="Y1901" s="164"/>
      <c r="Z1901" s="164"/>
      <c r="AA1901" s="164"/>
      <c r="AB1901" s="164"/>
      <c r="AC1901" s="164"/>
      <c r="AD1901" s="164"/>
      <c r="AE1901" s="164"/>
      <c r="AF1901" s="164"/>
      <c r="AG1901" s="164"/>
      <c r="AH1901" s="164"/>
      <c r="AI1901" s="164"/>
    </row>
    <row r="1902">
      <c r="A1902" s="176"/>
      <c r="B1902" s="177"/>
      <c r="C1902" s="178"/>
      <c r="D1902" s="178"/>
      <c r="E1902" s="177"/>
      <c r="F1902" s="178"/>
      <c r="G1902" s="176"/>
      <c r="H1902" s="179"/>
      <c r="I1902" s="180"/>
      <c r="J1902" s="181"/>
      <c r="K1902" s="178"/>
      <c r="L1902" s="178"/>
      <c r="M1902" s="182"/>
      <c r="N1902" s="183"/>
      <c r="O1902" s="184"/>
      <c r="P1902" s="184"/>
      <c r="Q1902" s="185"/>
      <c r="R1902" s="186"/>
      <c r="S1902" s="186"/>
      <c r="T1902" s="186"/>
      <c r="U1902" s="187"/>
      <c r="V1902" s="176"/>
      <c r="W1902" s="175"/>
      <c r="X1902" s="175"/>
      <c r="Y1902" s="175"/>
      <c r="Z1902" s="175"/>
      <c r="AA1902" s="175"/>
      <c r="AB1902" s="175"/>
      <c r="AC1902" s="175"/>
      <c r="AD1902" s="175"/>
      <c r="AE1902" s="175"/>
      <c r="AF1902" s="175"/>
      <c r="AG1902" s="175"/>
      <c r="AH1902" s="175"/>
      <c r="AI1902" s="175"/>
    </row>
    <row r="1903">
      <c r="A1903" s="176"/>
      <c r="B1903" s="177"/>
      <c r="C1903" s="178"/>
      <c r="D1903" s="178"/>
      <c r="E1903" s="177"/>
      <c r="F1903" s="178"/>
      <c r="G1903" s="176"/>
      <c r="H1903" s="179"/>
      <c r="I1903" s="180"/>
      <c r="J1903" s="181"/>
      <c r="K1903" s="178"/>
      <c r="L1903" s="178"/>
      <c r="M1903" s="182"/>
      <c r="N1903" s="183"/>
      <c r="O1903" s="184"/>
      <c r="P1903" s="184"/>
      <c r="Q1903" s="185"/>
      <c r="R1903" s="186"/>
      <c r="S1903" s="186"/>
      <c r="T1903" s="186"/>
      <c r="U1903" s="187"/>
      <c r="V1903" s="176"/>
      <c r="W1903" s="175"/>
      <c r="X1903" s="175"/>
      <c r="Y1903" s="175"/>
      <c r="Z1903" s="175"/>
      <c r="AA1903" s="175"/>
      <c r="AB1903" s="175"/>
      <c r="AC1903" s="175"/>
      <c r="AD1903" s="175"/>
      <c r="AE1903" s="175"/>
      <c r="AF1903" s="175"/>
      <c r="AG1903" s="175"/>
      <c r="AH1903" s="175"/>
      <c r="AI1903" s="175"/>
    </row>
    <row r="1904">
      <c r="A1904" s="176"/>
      <c r="B1904" s="177"/>
      <c r="C1904" s="178"/>
      <c r="D1904" s="178"/>
      <c r="E1904" s="177"/>
      <c r="F1904" s="178"/>
      <c r="G1904" s="176"/>
      <c r="H1904" s="179"/>
      <c r="I1904" s="180"/>
      <c r="J1904" s="181"/>
      <c r="K1904" s="178"/>
      <c r="L1904" s="178"/>
      <c r="M1904" s="182"/>
      <c r="N1904" s="183"/>
      <c r="O1904" s="184"/>
      <c r="P1904" s="184"/>
      <c r="Q1904" s="185"/>
      <c r="R1904" s="186"/>
      <c r="S1904" s="186"/>
      <c r="T1904" s="186"/>
      <c r="U1904" s="187"/>
      <c r="V1904" s="176"/>
      <c r="W1904" s="164"/>
      <c r="X1904" s="164"/>
      <c r="Y1904" s="164"/>
      <c r="Z1904" s="164"/>
      <c r="AA1904" s="164"/>
      <c r="AB1904" s="164"/>
      <c r="AC1904" s="164"/>
      <c r="AD1904" s="164"/>
      <c r="AE1904" s="164"/>
      <c r="AF1904" s="164"/>
      <c r="AG1904" s="164"/>
      <c r="AH1904" s="164"/>
      <c r="AI1904" s="164"/>
    </row>
    <row r="1905">
      <c r="A1905" s="176"/>
      <c r="B1905" s="177"/>
      <c r="C1905" s="178"/>
      <c r="D1905" s="178"/>
      <c r="E1905" s="177"/>
      <c r="F1905" s="178"/>
      <c r="G1905" s="176"/>
      <c r="H1905" s="179"/>
      <c r="I1905" s="180"/>
      <c r="J1905" s="181"/>
      <c r="K1905" s="178"/>
      <c r="L1905" s="178"/>
      <c r="M1905" s="182"/>
      <c r="N1905" s="183"/>
      <c r="O1905" s="184"/>
      <c r="P1905" s="184"/>
      <c r="Q1905" s="185"/>
      <c r="R1905" s="186"/>
      <c r="S1905" s="186"/>
      <c r="T1905" s="186"/>
      <c r="U1905" s="187"/>
      <c r="V1905" s="176"/>
      <c r="W1905" s="188"/>
      <c r="X1905" s="188"/>
      <c r="Y1905" s="188"/>
      <c r="Z1905" s="188"/>
      <c r="AA1905" s="188"/>
      <c r="AB1905" s="188"/>
      <c r="AC1905" s="188"/>
      <c r="AD1905" s="188"/>
      <c r="AE1905" s="188"/>
      <c r="AF1905" s="188"/>
      <c r="AG1905" s="188"/>
      <c r="AH1905" s="188"/>
      <c r="AI1905" s="188"/>
    </row>
    <row r="1906">
      <c r="A1906" s="176"/>
      <c r="B1906" s="177"/>
      <c r="C1906" s="178"/>
      <c r="D1906" s="178"/>
      <c r="E1906" s="177"/>
      <c r="F1906" s="178"/>
      <c r="G1906" s="176"/>
      <c r="H1906" s="179"/>
      <c r="I1906" s="180"/>
      <c r="J1906" s="181"/>
      <c r="K1906" s="178"/>
      <c r="L1906" s="178"/>
      <c r="M1906" s="182"/>
      <c r="N1906" s="183"/>
      <c r="O1906" s="184"/>
      <c r="P1906" s="184"/>
      <c r="Q1906" s="185"/>
      <c r="R1906" s="186"/>
      <c r="S1906" s="186"/>
      <c r="T1906" s="186"/>
      <c r="U1906" s="187"/>
      <c r="V1906" s="176"/>
      <c r="W1906" s="188"/>
      <c r="X1906" s="188"/>
      <c r="Y1906" s="188"/>
      <c r="Z1906" s="188"/>
      <c r="AA1906" s="188"/>
      <c r="AB1906" s="188"/>
      <c r="AC1906" s="188"/>
      <c r="AD1906" s="188"/>
      <c r="AE1906" s="188"/>
      <c r="AF1906" s="188"/>
      <c r="AG1906" s="188"/>
      <c r="AH1906" s="188"/>
      <c r="AI1906" s="188"/>
    </row>
    <row r="1907">
      <c r="A1907" s="176"/>
      <c r="B1907" s="177"/>
      <c r="C1907" s="178"/>
      <c r="D1907" s="178"/>
      <c r="E1907" s="177"/>
      <c r="F1907" s="178"/>
      <c r="G1907" s="176"/>
      <c r="H1907" s="179"/>
      <c r="I1907" s="180"/>
      <c r="J1907" s="181"/>
      <c r="K1907" s="178"/>
      <c r="L1907" s="178"/>
      <c r="M1907" s="182"/>
      <c r="N1907" s="183"/>
      <c r="O1907" s="184"/>
      <c r="P1907" s="184"/>
      <c r="Q1907" s="185"/>
      <c r="R1907" s="186"/>
      <c r="S1907" s="186"/>
      <c r="T1907" s="186"/>
      <c r="U1907" s="187"/>
      <c r="V1907" s="176"/>
      <c r="W1907" s="175"/>
      <c r="X1907" s="175"/>
      <c r="Y1907" s="175"/>
      <c r="Z1907" s="175"/>
      <c r="AA1907" s="175"/>
      <c r="AB1907" s="175"/>
      <c r="AC1907" s="175"/>
      <c r="AD1907" s="175"/>
      <c r="AE1907" s="175"/>
      <c r="AF1907" s="175"/>
      <c r="AG1907" s="175"/>
      <c r="AH1907" s="175"/>
      <c r="AI1907" s="175"/>
    </row>
    <row r="1908">
      <c r="A1908" s="176"/>
      <c r="B1908" s="177"/>
      <c r="C1908" s="178"/>
      <c r="D1908" s="178"/>
      <c r="E1908" s="177"/>
      <c r="F1908" s="178"/>
      <c r="G1908" s="176"/>
      <c r="H1908" s="179"/>
      <c r="I1908" s="180"/>
      <c r="J1908" s="181"/>
      <c r="K1908" s="178"/>
      <c r="L1908" s="178"/>
      <c r="M1908" s="182"/>
      <c r="N1908" s="183"/>
      <c r="O1908" s="184"/>
      <c r="P1908" s="184"/>
      <c r="Q1908" s="185"/>
      <c r="R1908" s="186"/>
      <c r="S1908" s="186"/>
      <c r="T1908" s="186"/>
      <c r="U1908" s="187"/>
      <c r="V1908" s="176"/>
      <c r="W1908" s="164"/>
      <c r="X1908" s="164"/>
      <c r="Y1908" s="164"/>
      <c r="Z1908" s="164"/>
      <c r="AA1908" s="164"/>
      <c r="AB1908" s="164"/>
      <c r="AC1908" s="164"/>
      <c r="AD1908" s="164"/>
      <c r="AE1908" s="164"/>
      <c r="AF1908" s="164"/>
      <c r="AG1908" s="164"/>
      <c r="AH1908" s="164"/>
      <c r="AI1908" s="164"/>
    </row>
    <row r="1909">
      <c r="A1909" s="176"/>
      <c r="B1909" s="177"/>
      <c r="C1909" s="178"/>
      <c r="D1909" s="178"/>
      <c r="E1909" s="177"/>
      <c r="F1909" s="178"/>
      <c r="G1909" s="176"/>
      <c r="H1909" s="179"/>
      <c r="I1909" s="180"/>
      <c r="J1909" s="181"/>
      <c r="K1909" s="178"/>
      <c r="L1909" s="178"/>
      <c r="M1909" s="182"/>
      <c r="N1909" s="183"/>
      <c r="O1909" s="184"/>
      <c r="P1909" s="184"/>
      <c r="Q1909" s="185"/>
      <c r="R1909" s="186"/>
      <c r="S1909" s="186"/>
      <c r="T1909" s="186"/>
      <c r="U1909" s="187"/>
      <c r="V1909" s="176"/>
      <c r="W1909" s="175"/>
      <c r="X1909" s="175"/>
      <c r="Y1909" s="175"/>
      <c r="Z1909" s="175"/>
      <c r="AA1909" s="175"/>
      <c r="AB1909" s="175"/>
      <c r="AC1909" s="175"/>
      <c r="AD1909" s="175"/>
      <c r="AE1909" s="175"/>
      <c r="AF1909" s="175"/>
      <c r="AG1909" s="175"/>
      <c r="AH1909" s="175"/>
      <c r="AI1909" s="175"/>
    </row>
    <row r="1910">
      <c r="A1910" s="176"/>
      <c r="B1910" s="177"/>
      <c r="C1910" s="178"/>
      <c r="D1910" s="178"/>
      <c r="E1910" s="177"/>
      <c r="F1910" s="178"/>
      <c r="G1910" s="176"/>
      <c r="H1910" s="179"/>
      <c r="I1910" s="180"/>
      <c r="J1910" s="181"/>
      <c r="K1910" s="178"/>
      <c r="L1910" s="178"/>
      <c r="M1910" s="182"/>
      <c r="N1910" s="183"/>
      <c r="O1910" s="184"/>
      <c r="P1910" s="184"/>
      <c r="Q1910" s="185"/>
      <c r="R1910" s="186"/>
      <c r="S1910" s="186"/>
      <c r="T1910" s="186"/>
      <c r="U1910" s="187"/>
      <c r="V1910" s="176"/>
      <c r="W1910" s="188"/>
      <c r="X1910" s="188"/>
      <c r="Y1910" s="188"/>
      <c r="Z1910" s="188"/>
      <c r="AA1910" s="188"/>
      <c r="AB1910" s="188"/>
      <c r="AC1910" s="188"/>
      <c r="AD1910" s="188"/>
      <c r="AE1910" s="188"/>
      <c r="AF1910" s="188"/>
      <c r="AG1910" s="188"/>
      <c r="AH1910" s="188"/>
      <c r="AI1910" s="188"/>
    </row>
    <row r="1911">
      <c r="A1911" s="176"/>
      <c r="B1911" s="177"/>
      <c r="C1911" s="178"/>
      <c r="D1911" s="178"/>
      <c r="E1911" s="177"/>
      <c r="F1911" s="178"/>
      <c r="G1911" s="176"/>
      <c r="H1911" s="179"/>
      <c r="I1911" s="180"/>
      <c r="J1911" s="181"/>
      <c r="K1911" s="178"/>
      <c r="L1911" s="178"/>
      <c r="M1911" s="182"/>
      <c r="N1911" s="183"/>
      <c r="O1911" s="184"/>
      <c r="P1911" s="184"/>
      <c r="Q1911" s="185"/>
      <c r="R1911" s="186"/>
      <c r="S1911" s="186"/>
      <c r="T1911" s="186"/>
      <c r="U1911" s="187"/>
      <c r="V1911" s="176"/>
      <c r="W1911" s="175"/>
      <c r="X1911" s="175"/>
      <c r="Y1911" s="175"/>
      <c r="Z1911" s="175"/>
      <c r="AA1911" s="175"/>
      <c r="AB1911" s="175"/>
      <c r="AC1911" s="175"/>
      <c r="AD1911" s="175"/>
      <c r="AE1911" s="175"/>
      <c r="AF1911" s="175"/>
      <c r="AG1911" s="175"/>
      <c r="AH1911" s="175"/>
      <c r="AI1911" s="175"/>
    </row>
    <row r="1912">
      <c r="A1912" s="176"/>
      <c r="B1912" s="177"/>
      <c r="C1912" s="178"/>
      <c r="D1912" s="178"/>
      <c r="E1912" s="177"/>
      <c r="F1912" s="178"/>
      <c r="G1912" s="176"/>
      <c r="H1912" s="179"/>
      <c r="I1912" s="180"/>
      <c r="J1912" s="181"/>
      <c r="K1912" s="178"/>
      <c r="L1912" s="178"/>
      <c r="M1912" s="182"/>
      <c r="N1912" s="183"/>
      <c r="O1912" s="184"/>
      <c r="P1912" s="184"/>
      <c r="Q1912" s="185"/>
      <c r="R1912" s="186"/>
      <c r="S1912" s="186"/>
      <c r="T1912" s="186"/>
      <c r="U1912" s="187"/>
      <c r="V1912" s="176"/>
      <c r="W1912" s="175"/>
      <c r="X1912" s="175"/>
      <c r="Y1912" s="175"/>
      <c r="Z1912" s="175"/>
      <c r="AA1912" s="175"/>
      <c r="AB1912" s="175"/>
      <c r="AC1912" s="175"/>
      <c r="AD1912" s="175"/>
      <c r="AE1912" s="175"/>
      <c r="AF1912" s="175"/>
      <c r="AG1912" s="175"/>
      <c r="AH1912" s="175"/>
      <c r="AI1912" s="175"/>
    </row>
    <row r="1913">
      <c r="A1913" s="176"/>
      <c r="B1913" s="177"/>
      <c r="C1913" s="178"/>
      <c r="D1913" s="178"/>
      <c r="E1913" s="177"/>
      <c r="F1913" s="178"/>
      <c r="G1913" s="176"/>
      <c r="H1913" s="179"/>
      <c r="I1913" s="180"/>
      <c r="J1913" s="181"/>
      <c r="K1913" s="178"/>
      <c r="L1913" s="178"/>
      <c r="M1913" s="182"/>
      <c r="N1913" s="183"/>
      <c r="O1913" s="184"/>
      <c r="P1913" s="184"/>
      <c r="Q1913" s="185"/>
      <c r="R1913" s="186"/>
      <c r="S1913" s="186"/>
      <c r="T1913" s="186"/>
      <c r="U1913" s="187"/>
      <c r="V1913" s="176"/>
      <c r="W1913" s="188"/>
      <c r="X1913" s="188"/>
      <c r="Y1913" s="188"/>
      <c r="Z1913" s="188"/>
      <c r="AA1913" s="188"/>
      <c r="AB1913" s="188"/>
      <c r="AC1913" s="188"/>
      <c r="AD1913" s="188"/>
      <c r="AE1913" s="188"/>
      <c r="AF1913" s="188"/>
      <c r="AG1913" s="188"/>
      <c r="AH1913" s="188"/>
      <c r="AI1913" s="188"/>
    </row>
    <row r="1914">
      <c r="A1914" s="176"/>
      <c r="B1914" s="177"/>
      <c r="C1914" s="178"/>
      <c r="D1914" s="178"/>
      <c r="E1914" s="177"/>
      <c r="F1914" s="178"/>
      <c r="G1914" s="176"/>
      <c r="H1914" s="179"/>
      <c r="I1914" s="180"/>
      <c r="J1914" s="181"/>
      <c r="K1914" s="178"/>
      <c r="L1914" s="178"/>
      <c r="M1914" s="182"/>
      <c r="N1914" s="183"/>
      <c r="O1914" s="184"/>
      <c r="P1914" s="184"/>
      <c r="Q1914" s="185"/>
      <c r="R1914" s="186"/>
      <c r="S1914" s="186"/>
      <c r="T1914" s="186"/>
      <c r="U1914" s="187"/>
      <c r="V1914" s="176"/>
      <c r="W1914" s="175"/>
      <c r="X1914" s="175"/>
      <c r="Y1914" s="175"/>
      <c r="Z1914" s="175"/>
      <c r="AA1914" s="175"/>
      <c r="AB1914" s="175"/>
      <c r="AC1914" s="175"/>
      <c r="AD1914" s="175"/>
      <c r="AE1914" s="175"/>
      <c r="AF1914" s="175"/>
      <c r="AG1914" s="175"/>
      <c r="AH1914" s="175"/>
      <c r="AI1914" s="175"/>
    </row>
    <row r="1915">
      <c r="A1915" s="176"/>
      <c r="B1915" s="177"/>
      <c r="C1915" s="178"/>
      <c r="D1915" s="178"/>
      <c r="E1915" s="177"/>
      <c r="F1915" s="178"/>
      <c r="G1915" s="176"/>
      <c r="H1915" s="179"/>
      <c r="I1915" s="180"/>
      <c r="J1915" s="181"/>
      <c r="K1915" s="178"/>
      <c r="L1915" s="178"/>
      <c r="M1915" s="182"/>
      <c r="N1915" s="183"/>
      <c r="O1915" s="184"/>
      <c r="P1915" s="184"/>
      <c r="Q1915" s="185"/>
      <c r="R1915" s="186"/>
      <c r="S1915" s="186"/>
      <c r="T1915" s="186"/>
      <c r="U1915" s="187"/>
      <c r="V1915" s="176"/>
      <c r="W1915" s="175"/>
      <c r="X1915" s="175"/>
      <c r="Y1915" s="175"/>
      <c r="Z1915" s="175"/>
      <c r="AA1915" s="175"/>
      <c r="AB1915" s="175"/>
      <c r="AC1915" s="175"/>
      <c r="AD1915" s="175"/>
      <c r="AE1915" s="175"/>
      <c r="AF1915" s="175"/>
      <c r="AG1915" s="175"/>
      <c r="AH1915" s="175"/>
      <c r="AI1915" s="175"/>
    </row>
    <row r="1916">
      <c r="A1916" s="176"/>
      <c r="B1916" s="177"/>
      <c r="C1916" s="178"/>
      <c r="D1916" s="178"/>
      <c r="E1916" s="177"/>
      <c r="F1916" s="178"/>
      <c r="G1916" s="176"/>
      <c r="H1916" s="179"/>
      <c r="I1916" s="180"/>
      <c r="J1916" s="181"/>
      <c r="K1916" s="178"/>
      <c r="L1916" s="178"/>
      <c r="M1916" s="182"/>
      <c r="N1916" s="183"/>
      <c r="O1916" s="184"/>
      <c r="P1916" s="184"/>
      <c r="Q1916" s="185"/>
      <c r="R1916" s="186"/>
      <c r="S1916" s="186"/>
      <c r="T1916" s="186"/>
      <c r="U1916" s="187"/>
      <c r="V1916" s="176"/>
      <c r="W1916" s="164"/>
      <c r="X1916" s="164"/>
      <c r="Y1916" s="164"/>
      <c r="Z1916" s="164"/>
      <c r="AA1916" s="164"/>
      <c r="AB1916" s="164"/>
      <c r="AC1916" s="164"/>
      <c r="AD1916" s="164"/>
      <c r="AE1916" s="164"/>
      <c r="AF1916" s="164"/>
      <c r="AG1916" s="164"/>
      <c r="AH1916" s="164"/>
      <c r="AI1916" s="164"/>
    </row>
    <row r="1917">
      <c r="A1917" s="176"/>
      <c r="B1917" s="177"/>
      <c r="C1917" s="178"/>
      <c r="D1917" s="178"/>
      <c r="E1917" s="177"/>
      <c r="F1917" s="178"/>
      <c r="G1917" s="176"/>
      <c r="H1917" s="179"/>
      <c r="I1917" s="180"/>
      <c r="J1917" s="181"/>
      <c r="K1917" s="178"/>
      <c r="L1917" s="178"/>
      <c r="M1917" s="182"/>
      <c r="N1917" s="183"/>
      <c r="O1917" s="184"/>
      <c r="P1917" s="184"/>
      <c r="Q1917" s="185"/>
      <c r="R1917" s="186"/>
      <c r="S1917" s="186"/>
      <c r="T1917" s="186"/>
      <c r="U1917" s="187"/>
      <c r="V1917" s="176"/>
      <c r="W1917" s="175"/>
      <c r="X1917" s="175"/>
      <c r="Y1917" s="175"/>
      <c r="Z1917" s="175"/>
      <c r="AA1917" s="175"/>
      <c r="AB1917" s="175"/>
      <c r="AC1917" s="175"/>
      <c r="AD1917" s="175"/>
      <c r="AE1917" s="175"/>
      <c r="AF1917" s="175"/>
      <c r="AG1917" s="175"/>
      <c r="AH1917" s="175"/>
      <c r="AI1917" s="175"/>
    </row>
    <row r="1918">
      <c r="A1918" s="176"/>
      <c r="B1918" s="177"/>
      <c r="C1918" s="178"/>
      <c r="D1918" s="178"/>
      <c r="E1918" s="177"/>
      <c r="F1918" s="178"/>
      <c r="G1918" s="176"/>
      <c r="H1918" s="179"/>
      <c r="I1918" s="180"/>
      <c r="J1918" s="181"/>
      <c r="K1918" s="178"/>
      <c r="L1918" s="178"/>
      <c r="M1918" s="182"/>
      <c r="N1918" s="183"/>
      <c r="O1918" s="184"/>
      <c r="P1918" s="184"/>
      <c r="Q1918" s="185"/>
      <c r="R1918" s="186"/>
      <c r="S1918" s="186"/>
      <c r="T1918" s="186"/>
      <c r="U1918" s="187"/>
      <c r="V1918" s="176"/>
      <c r="W1918" s="188"/>
      <c r="X1918" s="188"/>
      <c r="Y1918" s="188"/>
      <c r="Z1918" s="188"/>
      <c r="AA1918" s="188"/>
      <c r="AB1918" s="188"/>
      <c r="AC1918" s="188"/>
      <c r="AD1918" s="188"/>
      <c r="AE1918" s="188"/>
      <c r="AF1918" s="188"/>
      <c r="AG1918" s="188"/>
      <c r="AH1918" s="188"/>
      <c r="AI1918" s="188"/>
    </row>
    <row r="1919">
      <c r="A1919" s="176"/>
      <c r="B1919" s="177"/>
      <c r="C1919" s="178"/>
      <c r="D1919" s="178"/>
      <c r="E1919" s="177"/>
      <c r="F1919" s="178"/>
      <c r="G1919" s="176"/>
      <c r="H1919" s="179"/>
      <c r="I1919" s="180"/>
      <c r="J1919" s="181"/>
      <c r="K1919" s="178"/>
      <c r="L1919" s="178"/>
      <c r="M1919" s="182"/>
      <c r="N1919" s="183"/>
      <c r="O1919" s="184"/>
      <c r="P1919" s="184"/>
      <c r="Q1919" s="185"/>
      <c r="R1919" s="186"/>
      <c r="S1919" s="186"/>
      <c r="T1919" s="186"/>
      <c r="U1919" s="187"/>
      <c r="V1919" s="176"/>
      <c r="W1919" s="175"/>
      <c r="X1919" s="175"/>
      <c r="Y1919" s="175"/>
      <c r="Z1919" s="175"/>
      <c r="AA1919" s="175"/>
      <c r="AB1919" s="175"/>
      <c r="AC1919" s="175"/>
      <c r="AD1919" s="175"/>
      <c r="AE1919" s="175"/>
      <c r="AF1919" s="175"/>
      <c r="AG1919" s="175"/>
      <c r="AH1919" s="175"/>
      <c r="AI1919" s="175"/>
    </row>
    <row r="1920">
      <c r="A1920" s="176"/>
      <c r="B1920" s="177"/>
      <c r="C1920" s="178"/>
      <c r="D1920" s="178"/>
      <c r="E1920" s="177"/>
      <c r="F1920" s="178"/>
      <c r="G1920" s="176"/>
      <c r="H1920" s="179"/>
      <c r="I1920" s="180"/>
      <c r="J1920" s="181"/>
      <c r="K1920" s="178"/>
      <c r="L1920" s="178"/>
      <c r="M1920" s="182"/>
      <c r="N1920" s="183"/>
      <c r="O1920" s="184"/>
      <c r="P1920" s="184"/>
      <c r="Q1920" s="185"/>
      <c r="R1920" s="186"/>
      <c r="S1920" s="186"/>
      <c r="T1920" s="186"/>
      <c r="U1920" s="187"/>
      <c r="V1920" s="176"/>
      <c r="W1920" s="175"/>
      <c r="X1920" s="175"/>
      <c r="Y1920" s="175"/>
      <c r="Z1920" s="175"/>
      <c r="AA1920" s="175"/>
      <c r="AB1920" s="175"/>
      <c r="AC1920" s="175"/>
      <c r="AD1920" s="175"/>
      <c r="AE1920" s="175"/>
      <c r="AF1920" s="175"/>
      <c r="AG1920" s="175"/>
      <c r="AH1920" s="175"/>
      <c r="AI1920" s="175"/>
    </row>
    <row r="1921">
      <c r="A1921" s="176"/>
      <c r="B1921" s="177"/>
      <c r="C1921" s="178"/>
      <c r="D1921" s="178"/>
      <c r="E1921" s="177"/>
      <c r="F1921" s="178"/>
      <c r="G1921" s="176"/>
      <c r="H1921" s="179"/>
      <c r="I1921" s="180"/>
      <c r="J1921" s="181"/>
      <c r="K1921" s="178"/>
      <c r="L1921" s="178"/>
      <c r="M1921" s="182"/>
      <c r="N1921" s="183"/>
      <c r="O1921" s="184"/>
      <c r="P1921" s="184"/>
      <c r="Q1921" s="185"/>
      <c r="R1921" s="186"/>
      <c r="S1921" s="186"/>
      <c r="T1921" s="186"/>
      <c r="U1921" s="187"/>
      <c r="V1921" s="176"/>
      <c r="W1921" s="175"/>
      <c r="X1921" s="175"/>
      <c r="Y1921" s="175"/>
      <c r="Z1921" s="175"/>
      <c r="AA1921" s="175"/>
      <c r="AB1921" s="175"/>
      <c r="AC1921" s="175"/>
      <c r="AD1921" s="175"/>
      <c r="AE1921" s="175"/>
      <c r="AF1921" s="175"/>
      <c r="AG1921" s="175"/>
      <c r="AH1921" s="175"/>
      <c r="AI1921" s="175"/>
    </row>
    <row r="1922">
      <c r="A1922" s="176"/>
      <c r="B1922" s="177"/>
      <c r="C1922" s="178"/>
      <c r="D1922" s="178"/>
      <c r="E1922" s="177"/>
      <c r="F1922" s="178"/>
      <c r="G1922" s="176"/>
      <c r="H1922" s="179"/>
      <c r="I1922" s="180"/>
      <c r="J1922" s="181"/>
      <c r="K1922" s="178"/>
      <c r="L1922" s="178"/>
      <c r="M1922" s="182"/>
      <c r="N1922" s="183"/>
      <c r="O1922" s="184"/>
      <c r="P1922" s="184"/>
      <c r="Q1922" s="185"/>
      <c r="R1922" s="186"/>
      <c r="S1922" s="186"/>
      <c r="T1922" s="186"/>
      <c r="U1922" s="187"/>
      <c r="V1922" s="176"/>
      <c r="W1922" s="175"/>
      <c r="X1922" s="175"/>
      <c r="Y1922" s="175"/>
      <c r="Z1922" s="175"/>
      <c r="AA1922" s="175"/>
      <c r="AB1922" s="175"/>
      <c r="AC1922" s="175"/>
      <c r="AD1922" s="175"/>
      <c r="AE1922" s="175"/>
      <c r="AF1922" s="175"/>
      <c r="AG1922" s="175"/>
      <c r="AH1922" s="175"/>
      <c r="AI1922" s="175"/>
    </row>
    <row r="1923">
      <c r="A1923" s="176"/>
      <c r="B1923" s="177"/>
      <c r="C1923" s="178"/>
      <c r="D1923" s="178"/>
      <c r="E1923" s="177"/>
      <c r="F1923" s="178"/>
      <c r="G1923" s="176"/>
      <c r="H1923" s="179"/>
      <c r="I1923" s="180"/>
      <c r="J1923" s="181"/>
      <c r="K1923" s="178"/>
      <c r="L1923" s="178"/>
      <c r="M1923" s="182"/>
      <c r="N1923" s="183"/>
      <c r="O1923" s="184"/>
      <c r="P1923" s="184"/>
      <c r="Q1923" s="185"/>
      <c r="R1923" s="186"/>
      <c r="S1923" s="186"/>
      <c r="T1923" s="186"/>
      <c r="U1923" s="187"/>
      <c r="V1923" s="176"/>
      <c r="W1923" s="175"/>
      <c r="X1923" s="175"/>
      <c r="Y1923" s="175"/>
      <c r="Z1923" s="175"/>
      <c r="AA1923" s="175"/>
      <c r="AB1923" s="175"/>
      <c r="AC1923" s="175"/>
      <c r="AD1923" s="175"/>
      <c r="AE1923" s="175"/>
      <c r="AF1923" s="175"/>
      <c r="AG1923" s="175"/>
      <c r="AH1923" s="175"/>
      <c r="AI1923" s="175"/>
    </row>
    <row r="1924">
      <c r="A1924" s="176"/>
      <c r="B1924" s="177"/>
      <c r="C1924" s="178"/>
      <c r="D1924" s="178"/>
      <c r="E1924" s="177"/>
      <c r="F1924" s="178"/>
      <c r="G1924" s="176"/>
      <c r="H1924" s="179"/>
      <c r="I1924" s="180"/>
      <c r="J1924" s="181"/>
      <c r="K1924" s="178"/>
      <c r="L1924" s="178"/>
      <c r="M1924" s="182"/>
      <c r="N1924" s="183"/>
      <c r="O1924" s="184"/>
      <c r="P1924" s="184"/>
      <c r="Q1924" s="185"/>
      <c r="R1924" s="186"/>
      <c r="S1924" s="186"/>
      <c r="T1924" s="186"/>
      <c r="U1924" s="187"/>
      <c r="V1924" s="176"/>
      <c r="W1924" s="175"/>
      <c r="X1924" s="175"/>
      <c r="Y1924" s="175"/>
      <c r="Z1924" s="175"/>
      <c r="AA1924" s="175"/>
      <c r="AB1924" s="175"/>
      <c r="AC1924" s="175"/>
      <c r="AD1924" s="175"/>
      <c r="AE1924" s="175"/>
      <c r="AF1924" s="175"/>
      <c r="AG1924" s="175"/>
      <c r="AH1924" s="175"/>
      <c r="AI1924" s="175"/>
    </row>
    <row r="1925">
      <c r="A1925" s="176"/>
      <c r="B1925" s="177"/>
      <c r="C1925" s="178"/>
      <c r="D1925" s="178"/>
      <c r="E1925" s="177"/>
      <c r="F1925" s="178"/>
      <c r="G1925" s="176"/>
      <c r="H1925" s="179"/>
      <c r="I1925" s="180"/>
      <c r="J1925" s="181"/>
      <c r="K1925" s="178"/>
      <c r="L1925" s="178"/>
      <c r="M1925" s="182"/>
      <c r="N1925" s="183"/>
      <c r="O1925" s="184"/>
      <c r="P1925" s="184"/>
      <c r="Q1925" s="185"/>
      <c r="R1925" s="186"/>
      <c r="S1925" s="186"/>
      <c r="T1925" s="186"/>
      <c r="U1925" s="187"/>
      <c r="V1925" s="176"/>
      <c r="W1925" s="188"/>
      <c r="X1925" s="188"/>
      <c r="Y1925" s="188"/>
      <c r="Z1925" s="188"/>
      <c r="AA1925" s="188"/>
      <c r="AB1925" s="188"/>
      <c r="AC1925" s="188"/>
      <c r="AD1925" s="188"/>
      <c r="AE1925" s="188"/>
      <c r="AF1925" s="188"/>
      <c r="AG1925" s="188"/>
      <c r="AH1925" s="188"/>
      <c r="AI1925" s="188"/>
    </row>
    <row r="1926">
      <c r="A1926" s="176"/>
      <c r="B1926" s="177"/>
      <c r="C1926" s="178"/>
      <c r="D1926" s="178"/>
      <c r="E1926" s="177"/>
      <c r="F1926" s="178"/>
      <c r="G1926" s="176"/>
      <c r="H1926" s="179"/>
      <c r="I1926" s="180"/>
      <c r="J1926" s="181"/>
      <c r="K1926" s="178"/>
      <c r="L1926" s="178"/>
      <c r="M1926" s="182"/>
      <c r="N1926" s="183"/>
      <c r="O1926" s="184"/>
      <c r="P1926" s="184"/>
      <c r="Q1926" s="185"/>
      <c r="R1926" s="186"/>
      <c r="S1926" s="186"/>
      <c r="T1926" s="186"/>
      <c r="U1926" s="187"/>
      <c r="V1926" s="176"/>
      <c r="W1926" s="175"/>
      <c r="X1926" s="175"/>
      <c r="Y1926" s="175"/>
      <c r="Z1926" s="175"/>
      <c r="AA1926" s="175"/>
      <c r="AB1926" s="175"/>
      <c r="AC1926" s="175"/>
      <c r="AD1926" s="175"/>
      <c r="AE1926" s="175"/>
      <c r="AF1926" s="175"/>
      <c r="AG1926" s="175"/>
      <c r="AH1926" s="175"/>
      <c r="AI1926" s="175"/>
    </row>
    <row r="1927">
      <c r="A1927" s="176"/>
      <c r="B1927" s="177"/>
      <c r="C1927" s="178"/>
      <c r="D1927" s="178"/>
      <c r="E1927" s="177"/>
      <c r="F1927" s="178"/>
      <c r="G1927" s="176"/>
      <c r="H1927" s="179"/>
      <c r="I1927" s="180"/>
      <c r="J1927" s="181"/>
      <c r="K1927" s="178"/>
      <c r="L1927" s="178"/>
      <c r="M1927" s="182"/>
      <c r="N1927" s="183"/>
      <c r="O1927" s="184"/>
      <c r="P1927" s="184"/>
      <c r="Q1927" s="185"/>
      <c r="R1927" s="186"/>
      <c r="S1927" s="186"/>
      <c r="T1927" s="186"/>
      <c r="U1927" s="187"/>
      <c r="V1927" s="176"/>
      <c r="W1927" s="175"/>
      <c r="X1927" s="175"/>
      <c r="Y1927" s="175"/>
      <c r="Z1927" s="175"/>
      <c r="AA1927" s="175"/>
      <c r="AB1927" s="175"/>
      <c r="AC1927" s="175"/>
      <c r="AD1927" s="175"/>
      <c r="AE1927" s="175"/>
      <c r="AF1927" s="175"/>
      <c r="AG1927" s="175"/>
      <c r="AH1927" s="175"/>
      <c r="AI1927" s="175"/>
    </row>
    <row r="1928">
      <c r="A1928" s="176"/>
      <c r="B1928" s="177"/>
      <c r="C1928" s="178"/>
      <c r="D1928" s="178"/>
      <c r="E1928" s="177"/>
      <c r="F1928" s="178"/>
      <c r="G1928" s="176"/>
      <c r="H1928" s="179"/>
      <c r="I1928" s="180"/>
      <c r="J1928" s="181"/>
      <c r="K1928" s="178"/>
      <c r="L1928" s="178"/>
      <c r="M1928" s="182"/>
      <c r="N1928" s="183"/>
      <c r="O1928" s="184"/>
      <c r="P1928" s="184"/>
      <c r="Q1928" s="185"/>
      <c r="R1928" s="186"/>
      <c r="S1928" s="186"/>
      <c r="T1928" s="186"/>
      <c r="U1928" s="187"/>
      <c r="V1928" s="176"/>
      <c r="W1928" s="175"/>
      <c r="X1928" s="175"/>
      <c r="Y1928" s="175"/>
      <c r="Z1928" s="175"/>
      <c r="AA1928" s="175"/>
      <c r="AB1928" s="175"/>
      <c r="AC1928" s="175"/>
      <c r="AD1928" s="175"/>
      <c r="AE1928" s="175"/>
      <c r="AF1928" s="175"/>
      <c r="AG1928" s="175"/>
      <c r="AH1928" s="175"/>
      <c r="AI1928" s="175"/>
    </row>
    <row r="1929">
      <c r="A1929" s="176"/>
      <c r="B1929" s="177"/>
      <c r="C1929" s="178"/>
      <c r="D1929" s="178"/>
      <c r="E1929" s="177"/>
      <c r="F1929" s="178"/>
      <c r="G1929" s="176"/>
      <c r="H1929" s="179"/>
      <c r="I1929" s="180"/>
      <c r="J1929" s="181"/>
      <c r="K1929" s="178"/>
      <c r="L1929" s="178"/>
      <c r="M1929" s="182"/>
      <c r="N1929" s="183"/>
      <c r="O1929" s="184"/>
      <c r="P1929" s="184"/>
      <c r="Q1929" s="185"/>
      <c r="R1929" s="186"/>
      <c r="S1929" s="186"/>
      <c r="T1929" s="186"/>
      <c r="U1929" s="187"/>
      <c r="V1929" s="176"/>
      <c r="W1929" s="175"/>
      <c r="X1929" s="175"/>
      <c r="Y1929" s="175"/>
      <c r="Z1929" s="175"/>
      <c r="AA1929" s="175"/>
      <c r="AB1929" s="175"/>
      <c r="AC1929" s="175"/>
      <c r="AD1929" s="175"/>
      <c r="AE1929" s="175"/>
      <c r="AF1929" s="175"/>
      <c r="AG1929" s="175"/>
      <c r="AH1929" s="175"/>
      <c r="AI1929" s="175"/>
    </row>
    <row r="1930">
      <c r="A1930" s="176"/>
      <c r="B1930" s="177"/>
      <c r="C1930" s="178"/>
      <c r="D1930" s="178"/>
      <c r="E1930" s="177"/>
      <c r="F1930" s="178"/>
      <c r="G1930" s="176"/>
      <c r="H1930" s="179"/>
      <c r="I1930" s="180"/>
      <c r="J1930" s="181"/>
      <c r="K1930" s="178"/>
      <c r="L1930" s="178"/>
      <c r="M1930" s="182"/>
      <c r="N1930" s="183"/>
      <c r="O1930" s="184"/>
      <c r="P1930" s="184"/>
      <c r="Q1930" s="185"/>
      <c r="R1930" s="186"/>
      <c r="S1930" s="186"/>
      <c r="T1930" s="186"/>
      <c r="U1930" s="187"/>
      <c r="V1930" s="176"/>
      <c r="W1930" s="188"/>
      <c r="X1930" s="188"/>
      <c r="Y1930" s="188"/>
      <c r="Z1930" s="188"/>
      <c r="AA1930" s="188"/>
      <c r="AB1930" s="188"/>
      <c r="AC1930" s="188"/>
      <c r="AD1930" s="188"/>
      <c r="AE1930" s="188"/>
      <c r="AF1930" s="188"/>
      <c r="AG1930" s="188"/>
      <c r="AH1930" s="188"/>
      <c r="AI1930" s="188"/>
    </row>
    <row r="1931">
      <c r="A1931" s="176"/>
      <c r="B1931" s="177"/>
      <c r="C1931" s="178"/>
      <c r="D1931" s="178"/>
      <c r="E1931" s="177"/>
      <c r="F1931" s="178"/>
      <c r="G1931" s="176"/>
      <c r="H1931" s="179"/>
      <c r="I1931" s="180"/>
      <c r="J1931" s="181"/>
      <c r="K1931" s="178"/>
      <c r="L1931" s="178"/>
      <c r="M1931" s="182"/>
      <c r="N1931" s="183"/>
      <c r="O1931" s="184"/>
      <c r="P1931" s="184"/>
      <c r="Q1931" s="185"/>
      <c r="R1931" s="186"/>
      <c r="S1931" s="186"/>
      <c r="T1931" s="186"/>
      <c r="U1931" s="187"/>
      <c r="V1931" s="176"/>
      <c r="W1931" s="175"/>
      <c r="X1931" s="175"/>
      <c r="Y1931" s="175"/>
      <c r="Z1931" s="175"/>
      <c r="AA1931" s="175"/>
      <c r="AB1931" s="175"/>
      <c r="AC1931" s="175"/>
      <c r="AD1931" s="175"/>
      <c r="AE1931" s="175"/>
      <c r="AF1931" s="175"/>
      <c r="AG1931" s="175"/>
      <c r="AH1931" s="175"/>
      <c r="AI1931" s="175"/>
    </row>
    <row r="1932">
      <c r="A1932" s="176"/>
      <c r="B1932" s="177"/>
      <c r="C1932" s="178"/>
      <c r="D1932" s="178"/>
      <c r="E1932" s="177"/>
      <c r="F1932" s="178"/>
      <c r="G1932" s="176"/>
      <c r="H1932" s="179"/>
      <c r="I1932" s="180"/>
      <c r="J1932" s="181"/>
      <c r="K1932" s="178"/>
      <c r="L1932" s="178"/>
      <c r="M1932" s="182"/>
      <c r="N1932" s="183"/>
      <c r="O1932" s="184"/>
      <c r="P1932" s="184"/>
      <c r="Q1932" s="185"/>
      <c r="R1932" s="186"/>
      <c r="S1932" s="186"/>
      <c r="T1932" s="186"/>
      <c r="U1932" s="187"/>
      <c r="V1932" s="176"/>
      <c r="W1932" s="175"/>
      <c r="X1932" s="175"/>
      <c r="Y1932" s="175"/>
      <c r="Z1932" s="175"/>
      <c r="AA1932" s="175"/>
      <c r="AB1932" s="175"/>
      <c r="AC1932" s="175"/>
      <c r="AD1932" s="175"/>
      <c r="AE1932" s="175"/>
      <c r="AF1932" s="175"/>
      <c r="AG1932" s="175"/>
      <c r="AH1932" s="175"/>
      <c r="AI1932" s="175"/>
    </row>
    <row r="1933">
      <c r="A1933" s="176"/>
      <c r="B1933" s="177"/>
      <c r="C1933" s="178"/>
      <c r="D1933" s="178"/>
      <c r="E1933" s="177"/>
      <c r="F1933" s="178"/>
      <c r="G1933" s="176"/>
      <c r="H1933" s="179"/>
      <c r="I1933" s="180"/>
      <c r="J1933" s="181"/>
      <c r="K1933" s="178"/>
      <c r="L1933" s="178"/>
      <c r="M1933" s="182"/>
      <c r="N1933" s="183"/>
      <c r="O1933" s="184"/>
      <c r="P1933" s="184"/>
      <c r="Q1933" s="185"/>
      <c r="R1933" s="186"/>
      <c r="S1933" s="186"/>
      <c r="T1933" s="186"/>
      <c r="U1933" s="187"/>
      <c r="V1933" s="176"/>
      <c r="W1933" s="175"/>
      <c r="X1933" s="175"/>
      <c r="Y1933" s="175"/>
      <c r="Z1933" s="175"/>
      <c r="AA1933" s="175"/>
      <c r="AB1933" s="175"/>
      <c r="AC1933" s="175"/>
      <c r="AD1933" s="175"/>
      <c r="AE1933" s="175"/>
      <c r="AF1933" s="175"/>
      <c r="AG1933" s="175"/>
      <c r="AH1933" s="175"/>
      <c r="AI1933" s="175"/>
    </row>
    <row r="1934">
      <c r="A1934" s="176"/>
      <c r="B1934" s="177"/>
      <c r="C1934" s="178"/>
      <c r="D1934" s="178"/>
      <c r="E1934" s="177"/>
      <c r="F1934" s="178"/>
      <c r="G1934" s="176"/>
      <c r="H1934" s="179"/>
      <c r="I1934" s="180"/>
      <c r="J1934" s="181"/>
      <c r="K1934" s="178"/>
      <c r="L1934" s="178"/>
      <c r="M1934" s="182"/>
      <c r="N1934" s="183"/>
      <c r="O1934" s="184"/>
      <c r="P1934" s="184"/>
      <c r="Q1934" s="185"/>
      <c r="R1934" s="186"/>
      <c r="S1934" s="186"/>
      <c r="T1934" s="186"/>
      <c r="U1934" s="187"/>
      <c r="V1934" s="176"/>
      <c r="W1934" s="164"/>
      <c r="X1934" s="164"/>
      <c r="Y1934" s="164"/>
      <c r="Z1934" s="164"/>
      <c r="AA1934" s="164"/>
      <c r="AB1934" s="164"/>
      <c r="AC1934" s="164"/>
      <c r="AD1934" s="164"/>
      <c r="AE1934" s="164"/>
      <c r="AF1934" s="164"/>
      <c r="AG1934" s="164"/>
      <c r="AH1934" s="164"/>
      <c r="AI1934" s="164"/>
    </row>
    <row r="1935">
      <c r="A1935" s="176"/>
      <c r="B1935" s="177"/>
      <c r="C1935" s="178"/>
      <c r="D1935" s="178"/>
      <c r="E1935" s="177"/>
      <c r="F1935" s="178"/>
      <c r="G1935" s="176"/>
      <c r="H1935" s="179"/>
      <c r="I1935" s="180"/>
      <c r="J1935" s="181"/>
      <c r="K1935" s="178"/>
      <c r="L1935" s="178"/>
      <c r="M1935" s="182"/>
      <c r="N1935" s="183"/>
      <c r="O1935" s="184"/>
      <c r="P1935" s="184"/>
      <c r="Q1935" s="185"/>
      <c r="R1935" s="186"/>
      <c r="S1935" s="186"/>
      <c r="T1935" s="186"/>
      <c r="U1935" s="187"/>
      <c r="V1935" s="176"/>
      <c r="W1935" s="188"/>
      <c r="X1935" s="188"/>
      <c r="Y1935" s="188"/>
      <c r="Z1935" s="188"/>
      <c r="AA1935" s="188"/>
      <c r="AB1935" s="188"/>
      <c r="AC1935" s="188"/>
      <c r="AD1935" s="188"/>
      <c r="AE1935" s="188"/>
      <c r="AF1935" s="188"/>
      <c r="AG1935" s="188"/>
      <c r="AH1935" s="188"/>
      <c r="AI1935" s="188"/>
    </row>
    <row r="1936">
      <c r="A1936" s="176"/>
      <c r="B1936" s="177"/>
      <c r="C1936" s="178"/>
      <c r="D1936" s="178"/>
      <c r="E1936" s="177"/>
      <c r="F1936" s="178"/>
      <c r="G1936" s="176"/>
      <c r="H1936" s="179"/>
      <c r="I1936" s="180"/>
      <c r="J1936" s="181"/>
      <c r="K1936" s="178"/>
      <c r="L1936" s="178"/>
      <c r="M1936" s="182"/>
      <c r="N1936" s="183"/>
      <c r="O1936" s="184"/>
      <c r="P1936" s="184"/>
      <c r="Q1936" s="185"/>
      <c r="R1936" s="186"/>
      <c r="S1936" s="186"/>
      <c r="T1936" s="186"/>
      <c r="U1936" s="187"/>
      <c r="V1936" s="176"/>
      <c r="W1936" s="164"/>
      <c r="X1936" s="164"/>
      <c r="Y1936" s="164"/>
      <c r="Z1936" s="164"/>
      <c r="AA1936" s="164"/>
      <c r="AB1936" s="164"/>
      <c r="AC1936" s="164"/>
      <c r="AD1936" s="164"/>
      <c r="AE1936" s="164"/>
      <c r="AF1936" s="164"/>
      <c r="AG1936" s="164"/>
      <c r="AH1936" s="164"/>
      <c r="AI1936" s="164"/>
    </row>
    <row r="1937">
      <c r="A1937" s="176"/>
      <c r="B1937" s="177"/>
      <c r="C1937" s="178"/>
      <c r="D1937" s="178"/>
      <c r="E1937" s="177"/>
      <c r="F1937" s="178"/>
      <c r="G1937" s="176"/>
      <c r="H1937" s="179"/>
      <c r="I1937" s="180"/>
      <c r="J1937" s="181"/>
      <c r="K1937" s="178"/>
      <c r="L1937" s="178"/>
      <c r="M1937" s="182"/>
      <c r="N1937" s="183"/>
      <c r="O1937" s="184"/>
      <c r="P1937" s="184"/>
      <c r="Q1937" s="185"/>
      <c r="R1937" s="186"/>
      <c r="S1937" s="186"/>
      <c r="T1937" s="186"/>
      <c r="U1937" s="187"/>
      <c r="V1937" s="176"/>
      <c r="W1937" s="175"/>
      <c r="X1937" s="175"/>
      <c r="Y1937" s="175"/>
      <c r="Z1937" s="175"/>
      <c r="AA1937" s="175"/>
      <c r="AB1937" s="175"/>
      <c r="AC1937" s="175"/>
      <c r="AD1937" s="175"/>
      <c r="AE1937" s="175"/>
      <c r="AF1937" s="175"/>
      <c r="AG1937" s="175"/>
      <c r="AH1937" s="175"/>
      <c r="AI1937" s="175"/>
    </row>
    <row r="1938">
      <c r="A1938" s="176"/>
      <c r="B1938" s="177"/>
      <c r="C1938" s="178"/>
      <c r="D1938" s="178"/>
      <c r="E1938" s="177"/>
      <c r="F1938" s="178"/>
      <c r="G1938" s="176"/>
      <c r="H1938" s="179"/>
      <c r="I1938" s="180"/>
      <c r="J1938" s="181"/>
      <c r="K1938" s="178"/>
      <c r="L1938" s="178"/>
      <c r="M1938" s="182"/>
      <c r="N1938" s="183"/>
      <c r="O1938" s="184"/>
      <c r="P1938" s="184"/>
      <c r="Q1938" s="185"/>
      <c r="R1938" s="186"/>
      <c r="S1938" s="186"/>
      <c r="T1938" s="186"/>
      <c r="U1938" s="187"/>
      <c r="V1938" s="176"/>
      <c r="W1938" s="175"/>
      <c r="X1938" s="175"/>
      <c r="Y1938" s="175"/>
      <c r="Z1938" s="175"/>
      <c r="AA1938" s="175"/>
      <c r="AB1938" s="175"/>
      <c r="AC1938" s="175"/>
      <c r="AD1938" s="175"/>
      <c r="AE1938" s="175"/>
      <c r="AF1938" s="175"/>
      <c r="AG1938" s="175"/>
      <c r="AH1938" s="175"/>
      <c r="AI1938" s="175"/>
    </row>
    <row r="1939">
      <c r="A1939" s="176"/>
      <c r="B1939" s="177"/>
      <c r="C1939" s="178"/>
      <c r="D1939" s="178"/>
      <c r="E1939" s="177"/>
      <c r="F1939" s="178"/>
      <c r="G1939" s="176"/>
      <c r="H1939" s="179"/>
      <c r="I1939" s="180"/>
      <c r="J1939" s="181"/>
      <c r="K1939" s="178"/>
      <c r="L1939" s="178"/>
      <c r="M1939" s="182"/>
      <c r="N1939" s="183"/>
      <c r="O1939" s="184"/>
      <c r="P1939" s="184"/>
      <c r="Q1939" s="185"/>
      <c r="R1939" s="186"/>
      <c r="S1939" s="186"/>
      <c r="T1939" s="186"/>
      <c r="U1939" s="187"/>
      <c r="V1939" s="176"/>
      <c r="W1939" s="164"/>
      <c r="X1939" s="164"/>
      <c r="Y1939" s="164"/>
      <c r="Z1939" s="164"/>
      <c r="AA1939" s="164"/>
      <c r="AB1939" s="164"/>
      <c r="AC1939" s="164"/>
      <c r="AD1939" s="164"/>
      <c r="AE1939" s="164"/>
      <c r="AF1939" s="164"/>
      <c r="AG1939" s="164"/>
      <c r="AH1939" s="164"/>
      <c r="AI1939" s="164"/>
    </row>
    <row r="1940">
      <c r="A1940" s="176"/>
      <c r="B1940" s="177"/>
      <c r="C1940" s="178"/>
      <c r="D1940" s="178"/>
      <c r="E1940" s="177"/>
      <c r="F1940" s="178"/>
      <c r="G1940" s="176"/>
      <c r="H1940" s="179"/>
      <c r="I1940" s="180"/>
      <c r="J1940" s="181"/>
      <c r="K1940" s="178"/>
      <c r="L1940" s="178"/>
      <c r="M1940" s="182"/>
      <c r="N1940" s="183"/>
      <c r="O1940" s="184"/>
      <c r="P1940" s="184"/>
      <c r="Q1940" s="185"/>
      <c r="R1940" s="186"/>
      <c r="S1940" s="186"/>
      <c r="T1940" s="186"/>
      <c r="U1940" s="187"/>
      <c r="V1940" s="176"/>
      <c r="W1940" s="164"/>
      <c r="X1940" s="164"/>
      <c r="Y1940" s="164"/>
      <c r="Z1940" s="164"/>
      <c r="AA1940" s="164"/>
      <c r="AB1940" s="164"/>
      <c r="AC1940" s="164"/>
      <c r="AD1940" s="164"/>
      <c r="AE1940" s="164"/>
      <c r="AF1940" s="164"/>
      <c r="AG1940" s="164"/>
      <c r="AH1940" s="164"/>
      <c r="AI1940" s="164"/>
    </row>
    <row r="1941">
      <c r="A1941" s="176"/>
      <c r="B1941" s="177"/>
      <c r="C1941" s="178"/>
      <c r="D1941" s="178"/>
      <c r="E1941" s="177"/>
      <c r="F1941" s="178"/>
      <c r="G1941" s="176"/>
      <c r="H1941" s="179"/>
      <c r="I1941" s="180"/>
      <c r="J1941" s="181"/>
      <c r="K1941" s="178"/>
      <c r="L1941" s="178"/>
      <c r="M1941" s="182"/>
      <c r="N1941" s="183"/>
      <c r="O1941" s="184"/>
      <c r="P1941" s="184"/>
      <c r="Q1941" s="185"/>
      <c r="R1941" s="186"/>
      <c r="S1941" s="186"/>
      <c r="T1941" s="186"/>
      <c r="U1941" s="187"/>
      <c r="V1941" s="176"/>
      <c r="W1941" s="164"/>
      <c r="X1941" s="164"/>
      <c r="Y1941" s="164"/>
      <c r="Z1941" s="164"/>
      <c r="AA1941" s="164"/>
      <c r="AB1941" s="164"/>
      <c r="AC1941" s="164"/>
      <c r="AD1941" s="164"/>
      <c r="AE1941" s="164"/>
      <c r="AF1941" s="164"/>
      <c r="AG1941" s="164"/>
      <c r="AH1941" s="164"/>
      <c r="AI1941" s="164"/>
    </row>
    <row r="1942">
      <c r="A1942" s="176"/>
      <c r="B1942" s="177"/>
      <c r="C1942" s="178"/>
      <c r="D1942" s="178"/>
      <c r="E1942" s="177"/>
      <c r="F1942" s="178"/>
      <c r="G1942" s="176"/>
      <c r="H1942" s="179"/>
      <c r="I1942" s="180"/>
      <c r="J1942" s="181"/>
      <c r="K1942" s="178"/>
      <c r="L1942" s="178"/>
      <c r="M1942" s="182"/>
      <c r="N1942" s="183"/>
      <c r="O1942" s="184"/>
      <c r="P1942" s="184"/>
      <c r="Q1942" s="185"/>
      <c r="R1942" s="186"/>
      <c r="S1942" s="186"/>
      <c r="T1942" s="186"/>
      <c r="U1942" s="187"/>
      <c r="V1942" s="176"/>
      <c r="W1942" s="175"/>
      <c r="X1942" s="175"/>
      <c r="Y1942" s="175"/>
      <c r="Z1942" s="175"/>
      <c r="AA1942" s="175"/>
      <c r="AB1942" s="175"/>
      <c r="AC1942" s="175"/>
      <c r="AD1942" s="175"/>
      <c r="AE1942" s="175"/>
      <c r="AF1942" s="175"/>
      <c r="AG1942" s="175"/>
      <c r="AH1942" s="175"/>
      <c r="AI1942" s="175"/>
    </row>
    <row r="1943">
      <c r="A1943" s="176"/>
      <c r="B1943" s="177"/>
      <c r="C1943" s="178"/>
      <c r="D1943" s="178"/>
      <c r="E1943" s="177"/>
      <c r="F1943" s="178"/>
      <c r="G1943" s="176"/>
      <c r="H1943" s="179"/>
      <c r="I1943" s="180"/>
      <c r="J1943" s="181"/>
      <c r="K1943" s="178"/>
      <c r="L1943" s="178"/>
      <c r="M1943" s="182"/>
      <c r="N1943" s="183"/>
      <c r="O1943" s="184"/>
      <c r="P1943" s="184"/>
      <c r="Q1943" s="185"/>
      <c r="R1943" s="186"/>
      <c r="S1943" s="186"/>
      <c r="T1943" s="186"/>
      <c r="U1943" s="187"/>
      <c r="V1943" s="176"/>
      <c r="W1943" s="164"/>
      <c r="X1943" s="164"/>
      <c r="Y1943" s="164"/>
      <c r="Z1943" s="164"/>
      <c r="AA1943" s="164"/>
      <c r="AB1943" s="164"/>
      <c r="AC1943" s="164"/>
      <c r="AD1943" s="164"/>
      <c r="AE1943" s="164"/>
      <c r="AF1943" s="164"/>
      <c r="AG1943" s="164"/>
      <c r="AH1943" s="164"/>
      <c r="AI1943" s="164"/>
    </row>
    <row r="1944">
      <c r="A1944" s="176"/>
      <c r="B1944" s="177"/>
      <c r="C1944" s="178"/>
      <c r="D1944" s="178"/>
      <c r="E1944" s="177"/>
      <c r="F1944" s="178"/>
      <c r="G1944" s="176"/>
      <c r="H1944" s="179"/>
      <c r="I1944" s="180"/>
      <c r="J1944" s="181"/>
      <c r="K1944" s="178"/>
      <c r="L1944" s="178"/>
      <c r="M1944" s="182"/>
      <c r="N1944" s="183"/>
      <c r="O1944" s="184"/>
      <c r="P1944" s="184"/>
      <c r="Q1944" s="185"/>
      <c r="R1944" s="186"/>
      <c r="S1944" s="186"/>
      <c r="T1944" s="186"/>
      <c r="U1944" s="187"/>
      <c r="V1944" s="176"/>
      <c r="W1944" s="175"/>
      <c r="X1944" s="175"/>
      <c r="Y1944" s="175"/>
      <c r="Z1944" s="175"/>
      <c r="AA1944" s="175"/>
      <c r="AB1944" s="175"/>
      <c r="AC1944" s="175"/>
      <c r="AD1944" s="175"/>
      <c r="AE1944" s="175"/>
      <c r="AF1944" s="175"/>
      <c r="AG1944" s="175"/>
      <c r="AH1944" s="175"/>
      <c r="AI1944" s="175"/>
    </row>
    <row r="1945">
      <c r="A1945" s="176"/>
      <c r="B1945" s="177"/>
      <c r="C1945" s="178"/>
      <c r="D1945" s="178"/>
      <c r="E1945" s="177"/>
      <c r="F1945" s="178"/>
      <c r="G1945" s="176"/>
      <c r="H1945" s="179"/>
      <c r="I1945" s="180"/>
      <c r="J1945" s="181"/>
      <c r="K1945" s="178"/>
      <c r="L1945" s="178"/>
      <c r="M1945" s="182"/>
      <c r="N1945" s="183"/>
      <c r="O1945" s="184"/>
      <c r="P1945" s="184"/>
      <c r="Q1945" s="185"/>
      <c r="R1945" s="186"/>
      <c r="S1945" s="186"/>
      <c r="T1945" s="186"/>
      <c r="U1945" s="187"/>
      <c r="V1945" s="176"/>
      <c r="W1945" s="175"/>
      <c r="X1945" s="175"/>
      <c r="Y1945" s="175"/>
      <c r="Z1945" s="175"/>
      <c r="AA1945" s="175"/>
      <c r="AB1945" s="175"/>
      <c r="AC1945" s="175"/>
      <c r="AD1945" s="175"/>
      <c r="AE1945" s="175"/>
      <c r="AF1945" s="175"/>
      <c r="AG1945" s="175"/>
      <c r="AH1945" s="175"/>
      <c r="AI1945" s="175"/>
    </row>
    <row r="1946">
      <c r="A1946" s="176"/>
      <c r="B1946" s="177"/>
      <c r="C1946" s="178"/>
      <c r="D1946" s="178"/>
      <c r="E1946" s="177"/>
      <c r="F1946" s="178"/>
      <c r="G1946" s="176"/>
      <c r="H1946" s="179"/>
      <c r="I1946" s="180"/>
      <c r="J1946" s="181"/>
      <c r="K1946" s="178"/>
      <c r="L1946" s="178"/>
      <c r="M1946" s="182"/>
      <c r="N1946" s="183"/>
      <c r="O1946" s="184"/>
      <c r="P1946" s="184"/>
      <c r="Q1946" s="185"/>
      <c r="R1946" s="186"/>
      <c r="S1946" s="186"/>
      <c r="T1946" s="186"/>
      <c r="U1946" s="187"/>
      <c r="V1946" s="176"/>
      <c r="W1946" s="175"/>
      <c r="X1946" s="175"/>
      <c r="Y1946" s="175"/>
      <c r="Z1946" s="175"/>
      <c r="AA1946" s="175"/>
      <c r="AB1946" s="175"/>
      <c r="AC1946" s="175"/>
      <c r="AD1946" s="175"/>
      <c r="AE1946" s="175"/>
      <c r="AF1946" s="175"/>
      <c r="AG1946" s="175"/>
      <c r="AH1946" s="175"/>
      <c r="AI1946" s="175"/>
    </row>
    <row r="1947">
      <c r="A1947" s="176"/>
      <c r="B1947" s="177"/>
      <c r="C1947" s="178"/>
      <c r="D1947" s="178"/>
      <c r="E1947" s="177"/>
      <c r="F1947" s="178"/>
      <c r="G1947" s="176"/>
      <c r="H1947" s="179"/>
      <c r="I1947" s="180"/>
      <c r="J1947" s="181"/>
      <c r="K1947" s="178"/>
      <c r="L1947" s="178"/>
      <c r="M1947" s="182"/>
      <c r="N1947" s="183"/>
      <c r="O1947" s="184"/>
      <c r="P1947" s="184"/>
      <c r="Q1947" s="185"/>
      <c r="R1947" s="186"/>
      <c r="S1947" s="186"/>
      <c r="T1947" s="186"/>
      <c r="U1947" s="187"/>
      <c r="V1947" s="176"/>
      <c r="W1947" s="175"/>
      <c r="X1947" s="175"/>
      <c r="Y1947" s="175"/>
      <c r="Z1947" s="175"/>
      <c r="AA1947" s="175"/>
      <c r="AB1947" s="175"/>
      <c r="AC1947" s="175"/>
      <c r="AD1947" s="175"/>
      <c r="AE1947" s="175"/>
      <c r="AF1947" s="175"/>
      <c r="AG1947" s="175"/>
      <c r="AH1947" s="175"/>
      <c r="AI1947" s="175"/>
    </row>
    <row r="1948">
      <c r="A1948" s="176"/>
      <c r="B1948" s="177"/>
      <c r="C1948" s="178"/>
      <c r="D1948" s="178"/>
      <c r="E1948" s="177"/>
      <c r="F1948" s="178"/>
      <c r="G1948" s="176"/>
      <c r="H1948" s="179"/>
      <c r="I1948" s="180"/>
      <c r="J1948" s="181"/>
      <c r="K1948" s="178"/>
      <c r="L1948" s="178"/>
      <c r="M1948" s="182"/>
      <c r="N1948" s="183"/>
      <c r="O1948" s="184"/>
      <c r="P1948" s="184"/>
      <c r="Q1948" s="185"/>
      <c r="R1948" s="186"/>
      <c r="S1948" s="186"/>
      <c r="T1948" s="186"/>
      <c r="U1948" s="187"/>
      <c r="V1948" s="176"/>
      <c r="W1948" s="175"/>
      <c r="X1948" s="175"/>
      <c r="Y1948" s="175"/>
      <c r="Z1948" s="175"/>
      <c r="AA1948" s="175"/>
      <c r="AB1948" s="175"/>
      <c r="AC1948" s="175"/>
      <c r="AD1948" s="175"/>
      <c r="AE1948" s="175"/>
      <c r="AF1948" s="175"/>
      <c r="AG1948" s="175"/>
      <c r="AH1948" s="175"/>
      <c r="AI1948" s="175"/>
    </row>
    <row r="1949">
      <c r="A1949" s="176"/>
      <c r="B1949" s="177"/>
      <c r="C1949" s="178"/>
      <c r="D1949" s="178"/>
      <c r="E1949" s="177"/>
      <c r="F1949" s="178"/>
      <c r="G1949" s="176"/>
      <c r="H1949" s="179"/>
      <c r="I1949" s="180"/>
      <c r="J1949" s="181"/>
      <c r="K1949" s="178"/>
      <c r="L1949" s="178"/>
      <c r="M1949" s="182"/>
      <c r="N1949" s="183"/>
      <c r="O1949" s="184"/>
      <c r="P1949" s="184"/>
      <c r="Q1949" s="185"/>
      <c r="R1949" s="186"/>
      <c r="S1949" s="186"/>
      <c r="T1949" s="186"/>
      <c r="U1949" s="187"/>
      <c r="V1949" s="176"/>
      <c r="W1949" s="175"/>
      <c r="X1949" s="175"/>
      <c r="Y1949" s="175"/>
      <c r="Z1949" s="175"/>
      <c r="AA1949" s="175"/>
      <c r="AB1949" s="175"/>
      <c r="AC1949" s="175"/>
      <c r="AD1949" s="175"/>
      <c r="AE1949" s="175"/>
      <c r="AF1949" s="175"/>
      <c r="AG1949" s="175"/>
      <c r="AH1949" s="175"/>
      <c r="AI1949" s="175"/>
    </row>
    <row r="1950">
      <c r="A1950" s="176"/>
      <c r="B1950" s="177"/>
      <c r="C1950" s="178"/>
      <c r="D1950" s="178"/>
      <c r="E1950" s="177"/>
      <c r="F1950" s="178"/>
      <c r="G1950" s="176"/>
      <c r="H1950" s="179"/>
      <c r="I1950" s="180"/>
      <c r="J1950" s="181"/>
      <c r="K1950" s="178"/>
      <c r="L1950" s="178"/>
      <c r="M1950" s="182"/>
      <c r="N1950" s="183"/>
      <c r="O1950" s="184"/>
      <c r="P1950" s="184"/>
      <c r="Q1950" s="185"/>
      <c r="R1950" s="186"/>
      <c r="S1950" s="186"/>
      <c r="T1950" s="186"/>
      <c r="U1950" s="187"/>
      <c r="V1950" s="176"/>
      <c r="W1950" s="175"/>
      <c r="X1950" s="175"/>
      <c r="Y1950" s="175"/>
      <c r="Z1950" s="175"/>
      <c r="AA1950" s="175"/>
      <c r="AB1950" s="175"/>
      <c r="AC1950" s="175"/>
      <c r="AD1950" s="175"/>
      <c r="AE1950" s="175"/>
      <c r="AF1950" s="175"/>
      <c r="AG1950" s="175"/>
      <c r="AH1950" s="175"/>
      <c r="AI1950" s="175"/>
    </row>
    <row r="1951">
      <c r="A1951" s="176"/>
      <c r="B1951" s="177"/>
      <c r="C1951" s="178"/>
      <c r="D1951" s="178"/>
      <c r="E1951" s="177"/>
      <c r="F1951" s="178"/>
      <c r="G1951" s="176"/>
      <c r="H1951" s="179"/>
      <c r="I1951" s="180"/>
      <c r="J1951" s="181"/>
      <c r="K1951" s="178"/>
      <c r="L1951" s="178"/>
      <c r="M1951" s="182"/>
      <c r="N1951" s="183"/>
      <c r="O1951" s="184"/>
      <c r="P1951" s="184"/>
      <c r="Q1951" s="185"/>
      <c r="R1951" s="186"/>
      <c r="S1951" s="186"/>
      <c r="T1951" s="186"/>
      <c r="U1951" s="187"/>
      <c r="V1951" s="176"/>
      <c r="W1951" s="175"/>
      <c r="X1951" s="175"/>
      <c r="Y1951" s="175"/>
      <c r="Z1951" s="175"/>
      <c r="AA1951" s="175"/>
      <c r="AB1951" s="175"/>
      <c r="AC1951" s="175"/>
      <c r="AD1951" s="175"/>
      <c r="AE1951" s="175"/>
      <c r="AF1951" s="175"/>
      <c r="AG1951" s="175"/>
      <c r="AH1951" s="175"/>
      <c r="AI1951" s="175"/>
    </row>
    <row r="1952">
      <c r="A1952" s="176"/>
      <c r="B1952" s="177"/>
      <c r="C1952" s="178"/>
      <c r="D1952" s="178"/>
      <c r="E1952" s="177"/>
      <c r="F1952" s="178"/>
      <c r="G1952" s="176"/>
      <c r="H1952" s="179"/>
      <c r="I1952" s="180"/>
      <c r="J1952" s="181"/>
      <c r="K1952" s="178"/>
      <c r="L1952" s="178"/>
      <c r="M1952" s="182"/>
      <c r="N1952" s="183"/>
      <c r="O1952" s="184"/>
      <c r="P1952" s="184"/>
      <c r="Q1952" s="185"/>
      <c r="R1952" s="186"/>
      <c r="S1952" s="186"/>
      <c r="T1952" s="186"/>
      <c r="U1952" s="187"/>
      <c r="V1952" s="176"/>
      <c r="W1952" s="175"/>
      <c r="X1952" s="175"/>
      <c r="Y1952" s="175"/>
      <c r="Z1952" s="175"/>
      <c r="AA1952" s="175"/>
      <c r="AB1952" s="175"/>
      <c r="AC1952" s="175"/>
      <c r="AD1952" s="175"/>
      <c r="AE1952" s="175"/>
      <c r="AF1952" s="175"/>
      <c r="AG1952" s="175"/>
      <c r="AH1952" s="175"/>
      <c r="AI1952" s="175"/>
    </row>
    <row r="1953">
      <c r="A1953" s="176"/>
      <c r="B1953" s="177"/>
      <c r="C1953" s="178"/>
      <c r="D1953" s="178"/>
      <c r="E1953" s="177"/>
      <c r="F1953" s="178"/>
      <c r="G1953" s="176"/>
      <c r="H1953" s="179"/>
      <c r="I1953" s="180"/>
      <c r="J1953" s="181"/>
      <c r="K1953" s="178"/>
      <c r="L1953" s="178"/>
      <c r="M1953" s="182"/>
      <c r="N1953" s="183"/>
      <c r="O1953" s="184"/>
      <c r="P1953" s="184"/>
      <c r="Q1953" s="185"/>
      <c r="R1953" s="186"/>
      <c r="S1953" s="186"/>
      <c r="T1953" s="186"/>
      <c r="U1953" s="187"/>
      <c r="V1953" s="176"/>
      <c r="W1953" s="175"/>
      <c r="X1953" s="175"/>
      <c r="Y1953" s="175"/>
      <c r="Z1953" s="175"/>
      <c r="AA1953" s="175"/>
      <c r="AB1953" s="175"/>
      <c r="AC1953" s="175"/>
      <c r="AD1953" s="175"/>
      <c r="AE1953" s="175"/>
      <c r="AF1953" s="175"/>
      <c r="AG1953" s="175"/>
      <c r="AH1953" s="175"/>
      <c r="AI1953" s="175"/>
    </row>
    <row r="1954">
      <c r="A1954" s="176"/>
      <c r="B1954" s="177"/>
      <c r="C1954" s="178"/>
      <c r="D1954" s="178"/>
      <c r="E1954" s="177"/>
      <c r="F1954" s="178"/>
      <c r="G1954" s="176"/>
      <c r="H1954" s="179"/>
      <c r="I1954" s="180"/>
      <c r="J1954" s="181"/>
      <c r="K1954" s="178"/>
      <c r="L1954" s="178"/>
      <c r="M1954" s="182"/>
      <c r="N1954" s="183"/>
      <c r="O1954" s="184"/>
      <c r="P1954" s="184"/>
      <c r="Q1954" s="185"/>
      <c r="R1954" s="186"/>
      <c r="S1954" s="186"/>
      <c r="T1954" s="186"/>
      <c r="U1954" s="187"/>
      <c r="V1954" s="176"/>
      <c r="W1954" s="175"/>
      <c r="X1954" s="175"/>
      <c r="Y1954" s="175"/>
      <c r="Z1954" s="175"/>
      <c r="AA1954" s="175"/>
      <c r="AB1954" s="175"/>
      <c r="AC1954" s="175"/>
      <c r="AD1954" s="175"/>
      <c r="AE1954" s="175"/>
      <c r="AF1954" s="175"/>
      <c r="AG1954" s="175"/>
      <c r="AH1954" s="175"/>
      <c r="AI1954" s="175"/>
    </row>
    <row r="1955">
      <c r="A1955" s="176"/>
      <c r="B1955" s="177"/>
      <c r="C1955" s="178"/>
      <c r="D1955" s="178"/>
      <c r="E1955" s="177"/>
      <c r="F1955" s="178"/>
      <c r="G1955" s="176"/>
      <c r="H1955" s="179"/>
      <c r="I1955" s="180"/>
      <c r="J1955" s="181"/>
      <c r="K1955" s="178"/>
      <c r="L1955" s="178"/>
      <c r="M1955" s="182"/>
      <c r="N1955" s="183"/>
      <c r="O1955" s="184"/>
      <c r="P1955" s="184"/>
      <c r="Q1955" s="185"/>
      <c r="R1955" s="186"/>
      <c r="S1955" s="186"/>
      <c r="T1955" s="186"/>
      <c r="U1955" s="187"/>
      <c r="V1955" s="176"/>
      <c r="W1955" s="175"/>
      <c r="X1955" s="175"/>
      <c r="Y1955" s="175"/>
      <c r="Z1955" s="175"/>
      <c r="AA1955" s="175"/>
      <c r="AB1955" s="175"/>
      <c r="AC1955" s="175"/>
      <c r="AD1955" s="175"/>
      <c r="AE1955" s="175"/>
      <c r="AF1955" s="175"/>
      <c r="AG1955" s="175"/>
      <c r="AH1955" s="175"/>
      <c r="AI1955" s="175"/>
    </row>
    <row r="1956">
      <c r="A1956" s="176"/>
      <c r="B1956" s="177"/>
      <c r="C1956" s="178"/>
      <c r="D1956" s="178"/>
      <c r="E1956" s="177"/>
      <c r="F1956" s="178"/>
      <c r="G1956" s="176"/>
      <c r="H1956" s="179"/>
      <c r="I1956" s="180"/>
      <c r="J1956" s="181"/>
      <c r="K1956" s="178"/>
      <c r="L1956" s="178"/>
      <c r="M1956" s="182"/>
      <c r="N1956" s="183"/>
      <c r="O1956" s="184"/>
      <c r="P1956" s="184"/>
      <c r="Q1956" s="185"/>
      <c r="R1956" s="186"/>
      <c r="S1956" s="186"/>
      <c r="T1956" s="186"/>
      <c r="U1956" s="187"/>
      <c r="V1956" s="176"/>
      <c r="W1956" s="188"/>
      <c r="X1956" s="188"/>
      <c r="Y1956" s="188"/>
      <c r="Z1956" s="188"/>
      <c r="AA1956" s="188"/>
      <c r="AB1956" s="188"/>
      <c r="AC1956" s="188"/>
      <c r="AD1956" s="188"/>
      <c r="AE1956" s="188"/>
      <c r="AF1956" s="188"/>
      <c r="AG1956" s="188"/>
      <c r="AH1956" s="188"/>
      <c r="AI1956" s="188"/>
    </row>
    <row r="1957">
      <c r="A1957" s="176"/>
      <c r="B1957" s="177"/>
      <c r="C1957" s="178"/>
      <c r="D1957" s="178"/>
      <c r="E1957" s="177"/>
      <c r="F1957" s="178"/>
      <c r="G1957" s="176"/>
      <c r="H1957" s="179"/>
      <c r="I1957" s="180"/>
      <c r="J1957" s="181"/>
      <c r="K1957" s="178"/>
      <c r="L1957" s="178"/>
      <c r="M1957" s="182"/>
      <c r="N1957" s="183"/>
      <c r="O1957" s="184"/>
      <c r="P1957" s="184"/>
      <c r="Q1957" s="185"/>
      <c r="R1957" s="186"/>
      <c r="S1957" s="186"/>
      <c r="T1957" s="186"/>
      <c r="U1957" s="187"/>
      <c r="V1957" s="176"/>
      <c r="W1957" s="164"/>
      <c r="X1957" s="164"/>
      <c r="Y1957" s="164"/>
      <c r="Z1957" s="164"/>
      <c r="AA1957" s="164"/>
      <c r="AB1957" s="164"/>
      <c r="AC1957" s="164"/>
      <c r="AD1957" s="164"/>
      <c r="AE1957" s="164"/>
      <c r="AF1957" s="164"/>
      <c r="AG1957" s="164"/>
      <c r="AH1957" s="164"/>
      <c r="AI1957" s="164"/>
    </row>
    <row r="1958">
      <c r="A1958" s="176"/>
      <c r="B1958" s="177"/>
      <c r="C1958" s="178"/>
      <c r="D1958" s="178"/>
      <c r="E1958" s="177"/>
      <c r="F1958" s="178"/>
      <c r="G1958" s="176"/>
      <c r="H1958" s="179"/>
      <c r="I1958" s="180"/>
      <c r="J1958" s="181"/>
      <c r="K1958" s="178"/>
      <c r="L1958" s="178"/>
      <c r="M1958" s="182"/>
      <c r="N1958" s="183"/>
      <c r="O1958" s="184"/>
      <c r="P1958" s="184"/>
      <c r="Q1958" s="185"/>
      <c r="R1958" s="186"/>
      <c r="S1958" s="186"/>
      <c r="T1958" s="186"/>
      <c r="U1958" s="187"/>
      <c r="V1958" s="176"/>
      <c r="W1958" s="175"/>
      <c r="X1958" s="175"/>
      <c r="Y1958" s="175"/>
      <c r="Z1958" s="175"/>
      <c r="AA1958" s="175"/>
      <c r="AB1958" s="175"/>
      <c r="AC1958" s="175"/>
      <c r="AD1958" s="175"/>
      <c r="AE1958" s="175"/>
      <c r="AF1958" s="175"/>
      <c r="AG1958" s="175"/>
      <c r="AH1958" s="175"/>
      <c r="AI1958" s="175"/>
    </row>
    <row r="1959">
      <c r="A1959" s="176"/>
      <c r="B1959" s="177"/>
      <c r="C1959" s="178"/>
      <c r="D1959" s="178"/>
      <c r="E1959" s="177"/>
      <c r="F1959" s="178"/>
      <c r="G1959" s="176"/>
      <c r="H1959" s="179"/>
      <c r="I1959" s="180"/>
      <c r="J1959" s="181"/>
      <c r="K1959" s="178"/>
      <c r="L1959" s="178"/>
      <c r="M1959" s="182"/>
      <c r="N1959" s="183"/>
      <c r="O1959" s="184"/>
      <c r="P1959" s="184"/>
      <c r="Q1959" s="185"/>
      <c r="R1959" s="186"/>
      <c r="S1959" s="186"/>
      <c r="T1959" s="186"/>
      <c r="U1959" s="187"/>
      <c r="V1959" s="176"/>
      <c r="W1959" s="164"/>
      <c r="X1959" s="164"/>
      <c r="Y1959" s="164"/>
      <c r="Z1959" s="164"/>
      <c r="AA1959" s="164"/>
      <c r="AB1959" s="164"/>
      <c r="AC1959" s="164"/>
      <c r="AD1959" s="164"/>
      <c r="AE1959" s="164"/>
      <c r="AF1959" s="164"/>
      <c r="AG1959" s="164"/>
      <c r="AH1959" s="164"/>
      <c r="AI1959" s="164"/>
    </row>
    <row r="1960">
      <c r="A1960" s="176"/>
      <c r="B1960" s="177"/>
      <c r="C1960" s="178"/>
      <c r="D1960" s="178"/>
      <c r="E1960" s="177"/>
      <c r="F1960" s="178"/>
      <c r="G1960" s="176"/>
      <c r="H1960" s="179"/>
      <c r="I1960" s="180"/>
      <c r="J1960" s="181"/>
      <c r="K1960" s="178"/>
      <c r="L1960" s="178"/>
      <c r="M1960" s="182"/>
      <c r="N1960" s="183"/>
      <c r="O1960" s="184"/>
      <c r="P1960" s="184"/>
      <c r="Q1960" s="185"/>
      <c r="R1960" s="186"/>
      <c r="S1960" s="186"/>
      <c r="T1960" s="186"/>
      <c r="U1960" s="187"/>
      <c r="V1960" s="176"/>
      <c r="W1960" s="175"/>
      <c r="X1960" s="175"/>
      <c r="Y1960" s="175"/>
      <c r="Z1960" s="175"/>
      <c r="AA1960" s="175"/>
      <c r="AB1960" s="175"/>
      <c r="AC1960" s="175"/>
      <c r="AD1960" s="175"/>
      <c r="AE1960" s="175"/>
      <c r="AF1960" s="175"/>
      <c r="AG1960" s="175"/>
      <c r="AH1960" s="175"/>
      <c r="AI1960" s="175"/>
    </row>
    <row r="1961">
      <c r="A1961" s="176"/>
      <c r="B1961" s="177"/>
      <c r="C1961" s="178"/>
      <c r="D1961" s="178"/>
      <c r="E1961" s="177"/>
      <c r="F1961" s="178"/>
      <c r="G1961" s="176"/>
      <c r="H1961" s="179"/>
      <c r="I1961" s="180"/>
      <c r="J1961" s="181"/>
      <c r="K1961" s="178"/>
      <c r="L1961" s="178"/>
      <c r="M1961" s="182"/>
      <c r="N1961" s="183"/>
      <c r="O1961" s="184"/>
      <c r="P1961" s="184"/>
      <c r="Q1961" s="185"/>
      <c r="R1961" s="186"/>
      <c r="S1961" s="186"/>
      <c r="T1961" s="186"/>
      <c r="U1961" s="187"/>
      <c r="V1961" s="176"/>
      <c r="W1961" s="164"/>
      <c r="X1961" s="164"/>
      <c r="Y1961" s="164"/>
      <c r="Z1961" s="164"/>
      <c r="AA1961" s="164"/>
      <c r="AB1961" s="164"/>
      <c r="AC1961" s="164"/>
      <c r="AD1961" s="164"/>
      <c r="AE1961" s="164"/>
      <c r="AF1961" s="164"/>
      <c r="AG1961" s="164"/>
      <c r="AH1961" s="164"/>
      <c r="AI1961" s="164"/>
    </row>
    <row r="1962">
      <c r="A1962" s="176"/>
      <c r="B1962" s="177"/>
      <c r="C1962" s="178"/>
      <c r="D1962" s="178"/>
      <c r="E1962" s="177"/>
      <c r="F1962" s="178"/>
      <c r="G1962" s="176"/>
      <c r="H1962" s="179"/>
      <c r="I1962" s="180"/>
      <c r="J1962" s="181"/>
      <c r="K1962" s="178"/>
      <c r="L1962" s="178"/>
      <c r="M1962" s="182"/>
      <c r="N1962" s="183"/>
      <c r="O1962" s="184"/>
      <c r="P1962" s="184"/>
      <c r="Q1962" s="185"/>
      <c r="R1962" s="186"/>
      <c r="S1962" s="186"/>
      <c r="T1962" s="186"/>
      <c r="U1962" s="187"/>
      <c r="V1962" s="176"/>
      <c r="W1962" s="175"/>
      <c r="X1962" s="175"/>
      <c r="Y1962" s="175"/>
      <c r="Z1962" s="175"/>
      <c r="AA1962" s="175"/>
      <c r="AB1962" s="175"/>
      <c r="AC1962" s="175"/>
      <c r="AD1962" s="175"/>
      <c r="AE1962" s="175"/>
      <c r="AF1962" s="175"/>
      <c r="AG1962" s="175"/>
      <c r="AH1962" s="175"/>
      <c r="AI1962" s="175"/>
    </row>
    <row r="1963">
      <c r="A1963" s="176"/>
      <c r="B1963" s="177"/>
      <c r="C1963" s="178"/>
      <c r="D1963" s="178"/>
      <c r="E1963" s="177"/>
      <c r="F1963" s="178"/>
      <c r="G1963" s="176"/>
      <c r="H1963" s="179"/>
      <c r="I1963" s="180"/>
      <c r="J1963" s="181"/>
      <c r="K1963" s="178"/>
      <c r="L1963" s="178"/>
      <c r="M1963" s="182"/>
      <c r="N1963" s="183"/>
      <c r="O1963" s="184"/>
      <c r="P1963" s="184"/>
      <c r="Q1963" s="185"/>
      <c r="R1963" s="186"/>
      <c r="S1963" s="186"/>
      <c r="T1963" s="162"/>
      <c r="U1963" s="163"/>
      <c r="V1963" s="154"/>
      <c r="W1963" s="175"/>
      <c r="X1963" s="175"/>
      <c r="Y1963" s="175"/>
      <c r="Z1963" s="175"/>
      <c r="AA1963" s="175"/>
      <c r="AB1963" s="175"/>
      <c r="AC1963" s="175"/>
      <c r="AD1963" s="175"/>
      <c r="AE1963" s="175"/>
      <c r="AF1963" s="175"/>
      <c r="AG1963" s="175"/>
      <c r="AH1963" s="175"/>
      <c r="AI1963" s="175"/>
    </row>
    <row r="1964">
      <c r="A1964" s="176"/>
      <c r="B1964" s="177"/>
      <c r="C1964" s="178"/>
      <c r="D1964" s="178"/>
      <c r="E1964" s="177"/>
      <c r="F1964" s="178"/>
      <c r="G1964" s="176"/>
      <c r="H1964" s="179"/>
      <c r="I1964" s="180"/>
      <c r="J1964" s="181"/>
      <c r="K1964" s="178"/>
      <c r="L1964" s="178"/>
      <c r="M1964" s="182"/>
      <c r="N1964" s="183"/>
      <c r="O1964" s="184"/>
      <c r="P1964" s="184"/>
      <c r="Q1964" s="185"/>
      <c r="R1964" s="186"/>
      <c r="S1964" s="186"/>
      <c r="T1964" s="186"/>
      <c r="U1964" s="187"/>
      <c r="V1964" s="176"/>
      <c r="W1964" s="175"/>
      <c r="X1964" s="175"/>
      <c r="Y1964" s="175"/>
      <c r="Z1964" s="175"/>
      <c r="AA1964" s="175"/>
      <c r="AB1964" s="175"/>
      <c r="AC1964" s="175"/>
      <c r="AD1964" s="175"/>
      <c r="AE1964" s="175"/>
      <c r="AF1964" s="175"/>
      <c r="AG1964" s="175"/>
      <c r="AH1964" s="175"/>
      <c r="AI1964" s="175"/>
    </row>
    <row r="1965">
      <c r="A1965" s="176"/>
      <c r="B1965" s="177"/>
      <c r="C1965" s="178"/>
      <c r="D1965" s="178"/>
      <c r="E1965" s="177"/>
      <c r="F1965" s="178"/>
      <c r="G1965" s="176"/>
      <c r="H1965" s="179"/>
      <c r="I1965" s="180"/>
      <c r="J1965" s="181"/>
      <c r="K1965" s="178"/>
      <c r="L1965" s="178"/>
      <c r="M1965" s="182"/>
      <c r="N1965" s="183"/>
      <c r="O1965" s="184"/>
      <c r="P1965" s="184"/>
      <c r="Q1965" s="185"/>
      <c r="R1965" s="186"/>
      <c r="S1965" s="186"/>
      <c r="T1965" s="186"/>
      <c r="U1965" s="187"/>
      <c r="V1965" s="176"/>
      <c r="W1965" s="188"/>
      <c r="X1965" s="188"/>
      <c r="Y1965" s="188"/>
      <c r="Z1965" s="188"/>
      <c r="AA1965" s="188"/>
      <c r="AB1965" s="188"/>
      <c r="AC1965" s="188"/>
      <c r="AD1965" s="188"/>
      <c r="AE1965" s="188"/>
      <c r="AF1965" s="188"/>
      <c r="AG1965" s="188"/>
      <c r="AH1965" s="188"/>
      <c r="AI1965" s="188"/>
    </row>
    <row r="1966">
      <c r="A1966" s="176"/>
      <c r="B1966" s="177"/>
      <c r="C1966" s="178"/>
      <c r="D1966" s="178"/>
      <c r="E1966" s="177"/>
      <c r="F1966" s="178"/>
      <c r="G1966" s="176"/>
      <c r="H1966" s="179"/>
      <c r="I1966" s="180"/>
      <c r="J1966" s="181"/>
      <c r="K1966" s="178"/>
      <c r="L1966" s="178"/>
      <c r="M1966" s="182"/>
      <c r="N1966" s="183"/>
      <c r="O1966" s="184"/>
      <c r="P1966" s="184"/>
      <c r="Q1966" s="185"/>
      <c r="R1966" s="186"/>
      <c r="S1966" s="186"/>
      <c r="T1966" s="186"/>
      <c r="U1966" s="187"/>
      <c r="V1966" s="176"/>
      <c r="W1966" s="175"/>
      <c r="X1966" s="175"/>
      <c r="Y1966" s="175"/>
      <c r="Z1966" s="175"/>
      <c r="AA1966" s="175"/>
      <c r="AB1966" s="175"/>
      <c r="AC1966" s="175"/>
      <c r="AD1966" s="175"/>
      <c r="AE1966" s="175"/>
      <c r="AF1966" s="175"/>
      <c r="AG1966" s="175"/>
      <c r="AH1966" s="175"/>
      <c r="AI1966" s="175"/>
    </row>
    <row r="1967">
      <c r="A1967" s="176"/>
      <c r="B1967" s="177"/>
      <c r="C1967" s="178"/>
      <c r="D1967" s="178"/>
      <c r="E1967" s="177"/>
      <c r="F1967" s="178"/>
      <c r="G1967" s="176"/>
      <c r="H1967" s="179"/>
      <c r="I1967" s="180"/>
      <c r="J1967" s="181"/>
      <c r="K1967" s="178"/>
      <c r="L1967" s="178"/>
      <c r="M1967" s="182"/>
      <c r="N1967" s="183"/>
      <c r="O1967" s="184"/>
      <c r="P1967" s="184"/>
      <c r="Q1967" s="185"/>
      <c r="R1967" s="186"/>
      <c r="S1967" s="186"/>
      <c r="T1967" s="186"/>
      <c r="U1967" s="187"/>
      <c r="V1967" s="176"/>
      <c r="W1967" s="188"/>
      <c r="X1967" s="188"/>
      <c r="Y1967" s="188"/>
      <c r="Z1967" s="188"/>
      <c r="AA1967" s="188"/>
      <c r="AB1967" s="188"/>
      <c r="AC1967" s="188"/>
      <c r="AD1967" s="188"/>
      <c r="AE1967" s="188"/>
      <c r="AF1967" s="188"/>
      <c r="AG1967" s="188"/>
      <c r="AH1967" s="188"/>
      <c r="AI1967" s="188"/>
    </row>
    <row r="1968">
      <c r="A1968" s="176"/>
      <c r="B1968" s="177"/>
      <c r="C1968" s="178"/>
      <c r="D1968" s="178"/>
      <c r="E1968" s="177"/>
      <c r="F1968" s="178"/>
      <c r="G1968" s="176"/>
      <c r="H1968" s="179"/>
      <c r="I1968" s="180"/>
      <c r="J1968" s="181"/>
      <c r="K1968" s="178"/>
      <c r="L1968" s="178"/>
      <c r="M1968" s="182"/>
      <c r="N1968" s="183"/>
      <c r="O1968" s="184"/>
      <c r="P1968" s="184"/>
      <c r="Q1968" s="185"/>
      <c r="R1968" s="186"/>
      <c r="S1968" s="186"/>
      <c r="T1968" s="186"/>
      <c r="U1968" s="187"/>
      <c r="V1968" s="176"/>
      <c r="W1968" s="164"/>
      <c r="X1968" s="164"/>
      <c r="Y1968" s="164"/>
      <c r="Z1968" s="164"/>
      <c r="AA1968" s="164"/>
      <c r="AB1968" s="164"/>
      <c r="AC1968" s="164"/>
      <c r="AD1968" s="164"/>
      <c r="AE1968" s="164"/>
      <c r="AF1968" s="164"/>
      <c r="AG1968" s="164"/>
      <c r="AH1968" s="164"/>
      <c r="AI1968" s="164"/>
    </row>
    <row r="1969">
      <c r="A1969" s="176"/>
      <c r="B1969" s="177"/>
      <c r="C1969" s="178"/>
      <c r="D1969" s="178"/>
      <c r="E1969" s="177"/>
      <c r="F1969" s="178"/>
      <c r="G1969" s="176"/>
      <c r="H1969" s="179"/>
      <c r="I1969" s="180"/>
      <c r="J1969" s="181"/>
      <c r="K1969" s="178"/>
      <c r="L1969" s="178"/>
      <c r="M1969" s="182"/>
      <c r="N1969" s="183"/>
      <c r="O1969" s="184"/>
      <c r="P1969" s="184"/>
      <c r="Q1969" s="185"/>
      <c r="R1969" s="186"/>
      <c r="S1969" s="186"/>
      <c r="T1969" s="186"/>
      <c r="U1969" s="187"/>
      <c r="V1969" s="176"/>
      <c r="W1969" s="175"/>
      <c r="X1969" s="175"/>
      <c r="Y1969" s="175"/>
      <c r="Z1969" s="175"/>
      <c r="AA1969" s="175"/>
      <c r="AB1969" s="175"/>
      <c r="AC1969" s="175"/>
      <c r="AD1969" s="175"/>
      <c r="AE1969" s="175"/>
      <c r="AF1969" s="175"/>
      <c r="AG1969" s="175"/>
      <c r="AH1969" s="175"/>
      <c r="AI1969" s="175"/>
    </row>
    <row r="1970">
      <c r="A1970" s="176"/>
      <c r="B1970" s="177"/>
      <c r="C1970" s="178"/>
      <c r="D1970" s="178"/>
      <c r="E1970" s="177"/>
      <c r="F1970" s="178"/>
      <c r="G1970" s="176"/>
      <c r="H1970" s="179"/>
      <c r="I1970" s="180"/>
      <c r="J1970" s="181"/>
      <c r="K1970" s="178"/>
      <c r="L1970" s="178"/>
      <c r="M1970" s="182"/>
      <c r="N1970" s="183"/>
      <c r="O1970" s="184"/>
      <c r="P1970" s="184"/>
      <c r="Q1970" s="185"/>
      <c r="R1970" s="186"/>
      <c r="S1970" s="186"/>
      <c r="T1970" s="186"/>
      <c r="U1970" s="187"/>
      <c r="V1970" s="176"/>
      <c r="W1970" s="164"/>
      <c r="X1970" s="164"/>
      <c r="Y1970" s="164"/>
      <c r="Z1970" s="164"/>
      <c r="AA1970" s="164"/>
      <c r="AB1970" s="164"/>
      <c r="AC1970" s="164"/>
      <c r="AD1970" s="164"/>
      <c r="AE1970" s="164"/>
      <c r="AF1970" s="164"/>
      <c r="AG1970" s="164"/>
      <c r="AH1970" s="164"/>
      <c r="AI1970" s="164"/>
    </row>
    <row r="1971">
      <c r="A1971" s="176"/>
      <c r="B1971" s="177"/>
      <c r="C1971" s="178"/>
      <c r="D1971" s="178"/>
      <c r="E1971" s="177"/>
      <c r="F1971" s="178"/>
      <c r="G1971" s="176"/>
      <c r="H1971" s="179"/>
      <c r="I1971" s="180"/>
      <c r="J1971" s="181"/>
      <c r="K1971" s="178"/>
      <c r="L1971" s="178"/>
      <c r="M1971" s="182"/>
      <c r="N1971" s="183"/>
      <c r="O1971" s="184"/>
      <c r="P1971" s="184"/>
      <c r="Q1971" s="185"/>
      <c r="R1971" s="186"/>
      <c r="S1971" s="186"/>
      <c r="T1971" s="186"/>
      <c r="U1971" s="187"/>
      <c r="V1971" s="176"/>
      <c r="W1971" s="175"/>
      <c r="X1971" s="175"/>
      <c r="Y1971" s="175"/>
      <c r="Z1971" s="175"/>
      <c r="AA1971" s="175"/>
      <c r="AB1971" s="175"/>
      <c r="AC1971" s="175"/>
      <c r="AD1971" s="175"/>
      <c r="AE1971" s="175"/>
      <c r="AF1971" s="175"/>
      <c r="AG1971" s="175"/>
      <c r="AH1971" s="175"/>
      <c r="AI1971" s="175"/>
    </row>
    <row r="1972">
      <c r="A1972" s="176"/>
      <c r="B1972" s="177"/>
      <c r="C1972" s="178"/>
      <c r="D1972" s="178"/>
      <c r="E1972" s="177"/>
      <c r="F1972" s="178"/>
      <c r="G1972" s="176"/>
      <c r="H1972" s="179"/>
      <c r="I1972" s="180"/>
      <c r="J1972" s="181"/>
      <c r="K1972" s="178"/>
      <c r="L1972" s="178"/>
      <c r="M1972" s="182"/>
      <c r="N1972" s="183"/>
      <c r="O1972" s="184"/>
      <c r="P1972" s="184"/>
      <c r="Q1972" s="185"/>
      <c r="R1972" s="186"/>
      <c r="S1972" s="186"/>
      <c r="T1972" s="186"/>
      <c r="U1972" s="187"/>
      <c r="V1972" s="176"/>
      <c r="W1972" s="175"/>
      <c r="X1972" s="175"/>
      <c r="Y1972" s="175"/>
      <c r="Z1972" s="175"/>
      <c r="AA1972" s="175"/>
      <c r="AB1972" s="175"/>
      <c r="AC1972" s="175"/>
      <c r="AD1972" s="175"/>
      <c r="AE1972" s="175"/>
      <c r="AF1972" s="175"/>
      <c r="AG1972" s="175"/>
      <c r="AH1972" s="175"/>
      <c r="AI1972" s="175"/>
    </row>
    <row r="1973">
      <c r="A1973" s="176"/>
      <c r="B1973" s="177"/>
      <c r="C1973" s="178"/>
      <c r="D1973" s="178"/>
      <c r="E1973" s="177"/>
      <c r="F1973" s="178"/>
      <c r="G1973" s="176"/>
      <c r="H1973" s="179"/>
      <c r="I1973" s="180"/>
      <c r="J1973" s="181"/>
      <c r="K1973" s="178"/>
      <c r="L1973" s="178"/>
      <c r="M1973" s="182"/>
      <c r="N1973" s="183"/>
      <c r="O1973" s="184"/>
      <c r="P1973" s="184"/>
      <c r="Q1973" s="185"/>
      <c r="R1973" s="186"/>
      <c r="S1973" s="186"/>
      <c r="T1973" s="186"/>
      <c r="U1973" s="187"/>
      <c r="V1973" s="176"/>
      <c r="W1973" s="175"/>
      <c r="X1973" s="175"/>
      <c r="Y1973" s="175"/>
      <c r="Z1973" s="175"/>
      <c r="AA1973" s="175"/>
      <c r="AB1973" s="175"/>
      <c r="AC1973" s="175"/>
      <c r="AD1973" s="175"/>
      <c r="AE1973" s="175"/>
      <c r="AF1973" s="175"/>
      <c r="AG1973" s="175"/>
      <c r="AH1973" s="175"/>
      <c r="AI1973" s="175"/>
    </row>
    <row r="1974">
      <c r="A1974" s="176"/>
      <c r="B1974" s="177"/>
      <c r="C1974" s="178"/>
      <c r="D1974" s="178"/>
      <c r="E1974" s="177"/>
      <c r="F1974" s="178"/>
      <c r="G1974" s="176"/>
      <c r="H1974" s="179"/>
      <c r="I1974" s="180"/>
      <c r="J1974" s="181"/>
      <c r="K1974" s="178"/>
      <c r="L1974" s="178"/>
      <c r="M1974" s="182"/>
      <c r="N1974" s="183"/>
      <c r="O1974" s="184"/>
      <c r="P1974" s="184"/>
      <c r="Q1974" s="185"/>
      <c r="R1974" s="186"/>
      <c r="S1974" s="186"/>
      <c r="T1974" s="186"/>
      <c r="U1974" s="187"/>
      <c r="V1974" s="176"/>
      <c r="W1974" s="175"/>
      <c r="X1974" s="175"/>
      <c r="Y1974" s="175"/>
      <c r="Z1974" s="175"/>
      <c r="AA1974" s="175"/>
      <c r="AB1974" s="175"/>
      <c r="AC1974" s="175"/>
      <c r="AD1974" s="175"/>
      <c r="AE1974" s="175"/>
      <c r="AF1974" s="175"/>
      <c r="AG1974" s="175"/>
      <c r="AH1974" s="175"/>
      <c r="AI1974" s="175"/>
    </row>
    <row r="1975">
      <c r="A1975" s="176"/>
      <c r="B1975" s="177"/>
      <c r="C1975" s="178"/>
      <c r="D1975" s="178"/>
      <c r="E1975" s="177"/>
      <c r="F1975" s="178"/>
      <c r="G1975" s="176"/>
      <c r="H1975" s="179"/>
      <c r="I1975" s="180"/>
      <c r="J1975" s="181"/>
      <c r="K1975" s="178"/>
      <c r="L1975" s="178"/>
      <c r="M1975" s="182"/>
      <c r="N1975" s="183"/>
      <c r="O1975" s="184"/>
      <c r="P1975" s="184"/>
      <c r="Q1975" s="185"/>
      <c r="R1975" s="186"/>
      <c r="S1975" s="186"/>
      <c r="T1975" s="162"/>
      <c r="U1975" s="163"/>
      <c r="V1975" s="154"/>
      <c r="W1975" s="175"/>
      <c r="X1975" s="175"/>
      <c r="Y1975" s="175"/>
      <c r="Z1975" s="175"/>
      <c r="AA1975" s="175"/>
      <c r="AB1975" s="175"/>
      <c r="AC1975" s="175"/>
      <c r="AD1975" s="175"/>
      <c r="AE1975" s="175"/>
      <c r="AF1975" s="175"/>
      <c r="AG1975" s="175"/>
      <c r="AH1975" s="175"/>
      <c r="AI1975" s="175"/>
    </row>
    <row r="1976">
      <c r="A1976" s="176"/>
      <c r="B1976" s="177"/>
      <c r="C1976" s="178"/>
      <c r="D1976" s="178"/>
      <c r="E1976" s="177"/>
      <c r="F1976" s="178"/>
      <c r="G1976" s="176"/>
      <c r="H1976" s="179"/>
      <c r="I1976" s="180"/>
      <c r="J1976" s="181"/>
      <c r="K1976" s="178"/>
      <c r="L1976" s="178"/>
      <c r="M1976" s="182"/>
      <c r="N1976" s="183"/>
      <c r="O1976" s="184"/>
      <c r="P1976" s="184"/>
      <c r="Q1976" s="185"/>
      <c r="R1976" s="186"/>
      <c r="S1976" s="186"/>
      <c r="T1976" s="186"/>
      <c r="U1976" s="187"/>
      <c r="V1976" s="176"/>
      <c r="W1976" s="164"/>
      <c r="X1976" s="164"/>
      <c r="Y1976" s="164"/>
      <c r="Z1976" s="164"/>
      <c r="AA1976" s="164"/>
      <c r="AB1976" s="164"/>
      <c r="AC1976" s="164"/>
      <c r="AD1976" s="164"/>
      <c r="AE1976" s="164"/>
      <c r="AF1976" s="164"/>
      <c r="AG1976" s="164"/>
      <c r="AH1976" s="164"/>
      <c r="AI1976" s="164"/>
    </row>
    <row r="1977">
      <c r="A1977" s="176"/>
      <c r="B1977" s="177"/>
      <c r="C1977" s="178"/>
      <c r="D1977" s="178"/>
      <c r="E1977" s="177"/>
      <c r="F1977" s="178"/>
      <c r="G1977" s="176"/>
      <c r="H1977" s="179"/>
      <c r="I1977" s="180"/>
      <c r="J1977" s="181"/>
      <c r="K1977" s="178"/>
      <c r="L1977" s="178"/>
      <c r="M1977" s="182"/>
      <c r="N1977" s="183"/>
      <c r="O1977" s="184"/>
      <c r="P1977" s="184"/>
      <c r="Q1977" s="185"/>
      <c r="R1977" s="186"/>
      <c r="S1977" s="186"/>
      <c r="T1977" s="186"/>
      <c r="U1977" s="187"/>
      <c r="V1977" s="176"/>
      <c r="W1977" s="188"/>
      <c r="X1977" s="188"/>
      <c r="Y1977" s="188"/>
      <c r="Z1977" s="188"/>
      <c r="AA1977" s="188"/>
      <c r="AB1977" s="188"/>
      <c r="AC1977" s="188"/>
      <c r="AD1977" s="188"/>
      <c r="AE1977" s="188"/>
      <c r="AF1977" s="188"/>
      <c r="AG1977" s="188"/>
      <c r="AH1977" s="188"/>
      <c r="AI1977" s="188"/>
    </row>
    <row r="1978">
      <c r="A1978" s="176"/>
      <c r="B1978" s="177"/>
      <c r="C1978" s="178"/>
      <c r="D1978" s="178"/>
      <c r="E1978" s="177"/>
      <c r="F1978" s="178"/>
      <c r="G1978" s="176"/>
      <c r="H1978" s="179"/>
      <c r="I1978" s="180"/>
      <c r="J1978" s="181"/>
      <c r="K1978" s="178"/>
      <c r="L1978" s="178"/>
      <c r="M1978" s="182"/>
      <c r="N1978" s="183"/>
      <c r="O1978" s="184"/>
      <c r="P1978" s="184"/>
      <c r="Q1978" s="185"/>
      <c r="R1978" s="186"/>
      <c r="S1978" s="186"/>
      <c r="T1978" s="186"/>
      <c r="U1978" s="187"/>
      <c r="V1978" s="176"/>
      <c r="W1978" s="164"/>
      <c r="X1978" s="164"/>
      <c r="Y1978" s="164"/>
      <c r="Z1978" s="164"/>
      <c r="AA1978" s="164"/>
      <c r="AB1978" s="164"/>
      <c r="AC1978" s="164"/>
      <c r="AD1978" s="164"/>
      <c r="AE1978" s="164"/>
      <c r="AF1978" s="164"/>
      <c r="AG1978" s="164"/>
      <c r="AH1978" s="164"/>
      <c r="AI1978" s="164"/>
    </row>
    <row r="1979">
      <c r="A1979" s="176"/>
      <c r="B1979" s="177"/>
      <c r="C1979" s="178"/>
      <c r="D1979" s="178"/>
      <c r="E1979" s="177"/>
      <c r="F1979" s="178"/>
      <c r="G1979" s="176"/>
      <c r="H1979" s="179"/>
      <c r="I1979" s="180"/>
      <c r="J1979" s="181"/>
      <c r="K1979" s="178"/>
      <c r="L1979" s="178"/>
      <c r="M1979" s="182"/>
      <c r="N1979" s="183"/>
      <c r="O1979" s="184"/>
      <c r="P1979" s="184"/>
      <c r="Q1979" s="185"/>
      <c r="R1979" s="186"/>
      <c r="S1979" s="186"/>
      <c r="T1979" s="186"/>
      <c r="U1979" s="187"/>
      <c r="V1979" s="176"/>
      <c r="W1979" s="175"/>
      <c r="X1979" s="175"/>
      <c r="Y1979" s="175"/>
      <c r="Z1979" s="175"/>
      <c r="AA1979" s="175"/>
      <c r="AB1979" s="175"/>
      <c r="AC1979" s="175"/>
      <c r="AD1979" s="175"/>
      <c r="AE1979" s="175"/>
      <c r="AF1979" s="175"/>
      <c r="AG1979" s="175"/>
      <c r="AH1979" s="175"/>
      <c r="AI1979" s="175"/>
    </row>
    <row r="1980">
      <c r="A1980" s="176"/>
      <c r="B1980" s="177"/>
      <c r="C1980" s="178"/>
      <c r="D1980" s="178"/>
      <c r="E1980" s="177"/>
      <c r="F1980" s="178"/>
      <c r="G1980" s="176"/>
      <c r="H1980" s="179"/>
      <c r="I1980" s="180"/>
      <c r="J1980" s="181"/>
      <c r="K1980" s="178"/>
      <c r="L1980" s="178"/>
      <c r="M1980" s="182"/>
      <c r="N1980" s="183"/>
      <c r="O1980" s="184"/>
      <c r="P1980" s="184"/>
      <c r="Q1980" s="185"/>
      <c r="R1980" s="186"/>
      <c r="S1980" s="186"/>
      <c r="T1980" s="186"/>
      <c r="U1980" s="187"/>
      <c r="V1980" s="176"/>
      <c r="W1980" s="164"/>
      <c r="X1980" s="164"/>
      <c r="Y1980" s="164"/>
      <c r="Z1980" s="164"/>
      <c r="AA1980" s="164"/>
      <c r="AB1980" s="164"/>
      <c r="AC1980" s="164"/>
      <c r="AD1980" s="164"/>
      <c r="AE1980" s="164"/>
      <c r="AF1980" s="164"/>
      <c r="AG1980" s="164"/>
      <c r="AH1980" s="164"/>
      <c r="AI1980" s="164"/>
    </row>
    <row r="1981">
      <c r="A1981" s="176"/>
      <c r="B1981" s="177"/>
      <c r="C1981" s="178"/>
      <c r="D1981" s="178"/>
      <c r="E1981" s="177"/>
      <c r="F1981" s="178"/>
      <c r="G1981" s="176"/>
      <c r="H1981" s="179"/>
      <c r="I1981" s="180"/>
      <c r="J1981" s="181"/>
      <c r="K1981" s="178"/>
      <c r="L1981" s="178"/>
      <c r="M1981" s="182"/>
      <c r="N1981" s="183"/>
      <c r="O1981" s="184"/>
      <c r="P1981" s="184"/>
      <c r="Q1981" s="185"/>
      <c r="R1981" s="186"/>
      <c r="S1981" s="186"/>
      <c r="T1981" s="186"/>
      <c r="U1981" s="187"/>
      <c r="V1981" s="176"/>
      <c r="W1981" s="164"/>
      <c r="X1981" s="164"/>
      <c r="Y1981" s="164"/>
      <c r="Z1981" s="164"/>
      <c r="AA1981" s="164"/>
      <c r="AB1981" s="164"/>
      <c r="AC1981" s="164"/>
      <c r="AD1981" s="164"/>
      <c r="AE1981" s="164"/>
      <c r="AF1981" s="164"/>
      <c r="AG1981" s="164"/>
      <c r="AH1981" s="164"/>
      <c r="AI1981" s="164"/>
    </row>
    <row r="1982">
      <c r="A1982" s="176"/>
      <c r="B1982" s="177"/>
      <c r="C1982" s="178"/>
      <c r="D1982" s="178"/>
      <c r="E1982" s="177"/>
      <c r="F1982" s="178"/>
      <c r="G1982" s="176"/>
      <c r="H1982" s="179"/>
      <c r="I1982" s="180"/>
      <c r="J1982" s="181"/>
      <c r="K1982" s="178"/>
      <c r="L1982" s="178"/>
      <c r="M1982" s="182"/>
      <c r="N1982" s="183"/>
      <c r="O1982" s="184"/>
      <c r="P1982" s="184"/>
      <c r="Q1982" s="185"/>
      <c r="R1982" s="186"/>
      <c r="S1982" s="186"/>
      <c r="T1982" s="186"/>
      <c r="U1982" s="187"/>
      <c r="V1982" s="176"/>
      <c r="W1982" s="175"/>
      <c r="X1982" s="175"/>
      <c r="Y1982" s="175"/>
      <c r="Z1982" s="175"/>
      <c r="AA1982" s="175"/>
      <c r="AB1982" s="175"/>
      <c r="AC1982" s="175"/>
      <c r="AD1982" s="175"/>
      <c r="AE1982" s="175"/>
      <c r="AF1982" s="175"/>
      <c r="AG1982" s="175"/>
      <c r="AH1982" s="175"/>
      <c r="AI1982" s="175"/>
    </row>
    <row r="1983">
      <c r="A1983" s="176"/>
      <c r="B1983" s="177"/>
      <c r="C1983" s="178"/>
      <c r="D1983" s="178"/>
      <c r="E1983" s="177"/>
      <c r="F1983" s="178"/>
      <c r="G1983" s="176"/>
      <c r="H1983" s="179"/>
      <c r="I1983" s="180"/>
      <c r="J1983" s="181"/>
      <c r="K1983" s="178"/>
      <c r="L1983" s="178"/>
      <c r="M1983" s="182"/>
      <c r="N1983" s="183"/>
      <c r="O1983" s="184"/>
      <c r="P1983" s="184"/>
      <c r="Q1983" s="185"/>
      <c r="R1983" s="186"/>
      <c r="S1983" s="186"/>
      <c r="T1983" s="186"/>
      <c r="U1983" s="187"/>
      <c r="V1983" s="176"/>
      <c r="W1983" s="175"/>
      <c r="X1983" s="175"/>
      <c r="Y1983" s="175"/>
      <c r="Z1983" s="175"/>
      <c r="AA1983" s="175"/>
      <c r="AB1983" s="175"/>
      <c r="AC1983" s="175"/>
      <c r="AD1983" s="175"/>
      <c r="AE1983" s="175"/>
      <c r="AF1983" s="175"/>
      <c r="AG1983" s="175"/>
      <c r="AH1983" s="175"/>
      <c r="AI1983" s="175"/>
    </row>
    <row r="1984">
      <c r="A1984" s="176"/>
      <c r="B1984" s="177"/>
      <c r="C1984" s="178"/>
      <c r="D1984" s="178"/>
      <c r="E1984" s="177"/>
      <c r="F1984" s="178"/>
      <c r="G1984" s="176"/>
      <c r="H1984" s="179"/>
      <c r="I1984" s="180"/>
      <c r="J1984" s="181"/>
      <c r="K1984" s="178"/>
      <c r="L1984" s="178"/>
      <c r="M1984" s="182"/>
      <c r="N1984" s="183"/>
      <c r="O1984" s="184"/>
      <c r="P1984" s="184"/>
      <c r="Q1984" s="185"/>
      <c r="R1984" s="186"/>
      <c r="S1984" s="186"/>
      <c r="T1984" s="186"/>
      <c r="U1984" s="187"/>
      <c r="V1984" s="176"/>
      <c r="W1984" s="175"/>
      <c r="X1984" s="175"/>
      <c r="Y1984" s="175"/>
      <c r="Z1984" s="175"/>
      <c r="AA1984" s="175"/>
      <c r="AB1984" s="175"/>
      <c r="AC1984" s="175"/>
      <c r="AD1984" s="175"/>
      <c r="AE1984" s="175"/>
      <c r="AF1984" s="175"/>
      <c r="AG1984" s="175"/>
      <c r="AH1984" s="175"/>
      <c r="AI1984" s="175"/>
    </row>
    <row r="1985">
      <c r="A1985" s="176"/>
      <c r="B1985" s="177"/>
      <c r="C1985" s="178"/>
      <c r="D1985" s="178"/>
      <c r="E1985" s="177"/>
      <c r="F1985" s="178"/>
      <c r="G1985" s="176"/>
      <c r="H1985" s="179"/>
      <c r="I1985" s="180"/>
      <c r="J1985" s="181"/>
      <c r="K1985" s="178"/>
      <c r="L1985" s="178"/>
      <c r="M1985" s="182"/>
      <c r="N1985" s="183"/>
      <c r="O1985" s="184"/>
      <c r="P1985" s="184"/>
      <c r="Q1985" s="185"/>
      <c r="R1985" s="186"/>
      <c r="S1985" s="186"/>
      <c r="T1985" s="186"/>
      <c r="U1985" s="187"/>
      <c r="V1985" s="176"/>
      <c r="W1985" s="188"/>
      <c r="X1985" s="188"/>
      <c r="Y1985" s="188"/>
      <c r="Z1985" s="188"/>
      <c r="AA1985" s="188"/>
      <c r="AB1985" s="188"/>
      <c r="AC1985" s="188"/>
      <c r="AD1985" s="188"/>
      <c r="AE1985" s="188"/>
      <c r="AF1985" s="188"/>
      <c r="AG1985" s="188"/>
      <c r="AH1985" s="188"/>
      <c r="AI1985" s="188"/>
    </row>
    <row r="1986">
      <c r="A1986" s="176"/>
      <c r="B1986" s="177"/>
      <c r="C1986" s="178"/>
      <c r="D1986" s="178"/>
      <c r="E1986" s="177"/>
      <c r="F1986" s="178"/>
      <c r="G1986" s="176"/>
      <c r="H1986" s="179"/>
      <c r="I1986" s="180"/>
      <c r="J1986" s="181"/>
      <c r="K1986" s="178"/>
      <c r="L1986" s="178"/>
      <c r="M1986" s="182"/>
      <c r="N1986" s="183"/>
      <c r="O1986" s="184"/>
      <c r="P1986" s="184"/>
      <c r="Q1986" s="185"/>
      <c r="R1986" s="186"/>
      <c r="S1986" s="186"/>
      <c r="T1986" s="186"/>
      <c r="U1986" s="187"/>
      <c r="V1986" s="176"/>
      <c r="W1986" s="175"/>
      <c r="X1986" s="175"/>
      <c r="Y1986" s="175"/>
      <c r="Z1986" s="175"/>
      <c r="AA1986" s="175"/>
      <c r="AB1986" s="175"/>
      <c r="AC1986" s="175"/>
      <c r="AD1986" s="175"/>
      <c r="AE1986" s="175"/>
      <c r="AF1986" s="175"/>
      <c r="AG1986" s="175"/>
      <c r="AH1986" s="175"/>
      <c r="AI1986" s="175"/>
    </row>
    <row r="1987">
      <c r="A1987" s="176"/>
      <c r="B1987" s="177"/>
      <c r="C1987" s="178"/>
      <c r="D1987" s="178"/>
      <c r="E1987" s="177"/>
      <c r="F1987" s="178"/>
      <c r="G1987" s="176"/>
      <c r="H1987" s="179"/>
      <c r="I1987" s="180"/>
      <c r="J1987" s="181"/>
      <c r="K1987" s="178"/>
      <c r="L1987" s="178"/>
      <c r="M1987" s="182"/>
      <c r="N1987" s="183"/>
      <c r="O1987" s="184"/>
      <c r="P1987" s="184"/>
      <c r="Q1987" s="185"/>
      <c r="R1987" s="186"/>
      <c r="S1987" s="186"/>
      <c r="T1987" s="186"/>
      <c r="U1987" s="187"/>
      <c r="V1987" s="176"/>
      <c r="W1987" s="164"/>
      <c r="X1987" s="164"/>
      <c r="Y1987" s="164"/>
      <c r="Z1987" s="164"/>
      <c r="AA1987" s="164"/>
      <c r="AB1987" s="164"/>
      <c r="AC1987" s="164"/>
      <c r="AD1987" s="164"/>
      <c r="AE1987" s="164"/>
      <c r="AF1987" s="164"/>
      <c r="AG1987" s="164"/>
      <c r="AH1987" s="164"/>
      <c r="AI1987" s="164"/>
    </row>
    <row r="1988">
      <c r="A1988" s="176"/>
      <c r="B1988" s="177"/>
      <c r="C1988" s="178"/>
      <c r="D1988" s="178"/>
      <c r="E1988" s="177"/>
      <c r="F1988" s="178"/>
      <c r="G1988" s="176"/>
      <c r="H1988" s="179"/>
      <c r="I1988" s="180"/>
      <c r="J1988" s="181"/>
      <c r="K1988" s="178"/>
      <c r="L1988" s="178"/>
      <c r="M1988" s="182"/>
      <c r="N1988" s="183"/>
      <c r="O1988" s="184"/>
      <c r="P1988" s="184"/>
      <c r="Q1988" s="185"/>
      <c r="R1988" s="186"/>
      <c r="S1988" s="186"/>
      <c r="T1988" s="186"/>
      <c r="U1988" s="187"/>
      <c r="V1988" s="176"/>
      <c r="W1988" s="175"/>
      <c r="X1988" s="175"/>
      <c r="Y1988" s="175"/>
      <c r="Z1988" s="175"/>
      <c r="AA1988" s="175"/>
      <c r="AB1988" s="175"/>
      <c r="AC1988" s="175"/>
      <c r="AD1988" s="175"/>
      <c r="AE1988" s="175"/>
      <c r="AF1988" s="175"/>
      <c r="AG1988" s="175"/>
      <c r="AH1988" s="175"/>
      <c r="AI1988" s="175"/>
    </row>
    <row r="1989">
      <c r="A1989" s="176"/>
      <c r="B1989" s="177"/>
      <c r="C1989" s="178"/>
      <c r="D1989" s="178"/>
      <c r="E1989" s="177"/>
      <c r="F1989" s="178"/>
      <c r="G1989" s="176"/>
      <c r="H1989" s="179"/>
      <c r="I1989" s="180"/>
      <c r="J1989" s="181"/>
      <c r="K1989" s="178"/>
      <c r="L1989" s="178"/>
      <c r="M1989" s="182"/>
      <c r="N1989" s="183"/>
      <c r="O1989" s="184"/>
      <c r="P1989" s="184"/>
      <c r="Q1989" s="185"/>
      <c r="R1989" s="186"/>
      <c r="S1989" s="186"/>
      <c r="T1989" s="186"/>
      <c r="U1989" s="187"/>
      <c r="V1989" s="176"/>
      <c r="W1989" s="175"/>
      <c r="X1989" s="175"/>
      <c r="Y1989" s="175"/>
      <c r="Z1989" s="175"/>
      <c r="AA1989" s="175"/>
      <c r="AB1989" s="175"/>
      <c r="AC1989" s="175"/>
      <c r="AD1989" s="175"/>
      <c r="AE1989" s="175"/>
      <c r="AF1989" s="175"/>
      <c r="AG1989" s="175"/>
      <c r="AH1989" s="175"/>
      <c r="AI1989" s="175"/>
    </row>
    <row r="1990">
      <c r="A1990" s="176"/>
      <c r="B1990" s="177"/>
      <c r="C1990" s="178"/>
      <c r="D1990" s="178"/>
      <c r="E1990" s="177"/>
      <c r="F1990" s="178"/>
      <c r="G1990" s="176"/>
      <c r="H1990" s="179"/>
      <c r="I1990" s="180"/>
      <c r="J1990" s="181"/>
      <c r="K1990" s="178"/>
      <c r="L1990" s="178"/>
      <c r="M1990" s="182"/>
      <c r="N1990" s="183"/>
      <c r="O1990" s="184"/>
      <c r="P1990" s="184"/>
      <c r="Q1990" s="185"/>
      <c r="R1990" s="186"/>
      <c r="S1990" s="186"/>
      <c r="T1990" s="186"/>
      <c r="U1990" s="187"/>
      <c r="V1990" s="176"/>
      <c r="W1990" s="188"/>
      <c r="X1990" s="188"/>
      <c r="Y1990" s="188"/>
      <c r="Z1990" s="188"/>
      <c r="AA1990" s="188"/>
      <c r="AB1990" s="188"/>
      <c r="AC1990" s="188"/>
      <c r="AD1990" s="188"/>
      <c r="AE1990" s="188"/>
      <c r="AF1990" s="188"/>
      <c r="AG1990" s="188"/>
      <c r="AH1990" s="188"/>
      <c r="AI1990" s="188"/>
    </row>
    <row r="1991">
      <c r="A1991" s="176"/>
      <c r="B1991" s="177"/>
      <c r="C1991" s="178"/>
      <c r="D1991" s="178"/>
      <c r="E1991" s="177"/>
      <c r="F1991" s="178"/>
      <c r="G1991" s="176"/>
      <c r="H1991" s="179"/>
      <c r="I1991" s="180"/>
      <c r="J1991" s="181"/>
      <c r="K1991" s="178"/>
      <c r="L1991" s="178"/>
      <c r="M1991" s="182"/>
      <c r="N1991" s="183"/>
      <c r="O1991" s="184"/>
      <c r="P1991" s="184"/>
      <c r="Q1991" s="185"/>
      <c r="R1991" s="186"/>
      <c r="S1991" s="186"/>
      <c r="T1991" s="186"/>
      <c r="U1991" s="187"/>
      <c r="V1991" s="176"/>
      <c r="W1991" s="164"/>
      <c r="X1991" s="164"/>
      <c r="Y1991" s="164"/>
      <c r="Z1991" s="164"/>
      <c r="AA1991" s="164"/>
      <c r="AB1991" s="164"/>
      <c r="AC1991" s="164"/>
      <c r="AD1991" s="164"/>
      <c r="AE1991" s="164"/>
      <c r="AF1991" s="164"/>
      <c r="AG1991" s="164"/>
      <c r="AH1991" s="164"/>
      <c r="AI1991" s="164"/>
    </row>
    <row r="1992">
      <c r="A1992" s="176"/>
      <c r="B1992" s="177"/>
      <c r="C1992" s="178"/>
      <c r="D1992" s="178"/>
      <c r="E1992" s="177"/>
      <c r="F1992" s="178"/>
      <c r="G1992" s="176"/>
      <c r="H1992" s="179"/>
      <c r="I1992" s="180"/>
      <c r="J1992" s="181"/>
      <c r="K1992" s="178"/>
      <c r="L1992" s="178"/>
      <c r="M1992" s="182"/>
      <c r="N1992" s="183"/>
      <c r="O1992" s="184"/>
      <c r="P1992" s="184"/>
      <c r="Q1992" s="185"/>
      <c r="R1992" s="186"/>
      <c r="S1992" s="186"/>
      <c r="T1992" s="186"/>
      <c r="U1992" s="187"/>
      <c r="V1992" s="176"/>
      <c r="W1992" s="175"/>
      <c r="X1992" s="175"/>
      <c r="Y1992" s="175"/>
      <c r="Z1992" s="175"/>
      <c r="AA1992" s="175"/>
      <c r="AB1992" s="175"/>
      <c r="AC1992" s="175"/>
      <c r="AD1992" s="175"/>
      <c r="AE1992" s="175"/>
      <c r="AF1992" s="175"/>
      <c r="AG1992" s="175"/>
      <c r="AH1992" s="175"/>
      <c r="AI1992" s="175"/>
    </row>
    <row r="1993">
      <c r="A1993" s="176"/>
      <c r="B1993" s="177"/>
      <c r="C1993" s="178"/>
      <c r="D1993" s="178"/>
      <c r="E1993" s="177"/>
      <c r="F1993" s="178"/>
      <c r="G1993" s="176"/>
      <c r="H1993" s="179"/>
      <c r="I1993" s="180"/>
      <c r="J1993" s="181"/>
      <c r="K1993" s="178"/>
      <c r="L1993" s="178"/>
      <c r="M1993" s="182"/>
      <c r="N1993" s="183"/>
      <c r="O1993" s="184"/>
      <c r="P1993" s="184"/>
      <c r="Q1993" s="185"/>
      <c r="R1993" s="186"/>
      <c r="S1993" s="186"/>
      <c r="T1993" s="186"/>
      <c r="U1993" s="187"/>
      <c r="V1993" s="176"/>
      <c r="W1993" s="175"/>
      <c r="X1993" s="175"/>
      <c r="Y1993" s="175"/>
      <c r="Z1993" s="175"/>
      <c r="AA1993" s="175"/>
      <c r="AB1993" s="175"/>
      <c r="AC1993" s="175"/>
      <c r="AD1993" s="175"/>
      <c r="AE1993" s="175"/>
      <c r="AF1993" s="175"/>
      <c r="AG1993" s="175"/>
      <c r="AH1993" s="175"/>
      <c r="AI1993" s="175"/>
    </row>
    <row r="1994">
      <c r="A1994" s="176"/>
      <c r="B1994" s="177"/>
      <c r="C1994" s="178"/>
      <c r="D1994" s="178"/>
      <c r="E1994" s="177"/>
      <c r="F1994" s="178"/>
      <c r="G1994" s="176"/>
      <c r="H1994" s="179"/>
      <c r="I1994" s="180"/>
      <c r="J1994" s="181"/>
      <c r="K1994" s="178"/>
      <c r="L1994" s="178"/>
      <c r="M1994" s="182"/>
      <c r="N1994" s="183"/>
      <c r="O1994" s="184"/>
      <c r="P1994" s="184"/>
      <c r="Q1994" s="185"/>
      <c r="R1994" s="186"/>
      <c r="S1994" s="186"/>
      <c r="T1994" s="186"/>
      <c r="U1994" s="187"/>
      <c r="V1994" s="176"/>
      <c r="W1994" s="164"/>
      <c r="X1994" s="164"/>
      <c r="Y1994" s="164"/>
      <c r="Z1994" s="164"/>
      <c r="AA1994" s="164"/>
      <c r="AB1994" s="164"/>
      <c r="AC1994" s="164"/>
      <c r="AD1994" s="164"/>
      <c r="AE1994" s="164"/>
      <c r="AF1994" s="164"/>
      <c r="AG1994" s="164"/>
      <c r="AH1994" s="164"/>
      <c r="AI1994" s="164"/>
    </row>
    <row r="1995">
      <c r="A1995" s="176"/>
      <c r="B1995" s="177"/>
      <c r="C1995" s="178"/>
      <c r="D1995" s="178"/>
      <c r="E1995" s="177"/>
      <c r="F1995" s="178"/>
      <c r="G1995" s="176"/>
      <c r="H1995" s="179"/>
      <c r="I1995" s="180"/>
      <c r="J1995" s="181"/>
      <c r="K1995" s="178"/>
      <c r="L1995" s="178"/>
      <c r="M1995" s="182"/>
      <c r="N1995" s="183"/>
      <c r="O1995" s="184"/>
      <c r="P1995" s="184"/>
      <c r="Q1995" s="185"/>
      <c r="R1995" s="186"/>
      <c r="S1995" s="186"/>
      <c r="T1995" s="186"/>
      <c r="U1995" s="187"/>
      <c r="V1995" s="176"/>
      <c r="W1995" s="164"/>
      <c r="X1995" s="164"/>
      <c r="Y1995" s="164"/>
      <c r="Z1995" s="164"/>
      <c r="AA1995" s="164"/>
      <c r="AB1995" s="164"/>
      <c r="AC1995" s="164"/>
      <c r="AD1995" s="164"/>
      <c r="AE1995" s="164"/>
      <c r="AF1995" s="164"/>
      <c r="AG1995" s="164"/>
      <c r="AH1995" s="164"/>
      <c r="AI1995" s="164"/>
    </row>
    <row r="1996">
      <c r="A1996" s="176"/>
      <c r="B1996" s="177"/>
      <c r="C1996" s="178"/>
      <c r="D1996" s="178"/>
      <c r="E1996" s="177"/>
      <c r="F1996" s="178"/>
      <c r="G1996" s="176"/>
      <c r="H1996" s="179"/>
      <c r="I1996" s="180"/>
      <c r="J1996" s="181"/>
      <c r="K1996" s="178"/>
      <c r="L1996" s="178"/>
      <c r="M1996" s="182"/>
      <c r="N1996" s="183"/>
      <c r="O1996" s="184"/>
      <c r="P1996" s="184"/>
      <c r="Q1996" s="185"/>
      <c r="R1996" s="186"/>
      <c r="S1996" s="186"/>
      <c r="T1996" s="162"/>
      <c r="U1996" s="163"/>
      <c r="V1996" s="154"/>
      <c r="W1996" s="175"/>
      <c r="X1996" s="175"/>
      <c r="Y1996" s="175"/>
      <c r="Z1996" s="175"/>
      <c r="AA1996" s="175"/>
      <c r="AB1996" s="175"/>
      <c r="AC1996" s="175"/>
      <c r="AD1996" s="175"/>
      <c r="AE1996" s="175"/>
      <c r="AF1996" s="175"/>
      <c r="AG1996" s="175"/>
      <c r="AH1996" s="175"/>
      <c r="AI1996" s="175"/>
    </row>
    <row r="1997">
      <c r="A1997" s="176"/>
      <c r="B1997" s="177"/>
      <c r="C1997" s="178"/>
      <c r="D1997" s="178"/>
      <c r="E1997" s="177"/>
      <c r="F1997" s="178"/>
      <c r="G1997" s="176"/>
      <c r="H1997" s="179"/>
      <c r="I1997" s="180"/>
      <c r="J1997" s="181"/>
      <c r="K1997" s="178"/>
      <c r="L1997" s="178"/>
      <c r="M1997" s="182"/>
      <c r="N1997" s="183"/>
      <c r="O1997" s="184"/>
      <c r="P1997" s="184"/>
      <c r="Q1997" s="185"/>
      <c r="R1997" s="186"/>
      <c r="S1997" s="186"/>
      <c r="T1997" s="186"/>
      <c r="U1997" s="187"/>
      <c r="V1997" s="176"/>
      <c r="W1997" s="164"/>
      <c r="X1997" s="164"/>
      <c r="Y1997" s="164"/>
      <c r="Z1997" s="164"/>
      <c r="AA1997" s="164"/>
      <c r="AB1997" s="164"/>
      <c r="AC1997" s="164"/>
      <c r="AD1997" s="164"/>
      <c r="AE1997" s="164"/>
      <c r="AF1997" s="164"/>
      <c r="AG1997" s="164"/>
      <c r="AH1997" s="164"/>
      <c r="AI1997" s="164"/>
    </row>
    <row r="1998">
      <c r="A1998" s="176"/>
      <c r="B1998" s="177"/>
      <c r="C1998" s="178"/>
      <c r="D1998" s="178"/>
      <c r="E1998" s="177"/>
      <c r="F1998" s="178"/>
      <c r="G1998" s="176"/>
      <c r="H1998" s="179"/>
      <c r="I1998" s="180"/>
      <c r="J1998" s="181"/>
      <c r="K1998" s="178"/>
      <c r="L1998" s="178"/>
      <c r="M1998" s="182"/>
      <c r="N1998" s="183"/>
      <c r="O1998" s="184"/>
      <c r="P1998" s="184"/>
      <c r="Q1998" s="185"/>
      <c r="R1998" s="186"/>
      <c r="S1998" s="186"/>
      <c r="T1998" s="186"/>
      <c r="U1998" s="187"/>
      <c r="V1998" s="176"/>
      <c r="W1998" s="175"/>
      <c r="X1998" s="175"/>
      <c r="Y1998" s="175"/>
      <c r="Z1998" s="175"/>
      <c r="AA1998" s="175"/>
      <c r="AB1998" s="175"/>
      <c r="AC1998" s="175"/>
      <c r="AD1998" s="175"/>
      <c r="AE1998" s="175"/>
      <c r="AF1998" s="175"/>
      <c r="AG1998" s="175"/>
      <c r="AH1998" s="175"/>
      <c r="AI1998" s="175"/>
    </row>
    <row r="1999">
      <c r="A1999" s="176"/>
      <c r="B1999" s="177"/>
      <c r="C1999" s="178"/>
      <c r="D1999" s="178"/>
      <c r="E1999" s="177"/>
      <c r="F1999" s="178"/>
      <c r="G1999" s="176"/>
      <c r="H1999" s="179"/>
      <c r="I1999" s="180"/>
      <c r="J1999" s="181"/>
      <c r="K1999" s="178"/>
      <c r="L1999" s="178"/>
      <c r="M1999" s="182"/>
      <c r="N1999" s="183"/>
      <c r="O1999" s="184"/>
      <c r="P1999" s="184"/>
      <c r="Q1999" s="185"/>
      <c r="R1999" s="186"/>
      <c r="S1999" s="186"/>
      <c r="T1999" s="186"/>
      <c r="U1999" s="187"/>
      <c r="V1999" s="176"/>
      <c r="W1999" s="164"/>
      <c r="X1999" s="164"/>
      <c r="Y1999" s="164"/>
      <c r="Z1999" s="164"/>
      <c r="AA1999" s="164"/>
      <c r="AB1999" s="164"/>
      <c r="AC1999" s="164"/>
      <c r="AD1999" s="164"/>
      <c r="AE1999" s="164"/>
      <c r="AF1999" s="164"/>
      <c r="AG1999" s="164"/>
      <c r="AH1999" s="164"/>
      <c r="AI1999" s="164"/>
    </row>
    <row r="2000">
      <c r="A2000" s="176"/>
      <c r="B2000" s="177"/>
      <c r="C2000" s="178"/>
      <c r="D2000" s="178"/>
      <c r="E2000" s="177"/>
      <c r="F2000" s="178"/>
      <c r="G2000" s="176"/>
      <c r="H2000" s="179"/>
      <c r="I2000" s="180"/>
      <c r="J2000" s="181"/>
      <c r="K2000" s="178"/>
      <c r="L2000" s="178"/>
      <c r="M2000" s="182"/>
      <c r="N2000" s="183"/>
      <c r="O2000" s="184"/>
      <c r="P2000" s="184"/>
      <c r="Q2000" s="185"/>
      <c r="R2000" s="186"/>
      <c r="S2000" s="186"/>
      <c r="T2000" s="186"/>
      <c r="U2000" s="187"/>
      <c r="V2000" s="176"/>
      <c r="W2000" s="175"/>
      <c r="X2000" s="175"/>
      <c r="Y2000" s="175"/>
      <c r="Z2000" s="175"/>
      <c r="AA2000" s="175"/>
      <c r="AB2000" s="175"/>
      <c r="AC2000" s="175"/>
      <c r="AD2000" s="175"/>
      <c r="AE2000" s="175"/>
      <c r="AF2000" s="175"/>
      <c r="AG2000" s="175"/>
      <c r="AH2000" s="175"/>
      <c r="AI2000" s="175"/>
    </row>
    <row r="2001">
      <c r="A2001" s="176"/>
      <c r="B2001" s="177"/>
      <c r="C2001" s="178"/>
      <c r="D2001" s="178"/>
      <c r="E2001" s="177"/>
      <c r="F2001" s="178"/>
      <c r="G2001" s="176"/>
      <c r="H2001" s="179"/>
      <c r="I2001" s="180"/>
      <c r="J2001" s="181"/>
      <c r="K2001" s="178"/>
      <c r="L2001" s="178"/>
      <c r="M2001" s="182"/>
      <c r="N2001" s="183"/>
      <c r="O2001" s="184"/>
      <c r="P2001" s="184"/>
      <c r="Q2001" s="185"/>
      <c r="R2001" s="186"/>
      <c r="S2001" s="186"/>
      <c r="T2001" s="186"/>
      <c r="U2001" s="187"/>
      <c r="V2001" s="176"/>
      <c r="W2001" s="175"/>
      <c r="X2001" s="175"/>
      <c r="Y2001" s="175"/>
      <c r="Z2001" s="175"/>
      <c r="AA2001" s="175"/>
      <c r="AB2001" s="175"/>
      <c r="AC2001" s="175"/>
      <c r="AD2001" s="175"/>
      <c r="AE2001" s="175"/>
      <c r="AF2001" s="175"/>
      <c r="AG2001" s="175"/>
      <c r="AH2001" s="175"/>
      <c r="AI2001" s="175"/>
    </row>
    <row r="2002">
      <c r="A2002" s="176"/>
      <c r="B2002" s="177"/>
      <c r="C2002" s="178"/>
      <c r="D2002" s="178"/>
      <c r="E2002" s="177"/>
      <c r="F2002" s="178"/>
      <c r="G2002" s="176"/>
      <c r="H2002" s="179"/>
      <c r="I2002" s="180"/>
      <c r="J2002" s="181"/>
      <c r="K2002" s="178"/>
      <c r="L2002" s="178"/>
      <c r="M2002" s="182"/>
      <c r="N2002" s="183"/>
      <c r="O2002" s="184"/>
      <c r="P2002" s="184"/>
      <c r="Q2002" s="185"/>
      <c r="R2002" s="186"/>
      <c r="S2002" s="186"/>
      <c r="T2002" s="162"/>
      <c r="U2002" s="163"/>
      <c r="V2002" s="154"/>
      <c r="W2002" s="175"/>
      <c r="X2002" s="175"/>
      <c r="Y2002" s="175"/>
      <c r="Z2002" s="175"/>
      <c r="AA2002" s="175"/>
      <c r="AB2002" s="175"/>
      <c r="AC2002" s="175"/>
      <c r="AD2002" s="175"/>
      <c r="AE2002" s="175"/>
      <c r="AF2002" s="175"/>
      <c r="AG2002" s="175"/>
      <c r="AH2002" s="175"/>
      <c r="AI2002" s="175"/>
    </row>
    <row r="2003">
      <c r="A2003" s="176"/>
      <c r="B2003" s="177"/>
      <c r="C2003" s="178"/>
      <c r="D2003" s="178"/>
      <c r="E2003" s="177"/>
      <c r="F2003" s="178"/>
      <c r="G2003" s="176"/>
      <c r="H2003" s="179"/>
      <c r="I2003" s="180"/>
      <c r="J2003" s="181"/>
      <c r="K2003" s="178"/>
      <c r="L2003" s="178"/>
      <c r="M2003" s="182"/>
      <c r="N2003" s="183"/>
      <c r="O2003" s="184"/>
      <c r="P2003" s="184"/>
      <c r="Q2003" s="185"/>
      <c r="R2003" s="186"/>
      <c r="S2003" s="186"/>
      <c r="T2003" s="186"/>
      <c r="U2003" s="187"/>
      <c r="V2003" s="176"/>
      <c r="W2003" s="175"/>
      <c r="X2003" s="175"/>
      <c r="Y2003" s="175"/>
      <c r="Z2003" s="175"/>
      <c r="AA2003" s="175"/>
      <c r="AB2003" s="175"/>
      <c r="AC2003" s="175"/>
      <c r="AD2003" s="175"/>
      <c r="AE2003" s="175"/>
      <c r="AF2003" s="175"/>
      <c r="AG2003" s="175"/>
      <c r="AH2003" s="175"/>
      <c r="AI2003" s="175"/>
    </row>
    <row r="2004">
      <c r="A2004" s="176"/>
      <c r="B2004" s="177"/>
      <c r="C2004" s="178"/>
      <c r="D2004" s="178"/>
      <c r="E2004" s="177"/>
      <c r="F2004" s="178"/>
      <c r="G2004" s="176"/>
      <c r="H2004" s="179"/>
      <c r="I2004" s="180"/>
      <c r="J2004" s="181"/>
      <c r="K2004" s="178"/>
      <c r="L2004" s="178"/>
      <c r="M2004" s="182"/>
      <c r="N2004" s="183"/>
      <c r="O2004" s="184"/>
      <c r="P2004" s="184"/>
      <c r="Q2004" s="185"/>
      <c r="R2004" s="186"/>
      <c r="S2004" s="186"/>
      <c r="T2004" s="186"/>
      <c r="U2004" s="187"/>
      <c r="V2004" s="176"/>
      <c r="W2004" s="164"/>
      <c r="X2004" s="164"/>
      <c r="Y2004" s="164"/>
      <c r="Z2004" s="164"/>
      <c r="AA2004" s="164"/>
      <c r="AB2004" s="164"/>
      <c r="AC2004" s="164"/>
      <c r="AD2004" s="164"/>
      <c r="AE2004" s="164"/>
      <c r="AF2004" s="164"/>
      <c r="AG2004" s="164"/>
      <c r="AH2004" s="164"/>
      <c r="AI2004" s="164"/>
    </row>
    <row r="2005">
      <c r="A2005" s="176"/>
      <c r="B2005" s="177"/>
      <c r="C2005" s="178"/>
      <c r="D2005" s="178"/>
      <c r="E2005" s="177"/>
      <c r="F2005" s="178"/>
      <c r="G2005" s="176"/>
      <c r="H2005" s="179"/>
      <c r="I2005" s="180"/>
      <c r="J2005" s="181"/>
      <c r="K2005" s="178"/>
      <c r="L2005" s="178"/>
      <c r="M2005" s="182"/>
      <c r="N2005" s="183"/>
      <c r="O2005" s="184"/>
      <c r="P2005" s="184"/>
      <c r="Q2005" s="185"/>
      <c r="R2005" s="186"/>
      <c r="S2005" s="186"/>
      <c r="T2005" s="186"/>
      <c r="U2005" s="187"/>
      <c r="V2005" s="176"/>
      <c r="W2005" s="175"/>
      <c r="X2005" s="175"/>
      <c r="Y2005" s="175"/>
      <c r="Z2005" s="175"/>
      <c r="AA2005" s="175"/>
      <c r="AB2005" s="175"/>
      <c r="AC2005" s="175"/>
      <c r="AD2005" s="175"/>
      <c r="AE2005" s="175"/>
      <c r="AF2005" s="175"/>
      <c r="AG2005" s="175"/>
      <c r="AH2005" s="175"/>
      <c r="AI2005" s="175"/>
    </row>
    <row r="2006">
      <c r="A2006" s="154"/>
      <c r="B2006" s="155"/>
      <c r="C2006" s="156"/>
      <c r="D2006" s="156"/>
      <c r="E2006" s="155"/>
      <c r="F2006" s="156"/>
      <c r="G2006" s="154"/>
      <c r="H2006" s="157"/>
      <c r="I2006" s="158"/>
      <c r="J2006" s="159"/>
      <c r="K2006" s="156"/>
      <c r="L2006" s="156"/>
      <c r="M2006" s="155"/>
      <c r="N2006" s="160"/>
      <c r="O2006" s="161"/>
      <c r="P2006" s="161"/>
      <c r="Q2006" s="203"/>
      <c r="R2006" s="162"/>
      <c r="S2006" s="162"/>
      <c r="T2006" s="162"/>
      <c r="U2006" s="163"/>
      <c r="V2006" s="154"/>
      <c r="W2006" s="188"/>
      <c r="X2006" s="188"/>
      <c r="Y2006" s="188"/>
      <c r="Z2006" s="188"/>
      <c r="AA2006" s="188"/>
      <c r="AB2006" s="188"/>
      <c r="AC2006" s="188"/>
      <c r="AD2006" s="188"/>
      <c r="AE2006" s="188"/>
      <c r="AF2006" s="188"/>
      <c r="AG2006" s="188"/>
      <c r="AH2006" s="188"/>
      <c r="AI2006" s="188"/>
    </row>
    <row r="2007">
      <c r="A2007" s="176"/>
      <c r="B2007" s="177"/>
      <c r="C2007" s="178"/>
      <c r="D2007" s="178"/>
      <c r="E2007" s="177"/>
      <c r="F2007" s="178"/>
      <c r="G2007" s="176"/>
      <c r="H2007" s="179"/>
      <c r="I2007" s="180"/>
      <c r="J2007" s="181"/>
      <c r="K2007" s="178"/>
      <c r="L2007" s="178"/>
      <c r="M2007" s="182"/>
      <c r="N2007" s="183"/>
      <c r="O2007" s="184"/>
      <c r="P2007" s="184"/>
      <c r="Q2007" s="185"/>
      <c r="R2007" s="186"/>
      <c r="S2007" s="186"/>
      <c r="T2007" s="186"/>
      <c r="U2007" s="187"/>
      <c r="V2007" s="176"/>
      <c r="W2007" s="164"/>
      <c r="X2007" s="164"/>
      <c r="Y2007" s="164"/>
      <c r="Z2007" s="164"/>
      <c r="AA2007" s="164"/>
      <c r="AB2007" s="164"/>
      <c r="AC2007" s="164"/>
      <c r="AD2007" s="164"/>
      <c r="AE2007" s="164"/>
      <c r="AF2007" s="164"/>
      <c r="AG2007" s="164"/>
      <c r="AH2007" s="164"/>
      <c r="AI2007" s="164"/>
    </row>
    <row r="2008">
      <c r="A2008" s="176"/>
      <c r="B2008" s="177"/>
      <c r="C2008" s="178"/>
      <c r="D2008" s="178"/>
      <c r="E2008" s="177"/>
      <c r="F2008" s="178"/>
      <c r="G2008" s="176"/>
      <c r="H2008" s="179"/>
      <c r="I2008" s="180"/>
      <c r="J2008" s="181"/>
      <c r="K2008" s="178"/>
      <c r="L2008" s="178"/>
      <c r="M2008" s="182"/>
      <c r="N2008" s="183"/>
      <c r="O2008" s="184"/>
      <c r="P2008" s="184"/>
      <c r="Q2008" s="185"/>
      <c r="R2008" s="186"/>
      <c r="S2008" s="186"/>
      <c r="T2008" s="186"/>
      <c r="U2008" s="187"/>
      <c r="V2008" s="176"/>
      <c r="W2008" s="175"/>
      <c r="X2008" s="175"/>
      <c r="Y2008" s="175"/>
      <c r="Z2008" s="175"/>
      <c r="AA2008" s="175"/>
      <c r="AB2008" s="175"/>
      <c r="AC2008" s="175"/>
      <c r="AD2008" s="175"/>
      <c r="AE2008" s="175"/>
      <c r="AF2008" s="175"/>
      <c r="AG2008" s="175"/>
      <c r="AH2008" s="175"/>
      <c r="AI2008" s="175"/>
    </row>
    <row r="2009">
      <c r="A2009" s="176"/>
      <c r="B2009" s="177"/>
      <c r="C2009" s="178"/>
      <c r="D2009" s="178"/>
      <c r="E2009" s="177"/>
      <c r="F2009" s="178"/>
      <c r="G2009" s="176"/>
      <c r="H2009" s="179"/>
      <c r="I2009" s="180"/>
      <c r="J2009" s="181"/>
      <c r="K2009" s="178"/>
      <c r="L2009" s="178"/>
      <c r="M2009" s="182"/>
      <c r="N2009" s="183"/>
      <c r="O2009" s="184"/>
      <c r="P2009" s="184"/>
      <c r="Q2009" s="185"/>
      <c r="R2009" s="186"/>
      <c r="S2009" s="186"/>
      <c r="T2009" s="186"/>
      <c r="U2009" s="187"/>
      <c r="V2009" s="176"/>
      <c r="W2009" s="164"/>
      <c r="X2009" s="164"/>
      <c r="Y2009" s="164"/>
      <c r="Z2009" s="164"/>
      <c r="AA2009" s="164"/>
      <c r="AB2009" s="164"/>
      <c r="AC2009" s="164"/>
      <c r="AD2009" s="164"/>
      <c r="AE2009" s="164"/>
      <c r="AF2009" s="164"/>
      <c r="AG2009" s="164"/>
      <c r="AH2009" s="164"/>
      <c r="AI2009" s="164"/>
    </row>
    <row r="2010">
      <c r="A2010" s="154"/>
      <c r="B2010" s="155"/>
      <c r="C2010" s="156"/>
      <c r="D2010" s="156"/>
      <c r="E2010" s="155"/>
      <c r="F2010" s="156"/>
      <c r="G2010" s="154"/>
      <c r="H2010" s="157"/>
      <c r="I2010" s="158"/>
      <c r="J2010" s="159"/>
      <c r="K2010" s="156"/>
      <c r="L2010" s="156"/>
      <c r="M2010" s="155"/>
      <c r="N2010" s="160"/>
      <c r="O2010" s="161"/>
      <c r="P2010" s="161"/>
      <c r="Q2010" s="203"/>
      <c r="R2010" s="162"/>
      <c r="S2010" s="162"/>
      <c r="T2010" s="162"/>
      <c r="U2010" s="163"/>
      <c r="V2010" s="154"/>
      <c r="W2010" s="175"/>
      <c r="X2010" s="175"/>
      <c r="Y2010" s="175"/>
      <c r="Z2010" s="175"/>
      <c r="AA2010" s="175"/>
      <c r="AB2010" s="175"/>
      <c r="AC2010" s="175"/>
      <c r="AD2010" s="175"/>
      <c r="AE2010" s="175"/>
      <c r="AF2010" s="175"/>
      <c r="AG2010" s="175"/>
      <c r="AH2010" s="175"/>
      <c r="AI2010" s="175"/>
    </row>
    <row r="2011">
      <c r="A2011" s="154"/>
      <c r="B2011" s="155"/>
      <c r="C2011" s="156"/>
      <c r="D2011" s="156"/>
      <c r="E2011" s="155"/>
      <c r="F2011" s="156"/>
      <c r="G2011" s="154"/>
      <c r="H2011" s="157"/>
      <c r="I2011" s="158"/>
      <c r="J2011" s="159"/>
      <c r="K2011" s="156"/>
      <c r="L2011" s="156"/>
      <c r="M2011" s="155"/>
      <c r="N2011" s="160"/>
      <c r="O2011" s="161"/>
      <c r="P2011" s="161"/>
      <c r="Q2011" s="203"/>
      <c r="R2011" s="162"/>
      <c r="S2011" s="162"/>
      <c r="T2011" s="162"/>
      <c r="U2011" s="163"/>
      <c r="V2011" s="154"/>
      <c r="W2011" s="175"/>
      <c r="X2011" s="175"/>
      <c r="Y2011" s="175"/>
      <c r="Z2011" s="175"/>
      <c r="AA2011" s="175"/>
      <c r="AB2011" s="175"/>
      <c r="AC2011" s="175"/>
      <c r="AD2011" s="175"/>
      <c r="AE2011" s="175"/>
      <c r="AF2011" s="175"/>
      <c r="AG2011" s="175"/>
      <c r="AH2011" s="175"/>
      <c r="AI2011" s="175"/>
    </row>
    <row r="2012">
      <c r="A2012" s="176"/>
      <c r="B2012" s="177"/>
      <c r="C2012" s="178"/>
      <c r="D2012" s="178"/>
      <c r="E2012" s="177"/>
      <c r="F2012" s="178"/>
      <c r="G2012" s="176"/>
      <c r="H2012" s="179"/>
      <c r="I2012" s="180"/>
      <c r="J2012" s="181"/>
      <c r="K2012" s="178"/>
      <c r="L2012" s="178"/>
      <c r="M2012" s="182"/>
      <c r="N2012" s="183"/>
      <c r="O2012" s="184"/>
      <c r="P2012" s="184"/>
      <c r="Q2012" s="185"/>
      <c r="R2012" s="186"/>
      <c r="S2012" s="186"/>
      <c r="T2012" s="186"/>
      <c r="U2012" s="187"/>
      <c r="V2012" s="176"/>
      <c r="W2012" s="175"/>
      <c r="X2012" s="175"/>
      <c r="Y2012" s="175"/>
      <c r="Z2012" s="175"/>
      <c r="AA2012" s="175"/>
      <c r="AB2012" s="175"/>
      <c r="AC2012" s="175"/>
      <c r="AD2012" s="175"/>
      <c r="AE2012" s="175"/>
      <c r="AF2012" s="175"/>
      <c r="AG2012" s="175"/>
      <c r="AH2012" s="175"/>
      <c r="AI2012" s="175"/>
    </row>
    <row r="2013">
      <c r="A2013" s="176"/>
      <c r="B2013" s="177"/>
      <c r="C2013" s="178"/>
      <c r="D2013" s="178"/>
      <c r="E2013" s="177"/>
      <c r="F2013" s="178"/>
      <c r="G2013" s="176"/>
      <c r="H2013" s="179"/>
      <c r="I2013" s="180"/>
      <c r="J2013" s="181"/>
      <c r="K2013" s="178"/>
      <c r="L2013" s="178"/>
      <c r="M2013" s="182"/>
      <c r="N2013" s="183"/>
      <c r="O2013" s="184"/>
      <c r="P2013" s="184"/>
      <c r="Q2013" s="185"/>
      <c r="R2013" s="186"/>
      <c r="S2013" s="186"/>
      <c r="T2013" s="186"/>
      <c r="U2013" s="187"/>
      <c r="V2013" s="176"/>
      <c r="W2013" s="175"/>
      <c r="X2013" s="175"/>
      <c r="Y2013" s="175"/>
      <c r="Z2013" s="175"/>
      <c r="AA2013" s="175"/>
      <c r="AB2013" s="175"/>
      <c r="AC2013" s="175"/>
      <c r="AD2013" s="175"/>
      <c r="AE2013" s="175"/>
      <c r="AF2013" s="175"/>
      <c r="AG2013" s="175"/>
      <c r="AH2013" s="175"/>
      <c r="AI2013" s="175"/>
    </row>
    <row r="2014">
      <c r="A2014" s="176"/>
      <c r="B2014" s="177"/>
      <c r="C2014" s="178"/>
      <c r="D2014" s="178"/>
      <c r="E2014" s="177"/>
      <c r="F2014" s="178"/>
      <c r="G2014" s="176"/>
      <c r="H2014" s="179"/>
      <c r="I2014" s="180"/>
      <c r="J2014" s="181"/>
      <c r="K2014" s="178"/>
      <c r="L2014" s="178"/>
      <c r="M2014" s="182"/>
      <c r="N2014" s="183"/>
      <c r="O2014" s="184"/>
      <c r="P2014" s="184"/>
      <c r="Q2014" s="185"/>
      <c r="R2014" s="186"/>
      <c r="S2014" s="186"/>
      <c r="T2014" s="186"/>
      <c r="U2014" s="187"/>
      <c r="V2014" s="176"/>
      <c r="W2014" s="188"/>
      <c r="X2014" s="188"/>
      <c r="Y2014" s="188"/>
      <c r="Z2014" s="188"/>
      <c r="AA2014" s="188"/>
      <c r="AB2014" s="188"/>
      <c r="AC2014" s="188"/>
      <c r="AD2014" s="188"/>
      <c r="AE2014" s="188"/>
      <c r="AF2014" s="188"/>
      <c r="AG2014" s="188"/>
      <c r="AH2014" s="188"/>
      <c r="AI2014" s="188"/>
    </row>
    <row r="2015">
      <c r="A2015" s="176"/>
      <c r="B2015" s="177"/>
      <c r="C2015" s="178"/>
      <c r="D2015" s="178"/>
      <c r="E2015" s="177"/>
      <c r="F2015" s="178"/>
      <c r="G2015" s="176"/>
      <c r="H2015" s="179"/>
      <c r="I2015" s="180"/>
      <c r="J2015" s="181"/>
      <c r="K2015" s="178"/>
      <c r="L2015" s="178"/>
      <c r="M2015" s="182"/>
      <c r="N2015" s="183"/>
      <c r="O2015" s="184"/>
      <c r="P2015" s="184"/>
      <c r="Q2015" s="185"/>
      <c r="R2015" s="186"/>
      <c r="S2015" s="186"/>
      <c r="T2015" s="186"/>
      <c r="U2015" s="187"/>
      <c r="V2015" s="176"/>
      <c r="W2015" s="188"/>
      <c r="X2015" s="188"/>
      <c r="Y2015" s="188"/>
      <c r="Z2015" s="188"/>
      <c r="AA2015" s="188"/>
      <c r="AB2015" s="188"/>
      <c r="AC2015" s="188"/>
      <c r="AD2015" s="188"/>
      <c r="AE2015" s="188"/>
      <c r="AF2015" s="188"/>
      <c r="AG2015" s="188"/>
      <c r="AH2015" s="188"/>
      <c r="AI2015" s="188"/>
    </row>
    <row r="2016">
      <c r="A2016" s="176"/>
      <c r="B2016" s="177"/>
      <c r="C2016" s="178"/>
      <c r="D2016" s="178"/>
      <c r="E2016" s="177"/>
      <c r="F2016" s="178"/>
      <c r="G2016" s="176"/>
      <c r="H2016" s="179"/>
      <c r="I2016" s="180"/>
      <c r="J2016" s="181"/>
      <c r="K2016" s="178"/>
      <c r="L2016" s="178"/>
      <c r="M2016" s="182"/>
      <c r="N2016" s="183"/>
      <c r="O2016" s="184"/>
      <c r="P2016" s="184"/>
      <c r="Q2016" s="185"/>
      <c r="R2016" s="186"/>
      <c r="S2016" s="186"/>
      <c r="T2016" s="186"/>
      <c r="U2016" s="187"/>
      <c r="V2016" s="176"/>
      <c r="W2016" s="188"/>
      <c r="X2016" s="188"/>
      <c r="Y2016" s="188"/>
      <c r="Z2016" s="188"/>
      <c r="AA2016" s="188"/>
      <c r="AB2016" s="188"/>
      <c r="AC2016" s="188"/>
      <c r="AD2016" s="188"/>
      <c r="AE2016" s="188"/>
      <c r="AF2016" s="188"/>
      <c r="AG2016" s="188"/>
      <c r="AH2016" s="188"/>
      <c r="AI2016" s="188"/>
    </row>
    <row r="2017">
      <c r="A2017" s="176"/>
      <c r="B2017" s="177"/>
      <c r="C2017" s="178"/>
      <c r="D2017" s="178"/>
      <c r="E2017" s="177"/>
      <c r="F2017" s="178"/>
      <c r="G2017" s="176"/>
      <c r="H2017" s="179"/>
      <c r="I2017" s="180"/>
      <c r="J2017" s="181"/>
      <c r="K2017" s="178"/>
      <c r="L2017" s="178"/>
      <c r="M2017" s="182"/>
      <c r="N2017" s="183"/>
      <c r="O2017" s="184"/>
      <c r="P2017" s="184"/>
      <c r="Q2017" s="185"/>
      <c r="R2017" s="186"/>
      <c r="S2017" s="186"/>
      <c r="T2017" s="186"/>
      <c r="U2017" s="187"/>
      <c r="V2017" s="176"/>
      <c r="W2017" s="188"/>
      <c r="X2017" s="188"/>
      <c r="Y2017" s="188"/>
      <c r="Z2017" s="188"/>
      <c r="AA2017" s="188"/>
      <c r="AB2017" s="188"/>
      <c r="AC2017" s="188"/>
      <c r="AD2017" s="188"/>
      <c r="AE2017" s="188"/>
      <c r="AF2017" s="188"/>
      <c r="AG2017" s="188"/>
      <c r="AH2017" s="188"/>
      <c r="AI2017" s="188"/>
    </row>
    <row r="2018">
      <c r="A2018" s="176"/>
      <c r="B2018" s="177"/>
      <c r="C2018" s="178"/>
      <c r="D2018" s="178"/>
      <c r="E2018" s="177"/>
      <c r="F2018" s="178"/>
      <c r="G2018" s="176"/>
      <c r="H2018" s="179"/>
      <c r="I2018" s="180"/>
      <c r="J2018" s="181"/>
      <c r="K2018" s="178"/>
      <c r="L2018" s="178"/>
      <c r="M2018" s="182"/>
      <c r="N2018" s="183"/>
      <c r="O2018" s="184"/>
      <c r="P2018" s="184"/>
      <c r="Q2018" s="185"/>
      <c r="R2018" s="186"/>
      <c r="S2018" s="186"/>
      <c r="T2018" s="186"/>
      <c r="U2018" s="187"/>
      <c r="V2018" s="176"/>
      <c r="W2018" s="188"/>
      <c r="X2018" s="188"/>
      <c r="Y2018" s="188"/>
      <c r="Z2018" s="188"/>
      <c r="AA2018" s="188"/>
      <c r="AB2018" s="188"/>
      <c r="AC2018" s="188"/>
      <c r="AD2018" s="188"/>
      <c r="AE2018" s="188"/>
      <c r="AF2018" s="188"/>
      <c r="AG2018" s="188"/>
      <c r="AH2018" s="188"/>
      <c r="AI2018" s="188"/>
    </row>
    <row r="2019">
      <c r="A2019" s="176"/>
      <c r="B2019" s="177"/>
      <c r="C2019" s="178"/>
      <c r="D2019" s="178"/>
      <c r="E2019" s="177"/>
      <c r="F2019" s="178"/>
      <c r="G2019" s="176"/>
      <c r="H2019" s="179"/>
      <c r="I2019" s="180"/>
      <c r="J2019" s="181"/>
      <c r="K2019" s="178"/>
      <c r="L2019" s="178"/>
      <c r="M2019" s="182"/>
      <c r="N2019" s="183"/>
      <c r="O2019" s="184"/>
      <c r="P2019" s="184"/>
      <c r="Q2019" s="185"/>
      <c r="R2019" s="186"/>
      <c r="S2019" s="186"/>
      <c r="T2019" s="186"/>
      <c r="U2019" s="187"/>
      <c r="V2019" s="176"/>
      <c r="W2019" s="188"/>
      <c r="X2019" s="188"/>
      <c r="Y2019" s="188"/>
      <c r="Z2019" s="188"/>
      <c r="AA2019" s="188"/>
      <c r="AB2019" s="188"/>
      <c r="AC2019" s="188"/>
      <c r="AD2019" s="188"/>
      <c r="AE2019" s="188"/>
      <c r="AF2019" s="188"/>
      <c r="AG2019" s="188"/>
      <c r="AH2019" s="188"/>
      <c r="AI2019" s="188"/>
    </row>
    <row r="2020">
      <c r="A2020" s="176"/>
      <c r="B2020" s="177"/>
      <c r="C2020" s="178"/>
      <c r="D2020" s="178"/>
      <c r="E2020" s="177"/>
      <c r="F2020" s="178"/>
      <c r="G2020" s="176"/>
      <c r="H2020" s="179"/>
      <c r="I2020" s="180"/>
      <c r="J2020" s="181"/>
      <c r="K2020" s="178"/>
      <c r="L2020" s="178"/>
      <c r="M2020" s="182"/>
      <c r="N2020" s="183"/>
      <c r="O2020" s="184"/>
      <c r="P2020" s="184"/>
      <c r="Q2020" s="185"/>
      <c r="R2020" s="186"/>
      <c r="S2020" s="186"/>
      <c r="T2020" s="186"/>
      <c r="U2020" s="187"/>
      <c r="V2020" s="176"/>
      <c r="W2020" s="164"/>
      <c r="X2020" s="164"/>
      <c r="Y2020" s="164"/>
      <c r="Z2020" s="164"/>
      <c r="AA2020" s="164"/>
      <c r="AB2020" s="164"/>
      <c r="AC2020" s="164"/>
      <c r="AD2020" s="164"/>
      <c r="AE2020" s="164"/>
      <c r="AF2020" s="164"/>
      <c r="AG2020" s="164"/>
      <c r="AH2020" s="164"/>
      <c r="AI2020" s="164"/>
    </row>
    <row r="2021">
      <c r="A2021" s="176"/>
      <c r="B2021" s="177"/>
      <c r="C2021" s="178"/>
      <c r="D2021" s="178"/>
      <c r="E2021" s="177"/>
      <c r="F2021" s="178"/>
      <c r="G2021" s="176"/>
      <c r="H2021" s="179"/>
      <c r="I2021" s="180"/>
      <c r="J2021" s="181"/>
      <c r="K2021" s="178"/>
      <c r="L2021" s="178"/>
      <c r="M2021" s="182"/>
      <c r="N2021" s="183"/>
      <c r="O2021" s="184"/>
      <c r="P2021" s="184"/>
      <c r="Q2021" s="185"/>
      <c r="R2021" s="186"/>
      <c r="S2021" s="186"/>
      <c r="T2021" s="186"/>
      <c r="U2021" s="187"/>
      <c r="V2021" s="176"/>
      <c r="W2021" s="175"/>
      <c r="X2021" s="175"/>
      <c r="Y2021" s="175"/>
      <c r="Z2021" s="175"/>
      <c r="AA2021" s="175"/>
      <c r="AB2021" s="175"/>
      <c r="AC2021" s="175"/>
      <c r="AD2021" s="175"/>
      <c r="AE2021" s="175"/>
      <c r="AF2021" s="175"/>
      <c r="AG2021" s="175"/>
      <c r="AH2021" s="175"/>
      <c r="AI2021" s="175"/>
    </row>
    <row r="2022">
      <c r="A2022" s="176"/>
      <c r="B2022" s="177"/>
      <c r="C2022" s="178"/>
      <c r="D2022" s="178"/>
      <c r="E2022" s="177"/>
      <c r="F2022" s="178"/>
      <c r="G2022" s="176"/>
      <c r="H2022" s="179"/>
      <c r="I2022" s="180"/>
      <c r="J2022" s="181"/>
      <c r="K2022" s="178"/>
      <c r="L2022" s="178"/>
      <c r="M2022" s="182"/>
      <c r="N2022" s="183"/>
      <c r="O2022" s="184"/>
      <c r="P2022" s="184"/>
      <c r="Q2022" s="185"/>
      <c r="R2022" s="186"/>
      <c r="S2022" s="186"/>
      <c r="T2022" s="186"/>
      <c r="U2022" s="187"/>
      <c r="V2022" s="176"/>
      <c r="W2022" s="188"/>
      <c r="X2022" s="188"/>
      <c r="Y2022" s="188"/>
      <c r="Z2022" s="188"/>
      <c r="AA2022" s="188"/>
      <c r="AB2022" s="188"/>
      <c r="AC2022" s="188"/>
      <c r="AD2022" s="188"/>
      <c r="AE2022" s="188"/>
      <c r="AF2022" s="188"/>
      <c r="AG2022" s="188"/>
      <c r="AH2022" s="188"/>
      <c r="AI2022" s="188"/>
    </row>
    <row r="2023">
      <c r="A2023" s="176"/>
      <c r="B2023" s="177"/>
      <c r="C2023" s="178"/>
      <c r="D2023" s="178"/>
      <c r="E2023" s="177"/>
      <c r="F2023" s="178"/>
      <c r="G2023" s="176"/>
      <c r="H2023" s="179"/>
      <c r="I2023" s="180"/>
      <c r="J2023" s="181"/>
      <c r="K2023" s="178"/>
      <c r="L2023" s="178"/>
      <c r="M2023" s="182"/>
      <c r="N2023" s="183"/>
      <c r="O2023" s="184"/>
      <c r="P2023" s="184"/>
      <c r="Q2023" s="185"/>
      <c r="R2023" s="186"/>
      <c r="S2023" s="186"/>
      <c r="T2023" s="186"/>
      <c r="U2023" s="187"/>
      <c r="V2023" s="176"/>
      <c r="W2023" s="188"/>
      <c r="X2023" s="188"/>
      <c r="Y2023" s="188"/>
      <c r="Z2023" s="188"/>
      <c r="AA2023" s="188"/>
      <c r="AB2023" s="188"/>
      <c r="AC2023" s="188"/>
      <c r="AD2023" s="188"/>
      <c r="AE2023" s="188"/>
      <c r="AF2023" s="188"/>
      <c r="AG2023" s="188"/>
      <c r="AH2023" s="188"/>
      <c r="AI2023" s="188"/>
    </row>
    <row r="2024">
      <c r="A2024" s="176"/>
      <c r="B2024" s="177"/>
      <c r="C2024" s="178"/>
      <c r="D2024" s="178"/>
      <c r="E2024" s="177"/>
      <c r="F2024" s="178"/>
      <c r="G2024" s="176"/>
      <c r="H2024" s="179"/>
      <c r="I2024" s="180"/>
      <c r="J2024" s="181"/>
      <c r="K2024" s="178"/>
      <c r="L2024" s="178"/>
      <c r="M2024" s="182"/>
      <c r="N2024" s="183"/>
      <c r="O2024" s="184"/>
      <c r="P2024" s="184"/>
      <c r="Q2024" s="185"/>
      <c r="R2024" s="186"/>
      <c r="S2024" s="186"/>
      <c r="T2024" s="186"/>
      <c r="U2024" s="187"/>
      <c r="V2024" s="176"/>
      <c r="W2024" s="164"/>
      <c r="X2024" s="164"/>
      <c r="Y2024" s="164"/>
      <c r="Z2024" s="164"/>
      <c r="AA2024" s="164"/>
      <c r="AB2024" s="164"/>
      <c r="AC2024" s="164"/>
      <c r="AD2024" s="164"/>
      <c r="AE2024" s="164"/>
      <c r="AF2024" s="164"/>
      <c r="AG2024" s="164"/>
      <c r="AH2024" s="164"/>
      <c r="AI2024" s="164"/>
    </row>
    <row r="2025">
      <c r="A2025" s="176"/>
      <c r="B2025" s="177"/>
      <c r="C2025" s="178"/>
      <c r="D2025" s="178"/>
      <c r="E2025" s="177"/>
      <c r="F2025" s="178"/>
      <c r="G2025" s="176"/>
      <c r="H2025" s="179"/>
      <c r="I2025" s="180"/>
      <c r="J2025" s="181"/>
      <c r="K2025" s="178"/>
      <c r="L2025" s="178"/>
      <c r="M2025" s="182"/>
      <c r="N2025" s="183"/>
      <c r="O2025" s="184"/>
      <c r="P2025" s="184"/>
      <c r="Q2025" s="185"/>
      <c r="R2025" s="186"/>
      <c r="S2025" s="186"/>
      <c r="T2025" s="186"/>
      <c r="U2025" s="187"/>
      <c r="V2025" s="176"/>
      <c r="W2025" s="175"/>
      <c r="X2025" s="175"/>
      <c r="Y2025" s="175"/>
      <c r="Z2025" s="175"/>
      <c r="AA2025" s="175"/>
      <c r="AB2025" s="175"/>
      <c r="AC2025" s="175"/>
      <c r="AD2025" s="175"/>
      <c r="AE2025" s="175"/>
      <c r="AF2025" s="175"/>
      <c r="AG2025" s="175"/>
      <c r="AH2025" s="175"/>
      <c r="AI2025" s="175"/>
    </row>
    <row r="2026">
      <c r="A2026" s="393"/>
      <c r="B2026" s="394"/>
      <c r="C2026" s="395"/>
      <c r="D2026" s="395"/>
      <c r="E2026" s="394"/>
      <c r="F2026" s="395"/>
      <c r="G2026" s="393"/>
      <c r="H2026" s="396"/>
      <c r="I2026" s="397"/>
      <c r="J2026" s="398"/>
      <c r="K2026" s="395"/>
      <c r="L2026" s="395"/>
      <c r="M2026" s="399"/>
      <c r="N2026" s="400"/>
      <c r="O2026" s="401"/>
      <c r="P2026" s="401"/>
      <c r="Q2026" s="402"/>
      <c r="R2026" s="403"/>
      <c r="S2026" s="403"/>
      <c r="T2026" s="403"/>
      <c r="U2026" s="404"/>
      <c r="V2026" s="393"/>
      <c r="W2026" s="188"/>
      <c r="X2026" s="188"/>
      <c r="Y2026" s="188"/>
      <c r="Z2026" s="188"/>
      <c r="AA2026" s="188"/>
      <c r="AB2026" s="188"/>
      <c r="AC2026" s="188"/>
      <c r="AD2026" s="188"/>
      <c r="AE2026" s="188"/>
      <c r="AF2026" s="188"/>
      <c r="AG2026" s="188"/>
      <c r="AH2026" s="188"/>
      <c r="AI2026" s="188"/>
    </row>
    <row r="2027">
      <c r="A2027" s="393"/>
      <c r="B2027" s="394"/>
      <c r="C2027" s="395"/>
      <c r="D2027" s="395"/>
      <c r="E2027" s="394"/>
      <c r="F2027" s="395"/>
      <c r="G2027" s="393"/>
      <c r="H2027" s="396"/>
      <c r="I2027" s="397"/>
      <c r="J2027" s="398"/>
      <c r="K2027" s="395"/>
      <c r="L2027" s="395"/>
      <c r="M2027" s="399"/>
      <c r="N2027" s="400"/>
      <c r="O2027" s="401"/>
      <c r="P2027" s="401"/>
      <c r="Q2027" s="402"/>
      <c r="R2027" s="403"/>
      <c r="S2027" s="403"/>
      <c r="T2027" s="403"/>
      <c r="U2027" s="404"/>
      <c r="V2027" s="393"/>
      <c r="W2027" s="175"/>
      <c r="X2027" s="175"/>
      <c r="Y2027" s="175"/>
      <c r="Z2027" s="175"/>
      <c r="AA2027" s="175"/>
      <c r="AB2027" s="175"/>
      <c r="AC2027" s="175"/>
      <c r="AD2027" s="175"/>
      <c r="AE2027" s="175"/>
      <c r="AF2027" s="175"/>
      <c r="AG2027" s="175"/>
      <c r="AH2027" s="175"/>
      <c r="AI2027" s="175"/>
    </row>
    <row r="2028">
      <c r="A2028" s="176"/>
      <c r="B2028" s="177"/>
      <c r="C2028" s="178"/>
      <c r="D2028" s="178"/>
      <c r="E2028" s="177"/>
      <c r="F2028" s="178"/>
      <c r="G2028" s="176"/>
      <c r="H2028" s="179"/>
      <c r="I2028" s="180"/>
      <c r="J2028" s="181"/>
      <c r="K2028" s="178"/>
      <c r="L2028" s="178"/>
      <c r="M2028" s="182"/>
      <c r="N2028" s="183"/>
      <c r="O2028" s="184"/>
      <c r="P2028" s="184"/>
      <c r="Q2028" s="185"/>
      <c r="R2028" s="186"/>
      <c r="S2028" s="186"/>
      <c r="T2028" s="186"/>
      <c r="U2028" s="187"/>
      <c r="V2028" s="176"/>
      <c r="W2028" s="175"/>
      <c r="X2028" s="175"/>
      <c r="Y2028" s="175"/>
      <c r="Z2028" s="175"/>
      <c r="AA2028" s="175"/>
      <c r="AB2028" s="175"/>
      <c r="AC2028" s="175"/>
      <c r="AD2028" s="175"/>
      <c r="AE2028" s="175"/>
      <c r="AF2028" s="175"/>
      <c r="AG2028" s="175"/>
      <c r="AH2028" s="175"/>
      <c r="AI2028" s="175"/>
    </row>
    <row r="2029">
      <c r="A2029" s="176"/>
      <c r="B2029" s="177"/>
      <c r="C2029" s="178"/>
      <c r="D2029" s="178"/>
      <c r="E2029" s="177"/>
      <c r="F2029" s="178"/>
      <c r="G2029" s="176"/>
      <c r="H2029" s="179"/>
      <c r="I2029" s="180"/>
      <c r="J2029" s="181"/>
      <c r="K2029" s="178"/>
      <c r="L2029" s="178"/>
      <c r="M2029" s="182"/>
      <c r="N2029" s="183"/>
      <c r="O2029" s="184"/>
      <c r="P2029" s="184"/>
      <c r="Q2029" s="185"/>
      <c r="R2029" s="186"/>
      <c r="S2029" s="186"/>
      <c r="T2029" s="186"/>
      <c r="U2029" s="187"/>
      <c r="V2029" s="176"/>
      <c r="W2029" s="175"/>
      <c r="X2029" s="175"/>
      <c r="Y2029" s="175"/>
      <c r="Z2029" s="175"/>
      <c r="AA2029" s="175"/>
      <c r="AB2029" s="175"/>
      <c r="AC2029" s="175"/>
      <c r="AD2029" s="175"/>
      <c r="AE2029" s="175"/>
      <c r="AF2029" s="175"/>
      <c r="AG2029" s="175"/>
      <c r="AH2029" s="175"/>
      <c r="AI2029" s="175"/>
    </row>
    <row r="2030">
      <c r="A2030" s="176"/>
      <c r="B2030" s="177"/>
      <c r="C2030" s="178"/>
      <c r="D2030" s="178"/>
      <c r="E2030" s="177"/>
      <c r="F2030" s="178"/>
      <c r="G2030" s="176"/>
      <c r="H2030" s="179"/>
      <c r="I2030" s="180"/>
      <c r="J2030" s="181"/>
      <c r="K2030" s="178"/>
      <c r="L2030" s="178"/>
      <c r="M2030" s="182"/>
      <c r="N2030" s="183"/>
      <c r="O2030" s="184"/>
      <c r="P2030" s="184"/>
      <c r="Q2030" s="185"/>
      <c r="R2030" s="186"/>
      <c r="S2030" s="186"/>
      <c r="T2030" s="186"/>
      <c r="U2030" s="187"/>
      <c r="V2030" s="176"/>
      <c r="W2030" s="164"/>
      <c r="X2030" s="164"/>
      <c r="Y2030" s="164"/>
      <c r="Z2030" s="164"/>
      <c r="AA2030" s="164"/>
      <c r="AB2030" s="164"/>
      <c r="AC2030" s="164"/>
      <c r="AD2030" s="164"/>
      <c r="AE2030" s="164"/>
      <c r="AF2030" s="164"/>
      <c r="AG2030" s="164"/>
      <c r="AH2030" s="164"/>
      <c r="AI2030" s="164"/>
    </row>
    <row r="2031">
      <c r="A2031" s="176"/>
      <c r="B2031" s="177"/>
      <c r="C2031" s="178"/>
      <c r="D2031" s="178"/>
      <c r="E2031" s="177"/>
      <c r="F2031" s="178"/>
      <c r="G2031" s="176"/>
      <c r="H2031" s="179"/>
      <c r="I2031" s="180"/>
      <c r="J2031" s="181"/>
      <c r="K2031" s="178"/>
      <c r="L2031" s="178"/>
      <c r="M2031" s="182"/>
      <c r="N2031" s="183"/>
      <c r="O2031" s="184"/>
      <c r="P2031" s="184"/>
      <c r="Q2031" s="185"/>
      <c r="R2031" s="186"/>
      <c r="S2031" s="186"/>
      <c r="T2031" s="186"/>
      <c r="U2031" s="187"/>
      <c r="V2031" s="176"/>
      <c r="W2031" s="164"/>
      <c r="X2031" s="164"/>
      <c r="Y2031" s="164"/>
      <c r="Z2031" s="164"/>
      <c r="AA2031" s="164"/>
      <c r="AB2031" s="164"/>
      <c r="AC2031" s="164"/>
      <c r="AD2031" s="164"/>
      <c r="AE2031" s="164"/>
      <c r="AF2031" s="164"/>
      <c r="AG2031" s="164"/>
      <c r="AH2031" s="164"/>
      <c r="AI2031" s="164"/>
    </row>
    <row r="2032">
      <c r="A2032" s="176"/>
      <c r="B2032" s="177"/>
      <c r="C2032" s="178"/>
      <c r="D2032" s="178"/>
      <c r="E2032" s="177"/>
      <c r="F2032" s="178"/>
      <c r="G2032" s="176"/>
      <c r="H2032" s="179"/>
      <c r="I2032" s="180"/>
      <c r="J2032" s="181"/>
      <c r="K2032" s="178"/>
      <c r="L2032" s="178"/>
      <c r="M2032" s="182"/>
      <c r="N2032" s="183"/>
      <c r="O2032" s="184"/>
      <c r="P2032" s="184"/>
      <c r="Q2032" s="185"/>
      <c r="R2032" s="186"/>
      <c r="S2032" s="186"/>
      <c r="T2032" s="186"/>
      <c r="U2032" s="187"/>
      <c r="V2032" s="176"/>
      <c r="W2032" s="164"/>
      <c r="X2032" s="164"/>
      <c r="Y2032" s="164"/>
      <c r="Z2032" s="164"/>
      <c r="AA2032" s="164"/>
      <c r="AB2032" s="164"/>
      <c r="AC2032" s="164"/>
      <c r="AD2032" s="164"/>
      <c r="AE2032" s="164"/>
      <c r="AF2032" s="164"/>
      <c r="AG2032" s="164"/>
      <c r="AH2032" s="164"/>
      <c r="AI2032" s="164"/>
    </row>
    <row r="2033">
      <c r="A2033" s="176"/>
      <c r="B2033" s="177"/>
      <c r="C2033" s="178"/>
      <c r="D2033" s="178"/>
      <c r="E2033" s="177"/>
      <c r="F2033" s="178"/>
      <c r="G2033" s="176"/>
      <c r="H2033" s="179"/>
      <c r="I2033" s="180"/>
      <c r="J2033" s="181"/>
      <c r="K2033" s="178"/>
      <c r="L2033" s="178"/>
      <c r="M2033" s="182"/>
      <c r="N2033" s="183"/>
      <c r="O2033" s="184"/>
      <c r="P2033" s="184"/>
      <c r="Q2033" s="185"/>
      <c r="R2033" s="186"/>
      <c r="S2033" s="186"/>
      <c r="T2033" s="186"/>
      <c r="U2033" s="187"/>
      <c r="V2033" s="176"/>
      <c r="W2033" s="164"/>
      <c r="X2033" s="164"/>
      <c r="Y2033" s="164"/>
      <c r="Z2033" s="164"/>
      <c r="AA2033" s="164"/>
      <c r="AB2033" s="164"/>
      <c r="AC2033" s="164"/>
      <c r="AD2033" s="164"/>
      <c r="AE2033" s="164"/>
      <c r="AF2033" s="164"/>
      <c r="AG2033" s="164"/>
      <c r="AH2033" s="164"/>
      <c r="AI2033" s="164"/>
    </row>
    <row r="2034">
      <c r="A2034" s="176"/>
      <c r="B2034" s="177"/>
      <c r="C2034" s="178"/>
      <c r="D2034" s="178"/>
      <c r="E2034" s="177"/>
      <c r="F2034" s="178"/>
      <c r="G2034" s="176"/>
      <c r="H2034" s="179"/>
      <c r="I2034" s="180"/>
      <c r="J2034" s="181"/>
      <c r="K2034" s="178"/>
      <c r="L2034" s="178"/>
      <c r="M2034" s="182"/>
      <c r="N2034" s="183"/>
      <c r="O2034" s="184"/>
      <c r="P2034" s="184"/>
      <c r="Q2034" s="185"/>
      <c r="R2034" s="186"/>
      <c r="S2034" s="186"/>
      <c r="T2034" s="186"/>
      <c r="U2034" s="187"/>
      <c r="V2034" s="176"/>
      <c r="W2034" s="164"/>
      <c r="X2034" s="164"/>
      <c r="Y2034" s="164"/>
      <c r="Z2034" s="164"/>
      <c r="AA2034" s="164"/>
      <c r="AB2034" s="164"/>
      <c r="AC2034" s="164"/>
      <c r="AD2034" s="164"/>
      <c r="AE2034" s="164"/>
      <c r="AF2034" s="164"/>
      <c r="AG2034" s="164"/>
      <c r="AH2034" s="164"/>
      <c r="AI2034" s="164"/>
    </row>
    <row r="2035">
      <c r="A2035" s="176"/>
      <c r="B2035" s="177"/>
      <c r="C2035" s="178"/>
      <c r="D2035" s="178"/>
      <c r="E2035" s="177"/>
      <c r="F2035" s="178"/>
      <c r="G2035" s="176"/>
      <c r="H2035" s="179"/>
      <c r="I2035" s="180"/>
      <c r="J2035" s="181"/>
      <c r="K2035" s="178"/>
      <c r="L2035" s="178"/>
      <c r="M2035" s="182"/>
      <c r="N2035" s="183"/>
      <c r="O2035" s="184"/>
      <c r="P2035" s="184"/>
      <c r="Q2035" s="185"/>
      <c r="R2035" s="186"/>
      <c r="S2035" s="186"/>
      <c r="T2035" s="186"/>
      <c r="U2035" s="187"/>
      <c r="V2035" s="176"/>
      <c r="W2035" s="164"/>
      <c r="X2035" s="164"/>
      <c r="Y2035" s="164"/>
      <c r="Z2035" s="164"/>
      <c r="AA2035" s="164"/>
      <c r="AB2035" s="164"/>
      <c r="AC2035" s="164"/>
      <c r="AD2035" s="164"/>
      <c r="AE2035" s="164"/>
      <c r="AF2035" s="164"/>
      <c r="AG2035" s="164"/>
      <c r="AH2035" s="164"/>
      <c r="AI2035" s="164"/>
    </row>
    <row r="2036">
      <c r="A2036" s="176"/>
      <c r="B2036" s="177"/>
      <c r="C2036" s="178"/>
      <c r="D2036" s="178"/>
      <c r="E2036" s="177"/>
      <c r="F2036" s="178"/>
      <c r="G2036" s="176"/>
      <c r="H2036" s="179"/>
      <c r="I2036" s="180"/>
      <c r="J2036" s="181"/>
      <c r="K2036" s="178"/>
      <c r="L2036" s="178"/>
      <c r="M2036" s="182"/>
      <c r="N2036" s="183"/>
      <c r="O2036" s="184"/>
      <c r="P2036" s="184"/>
      <c r="Q2036" s="185"/>
      <c r="R2036" s="186"/>
      <c r="S2036" s="186"/>
      <c r="T2036" s="186"/>
      <c r="U2036" s="187"/>
      <c r="V2036" s="176"/>
      <c r="W2036" s="164"/>
      <c r="X2036" s="164"/>
      <c r="Y2036" s="164"/>
      <c r="Z2036" s="164"/>
      <c r="AA2036" s="164"/>
      <c r="AB2036" s="164"/>
      <c r="AC2036" s="164"/>
      <c r="AD2036" s="164"/>
      <c r="AE2036" s="164"/>
      <c r="AF2036" s="164"/>
      <c r="AG2036" s="164"/>
      <c r="AH2036" s="164"/>
      <c r="AI2036" s="164"/>
    </row>
    <row r="2037">
      <c r="A2037" s="176"/>
      <c r="B2037" s="177"/>
      <c r="C2037" s="178"/>
      <c r="D2037" s="178"/>
      <c r="E2037" s="177"/>
      <c r="F2037" s="178"/>
      <c r="G2037" s="176"/>
      <c r="H2037" s="179"/>
      <c r="I2037" s="180"/>
      <c r="J2037" s="181"/>
      <c r="K2037" s="178"/>
      <c r="L2037" s="178"/>
      <c r="M2037" s="182"/>
      <c r="N2037" s="183"/>
      <c r="O2037" s="184"/>
      <c r="P2037" s="184"/>
      <c r="Q2037" s="185"/>
      <c r="R2037" s="186"/>
      <c r="S2037" s="186"/>
      <c r="T2037" s="186"/>
      <c r="U2037" s="187"/>
      <c r="V2037" s="176"/>
      <c r="W2037" s="164"/>
      <c r="X2037" s="164"/>
      <c r="Y2037" s="164"/>
      <c r="Z2037" s="164"/>
      <c r="AA2037" s="164"/>
      <c r="AB2037" s="164"/>
      <c r="AC2037" s="164"/>
      <c r="AD2037" s="164"/>
      <c r="AE2037" s="164"/>
      <c r="AF2037" s="164"/>
      <c r="AG2037" s="164"/>
      <c r="AH2037" s="164"/>
      <c r="AI2037" s="164"/>
    </row>
    <row r="2038">
      <c r="A2038" s="176"/>
      <c r="B2038" s="177"/>
      <c r="C2038" s="178"/>
      <c r="D2038" s="178"/>
      <c r="E2038" s="177"/>
      <c r="F2038" s="178"/>
      <c r="G2038" s="176"/>
      <c r="H2038" s="179"/>
      <c r="I2038" s="180"/>
      <c r="J2038" s="181"/>
      <c r="K2038" s="178"/>
      <c r="L2038" s="178"/>
      <c r="M2038" s="182"/>
      <c r="N2038" s="183"/>
      <c r="O2038" s="184"/>
      <c r="P2038" s="184"/>
      <c r="Q2038" s="185"/>
      <c r="R2038" s="186"/>
      <c r="S2038" s="186"/>
      <c r="T2038" s="186"/>
      <c r="U2038" s="187"/>
      <c r="V2038" s="176"/>
      <c r="W2038" s="164"/>
      <c r="X2038" s="164"/>
      <c r="Y2038" s="164"/>
      <c r="Z2038" s="164"/>
      <c r="AA2038" s="164"/>
      <c r="AB2038" s="164"/>
      <c r="AC2038" s="164"/>
      <c r="AD2038" s="164"/>
      <c r="AE2038" s="164"/>
      <c r="AF2038" s="164"/>
      <c r="AG2038" s="164"/>
      <c r="AH2038" s="164"/>
      <c r="AI2038" s="164"/>
    </row>
    <row r="2039">
      <c r="A2039" s="176"/>
      <c r="B2039" s="177"/>
      <c r="C2039" s="178"/>
      <c r="D2039" s="178"/>
      <c r="E2039" s="177"/>
      <c r="F2039" s="178"/>
      <c r="G2039" s="176"/>
      <c r="H2039" s="179"/>
      <c r="I2039" s="180"/>
      <c r="J2039" s="181"/>
      <c r="K2039" s="178"/>
      <c r="L2039" s="178"/>
      <c r="M2039" s="182"/>
      <c r="N2039" s="183"/>
      <c r="O2039" s="184"/>
      <c r="P2039" s="184"/>
      <c r="Q2039" s="185"/>
      <c r="R2039" s="186"/>
      <c r="S2039" s="186"/>
      <c r="T2039" s="186"/>
      <c r="U2039" s="187"/>
      <c r="V2039" s="176"/>
      <c r="W2039" s="164"/>
      <c r="X2039" s="164"/>
      <c r="Y2039" s="164"/>
      <c r="Z2039" s="164"/>
      <c r="AA2039" s="164"/>
      <c r="AB2039" s="164"/>
      <c r="AC2039" s="164"/>
      <c r="AD2039" s="164"/>
      <c r="AE2039" s="164"/>
      <c r="AF2039" s="164"/>
      <c r="AG2039" s="164"/>
      <c r="AH2039" s="164"/>
      <c r="AI2039" s="164"/>
    </row>
    <row r="2040">
      <c r="A2040" s="176"/>
      <c r="B2040" s="177"/>
      <c r="C2040" s="178"/>
      <c r="D2040" s="178"/>
      <c r="E2040" s="177"/>
      <c r="F2040" s="178"/>
      <c r="G2040" s="176"/>
      <c r="H2040" s="179"/>
      <c r="I2040" s="180"/>
      <c r="J2040" s="181"/>
      <c r="K2040" s="178"/>
      <c r="L2040" s="178"/>
      <c r="M2040" s="182"/>
      <c r="N2040" s="183"/>
      <c r="O2040" s="184"/>
      <c r="P2040" s="184"/>
      <c r="Q2040" s="185"/>
      <c r="R2040" s="186"/>
      <c r="S2040" s="186"/>
      <c r="T2040" s="186"/>
      <c r="U2040" s="187"/>
      <c r="V2040" s="176"/>
      <c r="W2040" s="164"/>
      <c r="X2040" s="164"/>
      <c r="Y2040" s="164"/>
      <c r="Z2040" s="164"/>
      <c r="AA2040" s="164"/>
      <c r="AB2040" s="164"/>
      <c r="AC2040" s="164"/>
      <c r="AD2040" s="164"/>
      <c r="AE2040" s="164"/>
      <c r="AF2040" s="164"/>
      <c r="AG2040" s="164"/>
      <c r="AH2040" s="164"/>
      <c r="AI2040" s="164"/>
    </row>
    <row r="2041">
      <c r="A2041" s="176"/>
      <c r="B2041" s="177"/>
      <c r="C2041" s="178"/>
      <c r="D2041" s="178"/>
      <c r="E2041" s="177"/>
      <c r="F2041" s="178"/>
      <c r="G2041" s="176"/>
      <c r="H2041" s="179"/>
      <c r="I2041" s="180"/>
      <c r="J2041" s="181"/>
      <c r="K2041" s="178"/>
      <c r="L2041" s="178"/>
      <c r="M2041" s="182"/>
      <c r="N2041" s="183"/>
      <c r="O2041" s="184"/>
      <c r="P2041" s="184"/>
      <c r="Q2041" s="185"/>
      <c r="R2041" s="186"/>
      <c r="S2041" s="186"/>
      <c r="T2041" s="186"/>
      <c r="U2041" s="187"/>
      <c r="V2041" s="176"/>
      <c r="W2041" s="164"/>
      <c r="X2041" s="164"/>
      <c r="Y2041" s="164"/>
      <c r="Z2041" s="164"/>
      <c r="AA2041" s="164"/>
      <c r="AB2041" s="164"/>
      <c r="AC2041" s="164"/>
      <c r="AD2041" s="164"/>
      <c r="AE2041" s="164"/>
      <c r="AF2041" s="164"/>
      <c r="AG2041" s="164"/>
      <c r="AH2041" s="164"/>
      <c r="AI2041" s="164"/>
    </row>
    <row r="2042">
      <c r="A2042" s="176"/>
      <c r="B2042" s="177"/>
      <c r="C2042" s="178"/>
      <c r="D2042" s="178"/>
      <c r="E2042" s="177"/>
      <c r="F2042" s="178"/>
      <c r="G2042" s="176"/>
      <c r="H2042" s="179"/>
      <c r="I2042" s="180"/>
      <c r="J2042" s="181"/>
      <c r="K2042" s="178"/>
      <c r="L2042" s="178"/>
      <c r="M2042" s="182"/>
      <c r="N2042" s="183"/>
      <c r="O2042" s="184"/>
      <c r="P2042" s="184"/>
      <c r="Q2042" s="185"/>
      <c r="R2042" s="186"/>
      <c r="S2042" s="186"/>
      <c r="T2042" s="186"/>
      <c r="U2042" s="187"/>
      <c r="V2042" s="176"/>
      <c r="W2042" s="164"/>
      <c r="X2042" s="164"/>
      <c r="Y2042" s="164"/>
      <c r="Z2042" s="164"/>
      <c r="AA2042" s="164"/>
      <c r="AB2042" s="164"/>
      <c r="AC2042" s="164"/>
      <c r="AD2042" s="164"/>
      <c r="AE2042" s="164"/>
      <c r="AF2042" s="164"/>
      <c r="AG2042" s="164"/>
      <c r="AH2042" s="164"/>
      <c r="AI2042" s="164"/>
    </row>
    <row r="2043">
      <c r="A2043" s="176"/>
      <c r="B2043" s="177"/>
      <c r="C2043" s="178"/>
      <c r="D2043" s="178"/>
      <c r="E2043" s="177"/>
      <c r="F2043" s="178"/>
      <c r="G2043" s="176"/>
      <c r="H2043" s="179"/>
      <c r="I2043" s="180"/>
      <c r="J2043" s="181"/>
      <c r="K2043" s="178"/>
      <c r="L2043" s="178"/>
      <c r="M2043" s="182"/>
      <c r="N2043" s="183"/>
      <c r="O2043" s="184"/>
      <c r="P2043" s="184"/>
      <c r="Q2043" s="185"/>
      <c r="R2043" s="186"/>
      <c r="S2043" s="186"/>
      <c r="T2043" s="186"/>
      <c r="U2043" s="187"/>
      <c r="V2043" s="176"/>
      <c r="W2043" s="164"/>
      <c r="X2043" s="164"/>
      <c r="Y2043" s="164"/>
      <c r="Z2043" s="164"/>
      <c r="AA2043" s="164"/>
      <c r="AB2043" s="164"/>
      <c r="AC2043" s="164"/>
      <c r="AD2043" s="164"/>
      <c r="AE2043" s="164"/>
      <c r="AF2043" s="164"/>
      <c r="AG2043" s="164"/>
      <c r="AH2043" s="164"/>
      <c r="AI2043" s="164"/>
    </row>
    <row r="2044">
      <c r="A2044" s="176"/>
      <c r="B2044" s="177"/>
      <c r="C2044" s="178"/>
      <c r="D2044" s="178"/>
      <c r="E2044" s="177"/>
      <c r="F2044" s="178"/>
      <c r="G2044" s="176"/>
      <c r="H2044" s="179"/>
      <c r="I2044" s="180"/>
      <c r="J2044" s="181"/>
      <c r="K2044" s="178"/>
      <c r="L2044" s="178"/>
      <c r="M2044" s="182"/>
      <c r="N2044" s="183"/>
      <c r="O2044" s="184"/>
      <c r="P2044" s="184"/>
      <c r="Q2044" s="185"/>
      <c r="R2044" s="186"/>
      <c r="S2044" s="186"/>
      <c r="T2044" s="186"/>
      <c r="U2044" s="187"/>
      <c r="V2044" s="176"/>
      <c r="W2044" s="164"/>
      <c r="X2044" s="164"/>
      <c r="Y2044" s="164"/>
      <c r="Z2044" s="164"/>
      <c r="AA2044" s="164"/>
      <c r="AB2044" s="164"/>
      <c r="AC2044" s="164"/>
      <c r="AD2044" s="164"/>
      <c r="AE2044" s="164"/>
      <c r="AF2044" s="164"/>
      <c r="AG2044" s="164"/>
      <c r="AH2044" s="164"/>
      <c r="AI2044" s="164"/>
    </row>
    <row r="2045">
      <c r="A2045" s="176"/>
      <c r="B2045" s="177"/>
      <c r="C2045" s="178"/>
      <c r="D2045" s="178"/>
      <c r="E2045" s="177"/>
      <c r="F2045" s="178"/>
      <c r="G2045" s="176"/>
      <c r="H2045" s="179"/>
      <c r="I2045" s="180"/>
      <c r="J2045" s="181"/>
      <c r="K2045" s="178"/>
      <c r="L2045" s="178"/>
      <c r="M2045" s="182"/>
      <c r="N2045" s="183"/>
      <c r="O2045" s="184"/>
      <c r="P2045" s="184"/>
      <c r="Q2045" s="185"/>
      <c r="R2045" s="186"/>
      <c r="S2045" s="186"/>
      <c r="T2045" s="186"/>
      <c r="U2045" s="187"/>
      <c r="V2045" s="176"/>
      <c r="W2045" s="164"/>
      <c r="X2045" s="164"/>
      <c r="Y2045" s="164"/>
      <c r="Z2045" s="164"/>
      <c r="AA2045" s="164"/>
      <c r="AB2045" s="164"/>
      <c r="AC2045" s="164"/>
      <c r="AD2045" s="164"/>
      <c r="AE2045" s="164"/>
      <c r="AF2045" s="164"/>
      <c r="AG2045" s="164"/>
      <c r="AH2045" s="164"/>
      <c r="AI2045" s="164"/>
    </row>
    <row r="2046">
      <c r="A2046" s="176"/>
      <c r="B2046" s="177"/>
      <c r="C2046" s="178"/>
      <c r="D2046" s="178"/>
      <c r="E2046" s="177"/>
      <c r="F2046" s="178"/>
      <c r="G2046" s="176"/>
      <c r="H2046" s="179"/>
      <c r="I2046" s="180"/>
      <c r="J2046" s="181"/>
      <c r="K2046" s="178"/>
      <c r="L2046" s="178"/>
      <c r="M2046" s="182"/>
      <c r="N2046" s="183"/>
      <c r="O2046" s="184"/>
      <c r="P2046" s="184"/>
      <c r="Q2046" s="185"/>
      <c r="R2046" s="186"/>
      <c r="S2046" s="186"/>
      <c r="T2046" s="186"/>
      <c r="U2046" s="187"/>
      <c r="V2046" s="176"/>
      <c r="W2046" s="164"/>
      <c r="X2046" s="164"/>
      <c r="Y2046" s="164"/>
      <c r="Z2046" s="164"/>
      <c r="AA2046" s="164"/>
      <c r="AB2046" s="164"/>
      <c r="AC2046" s="164"/>
      <c r="AD2046" s="164"/>
      <c r="AE2046" s="164"/>
      <c r="AF2046" s="164"/>
      <c r="AG2046" s="164"/>
      <c r="AH2046" s="164"/>
      <c r="AI2046" s="164"/>
    </row>
    <row r="2047">
      <c r="A2047" s="176"/>
      <c r="B2047" s="177"/>
      <c r="C2047" s="178"/>
      <c r="D2047" s="178"/>
      <c r="E2047" s="177"/>
      <c r="F2047" s="178"/>
      <c r="G2047" s="176"/>
      <c r="H2047" s="179"/>
      <c r="I2047" s="180"/>
      <c r="J2047" s="181"/>
      <c r="K2047" s="178"/>
      <c r="L2047" s="178"/>
      <c r="M2047" s="182"/>
      <c r="N2047" s="183"/>
      <c r="O2047" s="184"/>
      <c r="P2047" s="184"/>
      <c r="Q2047" s="185"/>
      <c r="R2047" s="186"/>
      <c r="S2047" s="186"/>
      <c r="T2047" s="186"/>
      <c r="U2047" s="187"/>
      <c r="V2047" s="176"/>
      <c r="W2047" s="164"/>
      <c r="X2047" s="164"/>
      <c r="Y2047" s="164"/>
      <c r="Z2047" s="164"/>
      <c r="AA2047" s="164"/>
      <c r="AB2047" s="164"/>
      <c r="AC2047" s="164"/>
      <c r="AD2047" s="164"/>
      <c r="AE2047" s="164"/>
      <c r="AF2047" s="164"/>
      <c r="AG2047" s="164"/>
      <c r="AH2047" s="164"/>
      <c r="AI2047" s="164"/>
    </row>
    <row r="2048">
      <c r="A2048" s="176"/>
      <c r="B2048" s="177"/>
      <c r="C2048" s="178"/>
      <c r="D2048" s="178"/>
      <c r="E2048" s="177"/>
      <c r="F2048" s="178"/>
      <c r="G2048" s="176"/>
      <c r="H2048" s="179"/>
      <c r="I2048" s="180"/>
      <c r="J2048" s="181"/>
      <c r="K2048" s="178"/>
      <c r="L2048" s="178"/>
      <c r="M2048" s="182"/>
      <c r="N2048" s="183"/>
      <c r="O2048" s="184"/>
      <c r="P2048" s="184"/>
      <c r="Q2048" s="185"/>
      <c r="R2048" s="186"/>
      <c r="S2048" s="186"/>
      <c r="T2048" s="186"/>
      <c r="U2048" s="187"/>
      <c r="V2048" s="176"/>
      <c r="W2048" s="164"/>
      <c r="X2048" s="164"/>
      <c r="Y2048" s="164"/>
      <c r="Z2048" s="164"/>
      <c r="AA2048" s="164"/>
      <c r="AB2048" s="164"/>
      <c r="AC2048" s="164"/>
      <c r="AD2048" s="164"/>
      <c r="AE2048" s="164"/>
      <c r="AF2048" s="164"/>
      <c r="AG2048" s="164"/>
      <c r="AH2048" s="164"/>
      <c r="AI2048" s="164"/>
    </row>
    <row r="2049">
      <c r="A2049" s="176"/>
      <c r="B2049" s="177"/>
      <c r="C2049" s="178"/>
      <c r="D2049" s="178"/>
      <c r="E2049" s="177"/>
      <c r="F2049" s="178"/>
      <c r="G2049" s="176"/>
      <c r="H2049" s="179"/>
      <c r="I2049" s="180"/>
      <c r="J2049" s="181"/>
      <c r="K2049" s="178"/>
      <c r="L2049" s="178"/>
      <c r="M2049" s="182"/>
      <c r="N2049" s="183"/>
      <c r="O2049" s="184"/>
      <c r="P2049" s="184"/>
      <c r="Q2049" s="185"/>
      <c r="R2049" s="186"/>
      <c r="S2049" s="186"/>
      <c r="T2049" s="186"/>
      <c r="U2049" s="187"/>
      <c r="V2049" s="176"/>
      <c r="W2049" s="164"/>
      <c r="X2049" s="164"/>
      <c r="Y2049" s="164"/>
      <c r="Z2049" s="164"/>
      <c r="AA2049" s="164"/>
      <c r="AB2049" s="164"/>
      <c r="AC2049" s="164"/>
      <c r="AD2049" s="164"/>
      <c r="AE2049" s="164"/>
      <c r="AF2049" s="164"/>
      <c r="AG2049" s="164"/>
      <c r="AH2049" s="164"/>
      <c r="AI2049" s="164"/>
    </row>
    <row r="2050">
      <c r="A2050" s="176"/>
      <c r="B2050" s="177"/>
      <c r="C2050" s="178"/>
      <c r="D2050" s="178"/>
      <c r="E2050" s="177"/>
      <c r="F2050" s="178"/>
      <c r="G2050" s="176"/>
      <c r="H2050" s="179"/>
      <c r="I2050" s="180"/>
      <c r="J2050" s="181"/>
      <c r="K2050" s="178"/>
      <c r="L2050" s="178"/>
      <c r="M2050" s="182"/>
      <c r="N2050" s="183"/>
      <c r="O2050" s="184"/>
      <c r="P2050" s="184"/>
      <c r="Q2050" s="185"/>
      <c r="R2050" s="186"/>
      <c r="S2050" s="186"/>
      <c r="T2050" s="186"/>
      <c r="U2050" s="187"/>
      <c r="V2050" s="176"/>
      <c r="W2050" s="164"/>
      <c r="X2050" s="164"/>
      <c r="Y2050" s="164"/>
      <c r="Z2050" s="164"/>
      <c r="AA2050" s="164"/>
      <c r="AB2050" s="164"/>
      <c r="AC2050" s="164"/>
      <c r="AD2050" s="164"/>
      <c r="AE2050" s="164"/>
      <c r="AF2050" s="164"/>
      <c r="AG2050" s="164"/>
      <c r="AH2050" s="164"/>
      <c r="AI2050" s="164"/>
    </row>
    <row r="2051">
      <c r="A2051" s="176"/>
      <c r="B2051" s="177"/>
      <c r="C2051" s="178"/>
      <c r="D2051" s="178"/>
      <c r="E2051" s="177"/>
      <c r="F2051" s="178"/>
      <c r="G2051" s="176"/>
      <c r="H2051" s="179"/>
      <c r="I2051" s="180"/>
      <c r="J2051" s="181"/>
      <c r="K2051" s="178"/>
      <c r="L2051" s="178"/>
      <c r="M2051" s="182"/>
      <c r="N2051" s="183"/>
      <c r="O2051" s="184"/>
      <c r="P2051" s="184"/>
      <c r="Q2051" s="185"/>
      <c r="R2051" s="186"/>
      <c r="S2051" s="186"/>
      <c r="T2051" s="186"/>
      <c r="U2051" s="187"/>
      <c r="V2051" s="176"/>
      <c r="W2051" s="164"/>
      <c r="X2051" s="164"/>
      <c r="Y2051" s="164"/>
      <c r="Z2051" s="164"/>
      <c r="AA2051" s="164"/>
      <c r="AB2051" s="164"/>
      <c r="AC2051" s="164"/>
      <c r="AD2051" s="164"/>
      <c r="AE2051" s="164"/>
      <c r="AF2051" s="164"/>
      <c r="AG2051" s="164"/>
      <c r="AH2051" s="164"/>
      <c r="AI2051" s="164"/>
    </row>
    <row r="2052">
      <c r="A2052" s="176"/>
      <c r="B2052" s="177"/>
      <c r="C2052" s="178"/>
      <c r="D2052" s="178"/>
      <c r="E2052" s="177"/>
      <c r="F2052" s="178"/>
      <c r="G2052" s="176"/>
      <c r="H2052" s="179"/>
      <c r="I2052" s="180"/>
      <c r="J2052" s="181"/>
      <c r="K2052" s="178"/>
      <c r="L2052" s="178"/>
      <c r="M2052" s="182"/>
      <c r="N2052" s="183"/>
      <c r="O2052" s="184"/>
      <c r="P2052" s="184"/>
      <c r="Q2052" s="185"/>
      <c r="R2052" s="186"/>
      <c r="S2052" s="186"/>
      <c r="T2052" s="186"/>
      <c r="U2052" s="187"/>
      <c r="V2052" s="176"/>
      <c r="W2052" s="164"/>
      <c r="X2052" s="164"/>
      <c r="Y2052" s="164"/>
      <c r="Z2052" s="164"/>
      <c r="AA2052" s="164"/>
      <c r="AB2052" s="164"/>
      <c r="AC2052" s="164"/>
      <c r="AD2052" s="164"/>
      <c r="AE2052" s="164"/>
      <c r="AF2052" s="164"/>
      <c r="AG2052" s="164"/>
      <c r="AH2052" s="164"/>
      <c r="AI2052" s="164"/>
    </row>
    <row r="2053">
      <c r="A2053" s="176"/>
      <c r="B2053" s="177"/>
      <c r="C2053" s="178"/>
      <c r="D2053" s="178"/>
      <c r="E2053" s="177"/>
      <c r="F2053" s="178"/>
      <c r="G2053" s="176"/>
      <c r="H2053" s="179"/>
      <c r="I2053" s="180"/>
      <c r="J2053" s="181"/>
      <c r="K2053" s="178"/>
      <c r="L2053" s="178"/>
      <c r="M2053" s="182"/>
      <c r="N2053" s="183"/>
      <c r="O2053" s="184"/>
      <c r="P2053" s="184"/>
      <c r="Q2053" s="185"/>
      <c r="R2053" s="186"/>
      <c r="S2053" s="186"/>
      <c r="T2053" s="186"/>
      <c r="U2053" s="187"/>
      <c r="V2053" s="176"/>
      <c r="W2053" s="164"/>
      <c r="X2053" s="164"/>
      <c r="Y2053" s="164"/>
      <c r="Z2053" s="164"/>
      <c r="AA2053" s="164"/>
      <c r="AB2053" s="164"/>
      <c r="AC2053" s="164"/>
      <c r="AD2053" s="164"/>
      <c r="AE2053" s="164"/>
      <c r="AF2053" s="164"/>
      <c r="AG2053" s="164"/>
      <c r="AH2053" s="164"/>
      <c r="AI2053" s="164"/>
    </row>
    <row r="2054">
      <c r="A2054" s="176"/>
      <c r="B2054" s="177"/>
      <c r="C2054" s="178"/>
      <c r="D2054" s="178"/>
      <c r="E2054" s="177"/>
      <c r="F2054" s="178"/>
      <c r="G2054" s="176"/>
      <c r="H2054" s="179"/>
      <c r="I2054" s="180"/>
      <c r="J2054" s="181"/>
      <c r="K2054" s="178"/>
      <c r="L2054" s="178"/>
      <c r="M2054" s="182"/>
      <c r="N2054" s="183"/>
      <c r="O2054" s="184"/>
      <c r="P2054" s="184"/>
      <c r="Q2054" s="185"/>
      <c r="R2054" s="186"/>
      <c r="S2054" s="186"/>
      <c r="T2054" s="186"/>
      <c r="U2054" s="187"/>
      <c r="V2054" s="176"/>
      <c r="W2054" s="164"/>
      <c r="X2054" s="164"/>
      <c r="Y2054" s="164"/>
      <c r="Z2054" s="164"/>
      <c r="AA2054" s="164"/>
      <c r="AB2054" s="164"/>
      <c r="AC2054" s="164"/>
      <c r="AD2054" s="164"/>
      <c r="AE2054" s="164"/>
      <c r="AF2054" s="164"/>
      <c r="AG2054" s="164"/>
      <c r="AH2054" s="164"/>
      <c r="AI2054" s="164"/>
    </row>
    <row r="2055">
      <c r="A2055" s="176"/>
      <c r="B2055" s="177"/>
      <c r="C2055" s="178"/>
      <c r="D2055" s="178"/>
      <c r="E2055" s="177"/>
      <c r="F2055" s="178"/>
      <c r="G2055" s="176"/>
      <c r="H2055" s="179"/>
      <c r="I2055" s="180"/>
      <c r="J2055" s="181"/>
      <c r="K2055" s="178"/>
      <c r="L2055" s="178"/>
      <c r="M2055" s="182"/>
      <c r="N2055" s="183"/>
      <c r="O2055" s="184"/>
      <c r="P2055" s="184"/>
      <c r="Q2055" s="185"/>
      <c r="R2055" s="186"/>
      <c r="S2055" s="186"/>
      <c r="T2055" s="186"/>
      <c r="U2055" s="187"/>
      <c r="V2055" s="176"/>
      <c r="W2055" s="164"/>
      <c r="X2055" s="164"/>
      <c r="Y2055" s="164"/>
      <c r="Z2055" s="164"/>
      <c r="AA2055" s="164"/>
      <c r="AB2055" s="164"/>
      <c r="AC2055" s="164"/>
      <c r="AD2055" s="164"/>
      <c r="AE2055" s="164"/>
      <c r="AF2055" s="164"/>
      <c r="AG2055" s="164"/>
      <c r="AH2055" s="164"/>
      <c r="AI2055" s="164"/>
    </row>
    <row r="2056">
      <c r="A2056" s="176"/>
      <c r="B2056" s="177"/>
      <c r="C2056" s="178"/>
      <c r="D2056" s="178"/>
      <c r="E2056" s="177"/>
      <c r="F2056" s="178"/>
      <c r="G2056" s="176"/>
      <c r="H2056" s="179"/>
      <c r="I2056" s="180"/>
      <c r="J2056" s="181"/>
      <c r="K2056" s="178"/>
      <c r="L2056" s="178"/>
      <c r="M2056" s="182"/>
      <c r="N2056" s="183"/>
      <c r="O2056" s="184"/>
      <c r="P2056" s="184"/>
      <c r="Q2056" s="185"/>
      <c r="R2056" s="186"/>
      <c r="S2056" s="186"/>
      <c r="T2056" s="186"/>
      <c r="U2056" s="187"/>
      <c r="V2056" s="176"/>
      <c r="W2056" s="164"/>
      <c r="X2056" s="164"/>
      <c r="Y2056" s="164"/>
      <c r="Z2056" s="164"/>
      <c r="AA2056" s="164"/>
      <c r="AB2056" s="164"/>
      <c r="AC2056" s="164"/>
      <c r="AD2056" s="164"/>
      <c r="AE2056" s="164"/>
      <c r="AF2056" s="164"/>
      <c r="AG2056" s="164"/>
      <c r="AH2056" s="164"/>
      <c r="AI2056" s="164"/>
    </row>
    <row r="2057">
      <c r="A2057" s="176"/>
      <c r="B2057" s="177"/>
      <c r="C2057" s="178"/>
      <c r="D2057" s="178"/>
      <c r="E2057" s="177"/>
      <c r="F2057" s="178"/>
      <c r="G2057" s="176"/>
      <c r="H2057" s="179"/>
      <c r="I2057" s="180"/>
      <c r="J2057" s="181"/>
      <c r="K2057" s="178"/>
      <c r="L2057" s="178"/>
      <c r="M2057" s="182"/>
      <c r="N2057" s="183"/>
      <c r="O2057" s="184"/>
      <c r="P2057" s="184"/>
      <c r="Q2057" s="185"/>
      <c r="R2057" s="186"/>
      <c r="S2057" s="186"/>
      <c r="T2057" s="186"/>
      <c r="U2057" s="187"/>
      <c r="V2057" s="176"/>
      <c r="W2057" s="164"/>
      <c r="X2057" s="164"/>
      <c r="Y2057" s="164"/>
      <c r="Z2057" s="164"/>
      <c r="AA2057" s="164"/>
      <c r="AB2057" s="164"/>
      <c r="AC2057" s="164"/>
      <c r="AD2057" s="164"/>
      <c r="AE2057" s="164"/>
      <c r="AF2057" s="164"/>
      <c r="AG2057" s="164"/>
      <c r="AH2057" s="164"/>
      <c r="AI2057" s="164"/>
    </row>
    <row r="2058">
      <c r="A2058" s="176"/>
      <c r="B2058" s="177"/>
      <c r="C2058" s="178"/>
      <c r="D2058" s="178"/>
      <c r="E2058" s="177"/>
      <c r="F2058" s="178"/>
      <c r="G2058" s="176"/>
      <c r="H2058" s="179"/>
      <c r="I2058" s="180"/>
      <c r="J2058" s="181"/>
      <c r="K2058" s="178"/>
      <c r="L2058" s="178"/>
      <c r="M2058" s="182"/>
      <c r="N2058" s="183"/>
      <c r="O2058" s="184"/>
      <c r="P2058" s="184"/>
      <c r="Q2058" s="185"/>
      <c r="R2058" s="186"/>
      <c r="S2058" s="186"/>
      <c r="T2058" s="186"/>
      <c r="U2058" s="187"/>
      <c r="V2058" s="176"/>
      <c r="W2058" s="164"/>
      <c r="X2058" s="164"/>
      <c r="Y2058" s="164"/>
      <c r="Z2058" s="164"/>
      <c r="AA2058" s="164"/>
      <c r="AB2058" s="164"/>
      <c r="AC2058" s="164"/>
      <c r="AD2058" s="164"/>
      <c r="AE2058" s="164"/>
      <c r="AF2058" s="164"/>
      <c r="AG2058" s="164"/>
      <c r="AH2058" s="164"/>
      <c r="AI2058" s="164"/>
    </row>
    <row r="2059">
      <c r="A2059" s="176"/>
      <c r="B2059" s="177"/>
      <c r="C2059" s="178"/>
      <c r="D2059" s="178"/>
      <c r="E2059" s="177"/>
      <c r="F2059" s="178"/>
      <c r="G2059" s="176"/>
      <c r="H2059" s="179"/>
      <c r="I2059" s="180"/>
      <c r="J2059" s="181"/>
      <c r="K2059" s="178"/>
      <c r="L2059" s="178"/>
      <c r="M2059" s="182"/>
      <c r="N2059" s="183"/>
      <c r="O2059" s="184"/>
      <c r="P2059" s="184"/>
      <c r="Q2059" s="185"/>
      <c r="R2059" s="186"/>
      <c r="S2059" s="186"/>
      <c r="T2059" s="186"/>
      <c r="U2059" s="187"/>
      <c r="V2059" s="176"/>
      <c r="W2059" s="164"/>
      <c r="X2059" s="164"/>
      <c r="Y2059" s="164"/>
      <c r="Z2059" s="164"/>
      <c r="AA2059" s="164"/>
      <c r="AB2059" s="164"/>
      <c r="AC2059" s="164"/>
      <c r="AD2059" s="164"/>
      <c r="AE2059" s="164"/>
      <c r="AF2059" s="164"/>
      <c r="AG2059" s="164"/>
      <c r="AH2059" s="164"/>
      <c r="AI2059" s="164"/>
    </row>
    <row r="2060">
      <c r="A2060" s="176"/>
      <c r="B2060" s="177"/>
      <c r="C2060" s="178"/>
      <c r="D2060" s="178"/>
      <c r="E2060" s="177"/>
      <c r="F2060" s="178"/>
      <c r="G2060" s="176"/>
      <c r="H2060" s="179"/>
      <c r="I2060" s="180"/>
      <c r="J2060" s="181"/>
      <c r="K2060" s="178"/>
      <c r="L2060" s="178"/>
      <c r="M2060" s="182"/>
      <c r="N2060" s="183"/>
      <c r="O2060" s="184"/>
      <c r="P2060" s="184"/>
      <c r="Q2060" s="185"/>
      <c r="R2060" s="186"/>
      <c r="S2060" s="186"/>
      <c r="T2060" s="186"/>
      <c r="U2060" s="187"/>
      <c r="V2060" s="176"/>
      <c r="W2060" s="164"/>
      <c r="X2060" s="164"/>
      <c r="Y2060" s="164"/>
      <c r="Z2060" s="164"/>
      <c r="AA2060" s="164"/>
      <c r="AB2060" s="164"/>
      <c r="AC2060" s="164"/>
      <c r="AD2060" s="164"/>
      <c r="AE2060" s="164"/>
      <c r="AF2060" s="164"/>
      <c r="AG2060" s="164"/>
      <c r="AH2060" s="164"/>
      <c r="AI2060" s="164"/>
    </row>
    <row r="2061">
      <c r="A2061" s="176"/>
      <c r="B2061" s="177"/>
      <c r="C2061" s="178"/>
      <c r="D2061" s="178"/>
      <c r="E2061" s="177"/>
      <c r="F2061" s="178"/>
      <c r="G2061" s="176"/>
      <c r="H2061" s="179"/>
      <c r="I2061" s="180"/>
      <c r="J2061" s="181"/>
      <c r="K2061" s="178"/>
      <c r="L2061" s="178"/>
      <c r="M2061" s="182"/>
      <c r="N2061" s="183"/>
      <c r="O2061" s="184"/>
      <c r="P2061" s="184"/>
      <c r="Q2061" s="185"/>
      <c r="R2061" s="186"/>
      <c r="S2061" s="186"/>
      <c r="T2061" s="186"/>
      <c r="U2061" s="187"/>
      <c r="V2061" s="176"/>
      <c r="W2061" s="164"/>
      <c r="X2061" s="164"/>
      <c r="Y2061" s="164"/>
      <c r="Z2061" s="164"/>
      <c r="AA2061" s="164"/>
      <c r="AB2061" s="164"/>
      <c r="AC2061" s="164"/>
      <c r="AD2061" s="164"/>
      <c r="AE2061" s="164"/>
      <c r="AF2061" s="164"/>
      <c r="AG2061" s="164"/>
      <c r="AH2061" s="164"/>
      <c r="AI2061" s="164"/>
    </row>
    <row r="2062">
      <c r="A2062" s="176"/>
      <c r="B2062" s="177"/>
      <c r="C2062" s="178"/>
      <c r="D2062" s="178"/>
      <c r="E2062" s="177"/>
      <c r="F2062" s="178"/>
      <c r="G2062" s="176"/>
      <c r="H2062" s="179"/>
      <c r="I2062" s="180"/>
      <c r="J2062" s="181"/>
      <c r="K2062" s="178"/>
      <c r="L2062" s="178"/>
      <c r="M2062" s="182"/>
      <c r="N2062" s="183"/>
      <c r="O2062" s="184"/>
      <c r="P2062" s="184"/>
      <c r="Q2062" s="185"/>
      <c r="R2062" s="186"/>
      <c r="S2062" s="186"/>
      <c r="T2062" s="186"/>
      <c r="U2062" s="187"/>
      <c r="V2062" s="176"/>
      <c r="W2062" s="164"/>
      <c r="X2062" s="164"/>
      <c r="Y2062" s="164"/>
      <c r="Z2062" s="164"/>
      <c r="AA2062" s="164"/>
      <c r="AB2062" s="164"/>
      <c r="AC2062" s="164"/>
      <c r="AD2062" s="164"/>
      <c r="AE2062" s="164"/>
      <c r="AF2062" s="164"/>
      <c r="AG2062" s="164"/>
      <c r="AH2062" s="164"/>
      <c r="AI2062" s="164"/>
    </row>
    <row r="2063">
      <c r="A2063" s="176"/>
      <c r="B2063" s="177"/>
      <c r="C2063" s="178"/>
      <c r="D2063" s="178"/>
      <c r="E2063" s="177"/>
      <c r="F2063" s="178"/>
      <c r="G2063" s="176"/>
      <c r="H2063" s="179"/>
      <c r="I2063" s="180"/>
      <c r="J2063" s="181"/>
      <c r="K2063" s="178"/>
      <c r="L2063" s="178"/>
      <c r="M2063" s="182"/>
      <c r="N2063" s="183"/>
      <c r="O2063" s="184"/>
      <c r="P2063" s="184"/>
      <c r="Q2063" s="185"/>
      <c r="R2063" s="186"/>
      <c r="S2063" s="186"/>
      <c r="T2063" s="186"/>
      <c r="U2063" s="187"/>
      <c r="V2063" s="176"/>
      <c r="W2063" s="164"/>
      <c r="X2063" s="164"/>
      <c r="Y2063" s="164"/>
      <c r="Z2063" s="164"/>
      <c r="AA2063" s="164"/>
      <c r="AB2063" s="164"/>
      <c r="AC2063" s="164"/>
      <c r="AD2063" s="164"/>
      <c r="AE2063" s="164"/>
      <c r="AF2063" s="164"/>
      <c r="AG2063" s="164"/>
      <c r="AH2063" s="164"/>
      <c r="AI2063" s="164"/>
    </row>
    <row r="2064">
      <c r="A2064" s="176"/>
      <c r="B2064" s="177"/>
      <c r="C2064" s="178"/>
      <c r="D2064" s="178"/>
      <c r="E2064" s="177"/>
      <c r="F2064" s="178"/>
      <c r="G2064" s="176"/>
      <c r="H2064" s="179"/>
      <c r="I2064" s="180"/>
      <c r="J2064" s="181"/>
      <c r="K2064" s="178"/>
      <c r="L2064" s="178"/>
      <c r="M2064" s="182"/>
      <c r="N2064" s="183"/>
      <c r="O2064" s="184"/>
      <c r="P2064" s="184"/>
      <c r="Q2064" s="185"/>
      <c r="R2064" s="186"/>
      <c r="S2064" s="186"/>
      <c r="T2064" s="186"/>
      <c r="U2064" s="187"/>
      <c r="V2064" s="176"/>
      <c r="W2064" s="164"/>
      <c r="X2064" s="164"/>
      <c r="Y2064" s="164"/>
      <c r="Z2064" s="164"/>
      <c r="AA2064" s="164"/>
      <c r="AB2064" s="164"/>
      <c r="AC2064" s="164"/>
      <c r="AD2064" s="164"/>
      <c r="AE2064" s="164"/>
      <c r="AF2064" s="164"/>
      <c r="AG2064" s="164"/>
      <c r="AH2064" s="164"/>
      <c r="AI2064" s="164"/>
    </row>
    <row r="2065">
      <c r="A2065" s="176"/>
      <c r="B2065" s="177"/>
      <c r="C2065" s="178"/>
      <c r="D2065" s="178"/>
      <c r="E2065" s="177"/>
      <c r="F2065" s="178"/>
      <c r="G2065" s="176"/>
      <c r="H2065" s="179"/>
      <c r="I2065" s="180"/>
      <c r="J2065" s="181"/>
      <c r="K2065" s="178"/>
      <c r="L2065" s="178"/>
      <c r="M2065" s="182"/>
      <c r="N2065" s="183"/>
      <c r="O2065" s="184"/>
      <c r="P2065" s="184"/>
      <c r="Q2065" s="185"/>
      <c r="R2065" s="186"/>
      <c r="S2065" s="186"/>
      <c r="T2065" s="186"/>
      <c r="U2065" s="187"/>
      <c r="V2065" s="176"/>
      <c r="W2065" s="164"/>
      <c r="X2065" s="164"/>
      <c r="Y2065" s="164"/>
      <c r="Z2065" s="164"/>
      <c r="AA2065" s="164"/>
      <c r="AB2065" s="164"/>
      <c r="AC2065" s="164"/>
      <c r="AD2065" s="164"/>
      <c r="AE2065" s="164"/>
      <c r="AF2065" s="164"/>
      <c r="AG2065" s="164"/>
      <c r="AH2065" s="164"/>
      <c r="AI2065" s="164"/>
    </row>
    <row r="2066">
      <c r="A2066" s="176"/>
      <c r="B2066" s="177"/>
      <c r="C2066" s="178"/>
      <c r="D2066" s="178"/>
      <c r="E2066" s="177"/>
      <c r="F2066" s="178"/>
      <c r="G2066" s="176"/>
      <c r="H2066" s="179"/>
      <c r="I2066" s="180"/>
      <c r="J2066" s="181"/>
      <c r="K2066" s="178"/>
      <c r="L2066" s="178"/>
      <c r="M2066" s="182"/>
      <c r="N2066" s="183"/>
      <c r="O2066" s="184"/>
      <c r="P2066" s="184"/>
      <c r="Q2066" s="185"/>
      <c r="R2066" s="186"/>
      <c r="S2066" s="186"/>
      <c r="T2066" s="186"/>
      <c r="U2066" s="187"/>
      <c r="V2066" s="176"/>
      <c r="W2066" s="164"/>
      <c r="X2066" s="164"/>
      <c r="Y2066" s="164"/>
      <c r="Z2066" s="164"/>
      <c r="AA2066" s="164"/>
      <c r="AB2066" s="164"/>
      <c r="AC2066" s="164"/>
      <c r="AD2066" s="164"/>
      <c r="AE2066" s="164"/>
      <c r="AF2066" s="164"/>
      <c r="AG2066" s="164"/>
      <c r="AH2066" s="164"/>
      <c r="AI2066" s="164"/>
    </row>
    <row r="2067">
      <c r="A2067" s="176"/>
      <c r="B2067" s="177"/>
      <c r="C2067" s="178"/>
      <c r="D2067" s="178"/>
      <c r="E2067" s="177"/>
      <c r="F2067" s="178"/>
      <c r="G2067" s="176"/>
      <c r="H2067" s="179"/>
      <c r="I2067" s="180"/>
      <c r="J2067" s="181"/>
      <c r="K2067" s="178"/>
      <c r="L2067" s="178"/>
      <c r="M2067" s="182"/>
      <c r="N2067" s="183"/>
      <c r="O2067" s="184"/>
      <c r="P2067" s="184"/>
      <c r="Q2067" s="185"/>
      <c r="R2067" s="186"/>
      <c r="S2067" s="186"/>
      <c r="T2067" s="186"/>
      <c r="U2067" s="187"/>
      <c r="V2067" s="176"/>
      <c r="W2067" s="164"/>
      <c r="X2067" s="164"/>
      <c r="Y2067" s="164"/>
      <c r="Z2067" s="164"/>
      <c r="AA2067" s="164"/>
      <c r="AB2067" s="164"/>
      <c r="AC2067" s="164"/>
      <c r="AD2067" s="164"/>
      <c r="AE2067" s="164"/>
      <c r="AF2067" s="164"/>
      <c r="AG2067" s="164"/>
      <c r="AH2067" s="164"/>
      <c r="AI2067" s="164"/>
    </row>
    <row r="2068">
      <c r="A2068" s="176"/>
      <c r="B2068" s="177"/>
      <c r="C2068" s="178"/>
      <c r="D2068" s="178"/>
      <c r="E2068" s="177"/>
      <c r="F2068" s="178"/>
      <c r="G2068" s="176"/>
      <c r="H2068" s="179"/>
      <c r="I2068" s="180"/>
      <c r="J2068" s="181"/>
      <c r="K2068" s="178"/>
      <c r="L2068" s="178"/>
      <c r="M2068" s="182"/>
      <c r="N2068" s="183"/>
      <c r="O2068" s="184"/>
      <c r="P2068" s="184"/>
      <c r="Q2068" s="185"/>
      <c r="R2068" s="186"/>
      <c r="S2068" s="186"/>
      <c r="T2068" s="186"/>
      <c r="U2068" s="187"/>
      <c r="V2068" s="176"/>
      <c r="W2068" s="164"/>
      <c r="X2068" s="164"/>
      <c r="Y2068" s="164"/>
      <c r="Z2068" s="164"/>
      <c r="AA2068" s="164"/>
      <c r="AB2068" s="164"/>
      <c r="AC2068" s="164"/>
      <c r="AD2068" s="164"/>
      <c r="AE2068" s="164"/>
      <c r="AF2068" s="164"/>
      <c r="AG2068" s="164"/>
      <c r="AH2068" s="164"/>
      <c r="AI2068" s="164"/>
    </row>
    <row r="2069">
      <c r="A2069" s="176"/>
      <c r="B2069" s="177"/>
      <c r="C2069" s="178"/>
      <c r="D2069" s="178"/>
      <c r="E2069" s="177"/>
      <c r="F2069" s="178"/>
      <c r="G2069" s="176"/>
      <c r="H2069" s="179"/>
      <c r="I2069" s="180"/>
      <c r="J2069" s="181"/>
      <c r="K2069" s="178"/>
      <c r="L2069" s="178"/>
      <c r="M2069" s="182"/>
      <c r="N2069" s="183"/>
      <c r="O2069" s="184"/>
      <c r="P2069" s="184"/>
      <c r="Q2069" s="185"/>
      <c r="R2069" s="186"/>
      <c r="S2069" s="186"/>
      <c r="T2069" s="186"/>
      <c r="U2069" s="187"/>
      <c r="V2069" s="176"/>
      <c r="W2069" s="164"/>
      <c r="X2069" s="164"/>
      <c r="Y2069" s="164"/>
      <c r="Z2069" s="164"/>
      <c r="AA2069" s="164"/>
      <c r="AB2069" s="164"/>
      <c r="AC2069" s="164"/>
      <c r="AD2069" s="164"/>
      <c r="AE2069" s="164"/>
      <c r="AF2069" s="164"/>
      <c r="AG2069" s="164"/>
      <c r="AH2069" s="164"/>
      <c r="AI2069" s="164"/>
    </row>
    <row r="2070">
      <c r="A2070" s="176"/>
      <c r="B2070" s="177"/>
      <c r="C2070" s="178"/>
      <c r="D2070" s="178"/>
      <c r="E2070" s="177"/>
      <c r="F2070" s="178"/>
      <c r="G2070" s="176"/>
      <c r="H2070" s="179"/>
      <c r="I2070" s="180"/>
      <c r="J2070" s="181"/>
      <c r="K2070" s="178"/>
      <c r="L2070" s="178"/>
      <c r="M2070" s="182"/>
      <c r="N2070" s="183"/>
      <c r="O2070" s="184"/>
      <c r="P2070" s="184"/>
      <c r="Q2070" s="185"/>
      <c r="R2070" s="186"/>
      <c r="S2070" s="186"/>
      <c r="T2070" s="186"/>
      <c r="U2070" s="187"/>
      <c r="V2070" s="176"/>
      <c r="W2070" s="164"/>
      <c r="X2070" s="164"/>
      <c r="Y2070" s="164"/>
      <c r="Z2070" s="164"/>
      <c r="AA2070" s="164"/>
      <c r="AB2070" s="164"/>
      <c r="AC2070" s="164"/>
      <c r="AD2070" s="164"/>
      <c r="AE2070" s="164"/>
      <c r="AF2070" s="164"/>
      <c r="AG2070" s="164"/>
      <c r="AH2070" s="164"/>
      <c r="AI2070" s="164"/>
    </row>
    <row r="2071">
      <c r="A2071" s="176"/>
      <c r="B2071" s="177"/>
      <c r="C2071" s="178"/>
      <c r="D2071" s="178"/>
      <c r="E2071" s="177"/>
      <c r="F2071" s="178"/>
      <c r="G2071" s="176"/>
      <c r="H2071" s="179"/>
      <c r="I2071" s="180"/>
      <c r="J2071" s="181"/>
      <c r="K2071" s="178"/>
      <c r="L2071" s="178"/>
      <c r="M2071" s="182"/>
      <c r="N2071" s="183"/>
      <c r="O2071" s="184"/>
      <c r="P2071" s="184"/>
      <c r="Q2071" s="185"/>
      <c r="R2071" s="186"/>
      <c r="S2071" s="186"/>
      <c r="T2071" s="186"/>
      <c r="U2071" s="187"/>
      <c r="V2071" s="176"/>
      <c r="W2071" s="164"/>
      <c r="X2071" s="164"/>
      <c r="Y2071" s="164"/>
      <c r="Z2071" s="164"/>
      <c r="AA2071" s="164"/>
      <c r="AB2071" s="164"/>
      <c r="AC2071" s="164"/>
      <c r="AD2071" s="164"/>
      <c r="AE2071" s="164"/>
      <c r="AF2071" s="164"/>
      <c r="AG2071" s="164"/>
      <c r="AH2071" s="164"/>
      <c r="AI2071" s="164"/>
    </row>
    <row r="2072">
      <c r="A2072" s="176"/>
      <c r="B2072" s="177"/>
      <c r="C2072" s="178"/>
      <c r="D2072" s="178"/>
      <c r="E2072" s="177"/>
      <c r="F2072" s="178"/>
      <c r="G2072" s="176"/>
      <c r="H2072" s="179"/>
      <c r="I2072" s="180"/>
      <c r="J2072" s="181"/>
      <c r="K2072" s="178"/>
      <c r="L2072" s="178"/>
      <c r="M2072" s="182"/>
      <c r="N2072" s="183"/>
      <c r="O2072" s="184"/>
      <c r="P2072" s="184"/>
      <c r="Q2072" s="185"/>
      <c r="R2072" s="186"/>
      <c r="S2072" s="186"/>
      <c r="T2072" s="186"/>
      <c r="U2072" s="187"/>
      <c r="V2072" s="176"/>
      <c r="W2072" s="164"/>
      <c r="X2072" s="164"/>
      <c r="Y2072" s="164"/>
      <c r="Z2072" s="164"/>
      <c r="AA2072" s="164"/>
      <c r="AB2072" s="164"/>
      <c r="AC2072" s="164"/>
      <c r="AD2072" s="164"/>
      <c r="AE2072" s="164"/>
      <c r="AF2072" s="164"/>
      <c r="AG2072" s="164"/>
      <c r="AH2072" s="164"/>
      <c r="AI2072" s="164"/>
    </row>
    <row r="2073">
      <c r="A2073" s="176"/>
      <c r="B2073" s="177"/>
      <c r="C2073" s="178"/>
      <c r="D2073" s="178"/>
      <c r="E2073" s="177"/>
      <c r="F2073" s="178"/>
      <c r="G2073" s="176"/>
      <c r="H2073" s="179"/>
      <c r="I2073" s="180"/>
      <c r="J2073" s="181"/>
      <c r="K2073" s="178"/>
      <c r="L2073" s="178"/>
      <c r="M2073" s="182"/>
      <c r="N2073" s="183"/>
      <c r="O2073" s="184"/>
      <c r="P2073" s="184"/>
      <c r="Q2073" s="185"/>
      <c r="R2073" s="186"/>
      <c r="S2073" s="186"/>
      <c r="T2073" s="186"/>
      <c r="U2073" s="187"/>
      <c r="V2073" s="176"/>
      <c r="W2073" s="164"/>
      <c r="X2073" s="164"/>
      <c r="Y2073" s="164"/>
      <c r="Z2073" s="164"/>
      <c r="AA2073" s="164"/>
      <c r="AB2073" s="164"/>
      <c r="AC2073" s="164"/>
      <c r="AD2073" s="164"/>
      <c r="AE2073" s="164"/>
      <c r="AF2073" s="164"/>
      <c r="AG2073" s="164"/>
      <c r="AH2073" s="164"/>
      <c r="AI2073" s="164"/>
    </row>
    <row r="2074">
      <c r="A2074" s="176"/>
      <c r="B2074" s="177"/>
      <c r="C2074" s="178"/>
      <c r="D2074" s="178"/>
      <c r="E2074" s="177"/>
      <c r="F2074" s="178"/>
      <c r="G2074" s="176"/>
      <c r="H2074" s="179"/>
      <c r="I2074" s="180"/>
      <c r="J2074" s="181"/>
      <c r="K2074" s="178"/>
      <c r="L2074" s="178"/>
      <c r="M2074" s="182"/>
      <c r="N2074" s="183"/>
      <c r="O2074" s="184"/>
      <c r="P2074" s="184"/>
      <c r="Q2074" s="185"/>
      <c r="R2074" s="186"/>
      <c r="S2074" s="186"/>
      <c r="T2074" s="186"/>
      <c r="U2074" s="187"/>
      <c r="V2074" s="176"/>
      <c r="W2074" s="164"/>
      <c r="X2074" s="164"/>
      <c r="Y2074" s="164"/>
      <c r="Z2074" s="164"/>
      <c r="AA2074" s="164"/>
      <c r="AB2074" s="164"/>
      <c r="AC2074" s="164"/>
      <c r="AD2074" s="164"/>
      <c r="AE2074" s="164"/>
      <c r="AF2074" s="164"/>
      <c r="AG2074" s="164"/>
      <c r="AH2074" s="164"/>
      <c r="AI2074" s="164"/>
    </row>
    <row r="2075">
      <c r="A2075" s="176"/>
      <c r="B2075" s="177"/>
      <c r="C2075" s="178"/>
      <c r="D2075" s="178"/>
      <c r="E2075" s="177"/>
      <c r="F2075" s="178"/>
      <c r="G2075" s="176"/>
      <c r="H2075" s="179"/>
      <c r="I2075" s="180"/>
      <c r="J2075" s="181"/>
      <c r="K2075" s="178"/>
      <c r="L2075" s="178"/>
      <c r="M2075" s="182"/>
      <c r="N2075" s="183"/>
      <c r="O2075" s="184"/>
      <c r="P2075" s="184"/>
      <c r="Q2075" s="185"/>
      <c r="R2075" s="186"/>
      <c r="S2075" s="186"/>
      <c r="T2075" s="186"/>
      <c r="U2075" s="187"/>
      <c r="V2075" s="176"/>
      <c r="W2075" s="164"/>
      <c r="X2075" s="164"/>
      <c r="Y2075" s="164"/>
      <c r="Z2075" s="164"/>
      <c r="AA2075" s="164"/>
      <c r="AB2075" s="164"/>
      <c r="AC2075" s="164"/>
      <c r="AD2075" s="164"/>
      <c r="AE2075" s="164"/>
      <c r="AF2075" s="164"/>
      <c r="AG2075" s="164"/>
      <c r="AH2075" s="164"/>
      <c r="AI2075" s="164"/>
    </row>
    <row r="2076">
      <c r="A2076" s="176"/>
      <c r="B2076" s="177"/>
      <c r="C2076" s="178"/>
      <c r="D2076" s="178"/>
      <c r="E2076" s="177"/>
      <c r="F2076" s="178"/>
      <c r="G2076" s="176"/>
      <c r="H2076" s="179"/>
      <c r="I2076" s="180"/>
      <c r="J2076" s="181"/>
      <c r="K2076" s="178"/>
      <c r="L2076" s="178"/>
      <c r="M2076" s="182"/>
      <c r="N2076" s="183"/>
      <c r="O2076" s="184"/>
      <c r="P2076" s="184"/>
      <c r="Q2076" s="185"/>
      <c r="R2076" s="186"/>
      <c r="S2076" s="186"/>
      <c r="T2076" s="186"/>
      <c r="U2076" s="187"/>
      <c r="V2076" s="176"/>
      <c r="W2076" s="164"/>
      <c r="X2076" s="164"/>
      <c r="Y2076" s="164"/>
      <c r="Z2076" s="164"/>
      <c r="AA2076" s="164"/>
      <c r="AB2076" s="164"/>
      <c r="AC2076" s="164"/>
      <c r="AD2076" s="164"/>
      <c r="AE2076" s="164"/>
      <c r="AF2076" s="164"/>
      <c r="AG2076" s="164"/>
      <c r="AH2076" s="164"/>
      <c r="AI2076" s="164"/>
    </row>
    <row r="2077">
      <c r="A2077" s="176"/>
      <c r="B2077" s="177"/>
      <c r="C2077" s="178"/>
      <c r="D2077" s="178"/>
      <c r="E2077" s="177"/>
      <c r="F2077" s="178"/>
      <c r="G2077" s="176"/>
      <c r="H2077" s="179"/>
      <c r="I2077" s="180"/>
      <c r="J2077" s="181"/>
      <c r="K2077" s="178"/>
      <c r="L2077" s="178"/>
      <c r="M2077" s="182"/>
      <c r="N2077" s="183"/>
      <c r="O2077" s="184"/>
      <c r="P2077" s="184"/>
      <c r="Q2077" s="185"/>
      <c r="R2077" s="186"/>
      <c r="S2077" s="186"/>
      <c r="T2077" s="186"/>
      <c r="U2077" s="187"/>
      <c r="V2077" s="176"/>
      <c r="W2077" s="164"/>
      <c r="X2077" s="164"/>
      <c r="Y2077" s="164"/>
      <c r="Z2077" s="164"/>
      <c r="AA2077" s="164"/>
      <c r="AB2077" s="164"/>
      <c r="AC2077" s="164"/>
      <c r="AD2077" s="164"/>
      <c r="AE2077" s="164"/>
      <c r="AF2077" s="164"/>
      <c r="AG2077" s="164"/>
      <c r="AH2077" s="164"/>
      <c r="AI2077" s="164"/>
    </row>
    <row r="2078">
      <c r="A2078" s="176"/>
      <c r="B2078" s="177"/>
      <c r="C2078" s="178"/>
      <c r="D2078" s="178"/>
      <c r="E2078" s="177"/>
      <c r="F2078" s="178"/>
      <c r="G2078" s="176"/>
      <c r="H2078" s="179"/>
      <c r="I2078" s="180"/>
      <c r="J2078" s="181"/>
      <c r="K2078" s="178"/>
      <c r="L2078" s="178"/>
      <c r="M2078" s="182"/>
      <c r="N2078" s="183"/>
      <c r="O2078" s="184"/>
      <c r="P2078" s="184"/>
      <c r="Q2078" s="185"/>
      <c r="R2078" s="186"/>
      <c r="S2078" s="186"/>
      <c r="T2078" s="186"/>
      <c r="U2078" s="187"/>
      <c r="V2078" s="176"/>
      <c r="W2078" s="164"/>
      <c r="X2078" s="164"/>
      <c r="Y2078" s="164"/>
      <c r="Z2078" s="164"/>
      <c r="AA2078" s="164"/>
      <c r="AB2078" s="164"/>
      <c r="AC2078" s="164"/>
      <c r="AD2078" s="164"/>
      <c r="AE2078" s="164"/>
      <c r="AF2078" s="164"/>
      <c r="AG2078" s="164"/>
      <c r="AH2078" s="164"/>
      <c r="AI2078" s="164"/>
    </row>
    <row r="2079">
      <c r="A2079" s="176"/>
      <c r="B2079" s="177"/>
      <c r="C2079" s="178"/>
      <c r="D2079" s="178"/>
      <c r="E2079" s="177"/>
      <c r="F2079" s="178"/>
      <c r="G2079" s="176"/>
      <c r="H2079" s="179"/>
      <c r="I2079" s="180"/>
      <c r="J2079" s="181"/>
      <c r="K2079" s="178"/>
      <c r="L2079" s="178"/>
      <c r="M2079" s="182"/>
      <c r="N2079" s="183"/>
      <c r="O2079" s="184"/>
      <c r="P2079" s="184"/>
      <c r="Q2079" s="185"/>
      <c r="R2079" s="186"/>
      <c r="S2079" s="186"/>
      <c r="T2079" s="186"/>
      <c r="U2079" s="187"/>
      <c r="V2079" s="176"/>
      <c r="W2079" s="164"/>
      <c r="X2079" s="164"/>
      <c r="Y2079" s="164"/>
      <c r="Z2079" s="164"/>
      <c r="AA2079" s="164"/>
      <c r="AB2079" s="164"/>
      <c r="AC2079" s="164"/>
      <c r="AD2079" s="164"/>
      <c r="AE2079" s="164"/>
      <c r="AF2079" s="164"/>
      <c r="AG2079" s="164"/>
      <c r="AH2079" s="164"/>
      <c r="AI2079" s="164"/>
    </row>
    <row r="2080">
      <c r="A2080" s="176"/>
      <c r="B2080" s="177"/>
      <c r="C2080" s="178"/>
      <c r="D2080" s="178"/>
      <c r="E2080" s="177"/>
      <c r="F2080" s="178"/>
      <c r="G2080" s="176"/>
      <c r="H2080" s="179"/>
      <c r="I2080" s="180"/>
      <c r="J2080" s="181"/>
      <c r="K2080" s="178"/>
      <c r="L2080" s="178"/>
      <c r="M2080" s="182"/>
      <c r="N2080" s="183"/>
      <c r="O2080" s="184"/>
      <c r="P2080" s="184"/>
      <c r="Q2080" s="185"/>
      <c r="R2080" s="186"/>
      <c r="S2080" s="186"/>
      <c r="T2080" s="186"/>
      <c r="U2080" s="187"/>
      <c r="V2080" s="176"/>
      <c r="W2080" s="164"/>
      <c r="X2080" s="164"/>
      <c r="Y2080" s="164"/>
      <c r="Z2080" s="164"/>
      <c r="AA2080" s="164"/>
      <c r="AB2080" s="164"/>
      <c r="AC2080" s="164"/>
      <c r="AD2080" s="164"/>
      <c r="AE2080" s="164"/>
      <c r="AF2080" s="164"/>
      <c r="AG2080" s="164"/>
      <c r="AH2080" s="164"/>
      <c r="AI2080" s="164"/>
    </row>
    <row r="2081">
      <c r="A2081" s="176"/>
      <c r="B2081" s="177"/>
      <c r="C2081" s="178"/>
      <c r="D2081" s="178"/>
      <c r="E2081" s="177"/>
      <c r="F2081" s="178"/>
      <c r="G2081" s="176"/>
      <c r="H2081" s="179"/>
      <c r="I2081" s="180"/>
      <c r="J2081" s="181"/>
      <c r="K2081" s="178"/>
      <c r="L2081" s="178"/>
      <c r="M2081" s="182"/>
      <c r="N2081" s="183"/>
      <c r="O2081" s="184"/>
      <c r="P2081" s="184"/>
      <c r="Q2081" s="185"/>
      <c r="R2081" s="186"/>
      <c r="S2081" s="186"/>
      <c r="T2081" s="186"/>
      <c r="U2081" s="187"/>
      <c r="V2081" s="176"/>
      <c r="W2081" s="164"/>
      <c r="X2081" s="164"/>
      <c r="Y2081" s="164"/>
      <c r="Z2081" s="164"/>
      <c r="AA2081" s="164"/>
      <c r="AB2081" s="164"/>
      <c r="AC2081" s="164"/>
      <c r="AD2081" s="164"/>
      <c r="AE2081" s="164"/>
      <c r="AF2081" s="164"/>
      <c r="AG2081" s="164"/>
      <c r="AH2081" s="164"/>
      <c r="AI2081" s="164"/>
    </row>
    <row r="2082">
      <c r="A2082" s="176"/>
      <c r="B2082" s="177"/>
      <c r="C2082" s="178"/>
      <c r="D2082" s="178"/>
      <c r="E2082" s="177"/>
      <c r="F2082" s="178"/>
      <c r="G2082" s="176"/>
      <c r="H2082" s="179"/>
      <c r="I2082" s="180"/>
      <c r="J2082" s="181"/>
      <c r="K2082" s="178"/>
      <c r="L2082" s="178"/>
      <c r="M2082" s="182"/>
      <c r="N2082" s="183"/>
      <c r="O2082" s="184"/>
      <c r="P2082" s="184"/>
      <c r="Q2082" s="185"/>
      <c r="R2082" s="186"/>
      <c r="S2082" s="186"/>
      <c r="T2082" s="186"/>
      <c r="U2082" s="187"/>
      <c r="V2082" s="176"/>
      <c r="W2082" s="164"/>
      <c r="X2082" s="164"/>
      <c r="Y2082" s="164"/>
      <c r="Z2082" s="164"/>
      <c r="AA2082" s="164"/>
      <c r="AB2082" s="164"/>
      <c r="AC2082" s="164"/>
      <c r="AD2082" s="164"/>
      <c r="AE2082" s="164"/>
      <c r="AF2082" s="164"/>
      <c r="AG2082" s="164"/>
      <c r="AH2082" s="164"/>
      <c r="AI2082" s="164"/>
    </row>
    <row r="2083">
      <c r="A2083" s="176"/>
      <c r="B2083" s="177"/>
      <c r="C2083" s="178"/>
      <c r="D2083" s="178"/>
      <c r="E2083" s="177"/>
      <c r="F2083" s="178"/>
      <c r="G2083" s="176"/>
      <c r="H2083" s="179"/>
      <c r="I2083" s="180"/>
      <c r="J2083" s="181"/>
      <c r="K2083" s="178"/>
      <c r="L2083" s="178"/>
      <c r="M2083" s="182"/>
      <c r="N2083" s="183"/>
      <c r="O2083" s="184"/>
      <c r="P2083" s="184"/>
      <c r="Q2083" s="185"/>
      <c r="R2083" s="186"/>
      <c r="S2083" s="186"/>
      <c r="T2083" s="186"/>
      <c r="U2083" s="187"/>
      <c r="V2083" s="176"/>
      <c r="W2083" s="164"/>
      <c r="X2083" s="164"/>
      <c r="Y2083" s="164"/>
      <c r="Z2083" s="164"/>
      <c r="AA2083" s="164"/>
      <c r="AB2083" s="164"/>
      <c r="AC2083" s="164"/>
      <c r="AD2083" s="164"/>
      <c r="AE2083" s="164"/>
      <c r="AF2083" s="164"/>
      <c r="AG2083" s="164"/>
      <c r="AH2083" s="164"/>
      <c r="AI2083" s="164"/>
    </row>
    <row r="2084">
      <c r="A2084" s="176"/>
      <c r="B2084" s="177"/>
      <c r="C2084" s="178"/>
      <c r="D2084" s="178"/>
      <c r="E2084" s="177"/>
      <c r="F2084" s="178"/>
      <c r="G2084" s="176"/>
      <c r="H2084" s="179"/>
      <c r="I2084" s="180"/>
      <c r="J2084" s="181"/>
      <c r="K2084" s="178"/>
      <c r="L2084" s="178"/>
      <c r="M2084" s="182"/>
      <c r="N2084" s="183"/>
      <c r="O2084" s="184"/>
      <c r="P2084" s="184"/>
      <c r="Q2084" s="185"/>
      <c r="R2084" s="186"/>
      <c r="S2084" s="186"/>
      <c r="T2084" s="186"/>
      <c r="U2084" s="187"/>
      <c r="V2084" s="176"/>
      <c r="W2084" s="164"/>
      <c r="X2084" s="164"/>
      <c r="Y2084" s="164"/>
      <c r="Z2084" s="164"/>
      <c r="AA2084" s="164"/>
      <c r="AB2084" s="164"/>
      <c r="AC2084" s="164"/>
      <c r="AD2084" s="164"/>
      <c r="AE2084" s="164"/>
      <c r="AF2084" s="164"/>
      <c r="AG2084" s="164"/>
      <c r="AH2084" s="164"/>
      <c r="AI2084" s="164"/>
    </row>
    <row r="2085">
      <c r="A2085" s="176"/>
      <c r="B2085" s="177"/>
      <c r="C2085" s="178"/>
      <c r="D2085" s="178"/>
      <c r="E2085" s="177"/>
      <c r="F2085" s="178"/>
      <c r="G2085" s="176"/>
      <c r="H2085" s="179"/>
      <c r="I2085" s="180"/>
      <c r="J2085" s="181"/>
      <c r="K2085" s="178"/>
      <c r="L2085" s="178"/>
      <c r="M2085" s="182"/>
      <c r="N2085" s="183"/>
      <c r="O2085" s="184"/>
      <c r="P2085" s="184"/>
      <c r="Q2085" s="185"/>
      <c r="R2085" s="186"/>
      <c r="S2085" s="186"/>
      <c r="T2085" s="162"/>
      <c r="U2085" s="163"/>
      <c r="V2085" s="154"/>
      <c r="W2085" s="164"/>
      <c r="X2085" s="164"/>
      <c r="Y2085" s="164"/>
      <c r="Z2085" s="164"/>
      <c r="AA2085" s="164"/>
      <c r="AB2085" s="164"/>
      <c r="AC2085" s="164"/>
      <c r="AD2085" s="164"/>
      <c r="AE2085" s="164"/>
      <c r="AF2085" s="164"/>
      <c r="AG2085" s="164"/>
      <c r="AH2085" s="164"/>
      <c r="AI2085" s="164"/>
    </row>
    <row r="2086">
      <c r="A2086" s="176"/>
      <c r="B2086" s="177"/>
      <c r="C2086" s="178"/>
      <c r="D2086" s="178"/>
      <c r="E2086" s="177"/>
      <c r="F2086" s="178"/>
      <c r="G2086" s="176"/>
      <c r="H2086" s="179"/>
      <c r="I2086" s="180"/>
      <c r="J2086" s="181"/>
      <c r="K2086" s="178"/>
      <c r="L2086" s="178"/>
      <c r="M2086" s="182"/>
      <c r="N2086" s="183"/>
      <c r="O2086" s="184"/>
      <c r="P2086" s="184"/>
      <c r="Q2086" s="185"/>
      <c r="R2086" s="186"/>
      <c r="S2086" s="186"/>
      <c r="T2086" s="186"/>
      <c r="U2086" s="187"/>
      <c r="V2086" s="176"/>
      <c r="W2086" s="164"/>
      <c r="X2086" s="164"/>
      <c r="Y2086" s="164"/>
      <c r="Z2086" s="164"/>
      <c r="AA2086" s="164"/>
      <c r="AB2086" s="164"/>
      <c r="AC2086" s="164"/>
      <c r="AD2086" s="164"/>
      <c r="AE2086" s="164"/>
      <c r="AF2086" s="164"/>
      <c r="AG2086" s="164"/>
      <c r="AH2086" s="164"/>
      <c r="AI2086" s="164"/>
    </row>
    <row r="2087">
      <c r="A2087" s="176"/>
      <c r="B2087" s="177"/>
      <c r="C2087" s="178"/>
      <c r="D2087" s="178"/>
      <c r="E2087" s="177"/>
      <c r="F2087" s="178"/>
      <c r="G2087" s="176"/>
      <c r="H2087" s="179"/>
      <c r="I2087" s="180"/>
      <c r="J2087" s="181"/>
      <c r="K2087" s="178"/>
      <c r="L2087" s="178"/>
      <c r="M2087" s="182"/>
      <c r="N2087" s="183"/>
      <c r="O2087" s="184"/>
      <c r="P2087" s="184"/>
      <c r="Q2087" s="185"/>
      <c r="R2087" s="186"/>
      <c r="S2087" s="186"/>
      <c r="T2087" s="186"/>
      <c r="U2087" s="187"/>
      <c r="V2087" s="176"/>
      <c r="W2087" s="164"/>
      <c r="X2087" s="164"/>
      <c r="Y2087" s="164"/>
      <c r="Z2087" s="164"/>
      <c r="AA2087" s="164"/>
      <c r="AB2087" s="164"/>
      <c r="AC2087" s="164"/>
      <c r="AD2087" s="164"/>
      <c r="AE2087" s="164"/>
      <c r="AF2087" s="164"/>
      <c r="AG2087" s="164"/>
      <c r="AH2087" s="164"/>
      <c r="AI2087" s="164"/>
    </row>
    <row r="2088">
      <c r="A2088" s="176"/>
      <c r="B2088" s="177"/>
      <c r="C2088" s="178"/>
      <c r="D2088" s="178"/>
      <c r="E2088" s="177"/>
      <c r="F2088" s="178"/>
      <c r="G2088" s="176"/>
      <c r="H2088" s="179"/>
      <c r="I2088" s="180"/>
      <c r="J2088" s="181"/>
      <c r="K2088" s="178"/>
      <c r="L2088" s="178"/>
      <c r="M2088" s="182"/>
      <c r="N2088" s="183"/>
      <c r="O2088" s="184"/>
      <c r="P2088" s="184"/>
      <c r="Q2088" s="185"/>
      <c r="R2088" s="186"/>
      <c r="S2088" s="186"/>
      <c r="T2088" s="186"/>
      <c r="U2088" s="187"/>
      <c r="V2088" s="176"/>
      <c r="W2088" s="164"/>
      <c r="X2088" s="164"/>
      <c r="Y2088" s="164"/>
      <c r="Z2088" s="164"/>
      <c r="AA2088" s="164"/>
      <c r="AB2088" s="164"/>
      <c r="AC2088" s="164"/>
      <c r="AD2088" s="164"/>
      <c r="AE2088" s="164"/>
      <c r="AF2088" s="164"/>
      <c r="AG2088" s="164"/>
      <c r="AH2088" s="164"/>
      <c r="AI2088" s="164"/>
    </row>
    <row r="2089">
      <c r="A2089" s="176"/>
      <c r="B2089" s="177"/>
      <c r="C2089" s="178"/>
      <c r="D2089" s="178"/>
      <c r="E2089" s="177"/>
      <c r="F2089" s="178"/>
      <c r="G2089" s="176"/>
      <c r="H2089" s="179"/>
      <c r="I2089" s="180"/>
      <c r="J2089" s="181"/>
      <c r="K2089" s="178"/>
      <c r="L2089" s="178"/>
      <c r="M2089" s="182"/>
      <c r="N2089" s="183"/>
      <c r="O2089" s="184"/>
      <c r="P2089" s="184"/>
      <c r="Q2089" s="185"/>
      <c r="R2089" s="186"/>
      <c r="S2089" s="186"/>
      <c r="T2089" s="186"/>
      <c r="U2089" s="187"/>
      <c r="V2089" s="176"/>
      <c r="W2089" s="164"/>
      <c r="X2089" s="164"/>
      <c r="Y2089" s="164"/>
      <c r="Z2089" s="164"/>
      <c r="AA2089" s="164"/>
      <c r="AB2089" s="164"/>
      <c r="AC2089" s="164"/>
      <c r="AD2089" s="164"/>
      <c r="AE2089" s="164"/>
      <c r="AF2089" s="164"/>
      <c r="AG2089" s="164"/>
      <c r="AH2089" s="164"/>
      <c r="AI2089" s="164"/>
    </row>
    <row r="2090">
      <c r="A2090" s="176"/>
      <c r="B2090" s="177"/>
      <c r="C2090" s="178"/>
      <c r="D2090" s="178"/>
      <c r="E2090" s="177"/>
      <c r="F2090" s="178"/>
      <c r="G2090" s="176"/>
      <c r="H2090" s="179"/>
      <c r="I2090" s="180"/>
      <c r="J2090" s="181"/>
      <c r="K2090" s="178"/>
      <c r="L2090" s="178"/>
      <c r="M2090" s="182"/>
      <c r="N2090" s="183"/>
      <c r="O2090" s="184"/>
      <c r="P2090" s="184"/>
      <c r="Q2090" s="185"/>
      <c r="R2090" s="186"/>
      <c r="S2090" s="186"/>
      <c r="T2090" s="186"/>
      <c r="U2090" s="187"/>
      <c r="V2090" s="176"/>
      <c r="W2090" s="164"/>
      <c r="X2090" s="164"/>
      <c r="Y2090" s="164"/>
      <c r="Z2090" s="164"/>
      <c r="AA2090" s="164"/>
      <c r="AB2090" s="164"/>
      <c r="AC2090" s="164"/>
      <c r="AD2090" s="164"/>
      <c r="AE2090" s="164"/>
      <c r="AF2090" s="164"/>
      <c r="AG2090" s="164"/>
      <c r="AH2090" s="164"/>
      <c r="AI2090" s="164"/>
    </row>
    <row r="2091">
      <c r="A2091" s="176"/>
      <c r="B2091" s="177"/>
      <c r="C2091" s="178"/>
      <c r="D2091" s="178"/>
      <c r="E2091" s="177"/>
      <c r="F2091" s="178"/>
      <c r="G2091" s="176"/>
      <c r="H2091" s="179"/>
      <c r="I2091" s="180"/>
      <c r="J2091" s="181"/>
      <c r="K2091" s="178"/>
      <c r="L2091" s="178"/>
      <c r="M2091" s="182"/>
      <c r="N2091" s="183"/>
      <c r="O2091" s="184"/>
      <c r="P2091" s="184"/>
      <c r="Q2091" s="185"/>
      <c r="R2091" s="186"/>
      <c r="S2091" s="186"/>
      <c r="T2091" s="186"/>
      <c r="U2091" s="187"/>
      <c r="V2091" s="176"/>
      <c r="W2091" s="164"/>
      <c r="X2091" s="164"/>
      <c r="Y2091" s="164"/>
      <c r="Z2091" s="164"/>
      <c r="AA2091" s="164"/>
      <c r="AB2091" s="164"/>
      <c r="AC2091" s="164"/>
      <c r="AD2091" s="164"/>
      <c r="AE2091" s="164"/>
      <c r="AF2091" s="164"/>
      <c r="AG2091" s="164"/>
      <c r="AH2091" s="164"/>
      <c r="AI2091" s="164"/>
    </row>
    <row r="2092">
      <c r="A2092" s="176"/>
      <c r="B2092" s="177"/>
      <c r="C2092" s="178"/>
      <c r="D2092" s="178"/>
      <c r="E2092" s="177"/>
      <c r="F2092" s="178"/>
      <c r="G2092" s="176"/>
      <c r="H2092" s="179"/>
      <c r="I2092" s="180"/>
      <c r="J2092" s="181"/>
      <c r="K2092" s="178"/>
      <c r="L2092" s="178"/>
      <c r="M2092" s="182"/>
      <c r="N2092" s="183"/>
      <c r="O2092" s="184"/>
      <c r="P2092" s="184"/>
      <c r="Q2092" s="185"/>
      <c r="R2092" s="186"/>
      <c r="S2092" s="186"/>
      <c r="T2092" s="186"/>
      <c r="U2092" s="187"/>
      <c r="V2092" s="176"/>
      <c r="W2092" s="164"/>
      <c r="X2092" s="164"/>
      <c r="Y2092" s="164"/>
      <c r="Z2092" s="164"/>
      <c r="AA2092" s="164"/>
      <c r="AB2092" s="164"/>
      <c r="AC2092" s="164"/>
      <c r="AD2092" s="164"/>
      <c r="AE2092" s="164"/>
      <c r="AF2092" s="164"/>
      <c r="AG2092" s="164"/>
      <c r="AH2092" s="164"/>
      <c r="AI2092" s="164"/>
    </row>
    <row r="2093">
      <c r="A2093" s="176"/>
      <c r="B2093" s="177"/>
      <c r="C2093" s="178"/>
      <c r="D2093" s="178"/>
      <c r="E2093" s="177"/>
      <c r="F2093" s="178"/>
      <c r="G2093" s="176"/>
      <c r="H2093" s="179"/>
      <c r="I2093" s="180"/>
      <c r="J2093" s="181"/>
      <c r="K2093" s="178"/>
      <c r="L2093" s="178"/>
      <c r="M2093" s="182"/>
      <c r="N2093" s="183"/>
      <c r="O2093" s="184"/>
      <c r="P2093" s="184"/>
      <c r="Q2093" s="185"/>
      <c r="R2093" s="186"/>
      <c r="S2093" s="186"/>
      <c r="T2093" s="162"/>
      <c r="U2093" s="163"/>
      <c r="V2093" s="154"/>
      <c r="W2093" s="164"/>
      <c r="X2093" s="164"/>
      <c r="Y2093" s="164"/>
      <c r="Z2093" s="164"/>
      <c r="AA2093" s="164"/>
      <c r="AB2093" s="164"/>
      <c r="AC2093" s="164"/>
      <c r="AD2093" s="164"/>
      <c r="AE2093" s="164"/>
      <c r="AF2093" s="164"/>
      <c r="AG2093" s="164"/>
      <c r="AH2093" s="164"/>
      <c r="AI2093" s="164"/>
    </row>
    <row r="2094">
      <c r="A2094" s="176"/>
      <c r="B2094" s="177"/>
      <c r="C2094" s="178"/>
      <c r="D2094" s="178"/>
      <c r="E2094" s="177"/>
      <c r="F2094" s="178"/>
      <c r="G2094" s="176"/>
      <c r="H2094" s="179"/>
      <c r="I2094" s="180"/>
      <c r="J2094" s="181"/>
      <c r="K2094" s="178"/>
      <c r="L2094" s="178"/>
      <c r="M2094" s="182"/>
      <c r="N2094" s="183"/>
      <c r="O2094" s="184"/>
      <c r="P2094" s="184"/>
      <c r="Q2094" s="185"/>
      <c r="R2094" s="186"/>
      <c r="S2094" s="186"/>
      <c r="T2094" s="186"/>
      <c r="U2094" s="187"/>
      <c r="V2094" s="176"/>
      <c r="W2094" s="164"/>
      <c r="X2094" s="164"/>
      <c r="Y2094" s="164"/>
      <c r="Z2094" s="164"/>
      <c r="AA2094" s="164"/>
      <c r="AB2094" s="164"/>
      <c r="AC2094" s="164"/>
      <c r="AD2094" s="164"/>
      <c r="AE2094" s="164"/>
      <c r="AF2094" s="164"/>
      <c r="AG2094" s="164"/>
      <c r="AH2094" s="164"/>
      <c r="AI2094" s="164"/>
    </row>
    <row r="2095">
      <c r="A2095" s="176"/>
      <c r="B2095" s="177"/>
      <c r="C2095" s="178"/>
      <c r="D2095" s="178"/>
      <c r="E2095" s="177"/>
      <c r="F2095" s="178"/>
      <c r="G2095" s="176"/>
      <c r="H2095" s="179"/>
      <c r="I2095" s="180"/>
      <c r="J2095" s="181"/>
      <c r="K2095" s="178"/>
      <c r="L2095" s="178"/>
      <c r="M2095" s="182"/>
      <c r="N2095" s="183"/>
      <c r="O2095" s="184"/>
      <c r="P2095" s="184"/>
      <c r="Q2095" s="185"/>
      <c r="R2095" s="186"/>
      <c r="S2095" s="186"/>
      <c r="T2095" s="186"/>
      <c r="U2095" s="187"/>
      <c r="V2095" s="176"/>
      <c r="W2095" s="164"/>
      <c r="X2095" s="164"/>
      <c r="Y2095" s="164"/>
      <c r="Z2095" s="164"/>
      <c r="AA2095" s="164"/>
      <c r="AB2095" s="164"/>
      <c r="AC2095" s="164"/>
      <c r="AD2095" s="164"/>
      <c r="AE2095" s="164"/>
      <c r="AF2095" s="164"/>
      <c r="AG2095" s="164"/>
      <c r="AH2095" s="164"/>
      <c r="AI2095" s="164"/>
    </row>
    <row r="2096">
      <c r="A2096" s="176"/>
      <c r="B2096" s="177"/>
      <c r="C2096" s="178"/>
      <c r="D2096" s="178"/>
      <c r="E2096" s="177"/>
      <c r="F2096" s="178"/>
      <c r="G2096" s="176"/>
      <c r="H2096" s="179"/>
      <c r="I2096" s="180"/>
      <c r="J2096" s="181"/>
      <c r="K2096" s="178"/>
      <c r="L2096" s="178"/>
      <c r="M2096" s="182"/>
      <c r="N2096" s="183"/>
      <c r="O2096" s="184"/>
      <c r="P2096" s="184"/>
      <c r="Q2096" s="185"/>
      <c r="R2096" s="186"/>
      <c r="S2096" s="186"/>
      <c r="T2096" s="186"/>
      <c r="U2096" s="187"/>
      <c r="V2096" s="176"/>
      <c r="W2096" s="164"/>
      <c r="X2096" s="164"/>
      <c r="Y2096" s="164"/>
      <c r="Z2096" s="164"/>
      <c r="AA2096" s="164"/>
      <c r="AB2096" s="164"/>
      <c r="AC2096" s="164"/>
      <c r="AD2096" s="164"/>
      <c r="AE2096" s="164"/>
      <c r="AF2096" s="164"/>
      <c r="AG2096" s="164"/>
      <c r="AH2096" s="164"/>
      <c r="AI2096" s="164"/>
    </row>
    <row r="2097">
      <c r="A2097" s="176"/>
      <c r="B2097" s="177"/>
      <c r="C2097" s="178"/>
      <c r="D2097" s="178"/>
      <c r="E2097" s="177"/>
      <c r="F2097" s="178"/>
      <c r="G2097" s="176"/>
      <c r="H2097" s="179"/>
      <c r="I2097" s="180"/>
      <c r="J2097" s="181"/>
      <c r="K2097" s="178"/>
      <c r="L2097" s="178"/>
      <c r="M2097" s="182"/>
      <c r="N2097" s="183"/>
      <c r="O2097" s="184"/>
      <c r="P2097" s="184"/>
      <c r="Q2097" s="185"/>
      <c r="R2097" s="186"/>
      <c r="S2097" s="186"/>
      <c r="T2097" s="186"/>
      <c r="U2097" s="187"/>
      <c r="V2097" s="176"/>
      <c r="W2097" s="164"/>
      <c r="X2097" s="164"/>
      <c r="Y2097" s="164"/>
      <c r="Z2097" s="164"/>
      <c r="AA2097" s="164"/>
      <c r="AB2097" s="164"/>
      <c r="AC2097" s="164"/>
      <c r="AD2097" s="164"/>
      <c r="AE2097" s="164"/>
      <c r="AF2097" s="164"/>
      <c r="AG2097" s="164"/>
      <c r="AH2097" s="164"/>
      <c r="AI2097" s="164"/>
    </row>
    <row r="2098">
      <c r="A2098" s="176"/>
      <c r="B2098" s="177"/>
      <c r="C2098" s="178"/>
      <c r="D2098" s="178"/>
      <c r="E2098" s="177"/>
      <c r="F2098" s="178"/>
      <c r="G2098" s="176"/>
      <c r="H2098" s="179"/>
      <c r="I2098" s="180"/>
      <c r="J2098" s="181"/>
      <c r="K2098" s="178"/>
      <c r="L2098" s="178"/>
      <c r="M2098" s="182"/>
      <c r="N2098" s="183"/>
      <c r="O2098" s="184"/>
      <c r="P2098" s="184"/>
      <c r="Q2098" s="185"/>
      <c r="R2098" s="186"/>
      <c r="S2098" s="186"/>
      <c r="T2098" s="186"/>
      <c r="U2098" s="187"/>
      <c r="V2098" s="176"/>
      <c r="W2098" s="164"/>
      <c r="X2098" s="164"/>
      <c r="Y2098" s="164"/>
      <c r="Z2098" s="164"/>
      <c r="AA2098" s="164"/>
      <c r="AB2098" s="164"/>
      <c r="AC2098" s="164"/>
      <c r="AD2098" s="164"/>
      <c r="AE2098" s="164"/>
      <c r="AF2098" s="164"/>
      <c r="AG2098" s="164"/>
      <c r="AH2098" s="164"/>
      <c r="AI2098" s="164"/>
    </row>
    <row r="2099">
      <c r="A2099" s="176"/>
      <c r="B2099" s="177"/>
      <c r="C2099" s="178"/>
      <c r="D2099" s="178"/>
      <c r="E2099" s="177"/>
      <c r="F2099" s="178"/>
      <c r="G2099" s="176"/>
      <c r="H2099" s="179"/>
      <c r="I2099" s="180"/>
      <c r="J2099" s="181"/>
      <c r="K2099" s="178"/>
      <c r="L2099" s="178"/>
      <c r="M2099" s="182"/>
      <c r="N2099" s="183"/>
      <c r="O2099" s="184"/>
      <c r="P2099" s="184"/>
      <c r="Q2099" s="185"/>
      <c r="R2099" s="186"/>
      <c r="S2099" s="186"/>
      <c r="T2099" s="186"/>
      <c r="U2099" s="187"/>
      <c r="V2099" s="176"/>
      <c r="W2099" s="164"/>
      <c r="X2099" s="164"/>
      <c r="Y2099" s="164"/>
      <c r="Z2099" s="164"/>
      <c r="AA2099" s="164"/>
      <c r="AB2099" s="164"/>
      <c r="AC2099" s="164"/>
      <c r="AD2099" s="164"/>
      <c r="AE2099" s="164"/>
      <c r="AF2099" s="164"/>
      <c r="AG2099" s="164"/>
      <c r="AH2099" s="164"/>
      <c r="AI2099" s="164"/>
    </row>
    <row r="2100">
      <c r="A2100" s="176"/>
      <c r="B2100" s="177"/>
      <c r="C2100" s="178"/>
      <c r="D2100" s="178"/>
      <c r="E2100" s="177"/>
      <c r="F2100" s="178"/>
      <c r="G2100" s="176"/>
      <c r="H2100" s="179"/>
      <c r="I2100" s="180"/>
      <c r="J2100" s="181"/>
      <c r="K2100" s="178"/>
      <c r="L2100" s="178"/>
      <c r="M2100" s="182"/>
      <c r="N2100" s="183"/>
      <c r="O2100" s="184"/>
      <c r="P2100" s="184"/>
      <c r="Q2100" s="185"/>
      <c r="R2100" s="186"/>
      <c r="S2100" s="186"/>
      <c r="T2100" s="186"/>
      <c r="U2100" s="187"/>
      <c r="V2100" s="176"/>
      <c r="W2100" s="164"/>
      <c r="X2100" s="164"/>
      <c r="Y2100" s="164"/>
      <c r="Z2100" s="164"/>
      <c r="AA2100" s="164"/>
      <c r="AB2100" s="164"/>
      <c r="AC2100" s="164"/>
      <c r="AD2100" s="164"/>
      <c r="AE2100" s="164"/>
      <c r="AF2100" s="164"/>
      <c r="AG2100" s="164"/>
      <c r="AH2100" s="164"/>
      <c r="AI2100" s="164"/>
    </row>
    <row r="2101">
      <c r="A2101" s="176"/>
      <c r="B2101" s="177"/>
      <c r="C2101" s="178"/>
      <c r="D2101" s="178"/>
      <c r="E2101" s="177"/>
      <c r="F2101" s="178"/>
      <c r="G2101" s="176"/>
      <c r="H2101" s="179"/>
      <c r="I2101" s="180"/>
      <c r="J2101" s="181"/>
      <c r="K2101" s="178"/>
      <c r="L2101" s="178"/>
      <c r="M2101" s="182"/>
      <c r="N2101" s="183"/>
      <c r="O2101" s="184"/>
      <c r="P2101" s="184"/>
      <c r="Q2101" s="185"/>
      <c r="R2101" s="186"/>
      <c r="S2101" s="186"/>
      <c r="T2101" s="186"/>
      <c r="U2101" s="187"/>
      <c r="V2101" s="176"/>
      <c r="W2101" s="164"/>
      <c r="X2101" s="164"/>
      <c r="Y2101" s="164"/>
      <c r="Z2101" s="164"/>
      <c r="AA2101" s="164"/>
      <c r="AB2101" s="164"/>
      <c r="AC2101" s="164"/>
      <c r="AD2101" s="164"/>
      <c r="AE2101" s="164"/>
      <c r="AF2101" s="164"/>
      <c r="AG2101" s="164"/>
      <c r="AH2101" s="164"/>
      <c r="AI2101" s="164"/>
    </row>
    <row r="2102">
      <c r="A2102" s="176"/>
      <c r="B2102" s="177"/>
      <c r="C2102" s="178"/>
      <c r="D2102" s="178"/>
      <c r="E2102" s="177"/>
      <c r="F2102" s="178"/>
      <c r="G2102" s="176"/>
      <c r="H2102" s="179"/>
      <c r="I2102" s="180"/>
      <c r="J2102" s="181"/>
      <c r="K2102" s="178"/>
      <c r="L2102" s="178"/>
      <c r="M2102" s="182"/>
      <c r="N2102" s="183"/>
      <c r="O2102" s="184"/>
      <c r="P2102" s="184"/>
      <c r="Q2102" s="185"/>
      <c r="R2102" s="186"/>
      <c r="S2102" s="186"/>
      <c r="T2102" s="186"/>
      <c r="U2102" s="187"/>
      <c r="V2102" s="176"/>
      <c r="W2102" s="164"/>
      <c r="X2102" s="164"/>
      <c r="Y2102" s="164"/>
      <c r="Z2102" s="164"/>
      <c r="AA2102" s="164"/>
      <c r="AB2102" s="164"/>
      <c r="AC2102" s="164"/>
      <c r="AD2102" s="164"/>
      <c r="AE2102" s="164"/>
      <c r="AF2102" s="164"/>
      <c r="AG2102" s="164"/>
      <c r="AH2102" s="164"/>
      <c r="AI2102" s="164"/>
    </row>
    <row r="2103">
      <c r="A2103" s="176"/>
      <c r="B2103" s="177"/>
      <c r="C2103" s="178"/>
      <c r="D2103" s="178"/>
      <c r="E2103" s="177"/>
      <c r="F2103" s="178"/>
      <c r="G2103" s="176"/>
      <c r="H2103" s="179"/>
      <c r="I2103" s="180"/>
      <c r="J2103" s="181"/>
      <c r="K2103" s="178"/>
      <c r="L2103" s="178"/>
      <c r="M2103" s="182"/>
      <c r="N2103" s="183"/>
      <c r="O2103" s="184"/>
      <c r="P2103" s="184"/>
      <c r="Q2103" s="185"/>
      <c r="R2103" s="186"/>
      <c r="S2103" s="186"/>
      <c r="T2103" s="186"/>
      <c r="U2103" s="187"/>
      <c r="V2103" s="176"/>
      <c r="W2103" s="164"/>
      <c r="X2103" s="164"/>
      <c r="Y2103" s="164"/>
      <c r="Z2103" s="164"/>
      <c r="AA2103" s="164"/>
      <c r="AB2103" s="164"/>
      <c r="AC2103" s="164"/>
      <c r="AD2103" s="164"/>
      <c r="AE2103" s="164"/>
      <c r="AF2103" s="164"/>
      <c r="AG2103" s="164"/>
      <c r="AH2103" s="164"/>
      <c r="AI2103" s="164"/>
    </row>
    <row r="2104">
      <c r="A2104" s="176"/>
      <c r="B2104" s="177"/>
      <c r="C2104" s="178"/>
      <c r="D2104" s="178"/>
      <c r="E2104" s="177"/>
      <c r="F2104" s="178"/>
      <c r="G2104" s="176"/>
      <c r="H2104" s="179"/>
      <c r="I2104" s="180"/>
      <c r="J2104" s="181"/>
      <c r="K2104" s="178"/>
      <c r="L2104" s="178"/>
      <c r="M2104" s="182"/>
      <c r="N2104" s="183"/>
      <c r="O2104" s="184"/>
      <c r="P2104" s="184"/>
      <c r="Q2104" s="185"/>
      <c r="R2104" s="186"/>
      <c r="S2104" s="186"/>
      <c r="T2104" s="186"/>
      <c r="U2104" s="187"/>
      <c r="V2104" s="176"/>
      <c r="W2104" s="164"/>
      <c r="X2104" s="164"/>
      <c r="Y2104" s="164"/>
      <c r="Z2104" s="164"/>
      <c r="AA2104" s="164"/>
      <c r="AB2104" s="164"/>
      <c r="AC2104" s="164"/>
      <c r="AD2104" s="164"/>
      <c r="AE2104" s="164"/>
      <c r="AF2104" s="164"/>
      <c r="AG2104" s="164"/>
      <c r="AH2104" s="164"/>
      <c r="AI2104" s="164"/>
    </row>
    <row r="2105">
      <c r="A2105" s="176"/>
      <c r="B2105" s="177"/>
      <c r="C2105" s="178"/>
      <c r="D2105" s="178"/>
      <c r="E2105" s="177"/>
      <c r="F2105" s="178"/>
      <c r="G2105" s="176"/>
      <c r="H2105" s="179"/>
      <c r="I2105" s="180"/>
      <c r="J2105" s="181"/>
      <c r="K2105" s="178"/>
      <c r="L2105" s="178"/>
      <c r="M2105" s="182"/>
      <c r="N2105" s="183"/>
      <c r="O2105" s="184"/>
      <c r="P2105" s="184"/>
      <c r="Q2105" s="185"/>
      <c r="R2105" s="186"/>
      <c r="S2105" s="186"/>
      <c r="T2105" s="186"/>
      <c r="U2105" s="187"/>
      <c r="V2105" s="176"/>
      <c r="W2105" s="164"/>
      <c r="X2105" s="164"/>
      <c r="Y2105" s="164"/>
      <c r="Z2105" s="164"/>
      <c r="AA2105" s="164"/>
      <c r="AB2105" s="164"/>
      <c r="AC2105" s="164"/>
      <c r="AD2105" s="164"/>
      <c r="AE2105" s="164"/>
      <c r="AF2105" s="164"/>
      <c r="AG2105" s="164"/>
      <c r="AH2105" s="164"/>
      <c r="AI2105" s="164"/>
    </row>
    <row r="2106">
      <c r="A2106" s="176"/>
      <c r="B2106" s="177"/>
      <c r="C2106" s="178"/>
      <c r="D2106" s="178"/>
      <c r="E2106" s="177"/>
      <c r="F2106" s="178"/>
      <c r="G2106" s="176"/>
      <c r="H2106" s="179"/>
      <c r="I2106" s="180"/>
      <c r="J2106" s="181"/>
      <c r="K2106" s="178"/>
      <c r="L2106" s="178"/>
      <c r="M2106" s="182"/>
      <c r="N2106" s="183"/>
      <c r="O2106" s="184"/>
      <c r="P2106" s="184"/>
      <c r="Q2106" s="185"/>
      <c r="R2106" s="186"/>
      <c r="S2106" s="186"/>
      <c r="T2106" s="186"/>
      <c r="U2106" s="187"/>
      <c r="V2106" s="176"/>
      <c r="W2106" s="164"/>
      <c r="X2106" s="164"/>
      <c r="Y2106" s="164"/>
      <c r="Z2106" s="164"/>
      <c r="AA2106" s="164"/>
      <c r="AB2106" s="164"/>
      <c r="AC2106" s="164"/>
      <c r="AD2106" s="164"/>
      <c r="AE2106" s="164"/>
      <c r="AF2106" s="164"/>
      <c r="AG2106" s="164"/>
      <c r="AH2106" s="164"/>
      <c r="AI2106" s="164"/>
    </row>
    <row r="2107">
      <c r="A2107" s="176"/>
      <c r="B2107" s="177"/>
      <c r="C2107" s="178"/>
      <c r="D2107" s="178"/>
      <c r="E2107" s="177"/>
      <c r="F2107" s="178"/>
      <c r="G2107" s="176"/>
      <c r="H2107" s="179"/>
      <c r="I2107" s="180"/>
      <c r="J2107" s="181"/>
      <c r="K2107" s="178"/>
      <c r="L2107" s="178"/>
      <c r="M2107" s="182"/>
      <c r="N2107" s="183"/>
      <c r="O2107" s="184"/>
      <c r="P2107" s="184"/>
      <c r="Q2107" s="185"/>
      <c r="R2107" s="186"/>
      <c r="S2107" s="186"/>
      <c r="T2107" s="186"/>
      <c r="U2107" s="187"/>
      <c r="V2107" s="176"/>
      <c r="W2107" s="164"/>
      <c r="X2107" s="164"/>
      <c r="Y2107" s="164"/>
      <c r="Z2107" s="164"/>
      <c r="AA2107" s="164"/>
      <c r="AB2107" s="164"/>
      <c r="AC2107" s="164"/>
      <c r="AD2107" s="164"/>
      <c r="AE2107" s="164"/>
      <c r="AF2107" s="164"/>
      <c r="AG2107" s="164"/>
      <c r="AH2107" s="164"/>
      <c r="AI2107" s="164"/>
    </row>
    <row r="2108">
      <c r="A2108" s="176"/>
      <c r="B2108" s="177"/>
      <c r="C2108" s="178"/>
      <c r="D2108" s="178"/>
      <c r="E2108" s="177"/>
      <c r="F2108" s="178"/>
      <c r="G2108" s="176"/>
      <c r="H2108" s="179"/>
      <c r="I2108" s="180"/>
      <c r="J2108" s="181"/>
      <c r="K2108" s="178"/>
      <c r="L2108" s="178"/>
      <c r="M2108" s="182"/>
      <c r="N2108" s="183"/>
      <c r="O2108" s="184"/>
      <c r="P2108" s="184"/>
      <c r="Q2108" s="185"/>
      <c r="R2108" s="186"/>
      <c r="S2108" s="186"/>
      <c r="T2108" s="186"/>
      <c r="U2108" s="187"/>
      <c r="V2108" s="176"/>
      <c r="W2108" s="164"/>
      <c r="X2108" s="164"/>
      <c r="Y2108" s="164"/>
      <c r="Z2108" s="164"/>
      <c r="AA2108" s="164"/>
      <c r="AB2108" s="164"/>
      <c r="AC2108" s="164"/>
      <c r="AD2108" s="164"/>
      <c r="AE2108" s="164"/>
      <c r="AF2108" s="164"/>
      <c r="AG2108" s="164"/>
      <c r="AH2108" s="164"/>
      <c r="AI2108" s="164"/>
    </row>
    <row r="2109">
      <c r="A2109" s="176"/>
      <c r="B2109" s="177"/>
      <c r="C2109" s="178"/>
      <c r="D2109" s="178"/>
      <c r="E2109" s="177"/>
      <c r="F2109" s="178"/>
      <c r="G2109" s="176"/>
      <c r="H2109" s="179"/>
      <c r="I2109" s="180"/>
      <c r="J2109" s="181"/>
      <c r="K2109" s="178"/>
      <c r="L2109" s="178"/>
      <c r="M2109" s="182"/>
      <c r="N2109" s="183"/>
      <c r="O2109" s="184"/>
      <c r="P2109" s="184"/>
      <c r="Q2109" s="185"/>
      <c r="R2109" s="186"/>
      <c r="S2109" s="186"/>
      <c r="T2109" s="186"/>
      <c r="U2109" s="187"/>
      <c r="V2109" s="176"/>
      <c r="W2109" s="164"/>
      <c r="X2109" s="164"/>
      <c r="Y2109" s="164"/>
      <c r="Z2109" s="164"/>
      <c r="AA2109" s="164"/>
      <c r="AB2109" s="164"/>
      <c r="AC2109" s="164"/>
      <c r="AD2109" s="164"/>
      <c r="AE2109" s="164"/>
      <c r="AF2109" s="164"/>
      <c r="AG2109" s="164"/>
      <c r="AH2109" s="164"/>
      <c r="AI2109" s="164"/>
    </row>
    <row r="2110">
      <c r="A2110" s="176"/>
      <c r="B2110" s="177"/>
      <c r="C2110" s="178"/>
      <c r="D2110" s="178"/>
      <c r="E2110" s="177"/>
      <c r="F2110" s="178"/>
      <c r="G2110" s="176"/>
      <c r="H2110" s="179"/>
      <c r="I2110" s="180"/>
      <c r="J2110" s="181"/>
      <c r="K2110" s="178"/>
      <c r="L2110" s="178"/>
      <c r="M2110" s="182"/>
      <c r="N2110" s="183"/>
      <c r="O2110" s="184"/>
      <c r="P2110" s="184"/>
      <c r="Q2110" s="185"/>
      <c r="R2110" s="186"/>
      <c r="S2110" s="186"/>
      <c r="T2110" s="186"/>
      <c r="U2110" s="187"/>
      <c r="V2110" s="176"/>
      <c r="W2110" s="164"/>
      <c r="X2110" s="164"/>
      <c r="Y2110" s="164"/>
      <c r="Z2110" s="164"/>
      <c r="AA2110" s="164"/>
      <c r="AB2110" s="164"/>
      <c r="AC2110" s="164"/>
      <c r="AD2110" s="164"/>
      <c r="AE2110" s="164"/>
      <c r="AF2110" s="164"/>
      <c r="AG2110" s="164"/>
      <c r="AH2110" s="164"/>
      <c r="AI2110" s="164"/>
    </row>
    <row r="2111">
      <c r="A2111" s="176"/>
      <c r="B2111" s="177"/>
      <c r="C2111" s="178"/>
      <c r="D2111" s="178"/>
      <c r="E2111" s="177"/>
      <c r="F2111" s="178"/>
      <c r="G2111" s="176"/>
      <c r="H2111" s="179"/>
      <c r="I2111" s="180"/>
      <c r="J2111" s="181"/>
      <c r="K2111" s="178"/>
      <c r="L2111" s="178"/>
      <c r="M2111" s="182"/>
      <c r="N2111" s="183"/>
      <c r="O2111" s="184"/>
      <c r="P2111" s="184"/>
      <c r="Q2111" s="185"/>
      <c r="R2111" s="186"/>
      <c r="S2111" s="186"/>
      <c r="T2111" s="186"/>
      <c r="U2111" s="187"/>
      <c r="V2111" s="176"/>
      <c r="W2111" s="164"/>
      <c r="X2111" s="164"/>
      <c r="Y2111" s="164"/>
      <c r="Z2111" s="164"/>
      <c r="AA2111" s="164"/>
      <c r="AB2111" s="164"/>
      <c r="AC2111" s="164"/>
      <c r="AD2111" s="164"/>
      <c r="AE2111" s="164"/>
      <c r="AF2111" s="164"/>
      <c r="AG2111" s="164"/>
      <c r="AH2111" s="164"/>
      <c r="AI2111" s="164"/>
    </row>
    <row r="2112">
      <c r="A2112" s="176"/>
      <c r="B2112" s="177"/>
      <c r="C2112" s="178"/>
      <c r="D2112" s="178"/>
      <c r="E2112" s="177"/>
      <c r="F2112" s="178"/>
      <c r="G2112" s="176"/>
      <c r="H2112" s="179"/>
      <c r="I2112" s="180"/>
      <c r="J2112" s="181"/>
      <c r="K2112" s="178"/>
      <c r="L2112" s="178"/>
      <c r="M2112" s="182"/>
      <c r="N2112" s="183"/>
      <c r="O2112" s="184"/>
      <c r="P2112" s="184"/>
      <c r="Q2112" s="185"/>
      <c r="R2112" s="186"/>
      <c r="S2112" s="186"/>
      <c r="T2112" s="186"/>
      <c r="U2112" s="187"/>
      <c r="V2112" s="176"/>
      <c r="W2112" s="164"/>
      <c r="X2112" s="164"/>
      <c r="Y2112" s="164"/>
      <c r="Z2112" s="164"/>
      <c r="AA2112" s="164"/>
      <c r="AB2112" s="164"/>
      <c r="AC2112" s="164"/>
      <c r="AD2112" s="164"/>
      <c r="AE2112" s="164"/>
      <c r="AF2112" s="164"/>
      <c r="AG2112" s="164"/>
      <c r="AH2112" s="164"/>
      <c r="AI2112" s="164"/>
    </row>
    <row r="2113">
      <c r="A2113" s="176"/>
      <c r="B2113" s="177"/>
      <c r="C2113" s="178"/>
      <c r="D2113" s="178"/>
      <c r="E2113" s="177"/>
      <c r="F2113" s="178"/>
      <c r="G2113" s="176"/>
      <c r="H2113" s="179"/>
      <c r="I2113" s="180"/>
      <c r="J2113" s="181"/>
      <c r="K2113" s="178"/>
      <c r="L2113" s="178"/>
      <c r="M2113" s="182"/>
      <c r="N2113" s="183"/>
      <c r="O2113" s="184"/>
      <c r="P2113" s="184"/>
      <c r="Q2113" s="185"/>
      <c r="R2113" s="186"/>
      <c r="S2113" s="186"/>
      <c r="T2113" s="186"/>
      <c r="U2113" s="187"/>
      <c r="V2113" s="176"/>
      <c r="W2113" s="164"/>
      <c r="X2113" s="164"/>
      <c r="Y2113" s="164"/>
      <c r="Z2113" s="164"/>
      <c r="AA2113" s="164"/>
      <c r="AB2113" s="164"/>
      <c r="AC2113" s="164"/>
      <c r="AD2113" s="164"/>
      <c r="AE2113" s="164"/>
      <c r="AF2113" s="164"/>
      <c r="AG2113" s="164"/>
      <c r="AH2113" s="164"/>
      <c r="AI2113" s="164"/>
    </row>
    <row r="2114">
      <c r="A2114" s="176"/>
      <c r="B2114" s="177"/>
      <c r="C2114" s="178"/>
      <c r="D2114" s="178"/>
      <c r="E2114" s="177"/>
      <c r="F2114" s="178"/>
      <c r="G2114" s="176"/>
      <c r="H2114" s="179"/>
      <c r="I2114" s="180"/>
      <c r="J2114" s="181"/>
      <c r="K2114" s="178"/>
      <c r="L2114" s="178"/>
      <c r="M2114" s="182"/>
      <c r="N2114" s="183"/>
      <c r="O2114" s="184"/>
      <c r="P2114" s="184"/>
      <c r="Q2114" s="185"/>
      <c r="R2114" s="186"/>
      <c r="S2114" s="186"/>
      <c r="T2114" s="186"/>
      <c r="U2114" s="187"/>
      <c r="V2114" s="176"/>
      <c r="W2114" s="164"/>
      <c r="X2114" s="164"/>
      <c r="Y2114" s="164"/>
      <c r="Z2114" s="164"/>
      <c r="AA2114" s="164"/>
      <c r="AB2114" s="164"/>
      <c r="AC2114" s="164"/>
      <c r="AD2114" s="164"/>
      <c r="AE2114" s="164"/>
      <c r="AF2114" s="164"/>
      <c r="AG2114" s="164"/>
      <c r="AH2114" s="164"/>
      <c r="AI2114" s="164"/>
    </row>
    <row r="2115">
      <c r="A2115" s="176"/>
      <c r="B2115" s="177"/>
      <c r="C2115" s="178"/>
      <c r="D2115" s="178"/>
      <c r="E2115" s="177"/>
      <c r="F2115" s="178"/>
      <c r="G2115" s="176"/>
      <c r="H2115" s="179"/>
      <c r="I2115" s="180"/>
      <c r="J2115" s="181"/>
      <c r="K2115" s="178"/>
      <c r="L2115" s="178"/>
      <c r="M2115" s="182"/>
      <c r="N2115" s="183"/>
      <c r="O2115" s="184"/>
      <c r="P2115" s="184"/>
      <c r="Q2115" s="185"/>
      <c r="R2115" s="186"/>
      <c r="S2115" s="186"/>
      <c r="T2115" s="186"/>
      <c r="U2115" s="187"/>
      <c r="V2115" s="176"/>
      <c r="W2115" s="164"/>
      <c r="X2115" s="164"/>
      <c r="Y2115" s="164"/>
      <c r="Z2115" s="164"/>
      <c r="AA2115" s="164"/>
      <c r="AB2115" s="164"/>
      <c r="AC2115" s="164"/>
      <c r="AD2115" s="164"/>
      <c r="AE2115" s="164"/>
      <c r="AF2115" s="164"/>
      <c r="AG2115" s="164"/>
      <c r="AH2115" s="164"/>
      <c r="AI2115" s="164"/>
    </row>
    <row r="2116">
      <c r="A2116" s="176"/>
      <c r="B2116" s="177"/>
      <c r="C2116" s="178"/>
      <c r="D2116" s="178"/>
      <c r="E2116" s="177"/>
      <c r="F2116" s="178"/>
      <c r="G2116" s="176"/>
      <c r="H2116" s="179"/>
      <c r="I2116" s="180"/>
      <c r="J2116" s="181"/>
      <c r="K2116" s="178"/>
      <c r="L2116" s="178"/>
      <c r="M2116" s="182"/>
      <c r="N2116" s="183"/>
      <c r="O2116" s="184"/>
      <c r="P2116" s="184"/>
      <c r="Q2116" s="185"/>
      <c r="R2116" s="186"/>
      <c r="S2116" s="186"/>
      <c r="T2116" s="186"/>
      <c r="U2116" s="187"/>
      <c r="V2116" s="176"/>
      <c r="W2116" s="164"/>
      <c r="X2116" s="164"/>
      <c r="Y2116" s="164"/>
      <c r="Z2116" s="164"/>
      <c r="AA2116" s="164"/>
      <c r="AB2116" s="164"/>
      <c r="AC2116" s="164"/>
      <c r="AD2116" s="164"/>
      <c r="AE2116" s="164"/>
      <c r="AF2116" s="164"/>
      <c r="AG2116" s="164"/>
      <c r="AH2116" s="164"/>
      <c r="AI2116" s="164"/>
    </row>
    <row r="2117">
      <c r="A2117" s="176"/>
      <c r="B2117" s="177"/>
      <c r="C2117" s="178"/>
      <c r="D2117" s="178"/>
      <c r="E2117" s="177"/>
      <c r="F2117" s="178"/>
      <c r="G2117" s="176"/>
      <c r="H2117" s="179"/>
      <c r="I2117" s="180"/>
      <c r="J2117" s="181"/>
      <c r="K2117" s="178"/>
      <c r="L2117" s="178"/>
      <c r="M2117" s="182"/>
      <c r="N2117" s="183"/>
      <c r="O2117" s="184"/>
      <c r="P2117" s="184"/>
      <c r="Q2117" s="185"/>
      <c r="R2117" s="186"/>
      <c r="S2117" s="186"/>
      <c r="T2117" s="186"/>
      <c r="U2117" s="187"/>
      <c r="V2117" s="176"/>
      <c r="W2117" s="164"/>
      <c r="X2117" s="164"/>
      <c r="Y2117" s="164"/>
      <c r="Z2117" s="164"/>
      <c r="AA2117" s="164"/>
      <c r="AB2117" s="164"/>
      <c r="AC2117" s="164"/>
      <c r="AD2117" s="164"/>
      <c r="AE2117" s="164"/>
      <c r="AF2117" s="164"/>
      <c r="AG2117" s="164"/>
      <c r="AH2117" s="164"/>
      <c r="AI2117" s="164"/>
    </row>
    <row r="2118">
      <c r="A2118" s="176"/>
      <c r="B2118" s="177"/>
      <c r="C2118" s="178"/>
      <c r="D2118" s="178"/>
      <c r="E2118" s="177"/>
      <c r="F2118" s="178"/>
      <c r="G2118" s="176"/>
      <c r="H2118" s="179"/>
      <c r="I2118" s="180"/>
      <c r="J2118" s="181"/>
      <c r="K2118" s="178"/>
      <c r="L2118" s="178"/>
      <c r="M2118" s="182"/>
      <c r="N2118" s="183"/>
      <c r="O2118" s="184"/>
      <c r="P2118" s="184"/>
      <c r="Q2118" s="185"/>
      <c r="R2118" s="186"/>
      <c r="S2118" s="186"/>
      <c r="T2118" s="186"/>
      <c r="U2118" s="187"/>
      <c r="V2118" s="176"/>
      <c r="W2118" s="164"/>
      <c r="X2118" s="164"/>
      <c r="Y2118" s="164"/>
      <c r="Z2118" s="164"/>
      <c r="AA2118" s="164"/>
      <c r="AB2118" s="164"/>
      <c r="AC2118" s="164"/>
      <c r="AD2118" s="164"/>
      <c r="AE2118" s="164"/>
      <c r="AF2118" s="164"/>
      <c r="AG2118" s="164"/>
      <c r="AH2118" s="164"/>
      <c r="AI2118" s="164"/>
    </row>
    <row r="2119">
      <c r="A2119" s="176"/>
      <c r="B2119" s="177"/>
      <c r="C2119" s="178"/>
      <c r="D2119" s="178"/>
      <c r="E2119" s="177"/>
      <c r="F2119" s="178"/>
      <c r="G2119" s="176"/>
      <c r="H2119" s="179"/>
      <c r="I2119" s="180"/>
      <c r="J2119" s="181"/>
      <c r="K2119" s="178"/>
      <c r="L2119" s="178"/>
      <c r="M2119" s="182"/>
      <c r="N2119" s="183"/>
      <c r="O2119" s="184"/>
      <c r="P2119" s="184"/>
      <c r="Q2119" s="185"/>
      <c r="R2119" s="186"/>
      <c r="S2119" s="186"/>
      <c r="T2119" s="186"/>
      <c r="U2119" s="187"/>
      <c r="V2119" s="176"/>
      <c r="W2119" s="164"/>
      <c r="X2119" s="164"/>
      <c r="Y2119" s="164"/>
      <c r="Z2119" s="164"/>
      <c r="AA2119" s="164"/>
      <c r="AB2119" s="164"/>
      <c r="AC2119" s="164"/>
      <c r="AD2119" s="164"/>
      <c r="AE2119" s="164"/>
      <c r="AF2119" s="164"/>
      <c r="AG2119" s="164"/>
      <c r="AH2119" s="164"/>
      <c r="AI2119" s="164"/>
    </row>
    <row r="2120">
      <c r="A2120" s="176"/>
      <c r="B2120" s="177"/>
      <c r="C2120" s="178"/>
      <c r="D2120" s="178"/>
      <c r="E2120" s="177"/>
      <c r="F2120" s="178"/>
      <c r="G2120" s="176"/>
      <c r="H2120" s="179"/>
      <c r="I2120" s="180"/>
      <c r="J2120" s="181"/>
      <c r="K2120" s="178"/>
      <c r="L2120" s="178"/>
      <c r="M2120" s="182"/>
      <c r="N2120" s="183"/>
      <c r="O2120" s="184"/>
      <c r="P2120" s="184"/>
      <c r="Q2120" s="185"/>
      <c r="R2120" s="186"/>
      <c r="S2120" s="186"/>
      <c r="T2120" s="186"/>
      <c r="U2120" s="187"/>
      <c r="V2120" s="176"/>
      <c r="W2120" s="164"/>
      <c r="X2120" s="164"/>
      <c r="Y2120" s="164"/>
      <c r="Z2120" s="164"/>
      <c r="AA2120" s="164"/>
      <c r="AB2120" s="164"/>
      <c r="AC2120" s="164"/>
      <c r="AD2120" s="164"/>
      <c r="AE2120" s="164"/>
      <c r="AF2120" s="164"/>
      <c r="AG2120" s="164"/>
      <c r="AH2120" s="164"/>
      <c r="AI2120" s="164"/>
    </row>
    <row r="2121">
      <c r="A2121" s="176"/>
      <c r="B2121" s="177"/>
      <c r="C2121" s="178"/>
      <c r="D2121" s="178"/>
      <c r="E2121" s="177"/>
      <c r="F2121" s="178"/>
      <c r="G2121" s="176"/>
      <c r="H2121" s="179"/>
      <c r="I2121" s="180"/>
      <c r="J2121" s="181"/>
      <c r="K2121" s="178"/>
      <c r="L2121" s="178"/>
      <c r="M2121" s="182"/>
      <c r="N2121" s="183"/>
      <c r="O2121" s="184"/>
      <c r="P2121" s="184"/>
      <c r="Q2121" s="185"/>
      <c r="R2121" s="186"/>
      <c r="S2121" s="186"/>
      <c r="T2121" s="186"/>
      <c r="U2121" s="187"/>
      <c r="V2121" s="176"/>
      <c r="W2121" s="164"/>
      <c r="X2121" s="164"/>
      <c r="Y2121" s="164"/>
      <c r="Z2121" s="164"/>
      <c r="AA2121" s="164"/>
      <c r="AB2121" s="164"/>
      <c r="AC2121" s="164"/>
      <c r="AD2121" s="164"/>
      <c r="AE2121" s="164"/>
      <c r="AF2121" s="164"/>
      <c r="AG2121" s="164"/>
      <c r="AH2121" s="164"/>
      <c r="AI2121" s="164"/>
    </row>
    <row r="2122">
      <c r="A2122" s="176"/>
      <c r="B2122" s="177"/>
      <c r="C2122" s="178"/>
      <c r="D2122" s="178"/>
      <c r="E2122" s="177"/>
      <c r="F2122" s="178"/>
      <c r="G2122" s="176"/>
      <c r="H2122" s="179"/>
      <c r="I2122" s="180"/>
      <c r="J2122" s="181"/>
      <c r="K2122" s="178"/>
      <c r="L2122" s="178"/>
      <c r="M2122" s="182"/>
      <c r="N2122" s="183"/>
      <c r="O2122" s="184"/>
      <c r="P2122" s="184"/>
      <c r="Q2122" s="185"/>
      <c r="R2122" s="186"/>
      <c r="S2122" s="186"/>
      <c r="T2122" s="186"/>
      <c r="U2122" s="187"/>
      <c r="V2122" s="176"/>
      <c r="W2122" s="164"/>
      <c r="X2122" s="164"/>
      <c r="Y2122" s="164"/>
      <c r="Z2122" s="164"/>
      <c r="AA2122" s="164"/>
      <c r="AB2122" s="164"/>
      <c r="AC2122" s="164"/>
      <c r="AD2122" s="164"/>
      <c r="AE2122" s="164"/>
      <c r="AF2122" s="164"/>
      <c r="AG2122" s="164"/>
      <c r="AH2122" s="164"/>
      <c r="AI2122" s="164"/>
    </row>
    <row r="2123">
      <c r="A2123" s="176"/>
      <c r="B2123" s="177"/>
      <c r="C2123" s="178"/>
      <c r="D2123" s="178"/>
      <c r="E2123" s="177"/>
      <c r="F2123" s="178"/>
      <c r="G2123" s="176"/>
      <c r="H2123" s="179"/>
      <c r="I2123" s="180"/>
      <c r="J2123" s="181"/>
      <c r="K2123" s="178"/>
      <c r="L2123" s="178"/>
      <c r="M2123" s="182"/>
      <c r="N2123" s="183"/>
      <c r="O2123" s="184"/>
      <c r="P2123" s="184"/>
      <c r="Q2123" s="185"/>
      <c r="R2123" s="186"/>
      <c r="S2123" s="186"/>
      <c r="T2123" s="186"/>
      <c r="U2123" s="187"/>
      <c r="V2123" s="176"/>
      <c r="W2123" s="164"/>
      <c r="X2123" s="164"/>
      <c r="Y2123" s="164"/>
      <c r="Z2123" s="164"/>
      <c r="AA2123" s="164"/>
      <c r="AB2123" s="164"/>
      <c r="AC2123" s="164"/>
      <c r="AD2123" s="164"/>
      <c r="AE2123" s="164"/>
      <c r="AF2123" s="164"/>
      <c r="AG2123" s="164"/>
      <c r="AH2123" s="164"/>
      <c r="AI2123" s="164"/>
    </row>
    <row r="2124">
      <c r="A2124" s="176"/>
      <c r="B2124" s="177"/>
      <c r="C2124" s="178"/>
      <c r="D2124" s="178"/>
      <c r="E2124" s="177"/>
      <c r="F2124" s="178"/>
      <c r="G2124" s="176"/>
      <c r="H2124" s="179"/>
      <c r="I2124" s="180"/>
      <c r="J2124" s="181"/>
      <c r="K2124" s="178"/>
      <c r="L2124" s="178"/>
      <c r="M2124" s="182"/>
      <c r="N2124" s="183"/>
      <c r="O2124" s="184"/>
      <c r="P2124" s="184"/>
      <c r="Q2124" s="185"/>
      <c r="R2124" s="186"/>
      <c r="S2124" s="186"/>
      <c r="T2124" s="186"/>
      <c r="U2124" s="187"/>
      <c r="V2124" s="176"/>
      <c r="W2124" s="164"/>
      <c r="X2124" s="164"/>
      <c r="Y2124" s="164"/>
      <c r="Z2124" s="164"/>
      <c r="AA2124" s="164"/>
      <c r="AB2124" s="164"/>
      <c r="AC2124" s="164"/>
      <c r="AD2124" s="164"/>
      <c r="AE2124" s="164"/>
      <c r="AF2124" s="164"/>
      <c r="AG2124" s="164"/>
      <c r="AH2124" s="164"/>
      <c r="AI2124" s="164"/>
    </row>
    <row r="2125">
      <c r="A2125" s="176"/>
      <c r="B2125" s="177"/>
      <c r="C2125" s="178"/>
      <c r="D2125" s="178"/>
      <c r="E2125" s="177"/>
      <c r="F2125" s="178"/>
      <c r="G2125" s="176"/>
      <c r="H2125" s="179"/>
      <c r="I2125" s="180"/>
      <c r="J2125" s="181"/>
      <c r="K2125" s="178"/>
      <c r="L2125" s="178"/>
      <c r="M2125" s="182"/>
      <c r="N2125" s="183"/>
      <c r="O2125" s="184"/>
      <c r="P2125" s="184"/>
      <c r="Q2125" s="185"/>
      <c r="R2125" s="186"/>
      <c r="S2125" s="186"/>
      <c r="T2125" s="186"/>
      <c r="U2125" s="187"/>
      <c r="V2125" s="176"/>
      <c r="W2125" s="164"/>
      <c r="X2125" s="164"/>
      <c r="Y2125" s="164"/>
      <c r="Z2125" s="164"/>
      <c r="AA2125" s="164"/>
      <c r="AB2125" s="164"/>
      <c r="AC2125" s="164"/>
      <c r="AD2125" s="164"/>
      <c r="AE2125" s="164"/>
      <c r="AF2125" s="164"/>
      <c r="AG2125" s="164"/>
      <c r="AH2125" s="164"/>
      <c r="AI2125" s="164"/>
    </row>
    <row r="2126">
      <c r="A2126" s="176"/>
      <c r="B2126" s="177"/>
      <c r="C2126" s="178"/>
      <c r="D2126" s="178"/>
      <c r="E2126" s="177"/>
      <c r="F2126" s="178"/>
      <c r="G2126" s="176"/>
      <c r="H2126" s="179"/>
      <c r="I2126" s="180"/>
      <c r="J2126" s="181"/>
      <c r="K2126" s="178"/>
      <c r="L2126" s="178"/>
      <c r="M2126" s="182"/>
      <c r="N2126" s="183"/>
      <c r="O2126" s="184"/>
      <c r="P2126" s="184"/>
      <c r="Q2126" s="185"/>
      <c r="R2126" s="186"/>
      <c r="S2126" s="186"/>
      <c r="T2126" s="186"/>
      <c r="U2126" s="187"/>
      <c r="V2126" s="176"/>
      <c r="W2126" s="164"/>
      <c r="X2126" s="164"/>
      <c r="Y2126" s="164"/>
      <c r="Z2126" s="164"/>
      <c r="AA2126" s="164"/>
      <c r="AB2126" s="164"/>
      <c r="AC2126" s="164"/>
      <c r="AD2126" s="164"/>
      <c r="AE2126" s="164"/>
      <c r="AF2126" s="164"/>
      <c r="AG2126" s="164"/>
      <c r="AH2126" s="164"/>
      <c r="AI2126" s="164"/>
    </row>
    <row r="2127">
      <c r="A2127" s="176"/>
      <c r="B2127" s="177"/>
      <c r="C2127" s="178"/>
      <c r="D2127" s="178"/>
      <c r="E2127" s="177"/>
      <c r="F2127" s="178"/>
      <c r="G2127" s="176"/>
      <c r="H2127" s="179"/>
      <c r="I2127" s="180"/>
      <c r="J2127" s="181"/>
      <c r="K2127" s="178"/>
      <c r="L2127" s="178"/>
      <c r="M2127" s="182"/>
      <c r="N2127" s="183"/>
      <c r="O2127" s="184"/>
      <c r="P2127" s="184"/>
      <c r="Q2127" s="185"/>
      <c r="R2127" s="186"/>
      <c r="S2127" s="186"/>
      <c r="T2127" s="186"/>
      <c r="U2127" s="187"/>
      <c r="V2127" s="176"/>
      <c r="W2127" s="164"/>
      <c r="X2127" s="164"/>
      <c r="Y2127" s="164"/>
      <c r="Z2127" s="164"/>
      <c r="AA2127" s="164"/>
      <c r="AB2127" s="164"/>
      <c r="AC2127" s="164"/>
      <c r="AD2127" s="164"/>
      <c r="AE2127" s="164"/>
      <c r="AF2127" s="164"/>
      <c r="AG2127" s="164"/>
      <c r="AH2127" s="164"/>
      <c r="AI2127" s="164"/>
    </row>
    <row r="2128">
      <c r="A2128" s="176"/>
      <c r="B2128" s="177"/>
      <c r="C2128" s="178"/>
      <c r="D2128" s="178"/>
      <c r="E2128" s="177"/>
      <c r="F2128" s="178"/>
      <c r="G2128" s="176"/>
      <c r="H2128" s="179"/>
      <c r="I2128" s="180"/>
      <c r="J2128" s="181"/>
      <c r="K2128" s="178"/>
      <c r="L2128" s="178"/>
      <c r="M2128" s="182"/>
      <c r="N2128" s="183"/>
      <c r="O2128" s="184"/>
      <c r="P2128" s="184"/>
      <c r="Q2128" s="185"/>
      <c r="R2128" s="186"/>
      <c r="S2128" s="186"/>
      <c r="T2128" s="186"/>
      <c r="U2128" s="187"/>
      <c r="V2128" s="176"/>
      <c r="W2128" s="164"/>
      <c r="X2128" s="164"/>
      <c r="Y2128" s="164"/>
      <c r="Z2128" s="164"/>
      <c r="AA2128" s="164"/>
      <c r="AB2128" s="164"/>
      <c r="AC2128" s="164"/>
      <c r="AD2128" s="164"/>
      <c r="AE2128" s="164"/>
      <c r="AF2128" s="164"/>
      <c r="AG2128" s="164"/>
      <c r="AH2128" s="164"/>
      <c r="AI2128" s="164"/>
    </row>
    <row r="2129">
      <c r="A2129" s="176"/>
      <c r="B2129" s="177"/>
      <c r="C2129" s="178"/>
      <c r="D2129" s="178"/>
      <c r="E2129" s="177"/>
      <c r="F2129" s="178"/>
      <c r="G2129" s="176"/>
      <c r="H2129" s="179"/>
      <c r="I2129" s="180"/>
      <c r="J2129" s="181"/>
      <c r="K2129" s="178"/>
      <c r="L2129" s="178"/>
      <c r="M2129" s="182"/>
      <c r="N2129" s="183"/>
      <c r="O2129" s="184"/>
      <c r="P2129" s="184"/>
      <c r="Q2129" s="185"/>
      <c r="R2129" s="186"/>
      <c r="S2129" s="186"/>
      <c r="T2129" s="186"/>
      <c r="U2129" s="187"/>
      <c r="V2129" s="176"/>
      <c r="W2129" s="164"/>
      <c r="X2129" s="164"/>
      <c r="Y2129" s="164"/>
      <c r="Z2129" s="164"/>
      <c r="AA2129" s="164"/>
      <c r="AB2129" s="164"/>
      <c r="AC2129" s="164"/>
      <c r="AD2129" s="164"/>
      <c r="AE2129" s="164"/>
      <c r="AF2129" s="164"/>
      <c r="AG2129" s="164"/>
      <c r="AH2129" s="164"/>
      <c r="AI2129" s="164"/>
    </row>
    <row r="2130">
      <c r="A2130" s="176"/>
      <c r="B2130" s="177"/>
      <c r="C2130" s="178"/>
      <c r="D2130" s="178"/>
      <c r="E2130" s="177"/>
      <c r="F2130" s="178"/>
      <c r="G2130" s="176"/>
      <c r="H2130" s="179"/>
      <c r="I2130" s="180"/>
      <c r="J2130" s="181"/>
      <c r="K2130" s="178"/>
      <c r="L2130" s="178"/>
      <c r="M2130" s="182"/>
      <c r="N2130" s="183"/>
      <c r="O2130" s="184"/>
      <c r="P2130" s="184"/>
      <c r="Q2130" s="185"/>
      <c r="R2130" s="186"/>
      <c r="S2130" s="186"/>
      <c r="T2130" s="186"/>
      <c r="U2130" s="187"/>
      <c r="V2130" s="176"/>
      <c r="W2130" s="164"/>
      <c r="X2130" s="164"/>
      <c r="Y2130" s="164"/>
      <c r="Z2130" s="164"/>
      <c r="AA2130" s="164"/>
      <c r="AB2130" s="164"/>
      <c r="AC2130" s="164"/>
      <c r="AD2130" s="164"/>
      <c r="AE2130" s="164"/>
      <c r="AF2130" s="164"/>
      <c r="AG2130" s="164"/>
      <c r="AH2130" s="164"/>
      <c r="AI2130" s="164"/>
    </row>
    <row r="2131">
      <c r="A2131" s="176"/>
      <c r="B2131" s="177"/>
      <c r="C2131" s="178"/>
      <c r="D2131" s="178"/>
      <c r="E2131" s="177"/>
      <c r="F2131" s="178"/>
      <c r="G2131" s="176"/>
      <c r="H2131" s="179"/>
      <c r="I2131" s="180"/>
      <c r="J2131" s="181"/>
      <c r="K2131" s="178"/>
      <c r="L2131" s="178"/>
      <c r="M2131" s="182"/>
      <c r="N2131" s="183"/>
      <c r="O2131" s="184"/>
      <c r="P2131" s="184"/>
      <c r="Q2131" s="185"/>
      <c r="R2131" s="186"/>
      <c r="S2131" s="186"/>
      <c r="T2131" s="186"/>
      <c r="U2131" s="187"/>
      <c r="V2131" s="176"/>
      <c r="W2131" s="164"/>
      <c r="X2131" s="164"/>
      <c r="Y2131" s="164"/>
      <c r="Z2131" s="164"/>
      <c r="AA2131" s="164"/>
      <c r="AB2131" s="164"/>
      <c r="AC2131" s="164"/>
      <c r="AD2131" s="164"/>
      <c r="AE2131" s="164"/>
      <c r="AF2131" s="164"/>
      <c r="AG2131" s="164"/>
      <c r="AH2131" s="164"/>
      <c r="AI2131" s="164"/>
    </row>
    <row r="2132">
      <c r="A2132" s="176"/>
      <c r="B2132" s="177"/>
      <c r="C2132" s="178"/>
      <c r="D2132" s="178"/>
      <c r="E2132" s="177"/>
      <c r="F2132" s="178"/>
      <c r="G2132" s="176"/>
      <c r="H2132" s="179"/>
      <c r="I2132" s="180"/>
      <c r="J2132" s="181"/>
      <c r="K2132" s="178"/>
      <c r="L2132" s="178"/>
      <c r="M2132" s="182"/>
      <c r="N2132" s="183"/>
      <c r="O2132" s="184"/>
      <c r="P2132" s="184"/>
      <c r="Q2132" s="185"/>
      <c r="R2132" s="186"/>
      <c r="S2132" s="186"/>
      <c r="T2132" s="186"/>
      <c r="U2132" s="187"/>
      <c r="V2132" s="176"/>
      <c r="W2132" s="164"/>
      <c r="X2132" s="164"/>
      <c r="Y2132" s="164"/>
      <c r="Z2132" s="164"/>
      <c r="AA2132" s="164"/>
      <c r="AB2132" s="164"/>
      <c r="AC2132" s="164"/>
      <c r="AD2132" s="164"/>
      <c r="AE2132" s="164"/>
      <c r="AF2132" s="164"/>
      <c r="AG2132" s="164"/>
      <c r="AH2132" s="164"/>
      <c r="AI2132" s="164"/>
    </row>
    <row r="2133">
      <c r="A2133" s="176"/>
      <c r="B2133" s="177"/>
      <c r="C2133" s="178"/>
      <c r="D2133" s="178"/>
      <c r="E2133" s="177"/>
      <c r="F2133" s="178"/>
      <c r="G2133" s="176"/>
      <c r="H2133" s="179"/>
      <c r="I2133" s="180"/>
      <c r="J2133" s="181"/>
      <c r="K2133" s="178"/>
      <c r="L2133" s="178"/>
      <c r="M2133" s="182"/>
      <c r="N2133" s="183"/>
      <c r="O2133" s="184"/>
      <c r="P2133" s="184"/>
      <c r="Q2133" s="185"/>
      <c r="R2133" s="186"/>
      <c r="S2133" s="186"/>
      <c r="T2133" s="186"/>
      <c r="U2133" s="187"/>
      <c r="V2133" s="176"/>
      <c r="W2133" s="164"/>
      <c r="X2133" s="164"/>
      <c r="Y2133" s="164"/>
      <c r="Z2133" s="164"/>
      <c r="AA2133" s="164"/>
      <c r="AB2133" s="164"/>
      <c r="AC2133" s="164"/>
      <c r="AD2133" s="164"/>
      <c r="AE2133" s="164"/>
      <c r="AF2133" s="164"/>
      <c r="AG2133" s="164"/>
      <c r="AH2133" s="164"/>
      <c r="AI2133" s="164"/>
    </row>
    <row r="2134">
      <c r="A2134" s="176"/>
      <c r="B2134" s="177"/>
      <c r="C2134" s="178"/>
      <c r="D2134" s="178"/>
      <c r="E2134" s="177"/>
      <c r="F2134" s="178"/>
      <c r="G2134" s="176"/>
      <c r="H2134" s="179"/>
      <c r="I2134" s="180"/>
      <c r="J2134" s="181"/>
      <c r="K2134" s="178"/>
      <c r="L2134" s="178"/>
      <c r="M2134" s="182"/>
      <c r="N2134" s="183"/>
      <c r="O2134" s="184"/>
      <c r="P2134" s="184"/>
      <c r="Q2134" s="185"/>
      <c r="R2134" s="186"/>
      <c r="S2134" s="186"/>
      <c r="T2134" s="186"/>
      <c r="U2134" s="187"/>
      <c r="V2134" s="176"/>
      <c r="W2134" s="164"/>
      <c r="X2134" s="164"/>
      <c r="Y2134" s="164"/>
      <c r="Z2134" s="164"/>
      <c r="AA2134" s="164"/>
      <c r="AB2134" s="164"/>
      <c r="AC2134" s="164"/>
      <c r="AD2134" s="164"/>
      <c r="AE2134" s="164"/>
      <c r="AF2134" s="164"/>
      <c r="AG2134" s="164"/>
      <c r="AH2134" s="164"/>
      <c r="AI2134" s="164"/>
    </row>
    <row r="2135">
      <c r="A2135" s="176"/>
      <c r="B2135" s="177"/>
      <c r="C2135" s="178"/>
      <c r="D2135" s="178"/>
      <c r="E2135" s="177"/>
      <c r="F2135" s="178"/>
      <c r="G2135" s="176"/>
      <c r="H2135" s="179"/>
      <c r="I2135" s="180"/>
      <c r="J2135" s="181"/>
      <c r="K2135" s="178"/>
      <c r="L2135" s="178"/>
      <c r="M2135" s="182"/>
      <c r="N2135" s="183"/>
      <c r="O2135" s="184"/>
      <c r="P2135" s="184"/>
      <c r="Q2135" s="185"/>
      <c r="R2135" s="186"/>
      <c r="S2135" s="186"/>
      <c r="T2135" s="186"/>
      <c r="U2135" s="187"/>
      <c r="V2135" s="176"/>
      <c r="W2135" s="164"/>
      <c r="X2135" s="164"/>
      <c r="Y2135" s="164"/>
      <c r="Z2135" s="164"/>
      <c r="AA2135" s="164"/>
      <c r="AB2135" s="164"/>
      <c r="AC2135" s="164"/>
      <c r="AD2135" s="164"/>
      <c r="AE2135" s="164"/>
      <c r="AF2135" s="164"/>
      <c r="AG2135" s="164"/>
      <c r="AH2135" s="164"/>
      <c r="AI2135" s="164"/>
    </row>
    <row r="2136">
      <c r="A2136" s="176"/>
      <c r="B2136" s="177"/>
      <c r="C2136" s="178"/>
      <c r="D2136" s="178"/>
      <c r="E2136" s="177"/>
      <c r="F2136" s="178"/>
      <c r="G2136" s="176"/>
      <c r="H2136" s="179"/>
      <c r="I2136" s="180"/>
      <c r="J2136" s="181"/>
      <c r="K2136" s="178"/>
      <c r="L2136" s="178"/>
      <c r="M2136" s="182"/>
      <c r="N2136" s="183"/>
      <c r="O2136" s="184"/>
      <c r="P2136" s="184"/>
      <c r="Q2136" s="185"/>
      <c r="R2136" s="186"/>
      <c r="S2136" s="186"/>
      <c r="T2136" s="162"/>
      <c r="U2136" s="163"/>
      <c r="V2136" s="216"/>
      <c r="W2136" s="164"/>
      <c r="X2136" s="164"/>
      <c r="Y2136" s="164"/>
      <c r="Z2136" s="164"/>
      <c r="AA2136" s="164"/>
      <c r="AB2136" s="164"/>
      <c r="AC2136" s="164"/>
      <c r="AD2136" s="164"/>
      <c r="AE2136" s="164"/>
      <c r="AF2136" s="164"/>
      <c r="AG2136" s="164"/>
      <c r="AH2136" s="164"/>
      <c r="AI2136" s="164"/>
    </row>
    <row r="2137">
      <c r="A2137" s="176"/>
      <c r="B2137" s="177"/>
      <c r="C2137" s="178"/>
      <c r="D2137" s="178"/>
      <c r="E2137" s="177"/>
      <c r="F2137" s="178"/>
      <c r="G2137" s="176"/>
      <c r="H2137" s="179"/>
      <c r="I2137" s="180"/>
      <c r="J2137" s="181"/>
      <c r="K2137" s="178"/>
      <c r="L2137" s="178"/>
      <c r="M2137" s="182"/>
      <c r="N2137" s="183"/>
      <c r="O2137" s="184"/>
      <c r="P2137" s="184"/>
      <c r="Q2137" s="185"/>
      <c r="R2137" s="186"/>
      <c r="S2137" s="186"/>
      <c r="T2137" s="186"/>
      <c r="U2137" s="187"/>
      <c r="V2137" s="176"/>
      <c r="W2137" s="164"/>
      <c r="X2137" s="164"/>
      <c r="Y2137" s="164"/>
      <c r="Z2137" s="164"/>
      <c r="AA2137" s="164"/>
      <c r="AB2137" s="164"/>
      <c r="AC2137" s="164"/>
      <c r="AD2137" s="164"/>
      <c r="AE2137" s="164"/>
      <c r="AF2137" s="164"/>
      <c r="AG2137" s="164"/>
      <c r="AH2137" s="164"/>
      <c r="AI2137" s="164"/>
    </row>
    <row r="2138">
      <c r="A2138" s="176"/>
      <c r="B2138" s="177"/>
      <c r="C2138" s="178"/>
      <c r="D2138" s="178"/>
      <c r="E2138" s="177"/>
      <c r="F2138" s="178"/>
      <c r="G2138" s="176"/>
      <c r="H2138" s="179"/>
      <c r="I2138" s="180"/>
      <c r="J2138" s="181"/>
      <c r="K2138" s="178"/>
      <c r="L2138" s="178"/>
      <c r="M2138" s="182"/>
      <c r="N2138" s="183"/>
      <c r="O2138" s="184"/>
      <c r="P2138" s="184"/>
      <c r="Q2138" s="185"/>
      <c r="R2138" s="186"/>
      <c r="S2138" s="186"/>
      <c r="T2138" s="186"/>
      <c r="U2138" s="187"/>
      <c r="V2138" s="176"/>
      <c r="W2138" s="164"/>
      <c r="X2138" s="164"/>
      <c r="Y2138" s="164"/>
      <c r="Z2138" s="164"/>
      <c r="AA2138" s="164"/>
      <c r="AB2138" s="164"/>
      <c r="AC2138" s="164"/>
      <c r="AD2138" s="164"/>
      <c r="AE2138" s="164"/>
      <c r="AF2138" s="164"/>
      <c r="AG2138" s="164"/>
      <c r="AH2138" s="164"/>
      <c r="AI2138" s="164"/>
    </row>
    <row r="2139">
      <c r="A2139" s="176"/>
      <c r="B2139" s="177"/>
      <c r="C2139" s="178"/>
      <c r="D2139" s="178"/>
      <c r="E2139" s="177"/>
      <c r="F2139" s="178"/>
      <c r="G2139" s="176"/>
      <c r="H2139" s="179"/>
      <c r="I2139" s="180"/>
      <c r="J2139" s="181"/>
      <c r="K2139" s="178"/>
      <c r="L2139" s="178"/>
      <c r="M2139" s="182"/>
      <c r="N2139" s="183"/>
      <c r="O2139" s="184"/>
      <c r="P2139" s="184"/>
      <c r="Q2139" s="185"/>
      <c r="R2139" s="186"/>
      <c r="S2139" s="186"/>
      <c r="T2139" s="186"/>
      <c r="U2139" s="187"/>
      <c r="V2139" s="176"/>
      <c r="W2139" s="164"/>
      <c r="X2139" s="164"/>
      <c r="Y2139" s="164"/>
      <c r="Z2139" s="164"/>
      <c r="AA2139" s="164"/>
      <c r="AB2139" s="164"/>
      <c r="AC2139" s="164"/>
      <c r="AD2139" s="164"/>
      <c r="AE2139" s="164"/>
      <c r="AF2139" s="164"/>
      <c r="AG2139" s="164"/>
      <c r="AH2139" s="164"/>
      <c r="AI2139" s="164"/>
    </row>
    <row r="2140">
      <c r="A2140" s="176"/>
      <c r="B2140" s="177"/>
      <c r="C2140" s="178"/>
      <c r="D2140" s="178"/>
      <c r="E2140" s="177"/>
      <c r="F2140" s="178"/>
      <c r="G2140" s="176"/>
      <c r="H2140" s="179"/>
      <c r="I2140" s="180"/>
      <c r="J2140" s="181"/>
      <c r="K2140" s="178"/>
      <c r="L2140" s="178"/>
      <c r="M2140" s="182"/>
      <c r="N2140" s="183"/>
      <c r="O2140" s="184"/>
      <c r="P2140" s="184"/>
      <c r="Q2140" s="185"/>
      <c r="R2140" s="186"/>
      <c r="S2140" s="186"/>
      <c r="T2140" s="186"/>
      <c r="U2140" s="187"/>
      <c r="V2140" s="176"/>
      <c r="W2140" s="164"/>
      <c r="X2140" s="164"/>
      <c r="Y2140" s="164"/>
      <c r="Z2140" s="164"/>
      <c r="AA2140" s="164"/>
      <c r="AB2140" s="164"/>
      <c r="AC2140" s="164"/>
      <c r="AD2140" s="164"/>
      <c r="AE2140" s="164"/>
      <c r="AF2140" s="164"/>
      <c r="AG2140" s="164"/>
      <c r="AH2140" s="164"/>
      <c r="AI2140" s="164"/>
    </row>
    <row r="2141">
      <c r="A2141" s="176"/>
      <c r="B2141" s="177"/>
      <c r="C2141" s="178"/>
      <c r="D2141" s="178"/>
      <c r="E2141" s="177"/>
      <c r="F2141" s="178"/>
      <c r="G2141" s="176"/>
      <c r="H2141" s="179"/>
      <c r="I2141" s="180"/>
      <c r="J2141" s="181"/>
      <c r="K2141" s="178"/>
      <c r="L2141" s="178"/>
      <c r="M2141" s="182"/>
      <c r="N2141" s="183"/>
      <c r="O2141" s="184"/>
      <c r="P2141" s="184"/>
      <c r="Q2141" s="185"/>
      <c r="R2141" s="186"/>
      <c r="S2141" s="186"/>
      <c r="T2141" s="186"/>
      <c r="U2141" s="187"/>
      <c r="V2141" s="176"/>
      <c r="W2141" s="164"/>
      <c r="X2141" s="164"/>
      <c r="Y2141" s="164"/>
      <c r="Z2141" s="164"/>
      <c r="AA2141" s="164"/>
      <c r="AB2141" s="164"/>
      <c r="AC2141" s="164"/>
      <c r="AD2141" s="164"/>
      <c r="AE2141" s="164"/>
      <c r="AF2141" s="164"/>
      <c r="AG2141" s="164"/>
      <c r="AH2141" s="164"/>
      <c r="AI2141" s="164"/>
    </row>
    <row r="2142">
      <c r="A2142" s="176"/>
      <c r="B2142" s="177"/>
      <c r="C2142" s="178"/>
      <c r="D2142" s="178"/>
      <c r="E2142" s="177"/>
      <c r="F2142" s="178"/>
      <c r="G2142" s="176"/>
      <c r="H2142" s="179"/>
      <c r="I2142" s="180"/>
      <c r="J2142" s="181"/>
      <c r="K2142" s="178"/>
      <c r="L2142" s="178"/>
      <c r="M2142" s="182"/>
      <c r="N2142" s="183"/>
      <c r="O2142" s="184"/>
      <c r="P2142" s="184"/>
      <c r="Q2142" s="185"/>
      <c r="R2142" s="186"/>
      <c r="S2142" s="186"/>
      <c r="T2142" s="162"/>
      <c r="U2142" s="163"/>
      <c r="V2142" s="154"/>
      <c r="W2142" s="164"/>
      <c r="X2142" s="164"/>
      <c r="Y2142" s="164"/>
      <c r="Z2142" s="164"/>
      <c r="AA2142" s="164"/>
      <c r="AB2142" s="164"/>
      <c r="AC2142" s="164"/>
      <c r="AD2142" s="164"/>
      <c r="AE2142" s="164"/>
      <c r="AF2142" s="164"/>
      <c r="AG2142" s="164"/>
      <c r="AH2142" s="164"/>
      <c r="AI2142" s="164"/>
    </row>
    <row r="2143">
      <c r="A2143" s="176"/>
      <c r="B2143" s="177"/>
      <c r="C2143" s="178"/>
      <c r="D2143" s="178"/>
      <c r="E2143" s="177"/>
      <c r="F2143" s="178"/>
      <c r="G2143" s="176"/>
      <c r="H2143" s="179"/>
      <c r="I2143" s="180"/>
      <c r="J2143" s="181"/>
      <c r="K2143" s="178"/>
      <c r="L2143" s="178"/>
      <c r="M2143" s="182"/>
      <c r="N2143" s="183"/>
      <c r="O2143" s="184"/>
      <c r="P2143" s="184"/>
      <c r="Q2143" s="185"/>
      <c r="R2143" s="186"/>
      <c r="S2143" s="186"/>
      <c r="T2143" s="186"/>
      <c r="U2143" s="187"/>
      <c r="V2143" s="176"/>
      <c r="W2143" s="164"/>
      <c r="X2143" s="164"/>
      <c r="Y2143" s="164"/>
      <c r="Z2143" s="164"/>
      <c r="AA2143" s="164"/>
      <c r="AB2143" s="164"/>
      <c r="AC2143" s="164"/>
      <c r="AD2143" s="164"/>
      <c r="AE2143" s="164"/>
      <c r="AF2143" s="164"/>
      <c r="AG2143" s="164"/>
      <c r="AH2143" s="164"/>
      <c r="AI2143" s="164"/>
    </row>
    <row r="2144">
      <c r="A2144" s="176"/>
      <c r="B2144" s="177"/>
      <c r="C2144" s="178"/>
      <c r="D2144" s="178"/>
      <c r="E2144" s="177"/>
      <c r="F2144" s="178"/>
      <c r="G2144" s="176"/>
      <c r="H2144" s="179"/>
      <c r="I2144" s="180"/>
      <c r="J2144" s="181"/>
      <c r="K2144" s="178"/>
      <c r="L2144" s="178"/>
      <c r="M2144" s="182"/>
      <c r="N2144" s="183"/>
      <c r="O2144" s="184"/>
      <c r="P2144" s="184"/>
      <c r="Q2144" s="185"/>
      <c r="R2144" s="186"/>
      <c r="S2144" s="186"/>
      <c r="T2144" s="186"/>
      <c r="U2144" s="187"/>
      <c r="V2144" s="176"/>
      <c r="W2144" s="164"/>
      <c r="X2144" s="164"/>
      <c r="Y2144" s="164"/>
      <c r="Z2144" s="164"/>
      <c r="AA2144" s="164"/>
      <c r="AB2144" s="164"/>
      <c r="AC2144" s="164"/>
      <c r="AD2144" s="164"/>
      <c r="AE2144" s="164"/>
      <c r="AF2144" s="164"/>
      <c r="AG2144" s="164"/>
      <c r="AH2144" s="164"/>
      <c r="AI2144" s="164"/>
    </row>
    <row r="2145">
      <c r="A2145" s="176"/>
      <c r="B2145" s="177"/>
      <c r="C2145" s="178"/>
      <c r="D2145" s="178"/>
      <c r="E2145" s="177"/>
      <c r="F2145" s="178"/>
      <c r="G2145" s="176"/>
      <c r="H2145" s="179"/>
      <c r="I2145" s="180"/>
      <c r="J2145" s="181"/>
      <c r="K2145" s="178"/>
      <c r="L2145" s="178"/>
      <c r="M2145" s="182"/>
      <c r="N2145" s="183"/>
      <c r="O2145" s="184"/>
      <c r="P2145" s="184"/>
      <c r="Q2145" s="185"/>
      <c r="R2145" s="186"/>
      <c r="S2145" s="186"/>
      <c r="T2145" s="186"/>
      <c r="U2145" s="187"/>
      <c r="V2145" s="176"/>
      <c r="W2145" s="164"/>
      <c r="X2145" s="164"/>
      <c r="Y2145" s="164"/>
      <c r="Z2145" s="164"/>
      <c r="AA2145" s="164"/>
      <c r="AB2145" s="164"/>
      <c r="AC2145" s="164"/>
      <c r="AD2145" s="164"/>
      <c r="AE2145" s="164"/>
      <c r="AF2145" s="164"/>
      <c r="AG2145" s="164"/>
      <c r="AH2145" s="164"/>
      <c r="AI2145" s="164"/>
    </row>
    <row r="2146">
      <c r="A2146" s="176"/>
      <c r="B2146" s="177"/>
      <c r="C2146" s="178"/>
      <c r="D2146" s="178"/>
      <c r="E2146" s="177"/>
      <c r="F2146" s="178"/>
      <c r="G2146" s="176"/>
      <c r="H2146" s="179"/>
      <c r="I2146" s="180"/>
      <c r="J2146" s="181"/>
      <c r="K2146" s="178"/>
      <c r="L2146" s="178"/>
      <c r="M2146" s="182"/>
      <c r="N2146" s="183"/>
      <c r="O2146" s="184"/>
      <c r="P2146" s="184"/>
      <c r="Q2146" s="185"/>
      <c r="R2146" s="186"/>
      <c r="S2146" s="186"/>
      <c r="T2146" s="186"/>
      <c r="U2146" s="187"/>
      <c r="V2146" s="176"/>
      <c r="W2146" s="164"/>
      <c r="X2146" s="164"/>
      <c r="Y2146" s="164"/>
      <c r="Z2146" s="164"/>
      <c r="AA2146" s="164"/>
      <c r="AB2146" s="164"/>
      <c r="AC2146" s="164"/>
      <c r="AD2146" s="164"/>
      <c r="AE2146" s="164"/>
      <c r="AF2146" s="164"/>
      <c r="AG2146" s="164"/>
      <c r="AH2146" s="164"/>
      <c r="AI2146" s="164"/>
    </row>
    <row r="2147">
      <c r="A2147" s="176"/>
      <c r="B2147" s="177"/>
      <c r="C2147" s="178"/>
      <c r="D2147" s="178"/>
      <c r="E2147" s="177"/>
      <c r="F2147" s="178"/>
      <c r="G2147" s="176"/>
      <c r="H2147" s="179"/>
      <c r="I2147" s="180"/>
      <c r="J2147" s="181"/>
      <c r="K2147" s="178"/>
      <c r="L2147" s="178"/>
      <c r="M2147" s="182"/>
      <c r="N2147" s="183"/>
      <c r="O2147" s="184"/>
      <c r="P2147" s="184"/>
      <c r="Q2147" s="185"/>
      <c r="R2147" s="186"/>
      <c r="S2147" s="186"/>
      <c r="T2147" s="186"/>
      <c r="U2147" s="187"/>
      <c r="V2147" s="176"/>
      <c r="W2147" s="164"/>
      <c r="X2147" s="164"/>
      <c r="Y2147" s="164"/>
      <c r="Z2147" s="164"/>
      <c r="AA2147" s="164"/>
      <c r="AB2147" s="164"/>
      <c r="AC2147" s="164"/>
      <c r="AD2147" s="164"/>
      <c r="AE2147" s="164"/>
      <c r="AF2147" s="164"/>
      <c r="AG2147" s="164"/>
      <c r="AH2147" s="164"/>
      <c r="AI2147" s="164"/>
    </row>
    <row r="2148">
      <c r="A2148" s="176"/>
      <c r="B2148" s="177"/>
      <c r="C2148" s="178"/>
      <c r="D2148" s="178"/>
      <c r="E2148" s="177"/>
      <c r="F2148" s="178"/>
      <c r="G2148" s="176"/>
      <c r="H2148" s="179"/>
      <c r="I2148" s="180"/>
      <c r="J2148" s="181"/>
      <c r="K2148" s="178"/>
      <c r="L2148" s="178"/>
      <c r="M2148" s="182"/>
      <c r="N2148" s="183"/>
      <c r="O2148" s="184"/>
      <c r="P2148" s="184"/>
      <c r="Q2148" s="185"/>
      <c r="R2148" s="186"/>
      <c r="S2148" s="186"/>
      <c r="T2148" s="186"/>
      <c r="U2148" s="187"/>
      <c r="V2148" s="176"/>
      <c r="W2148" s="164"/>
      <c r="X2148" s="164"/>
      <c r="Y2148" s="164"/>
      <c r="Z2148" s="164"/>
      <c r="AA2148" s="164"/>
      <c r="AB2148" s="164"/>
      <c r="AC2148" s="164"/>
      <c r="AD2148" s="164"/>
      <c r="AE2148" s="164"/>
      <c r="AF2148" s="164"/>
      <c r="AG2148" s="164"/>
      <c r="AH2148" s="164"/>
      <c r="AI2148" s="164"/>
    </row>
    <row r="2149">
      <c r="A2149" s="176"/>
      <c r="B2149" s="177"/>
      <c r="C2149" s="178"/>
      <c r="D2149" s="178"/>
      <c r="E2149" s="177"/>
      <c r="F2149" s="178"/>
      <c r="G2149" s="176"/>
      <c r="H2149" s="179"/>
      <c r="I2149" s="180"/>
      <c r="J2149" s="181"/>
      <c r="K2149" s="178"/>
      <c r="L2149" s="178"/>
      <c r="M2149" s="182"/>
      <c r="N2149" s="183"/>
      <c r="O2149" s="184"/>
      <c r="P2149" s="184"/>
      <c r="Q2149" s="185"/>
      <c r="R2149" s="186"/>
      <c r="S2149" s="186"/>
      <c r="T2149" s="186"/>
      <c r="U2149" s="187"/>
      <c r="V2149" s="176"/>
      <c r="W2149" s="164"/>
      <c r="X2149" s="164"/>
      <c r="Y2149" s="164"/>
      <c r="Z2149" s="164"/>
      <c r="AA2149" s="164"/>
      <c r="AB2149" s="164"/>
      <c r="AC2149" s="164"/>
      <c r="AD2149" s="164"/>
      <c r="AE2149" s="164"/>
      <c r="AF2149" s="164"/>
      <c r="AG2149" s="164"/>
      <c r="AH2149" s="164"/>
      <c r="AI2149" s="164"/>
    </row>
    <row r="2150">
      <c r="A2150" s="176"/>
      <c r="B2150" s="177"/>
      <c r="C2150" s="178"/>
      <c r="D2150" s="178"/>
      <c r="E2150" s="177"/>
      <c r="F2150" s="178"/>
      <c r="G2150" s="176"/>
      <c r="H2150" s="179"/>
      <c r="I2150" s="180"/>
      <c r="J2150" s="181"/>
      <c r="K2150" s="178"/>
      <c r="L2150" s="178"/>
      <c r="M2150" s="182"/>
      <c r="N2150" s="183"/>
      <c r="O2150" s="184"/>
      <c r="P2150" s="184"/>
      <c r="Q2150" s="185"/>
      <c r="R2150" s="186"/>
      <c r="S2150" s="186"/>
      <c r="T2150" s="186"/>
      <c r="U2150" s="187"/>
      <c r="V2150" s="176"/>
      <c r="W2150" s="164"/>
      <c r="X2150" s="164"/>
      <c r="Y2150" s="164"/>
      <c r="Z2150" s="164"/>
      <c r="AA2150" s="164"/>
      <c r="AB2150" s="164"/>
      <c r="AC2150" s="164"/>
      <c r="AD2150" s="164"/>
      <c r="AE2150" s="164"/>
      <c r="AF2150" s="164"/>
      <c r="AG2150" s="164"/>
      <c r="AH2150" s="164"/>
      <c r="AI2150" s="164"/>
    </row>
    <row r="2151">
      <c r="A2151" s="176"/>
      <c r="B2151" s="177"/>
      <c r="C2151" s="178"/>
      <c r="D2151" s="178"/>
      <c r="E2151" s="177"/>
      <c r="F2151" s="178"/>
      <c r="G2151" s="176"/>
      <c r="H2151" s="179"/>
      <c r="I2151" s="180"/>
      <c r="J2151" s="181"/>
      <c r="K2151" s="178"/>
      <c r="L2151" s="178"/>
      <c r="M2151" s="182"/>
      <c r="N2151" s="183"/>
      <c r="O2151" s="184"/>
      <c r="P2151" s="184"/>
      <c r="Q2151" s="185"/>
      <c r="R2151" s="186"/>
      <c r="S2151" s="186"/>
      <c r="T2151" s="186"/>
      <c r="U2151" s="187"/>
      <c r="V2151" s="176"/>
      <c r="W2151" s="164"/>
      <c r="X2151" s="164"/>
      <c r="Y2151" s="164"/>
      <c r="Z2151" s="164"/>
      <c r="AA2151" s="164"/>
      <c r="AB2151" s="164"/>
      <c r="AC2151" s="164"/>
      <c r="AD2151" s="164"/>
      <c r="AE2151" s="164"/>
      <c r="AF2151" s="164"/>
      <c r="AG2151" s="164"/>
      <c r="AH2151" s="164"/>
      <c r="AI2151" s="164"/>
    </row>
    <row r="2152">
      <c r="A2152" s="176"/>
      <c r="B2152" s="177"/>
      <c r="C2152" s="178"/>
      <c r="D2152" s="178"/>
      <c r="E2152" s="177"/>
      <c r="F2152" s="178"/>
      <c r="G2152" s="176"/>
      <c r="H2152" s="179"/>
      <c r="I2152" s="180"/>
      <c r="J2152" s="181"/>
      <c r="K2152" s="178"/>
      <c r="L2152" s="178"/>
      <c r="M2152" s="182"/>
      <c r="N2152" s="183"/>
      <c r="O2152" s="184"/>
      <c r="P2152" s="184"/>
      <c r="Q2152" s="185"/>
      <c r="R2152" s="186"/>
      <c r="S2152" s="186"/>
      <c r="T2152" s="186"/>
      <c r="U2152" s="187"/>
      <c r="V2152" s="176"/>
      <c r="W2152" s="164"/>
      <c r="X2152" s="164"/>
      <c r="Y2152" s="164"/>
      <c r="Z2152" s="164"/>
      <c r="AA2152" s="164"/>
      <c r="AB2152" s="164"/>
      <c r="AC2152" s="164"/>
      <c r="AD2152" s="164"/>
      <c r="AE2152" s="164"/>
      <c r="AF2152" s="164"/>
      <c r="AG2152" s="164"/>
      <c r="AH2152" s="164"/>
      <c r="AI2152" s="164"/>
    </row>
    <row r="2153">
      <c r="A2153" s="176"/>
      <c r="B2153" s="177"/>
      <c r="C2153" s="178"/>
      <c r="D2153" s="178"/>
      <c r="E2153" s="177"/>
      <c r="F2153" s="178"/>
      <c r="G2153" s="176"/>
      <c r="H2153" s="179"/>
      <c r="I2153" s="180"/>
      <c r="J2153" s="181"/>
      <c r="K2153" s="178"/>
      <c r="L2153" s="178"/>
      <c r="M2153" s="182"/>
      <c r="N2153" s="183"/>
      <c r="O2153" s="184"/>
      <c r="P2153" s="184"/>
      <c r="Q2153" s="185"/>
      <c r="R2153" s="186"/>
      <c r="S2153" s="186"/>
      <c r="T2153" s="186"/>
      <c r="U2153" s="187"/>
      <c r="V2153" s="176"/>
      <c r="W2153" s="164"/>
      <c r="X2153" s="164"/>
      <c r="Y2153" s="164"/>
      <c r="Z2153" s="164"/>
      <c r="AA2153" s="164"/>
      <c r="AB2153" s="164"/>
      <c r="AC2153" s="164"/>
      <c r="AD2153" s="164"/>
      <c r="AE2153" s="164"/>
      <c r="AF2153" s="164"/>
      <c r="AG2153" s="164"/>
      <c r="AH2153" s="164"/>
      <c r="AI2153" s="164"/>
    </row>
    <row r="2154">
      <c r="A2154" s="176"/>
      <c r="B2154" s="177"/>
      <c r="C2154" s="178"/>
      <c r="D2154" s="178"/>
      <c r="E2154" s="177"/>
      <c r="F2154" s="178"/>
      <c r="G2154" s="176"/>
      <c r="H2154" s="179"/>
      <c r="I2154" s="180"/>
      <c r="J2154" s="181"/>
      <c r="K2154" s="178"/>
      <c r="L2154" s="178"/>
      <c r="M2154" s="182"/>
      <c r="N2154" s="183"/>
      <c r="O2154" s="184"/>
      <c r="P2154" s="184"/>
      <c r="Q2154" s="185"/>
      <c r="R2154" s="186"/>
      <c r="S2154" s="186"/>
      <c r="T2154" s="186"/>
      <c r="U2154" s="187"/>
      <c r="V2154" s="176"/>
      <c r="W2154" s="164"/>
      <c r="X2154" s="164"/>
      <c r="Y2154" s="164"/>
      <c r="Z2154" s="164"/>
      <c r="AA2154" s="164"/>
      <c r="AB2154" s="164"/>
      <c r="AC2154" s="164"/>
      <c r="AD2154" s="164"/>
      <c r="AE2154" s="164"/>
      <c r="AF2154" s="164"/>
      <c r="AG2154" s="164"/>
      <c r="AH2154" s="164"/>
      <c r="AI2154" s="164"/>
    </row>
    <row r="2155">
      <c r="A2155" s="176"/>
      <c r="B2155" s="177"/>
      <c r="C2155" s="178"/>
      <c r="D2155" s="178"/>
      <c r="E2155" s="177"/>
      <c r="F2155" s="178"/>
      <c r="G2155" s="176"/>
      <c r="H2155" s="179"/>
      <c r="I2155" s="180"/>
      <c r="J2155" s="181"/>
      <c r="K2155" s="178"/>
      <c r="L2155" s="178"/>
      <c r="M2155" s="182"/>
      <c r="N2155" s="183"/>
      <c r="O2155" s="184"/>
      <c r="P2155" s="184"/>
      <c r="Q2155" s="185"/>
      <c r="R2155" s="186"/>
      <c r="S2155" s="186"/>
      <c r="T2155" s="162"/>
      <c r="U2155" s="163"/>
      <c r="V2155" s="154"/>
      <c r="W2155" s="164"/>
      <c r="X2155" s="164"/>
      <c r="Y2155" s="164"/>
      <c r="Z2155" s="164"/>
      <c r="AA2155" s="164"/>
      <c r="AB2155" s="164"/>
      <c r="AC2155" s="164"/>
      <c r="AD2155" s="164"/>
      <c r="AE2155" s="164"/>
      <c r="AF2155" s="164"/>
      <c r="AG2155" s="164"/>
      <c r="AH2155" s="164"/>
      <c r="AI2155" s="164"/>
    </row>
    <row r="2156">
      <c r="A2156" s="176"/>
      <c r="B2156" s="177"/>
      <c r="C2156" s="178"/>
      <c r="D2156" s="178"/>
      <c r="E2156" s="177"/>
      <c r="F2156" s="178"/>
      <c r="G2156" s="176"/>
      <c r="H2156" s="179"/>
      <c r="I2156" s="180"/>
      <c r="J2156" s="181"/>
      <c r="K2156" s="178"/>
      <c r="L2156" s="178"/>
      <c r="M2156" s="182"/>
      <c r="N2156" s="183"/>
      <c r="O2156" s="184"/>
      <c r="P2156" s="184"/>
      <c r="Q2156" s="185"/>
      <c r="R2156" s="186"/>
      <c r="S2156" s="186"/>
      <c r="T2156" s="186"/>
      <c r="U2156" s="187"/>
      <c r="V2156" s="176"/>
      <c r="W2156" s="164"/>
      <c r="X2156" s="164"/>
      <c r="Y2156" s="164"/>
      <c r="Z2156" s="164"/>
      <c r="AA2156" s="164"/>
      <c r="AB2156" s="164"/>
      <c r="AC2156" s="164"/>
      <c r="AD2156" s="164"/>
      <c r="AE2156" s="164"/>
      <c r="AF2156" s="164"/>
      <c r="AG2156" s="164"/>
      <c r="AH2156" s="164"/>
      <c r="AI2156" s="164"/>
    </row>
    <row r="2157">
      <c r="A2157" s="176"/>
      <c r="B2157" s="177"/>
      <c r="C2157" s="178"/>
      <c r="D2157" s="178"/>
      <c r="E2157" s="177"/>
      <c r="F2157" s="178"/>
      <c r="G2157" s="176"/>
      <c r="H2157" s="179"/>
      <c r="I2157" s="180"/>
      <c r="J2157" s="181"/>
      <c r="K2157" s="178"/>
      <c r="L2157" s="178"/>
      <c r="M2157" s="182"/>
      <c r="N2157" s="183"/>
      <c r="O2157" s="184"/>
      <c r="P2157" s="184"/>
      <c r="Q2157" s="185"/>
      <c r="R2157" s="186"/>
      <c r="S2157" s="186"/>
      <c r="T2157" s="186"/>
      <c r="U2157" s="187"/>
      <c r="V2157" s="176"/>
      <c r="W2157" s="164"/>
      <c r="X2157" s="164"/>
      <c r="Y2157" s="164"/>
      <c r="Z2157" s="164"/>
      <c r="AA2157" s="164"/>
      <c r="AB2157" s="164"/>
      <c r="AC2157" s="164"/>
      <c r="AD2157" s="164"/>
      <c r="AE2157" s="164"/>
      <c r="AF2157" s="164"/>
      <c r="AG2157" s="164"/>
      <c r="AH2157" s="164"/>
      <c r="AI2157" s="164"/>
    </row>
    <row r="2158">
      <c r="A2158" s="176"/>
      <c r="B2158" s="177"/>
      <c r="C2158" s="178"/>
      <c r="D2158" s="178"/>
      <c r="E2158" s="177"/>
      <c r="F2158" s="178"/>
      <c r="G2158" s="176"/>
      <c r="H2158" s="179"/>
      <c r="I2158" s="180"/>
      <c r="J2158" s="181"/>
      <c r="K2158" s="178"/>
      <c r="L2158" s="178"/>
      <c r="M2158" s="182"/>
      <c r="N2158" s="183"/>
      <c r="O2158" s="184"/>
      <c r="P2158" s="184"/>
      <c r="Q2158" s="185"/>
      <c r="R2158" s="186"/>
      <c r="S2158" s="186"/>
      <c r="T2158" s="186"/>
      <c r="U2158" s="187"/>
      <c r="V2158" s="176"/>
      <c r="W2158" s="164"/>
      <c r="X2158" s="164"/>
      <c r="Y2158" s="164"/>
      <c r="Z2158" s="164"/>
      <c r="AA2158" s="164"/>
      <c r="AB2158" s="164"/>
      <c r="AC2158" s="164"/>
      <c r="AD2158" s="164"/>
      <c r="AE2158" s="164"/>
      <c r="AF2158" s="164"/>
      <c r="AG2158" s="164"/>
      <c r="AH2158" s="164"/>
      <c r="AI2158" s="164"/>
    </row>
    <row r="2159">
      <c r="A2159" s="176"/>
      <c r="B2159" s="177"/>
      <c r="C2159" s="178"/>
      <c r="D2159" s="178"/>
      <c r="E2159" s="177"/>
      <c r="F2159" s="178"/>
      <c r="G2159" s="176"/>
      <c r="H2159" s="179"/>
      <c r="I2159" s="180"/>
      <c r="J2159" s="181"/>
      <c r="K2159" s="178"/>
      <c r="L2159" s="178"/>
      <c r="M2159" s="182"/>
      <c r="N2159" s="183"/>
      <c r="O2159" s="184"/>
      <c r="P2159" s="184"/>
      <c r="Q2159" s="185"/>
      <c r="R2159" s="186"/>
      <c r="S2159" s="186"/>
      <c r="T2159" s="186"/>
      <c r="U2159" s="187"/>
      <c r="V2159" s="176"/>
      <c r="W2159" s="164"/>
      <c r="X2159" s="164"/>
      <c r="Y2159" s="164"/>
      <c r="Z2159" s="164"/>
      <c r="AA2159" s="164"/>
      <c r="AB2159" s="164"/>
      <c r="AC2159" s="164"/>
      <c r="AD2159" s="164"/>
      <c r="AE2159" s="164"/>
      <c r="AF2159" s="164"/>
      <c r="AG2159" s="164"/>
      <c r="AH2159" s="164"/>
      <c r="AI2159" s="164"/>
    </row>
    <row r="2160">
      <c r="A2160" s="176"/>
      <c r="B2160" s="177"/>
      <c r="C2160" s="178"/>
      <c r="D2160" s="178"/>
      <c r="E2160" s="177"/>
      <c r="F2160" s="178"/>
      <c r="G2160" s="176"/>
      <c r="H2160" s="179"/>
      <c r="I2160" s="180"/>
      <c r="J2160" s="181"/>
      <c r="K2160" s="178"/>
      <c r="L2160" s="178"/>
      <c r="M2160" s="182"/>
      <c r="N2160" s="183"/>
      <c r="O2160" s="184"/>
      <c r="P2160" s="184"/>
      <c r="Q2160" s="185"/>
      <c r="R2160" s="186"/>
      <c r="S2160" s="186"/>
      <c r="T2160" s="186"/>
      <c r="U2160" s="187"/>
      <c r="V2160" s="176"/>
      <c r="W2160" s="164"/>
      <c r="X2160" s="164"/>
      <c r="Y2160" s="164"/>
      <c r="Z2160" s="164"/>
      <c r="AA2160" s="164"/>
      <c r="AB2160" s="164"/>
      <c r="AC2160" s="164"/>
      <c r="AD2160" s="164"/>
      <c r="AE2160" s="164"/>
      <c r="AF2160" s="164"/>
      <c r="AG2160" s="164"/>
      <c r="AH2160" s="164"/>
      <c r="AI2160" s="164"/>
    </row>
    <row r="2161">
      <c r="A2161" s="176"/>
      <c r="B2161" s="177"/>
      <c r="C2161" s="178"/>
      <c r="D2161" s="178"/>
      <c r="E2161" s="177"/>
      <c r="F2161" s="178"/>
      <c r="G2161" s="176"/>
      <c r="H2161" s="179"/>
      <c r="I2161" s="180"/>
      <c r="J2161" s="181"/>
      <c r="K2161" s="178"/>
      <c r="L2161" s="178"/>
      <c r="M2161" s="182"/>
      <c r="N2161" s="183"/>
      <c r="O2161" s="184"/>
      <c r="P2161" s="184"/>
      <c r="Q2161" s="185"/>
      <c r="R2161" s="186"/>
      <c r="S2161" s="186"/>
      <c r="T2161" s="186"/>
      <c r="U2161" s="187"/>
      <c r="V2161" s="176"/>
      <c r="W2161" s="164"/>
      <c r="X2161" s="164"/>
      <c r="Y2161" s="164"/>
      <c r="Z2161" s="164"/>
      <c r="AA2161" s="164"/>
      <c r="AB2161" s="164"/>
      <c r="AC2161" s="164"/>
      <c r="AD2161" s="164"/>
      <c r="AE2161" s="164"/>
      <c r="AF2161" s="164"/>
      <c r="AG2161" s="164"/>
      <c r="AH2161" s="164"/>
      <c r="AI2161" s="164"/>
    </row>
    <row r="2162">
      <c r="A2162" s="176"/>
      <c r="B2162" s="177"/>
      <c r="C2162" s="178"/>
      <c r="D2162" s="178"/>
      <c r="E2162" s="177"/>
      <c r="F2162" s="178"/>
      <c r="G2162" s="176"/>
      <c r="H2162" s="179"/>
      <c r="I2162" s="180"/>
      <c r="J2162" s="181"/>
      <c r="K2162" s="178"/>
      <c r="L2162" s="178"/>
      <c r="M2162" s="182"/>
      <c r="N2162" s="183"/>
      <c r="O2162" s="184"/>
      <c r="P2162" s="184"/>
      <c r="Q2162" s="185"/>
      <c r="R2162" s="186"/>
      <c r="S2162" s="186"/>
      <c r="T2162" s="186"/>
      <c r="U2162" s="187"/>
      <c r="V2162" s="176"/>
      <c r="W2162" s="164"/>
      <c r="X2162" s="164"/>
      <c r="Y2162" s="164"/>
      <c r="Z2162" s="164"/>
      <c r="AA2162" s="164"/>
      <c r="AB2162" s="164"/>
      <c r="AC2162" s="164"/>
      <c r="AD2162" s="164"/>
      <c r="AE2162" s="164"/>
      <c r="AF2162" s="164"/>
      <c r="AG2162" s="164"/>
      <c r="AH2162" s="164"/>
      <c r="AI2162" s="164"/>
    </row>
    <row r="2163">
      <c r="A2163" s="176"/>
      <c r="B2163" s="177"/>
      <c r="C2163" s="178"/>
      <c r="D2163" s="178"/>
      <c r="E2163" s="177"/>
      <c r="F2163" s="178"/>
      <c r="G2163" s="176"/>
      <c r="H2163" s="179"/>
      <c r="I2163" s="180"/>
      <c r="J2163" s="181"/>
      <c r="K2163" s="178"/>
      <c r="L2163" s="178"/>
      <c r="M2163" s="182"/>
      <c r="N2163" s="183"/>
      <c r="O2163" s="184"/>
      <c r="P2163" s="184"/>
      <c r="Q2163" s="185"/>
      <c r="R2163" s="186"/>
      <c r="S2163" s="186"/>
      <c r="T2163" s="186"/>
      <c r="U2163" s="187"/>
      <c r="V2163" s="176"/>
      <c r="W2163" s="164"/>
      <c r="X2163" s="164"/>
      <c r="Y2163" s="164"/>
      <c r="Z2163" s="164"/>
      <c r="AA2163" s="164"/>
      <c r="AB2163" s="164"/>
      <c r="AC2163" s="164"/>
      <c r="AD2163" s="164"/>
      <c r="AE2163" s="164"/>
      <c r="AF2163" s="164"/>
      <c r="AG2163" s="164"/>
      <c r="AH2163" s="164"/>
      <c r="AI2163" s="164"/>
    </row>
    <row r="2164">
      <c r="A2164" s="176"/>
      <c r="B2164" s="177"/>
      <c r="C2164" s="178"/>
      <c r="D2164" s="178"/>
      <c r="E2164" s="177"/>
      <c r="F2164" s="178"/>
      <c r="G2164" s="176"/>
      <c r="H2164" s="179"/>
      <c r="I2164" s="180"/>
      <c r="J2164" s="181"/>
      <c r="K2164" s="178"/>
      <c r="L2164" s="178"/>
      <c r="M2164" s="182"/>
      <c r="N2164" s="183"/>
      <c r="O2164" s="184"/>
      <c r="P2164" s="184"/>
      <c r="Q2164" s="185"/>
      <c r="R2164" s="186"/>
      <c r="S2164" s="186"/>
      <c r="T2164" s="186"/>
      <c r="U2164" s="187"/>
      <c r="V2164" s="176"/>
      <c r="W2164" s="164"/>
      <c r="X2164" s="164"/>
      <c r="Y2164" s="164"/>
      <c r="Z2164" s="164"/>
      <c r="AA2164" s="164"/>
      <c r="AB2164" s="164"/>
      <c r="AC2164" s="164"/>
      <c r="AD2164" s="164"/>
      <c r="AE2164" s="164"/>
      <c r="AF2164" s="164"/>
      <c r="AG2164" s="164"/>
      <c r="AH2164" s="164"/>
      <c r="AI2164" s="164"/>
    </row>
    <row r="2165">
      <c r="A2165" s="176"/>
      <c r="B2165" s="177"/>
      <c r="C2165" s="178"/>
      <c r="D2165" s="178"/>
      <c r="E2165" s="177"/>
      <c r="F2165" s="178"/>
      <c r="G2165" s="176"/>
      <c r="H2165" s="179"/>
      <c r="I2165" s="180"/>
      <c r="J2165" s="181"/>
      <c r="K2165" s="178"/>
      <c r="L2165" s="178"/>
      <c r="M2165" s="182"/>
      <c r="N2165" s="183"/>
      <c r="O2165" s="184"/>
      <c r="P2165" s="184"/>
      <c r="Q2165" s="185"/>
      <c r="R2165" s="186"/>
      <c r="S2165" s="186"/>
      <c r="T2165" s="186"/>
      <c r="U2165" s="187"/>
      <c r="V2165" s="176"/>
      <c r="W2165" s="164"/>
      <c r="X2165" s="164"/>
      <c r="Y2165" s="164"/>
      <c r="Z2165" s="164"/>
      <c r="AA2165" s="164"/>
      <c r="AB2165" s="164"/>
      <c r="AC2165" s="164"/>
      <c r="AD2165" s="164"/>
      <c r="AE2165" s="164"/>
      <c r="AF2165" s="164"/>
      <c r="AG2165" s="164"/>
      <c r="AH2165" s="164"/>
      <c r="AI2165" s="164"/>
    </row>
    <row r="2166">
      <c r="A2166" s="176"/>
      <c r="B2166" s="177"/>
      <c r="C2166" s="178"/>
      <c r="D2166" s="178"/>
      <c r="E2166" s="177"/>
      <c r="F2166" s="178"/>
      <c r="G2166" s="176"/>
      <c r="H2166" s="179"/>
      <c r="I2166" s="180"/>
      <c r="J2166" s="181"/>
      <c r="K2166" s="178"/>
      <c r="L2166" s="178"/>
      <c r="M2166" s="182"/>
      <c r="N2166" s="183"/>
      <c r="O2166" s="184"/>
      <c r="P2166" s="184"/>
      <c r="Q2166" s="185"/>
      <c r="R2166" s="186"/>
      <c r="S2166" s="186"/>
      <c r="T2166" s="186"/>
      <c r="U2166" s="187"/>
      <c r="V2166" s="176"/>
      <c r="W2166" s="164"/>
      <c r="X2166" s="164"/>
      <c r="Y2166" s="164"/>
      <c r="Z2166" s="164"/>
      <c r="AA2166" s="164"/>
      <c r="AB2166" s="164"/>
      <c r="AC2166" s="164"/>
      <c r="AD2166" s="164"/>
      <c r="AE2166" s="164"/>
      <c r="AF2166" s="164"/>
      <c r="AG2166" s="164"/>
      <c r="AH2166" s="164"/>
      <c r="AI2166" s="164"/>
    </row>
    <row r="2167">
      <c r="A2167" s="176"/>
      <c r="B2167" s="177"/>
      <c r="C2167" s="178"/>
      <c r="D2167" s="178"/>
      <c r="E2167" s="177"/>
      <c r="F2167" s="178"/>
      <c r="G2167" s="176"/>
      <c r="H2167" s="179"/>
      <c r="I2167" s="180"/>
      <c r="J2167" s="181"/>
      <c r="K2167" s="178"/>
      <c r="L2167" s="178"/>
      <c r="M2167" s="182"/>
      <c r="N2167" s="183"/>
      <c r="O2167" s="184"/>
      <c r="P2167" s="184"/>
      <c r="Q2167" s="185"/>
      <c r="R2167" s="186"/>
      <c r="S2167" s="186"/>
      <c r="T2167" s="186"/>
      <c r="U2167" s="187"/>
      <c r="V2167" s="176"/>
      <c r="W2167" s="164"/>
      <c r="X2167" s="164"/>
      <c r="Y2167" s="164"/>
      <c r="Z2167" s="164"/>
      <c r="AA2167" s="164"/>
      <c r="AB2167" s="164"/>
      <c r="AC2167" s="164"/>
      <c r="AD2167" s="164"/>
      <c r="AE2167" s="164"/>
      <c r="AF2167" s="164"/>
      <c r="AG2167" s="164"/>
      <c r="AH2167" s="164"/>
      <c r="AI2167" s="164"/>
    </row>
    <row r="2168">
      <c r="A2168" s="176"/>
      <c r="B2168" s="177"/>
      <c r="C2168" s="178"/>
      <c r="D2168" s="178"/>
      <c r="E2168" s="177"/>
      <c r="F2168" s="178"/>
      <c r="G2168" s="176"/>
      <c r="H2168" s="179"/>
      <c r="I2168" s="180"/>
      <c r="J2168" s="181"/>
      <c r="K2168" s="178"/>
      <c r="L2168" s="178"/>
      <c r="M2168" s="182"/>
      <c r="N2168" s="183"/>
      <c r="O2168" s="184"/>
      <c r="P2168" s="184"/>
      <c r="Q2168" s="185"/>
      <c r="R2168" s="186"/>
      <c r="S2168" s="186"/>
      <c r="T2168" s="186"/>
      <c r="U2168" s="187"/>
      <c r="V2168" s="176"/>
      <c r="W2168" s="164"/>
      <c r="X2168" s="164"/>
      <c r="Y2168" s="164"/>
      <c r="Z2168" s="164"/>
      <c r="AA2168" s="164"/>
      <c r="AB2168" s="164"/>
      <c r="AC2168" s="164"/>
      <c r="AD2168" s="164"/>
      <c r="AE2168" s="164"/>
      <c r="AF2168" s="164"/>
      <c r="AG2168" s="164"/>
      <c r="AH2168" s="164"/>
      <c r="AI2168" s="164"/>
    </row>
    <row r="2169">
      <c r="A2169" s="176"/>
      <c r="B2169" s="177"/>
      <c r="C2169" s="178"/>
      <c r="D2169" s="178"/>
      <c r="E2169" s="177"/>
      <c r="F2169" s="178"/>
      <c r="G2169" s="176"/>
      <c r="H2169" s="179"/>
      <c r="I2169" s="180"/>
      <c r="J2169" s="181"/>
      <c r="K2169" s="178"/>
      <c r="L2169" s="178"/>
      <c r="M2169" s="182"/>
      <c r="N2169" s="183"/>
      <c r="O2169" s="184"/>
      <c r="P2169" s="184"/>
      <c r="Q2169" s="185"/>
      <c r="R2169" s="186"/>
      <c r="S2169" s="186"/>
      <c r="T2169" s="186"/>
      <c r="U2169" s="187"/>
      <c r="V2169" s="176"/>
      <c r="W2169" s="164"/>
      <c r="X2169" s="164"/>
      <c r="Y2169" s="164"/>
      <c r="Z2169" s="164"/>
      <c r="AA2169" s="164"/>
      <c r="AB2169" s="164"/>
      <c r="AC2169" s="164"/>
      <c r="AD2169" s="164"/>
      <c r="AE2169" s="164"/>
      <c r="AF2169" s="164"/>
      <c r="AG2169" s="164"/>
      <c r="AH2169" s="164"/>
      <c r="AI2169" s="164"/>
    </row>
    <row r="2170">
      <c r="A2170" s="176"/>
      <c r="B2170" s="177"/>
      <c r="C2170" s="178"/>
      <c r="D2170" s="178"/>
      <c r="E2170" s="177"/>
      <c r="F2170" s="178"/>
      <c r="G2170" s="176"/>
      <c r="H2170" s="179"/>
      <c r="I2170" s="180"/>
      <c r="J2170" s="181"/>
      <c r="K2170" s="178"/>
      <c r="L2170" s="178"/>
      <c r="M2170" s="182"/>
      <c r="N2170" s="183"/>
      <c r="O2170" s="184"/>
      <c r="P2170" s="184"/>
      <c r="Q2170" s="185"/>
      <c r="R2170" s="186"/>
      <c r="S2170" s="186"/>
      <c r="T2170" s="186"/>
      <c r="U2170" s="187"/>
      <c r="V2170" s="176"/>
      <c r="W2170" s="164"/>
      <c r="X2170" s="164"/>
      <c r="Y2170" s="164"/>
      <c r="Z2170" s="164"/>
      <c r="AA2170" s="164"/>
      <c r="AB2170" s="164"/>
      <c r="AC2170" s="164"/>
      <c r="AD2170" s="164"/>
      <c r="AE2170" s="164"/>
      <c r="AF2170" s="164"/>
      <c r="AG2170" s="164"/>
      <c r="AH2170" s="164"/>
      <c r="AI2170" s="164"/>
    </row>
    <row r="2171">
      <c r="A2171" s="176"/>
      <c r="B2171" s="177"/>
      <c r="C2171" s="178"/>
      <c r="D2171" s="178"/>
      <c r="E2171" s="177"/>
      <c r="F2171" s="178"/>
      <c r="G2171" s="176"/>
      <c r="H2171" s="179"/>
      <c r="I2171" s="180"/>
      <c r="J2171" s="181"/>
      <c r="K2171" s="178"/>
      <c r="L2171" s="178"/>
      <c r="M2171" s="182"/>
      <c r="N2171" s="183"/>
      <c r="O2171" s="184"/>
      <c r="P2171" s="184"/>
      <c r="Q2171" s="185"/>
      <c r="R2171" s="186"/>
      <c r="S2171" s="186"/>
      <c r="T2171" s="186"/>
      <c r="U2171" s="187"/>
      <c r="V2171" s="176"/>
      <c r="W2171" s="164"/>
      <c r="X2171" s="164"/>
      <c r="Y2171" s="164"/>
      <c r="Z2171" s="164"/>
      <c r="AA2171" s="164"/>
      <c r="AB2171" s="164"/>
      <c r="AC2171" s="164"/>
      <c r="AD2171" s="164"/>
      <c r="AE2171" s="164"/>
      <c r="AF2171" s="164"/>
      <c r="AG2171" s="164"/>
      <c r="AH2171" s="164"/>
      <c r="AI2171" s="164"/>
    </row>
    <row r="2172">
      <c r="A2172" s="176"/>
      <c r="B2172" s="177"/>
      <c r="C2172" s="178"/>
      <c r="D2172" s="178"/>
      <c r="E2172" s="177"/>
      <c r="F2172" s="178"/>
      <c r="G2172" s="176"/>
      <c r="H2172" s="179"/>
      <c r="I2172" s="180"/>
      <c r="J2172" s="181"/>
      <c r="K2172" s="178"/>
      <c r="L2172" s="178"/>
      <c r="M2172" s="182"/>
      <c r="N2172" s="183"/>
      <c r="O2172" s="184"/>
      <c r="P2172" s="184"/>
      <c r="Q2172" s="185"/>
      <c r="R2172" s="186"/>
      <c r="S2172" s="186"/>
      <c r="T2172" s="186"/>
      <c r="U2172" s="187"/>
      <c r="V2172" s="176"/>
      <c r="W2172" s="164"/>
      <c r="X2172" s="164"/>
      <c r="Y2172" s="164"/>
      <c r="Z2172" s="164"/>
      <c r="AA2172" s="164"/>
      <c r="AB2172" s="164"/>
      <c r="AC2172" s="164"/>
      <c r="AD2172" s="164"/>
      <c r="AE2172" s="164"/>
      <c r="AF2172" s="164"/>
      <c r="AG2172" s="164"/>
      <c r="AH2172" s="164"/>
      <c r="AI2172" s="164"/>
    </row>
    <row r="2173">
      <c r="A2173" s="176"/>
      <c r="B2173" s="177"/>
      <c r="C2173" s="178"/>
      <c r="D2173" s="178"/>
      <c r="E2173" s="177"/>
      <c r="F2173" s="178"/>
      <c r="G2173" s="176"/>
      <c r="H2173" s="179"/>
      <c r="I2173" s="180"/>
      <c r="J2173" s="181"/>
      <c r="K2173" s="178"/>
      <c r="L2173" s="178"/>
      <c r="M2173" s="182"/>
      <c r="N2173" s="183"/>
      <c r="O2173" s="184"/>
      <c r="P2173" s="184"/>
      <c r="Q2173" s="185"/>
      <c r="R2173" s="186"/>
      <c r="S2173" s="186"/>
      <c r="T2173" s="186"/>
      <c r="U2173" s="187"/>
      <c r="V2173" s="176"/>
      <c r="W2173" s="164"/>
      <c r="X2173" s="164"/>
      <c r="Y2173" s="164"/>
      <c r="Z2173" s="164"/>
      <c r="AA2173" s="164"/>
      <c r="AB2173" s="164"/>
      <c r="AC2173" s="164"/>
      <c r="AD2173" s="164"/>
      <c r="AE2173" s="164"/>
      <c r="AF2173" s="164"/>
      <c r="AG2173" s="164"/>
      <c r="AH2173" s="164"/>
      <c r="AI2173" s="164"/>
    </row>
    <row r="2174">
      <c r="A2174" s="176"/>
      <c r="B2174" s="177"/>
      <c r="C2174" s="178"/>
      <c r="D2174" s="178"/>
      <c r="E2174" s="177"/>
      <c r="F2174" s="178"/>
      <c r="G2174" s="176"/>
      <c r="H2174" s="179"/>
      <c r="I2174" s="180"/>
      <c r="J2174" s="181"/>
      <c r="K2174" s="178"/>
      <c r="L2174" s="178"/>
      <c r="M2174" s="182"/>
      <c r="N2174" s="183"/>
      <c r="O2174" s="184"/>
      <c r="P2174" s="184"/>
      <c r="Q2174" s="185"/>
      <c r="R2174" s="186"/>
      <c r="S2174" s="186"/>
      <c r="T2174" s="186"/>
      <c r="U2174" s="187"/>
      <c r="V2174" s="176"/>
      <c r="W2174" s="164"/>
      <c r="X2174" s="164"/>
      <c r="Y2174" s="164"/>
      <c r="Z2174" s="164"/>
      <c r="AA2174" s="164"/>
      <c r="AB2174" s="164"/>
      <c r="AC2174" s="164"/>
      <c r="AD2174" s="164"/>
      <c r="AE2174" s="164"/>
      <c r="AF2174" s="164"/>
      <c r="AG2174" s="164"/>
      <c r="AH2174" s="164"/>
      <c r="AI2174" s="164"/>
    </row>
    <row r="2175">
      <c r="A2175" s="176"/>
      <c r="B2175" s="177"/>
      <c r="C2175" s="178"/>
      <c r="D2175" s="178"/>
      <c r="E2175" s="177"/>
      <c r="F2175" s="178"/>
      <c r="G2175" s="176"/>
      <c r="H2175" s="179"/>
      <c r="I2175" s="180"/>
      <c r="J2175" s="181"/>
      <c r="K2175" s="178"/>
      <c r="L2175" s="178"/>
      <c r="M2175" s="182"/>
      <c r="N2175" s="183"/>
      <c r="O2175" s="184"/>
      <c r="P2175" s="184"/>
      <c r="Q2175" s="185"/>
      <c r="R2175" s="186"/>
      <c r="S2175" s="186"/>
      <c r="T2175" s="186"/>
      <c r="U2175" s="187"/>
      <c r="V2175" s="176"/>
      <c r="W2175" s="164"/>
      <c r="X2175" s="164"/>
      <c r="Y2175" s="164"/>
      <c r="Z2175" s="164"/>
      <c r="AA2175" s="164"/>
      <c r="AB2175" s="164"/>
      <c r="AC2175" s="164"/>
      <c r="AD2175" s="164"/>
      <c r="AE2175" s="164"/>
      <c r="AF2175" s="164"/>
      <c r="AG2175" s="164"/>
      <c r="AH2175" s="164"/>
      <c r="AI2175" s="164"/>
    </row>
    <row r="2176">
      <c r="A2176" s="176"/>
      <c r="B2176" s="177"/>
      <c r="C2176" s="178"/>
      <c r="D2176" s="178"/>
      <c r="E2176" s="177"/>
      <c r="F2176" s="178"/>
      <c r="G2176" s="176"/>
      <c r="H2176" s="179"/>
      <c r="I2176" s="180"/>
      <c r="J2176" s="181"/>
      <c r="K2176" s="178"/>
      <c r="L2176" s="178"/>
      <c r="M2176" s="182"/>
      <c r="N2176" s="183"/>
      <c r="O2176" s="184"/>
      <c r="P2176" s="184"/>
      <c r="Q2176" s="185"/>
      <c r="R2176" s="186"/>
      <c r="S2176" s="186"/>
      <c r="T2176" s="186"/>
      <c r="U2176" s="187"/>
      <c r="V2176" s="176"/>
      <c r="W2176" s="164"/>
      <c r="X2176" s="164"/>
      <c r="Y2176" s="164"/>
      <c r="Z2176" s="164"/>
      <c r="AA2176" s="164"/>
      <c r="AB2176" s="164"/>
      <c r="AC2176" s="164"/>
      <c r="AD2176" s="164"/>
      <c r="AE2176" s="164"/>
      <c r="AF2176" s="164"/>
      <c r="AG2176" s="164"/>
      <c r="AH2176" s="164"/>
      <c r="AI2176" s="164"/>
    </row>
    <row r="2177">
      <c r="A2177" s="176"/>
      <c r="B2177" s="177"/>
      <c r="C2177" s="178"/>
      <c r="D2177" s="178"/>
      <c r="E2177" s="177"/>
      <c r="F2177" s="178"/>
      <c r="G2177" s="176"/>
      <c r="H2177" s="179"/>
      <c r="I2177" s="180"/>
      <c r="J2177" s="181"/>
      <c r="K2177" s="178"/>
      <c r="L2177" s="178"/>
      <c r="M2177" s="182"/>
      <c r="N2177" s="183"/>
      <c r="O2177" s="184"/>
      <c r="P2177" s="184"/>
      <c r="Q2177" s="185"/>
      <c r="R2177" s="186"/>
      <c r="S2177" s="186"/>
      <c r="T2177" s="186"/>
      <c r="U2177" s="187"/>
      <c r="V2177" s="176"/>
      <c r="W2177" s="164"/>
      <c r="X2177" s="164"/>
      <c r="Y2177" s="164"/>
      <c r="Z2177" s="164"/>
      <c r="AA2177" s="164"/>
      <c r="AB2177" s="164"/>
      <c r="AC2177" s="164"/>
      <c r="AD2177" s="164"/>
      <c r="AE2177" s="164"/>
      <c r="AF2177" s="164"/>
      <c r="AG2177" s="164"/>
      <c r="AH2177" s="164"/>
      <c r="AI2177" s="164"/>
    </row>
    <row r="2178">
      <c r="A2178" s="176"/>
      <c r="B2178" s="177"/>
      <c r="C2178" s="178"/>
      <c r="D2178" s="178"/>
      <c r="E2178" s="177"/>
      <c r="F2178" s="178"/>
      <c r="G2178" s="176"/>
      <c r="H2178" s="179"/>
      <c r="I2178" s="180"/>
      <c r="J2178" s="181"/>
      <c r="K2178" s="178"/>
      <c r="L2178" s="178"/>
      <c r="M2178" s="182"/>
      <c r="N2178" s="183"/>
      <c r="O2178" s="184"/>
      <c r="P2178" s="184"/>
      <c r="Q2178" s="185"/>
      <c r="R2178" s="186"/>
      <c r="S2178" s="186"/>
      <c r="T2178" s="186"/>
      <c r="U2178" s="187"/>
      <c r="V2178" s="176"/>
      <c r="W2178" s="164"/>
      <c r="X2178" s="164"/>
      <c r="Y2178" s="164"/>
      <c r="Z2178" s="164"/>
      <c r="AA2178" s="164"/>
      <c r="AB2178" s="164"/>
      <c r="AC2178" s="164"/>
      <c r="AD2178" s="164"/>
      <c r="AE2178" s="164"/>
      <c r="AF2178" s="164"/>
      <c r="AG2178" s="164"/>
      <c r="AH2178" s="164"/>
      <c r="AI2178" s="164"/>
    </row>
    <row r="2179">
      <c r="A2179" s="176"/>
      <c r="B2179" s="177"/>
      <c r="C2179" s="178"/>
      <c r="D2179" s="178"/>
      <c r="E2179" s="177"/>
      <c r="F2179" s="178"/>
      <c r="G2179" s="176"/>
      <c r="H2179" s="179"/>
      <c r="I2179" s="180"/>
      <c r="J2179" s="181"/>
      <c r="K2179" s="178"/>
      <c r="L2179" s="178"/>
      <c r="M2179" s="182"/>
      <c r="N2179" s="183"/>
      <c r="O2179" s="184"/>
      <c r="P2179" s="184"/>
      <c r="Q2179" s="185"/>
      <c r="R2179" s="186"/>
      <c r="S2179" s="186"/>
      <c r="T2179" s="186"/>
      <c r="U2179" s="187"/>
      <c r="V2179" s="176"/>
      <c r="W2179" s="164"/>
      <c r="X2179" s="164"/>
      <c r="Y2179" s="164"/>
      <c r="Z2179" s="164"/>
      <c r="AA2179" s="164"/>
      <c r="AB2179" s="164"/>
      <c r="AC2179" s="164"/>
      <c r="AD2179" s="164"/>
      <c r="AE2179" s="164"/>
      <c r="AF2179" s="164"/>
      <c r="AG2179" s="164"/>
      <c r="AH2179" s="164"/>
      <c r="AI2179" s="164"/>
    </row>
    <row r="2180">
      <c r="A2180" s="176"/>
      <c r="B2180" s="177"/>
      <c r="C2180" s="178"/>
      <c r="D2180" s="178"/>
      <c r="E2180" s="177"/>
      <c r="F2180" s="178"/>
      <c r="G2180" s="176"/>
      <c r="H2180" s="179"/>
      <c r="I2180" s="180"/>
      <c r="J2180" s="181"/>
      <c r="K2180" s="178"/>
      <c r="L2180" s="178"/>
      <c r="M2180" s="182"/>
      <c r="N2180" s="183"/>
      <c r="O2180" s="184"/>
      <c r="P2180" s="184"/>
      <c r="Q2180" s="185"/>
      <c r="R2180" s="186"/>
      <c r="S2180" s="186"/>
      <c r="T2180" s="186"/>
      <c r="U2180" s="187"/>
      <c r="V2180" s="176"/>
      <c r="W2180" s="164"/>
      <c r="X2180" s="164"/>
      <c r="Y2180" s="164"/>
      <c r="Z2180" s="164"/>
      <c r="AA2180" s="164"/>
      <c r="AB2180" s="164"/>
      <c r="AC2180" s="164"/>
      <c r="AD2180" s="164"/>
      <c r="AE2180" s="164"/>
      <c r="AF2180" s="164"/>
      <c r="AG2180" s="164"/>
      <c r="AH2180" s="164"/>
      <c r="AI2180" s="164"/>
    </row>
    <row r="2181">
      <c r="A2181" s="176"/>
      <c r="B2181" s="177"/>
      <c r="C2181" s="178"/>
      <c r="D2181" s="178"/>
      <c r="E2181" s="177"/>
      <c r="F2181" s="178"/>
      <c r="G2181" s="176"/>
      <c r="H2181" s="179"/>
      <c r="I2181" s="180"/>
      <c r="J2181" s="181"/>
      <c r="K2181" s="178"/>
      <c r="L2181" s="178"/>
      <c r="M2181" s="182"/>
      <c r="N2181" s="183"/>
      <c r="O2181" s="184"/>
      <c r="P2181" s="184"/>
      <c r="Q2181" s="185"/>
      <c r="R2181" s="186"/>
      <c r="S2181" s="186"/>
      <c r="T2181" s="186"/>
      <c r="U2181" s="187"/>
      <c r="V2181" s="176"/>
      <c r="W2181" s="175"/>
      <c r="X2181" s="175"/>
      <c r="Y2181" s="175"/>
      <c r="Z2181" s="175"/>
      <c r="AA2181" s="175"/>
      <c r="AB2181" s="175"/>
      <c r="AC2181" s="175"/>
      <c r="AD2181" s="175"/>
      <c r="AE2181" s="175"/>
      <c r="AF2181" s="175"/>
      <c r="AG2181" s="175"/>
      <c r="AH2181" s="175"/>
      <c r="AI2181" s="175"/>
    </row>
    <row r="2182">
      <c r="A2182" s="176"/>
      <c r="B2182" s="177"/>
      <c r="C2182" s="178"/>
      <c r="D2182" s="178"/>
      <c r="E2182" s="177"/>
      <c r="F2182" s="178"/>
      <c r="G2182" s="176"/>
      <c r="H2182" s="179"/>
      <c r="I2182" s="180"/>
      <c r="J2182" s="181"/>
      <c r="K2182" s="178"/>
      <c r="L2182" s="178"/>
      <c r="M2182" s="182"/>
      <c r="N2182" s="183"/>
      <c r="O2182" s="184"/>
      <c r="P2182" s="184"/>
      <c r="Q2182" s="185"/>
      <c r="R2182" s="186"/>
      <c r="S2182" s="186"/>
      <c r="T2182" s="186"/>
      <c r="U2182" s="187"/>
      <c r="V2182" s="176"/>
      <c r="W2182" s="175"/>
      <c r="X2182" s="175"/>
      <c r="Y2182" s="175"/>
      <c r="Z2182" s="175"/>
      <c r="AA2182" s="175"/>
      <c r="AB2182" s="175"/>
      <c r="AC2182" s="175"/>
      <c r="AD2182" s="175"/>
      <c r="AE2182" s="175"/>
      <c r="AF2182" s="175"/>
      <c r="AG2182" s="175"/>
      <c r="AH2182" s="175"/>
      <c r="AI2182" s="175"/>
    </row>
    <row r="2183">
      <c r="A2183" s="176"/>
      <c r="B2183" s="177"/>
      <c r="C2183" s="178"/>
      <c r="D2183" s="178"/>
      <c r="E2183" s="177"/>
      <c r="F2183" s="178"/>
      <c r="G2183" s="176"/>
      <c r="H2183" s="179"/>
      <c r="I2183" s="180"/>
      <c r="J2183" s="181"/>
      <c r="K2183" s="178"/>
      <c r="L2183" s="178"/>
      <c r="M2183" s="182"/>
      <c r="N2183" s="183"/>
      <c r="O2183" s="184"/>
      <c r="P2183" s="184"/>
      <c r="Q2183" s="185"/>
      <c r="R2183" s="186"/>
      <c r="S2183" s="186"/>
      <c r="T2183" s="186"/>
      <c r="U2183" s="187"/>
      <c r="V2183" s="176"/>
      <c r="W2183" s="188"/>
      <c r="X2183" s="188"/>
      <c r="Y2183" s="188"/>
      <c r="Z2183" s="188"/>
      <c r="AA2183" s="188"/>
      <c r="AB2183" s="188"/>
      <c r="AC2183" s="188"/>
      <c r="AD2183" s="188"/>
      <c r="AE2183" s="188"/>
      <c r="AF2183" s="188"/>
      <c r="AG2183" s="188"/>
      <c r="AH2183" s="188"/>
      <c r="AI2183" s="188"/>
    </row>
    <row r="2184">
      <c r="A2184" s="176"/>
      <c r="B2184" s="177"/>
      <c r="C2184" s="178"/>
      <c r="D2184" s="178"/>
      <c r="E2184" s="177"/>
      <c r="F2184" s="178"/>
      <c r="G2184" s="176"/>
      <c r="H2184" s="179"/>
      <c r="I2184" s="180"/>
      <c r="J2184" s="181"/>
      <c r="K2184" s="178"/>
      <c r="L2184" s="178"/>
      <c r="M2184" s="182"/>
      <c r="N2184" s="183"/>
      <c r="O2184" s="184"/>
      <c r="P2184" s="184"/>
      <c r="Q2184" s="185"/>
      <c r="R2184" s="186"/>
      <c r="S2184" s="186"/>
      <c r="T2184" s="186"/>
      <c r="U2184" s="187"/>
      <c r="V2184" s="176"/>
      <c r="W2184" s="188"/>
      <c r="X2184" s="188"/>
      <c r="Y2184" s="188"/>
      <c r="Z2184" s="188"/>
      <c r="AA2184" s="188"/>
      <c r="AB2184" s="188"/>
      <c r="AC2184" s="188"/>
      <c r="AD2184" s="188"/>
      <c r="AE2184" s="188"/>
      <c r="AF2184" s="188"/>
      <c r="AG2184" s="188"/>
      <c r="AH2184" s="188"/>
      <c r="AI2184" s="188"/>
    </row>
    <row r="2185">
      <c r="A2185" s="176"/>
      <c r="B2185" s="177"/>
      <c r="C2185" s="178"/>
      <c r="D2185" s="178"/>
      <c r="E2185" s="177"/>
      <c r="F2185" s="178"/>
      <c r="G2185" s="176"/>
      <c r="H2185" s="179"/>
      <c r="I2185" s="180"/>
      <c r="J2185" s="181"/>
      <c r="K2185" s="178"/>
      <c r="L2185" s="178"/>
      <c r="M2185" s="182"/>
      <c r="N2185" s="183"/>
      <c r="O2185" s="184"/>
      <c r="P2185" s="184"/>
      <c r="Q2185" s="185"/>
      <c r="R2185" s="186"/>
      <c r="S2185" s="186"/>
      <c r="T2185" s="162"/>
      <c r="U2185" s="163"/>
      <c r="V2185" s="154"/>
      <c r="W2185" s="164"/>
      <c r="X2185" s="164"/>
      <c r="Y2185" s="164"/>
      <c r="Z2185" s="164"/>
      <c r="AA2185" s="164"/>
      <c r="AB2185" s="164"/>
      <c r="AC2185" s="164"/>
      <c r="AD2185" s="164"/>
      <c r="AE2185" s="164"/>
      <c r="AF2185" s="164"/>
      <c r="AG2185" s="164"/>
      <c r="AH2185" s="164"/>
      <c r="AI2185" s="164"/>
    </row>
    <row r="2186">
      <c r="A2186" s="176"/>
      <c r="B2186" s="177"/>
      <c r="C2186" s="178"/>
      <c r="D2186" s="178"/>
      <c r="E2186" s="177"/>
      <c r="F2186" s="178"/>
      <c r="G2186" s="176"/>
      <c r="H2186" s="179"/>
      <c r="I2186" s="180"/>
      <c r="J2186" s="181"/>
      <c r="K2186" s="178"/>
      <c r="L2186" s="178"/>
      <c r="M2186" s="182"/>
      <c r="N2186" s="183"/>
      <c r="O2186" s="184"/>
      <c r="P2186" s="184"/>
      <c r="Q2186" s="185"/>
      <c r="R2186" s="186"/>
      <c r="S2186" s="186"/>
      <c r="T2186" s="162"/>
      <c r="U2186" s="163"/>
      <c r="V2186" s="216"/>
      <c r="W2186" s="164"/>
      <c r="X2186" s="164"/>
      <c r="Y2186" s="164"/>
      <c r="Z2186" s="164"/>
      <c r="AA2186" s="164"/>
      <c r="AB2186" s="164"/>
      <c r="AC2186" s="164"/>
      <c r="AD2186" s="164"/>
      <c r="AE2186" s="164"/>
      <c r="AF2186" s="164"/>
      <c r="AG2186" s="164"/>
      <c r="AH2186" s="164"/>
      <c r="AI2186" s="164"/>
    </row>
    <row r="2187">
      <c r="A2187" s="176"/>
      <c r="B2187" s="177"/>
      <c r="C2187" s="178"/>
      <c r="D2187" s="178"/>
      <c r="E2187" s="177"/>
      <c r="F2187" s="178"/>
      <c r="G2187" s="176"/>
      <c r="H2187" s="179"/>
      <c r="I2187" s="180"/>
      <c r="J2187" s="181"/>
      <c r="K2187" s="178"/>
      <c r="L2187" s="178"/>
      <c r="M2187" s="182"/>
      <c r="N2187" s="183"/>
      <c r="O2187" s="184"/>
      <c r="P2187" s="184"/>
      <c r="Q2187" s="185"/>
      <c r="R2187" s="186"/>
      <c r="S2187" s="186"/>
      <c r="T2187" s="186"/>
      <c r="U2187" s="187"/>
      <c r="V2187" s="176"/>
      <c r="W2187" s="164"/>
      <c r="X2187" s="164"/>
      <c r="Y2187" s="164"/>
      <c r="Z2187" s="164"/>
      <c r="AA2187" s="164"/>
      <c r="AB2187" s="164"/>
      <c r="AC2187" s="164"/>
      <c r="AD2187" s="164"/>
      <c r="AE2187" s="164"/>
      <c r="AF2187" s="164"/>
      <c r="AG2187" s="164"/>
      <c r="AH2187" s="164"/>
      <c r="AI2187" s="164"/>
    </row>
    <row r="2188">
      <c r="A2188" s="176"/>
      <c r="B2188" s="177"/>
      <c r="C2188" s="178"/>
      <c r="D2188" s="178"/>
      <c r="E2188" s="177"/>
      <c r="F2188" s="178"/>
      <c r="G2188" s="176"/>
      <c r="H2188" s="179"/>
      <c r="I2188" s="180"/>
      <c r="J2188" s="181"/>
      <c r="K2188" s="178"/>
      <c r="L2188" s="178"/>
      <c r="M2188" s="182"/>
      <c r="N2188" s="183"/>
      <c r="O2188" s="184"/>
      <c r="P2188" s="184"/>
      <c r="Q2188" s="185"/>
      <c r="R2188" s="186"/>
      <c r="S2188" s="186"/>
      <c r="T2188" s="186"/>
      <c r="U2188" s="187"/>
      <c r="V2188" s="176"/>
      <c r="W2188" s="164"/>
      <c r="X2188" s="164"/>
      <c r="Y2188" s="164"/>
      <c r="Z2188" s="164"/>
      <c r="AA2188" s="164"/>
      <c r="AB2188" s="164"/>
      <c r="AC2188" s="164"/>
      <c r="AD2188" s="164"/>
      <c r="AE2188" s="164"/>
      <c r="AF2188" s="164"/>
      <c r="AG2188" s="164"/>
      <c r="AH2188" s="164"/>
      <c r="AI2188" s="164"/>
    </row>
    <row r="2189">
      <c r="A2189" s="176"/>
      <c r="B2189" s="177"/>
      <c r="C2189" s="178"/>
      <c r="D2189" s="178"/>
      <c r="E2189" s="177"/>
      <c r="F2189" s="178"/>
      <c r="G2189" s="176"/>
      <c r="H2189" s="179"/>
      <c r="I2189" s="180"/>
      <c r="J2189" s="181"/>
      <c r="K2189" s="178"/>
      <c r="L2189" s="178"/>
      <c r="M2189" s="182"/>
      <c r="N2189" s="183"/>
      <c r="O2189" s="184"/>
      <c r="P2189" s="184"/>
      <c r="Q2189" s="185"/>
      <c r="R2189" s="186"/>
      <c r="S2189" s="186"/>
      <c r="T2189" s="186"/>
      <c r="U2189" s="187"/>
      <c r="V2189" s="176"/>
      <c r="W2189" s="164"/>
      <c r="X2189" s="164"/>
      <c r="Y2189" s="164"/>
      <c r="Z2189" s="164"/>
      <c r="AA2189" s="164"/>
      <c r="AB2189" s="164"/>
      <c r="AC2189" s="164"/>
      <c r="AD2189" s="164"/>
      <c r="AE2189" s="164"/>
      <c r="AF2189" s="164"/>
      <c r="AG2189" s="164"/>
      <c r="AH2189" s="164"/>
      <c r="AI2189" s="164"/>
    </row>
    <row r="2190">
      <c r="A2190" s="176"/>
      <c r="B2190" s="177"/>
      <c r="C2190" s="178"/>
      <c r="D2190" s="178"/>
      <c r="E2190" s="177"/>
      <c r="F2190" s="178"/>
      <c r="G2190" s="176"/>
      <c r="H2190" s="179"/>
      <c r="I2190" s="180"/>
      <c r="J2190" s="181"/>
      <c r="K2190" s="178"/>
      <c r="L2190" s="178"/>
      <c r="M2190" s="182"/>
      <c r="N2190" s="183"/>
      <c r="O2190" s="184"/>
      <c r="P2190" s="184"/>
      <c r="Q2190" s="185"/>
      <c r="R2190" s="186"/>
      <c r="S2190" s="186"/>
      <c r="T2190" s="186"/>
      <c r="U2190" s="187"/>
      <c r="V2190" s="176"/>
      <c r="W2190" s="164"/>
      <c r="X2190" s="164"/>
      <c r="Y2190" s="164"/>
      <c r="Z2190" s="164"/>
      <c r="AA2190" s="164"/>
      <c r="AB2190" s="164"/>
      <c r="AC2190" s="164"/>
      <c r="AD2190" s="164"/>
      <c r="AE2190" s="164"/>
      <c r="AF2190" s="164"/>
      <c r="AG2190" s="164"/>
      <c r="AH2190" s="164"/>
      <c r="AI2190" s="164"/>
    </row>
    <row r="2191">
      <c r="A2191" s="176"/>
      <c r="B2191" s="177"/>
      <c r="C2191" s="178"/>
      <c r="D2191" s="178"/>
      <c r="E2191" s="177"/>
      <c r="F2191" s="178"/>
      <c r="G2191" s="176"/>
      <c r="H2191" s="179"/>
      <c r="I2191" s="180"/>
      <c r="J2191" s="181"/>
      <c r="K2191" s="178"/>
      <c r="L2191" s="178"/>
      <c r="M2191" s="182"/>
      <c r="N2191" s="183"/>
      <c r="O2191" s="184"/>
      <c r="P2191" s="184"/>
      <c r="Q2191" s="185"/>
      <c r="R2191" s="186"/>
      <c r="S2191" s="186"/>
      <c r="T2191" s="186"/>
      <c r="U2191" s="187"/>
      <c r="V2191" s="176"/>
      <c r="W2191" s="164"/>
      <c r="X2191" s="164"/>
      <c r="Y2191" s="164"/>
      <c r="Z2191" s="164"/>
      <c r="AA2191" s="164"/>
      <c r="AB2191" s="164"/>
      <c r="AC2191" s="164"/>
      <c r="AD2191" s="164"/>
      <c r="AE2191" s="164"/>
      <c r="AF2191" s="164"/>
      <c r="AG2191" s="164"/>
      <c r="AH2191" s="164"/>
      <c r="AI2191" s="164"/>
    </row>
    <row r="2192">
      <c r="A2192" s="176"/>
      <c r="B2192" s="177"/>
      <c r="C2192" s="178"/>
      <c r="D2192" s="178"/>
      <c r="E2192" s="177"/>
      <c r="F2192" s="178"/>
      <c r="G2192" s="176"/>
      <c r="H2192" s="179"/>
      <c r="I2192" s="180"/>
      <c r="J2192" s="181"/>
      <c r="K2192" s="178"/>
      <c r="L2192" s="178"/>
      <c r="M2192" s="182"/>
      <c r="N2192" s="183"/>
      <c r="O2192" s="184"/>
      <c r="P2192" s="184"/>
      <c r="Q2192" s="185"/>
      <c r="R2192" s="186"/>
      <c r="S2192" s="186"/>
      <c r="T2192" s="186"/>
      <c r="U2192" s="187"/>
      <c r="V2192" s="176"/>
      <c r="W2192" s="164"/>
      <c r="X2192" s="164"/>
      <c r="Y2192" s="164"/>
      <c r="Z2192" s="164"/>
      <c r="AA2192" s="164"/>
      <c r="AB2192" s="164"/>
      <c r="AC2192" s="164"/>
      <c r="AD2192" s="164"/>
      <c r="AE2192" s="164"/>
      <c r="AF2192" s="164"/>
      <c r="AG2192" s="164"/>
      <c r="AH2192" s="164"/>
      <c r="AI2192" s="164"/>
    </row>
    <row r="2193">
      <c r="A2193" s="176"/>
      <c r="B2193" s="177"/>
      <c r="C2193" s="178"/>
      <c r="D2193" s="178"/>
      <c r="E2193" s="177"/>
      <c r="F2193" s="178"/>
      <c r="G2193" s="176"/>
      <c r="H2193" s="179"/>
      <c r="I2193" s="180"/>
      <c r="J2193" s="181"/>
      <c r="K2193" s="178"/>
      <c r="L2193" s="178"/>
      <c r="M2193" s="182"/>
      <c r="N2193" s="183"/>
      <c r="O2193" s="184"/>
      <c r="P2193" s="184"/>
      <c r="Q2193" s="185"/>
      <c r="R2193" s="186"/>
      <c r="S2193" s="186"/>
      <c r="T2193" s="186"/>
      <c r="U2193" s="187"/>
      <c r="V2193" s="176"/>
      <c r="W2193" s="164"/>
      <c r="X2193" s="164"/>
      <c r="Y2193" s="164"/>
      <c r="Z2193" s="164"/>
      <c r="AA2193" s="164"/>
      <c r="AB2193" s="164"/>
      <c r="AC2193" s="164"/>
      <c r="AD2193" s="164"/>
      <c r="AE2193" s="164"/>
      <c r="AF2193" s="164"/>
      <c r="AG2193" s="164"/>
      <c r="AH2193" s="164"/>
      <c r="AI2193" s="164"/>
    </row>
    <row r="2194">
      <c r="A2194" s="176"/>
      <c r="B2194" s="177"/>
      <c r="C2194" s="178"/>
      <c r="D2194" s="178"/>
      <c r="E2194" s="177"/>
      <c r="F2194" s="178"/>
      <c r="G2194" s="176"/>
      <c r="H2194" s="179"/>
      <c r="I2194" s="180"/>
      <c r="J2194" s="181"/>
      <c r="K2194" s="178"/>
      <c r="L2194" s="178"/>
      <c r="M2194" s="182"/>
      <c r="N2194" s="183"/>
      <c r="O2194" s="184"/>
      <c r="P2194" s="184"/>
      <c r="Q2194" s="185"/>
      <c r="R2194" s="186"/>
      <c r="S2194" s="186"/>
      <c r="T2194" s="186"/>
      <c r="U2194" s="187"/>
      <c r="V2194" s="176"/>
      <c r="W2194" s="164"/>
      <c r="X2194" s="164"/>
      <c r="Y2194" s="164"/>
      <c r="Z2194" s="164"/>
      <c r="AA2194" s="164"/>
      <c r="AB2194" s="164"/>
      <c r="AC2194" s="164"/>
      <c r="AD2194" s="164"/>
      <c r="AE2194" s="164"/>
      <c r="AF2194" s="164"/>
      <c r="AG2194" s="164"/>
      <c r="AH2194" s="164"/>
      <c r="AI2194" s="164"/>
    </row>
    <row r="2195">
      <c r="A2195" s="176"/>
      <c r="B2195" s="177"/>
      <c r="C2195" s="178"/>
      <c r="D2195" s="178"/>
      <c r="E2195" s="177"/>
      <c r="F2195" s="178"/>
      <c r="G2195" s="176"/>
      <c r="H2195" s="179"/>
      <c r="I2195" s="180"/>
      <c r="J2195" s="181"/>
      <c r="K2195" s="178"/>
      <c r="L2195" s="178"/>
      <c r="M2195" s="182"/>
      <c r="N2195" s="183"/>
      <c r="O2195" s="184"/>
      <c r="P2195" s="184"/>
      <c r="Q2195" s="185"/>
      <c r="R2195" s="186"/>
      <c r="S2195" s="186"/>
      <c r="T2195" s="186"/>
      <c r="U2195" s="187"/>
      <c r="V2195" s="176"/>
      <c r="W2195" s="164"/>
      <c r="X2195" s="164"/>
      <c r="Y2195" s="164"/>
      <c r="Z2195" s="164"/>
      <c r="AA2195" s="164"/>
      <c r="AB2195" s="164"/>
      <c r="AC2195" s="164"/>
      <c r="AD2195" s="164"/>
      <c r="AE2195" s="164"/>
      <c r="AF2195" s="164"/>
      <c r="AG2195" s="164"/>
      <c r="AH2195" s="164"/>
      <c r="AI2195" s="164"/>
    </row>
    <row r="2196">
      <c r="A2196" s="176"/>
      <c r="B2196" s="177"/>
      <c r="C2196" s="178"/>
      <c r="D2196" s="178"/>
      <c r="E2196" s="177"/>
      <c r="F2196" s="178"/>
      <c r="G2196" s="176"/>
      <c r="H2196" s="179"/>
      <c r="I2196" s="180"/>
      <c r="J2196" s="181"/>
      <c r="K2196" s="178"/>
      <c r="L2196" s="178"/>
      <c r="M2196" s="182"/>
      <c r="N2196" s="183"/>
      <c r="O2196" s="184"/>
      <c r="P2196" s="184"/>
      <c r="Q2196" s="185"/>
      <c r="R2196" s="186"/>
      <c r="S2196" s="186"/>
      <c r="T2196" s="186"/>
      <c r="U2196" s="187"/>
      <c r="V2196" s="176"/>
      <c r="W2196" s="164"/>
      <c r="X2196" s="164"/>
      <c r="Y2196" s="164"/>
      <c r="Z2196" s="164"/>
      <c r="AA2196" s="164"/>
      <c r="AB2196" s="164"/>
      <c r="AC2196" s="164"/>
      <c r="AD2196" s="164"/>
      <c r="AE2196" s="164"/>
      <c r="AF2196" s="164"/>
      <c r="AG2196" s="164"/>
      <c r="AH2196" s="164"/>
      <c r="AI2196" s="164"/>
    </row>
    <row r="2197">
      <c r="A2197" s="176"/>
      <c r="B2197" s="177"/>
      <c r="C2197" s="178"/>
      <c r="D2197" s="178"/>
      <c r="E2197" s="177"/>
      <c r="F2197" s="178"/>
      <c r="G2197" s="176"/>
      <c r="H2197" s="179"/>
      <c r="I2197" s="180"/>
      <c r="J2197" s="181"/>
      <c r="K2197" s="178"/>
      <c r="L2197" s="178"/>
      <c r="M2197" s="182"/>
      <c r="N2197" s="183"/>
      <c r="O2197" s="184"/>
      <c r="P2197" s="184"/>
      <c r="Q2197" s="185"/>
      <c r="R2197" s="186"/>
      <c r="S2197" s="186"/>
      <c r="T2197" s="186"/>
      <c r="U2197" s="187"/>
      <c r="V2197" s="176"/>
      <c r="W2197" s="164"/>
      <c r="X2197" s="164"/>
      <c r="Y2197" s="164"/>
      <c r="Z2197" s="164"/>
      <c r="AA2197" s="164"/>
      <c r="AB2197" s="164"/>
      <c r="AC2197" s="164"/>
      <c r="AD2197" s="164"/>
      <c r="AE2197" s="164"/>
      <c r="AF2197" s="164"/>
      <c r="AG2197" s="164"/>
      <c r="AH2197" s="164"/>
      <c r="AI2197" s="164"/>
    </row>
    <row r="2198">
      <c r="A2198" s="176"/>
      <c r="B2198" s="177"/>
      <c r="C2198" s="178"/>
      <c r="D2198" s="178"/>
      <c r="E2198" s="177"/>
      <c r="F2198" s="178"/>
      <c r="G2198" s="176"/>
      <c r="H2198" s="179"/>
      <c r="I2198" s="180"/>
      <c r="J2198" s="181"/>
      <c r="K2198" s="178"/>
      <c r="L2198" s="178"/>
      <c r="M2198" s="182"/>
      <c r="N2198" s="183"/>
      <c r="O2198" s="184"/>
      <c r="P2198" s="184"/>
      <c r="Q2198" s="185"/>
      <c r="R2198" s="186"/>
      <c r="S2198" s="186"/>
      <c r="T2198" s="186"/>
      <c r="U2198" s="187"/>
      <c r="V2198" s="176"/>
      <c r="W2198" s="164"/>
      <c r="X2198" s="164"/>
      <c r="Y2198" s="164"/>
      <c r="Z2198" s="164"/>
      <c r="AA2198" s="164"/>
      <c r="AB2198" s="164"/>
      <c r="AC2198" s="164"/>
      <c r="AD2198" s="164"/>
      <c r="AE2198" s="164"/>
      <c r="AF2198" s="164"/>
      <c r="AG2198" s="164"/>
      <c r="AH2198" s="164"/>
      <c r="AI2198" s="164"/>
    </row>
    <row r="2199">
      <c r="A2199" s="176"/>
      <c r="B2199" s="177"/>
      <c r="C2199" s="178"/>
      <c r="D2199" s="178"/>
      <c r="E2199" s="177"/>
      <c r="F2199" s="178"/>
      <c r="G2199" s="176"/>
      <c r="H2199" s="179"/>
      <c r="I2199" s="180"/>
      <c r="J2199" s="181"/>
      <c r="K2199" s="178"/>
      <c r="L2199" s="178"/>
      <c r="M2199" s="182"/>
      <c r="N2199" s="183"/>
      <c r="O2199" s="184"/>
      <c r="P2199" s="184"/>
      <c r="Q2199" s="185"/>
      <c r="R2199" s="186"/>
      <c r="S2199" s="186"/>
      <c r="T2199" s="186"/>
      <c r="U2199" s="187"/>
      <c r="V2199" s="176"/>
      <c r="W2199" s="164"/>
      <c r="X2199" s="164"/>
      <c r="Y2199" s="164"/>
      <c r="Z2199" s="164"/>
      <c r="AA2199" s="164"/>
      <c r="AB2199" s="164"/>
      <c r="AC2199" s="164"/>
      <c r="AD2199" s="164"/>
      <c r="AE2199" s="164"/>
      <c r="AF2199" s="164"/>
      <c r="AG2199" s="164"/>
      <c r="AH2199" s="164"/>
      <c r="AI2199" s="164"/>
    </row>
    <row r="2200">
      <c r="A2200" s="176"/>
      <c r="B2200" s="177"/>
      <c r="C2200" s="178"/>
      <c r="D2200" s="178"/>
      <c r="E2200" s="177"/>
      <c r="F2200" s="178"/>
      <c r="G2200" s="176"/>
      <c r="H2200" s="179"/>
      <c r="I2200" s="180"/>
      <c r="J2200" s="181"/>
      <c r="K2200" s="178"/>
      <c r="L2200" s="178"/>
      <c r="M2200" s="182"/>
      <c r="N2200" s="183"/>
      <c r="O2200" s="184"/>
      <c r="P2200" s="184"/>
      <c r="Q2200" s="185"/>
      <c r="R2200" s="186"/>
      <c r="S2200" s="186"/>
      <c r="T2200" s="186"/>
      <c r="U2200" s="187"/>
      <c r="V2200" s="176"/>
      <c r="W2200" s="164"/>
      <c r="X2200" s="164"/>
      <c r="Y2200" s="164"/>
      <c r="Z2200" s="164"/>
      <c r="AA2200" s="164"/>
      <c r="AB2200" s="164"/>
      <c r="AC2200" s="164"/>
      <c r="AD2200" s="164"/>
      <c r="AE2200" s="164"/>
      <c r="AF2200" s="164"/>
      <c r="AG2200" s="164"/>
      <c r="AH2200" s="164"/>
      <c r="AI2200" s="164"/>
    </row>
    <row r="2201">
      <c r="A2201" s="176"/>
      <c r="B2201" s="177"/>
      <c r="C2201" s="178"/>
      <c r="D2201" s="178"/>
      <c r="E2201" s="177"/>
      <c r="F2201" s="178"/>
      <c r="G2201" s="176"/>
      <c r="H2201" s="179"/>
      <c r="I2201" s="180"/>
      <c r="J2201" s="181"/>
      <c r="K2201" s="178"/>
      <c r="L2201" s="178"/>
      <c r="M2201" s="182"/>
      <c r="N2201" s="183"/>
      <c r="O2201" s="184"/>
      <c r="P2201" s="184"/>
      <c r="Q2201" s="185"/>
      <c r="R2201" s="186"/>
      <c r="S2201" s="186"/>
      <c r="T2201" s="186"/>
      <c r="U2201" s="187"/>
      <c r="V2201" s="176"/>
      <c r="W2201" s="164"/>
      <c r="X2201" s="164"/>
      <c r="Y2201" s="164"/>
      <c r="Z2201" s="164"/>
      <c r="AA2201" s="164"/>
      <c r="AB2201" s="164"/>
      <c r="AC2201" s="164"/>
      <c r="AD2201" s="164"/>
      <c r="AE2201" s="164"/>
      <c r="AF2201" s="164"/>
      <c r="AG2201" s="164"/>
      <c r="AH2201" s="164"/>
      <c r="AI2201" s="164"/>
    </row>
    <row r="2202">
      <c r="A2202" s="176"/>
      <c r="B2202" s="177"/>
      <c r="C2202" s="178"/>
      <c r="D2202" s="178"/>
      <c r="E2202" s="177"/>
      <c r="F2202" s="178"/>
      <c r="G2202" s="176"/>
      <c r="H2202" s="179"/>
      <c r="I2202" s="180"/>
      <c r="J2202" s="181"/>
      <c r="K2202" s="178"/>
      <c r="L2202" s="178"/>
      <c r="M2202" s="182"/>
      <c r="N2202" s="183"/>
      <c r="O2202" s="184"/>
      <c r="P2202" s="184"/>
      <c r="Q2202" s="185"/>
      <c r="R2202" s="186"/>
      <c r="S2202" s="186"/>
      <c r="T2202" s="186"/>
      <c r="U2202" s="187"/>
      <c r="V2202" s="176"/>
      <c r="W2202" s="164"/>
      <c r="X2202" s="164"/>
      <c r="Y2202" s="164"/>
      <c r="Z2202" s="164"/>
      <c r="AA2202" s="164"/>
      <c r="AB2202" s="164"/>
      <c r="AC2202" s="164"/>
      <c r="AD2202" s="164"/>
      <c r="AE2202" s="164"/>
      <c r="AF2202" s="164"/>
      <c r="AG2202" s="164"/>
      <c r="AH2202" s="164"/>
      <c r="AI2202" s="164"/>
    </row>
    <row r="2203">
      <c r="A2203" s="176"/>
      <c r="B2203" s="177"/>
      <c r="C2203" s="178"/>
      <c r="D2203" s="178"/>
      <c r="E2203" s="177"/>
      <c r="F2203" s="178"/>
      <c r="G2203" s="176"/>
      <c r="H2203" s="179"/>
      <c r="I2203" s="180"/>
      <c r="J2203" s="181"/>
      <c r="K2203" s="178"/>
      <c r="L2203" s="178"/>
      <c r="M2203" s="182"/>
      <c r="N2203" s="183"/>
      <c r="O2203" s="184"/>
      <c r="P2203" s="184"/>
      <c r="Q2203" s="185"/>
      <c r="R2203" s="186"/>
      <c r="S2203" s="186"/>
      <c r="T2203" s="186"/>
      <c r="U2203" s="187"/>
      <c r="V2203" s="176"/>
      <c r="W2203" s="164"/>
      <c r="X2203" s="164"/>
      <c r="Y2203" s="164"/>
      <c r="Z2203" s="164"/>
      <c r="AA2203" s="164"/>
      <c r="AB2203" s="164"/>
      <c r="AC2203" s="164"/>
      <c r="AD2203" s="164"/>
      <c r="AE2203" s="164"/>
      <c r="AF2203" s="164"/>
      <c r="AG2203" s="164"/>
      <c r="AH2203" s="164"/>
      <c r="AI2203" s="164"/>
    </row>
    <row r="2204">
      <c r="A2204" s="176"/>
      <c r="B2204" s="177"/>
      <c r="C2204" s="178"/>
      <c r="D2204" s="178"/>
      <c r="E2204" s="177"/>
      <c r="F2204" s="178"/>
      <c r="G2204" s="176"/>
      <c r="H2204" s="179"/>
      <c r="I2204" s="180"/>
      <c r="J2204" s="181"/>
      <c r="K2204" s="178"/>
      <c r="L2204" s="178"/>
      <c r="M2204" s="182"/>
      <c r="N2204" s="183"/>
      <c r="O2204" s="184"/>
      <c r="P2204" s="184"/>
      <c r="Q2204" s="185"/>
      <c r="R2204" s="186"/>
      <c r="S2204" s="186"/>
      <c r="T2204" s="162"/>
      <c r="U2204" s="163"/>
      <c r="V2204" s="243"/>
      <c r="W2204" s="164"/>
      <c r="X2204" s="164"/>
      <c r="Y2204" s="164"/>
      <c r="Z2204" s="164"/>
      <c r="AA2204" s="164"/>
      <c r="AB2204" s="164"/>
      <c r="AC2204" s="164"/>
      <c r="AD2204" s="164"/>
      <c r="AE2204" s="164"/>
      <c r="AF2204" s="164"/>
      <c r="AG2204" s="164"/>
      <c r="AH2204" s="164"/>
      <c r="AI2204" s="164"/>
    </row>
    <row r="2205">
      <c r="A2205" s="176"/>
      <c r="B2205" s="177"/>
      <c r="C2205" s="178"/>
      <c r="D2205" s="178"/>
      <c r="E2205" s="177"/>
      <c r="F2205" s="178"/>
      <c r="G2205" s="176"/>
      <c r="H2205" s="179"/>
      <c r="I2205" s="180"/>
      <c r="J2205" s="181"/>
      <c r="K2205" s="178"/>
      <c r="L2205" s="178"/>
      <c r="M2205" s="182"/>
      <c r="N2205" s="183"/>
      <c r="O2205" s="184"/>
      <c r="P2205" s="184"/>
      <c r="Q2205" s="185"/>
      <c r="R2205" s="186"/>
      <c r="S2205" s="186"/>
      <c r="T2205" s="186"/>
      <c r="U2205" s="187"/>
      <c r="V2205" s="176"/>
      <c r="W2205" s="164"/>
      <c r="X2205" s="164"/>
      <c r="Y2205" s="164"/>
      <c r="Z2205" s="164"/>
      <c r="AA2205" s="164"/>
      <c r="AB2205" s="164"/>
      <c r="AC2205" s="164"/>
      <c r="AD2205" s="164"/>
      <c r="AE2205" s="164"/>
      <c r="AF2205" s="164"/>
      <c r="AG2205" s="164"/>
      <c r="AH2205" s="164"/>
      <c r="AI2205" s="164"/>
    </row>
    <row r="2206">
      <c r="A2206" s="176"/>
      <c r="B2206" s="177"/>
      <c r="C2206" s="178"/>
      <c r="D2206" s="178"/>
      <c r="E2206" s="177"/>
      <c r="F2206" s="178"/>
      <c r="G2206" s="176"/>
      <c r="H2206" s="179"/>
      <c r="I2206" s="180"/>
      <c r="J2206" s="181"/>
      <c r="K2206" s="178"/>
      <c r="L2206" s="178"/>
      <c r="M2206" s="182"/>
      <c r="N2206" s="183"/>
      <c r="O2206" s="184"/>
      <c r="P2206" s="184"/>
      <c r="Q2206" s="185"/>
      <c r="R2206" s="186"/>
      <c r="S2206" s="186"/>
      <c r="T2206" s="186"/>
      <c r="U2206" s="187"/>
      <c r="V2206" s="176"/>
      <c r="W2206" s="164"/>
      <c r="X2206" s="164"/>
      <c r="Y2206" s="164"/>
      <c r="Z2206" s="164"/>
      <c r="AA2206" s="164"/>
      <c r="AB2206" s="164"/>
      <c r="AC2206" s="164"/>
      <c r="AD2206" s="164"/>
      <c r="AE2206" s="164"/>
      <c r="AF2206" s="164"/>
      <c r="AG2206" s="164"/>
      <c r="AH2206" s="164"/>
      <c r="AI2206" s="164"/>
    </row>
    <row r="2207">
      <c r="A2207" s="176"/>
      <c r="B2207" s="177"/>
      <c r="C2207" s="178"/>
      <c r="D2207" s="178"/>
      <c r="E2207" s="177"/>
      <c r="F2207" s="178"/>
      <c r="G2207" s="176"/>
      <c r="H2207" s="179"/>
      <c r="I2207" s="180"/>
      <c r="J2207" s="181"/>
      <c r="K2207" s="178"/>
      <c r="L2207" s="178"/>
      <c r="M2207" s="182"/>
      <c r="N2207" s="183"/>
      <c r="O2207" s="184"/>
      <c r="P2207" s="184"/>
      <c r="Q2207" s="185"/>
      <c r="R2207" s="186"/>
      <c r="S2207" s="186"/>
      <c r="T2207" s="186"/>
      <c r="U2207" s="187"/>
      <c r="V2207" s="176"/>
      <c r="W2207" s="164"/>
      <c r="X2207" s="164"/>
      <c r="Y2207" s="164"/>
      <c r="Z2207" s="164"/>
      <c r="AA2207" s="164"/>
      <c r="AB2207" s="164"/>
      <c r="AC2207" s="164"/>
      <c r="AD2207" s="164"/>
      <c r="AE2207" s="164"/>
      <c r="AF2207" s="164"/>
      <c r="AG2207" s="164"/>
      <c r="AH2207" s="164"/>
      <c r="AI2207" s="164"/>
    </row>
    <row r="2208">
      <c r="A2208" s="176"/>
      <c r="B2208" s="177"/>
      <c r="C2208" s="178"/>
      <c r="D2208" s="178"/>
      <c r="E2208" s="177"/>
      <c r="F2208" s="178"/>
      <c r="G2208" s="176"/>
      <c r="H2208" s="179"/>
      <c r="I2208" s="180"/>
      <c r="J2208" s="181"/>
      <c r="K2208" s="178"/>
      <c r="L2208" s="178"/>
      <c r="M2208" s="182"/>
      <c r="N2208" s="183"/>
      <c r="O2208" s="184"/>
      <c r="P2208" s="184"/>
      <c r="Q2208" s="185"/>
      <c r="R2208" s="186"/>
      <c r="S2208" s="186"/>
      <c r="T2208" s="186"/>
      <c r="U2208" s="187"/>
      <c r="V2208" s="176"/>
      <c r="W2208" s="164"/>
      <c r="X2208" s="164"/>
      <c r="Y2208" s="164"/>
      <c r="Z2208" s="164"/>
      <c r="AA2208" s="164"/>
      <c r="AB2208" s="164"/>
      <c r="AC2208" s="164"/>
      <c r="AD2208" s="164"/>
      <c r="AE2208" s="164"/>
      <c r="AF2208" s="164"/>
      <c r="AG2208" s="164"/>
      <c r="AH2208" s="164"/>
      <c r="AI2208" s="164"/>
    </row>
    <row r="2209">
      <c r="A2209" s="176"/>
      <c r="B2209" s="177"/>
      <c r="C2209" s="178"/>
      <c r="D2209" s="178"/>
      <c r="E2209" s="177"/>
      <c r="F2209" s="178"/>
      <c r="G2209" s="176"/>
      <c r="H2209" s="179"/>
      <c r="I2209" s="180"/>
      <c r="J2209" s="181"/>
      <c r="K2209" s="178"/>
      <c r="L2209" s="178"/>
      <c r="M2209" s="182"/>
      <c r="N2209" s="183"/>
      <c r="O2209" s="184"/>
      <c r="P2209" s="184"/>
      <c r="Q2209" s="185"/>
      <c r="R2209" s="186"/>
      <c r="S2209" s="186"/>
      <c r="T2209" s="186"/>
      <c r="U2209" s="187"/>
      <c r="V2209" s="176"/>
      <c r="W2209" s="164"/>
      <c r="X2209" s="164"/>
      <c r="Y2209" s="164"/>
      <c r="Z2209" s="164"/>
      <c r="AA2209" s="164"/>
      <c r="AB2209" s="164"/>
      <c r="AC2209" s="164"/>
      <c r="AD2209" s="164"/>
      <c r="AE2209" s="164"/>
      <c r="AF2209" s="164"/>
      <c r="AG2209" s="164"/>
      <c r="AH2209" s="164"/>
      <c r="AI2209" s="164"/>
    </row>
    <row r="2210">
      <c r="A2210" s="176"/>
      <c r="B2210" s="177"/>
      <c r="C2210" s="178"/>
      <c r="D2210" s="178"/>
      <c r="E2210" s="177"/>
      <c r="F2210" s="178"/>
      <c r="G2210" s="176"/>
      <c r="H2210" s="179"/>
      <c r="I2210" s="180"/>
      <c r="J2210" s="181"/>
      <c r="K2210" s="178"/>
      <c r="L2210" s="178"/>
      <c r="M2210" s="182"/>
      <c r="N2210" s="183"/>
      <c r="O2210" s="184"/>
      <c r="P2210" s="184"/>
      <c r="Q2210" s="185"/>
      <c r="R2210" s="186"/>
      <c r="S2210" s="186"/>
      <c r="T2210" s="186"/>
      <c r="U2210" s="187"/>
      <c r="V2210" s="176"/>
      <c r="W2210" s="164"/>
      <c r="X2210" s="164"/>
      <c r="Y2210" s="164"/>
      <c r="Z2210" s="164"/>
      <c r="AA2210" s="164"/>
      <c r="AB2210" s="164"/>
      <c r="AC2210" s="164"/>
      <c r="AD2210" s="164"/>
      <c r="AE2210" s="164"/>
      <c r="AF2210" s="164"/>
      <c r="AG2210" s="164"/>
      <c r="AH2210" s="164"/>
      <c r="AI2210" s="164"/>
    </row>
    <row r="2211">
      <c r="A2211" s="176"/>
      <c r="B2211" s="177"/>
      <c r="C2211" s="178"/>
      <c r="D2211" s="178"/>
      <c r="E2211" s="177"/>
      <c r="F2211" s="178"/>
      <c r="G2211" s="176"/>
      <c r="H2211" s="179"/>
      <c r="I2211" s="180"/>
      <c r="J2211" s="181"/>
      <c r="K2211" s="178"/>
      <c r="L2211" s="178"/>
      <c r="M2211" s="182"/>
      <c r="N2211" s="183"/>
      <c r="O2211" s="184"/>
      <c r="P2211" s="184"/>
      <c r="Q2211" s="185"/>
      <c r="R2211" s="186"/>
      <c r="S2211" s="186"/>
      <c r="T2211" s="186"/>
      <c r="U2211" s="187"/>
      <c r="V2211" s="176"/>
      <c r="W2211" s="164"/>
      <c r="X2211" s="164"/>
      <c r="Y2211" s="164"/>
      <c r="Z2211" s="164"/>
      <c r="AA2211" s="164"/>
      <c r="AB2211" s="164"/>
      <c r="AC2211" s="164"/>
      <c r="AD2211" s="164"/>
      <c r="AE2211" s="164"/>
      <c r="AF2211" s="164"/>
      <c r="AG2211" s="164"/>
      <c r="AH2211" s="164"/>
      <c r="AI2211" s="164"/>
    </row>
    <row r="2212">
      <c r="A2212" s="176"/>
      <c r="B2212" s="177"/>
      <c r="C2212" s="178"/>
      <c r="D2212" s="178"/>
      <c r="E2212" s="177"/>
      <c r="F2212" s="178"/>
      <c r="G2212" s="176"/>
      <c r="H2212" s="179"/>
      <c r="I2212" s="180"/>
      <c r="J2212" s="181"/>
      <c r="K2212" s="178"/>
      <c r="L2212" s="178"/>
      <c r="M2212" s="182"/>
      <c r="N2212" s="183"/>
      <c r="O2212" s="184"/>
      <c r="P2212" s="184"/>
      <c r="Q2212" s="185"/>
      <c r="R2212" s="186"/>
      <c r="S2212" s="186"/>
      <c r="T2212" s="186"/>
      <c r="U2212" s="187"/>
      <c r="V2212" s="176"/>
      <c r="W2212" s="164"/>
      <c r="X2212" s="164"/>
      <c r="Y2212" s="164"/>
      <c r="Z2212" s="164"/>
      <c r="AA2212" s="164"/>
      <c r="AB2212" s="164"/>
      <c r="AC2212" s="164"/>
      <c r="AD2212" s="164"/>
      <c r="AE2212" s="164"/>
      <c r="AF2212" s="164"/>
      <c r="AG2212" s="164"/>
      <c r="AH2212" s="164"/>
      <c r="AI2212" s="164"/>
    </row>
    <row r="2213">
      <c r="A2213" s="176"/>
      <c r="B2213" s="177"/>
      <c r="C2213" s="178"/>
      <c r="D2213" s="178"/>
      <c r="E2213" s="177"/>
      <c r="F2213" s="178"/>
      <c r="G2213" s="176"/>
      <c r="H2213" s="179"/>
      <c r="I2213" s="180"/>
      <c r="J2213" s="181"/>
      <c r="K2213" s="178"/>
      <c r="L2213" s="178"/>
      <c r="M2213" s="182"/>
      <c r="N2213" s="183"/>
      <c r="O2213" s="184"/>
      <c r="P2213" s="184"/>
      <c r="Q2213" s="185"/>
      <c r="R2213" s="186"/>
      <c r="S2213" s="186"/>
      <c r="T2213" s="186"/>
      <c r="U2213" s="187"/>
      <c r="V2213" s="176"/>
      <c r="W2213" s="164"/>
      <c r="X2213" s="164"/>
      <c r="Y2213" s="164"/>
      <c r="Z2213" s="164"/>
      <c r="AA2213" s="164"/>
      <c r="AB2213" s="164"/>
      <c r="AC2213" s="164"/>
      <c r="AD2213" s="164"/>
      <c r="AE2213" s="164"/>
      <c r="AF2213" s="164"/>
      <c r="AG2213" s="164"/>
      <c r="AH2213" s="164"/>
      <c r="AI2213" s="164"/>
    </row>
    <row r="2214">
      <c r="A2214" s="176"/>
      <c r="B2214" s="177"/>
      <c r="C2214" s="178"/>
      <c r="D2214" s="178"/>
      <c r="E2214" s="177"/>
      <c r="F2214" s="178"/>
      <c r="G2214" s="176"/>
      <c r="H2214" s="179"/>
      <c r="I2214" s="180"/>
      <c r="J2214" s="181"/>
      <c r="K2214" s="178"/>
      <c r="L2214" s="178"/>
      <c r="M2214" s="182"/>
      <c r="N2214" s="183"/>
      <c r="O2214" s="184"/>
      <c r="P2214" s="184"/>
      <c r="Q2214" s="185"/>
      <c r="R2214" s="186"/>
      <c r="S2214" s="186"/>
      <c r="T2214" s="186"/>
      <c r="U2214" s="187"/>
      <c r="V2214" s="176"/>
      <c r="W2214" s="164"/>
      <c r="X2214" s="164"/>
      <c r="Y2214" s="164"/>
      <c r="Z2214" s="164"/>
      <c r="AA2214" s="164"/>
      <c r="AB2214" s="164"/>
      <c r="AC2214" s="164"/>
      <c r="AD2214" s="164"/>
      <c r="AE2214" s="164"/>
      <c r="AF2214" s="164"/>
      <c r="AG2214" s="164"/>
      <c r="AH2214" s="164"/>
      <c r="AI2214" s="164"/>
    </row>
    <row r="2215">
      <c r="A2215" s="176"/>
      <c r="B2215" s="177"/>
      <c r="C2215" s="178"/>
      <c r="D2215" s="178"/>
      <c r="E2215" s="177"/>
      <c r="F2215" s="178"/>
      <c r="G2215" s="176"/>
      <c r="H2215" s="179"/>
      <c r="I2215" s="180"/>
      <c r="J2215" s="181"/>
      <c r="K2215" s="178"/>
      <c r="L2215" s="178"/>
      <c r="M2215" s="182"/>
      <c r="N2215" s="183"/>
      <c r="O2215" s="184"/>
      <c r="P2215" s="184"/>
      <c r="Q2215" s="185"/>
      <c r="R2215" s="186"/>
      <c r="S2215" s="186"/>
      <c r="T2215" s="186"/>
      <c r="U2215" s="187"/>
      <c r="V2215" s="176"/>
      <c r="W2215" s="164"/>
      <c r="X2215" s="164"/>
      <c r="Y2215" s="164"/>
      <c r="Z2215" s="164"/>
      <c r="AA2215" s="164"/>
      <c r="AB2215" s="164"/>
      <c r="AC2215" s="164"/>
      <c r="AD2215" s="164"/>
      <c r="AE2215" s="164"/>
      <c r="AF2215" s="164"/>
      <c r="AG2215" s="164"/>
      <c r="AH2215" s="164"/>
      <c r="AI2215" s="164"/>
    </row>
    <row r="2216">
      <c r="A2216" s="176"/>
      <c r="B2216" s="177"/>
      <c r="C2216" s="178"/>
      <c r="D2216" s="178"/>
      <c r="E2216" s="177"/>
      <c r="F2216" s="178"/>
      <c r="G2216" s="176"/>
      <c r="H2216" s="179"/>
      <c r="I2216" s="180"/>
      <c r="J2216" s="181"/>
      <c r="K2216" s="178"/>
      <c r="L2216" s="178"/>
      <c r="M2216" s="182"/>
      <c r="N2216" s="183"/>
      <c r="O2216" s="184"/>
      <c r="P2216" s="184"/>
      <c r="Q2216" s="185"/>
      <c r="R2216" s="186"/>
      <c r="S2216" s="186"/>
      <c r="T2216" s="186"/>
      <c r="U2216" s="187"/>
      <c r="V2216" s="176"/>
      <c r="W2216" s="164"/>
      <c r="X2216" s="164"/>
      <c r="Y2216" s="164"/>
      <c r="Z2216" s="164"/>
      <c r="AA2216" s="164"/>
      <c r="AB2216" s="164"/>
      <c r="AC2216" s="164"/>
      <c r="AD2216" s="164"/>
      <c r="AE2216" s="164"/>
      <c r="AF2216" s="164"/>
      <c r="AG2216" s="164"/>
      <c r="AH2216" s="164"/>
      <c r="AI2216" s="164"/>
    </row>
    <row r="2217">
      <c r="A2217" s="176"/>
      <c r="B2217" s="177"/>
      <c r="C2217" s="178"/>
      <c r="D2217" s="178"/>
      <c r="E2217" s="177"/>
      <c r="F2217" s="178"/>
      <c r="G2217" s="176"/>
      <c r="H2217" s="179"/>
      <c r="I2217" s="180"/>
      <c r="J2217" s="181"/>
      <c r="K2217" s="178"/>
      <c r="L2217" s="178"/>
      <c r="M2217" s="182"/>
      <c r="N2217" s="183"/>
      <c r="O2217" s="184"/>
      <c r="P2217" s="184"/>
      <c r="Q2217" s="185"/>
      <c r="R2217" s="186"/>
      <c r="S2217" s="186"/>
      <c r="T2217" s="186"/>
      <c r="U2217" s="187"/>
      <c r="V2217" s="176"/>
      <c r="W2217" s="164"/>
      <c r="X2217" s="164"/>
      <c r="Y2217" s="164"/>
      <c r="Z2217" s="164"/>
      <c r="AA2217" s="164"/>
      <c r="AB2217" s="164"/>
      <c r="AC2217" s="164"/>
      <c r="AD2217" s="164"/>
      <c r="AE2217" s="164"/>
      <c r="AF2217" s="164"/>
      <c r="AG2217" s="164"/>
      <c r="AH2217" s="164"/>
      <c r="AI2217" s="164"/>
    </row>
    <row r="2218">
      <c r="A2218" s="176"/>
      <c r="B2218" s="177"/>
      <c r="C2218" s="178"/>
      <c r="D2218" s="178"/>
      <c r="E2218" s="177"/>
      <c r="F2218" s="178"/>
      <c r="G2218" s="176"/>
      <c r="H2218" s="179"/>
      <c r="I2218" s="180"/>
      <c r="J2218" s="181"/>
      <c r="K2218" s="178"/>
      <c r="L2218" s="178"/>
      <c r="M2218" s="182"/>
      <c r="N2218" s="183"/>
      <c r="O2218" s="184"/>
      <c r="P2218" s="184"/>
      <c r="Q2218" s="185"/>
      <c r="R2218" s="186"/>
      <c r="S2218" s="186"/>
      <c r="T2218" s="162"/>
      <c r="U2218" s="163"/>
      <c r="V2218" s="154"/>
      <c r="W2218" s="164"/>
      <c r="X2218" s="164"/>
      <c r="Y2218" s="164"/>
      <c r="Z2218" s="164"/>
      <c r="AA2218" s="164"/>
      <c r="AB2218" s="164"/>
      <c r="AC2218" s="164"/>
      <c r="AD2218" s="164"/>
      <c r="AE2218" s="164"/>
      <c r="AF2218" s="164"/>
      <c r="AG2218" s="164"/>
      <c r="AH2218" s="164"/>
      <c r="AI2218" s="164"/>
    </row>
    <row r="2219">
      <c r="A2219" s="176"/>
      <c r="B2219" s="177"/>
      <c r="C2219" s="178"/>
      <c r="D2219" s="178"/>
      <c r="E2219" s="177"/>
      <c r="F2219" s="178"/>
      <c r="G2219" s="176"/>
      <c r="H2219" s="179"/>
      <c r="I2219" s="180"/>
      <c r="J2219" s="181"/>
      <c r="K2219" s="178"/>
      <c r="L2219" s="178"/>
      <c r="M2219" s="182"/>
      <c r="N2219" s="183"/>
      <c r="O2219" s="184"/>
      <c r="P2219" s="184"/>
      <c r="Q2219" s="185"/>
      <c r="R2219" s="186"/>
      <c r="S2219" s="186"/>
      <c r="T2219" s="186"/>
      <c r="U2219" s="187"/>
      <c r="V2219" s="176"/>
      <c r="W2219" s="164"/>
      <c r="X2219" s="164"/>
      <c r="Y2219" s="164"/>
      <c r="Z2219" s="164"/>
      <c r="AA2219" s="164"/>
      <c r="AB2219" s="164"/>
      <c r="AC2219" s="164"/>
      <c r="AD2219" s="164"/>
      <c r="AE2219" s="164"/>
      <c r="AF2219" s="164"/>
      <c r="AG2219" s="164"/>
      <c r="AH2219" s="164"/>
      <c r="AI2219" s="164"/>
    </row>
    <row r="2220">
      <c r="A2220" s="176"/>
      <c r="B2220" s="177"/>
      <c r="C2220" s="178"/>
      <c r="D2220" s="178"/>
      <c r="E2220" s="177"/>
      <c r="F2220" s="178"/>
      <c r="G2220" s="176"/>
      <c r="H2220" s="179"/>
      <c r="I2220" s="180"/>
      <c r="J2220" s="181"/>
      <c r="K2220" s="178"/>
      <c r="L2220" s="178"/>
      <c r="M2220" s="182"/>
      <c r="N2220" s="183"/>
      <c r="O2220" s="184"/>
      <c r="P2220" s="184"/>
      <c r="Q2220" s="185"/>
      <c r="R2220" s="186"/>
      <c r="S2220" s="186"/>
      <c r="T2220" s="186"/>
      <c r="U2220" s="187"/>
      <c r="V2220" s="176"/>
      <c r="W2220" s="164"/>
      <c r="X2220" s="164"/>
      <c r="Y2220" s="164"/>
      <c r="Z2220" s="164"/>
      <c r="AA2220" s="164"/>
      <c r="AB2220" s="164"/>
      <c r="AC2220" s="164"/>
      <c r="AD2220" s="164"/>
      <c r="AE2220" s="164"/>
      <c r="AF2220" s="164"/>
      <c r="AG2220" s="164"/>
      <c r="AH2220" s="164"/>
      <c r="AI2220" s="164"/>
    </row>
    <row r="2221">
      <c r="A2221" s="176"/>
      <c r="B2221" s="177"/>
      <c r="C2221" s="178"/>
      <c r="D2221" s="178"/>
      <c r="E2221" s="177"/>
      <c r="F2221" s="178"/>
      <c r="G2221" s="176"/>
      <c r="H2221" s="179"/>
      <c r="I2221" s="180"/>
      <c r="J2221" s="181"/>
      <c r="K2221" s="178"/>
      <c r="L2221" s="178"/>
      <c r="M2221" s="182"/>
      <c r="N2221" s="183"/>
      <c r="O2221" s="184"/>
      <c r="P2221" s="184"/>
      <c r="Q2221" s="185"/>
      <c r="R2221" s="186"/>
      <c r="S2221" s="186"/>
      <c r="T2221" s="186"/>
      <c r="U2221" s="187"/>
      <c r="V2221" s="176"/>
      <c r="W2221" s="164"/>
      <c r="X2221" s="164"/>
      <c r="Y2221" s="164"/>
      <c r="Z2221" s="164"/>
      <c r="AA2221" s="164"/>
      <c r="AB2221" s="164"/>
      <c r="AC2221" s="164"/>
      <c r="AD2221" s="164"/>
      <c r="AE2221" s="164"/>
      <c r="AF2221" s="164"/>
      <c r="AG2221" s="164"/>
      <c r="AH2221" s="164"/>
      <c r="AI2221" s="164"/>
    </row>
    <row r="2222">
      <c r="A2222" s="176"/>
      <c r="B2222" s="177"/>
      <c r="C2222" s="178"/>
      <c r="D2222" s="178"/>
      <c r="E2222" s="177"/>
      <c r="F2222" s="178"/>
      <c r="G2222" s="176"/>
      <c r="H2222" s="179"/>
      <c r="I2222" s="180"/>
      <c r="J2222" s="181"/>
      <c r="K2222" s="178"/>
      <c r="L2222" s="178"/>
      <c r="M2222" s="182"/>
      <c r="N2222" s="183"/>
      <c r="O2222" s="184"/>
      <c r="P2222" s="184"/>
      <c r="Q2222" s="185"/>
      <c r="R2222" s="186"/>
      <c r="S2222" s="186"/>
      <c r="T2222" s="186"/>
      <c r="U2222" s="187"/>
      <c r="V2222" s="176"/>
      <c r="W2222" s="164"/>
      <c r="X2222" s="164"/>
      <c r="Y2222" s="164"/>
      <c r="Z2222" s="164"/>
      <c r="AA2222" s="164"/>
      <c r="AB2222" s="164"/>
      <c r="AC2222" s="164"/>
      <c r="AD2222" s="164"/>
      <c r="AE2222" s="164"/>
      <c r="AF2222" s="164"/>
      <c r="AG2222" s="164"/>
      <c r="AH2222" s="164"/>
      <c r="AI2222" s="164"/>
    </row>
    <row r="2223">
      <c r="A2223" s="176"/>
      <c r="B2223" s="177"/>
      <c r="C2223" s="178"/>
      <c r="D2223" s="178"/>
      <c r="E2223" s="177"/>
      <c r="F2223" s="178"/>
      <c r="G2223" s="176"/>
      <c r="H2223" s="179"/>
      <c r="I2223" s="180"/>
      <c r="J2223" s="181"/>
      <c r="K2223" s="178"/>
      <c r="L2223" s="178"/>
      <c r="M2223" s="182"/>
      <c r="N2223" s="183"/>
      <c r="O2223" s="184"/>
      <c r="P2223" s="184"/>
      <c r="Q2223" s="185"/>
      <c r="R2223" s="186"/>
      <c r="S2223" s="186"/>
      <c r="T2223" s="186"/>
      <c r="U2223" s="187"/>
      <c r="V2223" s="176"/>
      <c r="W2223" s="164"/>
      <c r="X2223" s="164"/>
      <c r="Y2223" s="164"/>
      <c r="Z2223" s="164"/>
      <c r="AA2223" s="164"/>
      <c r="AB2223" s="164"/>
      <c r="AC2223" s="164"/>
      <c r="AD2223" s="164"/>
      <c r="AE2223" s="164"/>
      <c r="AF2223" s="164"/>
      <c r="AG2223" s="164"/>
      <c r="AH2223" s="164"/>
      <c r="AI2223" s="164"/>
    </row>
    <row r="2224">
      <c r="A2224" s="176"/>
      <c r="B2224" s="177"/>
      <c r="C2224" s="178"/>
      <c r="D2224" s="178"/>
      <c r="E2224" s="177"/>
      <c r="F2224" s="178"/>
      <c r="G2224" s="176"/>
      <c r="H2224" s="179"/>
      <c r="I2224" s="180"/>
      <c r="J2224" s="181"/>
      <c r="K2224" s="178"/>
      <c r="L2224" s="178"/>
      <c r="M2224" s="182"/>
      <c r="N2224" s="183"/>
      <c r="O2224" s="184"/>
      <c r="P2224" s="184"/>
      <c r="Q2224" s="185"/>
      <c r="R2224" s="186"/>
      <c r="S2224" s="186"/>
      <c r="T2224" s="186"/>
      <c r="U2224" s="187"/>
      <c r="V2224" s="176"/>
      <c r="W2224" s="164"/>
      <c r="X2224" s="164"/>
      <c r="Y2224" s="164"/>
      <c r="Z2224" s="164"/>
      <c r="AA2224" s="164"/>
      <c r="AB2224" s="164"/>
      <c r="AC2224" s="164"/>
      <c r="AD2224" s="164"/>
      <c r="AE2224" s="164"/>
      <c r="AF2224" s="164"/>
      <c r="AG2224" s="164"/>
      <c r="AH2224" s="164"/>
      <c r="AI2224" s="164"/>
    </row>
    <row r="2225">
      <c r="A2225" s="176"/>
      <c r="B2225" s="177"/>
      <c r="C2225" s="178"/>
      <c r="D2225" s="178"/>
      <c r="E2225" s="177"/>
      <c r="F2225" s="178"/>
      <c r="G2225" s="176"/>
      <c r="H2225" s="179"/>
      <c r="I2225" s="180"/>
      <c r="J2225" s="181"/>
      <c r="K2225" s="178"/>
      <c r="L2225" s="178"/>
      <c r="M2225" s="182"/>
      <c r="N2225" s="183"/>
      <c r="O2225" s="184"/>
      <c r="P2225" s="184"/>
      <c r="Q2225" s="185"/>
      <c r="R2225" s="186"/>
      <c r="S2225" s="186"/>
      <c r="T2225" s="186"/>
      <c r="U2225" s="187"/>
      <c r="V2225" s="176"/>
      <c r="W2225" s="164"/>
      <c r="X2225" s="164"/>
      <c r="Y2225" s="164"/>
      <c r="Z2225" s="164"/>
      <c r="AA2225" s="164"/>
      <c r="AB2225" s="164"/>
      <c r="AC2225" s="164"/>
      <c r="AD2225" s="164"/>
      <c r="AE2225" s="164"/>
      <c r="AF2225" s="164"/>
      <c r="AG2225" s="164"/>
      <c r="AH2225" s="164"/>
      <c r="AI2225" s="164"/>
    </row>
    <row r="2226">
      <c r="A2226" s="176"/>
      <c r="B2226" s="177"/>
      <c r="C2226" s="178"/>
      <c r="D2226" s="178"/>
      <c r="E2226" s="177"/>
      <c r="F2226" s="178"/>
      <c r="G2226" s="176"/>
      <c r="H2226" s="179"/>
      <c r="I2226" s="180"/>
      <c r="J2226" s="181"/>
      <c r="K2226" s="178"/>
      <c r="L2226" s="178"/>
      <c r="M2226" s="182"/>
      <c r="N2226" s="183"/>
      <c r="O2226" s="184"/>
      <c r="P2226" s="184"/>
      <c r="Q2226" s="185"/>
      <c r="R2226" s="186"/>
      <c r="S2226" s="186"/>
      <c r="T2226" s="186"/>
      <c r="U2226" s="187"/>
      <c r="V2226" s="176"/>
      <c r="W2226" s="164"/>
      <c r="X2226" s="164"/>
      <c r="Y2226" s="164"/>
      <c r="Z2226" s="164"/>
      <c r="AA2226" s="164"/>
      <c r="AB2226" s="164"/>
      <c r="AC2226" s="164"/>
      <c r="AD2226" s="164"/>
      <c r="AE2226" s="164"/>
      <c r="AF2226" s="164"/>
      <c r="AG2226" s="164"/>
      <c r="AH2226" s="164"/>
      <c r="AI2226" s="164"/>
    </row>
    <row r="2227">
      <c r="A2227" s="176"/>
      <c r="B2227" s="177"/>
      <c r="C2227" s="178"/>
      <c r="D2227" s="178"/>
      <c r="E2227" s="177"/>
      <c r="F2227" s="178"/>
      <c r="G2227" s="176"/>
      <c r="H2227" s="179"/>
      <c r="I2227" s="180"/>
      <c r="J2227" s="181"/>
      <c r="K2227" s="178"/>
      <c r="L2227" s="178"/>
      <c r="M2227" s="182"/>
      <c r="N2227" s="183"/>
      <c r="O2227" s="184"/>
      <c r="P2227" s="184"/>
      <c r="Q2227" s="185"/>
      <c r="R2227" s="186"/>
      <c r="S2227" s="186"/>
      <c r="T2227" s="186"/>
      <c r="U2227" s="187"/>
      <c r="V2227" s="176"/>
      <c r="W2227" s="164"/>
      <c r="X2227" s="164"/>
      <c r="Y2227" s="164"/>
      <c r="Z2227" s="164"/>
      <c r="AA2227" s="164"/>
      <c r="AB2227" s="164"/>
      <c r="AC2227" s="164"/>
      <c r="AD2227" s="164"/>
      <c r="AE2227" s="164"/>
      <c r="AF2227" s="164"/>
      <c r="AG2227" s="164"/>
      <c r="AH2227" s="164"/>
      <c r="AI2227" s="164"/>
    </row>
    <row r="2228">
      <c r="A2228" s="176"/>
      <c r="B2228" s="177"/>
      <c r="C2228" s="178"/>
      <c r="D2228" s="178"/>
      <c r="E2228" s="177"/>
      <c r="F2228" s="178"/>
      <c r="G2228" s="176"/>
      <c r="H2228" s="179"/>
      <c r="I2228" s="180"/>
      <c r="J2228" s="181"/>
      <c r="K2228" s="178"/>
      <c r="L2228" s="178"/>
      <c r="M2228" s="182"/>
      <c r="N2228" s="183"/>
      <c r="O2228" s="184"/>
      <c r="P2228" s="184"/>
      <c r="Q2228" s="185"/>
      <c r="R2228" s="186"/>
      <c r="S2228" s="186"/>
      <c r="T2228" s="186"/>
      <c r="U2228" s="187"/>
      <c r="V2228" s="176"/>
      <c r="W2228" s="164"/>
      <c r="X2228" s="164"/>
      <c r="Y2228" s="164"/>
      <c r="Z2228" s="164"/>
      <c r="AA2228" s="164"/>
      <c r="AB2228" s="164"/>
      <c r="AC2228" s="164"/>
      <c r="AD2228" s="164"/>
      <c r="AE2228" s="164"/>
      <c r="AF2228" s="164"/>
      <c r="AG2228" s="164"/>
      <c r="AH2228" s="164"/>
      <c r="AI2228" s="164"/>
    </row>
    <row r="2229">
      <c r="A2229" s="176"/>
      <c r="B2229" s="177"/>
      <c r="C2229" s="178"/>
      <c r="D2229" s="178"/>
      <c r="E2229" s="177"/>
      <c r="F2229" s="178"/>
      <c r="G2229" s="176"/>
      <c r="H2229" s="179"/>
      <c r="I2229" s="180"/>
      <c r="J2229" s="181"/>
      <c r="K2229" s="178"/>
      <c r="L2229" s="178"/>
      <c r="M2229" s="182"/>
      <c r="N2229" s="183"/>
      <c r="O2229" s="184"/>
      <c r="P2229" s="184"/>
      <c r="Q2229" s="185"/>
      <c r="R2229" s="186"/>
      <c r="S2229" s="186"/>
      <c r="T2229" s="186"/>
      <c r="U2229" s="187"/>
      <c r="V2229" s="176"/>
      <c r="W2229" s="164"/>
      <c r="X2229" s="164"/>
      <c r="Y2229" s="164"/>
      <c r="Z2229" s="164"/>
      <c r="AA2229" s="164"/>
      <c r="AB2229" s="164"/>
      <c r="AC2229" s="164"/>
      <c r="AD2229" s="164"/>
      <c r="AE2229" s="164"/>
      <c r="AF2229" s="164"/>
      <c r="AG2229" s="164"/>
      <c r="AH2229" s="164"/>
      <c r="AI2229" s="164"/>
    </row>
    <row r="2230">
      <c r="A2230" s="176"/>
      <c r="B2230" s="177"/>
      <c r="C2230" s="178"/>
      <c r="D2230" s="178"/>
      <c r="E2230" s="177"/>
      <c r="F2230" s="178"/>
      <c r="G2230" s="176"/>
      <c r="H2230" s="179"/>
      <c r="I2230" s="180"/>
      <c r="J2230" s="181"/>
      <c r="K2230" s="178"/>
      <c r="L2230" s="178"/>
      <c r="M2230" s="182"/>
      <c r="N2230" s="183"/>
      <c r="O2230" s="184"/>
      <c r="P2230" s="184"/>
      <c r="Q2230" s="185"/>
      <c r="R2230" s="186"/>
      <c r="S2230" s="186"/>
      <c r="T2230" s="186"/>
      <c r="U2230" s="187"/>
      <c r="V2230" s="176"/>
      <c r="W2230" s="164"/>
      <c r="X2230" s="164"/>
      <c r="Y2230" s="164"/>
      <c r="Z2230" s="164"/>
      <c r="AA2230" s="164"/>
      <c r="AB2230" s="164"/>
      <c r="AC2230" s="164"/>
      <c r="AD2230" s="164"/>
      <c r="AE2230" s="164"/>
      <c r="AF2230" s="164"/>
      <c r="AG2230" s="164"/>
      <c r="AH2230" s="164"/>
      <c r="AI2230" s="164"/>
    </row>
    <row r="2231">
      <c r="A2231" s="176"/>
      <c r="B2231" s="177"/>
      <c r="C2231" s="178"/>
      <c r="D2231" s="178"/>
      <c r="E2231" s="177"/>
      <c r="F2231" s="178"/>
      <c r="G2231" s="176"/>
      <c r="H2231" s="179"/>
      <c r="I2231" s="180"/>
      <c r="J2231" s="181"/>
      <c r="K2231" s="178"/>
      <c r="L2231" s="178"/>
      <c r="M2231" s="182"/>
      <c r="N2231" s="183"/>
      <c r="O2231" s="184"/>
      <c r="P2231" s="184"/>
      <c r="Q2231" s="185"/>
      <c r="R2231" s="186"/>
      <c r="S2231" s="186"/>
      <c r="T2231" s="186"/>
      <c r="U2231" s="187"/>
      <c r="V2231" s="176"/>
      <c r="W2231" s="164"/>
      <c r="X2231" s="164"/>
      <c r="Y2231" s="164"/>
      <c r="Z2231" s="164"/>
      <c r="AA2231" s="164"/>
      <c r="AB2231" s="164"/>
      <c r="AC2231" s="164"/>
      <c r="AD2231" s="164"/>
      <c r="AE2231" s="164"/>
      <c r="AF2231" s="164"/>
      <c r="AG2231" s="164"/>
      <c r="AH2231" s="164"/>
      <c r="AI2231" s="164"/>
    </row>
    <row r="2232">
      <c r="A2232" s="176"/>
      <c r="B2232" s="177"/>
      <c r="C2232" s="178"/>
      <c r="D2232" s="178"/>
      <c r="E2232" s="177"/>
      <c r="F2232" s="178"/>
      <c r="G2232" s="176"/>
      <c r="H2232" s="179"/>
      <c r="I2232" s="180"/>
      <c r="J2232" s="181"/>
      <c r="K2232" s="178"/>
      <c r="L2232" s="178"/>
      <c r="M2232" s="182"/>
      <c r="N2232" s="183"/>
      <c r="O2232" s="184"/>
      <c r="P2232" s="184"/>
      <c r="Q2232" s="185"/>
      <c r="R2232" s="186"/>
      <c r="S2232" s="186"/>
      <c r="T2232" s="186"/>
      <c r="U2232" s="187"/>
      <c r="V2232" s="176"/>
      <c r="W2232" s="164"/>
      <c r="X2232" s="164"/>
      <c r="Y2232" s="164"/>
      <c r="Z2232" s="164"/>
      <c r="AA2232" s="164"/>
      <c r="AB2232" s="164"/>
      <c r="AC2232" s="164"/>
      <c r="AD2232" s="164"/>
      <c r="AE2232" s="164"/>
      <c r="AF2232" s="164"/>
      <c r="AG2232" s="164"/>
      <c r="AH2232" s="164"/>
      <c r="AI2232" s="164"/>
    </row>
    <row r="2233">
      <c r="A2233" s="176"/>
      <c r="B2233" s="177"/>
      <c r="C2233" s="178"/>
      <c r="D2233" s="178"/>
      <c r="E2233" s="177"/>
      <c r="F2233" s="178"/>
      <c r="G2233" s="176"/>
      <c r="H2233" s="179"/>
      <c r="I2233" s="180"/>
      <c r="J2233" s="181"/>
      <c r="K2233" s="178"/>
      <c r="L2233" s="178"/>
      <c r="M2233" s="182"/>
      <c r="N2233" s="183"/>
      <c r="O2233" s="184"/>
      <c r="P2233" s="184"/>
      <c r="Q2233" s="185"/>
      <c r="R2233" s="186"/>
      <c r="S2233" s="186"/>
      <c r="T2233" s="186"/>
      <c r="U2233" s="187"/>
      <c r="V2233" s="176"/>
      <c r="W2233" s="164"/>
      <c r="X2233" s="164"/>
      <c r="Y2233" s="164"/>
      <c r="Z2233" s="164"/>
      <c r="AA2233" s="164"/>
      <c r="AB2233" s="164"/>
      <c r="AC2233" s="164"/>
      <c r="AD2233" s="164"/>
      <c r="AE2233" s="164"/>
      <c r="AF2233" s="164"/>
      <c r="AG2233" s="164"/>
      <c r="AH2233" s="164"/>
      <c r="AI2233" s="164"/>
    </row>
    <row r="2234">
      <c r="A2234" s="176"/>
      <c r="B2234" s="177"/>
      <c r="C2234" s="178"/>
      <c r="D2234" s="178"/>
      <c r="E2234" s="177"/>
      <c r="F2234" s="178"/>
      <c r="G2234" s="176"/>
      <c r="H2234" s="179"/>
      <c r="I2234" s="180"/>
      <c r="J2234" s="181"/>
      <c r="K2234" s="178"/>
      <c r="L2234" s="178"/>
      <c r="M2234" s="182"/>
      <c r="N2234" s="183"/>
      <c r="O2234" s="184"/>
      <c r="P2234" s="184"/>
      <c r="Q2234" s="185"/>
      <c r="R2234" s="186"/>
      <c r="S2234" s="186"/>
      <c r="T2234" s="186"/>
      <c r="U2234" s="187"/>
      <c r="V2234" s="176"/>
      <c r="W2234" s="164"/>
      <c r="X2234" s="164"/>
      <c r="Y2234" s="164"/>
      <c r="Z2234" s="164"/>
      <c r="AA2234" s="164"/>
      <c r="AB2234" s="164"/>
      <c r="AC2234" s="164"/>
      <c r="AD2234" s="164"/>
      <c r="AE2234" s="164"/>
      <c r="AF2234" s="164"/>
      <c r="AG2234" s="164"/>
      <c r="AH2234" s="164"/>
      <c r="AI2234" s="164"/>
    </row>
    <row r="2235">
      <c r="A2235" s="176"/>
      <c r="B2235" s="177"/>
      <c r="C2235" s="178"/>
      <c r="D2235" s="178"/>
      <c r="E2235" s="177"/>
      <c r="F2235" s="178"/>
      <c r="G2235" s="176"/>
      <c r="H2235" s="179"/>
      <c r="I2235" s="180"/>
      <c r="J2235" s="181"/>
      <c r="K2235" s="178"/>
      <c r="L2235" s="178"/>
      <c r="M2235" s="182"/>
      <c r="N2235" s="183"/>
      <c r="O2235" s="184"/>
      <c r="P2235" s="184"/>
      <c r="Q2235" s="185"/>
      <c r="R2235" s="186"/>
      <c r="S2235" s="186"/>
      <c r="T2235" s="186"/>
      <c r="U2235" s="187"/>
      <c r="V2235" s="176"/>
      <c r="W2235" s="164"/>
      <c r="X2235" s="164"/>
      <c r="Y2235" s="164"/>
      <c r="Z2235" s="164"/>
      <c r="AA2235" s="164"/>
      <c r="AB2235" s="164"/>
      <c r="AC2235" s="164"/>
      <c r="AD2235" s="164"/>
      <c r="AE2235" s="164"/>
      <c r="AF2235" s="164"/>
      <c r="AG2235" s="164"/>
      <c r="AH2235" s="164"/>
      <c r="AI2235" s="164"/>
    </row>
    <row r="2236">
      <c r="A2236" s="176"/>
      <c r="B2236" s="177"/>
      <c r="C2236" s="178"/>
      <c r="D2236" s="178"/>
      <c r="E2236" s="177"/>
      <c r="F2236" s="178"/>
      <c r="G2236" s="176"/>
      <c r="H2236" s="179"/>
      <c r="I2236" s="180"/>
      <c r="J2236" s="181"/>
      <c r="K2236" s="178"/>
      <c r="L2236" s="178"/>
      <c r="M2236" s="182"/>
      <c r="N2236" s="183"/>
      <c r="O2236" s="184"/>
      <c r="P2236" s="184"/>
      <c r="Q2236" s="185"/>
      <c r="R2236" s="186"/>
      <c r="S2236" s="186"/>
      <c r="T2236" s="186"/>
      <c r="U2236" s="187"/>
      <c r="V2236" s="176"/>
      <c r="W2236" s="164"/>
      <c r="X2236" s="164"/>
      <c r="Y2236" s="164"/>
      <c r="Z2236" s="164"/>
      <c r="AA2236" s="164"/>
      <c r="AB2236" s="164"/>
      <c r="AC2236" s="164"/>
      <c r="AD2236" s="164"/>
      <c r="AE2236" s="164"/>
      <c r="AF2236" s="164"/>
      <c r="AG2236" s="164"/>
      <c r="AH2236" s="164"/>
      <c r="AI2236" s="164"/>
    </row>
    <row r="2237">
      <c r="A2237" s="176"/>
      <c r="B2237" s="177"/>
      <c r="C2237" s="178"/>
      <c r="D2237" s="178"/>
      <c r="E2237" s="177"/>
      <c r="F2237" s="178"/>
      <c r="G2237" s="176"/>
      <c r="H2237" s="179"/>
      <c r="I2237" s="180"/>
      <c r="J2237" s="181"/>
      <c r="K2237" s="178"/>
      <c r="L2237" s="178"/>
      <c r="M2237" s="182"/>
      <c r="N2237" s="183"/>
      <c r="O2237" s="184"/>
      <c r="P2237" s="184"/>
      <c r="Q2237" s="185"/>
      <c r="R2237" s="186"/>
      <c r="S2237" s="186"/>
      <c r="T2237" s="186"/>
      <c r="U2237" s="187"/>
      <c r="V2237" s="176"/>
      <c r="W2237" s="164"/>
      <c r="X2237" s="164"/>
      <c r="Y2237" s="164"/>
      <c r="Z2237" s="164"/>
      <c r="AA2237" s="164"/>
      <c r="AB2237" s="164"/>
      <c r="AC2237" s="164"/>
      <c r="AD2237" s="164"/>
      <c r="AE2237" s="164"/>
      <c r="AF2237" s="164"/>
      <c r="AG2237" s="164"/>
      <c r="AH2237" s="164"/>
      <c r="AI2237" s="164"/>
    </row>
    <row r="2238">
      <c r="A2238" s="176"/>
      <c r="B2238" s="177"/>
      <c r="C2238" s="178"/>
      <c r="D2238" s="178"/>
      <c r="E2238" s="177"/>
      <c r="F2238" s="178"/>
      <c r="G2238" s="176"/>
      <c r="H2238" s="179"/>
      <c r="I2238" s="180"/>
      <c r="J2238" s="181"/>
      <c r="K2238" s="178"/>
      <c r="L2238" s="178"/>
      <c r="M2238" s="182"/>
      <c r="N2238" s="183"/>
      <c r="O2238" s="184"/>
      <c r="P2238" s="184"/>
      <c r="Q2238" s="185"/>
      <c r="R2238" s="186"/>
      <c r="S2238" s="186"/>
      <c r="T2238" s="186"/>
      <c r="U2238" s="187"/>
      <c r="V2238" s="176"/>
      <c r="W2238" s="164"/>
      <c r="X2238" s="164"/>
      <c r="Y2238" s="164"/>
      <c r="Z2238" s="164"/>
      <c r="AA2238" s="164"/>
      <c r="AB2238" s="164"/>
      <c r="AC2238" s="164"/>
      <c r="AD2238" s="164"/>
      <c r="AE2238" s="164"/>
      <c r="AF2238" s="164"/>
      <c r="AG2238" s="164"/>
      <c r="AH2238" s="164"/>
      <c r="AI2238" s="164"/>
    </row>
    <row r="2239">
      <c r="A2239" s="176"/>
      <c r="B2239" s="177"/>
      <c r="C2239" s="178"/>
      <c r="D2239" s="178"/>
      <c r="E2239" s="177"/>
      <c r="F2239" s="178"/>
      <c r="G2239" s="176"/>
      <c r="H2239" s="179"/>
      <c r="I2239" s="180"/>
      <c r="J2239" s="181"/>
      <c r="K2239" s="178"/>
      <c r="L2239" s="178"/>
      <c r="M2239" s="182"/>
      <c r="N2239" s="183"/>
      <c r="O2239" s="184"/>
      <c r="P2239" s="184"/>
      <c r="Q2239" s="185"/>
      <c r="R2239" s="186"/>
      <c r="S2239" s="186"/>
      <c r="T2239" s="186"/>
      <c r="U2239" s="187"/>
      <c r="V2239" s="176"/>
      <c r="W2239" s="164"/>
      <c r="X2239" s="164"/>
      <c r="Y2239" s="164"/>
      <c r="Z2239" s="164"/>
      <c r="AA2239" s="164"/>
      <c r="AB2239" s="164"/>
      <c r="AC2239" s="164"/>
      <c r="AD2239" s="164"/>
      <c r="AE2239" s="164"/>
      <c r="AF2239" s="164"/>
      <c r="AG2239" s="164"/>
      <c r="AH2239" s="164"/>
      <c r="AI2239" s="164"/>
    </row>
    <row r="2240">
      <c r="A2240" s="176"/>
      <c r="B2240" s="177"/>
      <c r="C2240" s="178"/>
      <c r="D2240" s="178"/>
      <c r="E2240" s="177"/>
      <c r="F2240" s="178"/>
      <c r="G2240" s="176"/>
      <c r="H2240" s="179"/>
      <c r="I2240" s="180"/>
      <c r="J2240" s="181"/>
      <c r="K2240" s="178"/>
      <c r="L2240" s="178"/>
      <c r="M2240" s="182"/>
      <c r="N2240" s="183"/>
      <c r="O2240" s="184"/>
      <c r="P2240" s="184"/>
      <c r="Q2240" s="185"/>
      <c r="R2240" s="186"/>
      <c r="S2240" s="186"/>
      <c r="T2240" s="186"/>
      <c r="U2240" s="187"/>
      <c r="V2240" s="176"/>
      <c r="W2240" s="164"/>
      <c r="X2240" s="164"/>
      <c r="Y2240" s="164"/>
      <c r="Z2240" s="164"/>
      <c r="AA2240" s="164"/>
      <c r="AB2240" s="164"/>
      <c r="AC2240" s="164"/>
      <c r="AD2240" s="164"/>
      <c r="AE2240" s="164"/>
      <c r="AF2240" s="164"/>
      <c r="AG2240" s="164"/>
      <c r="AH2240" s="164"/>
      <c r="AI2240" s="164"/>
    </row>
    <row r="2241">
      <c r="A2241" s="176"/>
      <c r="B2241" s="177"/>
      <c r="C2241" s="178"/>
      <c r="D2241" s="178"/>
      <c r="E2241" s="177"/>
      <c r="F2241" s="178"/>
      <c r="G2241" s="176"/>
      <c r="H2241" s="179"/>
      <c r="I2241" s="180"/>
      <c r="J2241" s="181"/>
      <c r="K2241" s="178"/>
      <c r="L2241" s="178"/>
      <c r="M2241" s="182"/>
      <c r="N2241" s="183"/>
      <c r="O2241" s="184"/>
      <c r="P2241" s="184"/>
      <c r="Q2241" s="185"/>
      <c r="R2241" s="186"/>
      <c r="S2241" s="186"/>
      <c r="T2241" s="186"/>
      <c r="U2241" s="187"/>
      <c r="V2241" s="176"/>
      <c r="W2241" s="164"/>
      <c r="X2241" s="164"/>
      <c r="Y2241" s="164"/>
      <c r="Z2241" s="164"/>
      <c r="AA2241" s="164"/>
      <c r="AB2241" s="164"/>
      <c r="AC2241" s="164"/>
      <c r="AD2241" s="164"/>
      <c r="AE2241" s="164"/>
      <c r="AF2241" s="164"/>
      <c r="AG2241" s="164"/>
      <c r="AH2241" s="164"/>
      <c r="AI2241" s="164"/>
    </row>
    <row r="2242">
      <c r="A2242" s="176"/>
      <c r="B2242" s="177"/>
      <c r="C2242" s="178"/>
      <c r="D2242" s="178"/>
      <c r="E2242" s="177"/>
      <c r="F2242" s="178"/>
      <c r="G2242" s="176"/>
      <c r="H2242" s="179"/>
      <c r="I2242" s="180"/>
      <c r="J2242" s="181"/>
      <c r="K2242" s="178"/>
      <c r="L2242" s="178"/>
      <c r="M2242" s="182"/>
      <c r="N2242" s="183"/>
      <c r="O2242" s="184"/>
      <c r="P2242" s="184"/>
      <c r="Q2242" s="185"/>
      <c r="R2242" s="186"/>
      <c r="S2242" s="186"/>
      <c r="T2242" s="186"/>
      <c r="U2242" s="187"/>
      <c r="V2242" s="176"/>
      <c r="W2242" s="164"/>
      <c r="X2242" s="164"/>
      <c r="Y2242" s="164"/>
      <c r="Z2242" s="164"/>
      <c r="AA2242" s="164"/>
      <c r="AB2242" s="164"/>
      <c r="AC2242" s="164"/>
      <c r="AD2242" s="164"/>
      <c r="AE2242" s="164"/>
      <c r="AF2242" s="164"/>
      <c r="AG2242" s="164"/>
      <c r="AH2242" s="164"/>
      <c r="AI2242" s="164"/>
    </row>
    <row r="2243">
      <c r="A2243" s="176"/>
      <c r="B2243" s="177"/>
      <c r="C2243" s="178"/>
      <c r="D2243" s="178"/>
      <c r="E2243" s="177"/>
      <c r="F2243" s="178"/>
      <c r="G2243" s="176"/>
      <c r="H2243" s="179"/>
      <c r="I2243" s="180"/>
      <c r="J2243" s="181"/>
      <c r="K2243" s="178"/>
      <c r="L2243" s="178"/>
      <c r="M2243" s="182"/>
      <c r="N2243" s="183"/>
      <c r="O2243" s="184"/>
      <c r="P2243" s="184"/>
      <c r="Q2243" s="185"/>
      <c r="R2243" s="186"/>
      <c r="S2243" s="186"/>
      <c r="T2243" s="186"/>
      <c r="U2243" s="187"/>
      <c r="V2243" s="176"/>
      <c r="W2243" s="164"/>
      <c r="X2243" s="164"/>
      <c r="Y2243" s="164"/>
      <c r="Z2243" s="164"/>
      <c r="AA2243" s="164"/>
      <c r="AB2243" s="164"/>
      <c r="AC2243" s="164"/>
      <c r="AD2243" s="164"/>
      <c r="AE2243" s="164"/>
      <c r="AF2243" s="164"/>
      <c r="AG2243" s="164"/>
      <c r="AH2243" s="164"/>
      <c r="AI2243" s="164"/>
    </row>
    <row r="2244">
      <c r="A2244" s="176"/>
      <c r="B2244" s="177"/>
      <c r="C2244" s="178"/>
      <c r="D2244" s="178"/>
      <c r="E2244" s="177"/>
      <c r="F2244" s="178"/>
      <c r="G2244" s="176"/>
      <c r="H2244" s="179"/>
      <c r="I2244" s="180"/>
      <c r="J2244" s="181"/>
      <c r="K2244" s="178"/>
      <c r="L2244" s="178"/>
      <c r="M2244" s="182"/>
      <c r="N2244" s="183"/>
      <c r="O2244" s="184"/>
      <c r="P2244" s="184"/>
      <c r="Q2244" s="185"/>
      <c r="R2244" s="186"/>
      <c r="S2244" s="186"/>
      <c r="T2244" s="186"/>
      <c r="U2244" s="187"/>
      <c r="V2244" s="176"/>
      <c r="W2244" s="164"/>
      <c r="X2244" s="164"/>
      <c r="Y2244" s="164"/>
      <c r="Z2244" s="164"/>
      <c r="AA2244" s="164"/>
      <c r="AB2244" s="164"/>
      <c r="AC2244" s="164"/>
      <c r="AD2244" s="164"/>
      <c r="AE2244" s="164"/>
      <c r="AF2244" s="164"/>
      <c r="AG2244" s="164"/>
      <c r="AH2244" s="164"/>
      <c r="AI2244" s="164"/>
    </row>
    <row r="2245">
      <c r="A2245" s="176"/>
      <c r="B2245" s="177"/>
      <c r="C2245" s="178"/>
      <c r="D2245" s="178"/>
      <c r="E2245" s="177"/>
      <c r="F2245" s="178"/>
      <c r="G2245" s="176"/>
      <c r="H2245" s="179"/>
      <c r="I2245" s="180"/>
      <c r="J2245" s="181"/>
      <c r="K2245" s="178"/>
      <c r="L2245" s="178"/>
      <c r="M2245" s="182"/>
      <c r="N2245" s="183"/>
      <c r="O2245" s="184"/>
      <c r="P2245" s="184"/>
      <c r="Q2245" s="185"/>
      <c r="R2245" s="186"/>
      <c r="S2245" s="186"/>
      <c r="T2245" s="186"/>
      <c r="U2245" s="187"/>
      <c r="V2245" s="176"/>
      <c r="W2245" s="164"/>
      <c r="X2245" s="164"/>
      <c r="Y2245" s="164"/>
      <c r="Z2245" s="164"/>
      <c r="AA2245" s="164"/>
      <c r="AB2245" s="164"/>
      <c r="AC2245" s="164"/>
      <c r="AD2245" s="164"/>
      <c r="AE2245" s="164"/>
      <c r="AF2245" s="164"/>
      <c r="AG2245" s="164"/>
      <c r="AH2245" s="164"/>
      <c r="AI2245" s="164"/>
    </row>
    <row r="2246">
      <c r="A2246" s="176"/>
      <c r="B2246" s="177"/>
      <c r="C2246" s="178"/>
      <c r="D2246" s="178"/>
      <c r="E2246" s="177"/>
      <c r="F2246" s="178"/>
      <c r="G2246" s="176"/>
      <c r="H2246" s="179"/>
      <c r="I2246" s="180"/>
      <c r="J2246" s="181"/>
      <c r="K2246" s="178"/>
      <c r="L2246" s="178"/>
      <c r="M2246" s="182"/>
      <c r="N2246" s="183"/>
      <c r="O2246" s="184"/>
      <c r="P2246" s="184"/>
      <c r="Q2246" s="185"/>
      <c r="R2246" s="186"/>
      <c r="S2246" s="186"/>
      <c r="T2246" s="186"/>
      <c r="U2246" s="187"/>
      <c r="V2246" s="176"/>
      <c r="W2246" s="164"/>
      <c r="X2246" s="164"/>
      <c r="Y2246" s="164"/>
      <c r="Z2246" s="164"/>
      <c r="AA2246" s="164"/>
      <c r="AB2246" s="164"/>
      <c r="AC2246" s="164"/>
      <c r="AD2246" s="164"/>
      <c r="AE2246" s="164"/>
      <c r="AF2246" s="164"/>
      <c r="AG2246" s="164"/>
      <c r="AH2246" s="164"/>
      <c r="AI2246" s="164"/>
    </row>
    <row r="2247">
      <c r="A2247" s="176"/>
      <c r="B2247" s="177"/>
      <c r="C2247" s="178"/>
      <c r="D2247" s="178"/>
      <c r="E2247" s="177"/>
      <c r="F2247" s="178"/>
      <c r="G2247" s="176"/>
      <c r="H2247" s="179"/>
      <c r="I2247" s="180"/>
      <c r="J2247" s="181"/>
      <c r="K2247" s="178"/>
      <c r="L2247" s="178"/>
      <c r="M2247" s="182"/>
      <c r="N2247" s="183"/>
      <c r="O2247" s="184"/>
      <c r="P2247" s="184"/>
      <c r="Q2247" s="185"/>
      <c r="R2247" s="186"/>
      <c r="S2247" s="186"/>
      <c r="T2247" s="186"/>
      <c r="U2247" s="187"/>
      <c r="V2247" s="176"/>
      <c r="W2247" s="164"/>
      <c r="X2247" s="164"/>
      <c r="Y2247" s="164"/>
      <c r="Z2247" s="164"/>
      <c r="AA2247" s="164"/>
      <c r="AB2247" s="164"/>
      <c r="AC2247" s="164"/>
      <c r="AD2247" s="164"/>
      <c r="AE2247" s="164"/>
      <c r="AF2247" s="164"/>
      <c r="AG2247" s="164"/>
      <c r="AH2247" s="164"/>
      <c r="AI2247" s="164"/>
    </row>
    <row r="2248">
      <c r="A2248" s="176"/>
      <c r="B2248" s="177"/>
      <c r="C2248" s="178"/>
      <c r="D2248" s="178"/>
      <c r="E2248" s="177"/>
      <c r="F2248" s="178"/>
      <c r="G2248" s="176"/>
      <c r="H2248" s="179"/>
      <c r="I2248" s="180"/>
      <c r="J2248" s="181"/>
      <c r="K2248" s="178"/>
      <c r="L2248" s="178"/>
      <c r="M2248" s="182"/>
      <c r="N2248" s="183"/>
      <c r="O2248" s="184"/>
      <c r="P2248" s="184"/>
      <c r="Q2248" s="185"/>
      <c r="R2248" s="186"/>
      <c r="S2248" s="186"/>
      <c r="T2248" s="186"/>
      <c r="U2248" s="187"/>
      <c r="V2248" s="176"/>
      <c r="W2248" s="164"/>
      <c r="X2248" s="164"/>
      <c r="Y2248" s="164"/>
      <c r="Z2248" s="164"/>
      <c r="AA2248" s="164"/>
      <c r="AB2248" s="164"/>
      <c r="AC2248" s="164"/>
      <c r="AD2248" s="164"/>
      <c r="AE2248" s="164"/>
      <c r="AF2248" s="164"/>
      <c r="AG2248" s="164"/>
      <c r="AH2248" s="164"/>
      <c r="AI2248" s="164"/>
    </row>
    <row r="2249">
      <c r="A2249" s="176"/>
      <c r="B2249" s="177"/>
      <c r="C2249" s="178"/>
      <c r="D2249" s="178"/>
      <c r="E2249" s="177"/>
      <c r="F2249" s="178"/>
      <c r="G2249" s="176"/>
      <c r="H2249" s="179"/>
      <c r="I2249" s="180"/>
      <c r="J2249" s="181"/>
      <c r="K2249" s="178"/>
      <c r="L2249" s="178"/>
      <c r="M2249" s="182"/>
      <c r="N2249" s="183"/>
      <c r="O2249" s="184"/>
      <c r="P2249" s="184"/>
      <c r="Q2249" s="185"/>
      <c r="R2249" s="186"/>
      <c r="S2249" s="186"/>
      <c r="T2249" s="186"/>
      <c r="U2249" s="187"/>
      <c r="V2249" s="176"/>
      <c r="W2249" s="164"/>
      <c r="X2249" s="164"/>
      <c r="Y2249" s="164"/>
      <c r="Z2249" s="164"/>
      <c r="AA2249" s="164"/>
      <c r="AB2249" s="164"/>
      <c r="AC2249" s="164"/>
      <c r="AD2249" s="164"/>
      <c r="AE2249" s="164"/>
      <c r="AF2249" s="164"/>
      <c r="AG2249" s="164"/>
      <c r="AH2249" s="164"/>
      <c r="AI2249" s="164"/>
    </row>
    <row r="2250">
      <c r="A2250" s="176"/>
      <c r="B2250" s="177"/>
      <c r="C2250" s="178"/>
      <c r="D2250" s="178"/>
      <c r="E2250" s="177"/>
      <c r="F2250" s="178"/>
      <c r="G2250" s="176"/>
      <c r="H2250" s="179"/>
      <c r="I2250" s="180"/>
      <c r="J2250" s="181"/>
      <c r="K2250" s="178"/>
      <c r="L2250" s="178"/>
      <c r="M2250" s="182"/>
      <c r="N2250" s="183"/>
      <c r="O2250" s="184"/>
      <c r="P2250" s="184"/>
      <c r="Q2250" s="185"/>
      <c r="R2250" s="186"/>
      <c r="S2250" s="186"/>
      <c r="T2250" s="186"/>
      <c r="U2250" s="187"/>
      <c r="V2250" s="176"/>
      <c r="W2250" s="164"/>
      <c r="X2250" s="164"/>
      <c r="Y2250" s="164"/>
      <c r="Z2250" s="164"/>
      <c r="AA2250" s="164"/>
      <c r="AB2250" s="164"/>
      <c r="AC2250" s="164"/>
      <c r="AD2250" s="164"/>
      <c r="AE2250" s="164"/>
      <c r="AF2250" s="164"/>
      <c r="AG2250" s="164"/>
      <c r="AH2250" s="164"/>
      <c r="AI2250" s="164"/>
    </row>
    <row r="2251">
      <c r="A2251" s="176"/>
      <c r="B2251" s="177"/>
      <c r="C2251" s="178"/>
      <c r="D2251" s="178"/>
      <c r="E2251" s="177"/>
      <c r="F2251" s="178"/>
      <c r="G2251" s="176"/>
      <c r="H2251" s="179"/>
      <c r="I2251" s="180"/>
      <c r="J2251" s="181"/>
      <c r="K2251" s="178"/>
      <c r="L2251" s="178"/>
      <c r="M2251" s="182"/>
      <c r="N2251" s="183"/>
      <c r="O2251" s="184"/>
      <c r="P2251" s="184"/>
      <c r="Q2251" s="185"/>
      <c r="R2251" s="186"/>
      <c r="S2251" s="186"/>
      <c r="T2251" s="186"/>
      <c r="U2251" s="187"/>
      <c r="V2251" s="176"/>
      <c r="W2251" s="164"/>
      <c r="X2251" s="164"/>
      <c r="Y2251" s="164"/>
      <c r="Z2251" s="164"/>
      <c r="AA2251" s="164"/>
      <c r="AB2251" s="164"/>
      <c r="AC2251" s="164"/>
      <c r="AD2251" s="164"/>
      <c r="AE2251" s="164"/>
      <c r="AF2251" s="164"/>
      <c r="AG2251" s="164"/>
      <c r="AH2251" s="164"/>
      <c r="AI2251" s="164"/>
    </row>
    <row r="2252">
      <c r="A2252" s="176"/>
      <c r="B2252" s="177"/>
      <c r="C2252" s="178"/>
      <c r="D2252" s="178"/>
      <c r="E2252" s="177"/>
      <c r="F2252" s="178"/>
      <c r="G2252" s="176"/>
      <c r="H2252" s="179"/>
      <c r="I2252" s="180"/>
      <c r="J2252" s="181"/>
      <c r="K2252" s="178"/>
      <c r="L2252" s="178"/>
      <c r="M2252" s="182"/>
      <c r="N2252" s="183"/>
      <c r="O2252" s="184"/>
      <c r="P2252" s="184"/>
      <c r="Q2252" s="185"/>
      <c r="R2252" s="186"/>
      <c r="S2252" s="186"/>
      <c r="T2252" s="186"/>
      <c r="U2252" s="187"/>
      <c r="V2252" s="176"/>
      <c r="W2252" s="164"/>
      <c r="X2252" s="164"/>
      <c r="Y2252" s="164"/>
      <c r="Z2252" s="164"/>
      <c r="AA2252" s="164"/>
      <c r="AB2252" s="164"/>
      <c r="AC2252" s="164"/>
      <c r="AD2252" s="164"/>
      <c r="AE2252" s="164"/>
      <c r="AF2252" s="164"/>
      <c r="AG2252" s="164"/>
      <c r="AH2252" s="164"/>
      <c r="AI2252" s="164"/>
    </row>
    <row r="2253">
      <c r="A2253" s="176"/>
      <c r="B2253" s="177"/>
      <c r="C2253" s="178"/>
      <c r="D2253" s="178"/>
      <c r="E2253" s="177"/>
      <c r="F2253" s="178"/>
      <c r="G2253" s="176"/>
      <c r="H2253" s="179"/>
      <c r="I2253" s="180"/>
      <c r="J2253" s="181"/>
      <c r="K2253" s="178"/>
      <c r="L2253" s="178"/>
      <c r="M2253" s="182"/>
      <c r="N2253" s="183"/>
      <c r="O2253" s="184"/>
      <c r="P2253" s="184"/>
      <c r="Q2253" s="185"/>
      <c r="R2253" s="186"/>
      <c r="S2253" s="186"/>
      <c r="T2253" s="186"/>
      <c r="U2253" s="187"/>
      <c r="V2253" s="176"/>
      <c r="W2253" s="164"/>
      <c r="X2253" s="164"/>
      <c r="Y2253" s="164"/>
      <c r="Z2253" s="164"/>
      <c r="AA2253" s="164"/>
      <c r="AB2253" s="164"/>
      <c r="AC2253" s="164"/>
      <c r="AD2253" s="164"/>
      <c r="AE2253" s="164"/>
      <c r="AF2253" s="164"/>
      <c r="AG2253" s="164"/>
      <c r="AH2253" s="164"/>
      <c r="AI2253" s="164"/>
    </row>
    <row r="2254">
      <c r="A2254" s="176"/>
      <c r="B2254" s="177"/>
      <c r="C2254" s="178"/>
      <c r="D2254" s="178"/>
      <c r="E2254" s="177"/>
      <c r="F2254" s="178"/>
      <c r="G2254" s="176"/>
      <c r="H2254" s="179"/>
      <c r="I2254" s="180"/>
      <c r="J2254" s="181"/>
      <c r="K2254" s="178"/>
      <c r="L2254" s="178"/>
      <c r="M2254" s="182"/>
      <c r="N2254" s="183"/>
      <c r="O2254" s="184"/>
      <c r="P2254" s="184"/>
      <c r="Q2254" s="185"/>
      <c r="R2254" s="186"/>
      <c r="S2254" s="186"/>
      <c r="T2254" s="186"/>
      <c r="U2254" s="187"/>
      <c r="V2254" s="176"/>
      <c r="W2254" s="164"/>
      <c r="X2254" s="164"/>
      <c r="Y2254" s="164"/>
      <c r="Z2254" s="164"/>
      <c r="AA2254" s="164"/>
      <c r="AB2254" s="164"/>
      <c r="AC2254" s="164"/>
      <c r="AD2254" s="164"/>
      <c r="AE2254" s="164"/>
      <c r="AF2254" s="164"/>
      <c r="AG2254" s="164"/>
      <c r="AH2254" s="164"/>
      <c r="AI2254" s="164"/>
    </row>
    <row r="2255">
      <c r="A2255" s="176"/>
      <c r="B2255" s="177"/>
      <c r="C2255" s="178"/>
      <c r="D2255" s="178"/>
      <c r="E2255" s="177"/>
      <c r="F2255" s="178"/>
      <c r="G2255" s="176"/>
      <c r="H2255" s="179"/>
      <c r="I2255" s="180"/>
      <c r="J2255" s="181"/>
      <c r="K2255" s="178"/>
      <c r="L2255" s="178"/>
      <c r="M2255" s="182"/>
      <c r="N2255" s="183"/>
      <c r="O2255" s="184"/>
      <c r="P2255" s="184"/>
      <c r="Q2255" s="185"/>
      <c r="R2255" s="186"/>
      <c r="S2255" s="186"/>
      <c r="T2255" s="186"/>
      <c r="U2255" s="187"/>
      <c r="V2255" s="176"/>
      <c r="W2255" s="164"/>
      <c r="X2255" s="164"/>
      <c r="Y2255" s="164"/>
      <c r="Z2255" s="164"/>
      <c r="AA2255" s="164"/>
      <c r="AB2255" s="164"/>
      <c r="AC2255" s="164"/>
      <c r="AD2255" s="164"/>
      <c r="AE2255" s="164"/>
      <c r="AF2255" s="164"/>
      <c r="AG2255" s="164"/>
      <c r="AH2255" s="164"/>
      <c r="AI2255" s="164"/>
    </row>
    <row r="2256">
      <c r="A2256" s="176"/>
      <c r="B2256" s="177"/>
      <c r="C2256" s="178"/>
      <c r="D2256" s="178"/>
      <c r="E2256" s="177"/>
      <c r="F2256" s="178"/>
      <c r="G2256" s="176"/>
      <c r="H2256" s="179"/>
      <c r="I2256" s="180"/>
      <c r="J2256" s="181"/>
      <c r="K2256" s="178"/>
      <c r="L2256" s="178"/>
      <c r="M2256" s="182"/>
      <c r="N2256" s="183"/>
      <c r="O2256" s="184"/>
      <c r="P2256" s="184"/>
      <c r="Q2256" s="185"/>
      <c r="R2256" s="186"/>
      <c r="S2256" s="186"/>
      <c r="T2256" s="186"/>
      <c r="U2256" s="187"/>
      <c r="V2256" s="176"/>
      <c r="W2256" s="164"/>
      <c r="X2256" s="164"/>
      <c r="Y2256" s="164"/>
      <c r="Z2256" s="164"/>
      <c r="AA2256" s="164"/>
      <c r="AB2256" s="164"/>
      <c r="AC2256" s="164"/>
      <c r="AD2256" s="164"/>
      <c r="AE2256" s="164"/>
      <c r="AF2256" s="164"/>
      <c r="AG2256" s="164"/>
      <c r="AH2256" s="164"/>
      <c r="AI2256" s="164"/>
    </row>
    <row r="2257">
      <c r="A2257" s="176"/>
      <c r="B2257" s="177"/>
      <c r="C2257" s="178"/>
      <c r="D2257" s="178"/>
      <c r="E2257" s="177"/>
      <c r="F2257" s="178"/>
      <c r="G2257" s="176"/>
      <c r="H2257" s="179"/>
      <c r="I2257" s="180"/>
      <c r="J2257" s="181"/>
      <c r="K2257" s="178"/>
      <c r="L2257" s="178"/>
      <c r="M2257" s="182"/>
      <c r="N2257" s="183"/>
      <c r="O2257" s="184"/>
      <c r="P2257" s="184"/>
      <c r="Q2257" s="185"/>
      <c r="R2257" s="186"/>
      <c r="S2257" s="186"/>
      <c r="T2257" s="186"/>
      <c r="U2257" s="187"/>
      <c r="V2257" s="176"/>
      <c r="W2257" s="164"/>
      <c r="X2257" s="164"/>
      <c r="Y2257" s="164"/>
      <c r="Z2257" s="164"/>
      <c r="AA2257" s="164"/>
      <c r="AB2257" s="164"/>
      <c r="AC2257" s="164"/>
      <c r="AD2257" s="164"/>
      <c r="AE2257" s="164"/>
      <c r="AF2257" s="164"/>
      <c r="AG2257" s="164"/>
      <c r="AH2257" s="164"/>
      <c r="AI2257" s="164"/>
    </row>
    <row r="2258">
      <c r="A2258" s="176"/>
      <c r="B2258" s="177"/>
      <c r="C2258" s="178"/>
      <c r="D2258" s="178"/>
      <c r="E2258" s="177"/>
      <c r="F2258" s="178"/>
      <c r="G2258" s="176"/>
      <c r="H2258" s="179"/>
      <c r="I2258" s="180"/>
      <c r="J2258" s="181"/>
      <c r="K2258" s="178"/>
      <c r="L2258" s="178"/>
      <c r="M2258" s="182"/>
      <c r="N2258" s="183"/>
      <c r="O2258" s="184"/>
      <c r="P2258" s="184"/>
      <c r="Q2258" s="185"/>
      <c r="R2258" s="186"/>
      <c r="S2258" s="186"/>
      <c r="T2258" s="186"/>
      <c r="U2258" s="187"/>
      <c r="V2258" s="176"/>
      <c r="W2258" s="164"/>
      <c r="X2258" s="164"/>
      <c r="Y2258" s="164"/>
      <c r="Z2258" s="164"/>
      <c r="AA2258" s="164"/>
      <c r="AB2258" s="164"/>
      <c r="AC2258" s="164"/>
      <c r="AD2258" s="164"/>
      <c r="AE2258" s="164"/>
      <c r="AF2258" s="164"/>
      <c r="AG2258" s="164"/>
      <c r="AH2258" s="164"/>
      <c r="AI2258" s="164"/>
    </row>
    <row r="2259">
      <c r="A2259" s="176"/>
      <c r="B2259" s="177"/>
      <c r="C2259" s="178"/>
      <c r="D2259" s="178"/>
      <c r="E2259" s="177"/>
      <c r="F2259" s="178"/>
      <c r="G2259" s="176"/>
      <c r="H2259" s="179"/>
      <c r="I2259" s="180"/>
      <c r="J2259" s="181"/>
      <c r="K2259" s="178"/>
      <c r="L2259" s="178"/>
      <c r="M2259" s="182"/>
      <c r="N2259" s="183"/>
      <c r="O2259" s="184"/>
      <c r="P2259" s="184"/>
      <c r="Q2259" s="185"/>
      <c r="R2259" s="186"/>
      <c r="S2259" s="186"/>
      <c r="T2259" s="186"/>
      <c r="U2259" s="187"/>
      <c r="V2259" s="176"/>
      <c r="W2259" s="164"/>
      <c r="X2259" s="164"/>
      <c r="Y2259" s="164"/>
      <c r="Z2259" s="164"/>
      <c r="AA2259" s="164"/>
      <c r="AB2259" s="164"/>
      <c r="AC2259" s="164"/>
      <c r="AD2259" s="164"/>
      <c r="AE2259" s="164"/>
      <c r="AF2259" s="164"/>
      <c r="AG2259" s="164"/>
      <c r="AH2259" s="164"/>
      <c r="AI2259" s="164"/>
    </row>
    <row r="2260">
      <c r="A2260" s="176"/>
      <c r="B2260" s="177"/>
      <c r="C2260" s="178"/>
      <c r="D2260" s="178"/>
      <c r="E2260" s="177"/>
      <c r="F2260" s="178"/>
      <c r="G2260" s="176"/>
      <c r="H2260" s="179"/>
      <c r="I2260" s="180"/>
      <c r="J2260" s="181"/>
      <c r="K2260" s="178"/>
      <c r="L2260" s="178"/>
      <c r="M2260" s="182"/>
      <c r="N2260" s="183"/>
      <c r="O2260" s="184"/>
      <c r="P2260" s="184"/>
      <c r="Q2260" s="185"/>
      <c r="R2260" s="186"/>
      <c r="S2260" s="186"/>
      <c r="T2260" s="186"/>
      <c r="U2260" s="187"/>
      <c r="V2260" s="176"/>
      <c r="W2260" s="164"/>
      <c r="X2260" s="164"/>
      <c r="Y2260" s="164"/>
      <c r="Z2260" s="164"/>
      <c r="AA2260" s="164"/>
      <c r="AB2260" s="164"/>
      <c r="AC2260" s="164"/>
      <c r="AD2260" s="164"/>
      <c r="AE2260" s="164"/>
      <c r="AF2260" s="164"/>
      <c r="AG2260" s="164"/>
      <c r="AH2260" s="164"/>
      <c r="AI2260" s="164"/>
    </row>
    <row r="2261">
      <c r="A2261" s="176"/>
      <c r="B2261" s="177"/>
      <c r="C2261" s="178"/>
      <c r="D2261" s="178"/>
      <c r="E2261" s="177"/>
      <c r="F2261" s="178"/>
      <c r="G2261" s="176"/>
      <c r="H2261" s="179"/>
      <c r="I2261" s="180"/>
      <c r="J2261" s="181"/>
      <c r="K2261" s="178"/>
      <c r="L2261" s="178"/>
      <c r="M2261" s="182"/>
      <c r="N2261" s="183"/>
      <c r="O2261" s="184"/>
      <c r="P2261" s="184"/>
      <c r="Q2261" s="185"/>
      <c r="R2261" s="186"/>
      <c r="S2261" s="186"/>
      <c r="T2261" s="186"/>
      <c r="U2261" s="187"/>
      <c r="V2261" s="176"/>
      <c r="W2261" s="164"/>
      <c r="X2261" s="164"/>
      <c r="Y2261" s="164"/>
      <c r="Z2261" s="164"/>
      <c r="AA2261" s="164"/>
      <c r="AB2261" s="164"/>
      <c r="AC2261" s="164"/>
      <c r="AD2261" s="164"/>
      <c r="AE2261" s="164"/>
      <c r="AF2261" s="164"/>
      <c r="AG2261" s="164"/>
      <c r="AH2261" s="164"/>
      <c r="AI2261" s="164"/>
    </row>
    <row r="2262">
      <c r="A2262" s="176"/>
      <c r="B2262" s="177"/>
      <c r="C2262" s="178"/>
      <c r="D2262" s="178"/>
      <c r="E2262" s="177"/>
      <c r="F2262" s="178"/>
      <c r="G2262" s="176"/>
      <c r="H2262" s="179"/>
      <c r="I2262" s="180"/>
      <c r="J2262" s="181"/>
      <c r="K2262" s="178"/>
      <c r="L2262" s="178"/>
      <c r="M2262" s="182"/>
      <c r="N2262" s="183"/>
      <c r="O2262" s="184"/>
      <c r="P2262" s="184"/>
      <c r="Q2262" s="185"/>
      <c r="R2262" s="186"/>
      <c r="S2262" s="186"/>
      <c r="T2262" s="186"/>
      <c r="U2262" s="187"/>
      <c r="V2262" s="176"/>
      <c r="W2262" s="164"/>
      <c r="X2262" s="164"/>
      <c r="Y2262" s="164"/>
      <c r="Z2262" s="164"/>
      <c r="AA2262" s="164"/>
      <c r="AB2262" s="164"/>
      <c r="AC2262" s="164"/>
      <c r="AD2262" s="164"/>
      <c r="AE2262" s="164"/>
      <c r="AF2262" s="164"/>
      <c r="AG2262" s="164"/>
      <c r="AH2262" s="164"/>
      <c r="AI2262" s="164"/>
    </row>
    <row r="2263">
      <c r="A2263" s="176"/>
      <c r="B2263" s="177"/>
      <c r="C2263" s="178"/>
      <c r="D2263" s="178"/>
      <c r="E2263" s="177"/>
      <c r="F2263" s="178"/>
      <c r="G2263" s="176"/>
      <c r="H2263" s="179"/>
      <c r="I2263" s="180"/>
      <c r="J2263" s="181"/>
      <c r="K2263" s="178"/>
      <c r="L2263" s="178"/>
      <c r="M2263" s="182"/>
      <c r="N2263" s="183"/>
      <c r="O2263" s="184"/>
      <c r="P2263" s="184"/>
      <c r="Q2263" s="185"/>
      <c r="R2263" s="186"/>
      <c r="S2263" s="186"/>
      <c r="T2263" s="186"/>
      <c r="U2263" s="187"/>
      <c r="V2263" s="176"/>
      <c r="W2263" s="164"/>
      <c r="X2263" s="164"/>
      <c r="Y2263" s="164"/>
      <c r="Z2263" s="164"/>
      <c r="AA2263" s="164"/>
      <c r="AB2263" s="164"/>
      <c r="AC2263" s="164"/>
      <c r="AD2263" s="164"/>
      <c r="AE2263" s="164"/>
      <c r="AF2263" s="164"/>
      <c r="AG2263" s="164"/>
      <c r="AH2263" s="164"/>
      <c r="AI2263" s="164"/>
    </row>
    <row r="2264">
      <c r="A2264" s="176"/>
      <c r="B2264" s="177"/>
      <c r="C2264" s="178"/>
      <c r="D2264" s="178"/>
      <c r="E2264" s="177"/>
      <c r="F2264" s="178"/>
      <c r="G2264" s="176"/>
      <c r="H2264" s="179"/>
      <c r="I2264" s="180"/>
      <c r="J2264" s="181"/>
      <c r="K2264" s="178"/>
      <c r="L2264" s="178"/>
      <c r="M2264" s="182"/>
      <c r="N2264" s="183"/>
      <c r="O2264" s="184"/>
      <c r="P2264" s="184"/>
      <c r="Q2264" s="185"/>
      <c r="R2264" s="186"/>
      <c r="S2264" s="186"/>
      <c r="T2264" s="186"/>
      <c r="U2264" s="187"/>
      <c r="V2264" s="176"/>
      <c r="W2264" s="164"/>
      <c r="X2264" s="164"/>
      <c r="Y2264" s="164"/>
      <c r="Z2264" s="164"/>
      <c r="AA2264" s="164"/>
      <c r="AB2264" s="164"/>
      <c r="AC2264" s="164"/>
      <c r="AD2264" s="164"/>
      <c r="AE2264" s="164"/>
      <c r="AF2264" s="164"/>
      <c r="AG2264" s="164"/>
      <c r="AH2264" s="164"/>
      <c r="AI2264" s="164"/>
    </row>
    <row r="2265">
      <c r="A2265" s="176"/>
      <c r="B2265" s="177"/>
      <c r="C2265" s="178"/>
      <c r="D2265" s="178"/>
      <c r="E2265" s="177"/>
      <c r="F2265" s="178"/>
      <c r="G2265" s="176"/>
      <c r="H2265" s="179"/>
      <c r="I2265" s="180"/>
      <c r="J2265" s="181"/>
      <c r="K2265" s="178"/>
      <c r="L2265" s="178"/>
      <c r="M2265" s="182"/>
      <c r="N2265" s="183"/>
      <c r="O2265" s="184"/>
      <c r="P2265" s="184"/>
      <c r="Q2265" s="185"/>
      <c r="R2265" s="186"/>
      <c r="S2265" s="186"/>
      <c r="T2265" s="186"/>
      <c r="U2265" s="187"/>
      <c r="V2265" s="176"/>
      <c r="W2265" s="164"/>
      <c r="X2265" s="164"/>
      <c r="Y2265" s="164"/>
      <c r="Z2265" s="164"/>
      <c r="AA2265" s="164"/>
      <c r="AB2265" s="164"/>
      <c r="AC2265" s="164"/>
      <c r="AD2265" s="164"/>
      <c r="AE2265" s="164"/>
      <c r="AF2265" s="164"/>
      <c r="AG2265" s="164"/>
      <c r="AH2265" s="164"/>
      <c r="AI2265" s="164"/>
    </row>
    <row r="2266">
      <c r="A2266" s="176"/>
      <c r="B2266" s="177"/>
      <c r="C2266" s="178"/>
      <c r="D2266" s="178"/>
      <c r="E2266" s="177"/>
      <c r="F2266" s="178"/>
      <c r="G2266" s="176"/>
      <c r="H2266" s="179"/>
      <c r="I2266" s="180"/>
      <c r="J2266" s="181"/>
      <c r="K2266" s="178"/>
      <c r="L2266" s="178"/>
      <c r="M2266" s="182"/>
      <c r="N2266" s="183"/>
      <c r="O2266" s="184"/>
      <c r="P2266" s="184"/>
      <c r="Q2266" s="185"/>
      <c r="R2266" s="186"/>
      <c r="S2266" s="186"/>
      <c r="T2266" s="186"/>
      <c r="U2266" s="187"/>
      <c r="V2266" s="176"/>
      <c r="W2266" s="164"/>
      <c r="X2266" s="164"/>
      <c r="Y2266" s="164"/>
      <c r="Z2266" s="164"/>
      <c r="AA2266" s="164"/>
      <c r="AB2266" s="164"/>
      <c r="AC2266" s="164"/>
      <c r="AD2266" s="164"/>
      <c r="AE2266" s="164"/>
      <c r="AF2266" s="164"/>
      <c r="AG2266" s="164"/>
      <c r="AH2266" s="164"/>
      <c r="AI2266" s="164"/>
    </row>
    <row r="2267">
      <c r="A2267" s="176"/>
      <c r="B2267" s="177"/>
      <c r="C2267" s="178"/>
      <c r="D2267" s="178"/>
      <c r="E2267" s="177"/>
      <c r="F2267" s="178"/>
      <c r="G2267" s="176"/>
      <c r="H2267" s="179"/>
      <c r="I2267" s="180"/>
      <c r="J2267" s="181"/>
      <c r="K2267" s="178"/>
      <c r="L2267" s="178"/>
      <c r="M2267" s="182"/>
      <c r="N2267" s="183"/>
      <c r="O2267" s="184"/>
      <c r="P2267" s="184"/>
      <c r="Q2267" s="185"/>
      <c r="R2267" s="186"/>
      <c r="S2267" s="186"/>
      <c r="T2267" s="186"/>
      <c r="U2267" s="187"/>
      <c r="V2267" s="176"/>
      <c r="W2267" s="164"/>
      <c r="X2267" s="164"/>
      <c r="Y2267" s="164"/>
      <c r="Z2267" s="164"/>
      <c r="AA2267" s="164"/>
      <c r="AB2267" s="164"/>
      <c r="AC2267" s="164"/>
      <c r="AD2267" s="164"/>
      <c r="AE2267" s="164"/>
      <c r="AF2267" s="164"/>
      <c r="AG2267" s="164"/>
      <c r="AH2267" s="164"/>
      <c r="AI2267" s="164"/>
    </row>
    <row r="2268">
      <c r="A2268" s="176"/>
      <c r="B2268" s="177"/>
      <c r="C2268" s="178"/>
      <c r="D2268" s="178"/>
      <c r="E2268" s="177"/>
      <c r="F2268" s="178"/>
      <c r="G2268" s="176"/>
      <c r="H2268" s="179"/>
      <c r="I2268" s="180"/>
      <c r="J2268" s="181"/>
      <c r="K2268" s="178"/>
      <c r="L2268" s="178"/>
      <c r="M2268" s="182"/>
      <c r="N2268" s="183"/>
      <c r="O2268" s="184"/>
      <c r="P2268" s="184"/>
      <c r="Q2268" s="185"/>
      <c r="R2268" s="186"/>
      <c r="S2268" s="186"/>
      <c r="T2268" s="186"/>
      <c r="U2268" s="187"/>
      <c r="V2268" s="176"/>
      <c r="W2268" s="164"/>
      <c r="X2268" s="164"/>
      <c r="Y2268" s="164"/>
      <c r="Z2268" s="164"/>
      <c r="AA2268" s="164"/>
      <c r="AB2268" s="164"/>
      <c r="AC2268" s="164"/>
      <c r="AD2268" s="164"/>
      <c r="AE2268" s="164"/>
      <c r="AF2268" s="164"/>
      <c r="AG2268" s="164"/>
      <c r="AH2268" s="164"/>
      <c r="AI2268" s="164"/>
    </row>
    <row r="2269">
      <c r="A2269" s="176"/>
      <c r="B2269" s="177"/>
      <c r="C2269" s="178"/>
      <c r="D2269" s="178"/>
      <c r="E2269" s="177"/>
      <c r="F2269" s="178"/>
      <c r="G2269" s="176"/>
      <c r="H2269" s="179"/>
      <c r="I2269" s="180"/>
      <c r="J2269" s="181"/>
      <c r="K2269" s="178"/>
      <c r="L2269" s="178"/>
      <c r="M2269" s="182"/>
      <c r="N2269" s="183"/>
      <c r="O2269" s="184"/>
      <c r="P2269" s="184"/>
      <c r="Q2269" s="185"/>
      <c r="R2269" s="186"/>
      <c r="S2269" s="186"/>
      <c r="T2269" s="162"/>
      <c r="U2269" s="163"/>
      <c r="V2269" s="154"/>
      <c r="W2269" s="164"/>
      <c r="X2269" s="164"/>
      <c r="Y2269" s="164"/>
      <c r="Z2269" s="164"/>
      <c r="AA2269" s="164"/>
      <c r="AB2269" s="164"/>
      <c r="AC2269" s="164"/>
      <c r="AD2269" s="164"/>
      <c r="AE2269" s="164"/>
      <c r="AF2269" s="164"/>
      <c r="AG2269" s="164"/>
      <c r="AH2269" s="164"/>
      <c r="AI2269" s="164"/>
    </row>
    <row r="2270">
      <c r="A2270" s="176"/>
      <c r="B2270" s="177"/>
      <c r="C2270" s="178"/>
      <c r="D2270" s="178"/>
      <c r="E2270" s="177"/>
      <c r="F2270" s="178"/>
      <c r="G2270" s="176"/>
      <c r="H2270" s="179"/>
      <c r="I2270" s="180"/>
      <c r="J2270" s="181"/>
      <c r="K2270" s="178"/>
      <c r="L2270" s="178"/>
      <c r="M2270" s="182"/>
      <c r="N2270" s="183"/>
      <c r="O2270" s="184"/>
      <c r="P2270" s="184"/>
      <c r="Q2270" s="185"/>
      <c r="R2270" s="186"/>
      <c r="S2270" s="186"/>
      <c r="T2270" s="162"/>
      <c r="U2270" s="163"/>
      <c r="V2270" s="215"/>
      <c r="W2270" s="164"/>
      <c r="X2270" s="164"/>
      <c r="Y2270" s="164"/>
      <c r="Z2270" s="164"/>
      <c r="AA2270" s="164"/>
      <c r="AB2270" s="164"/>
      <c r="AC2270" s="164"/>
      <c r="AD2270" s="164"/>
      <c r="AE2270" s="164"/>
      <c r="AF2270" s="164"/>
      <c r="AG2270" s="164"/>
      <c r="AH2270" s="164"/>
      <c r="AI2270" s="164"/>
    </row>
    <row r="2271">
      <c r="A2271" s="176"/>
      <c r="B2271" s="177"/>
      <c r="C2271" s="178"/>
      <c r="D2271" s="178"/>
      <c r="E2271" s="177"/>
      <c r="F2271" s="178"/>
      <c r="G2271" s="176"/>
      <c r="H2271" s="179"/>
      <c r="I2271" s="180"/>
      <c r="J2271" s="181"/>
      <c r="K2271" s="178"/>
      <c r="L2271" s="178"/>
      <c r="M2271" s="182"/>
      <c r="N2271" s="183"/>
      <c r="O2271" s="184"/>
      <c r="P2271" s="184"/>
      <c r="Q2271" s="185"/>
      <c r="R2271" s="186"/>
      <c r="S2271" s="186"/>
      <c r="T2271" s="162"/>
      <c r="U2271" s="163"/>
      <c r="V2271" s="215"/>
      <c r="W2271" s="164"/>
      <c r="X2271" s="164"/>
      <c r="Y2271" s="164"/>
      <c r="Z2271" s="164"/>
      <c r="AA2271" s="164"/>
      <c r="AB2271" s="164"/>
      <c r="AC2271" s="164"/>
      <c r="AD2271" s="164"/>
      <c r="AE2271" s="164"/>
      <c r="AF2271" s="164"/>
      <c r="AG2271" s="164"/>
      <c r="AH2271" s="164"/>
      <c r="AI2271" s="164"/>
    </row>
    <row r="2272">
      <c r="A2272" s="176"/>
      <c r="B2272" s="177"/>
      <c r="C2272" s="178"/>
      <c r="D2272" s="178"/>
      <c r="E2272" s="177"/>
      <c r="F2272" s="178"/>
      <c r="G2272" s="176"/>
      <c r="H2272" s="179"/>
      <c r="I2272" s="180"/>
      <c r="J2272" s="181"/>
      <c r="K2272" s="178"/>
      <c r="L2272" s="178"/>
      <c r="M2272" s="182"/>
      <c r="N2272" s="183"/>
      <c r="O2272" s="184"/>
      <c r="P2272" s="184"/>
      <c r="Q2272" s="185"/>
      <c r="R2272" s="186"/>
      <c r="S2272" s="186"/>
      <c r="T2272" s="186"/>
      <c r="U2272" s="187"/>
      <c r="V2272" s="176"/>
      <c r="W2272" s="164"/>
      <c r="X2272" s="164"/>
      <c r="Y2272" s="164"/>
      <c r="Z2272" s="164"/>
      <c r="AA2272" s="164"/>
      <c r="AB2272" s="164"/>
      <c r="AC2272" s="164"/>
      <c r="AD2272" s="164"/>
      <c r="AE2272" s="164"/>
      <c r="AF2272" s="164"/>
      <c r="AG2272" s="164"/>
      <c r="AH2272" s="164"/>
      <c r="AI2272" s="164"/>
    </row>
    <row r="2273">
      <c r="A2273" s="176"/>
      <c r="B2273" s="177"/>
      <c r="C2273" s="178"/>
      <c r="D2273" s="178"/>
      <c r="E2273" s="177"/>
      <c r="F2273" s="178"/>
      <c r="G2273" s="176"/>
      <c r="H2273" s="179"/>
      <c r="I2273" s="180"/>
      <c r="J2273" s="181"/>
      <c r="K2273" s="178"/>
      <c r="L2273" s="178"/>
      <c r="M2273" s="182"/>
      <c r="N2273" s="183"/>
      <c r="O2273" s="184"/>
      <c r="P2273" s="184"/>
      <c r="Q2273" s="185"/>
      <c r="R2273" s="186"/>
      <c r="S2273" s="186"/>
      <c r="T2273" s="186"/>
      <c r="U2273" s="187"/>
      <c r="V2273" s="176"/>
      <c r="W2273" s="164"/>
      <c r="X2273" s="164"/>
      <c r="Y2273" s="164"/>
      <c r="Z2273" s="164"/>
      <c r="AA2273" s="164"/>
      <c r="AB2273" s="164"/>
      <c r="AC2273" s="164"/>
      <c r="AD2273" s="164"/>
      <c r="AE2273" s="164"/>
      <c r="AF2273" s="164"/>
      <c r="AG2273" s="164"/>
      <c r="AH2273" s="164"/>
      <c r="AI2273" s="164"/>
    </row>
    <row r="2274">
      <c r="A2274" s="176"/>
      <c r="B2274" s="177"/>
      <c r="C2274" s="178"/>
      <c r="D2274" s="178"/>
      <c r="E2274" s="177"/>
      <c r="F2274" s="178"/>
      <c r="G2274" s="176"/>
      <c r="H2274" s="179"/>
      <c r="I2274" s="180"/>
      <c r="J2274" s="181"/>
      <c r="K2274" s="178"/>
      <c r="L2274" s="178"/>
      <c r="M2274" s="182"/>
      <c r="N2274" s="183"/>
      <c r="O2274" s="184"/>
      <c r="P2274" s="184"/>
      <c r="Q2274" s="185"/>
      <c r="R2274" s="186"/>
      <c r="S2274" s="186"/>
      <c r="T2274" s="186"/>
      <c r="U2274" s="187"/>
      <c r="V2274" s="176"/>
      <c r="W2274" s="164"/>
      <c r="X2274" s="164"/>
      <c r="Y2274" s="164"/>
      <c r="Z2274" s="164"/>
      <c r="AA2274" s="164"/>
      <c r="AB2274" s="164"/>
      <c r="AC2274" s="164"/>
      <c r="AD2274" s="164"/>
      <c r="AE2274" s="164"/>
      <c r="AF2274" s="164"/>
      <c r="AG2274" s="164"/>
      <c r="AH2274" s="164"/>
      <c r="AI2274" s="164"/>
    </row>
    <row r="2275">
      <c r="A2275" s="176"/>
      <c r="B2275" s="177"/>
      <c r="C2275" s="178"/>
      <c r="D2275" s="178"/>
      <c r="E2275" s="177"/>
      <c r="F2275" s="178"/>
      <c r="G2275" s="176"/>
      <c r="H2275" s="179"/>
      <c r="I2275" s="180"/>
      <c r="J2275" s="181"/>
      <c r="K2275" s="178"/>
      <c r="L2275" s="178"/>
      <c r="M2275" s="182"/>
      <c r="N2275" s="183"/>
      <c r="O2275" s="184"/>
      <c r="P2275" s="184"/>
      <c r="Q2275" s="185"/>
      <c r="R2275" s="186"/>
      <c r="S2275" s="186"/>
      <c r="T2275" s="186"/>
      <c r="U2275" s="187"/>
      <c r="V2275" s="176"/>
      <c r="W2275" s="164"/>
      <c r="X2275" s="164"/>
      <c r="Y2275" s="164"/>
      <c r="Z2275" s="164"/>
      <c r="AA2275" s="164"/>
      <c r="AB2275" s="164"/>
      <c r="AC2275" s="164"/>
      <c r="AD2275" s="164"/>
      <c r="AE2275" s="164"/>
      <c r="AF2275" s="164"/>
      <c r="AG2275" s="164"/>
      <c r="AH2275" s="164"/>
      <c r="AI2275" s="164"/>
    </row>
    <row r="2276">
      <c r="A2276" s="176"/>
      <c r="B2276" s="177"/>
      <c r="C2276" s="178"/>
      <c r="D2276" s="178"/>
      <c r="E2276" s="177"/>
      <c r="F2276" s="178"/>
      <c r="G2276" s="176"/>
      <c r="H2276" s="179"/>
      <c r="I2276" s="180"/>
      <c r="J2276" s="181"/>
      <c r="K2276" s="178"/>
      <c r="L2276" s="178"/>
      <c r="M2276" s="182"/>
      <c r="N2276" s="183"/>
      <c r="O2276" s="184"/>
      <c r="P2276" s="184"/>
      <c r="Q2276" s="185"/>
      <c r="R2276" s="186"/>
      <c r="S2276" s="186"/>
      <c r="T2276" s="186"/>
      <c r="U2276" s="187"/>
      <c r="V2276" s="176"/>
      <c r="W2276" s="164"/>
      <c r="X2276" s="164"/>
      <c r="Y2276" s="164"/>
      <c r="Z2276" s="164"/>
      <c r="AA2276" s="164"/>
      <c r="AB2276" s="164"/>
      <c r="AC2276" s="164"/>
      <c r="AD2276" s="164"/>
      <c r="AE2276" s="164"/>
      <c r="AF2276" s="164"/>
      <c r="AG2276" s="164"/>
      <c r="AH2276" s="164"/>
      <c r="AI2276" s="164"/>
    </row>
    <row r="2277">
      <c r="A2277" s="176"/>
      <c r="B2277" s="177"/>
      <c r="C2277" s="178"/>
      <c r="D2277" s="178"/>
      <c r="E2277" s="177"/>
      <c r="F2277" s="178"/>
      <c r="G2277" s="176"/>
      <c r="H2277" s="179"/>
      <c r="I2277" s="180"/>
      <c r="J2277" s="181"/>
      <c r="K2277" s="178"/>
      <c r="L2277" s="178"/>
      <c r="M2277" s="182"/>
      <c r="N2277" s="183"/>
      <c r="O2277" s="184"/>
      <c r="P2277" s="184"/>
      <c r="Q2277" s="185"/>
      <c r="R2277" s="186"/>
      <c r="S2277" s="186"/>
      <c r="T2277" s="186"/>
      <c r="U2277" s="187"/>
      <c r="V2277" s="176"/>
      <c r="W2277" s="164"/>
      <c r="X2277" s="164"/>
      <c r="Y2277" s="164"/>
      <c r="Z2277" s="164"/>
      <c r="AA2277" s="164"/>
      <c r="AB2277" s="164"/>
      <c r="AC2277" s="164"/>
      <c r="AD2277" s="164"/>
      <c r="AE2277" s="164"/>
      <c r="AF2277" s="164"/>
      <c r="AG2277" s="164"/>
      <c r="AH2277" s="164"/>
      <c r="AI2277" s="164"/>
    </row>
    <row r="2278">
      <c r="A2278" s="176"/>
      <c r="B2278" s="177"/>
      <c r="C2278" s="178"/>
      <c r="D2278" s="178"/>
      <c r="E2278" s="177"/>
      <c r="F2278" s="178"/>
      <c r="G2278" s="176"/>
      <c r="H2278" s="179"/>
      <c r="I2278" s="180"/>
      <c r="J2278" s="181"/>
      <c r="K2278" s="178"/>
      <c r="L2278" s="178"/>
      <c r="M2278" s="182"/>
      <c r="N2278" s="183"/>
      <c r="O2278" s="184"/>
      <c r="P2278" s="184"/>
      <c r="Q2278" s="185"/>
      <c r="R2278" s="186"/>
      <c r="S2278" s="186"/>
      <c r="T2278" s="186"/>
      <c r="U2278" s="187"/>
      <c r="V2278" s="176"/>
      <c r="W2278" s="164"/>
      <c r="X2278" s="164"/>
      <c r="Y2278" s="164"/>
      <c r="Z2278" s="164"/>
      <c r="AA2278" s="164"/>
      <c r="AB2278" s="164"/>
      <c r="AC2278" s="164"/>
      <c r="AD2278" s="164"/>
      <c r="AE2278" s="164"/>
      <c r="AF2278" s="164"/>
      <c r="AG2278" s="164"/>
      <c r="AH2278" s="164"/>
      <c r="AI2278" s="164"/>
    </row>
    <row r="2279">
      <c r="A2279" s="176"/>
      <c r="B2279" s="177"/>
      <c r="C2279" s="178"/>
      <c r="D2279" s="178"/>
      <c r="E2279" s="177"/>
      <c r="F2279" s="178"/>
      <c r="G2279" s="176"/>
      <c r="H2279" s="179"/>
      <c r="I2279" s="180"/>
      <c r="J2279" s="181"/>
      <c r="K2279" s="178"/>
      <c r="L2279" s="178"/>
      <c r="M2279" s="182"/>
      <c r="N2279" s="183"/>
      <c r="O2279" s="184"/>
      <c r="P2279" s="184"/>
      <c r="Q2279" s="185"/>
      <c r="R2279" s="186"/>
      <c r="S2279" s="186"/>
      <c r="T2279" s="186"/>
      <c r="U2279" s="187"/>
      <c r="V2279" s="176"/>
      <c r="W2279" s="164"/>
      <c r="X2279" s="164"/>
      <c r="Y2279" s="164"/>
      <c r="Z2279" s="164"/>
      <c r="AA2279" s="164"/>
      <c r="AB2279" s="164"/>
      <c r="AC2279" s="164"/>
      <c r="AD2279" s="164"/>
      <c r="AE2279" s="164"/>
      <c r="AF2279" s="164"/>
      <c r="AG2279" s="164"/>
      <c r="AH2279" s="164"/>
      <c r="AI2279" s="164"/>
    </row>
    <row r="2280">
      <c r="A2280" s="216"/>
      <c r="B2280" s="155"/>
      <c r="C2280" s="156"/>
      <c r="D2280" s="156"/>
      <c r="E2280" s="155"/>
      <c r="F2280" s="156"/>
      <c r="G2280" s="154"/>
      <c r="H2280" s="157"/>
      <c r="I2280" s="158"/>
      <c r="J2280" s="159"/>
      <c r="K2280" s="156"/>
      <c r="L2280" s="156"/>
      <c r="M2280" s="155"/>
      <c r="N2280" s="160"/>
      <c r="O2280" s="161"/>
      <c r="P2280" s="161"/>
      <c r="Q2280" s="203"/>
      <c r="R2280" s="162"/>
      <c r="S2280" s="162"/>
      <c r="T2280" s="162"/>
      <c r="U2280" s="163"/>
      <c r="V2280" s="154"/>
      <c r="W2280" s="164"/>
      <c r="X2280" s="164"/>
      <c r="Y2280" s="164"/>
      <c r="Z2280" s="164"/>
      <c r="AA2280" s="164"/>
      <c r="AB2280" s="164"/>
      <c r="AC2280" s="164"/>
      <c r="AD2280" s="164"/>
      <c r="AE2280" s="164"/>
      <c r="AF2280" s="164"/>
      <c r="AG2280" s="164"/>
      <c r="AH2280" s="164"/>
      <c r="AI2280" s="164"/>
    </row>
    <row r="2281">
      <c r="A2281" s="154"/>
      <c r="B2281" s="155"/>
      <c r="C2281" s="156"/>
      <c r="D2281" s="156"/>
      <c r="E2281" s="155"/>
      <c r="F2281" s="156"/>
      <c r="G2281" s="154"/>
      <c r="H2281" s="157"/>
      <c r="I2281" s="158"/>
      <c r="J2281" s="159"/>
      <c r="K2281" s="156"/>
      <c r="L2281" s="156"/>
      <c r="M2281" s="202"/>
      <c r="N2281" s="160"/>
      <c r="O2281" s="161"/>
      <c r="P2281" s="161"/>
      <c r="Q2281" s="203"/>
      <c r="R2281" s="162"/>
      <c r="S2281" s="162"/>
      <c r="T2281" s="162"/>
      <c r="U2281" s="163"/>
      <c r="V2281" s="215"/>
      <c r="W2281" s="164"/>
      <c r="X2281" s="164"/>
      <c r="Y2281" s="164"/>
      <c r="Z2281" s="164"/>
      <c r="AA2281" s="164"/>
      <c r="AB2281" s="164"/>
      <c r="AC2281" s="164"/>
      <c r="AD2281" s="164"/>
      <c r="AE2281" s="164"/>
      <c r="AF2281" s="164"/>
      <c r="AG2281" s="164"/>
      <c r="AH2281" s="164"/>
      <c r="AI2281" s="164"/>
    </row>
    <row r="2282">
      <c r="A2282" s="176"/>
      <c r="B2282" s="177"/>
      <c r="C2282" s="178"/>
      <c r="D2282" s="178"/>
      <c r="E2282" s="177"/>
      <c r="F2282" s="178"/>
      <c r="G2282" s="176"/>
      <c r="H2282" s="179"/>
      <c r="I2282" s="180"/>
      <c r="J2282" s="181"/>
      <c r="K2282" s="178"/>
      <c r="L2282" s="178"/>
      <c r="M2282" s="182"/>
      <c r="N2282" s="183"/>
      <c r="O2282" s="184"/>
      <c r="P2282" s="184"/>
      <c r="Q2282" s="185"/>
      <c r="R2282" s="186"/>
      <c r="S2282" s="186"/>
      <c r="T2282" s="186"/>
      <c r="U2282" s="187"/>
      <c r="V2282" s="176"/>
      <c r="W2282" s="164"/>
      <c r="X2282" s="164"/>
      <c r="Y2282" s="164"/>
      <c r="Z2282" s="164"/>
      <c r="AA2282" s="164"/>
      <c r="AB2282" s="164"/>
      <c r="AC2282" s="164"/>
      <c r="AD2282" s="164"/>
      <c r="AE2282" s="164"/>
      <c r="AF2282" s="164"/>
      <c r="AG2282" s="164"/>
      <c r="AH2282" s="164"/>
      <c r="AI2282" s="164"/>
    </row>
    <row r="2283">
      <c r="A2283" s="176"/>
      <c r="B2283" s="177"/>
      <c r="C2283" s="178"/>
      <c r="D2283" s="178"/>
      <c r="E2283" s="177"/>
      <c r="F2283" s="178"/>
      <c r="G2283" s="176"/>
      <c r="H2283" s="179"/>
      <c r="I2283" s="180"/>
      <c r="J2283" s="181"/>
      <c r="K2283" s="178"/>
      <c r="L2283" s="178"/>
      <c r="M2283" s="182"/>
      <c r="N2283" s="183"/>
      <c r="O2283" s="184"/>
      <c r="P2283" s="184"/>
      <c r="Q2283" s="185"/>
      <c r="R2283" s="186"/>
      <c r="S2283" s="186"/>
      <c r="T2283" s="186"/>
      <c r="U2283" s="187"/>
      <c r="V2283" s="176"/>
      <c r="W2283" s="164"/>
      <c r="X2283" s="164"/>
      <c r="Y2283" s="164"/>
      <c r="Z2283" s="164"/>
      <c r="AA2283" s="164"/>
      <c r="AB2283" s="164"/>
      <c r="AC2283" s="164"/>
      <c r="AD2283" s="164"/>
      <c r="AE2283" s="164"/>
      <c r="AF2283" s="164"/>
      <c r="AG2283" s="164"/>
      <c r="AH2283" s="164"/>
      <c r="AI2283" s="164"/>
    </row>
    <row r="2284">
      <c r="A2284" s="176"/>
      <c r="B2284" s="177"/>
      <c r="C2284" s="178"/>
      <c r="D2284" s="178"/>
      <c r="E2284" s="177"/>
      <c r="F2284" s="178"/>
      <c r="G2284" s="176"/>
      <c r="H2284" s="179"/>
      <c r="I2284" s="180"/>
      <c r="J2284" s="181"/>
      <c r="K2284" s="178"/>
      <c r="L2284" s="178"/>
      <c r="M2284" s="182"/>
      <c r="N2284" s="183"/>
      <c r="O2284" s="184"/>
      <c r="P2284" s="184"/>
      <c r="Q2284" s="185"/>
      <c r="R2284" s="186"/>
      <c r="S2284" s="186"/>
      <c r="T2284" s="186"/>
      <c r="U2284" s="187"/>
      <c r="V2284" s="176"/>
      <c r="W2284" s="164"/>
      <c r="X2284" s="164"/>
      <c r="Y2284" s="164"/>
      <c r="Z2284" s="164"/>
      <c r="AA2284" s="164"/>
      <c r="AB2284" s="164"/>
      <c r="AC2284" s="164"/>
      <c r="AD2284" s="164"/>
      <c r="AE2284" s="164"/>
      <c r="AF2284" s="164"/>
      <c r="AG2284" s="164"/>
      <c r="AH2284" s="164"/>
      <c r="AI2284" s="164"/>
    </row>
    <row r="2285">
      <c r="A2285" s="154"/>
      <c r="B2285" s="155"/>
      <c r="C2285" s="156"/>
      <c r="D2285" s="156"/>
      <c r="E2285" s="155"/>
      <c r="F2285" s="156"/>
      <c r="G2285" s="154"/>
      <c r="H2285" s="157"/>
      <c r="I2285" s="158"/>
      <c r="J2285" s="159"/>
      <c r="K2285" s="156"/>
      <c r="L2285" s="156"/>
      <c r="M2285" s="202"/>
      <c r="N2285" s="160"/>
      <c r="O2285" s="161"/>
      <c r="P2285" s="161"/>
      <c r="Q2285" s="203"/>
      <c r="R2285" s="162"/>
      <c r="S2285" s="162"/>
      <c r="T2285" s="162"/>
      <c r="U2285" s="163"/>
      <c r="V2285" s="154"/>
      <c r="W2285" s="164"/>
      <c r="X2285" s="164"/>
      <c r="Y2285" s="164"/>
      <c r="Z2285" s="164"/>
      <c r="AA2285" s="164"/>
      <c r="AB2285" s="164"/>
      <c r="AC2285" s="164"/>
      <c r="AD2285" s="164"/>
      <c r="AE2285" s="164"/>
      <c r="AF2285" s="164"/>
      <c r="AG2285" s="164"/>
      <c r="AH2285" s="164"/>
      <c r="AI2285" s="164"/>
    </row>
    <row r="2286">
      <c r="A2286" s="176"/>
      <c r="B2286" s="177"/>
      <c r="C2286" s="178"/>
      <c r="D2286" s="178"/>
      <c r="E2286" s="177"/>
      <c r="F2286" s="178"/>
      <c r="G2286" s="176"/>
      <c r="H2286" s="179"/>
      <c r="I2286" s="180"/>
      <c r="J2286" s="181"/>
      <c r="K2286" s="178"/>
      <c r="L2286" s="178"/>
      <c r="M2286" s="182"/>
      <c r="N2286" s="183"/>
      <c r="O2286" s="184"/>
      <c r="P2286" s="184"/>
      <c r="Q2286" s="185"/>
      <c r="R2286" s="186"/>
      <c r="S2286" s="186"/>
      <c r="T2286" s="186"/>
      <c r="U2286" s="187"/>
      <c r="V2286" s="176"/>
      <c r="W2286" s="164"/>
      <c r="X2286" s="164"/>
      <c r="Y2286" s="164"/>
      <c r="Z2286" s="164"/>
      <c r="AA2286" s="164"/>
      <c r="AB2286" s="164"/>
      <c r="AC2286" s="164"/>
      <c r="AD2286" s="164"/>
      <c r="AE2286" s="164"/>
      <c r="AF2286" s="164"/>
      <c r="AG2286" s="164"/>
      <c r="AH2286" s="164"/>
      <c r="AI2286" s="164"/>
    </row>
    <row r="2287">
      <c r="A2287" s="176"/>
      <c r="B2287" s="177"/>
      <c r="C2287" s="178"/>
      <c r="D2287" s="178"/>
      <c r="E2287" s="177"/>
      <c r="F2287" s="178"/>
      <c r="G2287" s="176"/>
      <c r="H2287" s="179"/>
      <c r="I2287" s="180"/>
      <c r="J2287" s="181"/>
      <c r="K2287" s="178"/>
      <c r="L2287" s="178"/>
      <c r="M2287" s="182"/>
      <c r="N2287" s="183"/>
      <c r="O2287" s="184"/>
      <c r="P2287" s="184"/>
      <c r="Q2287" s="185"/>
      <c r="R2287" s="186"/>
      <c r="S2287" s="186"/>
      <c r="T2287" s="186"/>
      <c r="U2287" s="187"/>
      <c r="V2287" s="176"/>
      <c r="W2287" s="164"/>
      <c r="X2287" s="164"/>
      <c r="Y2287" s="164"/>
      <c r="Z2287" s="164"/>
      <c r="AA2287" s="164"/>
      <c r="AB2287" s="164"/>
      <c r="AC2287" s="164"/>
      <c r="AD2287" s="164"/>
      <c r="AE2287" s="164"/>
      <c r="AF2287" s="164"/>
      <c r="AG2287" s="164"/>
      <c r="AH2287" s="164"/>
      <c r="AI2287" s="164"/>
    </row>
    <row r="2288">
      <c r="A2288" s="154"/>
      <c r="B2288" s="155"/>
      <c r="C2288" s="156"/>
      <c r="D2288" s="156"/>
      <c r="E2288" s="155"/>
      <c r="F2288" s="156"/>
      <c r="G2288" s="154"/>
      <c r="H2288" s="157"/>
      <c r="I2288" s="158"/>
      <c r="J2288" s="159"/>
      <c r="K2288" s="156"/>
      <c r="L2288" s="156"/>
      <c r="M2288" s="202"/>
      <c r="N2288" s="160"/>
      <c r="O2288" s="161"/>
      <c r="P2288" s="161"/>
      <c r="Q2288" s="203"/>
      <c r="R2288" s="162"/>
      <c r="S2288" s="162"/>
      <c r="T2288" s="162"/>
      <c r="U2288" s="163"/>
      <c r="V2288" s="154"/>
      <c r="W2288" s="164"/>
      <c r="X2288" s="164"/>
      <c r="Y2288" s="164"/>
      <c r="Z2288" s="164"/>
      <c r="AA2288" s="164"/>
      <c r="AB2288" s="164"/>
      <c r="AC2288" s="164"/>
      <c r="AD2288" s="164"/>
      <c r="AE2288" s="164"/>
      <c r="AF2288" s="164"/>
      <c r="AG2288" s="164"/>
      <c r="AH2288" s="164"/>
      <c r="AI2288" s="164"/>
    </row>
    <row r="2289">
      <c r="A2289" s="154"/>
      <c r="B2289" s="155"/>
      <c r="C2289" s="156"/>
      <c r="D2289" s="156"/>
      <c r="E2289" s="155"/>
      <c r="F2289" s="156"/>
      <c r="G2289" s="154"/>
      <c r="H2289" s="157"/>
      <c r="I2289" s="158"/>
      <c r="J2289" s="159"/>
      <c r="K2289" s="156"/>
      <c r="L2289" s="156"/>
      <c r="M2289" s="202"/>
      <c r="N2289" s="160"/>
      <c r="O2289" s="161"/>
      <c r="P2289" s="161"/>
      <c r="Q2289" s="203"/>
      <c r="R2289" s="162"/>
      <c r="S2289" s="162"/>
      <c r="T2289" s="162"/>
      <c r="U2289" s="163"/>
      <c r="V2289" s="154"/>
      <c r="W2289" s="164"/>
      <c r="X2289" s="164"/>
      <c r="Y2289" s="164"/>
      <c r="Z2289" s="164"/>
      <c r="AA2289" s="164"/>
      <c r="AB2289" s="164"/>
      <c r="AC2289" s="164"/>
      <c r="AD2289" s="164"/>
      <c r="AE2289" s="164"/>
      <c r="AF2289" s="164"/>
      <c r="AG2289" s="164"/>
      <c r="AH2289" s="164"/>
      <c r="AI2289" s="164"/>
    </row>
    <row r="2290">
      <c r="A2290" s="176"/>
      <c r="B2290" s="177"/>
      <c r="C2290" s="178"/>
      <c r="D2290" s="178"/>
      <c r="E2290" s="177"/>
      <c r="F2290" s="178"/>
      <c r="G2290" s="176"/>
      <c r="H2290" s="179"/>
      <c r="I2290" s="180"/>
      <c r="J2290" s="181"/>
      <c r="K2290" s="178"/>
      <c r="L2290" s="178"/>
      <c r="M2290" s="182"/>
      <c r="N2290" s="183"/>
      <c r="O2290" s="184"/>
      <c r="P2290" s="184"/>
      <c r="Q2290" s="185"/>
      <c r="R2290" s="186"/>
      <c r="S2290" s="186"/>
      <c r="T2290" s="186"/>
      <c r="U2290" s="187"/>
      <c r="V2290" s="176"/>
      <c r="W2290" s="164"/>
      <c r="X2290" s="164"/>
      <c r="Y2290" s="164"/>
      <c r="Z2290" s="164"/>
      <c r="AA2290" s="164"/>
      <c r="AB2290" s="164"/>
      <c r="AC2290" s="164"/>
      <c r="AD2290" s="164"/>
      <c r="AE2290" s="164"/>
      <c r="AF2290" s="164"/>
      <c r="AG2290" s="164"/>
      <c r="AH2290" s="164"/>
      <c r="AI2290" s="164"/>
    </row>
    <row r="2291">
      <c r="A2291" s="176"/>
      <c r="B2291" s="177"/>
      <c r="C2291" s="178"/>
      <c r="D2291" s="178"/>
      <c r="E2291" s="177"/>
      <c r="F2291" s="178"/>
      <c r="G2291" s="176"/>
      <c r="H2291" s="179"/>
      <c r="I2291" s="180"/>
      <c r="J2291" s="181"/>
      <c r="K2291" s="178"/>
      <c r="L2291" s="178"/>
      <c r="M2291" s="182"/>
      <c r="N2291" s="183"/>
      <c r="O2291" s="184"/>
      <c r="P2291" s="184"/>
      <c r="Q2291" s="185"/>
      <c r="R2291" s="186"/>
      <c r="S2291" s="186"/>
      <c r="T2291" s="186"/>
      <c r="U2291" s="187"/>
      <c r="V2291" s="176"/>
      <c r="W2291" s="164"/>
      <c r="X2291" s="164"/>
      <c r="Y2291" s="164"/>
      <c r="Z2291" s="164"/>
      <c r="AA2291" s="164"/>
      <c r="AB2291" s="164"/>
      <c r="AC2291" s="164"/>
      <c r="AD2291" s="164"/>
      <c r="AE2291" s="164"/>
      <c r="AF2291" s="164"/>
      <c r="AG2291" s="164"/>
      <c r="AH2291" s="164"/>
      <c r="AI2291" s="164"/>
    </row>
    <row r="2292">
      <c r="A2292" s="176"/>
      <c r="B2292" s="177"/>
      <c r="C2292" s="178"/>
      <c r="D2292" s="178"/>
      <c r="E2292" s="177"/>
      <c r="F2292" s="178"/>
      <c r="G2292" s="176"/>
      <c r="H2292" s="179"/>
      <c r="I2292" s="180"/>
      <c r="J2292" s="181"/>
      <c r="K2292" s="178"/>
      <c r="L2292" s="178"/>
      <c r="M2292" s="182"/>
      <c r="N2292" s="183"/>
      <c r="O2292" s="184"/>
      <c r="P2292" s="184"/>
      <c r="Q2292" s="185"/>
      <c r="R2292" s="186"/>
      <c r="S2292" s="186"/>
      <c r="T2292" s="186"/>
      <c r="U2292" s="187"/>
      <c r="V2292" s="176"/>
      <c r="W2292" s="164"/>
      <c r="X2292" s="164"/>
      <c r="Y2292" s="164"/>
      <c r="Z2292" s="164"/>
      <c r="AA2292" s="164"/>
      <c r="AB2292" s="164"/>
      <c r="AC2292" s="164"/>
      <c r="AD2292" s="164"/>
      <c r="AE2292" s="164"/>
      <c r="AF2292" s="164"/>
      <c r="AG2292" s="164"/>
      <c r="AH2292" s="164"/>
      <c r="AI2292" s="164"/>
    </row>
    <row r="2293">
      <c r="A2293" s="176"/>
      <c r="B2293" s="177"/>
      <c r="C2293" s="178"/>
      <c r="D2293" s="178"/>
      <c r="E2293" s="177"/>
      <c r="F2293" s="178"/>
      <c r="G2293" s="176"/>
      <c r="H2293" s="179"/>
      <c r="I2293" s="180"/>
      <c r="J2293" s="181"/>
      <c r="K2293" s="178"/>
      <c r="L2293" s="178"/>
      <c r="M2293" s="182"/>
      <c r="N2293" s="183"/>
      <c r="O2293" s="184"/>
      <c r="P2293" s="184"/>
      <c r="Q2293" s="185"/>
      <c r="R2293" s="186"/>
      <c r="S2293" s="186"/>
      <c r="T2293" s="186"/>
      <c r="U2293" s="187"/>
      <c r="V2293" s="176"/>
      <c r="W2293" s="164"/>
      <c r="X2293" s="164"/>
      <c r="Y2293" s="164"/>
      <c r="Z2293" s="164"/>
      <c r="AA2293" s="164"/>
      <c r="AB2293" s="164"/>
      <c r="AC2293" s="164"/>
      <c r="AD2293" s="164"/>
      <c r="AE2293" s="164"/>
      <c r="AF2293" s="164"/>
      <c r="AG2293" s="164"/>
      <c r="AH2293" s="164"/>
      <c r="AI2293" s="164"/>
    </row>
    <row r="2294">
      <c r="A2294" s="176"/>
      <c r="B2294" s="177"/>
      <c r="C2294" s="178"/>
      <c r="D2294" s="178"/>
      <c r="E2294" s="177"/>
      <c r="F2294" s="178"/>
      <c r="G2294" s="176"/>
      <c r="H2294" s="179"/>
      <c r="I2294" s="180"/>
      <c r="J2294" s="181"/>
      <c r="K2294" s="178"/>
      <c r="L2294" s="178"/>
      <c r="M2294" s="182"/>
      <c r="N2294" s="183"/>
      <c r="O2294" s="184"/>
      <c r="P2294" s="184"/>
      <c r="Q2294" s="185"/>
      <c r="R2294" s="186"/>
      <c r="S2294" s="186"/>
      <c r="T2294" s="186"/>
      <c r="U2294" s="187"/>
      <c r="V2294" s="176"/>
      <c r="W2294" s="164"/>
      <c r="X2294" s="164"/>
      <c r="Y2294" s="164"/>
      <c r="Z2294" s="164"/>
      <c r="AA2294" s="164"/>
      <c r="AB2294" s="164"/>
      <c r="AC2294" s="164"/>
      <c r="AD2294" s="164"/>
      <c r="AE2294" s="164"/>
      <c r="AF2294" s="164"/>
      <c r="AG2294" s="164"/>
      <c r="AH2294" s="164"/>
      <c r="AI2294" s="164"/>
    </row>
    <row r="2295">
      <c r="A2295" s="176"/>
      <c r="B2295" s="177"/>
      <c r="C2295" s="178"/>
      <c r="D2295" s="178"/>
      <c r="E2295" s="177"/>
      <c r="F2295" s="178"/>
      <c r="G2295" s="176"/>
      <c r="H2295" s="179"/>
      <c r="I2295" s="180"/>
      <c r="J2295" s="181"/>
      <c r="K2295" s="178"/>
      <c r="L2295" s="178"/>
      <c r="M2295" s="182"/>
      <c r="N2295" s="183"/>
      <c r="O2295" s="184"/>
      <c r="P2295" s="184"/>
      <c r="Q2295" s="185"/>
      <c r="R2295" s="186"/>
      <c r="S2295" s="186"/>
      <c r="T2295" s="186"/>
      <c r="U2295" s="187"/>
      <c r="V2295" s="176"/>
      <c r="W2295" s="164"/>
      <c r="X2295" s="164"/>
      <c r="Y2295" s="164"/>
      <c r="Z2295" s="164"/>
      <c r="AA2295" s="164"/>
      <c r="AB2295" s="164"/>
      <c r="AC2295" s="164"/>
      <c r="AD2295" s="164"/>
      <c r="AE2295" s="164"/>
      <c r="AF2295" s="164"/>
      <c r="AG2295" s="164"/>
      <c r="AH2295" s="164"/>
      <c r="AI2295" s="164"/>
    </row>
    <row r="2296">
      <c r="A2296" s="176"/>
      <c r="B2296" s="177"/>
      <c r="C2296" s="178"/>
      <c r="D2296" s="178"/>
      <c r="E2296" s="177"/>
      <c r="F2296" s="178"/>
      <c r="G2296" s="176"/>
      <c r="H2296" s="179"/>
      <c r="I2296" s="180"/>
      <c r="J2296" s="181"/>
      <c r="K2296" s="178"/>
      <c r="L2296" s="178"/>
      <c r="M2296" s="182"/>
      <c r="N2296" s="183"/>
      <c r="O2296" s="184"/>
      <c r="P2296" s="184"/>
      <c r="Q2296" s="185"/>
      <c r="R2296" s="186"/>
      <c r="S2296" s="186"/>
      <c r="T2296" s="186"/>
      <c r="U2296" s="187"/>
      <c r="V2296" s="176"/>
      <c r="W2296" s="164"/>
      <c r="X2296" s="164"/>
      <c r="Y2296" s="164"/>
      <c r="Z2296" s="164"/>
      <c r="AA2296" s="164"/>
      <c r="AB2296" s="164"/>
      <c r="AC2296" s="164"/>
      <c r="AD2296" s="164"/>
      <c r="AE2296" s="164"/>
      <c r="AF2296" s="164"/>
      <c r="AG2296" s="164"/>
      <c r="AH2296" s="164"/>
      <c r="AI2296" s="164"/>
    </row>
    <row r="2297">
      <c r="A2297" s="176"/>
      <c r="B2297" s="177"/>
      <c r="C2297" s="178"/>
      <c r="D2297" s="178"/>
      <c r="E2297" s="177"/>
      <c r="F2297" s="178"/>
      <c r="G2297" s="176"/>
      <c r="H2297" s="179"/>
      <c r="I2297" s="180"/>
      <c r="J2297" s="181"/>
      <c r="K2297" s="178"/>
      <c r="L2297" s="178"/>
      <c r="M2297" s="182"/>
      <c r="N2297" s="183"/>
      <c r="O2297" s="184"/>
      <c r="P2297" s="184"/>
      <c r="Q2297" s="185"/>
      <c r="R2297" s="186"/>
      <c r="S2297" s="186"/>
      <c r="T2297" s="186"/>
      <c r="U2297" s="187"/>
      <c r="V2297" s="176"/>
      <c r="W2297" s="164"/>
      <c r="X2297" s="164"/>
      <c r="Y2297" s="164"/>
      <c r="Z2297" s="164"/>
      <c r="AA2297" s="164"/>
      <c r="AB2297" s="164"/>
      <c r="AC2297" s="164"/>
      <c r="AD2297" s="164"/>
      <c r="AE2297" s="164"/>
      <c r="AF2297" s="164"/>
      <c r="AG2297" s="164"/>
      <c r="AH2297" s="164"/>
      <c r="AI2297" s="164"/>
    </row>
    <row r="2298">
      <c r="A2298" s="154"/>
      <c r="B2298" s="155"/>
      <c r="C2298" s="156"/>
      <c r="D2298" s="156"/>
      <c r="E2298" s="155"/>
      <c r="F2298" s="156"/>
      <c r="G2298" s="154"/>
      <c r="H2298" s="157"/>
      <c r="I2298" s="158"/>
      <c r="J2298" s="159"/>
      <c r="K2298" s="156"/>
      <c r="L2298" s="156"/>
      <c r="M2298" s="155"/>
      <c r="N2298" s="160"/>
      <c r="O2298" s="161"/>
      <c r="P2298" s="161"/>
      <c r="Q2298" s="159"/>
      <c r="R2298" s="162"/>
      <c r="S2298" s="162"/>
      <c r="T2298" s="162"/>
      <c r="U2298" s="163"/>
      <c r="V2298" s="154"/>
      <c r="W2298" s="164"/>
      <c r="X2298" s="164"/>
      <c r="Y2298" s="164"/>
      <c r="Z2298" s="164"/>
      <c r="AA2298" s="164"/>
      <c r="AB2298" s="164"/>
      <c r="AC2298" s="164"/>
      <c r="AD2298" s="164"/>
      <c r="AE2298" s="164"/>
      <c r="AF2298" s="164"/>
      <c r="AG2298" s="164"/>
      <c r="AH2298" s="164"/>
      <c r="AI2298" s="164"/>
    </row>
    <row r="2299">
      <c r="A2299" s="176"/>
      <c r="B2299" s="177"/>
      <c r="C2299" s="178"/>
      <c r="D2299" s="178"/>
      <c r="E2299" s="177"/>
      <c r="F2299" s="178"/>
      <c r="G2299" s="176"/>
      <c r="H2299" s="179"/>
      <c r="I2299" s="180"/>
      <c r="J2299" s="181"/>
      <c r="K2299" s="178"/>
      <c r="L2299" s="178"/>
      <c r="M2299" s="182"/>
      <c r="N2299" s="183"/>
      <c r="O2299" s="184"/>
      <c r="P2299" s="184"/>
      <c r="Q2299" s="185"/>
      <c r="R2299" s="186"/>
      <c r="S2299" s="186"/>
      <c r="T2299" s="186"/>
      <c r="U2299" s="187"/>
      <c r="V2299" s="176"/>
      <c r="W2299" s="164"/>
      <c r="X2299" s="164"/>
      <c r="Y2299" s="164"/>
      <c r="Z2299" s="164"/>
      <c r="AA2299" s="164"/>
      <c r="AB2299" s="164"/>
      <c r="AC2299" s="164"/>
      <c r="AD2299" s="164"/>
      <c r="AE2299" s="164"/>
      <c r="AF2299" s="164"/>
      <c r="AG2299" s="164"/>
      <c r="AH2299" s="164"/>
      <c r="AI2299" s="164"/>
    </row>
    <row r="2300">
      <c r="A2300" s="176"/>
      <c r="B2300" s="177"/>
      <c r="C2300" s="178"/>
      <c r="D2300" s="178"/>
      <c r="E2300" s="177"/>
      <c r="F2300" s="178"/>
      <c r="G2300" s="176"/>
      <c r="H2300" s="179"/>
      <c r="I2300" s="180"/>
      <c r="J2300" s="181"/>
      <c r="K2300" s="178"/>
      <c r="L2300" s="178"/>
      <c r="M2300" s="182"/>
      <c r="N2300" s="183"/>
      <c r="O2300" s="184"/>
      <c r="P2300" s="184"/>
      <c r="Q2300" s="185"/>
      <c r="R2300" s="186"/>
      <c r="S2300" s="186"/>
      <c r="T2300" s="186"/>
      <c r="U2300" s="187"/>
      <c r="V2300" s="176"/>
      <c r="W2300" s="164"/>
      <c r="X2300" s="164"/>
      <c r="Y2300" s="164"/>
      <c r="Z2300" s="164"/>
      <c r="AA2300" s="164"/>
      <c r="AB2300" s="164"/>
      <c r="AC2300" s="164"/>
      <c r="AD2300" s="164"/>
      <c r="AE2300" s="164"/>
      <c r="AF2300" s="164"/>
      <c r="AG2300" s="164"/>
      <c r="AH2300" s="164"/>
      <c r="AI2300" s="164"/>
    </row>
    <row r="2301">
      <c r="A2301" s="176"/>
      <c r="B2301" s="177"/>
      <c r="C2301" s="178"/>
      <c r="D2301" s="178"/>
      <c r="E2301" s="177"/>
      <c r="F2301" s="178"/>
      <c r="G2301" s="176"/>
      <c r="H2301" s="179"/>
      <c r="I2301" s="180"/>
      <c r="J2301" s="181"/>
      <c r="K2301" s="178"/>
      <c r="L2301" s="178"/>
      <c r="M2301" s="182"/>
      <c r="N2301" s="183"/>
      <c r="O2301" s="184"/>
      <c r="P2301" s="184"/>
      <c r="Q2301" s="185"/>
      <c r="R2301" s="186"/>
      <c r="S2301" s="186"/>
      <c r="T2301" s="186"/>
      <c r="U2301" s="187"/>
      <c r="V2301" s="176"/>
      <c r="W2301" s="164"/>
      <c r="X2301" s="164"/>
      <c r="Y2301" s="164"/>
      <c r="Z2301" s="164"/>
      <c r="AA2301" s="164"/>
      <c r="AB2301" s="164"/>
      <c r="AC2301" s="164"/>
      <c r="AD2301" s="164"/>
      <c r="AE2301" s="164"/>
      <c r="AF2301" s="164"/>
      <c r="AG2301" s="164"/>
      <c r="AH2301" s="164"/>
      <c r="AI2301" s="164"/>
    </row>
    <row r="2302">
      <c r="A2302" s="176"/>
      <c r="B2302" s="177"/>
      <c r="C2302" s="178"/>
      <c r="D2302" s="178"/>
      <c r="E2302" s="177"/>
      <c r="F2302" s="178"/>
      <c r="G2302" s="176"/>
      <c r="H2302" s="179"/>
      <c r="I2302" s="180"/>
      <c r="J2302" s="181"/>
      <c r="K2302" s="178"/>
      <c r="L2302" s="178"/>
      <c r="M2302" s="182"/>
      <c r="N2302" s="183"/>
      <c r="O2302" s="184"/>
      <c r="P2302" s="184"/>
      <c r="Q2302" s="185"/>
      <c r="R2302" s="186"/>
      <c r="S2302" s="186"/>
      <c r="T2302" s="186"/>
      <c r="U2302" s="187"/>
      <c r="V2302" s="176"/>
      <c r="W2302" s="164"/>
      <c r="X2302" s="164"/>
      <c r="Y2302" s="164"/>
      <c r="Z2302" s="164"/>
      <c r="AA2302" s="164"/>
      <c r="AB2302" s="164"/>
      <c r="AC2302" s="164"/>
      <c r="AD2302" s="164"/>
      <c r="AE2302" s="164"/>
      <c r="AF2302" s="164"/>
      <c r="AG2302" s="164"/>
      <c r="AH2302" s="164"/>
      <c r="AI2302" s="164"/>
    </row>
    <row r="2303">
      <c r="A2303" s="176"/>
      <c r="B2303" s="177"/>
      <c r="C2303" s="178"/>
      <c r="D2303" s="178"/>
      <c r="E2303" s="177"/>
      <c r="F2303" s="178"/>
      <c r="G2303" s="176"/>
      <c r="H2303" s="179"/>
      <c r="I2303" s="180"/>
      <c r="J2303" s="181"/>
      <c r="K2303" s="178"/>
      <c r="L2303" s="178"/>
      <c r="M2303" s="182"/>
      <c r="N2303" s="183"/>
      <c r="O2303" s="184"/>
      <c r="P2303" s="184"/>
      <c r="Q2303" s="185"/>
      <c r="R2303" s="186"/>
      <c r="S2303" s="186"/>
      <c r="T2303" s="186"/>
      <c r="U2303" s="187"/>
      <c r="V2303" s="176"/>
      <c r="W2303" s="164"/>
      <c r="X2303" s="164"/>
      <c r="Y2303" s="164"/>
      <c r="Z2303" s="164"/>
      <c r="AA2303" s="164"/>
      <c r="AB2303" s="164"/>
      <c r="AC2303" s="164"/>
      <c r="AD2303" s="164"/>
      <c r="AE2303" s="164"/>
      <c r="AF2303" s="164"/>
      <c r="AG2303" s="164"/>
      <c r="AH2303" s="164"/>
      <c r="AI2303" s="164"/>
    </row>
    <row r="2304">
      <c r="A2304" s="176"/>
      <c r="B2304" s="177"/>
      <c r="C2304" s="178"/>
      <c r="D2304" s="178"/>
      <c r="E2304" s="177"/>
      <c r="F2304" s="178"/>
      <c r="G2304" s="176"/>
      <c r="H2304" s="179"/>
      <c r="I2304" s="180"/>
      <c r="J2304" s="181"/>
      <c r="K2304" s="178"/>
      <c r="L2304" s="178"/>
      <c r="M2304" s="182"/>
      <c r="N2304" s="183"/>
      <c r="O2304" s="184"/>
      <c r="P2304" s="184"/>
      <c r="Q2304" s="185"/>
      <c r="R2304" s="186"/>
      <c r="S2304" s="186"/>
      <c r="T2304" s="186"/>
      <c r="U2304" s="187"/>
      <c r="V2304" s="176"/>
      <c r="W2304" s="164"/>
      <c r="X2304" s="164"/>
      <c r="Y2304" s="164"/>
      <c r="Z2304" s="164"/>
      <c r="AA2304" s="164"/>
      <c r="AB2304" s="164"/>
      <c r="AC2304" s="164"/>
      <c r="AD2304" s="164"/>
      <c r="AE2304" s="164"/>
      <c r="AF2304" s="164"/>
      <c r="AG2304" s="164"/>
      <c r="AH2304" s="164"/>
      <c r="AI2304" s="164"/>
    </row>
    <row r="2305">
      <c r="A2305" s="176"/>
      <c r="B2305" s="177"/>
      <c r="C2305" s="178"/>
      <c r="D2305" s="178"/>
      <c r="E2305" s="177"/>
      <c r="F2305" s="178"/>
      <c r="G2305" s="176"/>
      <c r="H2305" s="179"/>
      <c r="I2305" s="180"/>
      <c r="J2305" s="181"/>
      <c r="K2305" s="178"/>
      <c r="L2305" s="178"/>
      <c r="M2305" s="182"/>
      <c r="N2305" s="183"/>
      <c r="O2305" s="184"/>
      <c r="P2305" s="184"/>
      <c r="Q2305" s="185"/>
      <c r="R2305" s="186"/>
      <c r="S2305" s="186"/>
      <c r="T2305" s="186"/>
      <c r="U2305" s="187"/>
      <c r="V2305" s="176"/>
      <c r="W2305" s="164"/>
      <c r="X2305" s="164"/>
      <c r="Y2305" s="164"/>
      <c r="Z2305" s="164"/>
      <c r="AA2305" s="164"/>
      <c r="AB2305" s="164"/>
      <c r="AC2305" s="164"/>
      <c r="AD2305" s="164"/>
      <c r="AE2305" s="164"/>
      <c r="AF2305" s="164"/>
      <c r="AG2305" s="164"/>
      <c r="AH2305" s="164"/>
      <c r="AI2305" s="164"/>
    </row>
    <row r="2306">
      <c r="A2306" s="154"/>
      <c r="B2306" s="155"/>
      <c r="C2306" s="156"/>
      <c r="D2306" s="156"/>
      <c r="E2306" s="155"/>
      <c r="F2306" s="156"/>
      <c r="G2306" s="154"/>
      <c r="H2306" s="157"/>
      <c r="I2306" s="158"/>
      <c r="J2306" s="159"/>
      <c r="K2306" s="156"/>
      <c r="L2306" s="156"/>
      <c r="M2306" s="202"/>
      <c r="N2306" s="160"/>
      <c r="O2306" s="161"/>
      <c r="P2306" s="161"/>
      <c r="Q2306" s="203"/>
      <c r="R2306" s="162"/>
      <c r="S2306" s="162"/>
      <c r="T2306" s="162"/>
      <c r="U2306" s="163"/>
      <c r="V2306" s="154"/>
      <c r="W2306" s="164"/>
      <c r="X2306" s="164"/>
      <c r="Y2306" s="164"/>
      <c r="Z2306" s="164"/>
      <c r="AA2306" s="164"/>
      <c r="AB2306" s="164"/>
      <c r="AC2306" s="164"/>
      <c r="AD2306" s="164"/>
      <c r="AE2306" s="164"/>
      <c r="AF2306" s="164"/>
      <c r="AG2306" s="164"/>
      <c r="AH2306" s="164"/>
      <c r="AI2306" s="164"/>
    </row>
    <row r="2307">
      <c r="A2307" s="154"/>
      <c r="B2307" s="155"/>
      <c r="C2307" s="156"/>
      <c r="D2307" s="156"/>
      <c r="E2307" s="155"/>
      <c r="F2307" s="156"/>
      <c r="G2307" s="154"/>
      <c r="H2307" s="157"/>
      <c r="I2307" s="158"/>
      <c r="J2307" s="159"/>
      <c r="K2307" s="156"/>
      <c r="L2307" s="156"/>
      <c r="M2307" s="155"/>
      <c r="N2307" s="160"/>
      <c r="O2307" s="161"/>
      <c r="P2307" s="161"/>
      <c r="Q2307" s="159"/>
      <c r="R2307" s="162"/>
      <c r="S2307" s="162"/>
      <c r="T2307" s="162"/>
      <c r="U2307" s="163"/>
      <c r="V2307" s="154"/>
      <c r="W2307" s="164"/>
      <c r="X2307" s="164"/>
      <c r="Y2307" s="164"/>
      <c r="Z2307" s="164"/>
      <c r="AA2307" s="164"/>
      <c r="AB2307" s="164"/>
      <c r="AC2307" s="164"/>
      <c r="AD2307" s="164"/>
      <c r="AE2307" s="164"/>
      <c r="AF2307" s="164"/>
      <c r="AG2307" s="164"/>
      <c r="AH2307" s="164"/>
      <c r="AI2307" s="164"/>
    </row>
    <row r="2308">
      <c r="A2308" s="154"/>
      <c r="B2308" s="155"/>
      <c r="C2308" s="156"/>
      <c r="D2308" s="156"/>
      <c r="E2308" s="155"/>
      <c r="F2308" s="156"/>
      <c r="G2308" s="154"/>
      <c r="H2308" s="157"/>
      <c r="I2308" s="158"/>
      <c r="J2308" s="159"/>
      <c r="K2308" s="156"/>
      <c r="L2308" s="156"/>
      <c r="M2308" s="155"/>
      <c r="N2308" s="160"/>
      <c r="O2308" s="161"/>
      <c r="P2308" s="161"/>
      <c r="Q2308" s="203"/>
      <c r="R2308" s="162"/>
      <c r="S2308" s="162"/>
      <c r="T2308" s="162"/>
      <c r="U2308" s="163"/>
      <c r="V2308" s="154"/>
      <c r="W2308" s="164"/>
      <c r="X2308" s="164"/>
      <c r="Y2308" s="164"/>
      <c r="Z2308" s="164"/>
      <c r="AA2308" s="164"/>
      <c r="AB2308" s="164"/>
      <c r="AC2308" s="164"/>
      <c r="AD2308" s="164"/>
      <c r="AE2308" s="164"/>
      <c r="AF2308" s="164"/>
      <c r="AG2308" s="164"/>
      <c r="AH2308" s="164"/>
      <c r="AI2308" s="164"/>
    </row>
    <row r="2309">
      <c r="A2309" s="165"/>
      <c r="B2309" s="166"/>
      <c r="C2309" s="166"/>
      <c r="D2309" s="166"/>
      <c r="E2309" s="166"/>
      <c r="F2309" s="166"/>
      <c r="G2309" s="165"/>
      <c r="H2309" s="167"/>
      <c r="I2309" s="168"/>
      <c r="J2309" s="169"/>
      <c r="K2309" s="166"/>
      <c r="L2309" s="166"/>
      <c r="M2309" s="166"/>
      <c r="N2309" s="169"/>
      <c r="O2309" s="171"/>
      <c r="P2309" s="171"/>
      <c r="Q2309" s="169"/>
      <c r="R2309" s="173"/>
      <c r="S2309" s="173"/>
      <c r="T2309" s="173"/>
      <c r="U2309" s="201"/>
      <c r="V2309" s="165"/>
      <c r="W2309" s="164"/>
      <c r="X2309" s="164"/>
      <c r="Y2309" s="164"/>
      <c r="Z2309" s="164"/>
      <c r="AA2309" s="164"/>
      <c r="AB2309" s="164"/>
      <c r="AC2309" s="164"/>
      <c r="AD2309" s="164"/>
      <c r="AE2309" s="164"/>
      <c r="AF2309" s="164"/>
      <c r="AG2309" s="164"/>
      <c r="AH2309" s="164"/>
      <c r="AI2309" s="164"/>
    </row>
    <row r="2310">
      <c r="A2310" s="176"/>
      <c r="B2310" s="177"/>
      <c r="C2310" s="178"/>
      <c r="D2310" s="178"/>
      <c r="E2310" s="177"/>
      <c r="F2310" s="178"/>
      <c r="G2310" s="176"/>
      <c r="H2310" s="179"/>
      <c r="I2310" s="180"/>
      <c r="J2310" s="181"/>
      <c r="K2310" s="178"/>
      <c r="L2310" s="178"/>
      <c r="M2310" s="182"/>
      <c r="N2310" s="183"/>
      <c r="O2310" s="184"/>
      <c r="P2310" s="184"/>
      <c r="Q2310" s="185"/>
      <c r="R2310" s="186"/>
      <c r="S2310" s="186"/>
      <c r="T2310" s="186"/>
      <c r="U2310" s="187"/>
      <c r="V2310" s="176"/>
      <c r="W2310" s="164"/>
      <c r="X2310" s="164"/>
      <c r="Y2310" s="164"/>
      <c r="Z2310" s="164"/>
      <c r="AA2310" s="164"/>
      <c r="AB2310" s="164"/>
      <c r="AC2310" s="164"/>
      <c r="AD2310" s="164"/>
      <c r="AE2310" s="164"/>
      <c r="AF2310" s="164"/>
      <c r="AG2310" s="164"/>
      <c r="AH2310" s="164"/>
      <c r="AI2310" s="164"/>
    </row>
    <row r="2311">
      <c r="A2311" s="176"/>
      <c r="B2311" s="177"/>
      <c r="C2311" s="178"/>
      <c r="D2311" s="178"/>
      <c r="E2311" s="177"/>
      <c r="F2311" s="178"/>
      <c r="G2311" s="176"/>
      <c r="H2311" s="179"/>
      <c r="I2311" s="180"/>
      <c r="J2311" s="181"/>
      <c r="K2311" s="178"/>
      <c r="L2311" s="178"/>
      <c r="M2311" s="182"/>
      <c r="N2311" s="183"/>
      <c r="O2311" s="184"/>
      <c r="P2311" s="184"/>
      <c r="Q2311" s="185"/>
      <c r="R2311" s="186"/>
      <c r="S2311" s="186"/>
      <c r="T2311" s="186"/>
      <c r="U2311" s="187"/>
      <c r="V2311" s="176"/>
      <c r="W2311" s="164"/>
      <c r="X2311" s="164"/>
      <c r="Y2311" s="164"/>
      <c r="Z2311" s="164"/>
      <c r="AA2311" s="164"/>
      <c r="AB2311" s="164"/>
      <c r="AC2311" s="164"/>
      <c r="AD2311" s="164"/>
      <c r="AE2311" s="164"/>
      <c r="AF2311" s="164"/>
      <c r="AG2311" s="164"/>
      <c r="AH2311" s="164"/>
      <c r="AI2311" s="164"/>
    </row>
    <row r="2312">
      <c r="A2312" s="176"/>
      <c r="B2312" s="177"/>
      <c r="C2312" s="178"/>
      <c r="D2312" s="178"/>
      <c r="E2312" s="177"/>
      <c r="F2312" s="178"/>
      <c r="G2312" s="176"/>
      <c r="H2312" s="179"/>
      <c r="I2312" s="180"/>
      <c r="J2312" s="181"/>
      <c r="K2312" s="178"/>
      <c r="L2312" s="178"/>
      <c r="M2312" s="182"/>
      <c r="N2312" s="183"/>
      <c r="O2312" s="184"/>
      <c r="P2312" s="184"/>
      <c r="Q2312" s="185"/>
      <c r="R2312" s="186"/>
      <c r="S2312" s="186"/>
      <c r="T2312" s="186"/>
      <c r="U2312" s="187"/>
      <c r="V2312" s="176"/>
      <c r="W2312" s="164"/>
      <c r="X2312" s="164"/>
      <c r="Y2312" s="164"/>
      <c r="Z2312" s="164"/>
      <c r="AA2312" s="164"/>
      <c r="AB2312" s="164"/>
      <c r="AC2312" s="164"/>
      <c r="AD2312" s="164"/>
      <c r="AE2312" s="164"/>
      <c r="AF2312" s="164"/>
      <c r="AG2312" s="164"/>
      <c r="AH2312" s="164"/>
      <c r="AI2312" s="164"/>
    </row>
    <row r="2313">
      <c r="A2313" s="176"/>
      <c r="B2313" s="177"/>
      <c r="C2313" s="178"/>
      <c r="D2313" s="178"/>
      <c r="E2313" s="177"/>
      <c r="F2313" s="178"/>
      <c r="G2313" s="176"/>
      <c r="H2313" s="179"/>
      <c r="I2313" s="180"/>
      <c r="J2313" s="181"/>
      <c r="K2313" s="178"/>
      <c r="L2313" s="178"/>
      <c r="M2313" s="182"/>
      <c r="N2313" s="183"/>
      <c r="O2313" s="184"/>
      <c r="P2313" s="184"/>
      <c r="Q2313" s="185"/>
      <c r="R2313" s="186"/>
      <c r="S2313" s="186"/>
      <c r="T2313" s="186"/>
      <c r="U2313" s="187"/>
      <c r="V2313" s="176"/>
      <c r="W2313" s="164"/>
      <c r="X2313" s="164"/>
      <c r="Y2313" s="164"/>
      <c r="Z2313" s="164"/>
      <c r="AA2313" s="164"/>
      <c r="AB2313" s="164"/>
      <c r="AC2313" s="164"/>
      <c r="AD2313" s="164"/>
      <c r="AE2313" s="164"/>
      <c r="AF2313" s="164"/>
      <c r="AG2313" s="164"/>
      <c r="AH2313" s="164"/>
      <c r="AI2313" s="164"/>
    </row>
    <row r="2314">
      <c r="A2314" s="176"/>
      <c r="B2314" s="177"/>
      <c r="C2314" s="178"/>
      <c r="D2314" s="178"/>
      <c r="E2314" s="177"/>
      <c r="F2314" s="178"/>
      <c r="G2314" s="176"/>
      <c r="H2314" s="179"/>
      <c r="I2314" s="180"/>
      <c r="J2314" s="181"/>
      <c r="K2314" s="178"/>
      <c r="L2314" s="178"/>
      <c r="M2314" s="182"/>
      <c r="N2314" s="181"/>
      <c r="O2314" s="184"/>
      <c r="P2314" s="184"/>
      <c r="Q2314" s="181"/>
      <c r="R2314" s="186"/>
      <c r="S2314" s="186"/>
      <c r="T2314" s="186"/>
      <c r="U2314" s="187"/>
      <c r="V2314" s="176"/>
      <c r="W2314" s="164"/>
      <c r="X2314" s="164"/>
      <c r="Y2314" s="164"/>
      <c r="Z2314" s="164"/>
      <c r="AA2314" s="164"/>
      <c r="AB2314" s="164"/>
      <c r="AC2314" s="164"/>
      <c r="AD2314" s="164"/>
      <c r="AE2314" s="164"/>
      <c r="AF2314" s="164"/>
      <c r="AG2314" s="164"/>
      <c r="AH2314" s="164"/>
      <c r="AI2314" s="164"/>
    </row>
    <row r="2315">
      <c r="A2315" s="176"/>
      <c r="B2315" s="177"/>
      <c r="C2315" s="178"/>
      <c r="D2315" s="178"/>
      <c r="E2315" s="177"/>
      <c r="F2315" s="178"/>
      <c r="G2315" s="176"/>
      <c r="H2315" s="179"/>
      <c r="I2315" s="180"/>
      <c r="J2315" s="181"/>
      <c r="K2315" s="178"/>
      <c r="L2315" s="178"/>
      <c r="M2315" s="182"/>
      <c r="N2315" s="183"/>
      <c r="O2315" s="184"/>
      <c r="P2315" s="184"/>
      <c r="Q2315" s="185"/>
      <c r="R2315" s="186"/>
      <c r="S2315" s="186"/>
      <c r="T2315" s="186"/>
      <c r="U2315" s="187"/>
      <c r="V2315" s="176"/>
      <c r="W2315" s="164"/>
      <c r="X2315" s="164"/>
      <c r="Y2315" s="164"/>
      <c r="Z2315" s="164"/>
      <c r="AA2315" s="164"/>
      <c r="AB2315" s="164"/>
      <c r="AC2315" s="164"/>
      <c r="AD2315" s="164"/>
      <c r="AE2315" s="164"/>
      <c r="AF2315" s="164"/>
      <c r="AG2315" s="164"/>
      <c r="AH2315" s="164"/>
      <c r="AI2315" s="164"/>
    </row>
    <row r="2316">
      <c r="A2316" s="176"/>
      <c r="B2316" s="177"/>
      <c r="C2316" s="178"/>
      <c r="D2316" s="178"/>
      <c r="E2316" s="177"/>
      <c r="F2316" s="178"/>
      <c r="G2316" s="176"/>
      <c r="H2316" s="179"/>
      <c r="I2316" s="180"/>
      <c r="J2316" s="181"/>
      <c r="K2316" s="178"/>
      <c r="L2316" s="178"/>
      <c r="M2316" s="182"/>
      <c r="N2316" s="183"/>
      <c r="O2316" s="184"/>
      <c r="P2316" s="184"/>
      <c r="Q2316" s="185"/>
      <c r="R2316" s="186"/>
      <c r="S2316" s="186"/>
      <c r="T2316" s="186"/>
      <c r="U2316" s="187"/>
      <c r="V2316" s="176"/>
      <c r="W2316" s="164"/>
      <c r="X2316" s="164"/>
      <c r="Y2316" s="164"/>
      <c r="Z2316" s="164"/>
      <c r="AA2316" s="164"/>
      <c r="AB2316" s="164"/>
      <c r="AC2316" s="164"/>
      <c r="AD2316" s="164"/>
      <c r="AE2316" s="164"/>
      <c r="AF2316" s="164"/>
      <c r="AG2316" s="164"/>
      <c r="AH2316" s="164"/>
      <c r="AI2316" s="164"/>
    </row>
    <row r="2317">
      <c r="A2317" s="154"/>
      <c r="B2317" s="155"/>
      <c r="C2317" s="156"/>
      <c r="D2317" s="156"/>
      <c r="E2317" s="155"/>
      <c r="F2317" s="156"/>
      <c r="G2317" s="154"/>
      <c r="H2317" s="157"/>
      <c r="I2317" s="158"/>
      <c r="J2317" s="159"/>
      <c r="K2317" s="156"/>
      <c r="L2317" s="156"/>
      <c r="M2317" s="155"/>
      <c r="N2317" s="160"/>
      <c r="O2317" s="161"/>
      <c r="P2317" s="161"/>
      <c r="Q2317" s="203"/>
      <c r="R2317" s="162"/>
      <c r="S2317" s="162"/>
      <c r="T2317" s="162"/>
      <c r="U2317" s="163"/>
      <c r="V2317" s="154"/>
      <c r="W2317" s="164"/>
      <c r="X2317" s="164"/>
      <c r="Y2317" s="164"/>
      <c r="Z2317" s="164"/>
      <c r="AA2317" s="164"/>
      <c r="AB2317" s="164"/>
      <c r="AC2317" s="164"/>
      <c r="AD2317" s="164"/>
      <c r="AE2317" s="164"/>
      <c r="AF2317" s="164"/>
      <c r="AG2317" s="164"/>
      <c r="AH2317" s="164"/>
      <c r="AI2317" s="164"/>
    </row>
    <row r="2318">
      <c r="A2318" s="154"/>
      <c r="B2318" s="155"/>
      <c r="C2318" s="156"/>
      <c r="D2318" s="156"/>
      <c r="E2318" s="155"/>
      <c r="F2318" s="156"/>
      <c r="G2318" s="154"/>
      <c r="H2318" s="157"/>
      <c r="I2318" s="158"/>
      <c r="J2318" s="159"/>
      <c r="K2318" s="156"/>
      <c r="L2318" s="156"/>
      <c r="M2318" s="155"/>
      <c r="N2318" s="160"/>
      <c r="O2318" s="161"/>
      <c r="P2318" s="161"/>
      <c r="Q2318" s="203"/>
      <c r="R2318" s="162"/>
      <c r="S2318" s="162"/>
      <c r="T2318" s="162"/>
      <c r="U2318" s="163"/>
      <c r="V2318" s="154"/>
      <c r="W2318" s="164"/>
      <c r="X2318" s="164"/>
      <c r="Y2318" s="164"/>
      <c r="Z2318" s="164"/>
      <c r="AA2318" s="164"/>
      <c r="AB2318" s="164"/>
      <c r="AC2318" s="164"/>
      <c r="AD2318" s="164"/>
      <c r="AE2318" s="164"/>
      <c r="AF2318" s="164"/>
      <c r="AG2318" s="164"/>
      <c r="AH2318" s="164"/>
      <c r="AI2318" s="164"/>
    </row>
    <row r="2319">
      <c r="A2319" s="176"/>
      <c r="B2319" s="177"/>
      <c r="C2319" s="178"/>
      <c r="D2319" s="178"/>
      <c r="E2319" s="177"/>
      <c r="F2319" s="178"/>
      <c r="G2319" s="176"/>
      <c r="H2319" s="179"/>
      <c r="I2319" s="180"/>
      <c r="J2319" s="181"/>
      <c r="K2319" s="178"/>
      <c r="L2319" s="178"/>
      <c r="M2319" s="182"/>
      <c r="N2319" s="183"/>
      <c r="O2319" s="184"/>
      <c r="P2319" s="184"/>
      <c r="Q2319" s="185"/>
      <c r="R2319" s="186"/>
      <c r="S2319" s="186"/>
      <c r="T2319" s="186"/>
      <c r="U2319" s="187"/>
      <c r="V2319" s="176"/>
      <c r="W2319" s="164"/>
      <c r="X2319" s="164"/>
      <c r="Y2319" s="164"/>
      <c r="Z2319" s="164"/>
      <c r="AA2319" s="164"/>
      <c r="AB2319" s="164"/>
      <c r="AC2319" s="164"/>
      <c r="AD2319" s="164"/>
      <c r="AE2319" s="164"/>
      <c r="AF2319" s="164"/>
      <c r="AG2319" s="164"/>
      <c r="AH2319" s="164"/>
      <c r="AI2319" s="164"/>
    </row>
    <row r="2320">
      <c r="A2320" s="176"/>
      <c r="B2320" s="177"/>
      <c r="C2320" s="178"/>
      <c r="D2320" s="178"/>
      <c r="E2320" s="177"/>
      <c r="F2320" s="178"/>
      <c r="G2320" s="176"/>
      <c r="H2320" s="179"/>
      <c r="I2320" s="180"/>
      <c r="J2320" s="181"/>
      <c r="K2320" s="178"/>
      <c r="L2320" s="178"/>
      <c r="M2320" s="182"/>
      <c r="N2320" s="183"/>
      <c r="O2320" s="184"/>
      <c r="P2320" s="184"/>
      <c r="Q2320" s="185"/>
      <c r="R2320" s="186"/>
      <c r="S2320" s="186"/>
      <c r="T2320" s="186"/>
      <c r="U2320" s="187"/>
      <c r="V2320" s="176"/>
      <c r="W2320" s="164"/>
      <c r="X2320" s="164"/>
      <c r="Y2320" s="164"/>
      <c r="Z2320" s="164"/>
      <c r="AA2320" s="164"/>
      <c r="AB2320" s="164"/>
      <c r="AC2320" s="164"/>
      <c r="AD2320" s="164"/>
      <c r="AE2320" s="164"/>
      <c r="AF2320" s="164"/>
      <c r="AG2320" s="164"/>
      <c r="AH2320" s="164"/>
      <c r="AI2320" s="164"/>
    </row>
    <row r="2321">
      <c r="A2321" s="154"/>
      <c r="B2321" s="155"/>
      <c r="C2321" s="156"/>
      <c r="D2321" s="156"/>
      <c r="E2321" s="155"/>
      <c r="F2321" s="156"/>
      <c r="G2321" s="154"/>
      <c r="H2321" s="157"/>
      <c r="I2321" s="158"/>
      <c r="J2321" s="159"/>
      <c r="K2321" s="156"/>
      <c r="L2321" s="156"/>
      <c r="M2321" s="155"/>
      <c r="N2321" s="160"/>
      <c r="O2321" s="161"/>
      <c r="P2321" s="161"/>
      <c r="Q2321" s="203"/>
      <c r="R2321" s="162"/>
      <c r="S2321" s="162"/>
      <c r="T2321" s="162"/>
      <c r="U2321" s="163"/>
      <c r="V2321" s="154"/>
      <c r="W2321" s="164"/>
      <c r="X2321" s="164"/>
      <c r="Y2321" s="164"/>
      <c r="Z2321" s="164"/>
      <c r="AA2321" s="164"/>
      <c r="AB2321" s="164"/>
      <c r="AC2321" s="164"/>
      <c r="AD2321" s="164"/>
      <c r="AE2321" s="164"/>
      <c r="AF2321" s="164"/>
      <c r="AG2321" s="164"/>
      <c r="AH2321" s="164"/>
      <c r="AI2321" s="164"/>
    </row>
    <row r="2322">
      <c r="A2322" s="176"/>
      <c r="B2322" s="177"/>
      <c r="C2322" s="178"/>
      <c r="D2322" s="178"/>
      <c r="E2322" s="177"/>
      <c r="F2322" s="178"/>
      <c r="G2322" s="176"/>
      <c r="H2322" s="179"/>
      <c r="I2322" s="180"/>
      <c r="J2322" s="181"/>
      <c r="K2322" s="178"/>
      <c r="L2322" s="178"/>
      <c r="M2322" s="182"/>
      <c r="N2322" s="183"/>
      <c r="O2322" s="184"/>
      <c r="P2322" s="184"/>
      <c r="Q2322" s="185"/>
      <c r="R2322" s="186"/>
      <c r="S2322" s="186"/>
      <c r="T2322" s="186"/>
      <c r="U2322" s="187"/>
      <c r="V2322" s="176"/>
      <c r="W2322" s="164"/>
      <c r="X2322" s="164"/>
      <c r="Y2322" s="164"/>
      <c r="Z2322" s="164"/>
      <c r="AA2322" s="164"/>
      <c r="AB2322" s="164"/>
      <c r="AC2322" s="164"/>
      <c r="AD2322" s="164"/>
      <c r="AE2322" s="164"/>
      <c r="AF2322" s="164"/>
      <c r="AG2322" s="164"/>
      <c r="AH2322" s="164"/>
      <c r="AI2322" s="164"/>
    </row>
    <row r="2323">
      <c r="A2323" s="154"/>
      <c r="B2323" s="155"/>
      <c r="C2323" s="156"/>
      <c r="D2323" s="156"/>
      <c r="E2323" s="155"/>
      <c r="F2323" s="156"/>
      <c r="G2323" s="154"/>
      <c r="H2323" s="157"/>
      <c r="I2323" s="158"/>
      <c r="J2323" s="159"/>
      <c r="K2323" s="156"/>
      <c r="L2323" s="156"/>
      <c r="M2323" s="155"/>
      <c r="N2323" s="160"/>
      <c r="O2323" s="161"/>
      <c r="P2323" s="161"/>
      <c r="Q2323" s="203"/>
      <c r="R2323" s="162"/>
      <c r="S2323" s="162"/>
      <c r="T2323" s="162"/>
      <c r="U2323" s="163"/>
      <c r="V2323" s="154"/>
      <c r="W2323" s="164"/>
      <c r="X2323" s="164"/>
      <c r="Y2323" s="164"/>
      <c r="Z2323" s="164"/>
      <c r="AA2323" s="164"/>
      <c r="AB2323" s="164"/>
      <c r="AC2323" s="164"/>
      <c r="AD2323" s="164"/>
      <c r="AE2323" s="164"/>
      <c r="AF2323" s="164"/>
      <c r="AG2323" s="164"/>
      <c r="AH2323" s="164"/>
      <c r="AI2323" s="164"/>
    </row>
    <row r="2324">
      <c r="A2324" s="154"/>
      <c r="B2324" s="155"/>
      <c r="C2324" s="156"/>
      <c r="D2324" s="156"/>
      <c r="E2324" s="155"/>
      <c r="F2324" s="156"/>
      <c r="G2324" s="154"/>
      <c r="H2324" s="157"/>
      <c r="I2324" s="158"/>
      <c r="J2324" s="159"/>
      <c r="K2324" s="156"/>
      <c r="L2324" s="156"/>
      <c r="M2324" s="155"/>
      <c r="N2324" s="160"/>
      <c r="O2324" s="161"/>
      <c r="P2324" s="161"/>
      <c r="Q2324" s="203"/>
      <c r="R2324" s="162"/>
      <c r="S2324" s="162"/>
      <c r="T2324" s="162"/>
      <c r="U2324" s="163"/>
      <c r="V2324" s="154"/>
      <c r="W2324" s="164"/>
      <c r="X2324" s="164"/>
      <c r="Y2324" s="164"/>
      <c r="Z2324" s="164"/>
      <c r="AA2324" s="164"/>
      <c r="AB2324" s="164"/>
      <c r="AC2324" s="164"/>
      <c r="AD2324" s="164"/>
      <c r="AE2324" s="164"/>
      <c r="AF2324" s="164"/>
      <c r="AG2324" s="164"/>
      <c r="AH2324" s="164"/>
      <c r="AI2324" s="164"/>
    </row>
    <row r="2325">
      <c r="A2325" s="154"/>
      <c r="B2325" s="155"/>
      <c r="C2325" s="156"/>
      <c r="D2325" s="156"/>
      <c r="E2325" s="155"/>
      <c r="F2325" s="156"/>
      <c r="G2325" s="154"/>
      <c r="H2325" s="157"/>
      <c r="I2325" s="158"/>
      <c r="J2325" s="159"/>
      <c r="K2325" s="156"/>
      <c r="L2325" s="156"/>
      <c r="M2325" s="202"/>
      <c r="N2325" s="160"/>
      <c r="O2325" s="161"/>
      <c r="P2325" s="161"/>
      <c r="Q2325" s="203"/>
      <c r="R2325" s="162"/>
      <c r="S2325" s="162"/>
      <c r="T2325" s="162"/>
      <c r="U2325" s="163"/>
      <c r="V2325" s="154"/>
      <c r="W2325" s="164"/>
      <c r="X2325" s="164"/>
      <c r="Y2325" s="164"/>
      <c r="Z2325" s="164"/>
      <c r="AA2325" s="164"/>
      <c r="AB2325" s="164"/>
      <c r="AC2325" s="164"/>
      <c r="AD2325" s="164"/>
      <c r="AE2325" s="164"/>
      <c r="AF2325" s="164"/>
      <c r="AG2325" s="164"/>
      <c r="AH2325" s="164"/>
      <c r="AI2325" s="164"/>
    </row>
    <row r="2326">
      <c r="A2326" s="154"/>
      <c r="B2326" s="155"/>
      <c r="C2326" s="156"/>
      <c r="D2326" s="156"/>
      <c r="E2326" s="155"/>
      <c r="F2326" s="156"/>
      <c r="G2326" s="154"/>
      <c r="H2326" s="157"/>
      <c r="I2326" s="158"/>
      <c r="J2326" s="159"/>
      <c r="K2326" s="156"/>
      <c r="L2326" s="156"/>
      <c r="M2326" s="155"/>
      <c r="N2326" s="160"/>
      <c r="O2326" s="161"/>
      <c r="P2326" s="161"/>
      <c r="Q2326" s="203"/>
      <c r="R2326" s="162"/>
      <c r="S2326" s="162"/>
      <c r="T2326" s="162"/>
      <c r="U2326" s="163"/>
      <c r="V2326" s="154"/>
      <c r="W2326" s="164"/>
      <c r="X2326" s="164"/>
      <c r="Y2326" s="164"/>
      <c r="Z2326" s="164"/>
      <c r="AA2326" s="164"/>
      <c r="AB2326" s="164"/>
      <c r="AC2326" s="164"/>
      <c r="AD2326" s="164"/>
      <c r="AE2326" s="164"/>
      <c r="AF2326" s="164"/>
      <c r="AG2326" s="164"/>
      <c r="AH2326" s="164"/>
      <c r="AI2326" s="164"/>
    </row>
    <row r="2327">
      <c r="A2327" s="154"/>
      <c r="B2327" s="155"/>
      <c r="C2327" s="156"/>
      <c r="D2327" s="156"/>
      <c r="E2327" s="155"/>
      <c r="F2327" s="156"/>
      <c r="G2327" s="154"/>
      <c r="H2327" s="157"/>
      <c r="I2327" s="158"/>
      <c r="J2327" s="159"/>
      <c r="K2327" s="156"/>
      <c r="L2327" s="156"/>
      <c r="M2327" s="202"/>
      <c r="N2327" s="160"/>
      <c r="O2327" s="161"/>
      <c r="P2327" s="161"/>
      <c r="Q2327" s="203"/>
      <c r="R2327" s="162"/>
      <c r="S2327" s="162"/>
      <c r="T2327" s="162"/>
      <c r="U2327" s="163"/>
      <c r="V2327" s="154"/>
      <c r="W2327" s="164"/>
      <c r="X2327" s="164"/>
      <c r="Y2327" s="164"/>
      <c r="Z2327" s="164"/>
      <c r="AA2327" s="164"/>
      <c r="AB2327" s="164"/>
      <c r="AC2327" s="164"/>
      <c r="AD2327" s="164"/>
      <c r="AE2327" s="164"/>
      <c r="AF2327" s="164"/>
      <c r="AG2327" s="164"/>
      <c r="AH2327" s="164"/>
      <c r="AI2327" s="164"/>
    </row>
    <row r="2328">
      <c r="A2328" s="154"/>
      <c r="B2328" s="155"/>
      <c r="C2328" s="156"/>
      <c r="D2328" s="156"/>
      <c r="E2328" s="155"/>
      <c r="F2328" s="156"/>
      <c r="G2328" s="154"/>
      <c r="H2328" s="157"/>
      <c r="I2328" s="158"/>
      <c r="J2328" s="159"/>
      <c r="K2328" s="156"/>
      <c r="L2328" s="156"/>
      <c r="M2328" s="155"/>
      <c r="N2328" s="160"/>
      <c r="O2328" s="161"/>
      <c r="P2328" s="161"/>
      <c r="Q2328" s="159"/>
      <c r="R2328" s="162"/>
      <c r="S2328" s="162"/>
      <c r="T2328" s="162"/>
      <c r="U2328" s="163"/>
      <c r="V2328" s="154"/>
      <c r="W2328" s="164"/>
      <c r="X2328" s="164"/>
      <c r="Y2328" s="164"/>
      <c r="Z2328" s="164"/>
      <c r="AA2328" s="164"/>
      <c r="AB2328" s="164"/>
      <c r="AC2328" s="164"/>
      <c r="AD2328" s="164"/>
      <c r="AE2328" s="164"/>
      <c r="AF2328" s="164"/>
      <c r="AG2328" s="164"/>
      <c r="AH2328" s="164"/>
      <c r="AI2328" s="164"/>
    </row>
    <row r="2329">
      <c r="A2329" s="154"/>
      <c r="B2329" s="155"/>
      <c r="C2329" s="156"/>
      <c r="D2329" s="156"/>
      <c r="E2329" s="155"/>
      <c r="F2329" s="156"/>
      <c r="G2329" s="154"/>
      <c r="H2329" s="157"/>
      <c r="I2329" s="158"/>
      <c r="J2329" s="159"/>
      <c r="K2329" s="156"/>
      <c r="L2329" s="156"/>
      <c r="M2329" s="155"/>
      <c r="N2329" s="160"/>
      <c r="O2329" s="161"/>
      <c r="P2329" s="161"/>
      <c r="Q2329" s="203"/>
      <c r="R2329" s="162"/>
      <c r="S2329" s="162"/>
      <c r="T2329" s="162"/>
      <c r="U2329" s="163"/>
      <c r="V2329" s="154"/>
      <c r="W2329" s="164"/>
      <c r="X2329" s="164"/>
      <c r="Y2329" s="164"/>
      <c r="Z2329" s="164"/>
      <c r="AA2329" s="164"/>
      <c r="AB2329" s="164"/>
      <c r="AC2329" s="164"/>
      <c r="AD2329" s="164"/>
      <c r="AE2329" s="164"/>
      <c r="AF2329" s="164"/>
      <c r="AG2329" s="164"/>
      <c r="AH2329" s="164"/>
      <c r="AI2329" s="164"/>
    </row>
    <row r="2330">
      <c r="A2330" s="154"/>
      <c r="B2330" s="155"/>
      <c r="C2330" s="156"/>
      <c r="D2330" s="156"/>
      <c r="E2330" s="155"/>
      <c r="F2330" s="156"/>
      <c r="G2330" s="154"/>
      <c r="H2330" s="157"/>
      <c r="I2330" s="158"/>
      <c r="J2330" s="159"/>
      <c r="K2330" s="156"/>
      <c r="L2330" s="156"/>
      <c r="M2330" s="155"/>
      <c r="N2330" s="160"/>
      <c r="O2330" s="161"/>
      <c r="P2330" s="161"/>
      <c r="Q2330" s="203"/>
      <c r="R2330" s="162"/>
      <c r="S2330" s="162"/>
      <c r="T2330" s="162"/>
      <c r="U2330" s="163"/>
      <c r="V2330" s="154"/>
      <c r="W2330" s="164"/>
      <c r="X2330" s="164"/>
      <c r="Y2330" s="164"/>
      <c r="Z2330" s="164"/>
      <c r="AA2330" s="164"/>
      <c r="AB2330" s="164"/>
      <c r="AC2330" s="164"/>
      <c r="AD2330" s="164"/>
      <c r="AE2330" s="164"/>
      <c r="AF2330" s="164"/>
      <c r="AG2330" s="164"/>
      <c r="AH2330" s="164"/>
      <c r="AI2330" s="164"/>
    </row>
    <row r="2331">
      <c r="A2331" s="154"/>
      <c r="B2331" s="155"/>
      <c r="C2331" s="156"/>
      <c r="D2331" s="156"/>
      <c r="E2331" s="155"/>
      <c r="F2331" s="156"/>
      <c r="G2331" s="154"/>
      <c r="H2331" s="157"/>
      <c r="I2331" s="158"/>
      <c r="J2331" s="159"/>
      <c r="K2331" s="156"/>
      <c r="L2331" s="156"/>
      <c r="M2331" s="155"/>
      <c r="N2331" s="160"/>
      <c r="O2331" s="161"/>
      <c r="P2331" s="161"/>
      <c r="Q2331" s="203"/>
      <c r="R2331" s="162"/>
      <c r="S2331" s="162"/>
      <c r="T2331" s="162"/>
      <c r="U2331" s="163"/>
      <c r="V2331" s="154"/>
      <c r="W2331" s="164"/>
      <c r="X2331" s="164"/>
      <c r="Y2331" s="164"/>
      <c r="Z2331" s="164"/>
      <c r="AA2331" s="164"/>
      <c r="AB2331" s="164"/>
      <c r="AC2331" s="164"/>
      <c r="AD2331" s="164"/>
      <c r="AE2331" s="164"/>
      <c r="AF2331" s="164"/>
      <c r="AG2331" s="164"/>
      <c r="AH2331" s="164"/>
      <c r="AI2331" s="164"/>
    </row>
    <row r="2332">
      <c r="A2332" s="154"/>
      <c r="B2332" s="155"/>
      <c r="C2332" s="156"/>
      <c r="D2332" s="156"/>
      <c r="E2332" s="155"/>
      <c r="F2332" s="156"/>
      <c r="G2332" s="154"/>
      <c r="H2332" s="157"/>
      <c r="I2332" s="158"/>
      <c r="J2332" s="159"/>
      <c r="K2332" s="156"/>
      <c r="L2332" s="156"/>
      <c r="M2332" s="202"/>
      <c r="N2332" s="160"/>
      <c r="O2332" s="161"/>
      <c r="P2332" s="161"/>
      <c r="Q2332" s="203"/>
      <c r="R2332" s="162"/>
      <c r="S2332" s="162"/>
      <c r="T2332" s="162"/>
      <c r="U2332" s="163"/>
      <c r="V2332" s="154"/>
      <c r="W2332" s="164"/>
      <c r="X2332" s="164"/>
      <c r="Y2332" s="164"/>
      <c r="Z2332" s="164"/>
      <c r="AA2332" s="164"/>
      <c r="AB2332" s="164"/>
      <c r="AC2332" s="164"/>
      <c r="AD2332" s="164"/>
      <c r="AE2332" s="164"/>
      <c r="AF2332" s="164"/>
      <c r="AG2332" s="164"/>
      <c r="AH2332" s="164"/>
      <c r="AI2332" s="164"/>
    </row>
    <row r="2333">
      <c r="A2333" s="154"/>
      <c r="B2333" s="155"/>
      <c r="C2333" s="156"/>
      <c r="D2333" s="156"/>
      <c r="E2333" s="155"/>
      <c r="F2333" s="156"/>
      <c r="G2333" s="154"/>
      <c r="H2333" s="157"/>
      <c r="I2333" s="158"/>
      <c r="J2333" s="159"/>
      <c r="K2333" s="156"/>
      <c r="L2333" s="156"/>
      <c r="M2333" s="155"/>
      <c r="N2333" s="160"/>
      <c r="O2333" s="161"/>
      <c r="P2333" s="161"/>
      <c r="Q2333" s="203"/>
      <c r="R2333" s="162"/>
      <c r="S2333" s="162"/>
      <c r="T2333" s="162"/>
      <c r="U2333" s="163"/>
      <c r="V2333" s="154"/>
      <c r="W2333" s="164"/>
      <c r="X2333" s="164"/>
      <c r="Y2333" s="164"/>
      <c r="Z2333" s="164"/>
      <c r="AA2333" s="164"/>
      <c r="AB2333" s="164"/>
      <c r="AC2333" s="164"/>
      <c r="AD2333" s="164"/>
      <c r="AE2333" s="164"/>
      <c r="AF2333" s="164"/>
      <c r="AG2333" s="164"/>
      <c r="AH2333" s="164"/>
      <c r="AI2333" s="164"/>
    </row>
    <row r="2334">
      <c r="A2334" s="154"/>
      <c r="B2334" s="155"/>
      <c r="C2334" s="156"/>
      <c r="D2334" s="156"/>
      <c r="E2334" s="155"/>
      <c r="F2334" s="156"/>
      <c r="G2334" s="154"/>
      <c r="H2334" s="157"/>
      <c r="I2334" s="158"/>
      <c r="J2334" s="159"/>
      <c r="K2334" s="156"/>
      <c r="L2334" s="156"/>
      <c r="M2334" s="155"/>
      <c r="N2334" s="160"/>
      <c r="O2334" s="161"/>
      <c r="P2334" s="161"/>
      <c r="Q2334" s="203"/>
      <c r="R2334" s="162"/>
      <c r="S2334" s="162"/>
      <c r="T2334" s="162"/>
      <c r="U2334" s="163"/>
      <c r="V2334" s="154"/>
      <c r="W2334" s="164"/>
      <c r="X2334" s="164"/>
      <c r="Y2334" s="164"/>
      <c r="Z2334" s="164"/>
      <c r="AA2334" s="164"/>
      <c r="AB2334" s="164"/>
      <c r="AC2334" s="164"/>
      <c r="AD2334" s="164"/>
      <c r="AE2334" s="164"/>
      <c r="AF2334" s="164"/>
      <c r="AG2334" s="164"/>
      <c r="AH2334" s="164"/>
      <c r="AI2334" s="164"/>
    </row>
    <row r="2335">
      <c r="A2335" s="154"/>
      <c r="B2335" s="155"/>
      <c r="C2335" s="156"/>
      <c r="D2335" s="156"/>
      <c r="E2335" s="155"/>
      <c r="F2335" s="156"/>
      <c r="G2335" s="154"/>
      <c r="H2335" s="157"/>
      <c r="I2335" s="158"/>
      <c r="J2335" s="159"/>
      <c r="K2335" s="156"/>
      <c r="L2335" s="156"/>
      <c r="M2335" s="155"/>
      <c r="N2335" s="160"/>
      <c r="O2335" s="161"/>
      <c r="P2335" s="161"/>
      <c r="Q2335" s="159"/>
      <c r="R2335" s="162"/>
      <c r="S2335" s="162"/>
      <c r="T2335" s="162"/>
      <c r="U2335" s="163"/>
      <c r="V2335" s="154"/>
      <c r="W2335" s="164"/>
      <c r="X2335" s="164"/>
      <c r="Y2335" s="164"/>
      <c r="Z2335" s="164"/>
      <c r="AA2335" s="164"/>
      <c r="AB2335" s="164"/>
      <c r="AC2335" s="164"/>
      <c r="AD2335" s="164"/>
      <c r="AE2335" s="164"/>
      <c r="AF2335" s="164"/>
      <c r="AG2335" s="164"/>
      <c r="AH2335" s="164"/>
      <c r="AI2335" s="164"/>
    </row>
    <row r="2336">
      <c r="A2336" s="154"/>
      <c r="B2336" s="155"/>
      <c r="C2336" s="156"/>
      <c r="D2336" s="156"/>
      <c r="E2336" s="155"/>
      <c r="F2336" s="156"/>
      <c r="G2336" s="154"/>
      <c r="H2336" s="157"/>
      <c r="I2336" s="158"/>
      <c r="J2336" s="159"/>
      <c r="K2336" s="156"/>
      <c r="L2336" s="156"/>
      <c r="M2336" s="155"/>
      <c r="N2336" s="160"/>
      <c r="O2336" s="161"/>
      <c r="P2336" s="161"/>
      <c r="Q2336" s="203"/>
      <c r="R2336" s="162"/>
      <c r="S2336" s="162"/>
      <c r="T2336" s="162"/>
      <c r="U2336" s="163"/>
      <c r="V2336" s="154"/>
      <c r="W2336" s="164"/>
      <c r="X2336" s="164"/>
      <c r="Y2336" s="164"/>
      <c r="Z2336" s="164"/>
      <c r="AA2336" s="164"/>
      <c r="AB2336" s="164"/>
      <c r="AC2336" s="164"/>
      <c r="AD2336" s="164"/>
      <c r="AE2336" s="164"/>
      <c r="AF2336" s="164"/>
      <c r="AG2336" s="164"/>
      <c r="AH2336" s="164"/>
      <c r="AI2336" s="164"/>
    </row>
    <row r="2337">
      <c r="A2337" s="154"/>
      <c r="B2337" s="155"/>
      <c r="C2337" s="156"/>
      <c r="D2337" s="156"/>
      <c r="E2337" s="155"/>
      <c r="F2337" s="156"/>
      <c r="G2337" s="154"/>
      <c r="H2337" s="157"/>
      <c r="I2337" s="158"/>
      <c r="J2337" s="159"/>
      <c r="K2337" s="156"/>
      <c r="L2337" s="156"/>
      <c r="M2337" s="155"/>
      <c r="N2337" s="160"/>
      <c r="O2337" s="161"/>
      <c r="P2337" s="161"/>
      <c r="Q2337" s="203"/>
      <c r="R2337" s="162"/>
      <c r="S2337" s="162"/>
      <c r="T2337" s="162"/>
      <c r="U2337" s="163"/>
      <c r="V2337" s="154"/>
      <c r="W2337" s="164"/>
      <c r="X2337" s="164"/>
      <c r="Y2337" s="164"/>
      <c r="Z2337" s="164"/>
      <c r="AA2337" s="164"/>
      <c r="AB2337" s="164"/>
      <c r="AC2337" s="164"/>
      <c r="AD2337" s="164"/>
      <c r="AE2337" s="164"/>
      <c r="AF2337" s="164"/>
      <c r="AG2337" s="164"/>
      <c r="AH2337" s="164"/>
      <c r="AI2337" s="164"/>
    </row>
    <row r="2338">
      <c r="A2338" s="154"/>
      <c r="B2338" s="155"/>
      <c r="C2338" s="156"/>
      <c r="D2338" s="156"/>
      <c r="E2338" s="155"/>
      <c r="F2338" s="156"/>
      <c r="G2338" s="154"/>
      <c r="H2338" s="157"/>
      <c r="I2338" s="158"/>
      <c r="J2338" s="159"/>
      <c r="K2338" s="156"/>
      <c r="L2338" s="156"/>
      <c r="M2338" s="155"/>
      <c r="N2338" s="160"/>
      <c r="O2338" s="161"/>
      <c r="P2338" s="161"/>
      <c r="Q2338" s="203"/>
      <c r="R2338" s="162"/>
      <c r="S2338" s="162"/>
      <c r="T2338" s="162"/>
      <c r="U2338" s="163"/>
      <c r="V2338" s="154"/>
      <c r="W2338" s="164"/>
      <c r="X2338" s="164"/>
      <c r="Y2338" s="164"/>
      <c r="Z2338" s="164"/>
      <c r="AA2338" s="164"/>
      <c r="AB2338" s="164"/>
      <c r="AC2338" s="164"/>
      <c r="AD2338" s="164"/>
      <c r="AE2338" s="164"/>
      <c r="AF2338" s="164"/>
      <c r="AG2338" s="164"/>
      <c r="AH2338" s="164"/>
      <c r="AI2338" s="164"/>
    </row>
    <row r="2339">
      <c r="A2339" s="154"/>
      <c r="B2339" s="155"/>
      <c r="C2339" s="156"/>
      <c r="D2339" s="156"/>
      <c r="E2339" s="155"/>
      <c r="F2339" s="156"/>
      <c r="G2339" s="154"/>
      <c r="H2339" s="157"/>
      <c r="I2339" s="158"/>
      <c r="J2339" s="159"/>
      <c r="K2339" s="156"/>
      <c r="L2339" s="156"/>
      <c r="M2339" s="155"/>
      <c r="N2339" s="160"/>
      <c r="O2339" s="161"/>
      <c r="P2339" s="161"/>
      <c r="Q2339" s="203"/>
      <c r="R2339" s="162"/>
      <c r="S2339" s="162"/>
      <c r="T2339" s="162"/>
      <c r="U2339" s="163"/>
      <c r="V2339" s="154"/>
      <c r="W2339" s="164"/>
      <c r="X2339" s="164"/>
      <c r="Y2339" s="164"/>
      <c r="Z2339" s="164"/>
      <c r="AA2339" s="164"/>
      <c r="AB2339" s="164"/>
      <c r="AC2339" s="164"/>
      <c r="AD2339" s="164"/>
      <c r="AE2339" s="164"/>
      <c r="AF2339" s="164"/>
      <c r="AG2339" s="164"/>
      <c r="AH2339" s="164"/>
      <c r="AI2339" s="164"/>
    </row>
    <row r="2340">
      <c r="A2340" s="154"/>
      <c r="B2340" s="155"/>
      <c r="C2340" s="156"/>
      <c r="D2340" s="156"/>
      <c r="E2340" s="155"/>
      <c r="F2340" s="156"/>
      <c r="G2340" s="154"/>
      <c r="H2340" s="157"/>
      <c r="I2340" s="158"/>
      <c r="J2340" s="159"/>
      <c r="K2340" s="156"/>
      <c r="L2340" s="156"/>
      <c r="M2340" s="202"/>
      <c r="N2340" s="160"/>
      <c r="O2340" s="161"/>
      <c r="P2340" s="161"/>
      <c r="Q2340" s="203"/>
      <c r="R2340" s="162"/>
      <c r="S2340" s="162"/>
      <c r="T2340" s="162"/>
      <c r="U2340" s="163"/>
      <c r="V2340" s="154"/>
      <c r="W2340" s="164"/>
      <c r="X2340" s="164"/>
      <c r="Y2340" s="164"/>
      <c r="Z2340" s="164"/>
      <c r="AA2340" s="164"/>
      <c r="AB2340" s="164"/>
      <c r="AC2340" s="164"/>
      <c r="AD2340" s="164"/>
      <c r="AE2340" s="164"/>
      <c r="AF2340" s="164"/>
      <c r="AG2340" s="164"/>
      <c r="AH2340" s="164"/>
      <c r="AI2340" s="164"/>
    </row>
    <row r="2341">
      <c r="A2341" s="154"/>
      <c r="B2341" s="155"/>
      <c r="C2341" s="156"/>
      <c r="D2341" s="156"/>
      <c r="E2341" s="155"/>
      <c r="F2341" s="156"/>
      <c r="G2341" s="154"/>
      <c r="H2341" s="157"/>
      <c r="I2341" s="158"/>
      <c r="J2341" s="159"/>
      <c r="K2341" s="156"/>
      <c r="L2341" s="156"/>
      <c r="M2341" s="155"/>
      <c r="N2341" s="160"/>
      <c r="O2341" s="161"/>
      <c r="P2341" s="161"/>
      <c r="Q2341" s="159"/>
      <c r="R2341" s="162"/>
      <c r="S2341" s="162"/>
      <c r="T2341" s="162"/>
      <c r="U2341" s="163"/>
      <c r="V2341" s="154"/>
      <c r="W2341" s="164"/>
      <c r="X2341" s="164"/>
      <c r="Y2341" s="164"/>
      <c r="Z2341" s="164"/>
      <c r="AA2341" s="164"/>
      <c r="AB2341" s="164"/>
      <c r="AC2341" s="164"/>
      <c r="AD2341" s="164"/>
      <c r="AE2341" s="164"/>
      <c r="AF2341" s="164"/>
      <c r="AG2341" s="164"/>
      <c r="AH2341" s="164"/>
      <c r="AI2341" s="164"/>
    </row>
    <row r="2342">
      <c r="A2342" s="154"/>
      <c r="B2342" s="155"/>
      <c r="C2342" s="156"/>
      <c r="D2342" s="156"/>
      <c r="E2342" s="155"/>
      <c r="F2342" s="156"/>
      <c r="G2342" s="154"/>
      <c r="H2342" s="157"/>
      <c r="I2342" s="158"/>
      <c r="J2342" s="159"/>
      <c r="K2342" s="156"/>
      <c r="L2342" s="156"/>
      <c r="M2342" s="155"/>
      <c r="N2342" s="160"/>
      <c r="O2342" s="161"/>
      <c r="P2342" s="161"/>
      <c r="Q2342" s="159"/>
      <c r="R2342" s="162"/>
      <c r="S2342" s="162"/>
      <c r="T2342" s="162"/>
      <c r="U2342" s="163"/>
      <c r="V2342" s="154"/>
      <c r="W2342" s="164"/>
      <c r="X2342" s="164"/>
      <c r="Y2342" s="164"/>
      <c r="Z2342" s="164"/>
      <c r="AA2342" s="164"/>
      <c r="AB2342" s="164"/>
      <c r="AC2342" s="164"/>
      <c r="AD2342" s="164"/>
      <c r="AE2342" s="164"/>
      <c r="AF2342" s="164"/>
      <c r="AG2342" s="164"/>
      <c r="AH2342" s="164"/>
      <c r="AI2342" s="164"/>
    </row>
    <row r="2343">
      <c r="A2343" s="154"/>
      <c r="B2343" s="155"/>
      <c r="C2343" s="156"/>
      <c r="D2343" s="156"/>
      <c r="E2343" s="155"/>
      <c r="F2343" s="156"/>
      <c r="G2343" s="154"/>
      <c r="H2343" s="157"/>
      <c r="I2343" s="158"/>
      <c r="J2343" s="159"/>
      <c r="K2343" s="156"/>
      <c r="L2343" s="156"/>
      <c r="M2343" s="155"/>
      <c r="N2343" s="160"/>
      <c r="O2343" s="161"/>
      <c r="P2343" s="161"/>
      <c r="Q2343" s="203"/>
      <c r="R2343" s="162"/>
      <c r="S2343" s="162"/>
      <c r="T2343" s="162"/>
      <c r="U2343" s="163"/>
      <c r="V2343" s="154"/>
      <c r="W2343" s="164"/>
      <c r="X2343" s="164"/>
      <c r="Y2343" s="164"/>
      <c r="Z2343" s="164"/>
      <c r="AA2343" s="164"/>
      <c r="AB2343" s="164"/>
      <c r="AC2343" s="164"/>
      <c r="AD2343" s="164"/>
      <c r="AE2343" s="164"/>
      <c r="AF2343" s="164"/>
      <c r="AG2343" s="164"/>
      <c r="AH2343" s="164"/>
      <c r="AI2343" s="164"/>
    </row>
    <row r="2344">
      <c r="A2344" s="154"/>
      <c r="B2344" s="155"/>
      <c r="C2344" s="156"/>
      <c r="D2344" s="156"/>
      <c r="E2344" s="155"/>
      <c r="F2344" s="156"/>
      <c r="G2344" s="154"/>
      <c r="H2344" s="157"/>
      <c r="I2344" s="158"/>
      <c r="J2344" s="159"/>
      <c r="K2344" s="156"/>
      <c r="L2344" s="156"/>
      <c r="M2344" s="155"/>
      <c r="N2344" s="160"/>
      <c r="O2344" s="161"/>
      <c r="P2344" s="161"/>
      <c r="Q2344" s="159"/>
      <c r="R2344" s="162"/>
      <c r="S2344" s="162"/>
      <c r="T2344" s="162"/>
      <c r="U2344" s="163"/>
      <c r="V2344" s="154"/>
      <c r="W2344" s="164"/>
      <c r="X2344" s="164"/>
      <c r="Y2344" s="164"/>
      <c r="Z2344" s="164"/>
      <c r="AA2344" s="164"/>
      <c r="AB2344" s="164"/>
      <c r="AC2344" s="164"/>
      <c r="AD2344" s="164"/>
      <c r="AE2344" s="164"/>
      <c r="AF2344" s="164"/>
      <c r="AG2344" s="164"/>
      <c r="AH2344" s="164"/>
      <c r="AI2344" s="164"/>
    </row>
    <row r="2345">
      <c r="A2345" s="154"/>
      <c r="B2345" s="155"/>
      <c r="C2345" s="156"/>
      <c r="D2345" s="156"/>
      <c r="E2345" s="155"/>
      <c r="F2345" s="156"/>
      <c r="G2345" s="154"/>
      <c r="H2345" s="157"/>
      <c r="I2345" s="158"/>
      <c r="J2345" s="159"/>
      <c r="K2345" s="156"/>
      <c r="L2345" s="156"/>
      <c r="M2345" s="155"/>
      <c r="N2345" s="160"/>
      <c r="O2345" s="161"/>
      <c r="P2345" s="161"/>
      <c r="Q2345" s="203"/>
      <c r="R2345" s="162"/>
      <c r="S2345" s="162"/>
      <c r="T2345" s="162"/>
      <c r="U2345" s="163"/>
      <c r="V2345" s="154"/>
      <c r="W2345" s="164"/>
      <c r="X2345" s="164"/>
      <c r="Y2345" s="164"/>
      <c r="Z2345" s="164"/>
      <c r="AA2345" s="164"/>
      <c r="AB2345" s="164"/>
      <c r="AC2345" s="164"/>
      <c r="AD2345" s="164"/>
      <c r="AE2345" s="164"/>
      <c r="AF2345" s="164"/>
      <c r="AG2345" s="164"/>
      <c r="AH2345" s="164"/>
      <c r="AI2345" s="164"/>
    </row>
    <row r="2346">
      <c r="A2346" s="154"/>
      <c r="B2346" s="155"/>
      <c r="C2346" s="156"/>
      <c r="D2346" s="156"/>
      <c r="E2346" s="155"/>
      <c r="F2346" s="156"/>
      <c r="G2346" s="154"/>
      <c r="H2346" s="157"/>
      <c r="I2346" s="158"/>
      <c r="J2346" s="159"/>
      <c r="K2346" s="156"/>
      <c r="L2346" s="156"/>
      <c r="M2346" s="155"/>
      <c r="N2346" s="160"/>
      <c r="O2346" s="161"/>
      <c r="P2346" s="161"/>
      <c r="Q2346" s="203"/>
      <c r="R2346" s="162"/>
      <c r="S2346" s="162"/>
      <c r="T2346" s="162"/>
      <c r="U2346" s="163"/>
      <c r="V2346" s="154"/>
      <c r="W2346" s="164"/>
      <c r="X2346" s="164"/>
      <c r="Y2346" s="164"/>
      <c r="Z2346" s="164"/>
      <c r="AA2346" s="164"/>
      <c r="AB2346" s="164"/>
      <c r="AC2346" s="164"/>
      <c r="AD2346" s="164"/>
      <c r="AE2346" s="164"/>
      <c r="AF2346" s="164"/>
      <c r="AG2346" s="164"/>
      <c r="AH2346" s="164"/>
      <c r="AI2346" s="164"/>
    </row>
    <row r="2347">
      <c r="A2347" s="154"/>
      <c r="B2347" s="155"/>
      <c r="C2347" s="156"/>
      <c r="D2347" s="156"/>
      <c r="E2347" s="155"/>
      <c r="F2347" s="156"/>
      <c r="G2347" s="154"/>
      <c r="H2347" s="157"/>
      <c r="I2347" s="158"/>
      <c r="J2347" s="159"/>
      <c r="K2347" s="156"/>
      <c r="L2347" s="156"/>
      <c r="M2347" s="155"/>
      <c r="N2347" s="160"/>
      <c r="O2347" s="161"/>
      <c r="P2347" s="161"/>
      <c r="Q2347" s="203"/>
      <c r="R2347" s="162"/>
      <c r="S2347" s="162"/>
      <c r="T2347" s="162"/>
      <c r="U2347" s="163"/>
      <c r="V2347" s="154"/>
      <c r="W2347" s="164"/>
      <c r="X2347" s="164"/>
      <c r="Y2347" s="164"/>
      <c r="Z2347" s="164"/>
      <c r="AA2347" s="164"/>
      <c r="AB2347" s="164"/>
      <c r="AC2347" s="164"/>
      <c r="AD2347" s="164"/>
      <c r="AE2347" s="164"/>
      <c r="AF2347" s="164"/>
      <c r="AG2347" s="164"/>
      <c r="AH2347" s="164"/>
      <c r="AI2347" s="164"/>
    </row>
    <row r="2348">
      <c r="A2348" s="154"/>
      <c r="B2348" s="155"/>
      <c r="C2348" s="156"/>
      <c r="D2348" s="156"/>
      <c r="E2348" s="155"/>
      <c r="F2348" s="156"/>
      <c r="G2348" s="154"/>
      <c r="H2348" s="157"/>
      <c r="I2348" s="158"/>
      <c r="J2348" s="159"/>
      <c r="K2348" s="156"/>
      <c r="L2348" s="156"/>
      <c r="M2348" s="155"/>
      <c r="N2348" s="160"/>
      <c r="O2348" s="161"/>
      <c r="P2348" s="161"/>
      <c r="Q2348" s="203"/>
      <c r="R2348" s="162"/>
      <c r="S2348" s="162"/>
      <c r="T2348" s="162"/>
      <c r="U2348" s="163"/>
      <c r="V2348" s="154"/>
      <c r="W2348" s="164"/>
      <c r="X2348" s="164"/>
      <c r="Y2348" s="164"/>
      <c r="Z2348" s="164"/>
      <c r="AA2348" s="164"/>
      <c r="AB2348" s="164"/>
      <c r="AC2348" s="164"/>
      <c r="AD2348" s="164"/>
      <c r="AE2348" s="164"/>
      <c r="AF2348" s="164"/>
      <c r="AG2348" s="164"/>
      <c r="AH2348" s="164"/>
      <c r="AI2348" s="164"/>
    </row>
    <row r="2349">
      <c r="A2349" s="154"/>
      <c r="B2349" s="155"/>
      <c r="C2349" s="156"/>
      <c r="D2349" s="156"/>
      <c r="E2349" s="155"/>
      <c r="F2349" s="156"/>
      <c r="G2349" s="154"/>
      <c r="H2349" s="157"/>
      <c r="I2349" s="158"/>
      <c r="J2349" s="159"/>
      <c r="K2349" s="156"/>
      <c r="L2349" s="156"/>
      <c r="M2349" s="155"/>
      <c r="N2349" s="160"/>
      <c r="O2349" s="161"/>
      <c r="P2349" s="161"/>
      <c r="Q2349" s="159"/>
      <c r="R2349" s="162"/>
      <c r="S2349" s="162"/>
      <c r="T2349" s="162"/>
      <c r="U2349" s="163"/>
      <c r="V2349" s="154"/>
      <c r="W2349" s="164"/>
      <c r="X2349" s="164"/>
      <c r="Y2349" s="164"/>
      <c r="Z2349" s="164"/>
      <c r="AA2349" s="164"/>
      <c r="AB2349" s="164"/>
      <c r="AC2349" s="164"/>
      <c r="AD2349" s="164"/>
      <c r="AE2349" s="164"/>
      <c r="AF2349" s="164"/>
      <c r="AG2349" s="164"/>
      <c r="AH2349" s="164"/>
      <c r="AI2349" s="164"/>
    </row>
    <row r="2350">
      <c r="A2350" s="154"/>
      <c r="B2350" s="155"/>
      <c r="C2350" s="156"/>
      <c r="D2350" s="156"/>
      <c r="E2350" s="155"/>
      <c r="F2350" s="156"/>
      <c r="G2350" s="154"/>
      <c r="H2350" s="157"/>
      <c r="I2350" s="158"/>
      <c r="J2350" s="159"/>
      <c r="K2350" s="156"/>
      <c r="L2350" s="156"/>
      <c r="M2350" s="155"/>
      <c r="N2350" s="160"/>
      <c r="O2350" s="161"/>
      <c r="P2350" s="161"/>
      <c r="Q2350" s="203"/>
      <c r="R2350" s="162"/>
      <c r="S2350" s="162"/>
      <c r="T2350" s="162"/>
      <c r="U2350" s="163"/>
      <c r="V2350" s="154"/>
      <c r="W2350" s="164"/>
      <c r="X2350" s="164"/>
      <c r="Y2350" s="164"/>
      <c r="Z2350" s="164"/>
      <c r="AA2350" s="164"/>
      <c r="AB2350" s="164"/>
      <c r="AC2350" s="164"/>
      <c r="AD2350" s="164"/>
      <c r="AE2350" s="164"/>
      <c r="AF2350" s="164"/>
      <c r="AG2350" s="164"/>
      <c r="AH2350" s="164"/>
      <c r="AI2350" s="164"/>
    </row>
    <row r="2351">
      <c r="A2351" s="154"/>
      <c r="B2351" s="155"/>
      <c r="C2351" s="156"/>
      <c r="D2351" s="156"/>
      <c r="E2351" s="155"/>
      <c r="F2351" s="156"/>
      <c r="G2351" s="154"/>
      <c r="H2351" s="157"/>
      <c r="I2351" s="158"/>
      <c r="J2351" s="159"/>
      <c r="K2351" s="156"/>
      <c r="L2351" s="156"/>
      <c r="M2351" s="155"/>
      <c r="N2351" s="160"/>
      <c r="O2351" s="161"/>
      <c r="P2351" s="161"/>
      <c r="Q2351" s="203"/>
      <c r="R2351" s="162"/>
      <c r="S2351" s="162"/>
      <c r="T2351" s="162"/>
      <c r="U2351" s="163"/>
      <c r="V2351" s="154"/>
      <c r="W2351" s="164"/>
      <c r="X2351" s="164"/>
      <c r="Y2351" s="164"/>
      <c r="Z2351" s="164"/>
      <c r="AA2351" s="164"/>
      <c r="AB2351" s="164"/>
      <c r="AC2351" s="164"/>
      <c r="AD2351" s="164"/>
      <c r="AE2351" s="164"/>
      <c r="AF2351" s="164"/>
      <c r="AG2351" s="164"/>
      <c r="AH2351" s="164"/>
      <c r="AI2351" s="164"/>
    </row>
    <row r="2352">
      <c r="A2352" s="154"/>
      <c r="B2352" s="155"/>
      <c r="C2352" s="156"/>
      <c r="D2352" s="156"/>
      <c r="E2352" s="155"/>
      <c r="F2352" s="156"/>
      <c r="G2352" s="154"/>
      <c r="H2352" s="157"/>
      <c r="I2352" s="158"/>
      <c r="J2352" s="159"/>
      <c r="K2352" s="156"/>
      <c r="L2352" s="156"/>
      <c r="M2352" s="202"/>
      <c r="N2352" s="160"/>
      <c r="O2352" s="161"/>
      <c r="P2352" s="161"/>
      <c r="Q2352" s="203"/>
      <c r="R2352" s="162"/>
      <c r="S2352" s="162"/>
      <c r="T2352" s="162"/>
      <c r="U2352" s="163"/>
      <c r="V2352" s="154"/>
      <c r="W2352" s="164"/>
      <c r="X2352" s="164"/>
      <c r="Y2352" s="164"/>
      <c r="Z2352" s="164"/>
      <c r="AA2352" s="164"/>
      <c r="AB2352" s="164"/>
      <c r="AC2352" s="164"/>
      <c r="AD2352" s="164"/>
      <c r="AE2352" s="164"/>
      <c r="AF2352" s="164"/>
      <c r="AG2352" s="164"/>
      <c r="AH2352" s="164"/>
      <c r="AI2352" s="164"/>
    </row>
    <row r="2353">
      <c r="A2353" s="154"/>
      <c r="B2353" s="155"/>
      <c r="C2353" s="156"/>
      <c r="D2353" s="156"/>
      <c r="E2353" s="155"/>
      <c r="F2353" s="156"/>
      <c r="G2353" s="154"/>
      <c r="H2353" s="157"/>
      <c r="I2353" s="158"/>
      <c r="J2353" s="159"/>
      <c r="K2353" s="156"/>
      <c r="L2353" s="156"/>
      <c r="M2353" s="202"/>
      <c r="N2353" s="160"/>
      <c r="O2353" s="161"/>
      <c r="P2353" s="161"/>
      <c r="Q2353" s="159"/>
      <c r="R2353" s="162"/>
      <c r="S2353" s="162"/>
      <c r="T2353" s="162"/>
      <c r="U2353" s="163"/>
      <c r="V2353" s="154"/>
      <c r="W2353" s="164"/>
      <c r="X2353" s="164"/>
      <c r="Y2353" s="164"/>
      <c r="Z2353" s="164"/>
      <c r="AA2353" s="164"/>
      <c r="AB2353" s="164"/>
      <c r="AC2353" s="164"/>
      <c r="AD2353" s="164"/>
      <c r="AE2353" s="164"/>
      <c r="AF2353" s="164"/>
      <c r="AG2353" s="164"/>
      <c r="AH2353" s="164"/>
      <c r="AI2353" s="164"/>
    </row>
    <row r="2354">
      <c r="A2354" s="154"/>
      <c r="B2354" s="155"/>
      <c r="C2354" s="156"/>
      <c r="D2354" s="156"/>
      <c r="E2354" s="155"/>
      <c r="F2354" s="156"/>
      <c r="G2354" s="154"/>
      <c r="H2354" s="157"/>
      <c r="I2354" s="158"/>
      <c r="J2354" s="159"/>
      <c r="K2354" s="156"/>
      <c r="L2354" s="156"/>
      <c r="M2354" s="155"/>
      <c r="N2354" s="160"/>
      <c r="O2354" s="161"/>
      <c r="P2354" s="161"/>
      <c r="Q2354" s="159"/>
      <c r="R2354" s="162"/>
      <c r="S2354" s="162"/>
      <c r="T2354" s="162"/>
      <c r="U2354" s="163"/>
      <c r="V2354" s="154"/>
      <c r="W2354" s="164"/>
      <c r="X2354" s="164"/>
      <c r="Y2354" s="164"/>
      <c r="Z2354" s="164"/>
      <c r="AA2354" s="164"/>
      <c r="AB2354" s="164"/>
      <c r="AC2354" s="164"/>
      <c r="AD2354" s="164"/>
      <c r="AE2354" s="164"/>
      <c r="AF2354" s="164"/>
      <c r="AG2354" s="164"/>
      <c r="AH2354" s="164"/>
      <c r="AI2354" s="164"/>
    </row>
    <row r="2355">
      <c r="A2355" s="154"/>
      <c r="B2355" s="155"/>
      <c r="C2355" s="156"/>
      <c r="D2355" s="156"/>
      <c r="E2355" s="155"/>
      <c r="F2355" s="156"/>
      <c r="G2355" s="154"/>
      <c r="H2355" s="157"/>
      <c r="I2355" s="158"/>
      <c r="J2355" s="159"/>
      <c r="K2355" s="156"/>
      <c r="L2355" s="156"/>
      <c r="M2355" s="155"/>
      <c r="N2355" s="160"/>
      <c r="O2355" s="161"/>
      <c r="P2355" s="161"/>
      <c r="Q2355" s="203"/>
      <c r="R2355" s="162"/>
      <c r="S2355" s="162"/>
      <c r="T2355" s="162"/>
      <c r="U2355" s="163"/>
      <c r="V2355" s="154"/>
      <c r="W2355" s="164"/>
      <c r="X2355" s="164"/>
      <c r="Y2355" s="164"/>
      <c r="Z2355" s="164"/>
      <c r="AA2355" s="164"/>
      <c r="AB2355" s="164"/>
      <c r="AC2355" s="164"/>
      <c r="AD2355" s="164"/>
      <c r="AE2355" s="164"/>
      <c r="AF2355" s="164"/>
      <c r="AG2355" s="164"/>
      <c r="AH2355" s="164"/>
      <c r="AI2355" s="164"/>
    </row>
    <row r="2356">
      <c r="A2356" s="154"/>
      <c r="B2356" s="155"/>
      <c r="C2356" s="156"/>
      <c r="D2356" s="156"/>
      <c r="E2356" s="155"/>
      <c r="F2356" s="156"/>
      <c r="G2356" s="154"/>
      <c r="H2356" s="157"/>
      <c r="I2356" s="158"/>
      <c r="J2356" s="159"/>
      <c r="K2356" s="156"/>
      <c r="L2356" s="156"/>
      <c r="M2356" s="155"/>
      <c r="N2356" s="160"/>
      <c r="O2356" s="161"/>
      <c r="P2356" s="161"/>
      <c r="Q2356" s="203"/>
      <c r="R2356" s="162"/>
      <c r="S2356" s="162"/>
      <c r="T2356" s="162"/>
      <c r="U2356" s="163"/>
      <c r="V2356" s="154"/>
      <c r="W2356" s="164"/>
      <c r="X2356" s="164"/>
      <c r="Y2356" s="164"/>
      <c r="Z2356" s="164"/>
      <c r="AA2356" s="164"/>
      <c r="AB2356" s="164"/>
      <c r="AC2356" s="164"/>
      <c r="AD2356" s="164"/>
      <c r="AE2356" s="164"/>
      <c r="AF2356" s="164"/>
      <c r="AG2356" s="164"/>
      <c r="AH2356" s="164"/>
      <c r="AI2356" s="164"/>
    </row>
    <row r="2357">
      <c r="A2357" s="154"/>
      <c r="B2357" s="155"/>
      <c r="C2357" s="156"/>
      <c r="D2357" s="156"/>
      <c r="E2357" s="155"/>
      <c r="F2357" s="156"/>
      <c r="G2357" s="154"/>
      <c r="H2357" s="157"/>
      <c r="I2357" s="158"/>
      <c r="J2357" s="159"/>
      <c r="K2357" s="156"/>
      <c r="L2357" s="156"/>
      <c r="M2357" s="155"/>
      <c r="N2357" s="160"/>
      <c r="O2357" s="161"/>
      <c r="P2357" s="161"/>
      <c r="Q2357" s="159"/>
      <c r="R2357" s="162"/>
      <c r="S2357" s="162"/>
      <c r="T2357" s="162"/>
      <c r="U2357" s="163"/>
      <c r="V2357" s="154"/>
      <c r="W2357" s="164"/>
      <c r="X2357" s="164"/>
      <c r="Y2357" s="164"/>
      <c r="Z2357" s="164"/>
      <c r="AA2357" s="164"/>
      <c r="AB2357" s="164"/>
      <c r="AC2357" s="164"/>
      <c r="AD2357" s="164"/>
      <c r="AE2357" s="164"/>
      <c r="AF2357" s="164"/>
      <c r="AG2357" s="164"/>
      <c r="AH2357" s="164"/>
      <c r="AI2357" s="164"/>
    </row>
    <row r="2358">
      <c r="A2358" s="154"/>
      <c r="B2358" s="155"/>
      <c r="C2358" s="156"/>
      <c r="D2358" s="156"/>
      <c r="E2358" s="155"/>
      <c r="F2358" s="156"/>
      <c r="G2358" s="154"/>
      <c r="H2358" s="157"/>
      <c r="I2358" s="158"/>
      <c r="J2358" s="159"/>
      <c r="K2358" s="156"/>
      <c r="L2358" s="156"/>
      <c r="M2358" s="155"/>
      <c r="N2358" s="160"/>
      <c r="O2358" s="161"/>
      <c r="P2358" s="161"/>
      <c r="Q2358" s="203"/>
      <c r="R2358" s="162"/>
      <c r="S2358" s="162"/>
      <c r="T2358" s="162"/>
      <c r="U2358" s="163"/>
      <c r="V2358" s="154"/>
      <c r="W2358" s="164"/>
      <c r="X2358" s="164"/>
      <c r="Y2358" s="164"/>
      <c r="Z2358" s="164"/>
      <c r="AA2358" s="164"/>
      <c r="AB2358" s="164"/>
      <c r="AC2358" s="164"/>
      <c r="AD2358" s="164"/>
      <c r="AE2358" s="164"/>
      <c r="AF2358" s="164"/>
      <c r="AG2358" s="164"/>
      <c r="AH2358" s="164"/>
      <c r="AI2358" s="164"/>
    </row>
    <row r="2359">
      <c r="A2359" s="154"/>
      <c r="B2359" s="155"/>
      <c r="C2359" s="156"/>
      <c r="D2359" s="156"/>
      <c r="E2359" s="155"/>
      <c r="F2359" s="156"/>
      <c r="G2359" s="154"/>
      <c r="H2359" s="157"/>
      <c r="I2359" s="158"/>
      <c r="J2359" s="159"/>
      <c r="K2359" s="156"/>
      <c r="L2359" s="156"/>
      <c r="M2359" s="155"/>
      <c r="N2359" s="160"/>
      <c r="O2359" s="161"/>
      <c r="P2359" s="161"/>
      <c r="Q2359" s="203"/>
      <c r="R2359" s="162"/>
      <c r="S2359" s="162"/>
      <c r="T2359" s="162"/>
      <c r="U2359" s="163"/>
      <c r="V2359" s="154"/>
      <c r="W2359" s="164"/>
      <c r="X2359" s="164"/>
      <c r="Y2359" s="164"/>
      <c r="Z2359" s="164"/>
      <c r="AA2359" s="164"/>
      <c r="AB2359" s="164"/>
      <c r="AC2359" s="164"/>
      <c r="AD2359" s="164"/>
      <c r="AE2359" s="164"/>
      <c r="AF2359" s="164"/>
      <c r="AG2359" s="164"/>
      <c r="AH2359" s="164"/>
      <c r="AI2359" s="164"/>
    </row>
    <row r="2360">
      <c r="A2360" s="154"/>
      <c r="B2360" s="155"/>
      <c r="C2360" s="156"/>
      <c r="D2360" s="156"/>
      <c r="E2360" s="155"/>
      <c r="F2360" s="156"/>
      <c r="G2360" s="154"/>
      <c r="H2360" s="157"/>
      <c r="I2360" s="158"/>
      <c r="J2360" s="159"/>
      <c r="K2360" s="156"/>
      <c r="L2360" s="156"/>
      <c r="M2360" s="155"/>
      <c r="N2360" s="160"/>
      <c r="O2360" s="161"/>
      <c r="P2360" s="161"/>
      <c r="Q2360" s="203"/>
      <c r="R2360" s="162"/>
      <c r="S2360" s="162"/>
      <c r="T2360" s="162"/>
      <c r="U2360" s="163"/>
      <c r="V2360" s="154"/>
      <c r="W2360" s="164"/>
      <c r="X2360" s="164"/>
      <c r="Y2360" s="164"/>
      <c r="Z2360" s="164"/>
      <c r="AA2360" s="164"/>
      <c r="AB2360" s="164"/>
      <c r="AC2360" s="164"/>
      <c r="AD2360" s="164"/>
      <c r="AE2360" s="164"/>
      <c r="AF2360" s="164"/>
      <c r="AG2360" s="164"/>
      <c r="AH2360" s="164"/>
      <c r="AI2360" s="164"/>
    </row>
    <row r="2361">
      <c r="A2361" s="154"/>
      <c r="B2361" s="155"/>
      <c r="C2361" s="156"/>
      <c r="D2361" s="156"/>
      <c r="E2361" s="155"/>
      <c r="F2361" s="156"/>
      <c r="G2361" s="154"/>
      <c r="H2361" s="157"/>
      <c r="I2361" s="158"/>
      <c r="J2361" s="159"/>
      <c r="K2361" s="156"/>
      <c r="L2361" s="156"/>
      <c r="M2361" s="155"/>
      <c r="N2361" s="160"/>
      <c r="O2361" s="161"/>
      <c r="P2361" s="161"/>
      <c r="Q2361" s="203"/>
      <c r="R2361" s="162"/>
      <c r="S2361" s="162"/>
      <c r="T2361" s="162"/>
      <c r="U2361" s="163"/>
      <c r="V2361" s="154"/>
      <c r="W2361" s="164"/>
      <c r="X2361" s="164"/>
      <c r="Y2361" s="164"/>
      <c r="Z2361" s="164"/>
      <c r="AA2361" s="164"/>
      <c r="AB2361" s="164"/>
      <c r="AC2361" s="164"/>
      <c r="AD2361" s="164"/>
      <c r="AE2361" s="164"/>
      <c r="AF2361" s="164"/>
      <c r="AG2361" s="164"/>
      <c r="AH2361" s="164"/>
      <c r="AI2361" s="164"/>
    </row>
    <row r="2362">
      <c r="A2362" s="154"/>
      <c r="B2362" s="155"/>
      <c r="C2362" s="156"/>
      <c r="D2362" s="156"/>
      <c r="E2362" s="155"/>
      <c r="F2362" s="156"/>
      <c r="G2362" s="154"/>
      <c r="H2362" s="157"/>
      <c r="I2362" s="158"/>
      <c r="J2362" s="159"/>
      <c r="K2362" s="156"/>
      <c r="L2362" s="156"/>
      <c r="M2362" s="155"/>
      <c r="N2362" s="160"/>
      <c r="O2362" s="161"/>
      <c r="P2362" s="161"/>
      <c r="Q2362" s="203"/>
      <c r="R2362" s="162"/>
      <c r="S2362" s="162"/>
      <c r="T2362" s="162"/>
      <c r="U2362" s="163"/>
      <c r="V2362" s="154"/>
      <c r="W2362" s="164"/>
      <c r="X2362" s="164"/>
      <c r="Y2362" s="164"/>
      <c r="Z2362" s="164"/>
      <c r="AA2362" s="164"/>
      <c r="AB2362" s="164"/>
      <c r="AC2362" s="164"/>
      <c r="AD2362" s="164"/>
      <c r="AE2362" s="164"/>
      <c r="AF2362" s="164"/>
      <c r="AG2362" s="164"/>
      <c r="AH2362" s="164"/>
      <c r="AI2362" s="164"/>
    </row>
    <row r="2363">
      <c r="A2363" s="154"/>
      <c r="B2363" s="155"/>
      <c r="C2363" s="156"/>
      <c r="D2363" s="156"/>
      <c r="E2363" s="155"/>
      <c r="F2363" s="156"/>
      <c r="G2363" s="154"/>
      <c r="H2363" s="157"/>
      <c r="I2363" s="158"/>
      <c r="J2363" s="159"/>
      <c r="K2363" s="156"/>
      <c r="L2363" s="156"/>
      <c r="M2363" s="155"/>
      <c r="N2363" s="160"/>
      <c r="O2363" s="161"/>
      <c r="P2363" s="161"/>
      <c r="Q2363" s="203"/>
      <c r="R2363" s="162"/>
      <c r="S2363" s="162"/>
      <c r="T2363" s="162"/>
      <c r="U2363" s="163"/>
      <c r="V2363" s="154"/>
      <c r="W2363" s="164"/>
      <c r="X2363" s="164"/>
      <c r="Y2363" s="164"/>
      <c r="Z2363" s="164"/>
      <c r="AA2363" s="164"/>
      <c r="AB2363" s="164"/>
      <c r="AC2363" s="164"/>
      <c r="AD2363" s="164"/>
      <c r="AE2363" s="164"/>
      <c r="AF2363" s="164"/>
      <c r="AG2363" s="164"/>
      <c r="AH2363" s="164"/>
      <c r="AI2363" s="164"/>
    </row>
    <row r="2364">
      <c r="A2364" s="154"/>
      <c r="B2364" s="155"/>
      <c r="C2364" s="156"/>
      <c r="D2364" s="156"/>
      <c r="E2364" s="155"/>
      <c r="F2364" s="156"/>
      <c r="G2364" s="154"/>
      <c r="H2364" s="157"/>
      <c r="I2364" s="158"/>
      <c r="J2364" s="159"/>
      <c r="K2364" s="156"/>
      <c r="L2364" s="156"/>
      <c r="M2364" s="155"/>
      <c r="N2364" s="160"/>
      <c r="O2364" s="161"/>
      <c r="P2364" s="161"/>
      <c r="Q2364" s="203"/>
      <c r="R2364" s="162"/>
      <c r="S2364" s="162"/>
      <c r="T2364" s="162"/>
      <c r="U2364" s="163"/>
      <c r="V2364" s="154"/>
      <c r="W2364" s="164"/>
      <c r="X2364" s="164"/>
      <c r="Y2364" s="164"/>
      <c r="Z2364" s="164"/>
      <c r="AA2364" s="164"/>
      <c r="AB2364" s="164"/>
      <c r="AC2364" s="164"/>
      <c r="AD2364" s="164"/>
      <c r="AE2364" s="164"/>
      <c r="AF2364" s="164"/>
      <c r="AG2364" s="164"/>
      <c r="AH2364" s="164"/>
      <c r="AI2364" s="164"/>
    </row>
    <row r="2365">
      <c r="A2365" s="154"/>
      <c r="B2365" s="155"/>
      <c r="C2365" s="156"/>
      <c r="D2365" s="156"/>
      <c r="E2365" s="155"/>
      <c r="F2365" s="156"/>
      <c r="G2365" s="154"/>
      <c r="H2365" s="157"/>
      <c r="I2365" s="158"/>
      <c r="J2365" s="159"/>
      <c r="K2365" s="156"/>
      <c r="L2365" s="156"/>
      <c r="M2365" s="202"/>
      <c r="N2365" s="160"/>
      <c r="O2365" s="161"/>
      <c r="P2365" s="161"/>
      <c r="Q2365" s="203"/>
      <c r="R2365" s="162"/>
      <c r="S2365" s="162"/>
      <c r="T2365" s="162"/>
      <c r="U2365" s="163"/>
      <c r="V2365" s="154"/>
      <c r="W2365" s="164"/>
      <c r="X2365" s="164"/>
      <c r="Y2365" s="164"/>
      <c r="Z2365" s="164"/>
      <c r="AA2365" s="164"/>
      <c r="AB2365" s="164"/>
      <c r="AC2365" s="164"/>
      <c r="AD2365" s="164"/>
      <c r="AE2365" s="164"/>
      <c r="AF2365" s="164"/>
      <c r="AG2365" s="164"/>
      <c r="AH2365" s="164"/>
      <c r="AI2365" s="164"/>
    </row>
    <row r="2366">
      <c r="A2366" s="176"/>
      <c r="B2366" s="177"/>
      <c r="C2366" s="178"/>
      <c r="D2366" s="178"/>
      <c r="E2366" s="177"/>
      <c r="F2366" s="178"/>
      <c r="G2366" s="176"/>
      <c r="H2366" s="179"/>
      <c r="I2366" s="180"/>
      <c r="J2366" s="181"/>
      <c r="K2366" s="178"/>
      <c r="L2366" s="178"/>
      <c r="M2366" s="182"/>
      <c r="N2366" s="183"/>
      <c r="O2366" s="184"/>
      <c r="P2366" s="184"/>
      <c r="Q2366" s="185"/>
      <c r="R2366" s="186"/>
      <c r="S2366" s="186"/>
      <c r="T2366" s="186"/>
      <c r="U2366" s="187"/>
      <c r="V2366" s="176"/>
      <c r="W2366" s="164"/>
      <c r="X2366" s="164"/>
      <c r="Y2366" s="164"/>
      <c r="Z2366" s="164"/>
      <c r="AA2366" s="164"/>
      <c r="AB2366" s="164"/>
      <c r="AC2366" s="164"/>
      <c r="AD2366" s="164"/>
      <c r="AE2366" s="164"/>
      <c r="AF2366" s="164"/>
      <c r="AG2366" s="164"/>
      <c r="AH2366" s="164"/>
      <c r="AI2366" s="164"/>
    </row>
    <row r="2367">
      <c r="A2367" s="154"/>
      <c r="B2367" s="155"/>
      <c r="C2367" s="156"/>
      <c r="D2367" s="156"/>
      <c r="E2367" s="155"/>
      <c r="F2367" s="156"/>
      <c r="G2367" s="154"/>
      <c r="H2367" s="157"/>
      <c r="I2367" s="158"/>
      <c r="J2367" s="159"/>
      <c r="K2367" s="156"/>
      <c r="L2367" s="156"/>
      <c r="M2367" s="155"/>
      <c r="N2367" s="160"/>
      <c r="O2367" s="161"/>
      <c r="P2367" s="161"/>
      <c r="Q2367" s="159"/>
      <c r="R2367" s="162"/>
      <c r="S2367" s="162"/>
      <c r="T2367" s="162"/>
      <c r="U2367" s="163"/>
      <c r="V2367" s="154"/>
      <c r="W2367" s="164"/>
      <c r="X2367" s="164"/>
      <c r="Y2367" s="164"/>
      <c r="Z2367" s="164"/>
      <c r="AA2367" s="164"/>
      <c r="AB2367" s="164"/>
      <c r="AC2367" s="164"/>
      <c r="AD2367" s="164"/>
      <c r="AE2367" s="164"/>
      <c r="AF2367" s="164"/>
      <c r="AG2367" s="164"/>
      <c r="AH2367" s="164"/>
      <c r="AI2367" s="164"/>
    </row>
    <row r="2368">
      <c r="A2368" s="154"/>
      <c r="B2368" s="155"/>
      <c r="C2368" s="156"/>
      <c r="D2368" s="156"/>
      <c r="E2368" s="155"/>
      <c r="F2368" s="156"/>
      <c r="G2368" s="154"/>
      <c r="H2368" s="157"/>
      <c r="I2368" s="158"/>
      <c r="J2368" s="159"/>
      <c r="K2368" s="156"/>
      <c r="L2368" s="156"/>
      <c r="M2368" s="155"/>
      <c r="N2368" s="160"/>
      <c r="O2368" s="161"/>
      <c r="P2368" s="161"/>
      <c r="Q2368" s="159"/>
      <c r="R2368" s="162"/>
      <c r="S2368" s="162"/>
      <c r="T2368" s="162"/>
      <c r="U2368" s="163"/>
      <c r="V2368" s="154"/>
      <c r="W2368" s="164"/>
      <c r="X2368" s="164"/>
      <c r="Y2368" s="164"/>
      <c r="Z2368" s="164"/>
      <c r="AA2368" s="164"/>
      <c r="AB2368" s="164"/>
      <c r="AC2368" s="164"/>
      <c r="AD2368" s="164"/>
      <c r="AE2368" s="164"/>
      <c r="AF2368" s="164"/>
      <c r="AG2368" s="164"/>
      <c r="AH2368" s="164"/>
      <c r="AI2368" s="164"/>
    </row>
    <row r="2369">
      <c r="A2369" s="154"/>
      <c r="B2369" s="155"/>
      <c r="C2369" s="156"/>
      <c r="D2369" s="156"/>
      <c r="E2369" s="155"/>
      <c r="F2369" s="156"/>
      <c r="G2369" s="154"/>
      <c r="H2369" s="157"/>
      <c r="I2369" s="158"/>
      <c r="J2369" s="159"/>
      <c r="K2369" s="156"/>
      <c r="L2369" s="156"/>
      <c r="M2369" s="155"/>
      <c r="N2369" s="160"/>
      <c r="O2369" s="161"/>
      <c r="P2369" s="161"/>
      <c r="Q2369" s="203"/>
      <c r="R2369" s="162"/>
      <c r="S2369" s="162"/>
      <c r="T2369" s="162"/>
      <c r="U2369" s="163"/>
      <c r="V2369" s="154"/>
      <c r="W2369" s="164"/>
      <c r="X2369" s="164"/>
      <c r="Y2369" s="164"/>
      <c r="Z2369" s="164"/>
      <c r="AA2369" s="164"/>
      <c r="AB2369" s="164"/>
      <c r="AC2369" s="164"/>
      <c r="AD2369" s="164"/>
      <c r="AE2369" s="164"/>
      <c r="AF2369" s="164"/>
      <c r="AG2369" s="164"/>
      <c r="AH2369" s="164"/>
      <c r="AI2369" s="164"/>
    </row>
    <row r="2370">
      <c r="A2370" s="154"/>
      <c r="B2370" s="155"/>
      <c r="C2370" s="156"/>
      <c r="D2370" s="156"/>
      <c r="E2370" s="155"/>
      <c r="F2370" s="156"/>
      <c r="G2370" s="154"/>
      <c r="H2370" s="157"/>
      <c r="I2370" s="158"/>
      <c r="J2370" s="159"/>
      <c r="K2370" s="156"/>
      <c r="L2370" s="156"/>
      <c r="M2370" s="202"/>
      <c r="N2370" s="160"/>
      <c r="O2370" s="161"/>
      <c r="P2370" s="161"/>
      <c r="Q2370" s="203"/>
      <c r="R2370" s="162"/>
      <c r="S2370" s="162"/>
      <c r="T2370" s="162"/>
      <c r="U2370" s="163"/>
      <c r="V2370" s="154"/>
      <c r="W2370" s="164"/>
      <c r="X2370" s="164"/>
      <c r="Y2370" s="164"/>
      <c r="Z2370" s="164"/>
      <c r="AA2370" s="164"/>
      <c r="AB2370" s="164"/>
      <c r="AC2370" s="164"/>
      <c r="AD2370" s="164"/>
      <c r="AE2370" s="164"/>
      <c r="AF2370" s="164"/>
      <c r="AG2370" s="164"/>
      <c r="AH2370" s="164"/>
      <c r="AI2370" s="164"/>
    </row>
    <row r="2371">
      <c r="A2371" s="154"/>
      <c r="B2371" s="155"/>
      <c r="C2371" s="156"/>
      <c r="D2371" s="156"/>
      <c r="E2371" s="155"/>
      <c r="F2371" s="156"/>
      <c r="G2371" s="154"/>
      <c r="H2371" s="157"/>
      <c r="I2371" s="158"/>
      <c r="J2371" s="159"/>
      <c r="K2371" s="156"/>
      <c r="L2371" s="156"/>
      <c r="M2371" s="202"/>
      <c r="N2371" s="160"/>
      <c r="O2371" s="161"/>
      <c r="P2371" s="161"/>
      <c r="Q2371" s="203"/>
      <c r="R2371" s="162"/>
      <c r="S2371" s="162"/>
      <c r="T2371" s="162"/>
      <c r="U2371" s="163"/>
      <c r="V2371" s="154"/>
      <c r="W2371" s="164"/>
      <c r="X2371" s="164"/>
      <c r="Y2371" s="164"/>
      <c r="Z2371" s="164"/>
      <c r="AA2371" s="164"/>
      <c r="AB2371" s="164"/>
      <c r="AC2371" s="164"/>
      <c r="AD2371" s="164"/>
      <c r="AE2371" s="164"/>
      <c r="AF2371" s="164"/>
      <c r="AG2371" s="164"/>
      <c r="AH2371" s="164"/>
      <c r="AI2371" s="164"/>
    </row>
    <row r="2372">
      <c r="A2372" s="154"/>
      <c r="B2372" s="155"/>
      <c r="C2372" s="156"/>
      <c r="D2372" s="156"/>
      <c r="E2372" s="155"/>
      <c r="F2372" s="156"/>
      <c r="G2372" s="154"/>
      <c r="H2372" s="157"/>
      <c r="I2372" s="158"/>
      <c r="J2372" s="159"/>
      <c r="K2372" s="156"/>
      <c r="L2372" s="156"/>
      <c r="M2372" s="155"/>
      <c r="N2372" s="160"/>
      <c r="O2372" s="161"/>
      <c r="P2372" s="161"/>
      <c r="Q2372" s="203"/>
      <c r="R2372" s="162"/>
      <c r="S2372" s="162"/>
      <c r="T2372" s="162"/>
      <c r="U2372" s="163"/>
      <c r="V2372" s="154"/>
      <c r="W2372" s="164"/>
      <c r="X2372" s="164"/>
      <c r="Y2372" s="164"/>
      <c r="Z2372" s="164"/>
      <c r="AA2372" s="164"/>
      <c r="AB2372" s="164"/>
      <c r="AC2372" s="164"/>
      <c r="AD2372" s="164"/>
      <c r="AE2372" s="164"/>
      <c r="AF2372" s="164"/>
      <c r="AG2372" s="164"/>
      <c r="AH2372" s="164"/>
      <c r="AI2372" s="164"/>
    </row>
    <row r="2373">
      <c r="A2373" s="154"/>
      <c r="B2373" s="155"/>
      <c r="C2373" s="156"/>
      <c r="D2373" s="156"/>
      <c r="E2373" s="155"/>
      <c r="F2373" s="156"/>
      <c r="G2373" s="154"/>
      <c r="H2373" s="157"/>
      <c r="I2373" s="158"/>
      <c r="J2373" s="159"/>
      <c r="K2373" s="156"/>
      <c r="L2373" s="156"/>
      <c r="M2373" s="155"/>
      <c r="N2373" s="160"/>
      <c r="O2373" s="161"/>
      <c r="P2373" s="161"/>
      <c r="Q2373" s="159"/>
      <c r="R2373" s="162"/>
      <c r="S2373" s="162"/>
      <c r="T2373" s="162"/>
      <c r="U2373" s="163"/>
      <c r="V2373" s="154"/>
      <c r="W2373" s="164"/>
      <c r="X2373" s="164"/>
      <c r="Y2373" s="164"/>
      <c r="Z2373" s="164"/>
      <c r="AA2373" s="164"/>
      <c r="AB2373" s="164"/>
      <c r="AC2373" s="164"/>
      <c r="AD2373" s="164"/>
      <c r="AE2373" s="164"/>
      <c r="AF2373" s="164"/>
      <c r="AG2373" s="164"/>
      <c r="AH2373" s="164"/>
      <c r="AI2373" s="164"/>
    </row>
    <row r="2374">
      <c r="A2374" s="154"/>
      <c r="B2374" s="155"/>
      <c r="C2374" s="156"/>
      <c r="D2374" s="156"/>
      <c r="E2374" s="155"/>
      <c r="F2374" s="156"/>
      <c r="G2374" s="154"/>
      <c r="H2374" s="157"/>
      <c r="I2374" s="158"/>
      <c r="J2374" s="159"/>
      <c r="K2374" s="156"/>
      <c r="L2374" s="156"/>
      <c r="M2374" s="155"/>
      <c r="N2374" s="160"/>
      <c r="O2374" s="161"/>
      <c r="P2374" s="161"/>
      <c r="Q2374" s="159"/>
      <c r="R2374" s="162"/>
      <c r="S2374" s="162"/>
      <c r="T2374" s="162"/>
      <c r="U2374" s="163"/>
      <c r="V2374" s="154"/>
      <c r="W2374" s="164"/>
      <c r="X2374" s="164"/>
      <c r="Y2374" s="164"/>
      <c r="Z2374" s="164"/>
      <c r="AA2374" s="164"/>
      <c r="AB2374" s="164"/>
      <c r="AC2374" s="164"/>
      <c r="AD2374" s="164"/>
      <c r="AE2374" s="164"/>
      <c r="AF2374" s="164"/>
      <c r="AG2374" s="164"/>
      <c r="AH2374" s="164"/>
      <c r="AI2374" s="164"/>
    </row>
    <row r="2375">
      <c r="A2375" s="154"/>
      <c r="B2375" s="155"/>
      <c r="C2375" s="156"/>
      <c r="D2375" s="156"/>
      <c r="E2375" s="155"/>
      <c r="F2375" s="156"/>
      <c r="G2375" s="154"/>
      <c r="H2375" s="157"/>
      <c r="I2375" s="158"/>
      <c r="J2375" s="159"/>
      <c r="K2375" s="156"/>
      <c r="L2375" s="156"/>
      <c r="M2375" s="155"/>
      <c r="N2375" s="160"/>
      <c r="O2375" s="161"/>
      <c r="P2375" s="161"/>
      <c r="Q2375" s="159"/>
      <c r="R2375" s="162"/>
      <c r="S2375" s="162"/>
      <c r="T2375" s="162"/>
      <c r="U2375" s="163"/>
      <c r="V2375" s="154"/>
      <c r="W2375" s="164"/>
      <c r="X2375" s="164"/>
      <c r="Y2375" s="164"/>
      <c r="Z2375" s="164"/>
      <c r="AA2375" s="164"/>
      <c r="AB2375" s="164"/>
      <c r="AC2375" s="164"/>
      <c r="AD2375" s="164"/>
      <c r="AE2375" s="164"/>
      <c r="AF2375" s="164"/>
      <c r="AG2375" s="164"/>
      <c r="AH2375" s="164"/>
      <c r="AI2375" s="164"/>
    </row>
    <row r="2376">
      <c r="A2376" s="154"/>
      <c r="B2376" s="155"/>
      <c r="C2376" s="156"/>
      <c r="D2376" s="156"/>
      <c r="E2376" s="155"/>
      <c r="F2376" s="156"/>
      <c r="G2376" s="154"/>
      <c r="H2376" s="157"/>
      <c r="I2376" s="158"/>
      <c r="J2376" s="159"/>
      <c r="K2376" s="156"/>
      <c r="L2376" s="156"/>
      <c r="M2376" s="202"/>
      <c r="N2376" s="160"/>
      <c r="O2376" s="161"/>
      <c r="P2376" s="161"/>
      <c r="Q2376" s="203"/>
      <c r="R2376" s="162"/>
      <c r="S2376" s="162"/>
      <c r="T2376" s="162"/>
      <c r="U2376" s="163"/>
      <c r="V2376" s="154"/>
      <c r="W2376" s="164"/>
      <c r="X2376" s="164"/>
      <c r="Y2376" s="164"/>
      <c r="Z2376" s="164"/>
      <c r="AA2376" s="164"/>
      <c r="AB2376" s="164"/>
      <c r="AC2376" s="164"/>
      <c r="AD2376" s="164"/>
      <c r="AE2376" s="164"/>
      <c r="AF2376" s="164"/>
      <c r="AG2376" s="164"/>
      <c r="AH2376" s="164"/>
      <c r="AI2376" s="164"/>
    </row>
    <row r="2377">
      <c r="A2377" s="154"/>
      <c r="B2377" s="155"/>
      <c r="C2377" s="156"/>
      <c r="D2377" s="156"/>
      <c r="E2377" s="155"/>
      <c r="F2377" s="156"/>
      <c r="G2377" s="154"/>
      <c r="H2377" s="157"/>
      <c r="I2377" s="158"/>
      <c r="J2377" s="159"/>
      <c r="K2377" s="156"/>
      <c r="L2377" s="156"/>
      <c r="M2377" s="155"/>
      <c r="N2377" s="160"/>
      <c r="O2377" s="161"/>
      <c r="P2377" s="161"/>
      <c r="Q2377" s="203"/>
      <c r="R2377" s="162"/>
      <c r="S2377" s="162"/>
      <c r="T2377" s="162"/>
      <c r="U2377" s="163"/>
      <c r="V2377" s="154"/>
      <c r="W2377" s="164"/>
      <c r="X2377" s="164"/>
      <c r="Y2377" s="164"/>
      <c r="Z2377" s="164"/>
      <c r="AA2377" s="164"/>
      <c r="AB2377" s="164"/>
      <c r="AC2377" s="164"/>
      <c r="AD2377" s="164"/>
      <c r="AE2377" s="164"/>
      <c r="AF2377" s="164"/>
      <c r="AG2377" s="164"/>
      <c r="AH2377" s="164"/>
      <c r="AI2377" s="164"/>
    </row>
    <row r="2378">
      <c r="A2378" s="154"/>
      <c r="B2378" s="155"/>
      <c r="C2378" s="156"/>
      <c r="D2378" s="156"/>
      <c r="E2378" s="155"/>
      <c r="F2378" s="156"/>
      <c r="G2378" s="154"/>
      <c r="H2378" s="157"/>
      <c r="I2378" s="158"/>
      <c r="J2378" s="159"/>
      <c r="K2378" s="156"/>
      <c r="L2378" s="156"/>
      <c r="M2378" s="155"/>
      <c r="N2378" s="160"/>
      <c r="O2378" s="161"/>
      <c r="P2378" s="161"/>
      <c r="Q2378" s="203"/>
      <c r="R2378" s="162"/>
      <c r="S2378" s="162"/>
      <c r="T2378" s="162"/>
      <c r="U2378" s="163"/>
      <c r="V2378" s="154"/>
      <c r="W2378" s="164"/>
      <c r="X2378" s="164"/>
      <c r="Y2378" s="164"/>
      <c r="Z2378" s="164"/>
      <c r="AA2378" s="164"/>
      <c r="AB2378" s="164"/>
      <c r="AC2378" s="164"/>
      <c r="AD2378" s="164"/>
      <c r="AE2378" s="164"/>
      <c r="AF2378" s="164"/>
      <c r="AG2378" s="164"/>
      <c r="AH2378" s="164"/>
      <c r="AI2378" s="164"/>
    </row>
    <row r="2379">
      <c r="A2379" s="154"/>
      <c r="B2379" s="155"/>
      <c r="C2379" s="156"/>
      <c r="D2379" s="156"/>
      <c r="E2379" s="155"/>
      <c r="F2379" s="156"/>
      <c r="G2379" s="154"/>
      <c r="H2379" s="157"/>
      <c r="I2379" s="158"/>
      <c r="J2379" s="159"/>
      <c r="K2379" s="156"/>
      <c r="L2379" s="156"/>
      <c r="M2379" s="155"/>
      <c r="N2379" s="160"/>
      <c r="O2379" s="161"/>
      <c r="P2379" s="161"/>
      <c r="Q2379" s="203"/>
      <c r="R2379" s="162"/>
      <c r="S2379" s="162"/>
      <c r="T2379" s="162"/>
      <c r="U2379" s="163"/>
      <c r="V2379" s="154"/>
      <c r="W2379" s="164"/>
      <c r="X2379" s="164"/>
      <c r="Y2379" s="164"/>
      <c r="Z2379" s="164"/>
      <c r="AA2379" s="164"/>
      <c r="AB2379" s="164"/>
      <c r="AC2379" s="164"/>
      <c r="AD2379" s="164"/>
      <c r="AE2379" s="164"/>
      <c r="AF2379" s="164"/>
      <c r="AG2379" s="164"/>
      <c r="AH2379" s="164"/>
      <c r="AI2379" s="164"/>
    </row>
    <row r="2380">
      <c r="A2380" s="154"/>
      <c r="B2380" s="155"/>
      <c r="C2380" s="156"/>
      <c r="D2380" s="156"/>
      <c r="E2380" s="155"/>
      <c r="F2380" s="156"/>
      <c r="G2380" s="154"/>
      <c r="H2380" s="157"/>
      <c r="I2380" s="158"/>
      <c r="J2380" s="159"/>
      <c r="K2380" s="156"/>
      <c r="L2380" s="156"/>
      <c r="M2380" s="155"/>
      <c r="N2380" s="160"/>
      <c r="O2380" s="161"/>
      <c r="P2380" s="161"/>
      <c r="Q2380" s="203"/>
      <c r="R2380" s="162"/>
      <c r="S2380" s="162"/>
      <c r="T2380" s="162"/>
      <c r="U2380" s="163"/>
      <c r="V2380" s="154"/>
      <c r="W2380" s="164"/>
      <c r="X2380" s="164"/>
      <c r="Y2380" s="164"/>
      <c r="Z2380" s="164"/>
      <c r="AA2380" s="164"/>
      <c r="AB2380" s="164"/>
      <c r="AC2380" s="164"/>
      <c r="AD2380" s="164"/>
      <c r="AE2380" s="164"/>
      <c r="AF2380" s="164"/>
      <c r="AG2380" s="164"/>
      <c r="AH2380" s="164"/>
      <c r="AI2380" s="164"/>
    </row>
    <row r="2381">
      <c r="A2381" s="154"/>
      <c r="B2381" s="155"/>
      <c r="C2381" s="156"/>
      <c r="D2381" s="156"/>
      <c r="E2381" s="155"/>
      <c r="F2381" s="156"/>
      <c r="G2381" s="154"/>
      <c r="H2381" s="157"/>
      <c r="I2381" s="158"/>
      <c r="J2381" s="159"/>
      <c r="K2381" s="156"/>
      <c r="L2381" s="156"/>
      <c r="M2381" s="155"/>
      <c r="N2381" s="160"/>
      <c r="O2381" s="161"/>
      <c r="P2381" s="161"/>
      <c r="Q2381" s="203"/>
      <c r="R2381" s="162"/>
      <c r="S2381" s="162"/>
      <c r="T2381" s="162"/>
      <c r="U2381" s="163"/>
      <c r="V2381" s="154"/>
      <c r="W2381" s="164"/>
      <c r="X2381" s="164"/>
      <c r="Y2381" s="164"/>
      <c r="Z2381" s="164"/>
      <c r="AA2381" s="164"/>
      <c r="AB2381" s="164"/>
      <c r="AC2381" s="164"/>
      <c r="AD2381" s="164"/>
      <c r="AE2381" s="164"/>
      <c r="AF2381" s="164"/>
      <c r="AG2381" s="164"/>
      <c r="AH2381" s="164"/>
      <c r="AI2381" s="164"/>
    </row>
    <row r="2382">
      <c r="A2382" s="154"/>
      <c r="B2382" s="155"/>
      <c r="C2382" s="156"/>
      <c r="D2382" s="156"/>
      <c r="E2382" s="155"/>
      <c r="F2382" s="156"/>
      <c r="G2382" s="154"/>
      <c r="H2382" s="157"/>
      <c r="I2382" s="158"/>
      <c r="J2382" s="159"/>
      <c r="K2382" s="156"/>
      <c r="L2382" s="156"/>
      <c r="M2382" s="155"/>
      <c r="N2382" s="160"/>
      <c r="O2382" s="161"/>
      <c r="P2382" s="161"/>
      <c r="Q2382" s="203"/>
      <c r="R2382" s="162"/>
      <c r="S2382" s="162"/>
      <c r="T2382" s="162"/>
      <c r="U2382" s="163"/>
      <c r="V2382" s="154"/>
      <c r="W2382" s="164"/>
      <c r="X2382" s="164"/>
      <c r="Y2382" s="164"/>
      <c r="Z2382" s="164"/>
      <c r="AA2382" s="164"/>
      <c r="AB2382" s="164"/>
      <c r="AC2382" s="164"/>
      <c r="AD2382" s="164"/>
      <c r="AE2382" s="164"/>
      <c r="AF2382" s="164"/>
      <c r="AG2382" s="164"/>
      <c r="AH2382" s="164"/>
      <c r="AI2382" s="164"/>
    </row>
    <row r="2383">
      <c r="A2383" s="154"/>
      <c r="B2383" s="155"/>
      <c r="C2383" s="156"/>
      <c r="D2383" s="156"/>
      <c r="E2383" s="155"/>
      <c r="F2383" s="156"/>
      <c r="G2383" s="154"/>
      <c r="H2383" s="157"/>
      <c r="I2383" s="158"/>
      <c r="J2383" s="159"/>
      <c r="K2383" s="156"/>
      <c r="L2383" s="156"/>
      <c r="M2383" s="155"/>
      <c r="N2383" s="160"/>
      <c r="O2383" s="161"/>
      <c r="P2383" s="161"/>
      <c r="Q2383" s="203"/>
      <c r="R2383" s="162"/>
      <c r="S2383" s="162"/>
      <c r="T2383" s="162"/>
      <c r="U2383" s="163"/>
      <c r="V2383" s="154"/>
      <c r="W2383" s="164"/>
      <c r="X2383" s="164"/>
      <c r="Y2383" s="164"/>
      <c r="Z2383" s="164"/>
      <c r="AA2383" s="164"/>
      <c r="AB2383" s="164"/>
      <c r="AC2383" s="164"/>
      <c r="AD2383" s="164"/>
      <c r="AE2383" s="164"/>
      <c r="AF2383" s="164"/>
      <c r="AG2383" s="164"/>
      <c r="AH2383" s="164"/>
      <c r="AI2383" s="164"/>
    </row>
    <row r="2384">
      <c r="A2384" s="176"/>
      <c r="B2384" s="177"/>
      <c r="C2384" s="178"/>
      <c r="D2384" s="178"/>
      <c r="E2384" s="177"/>
      <c r="F2384" s="178"/>
      <c r="G2384" s="176"/>
      <c r="H2384" s="179"/>
      <c r="I2384" s="180"/>
      <c r="J2384" s="181"/>
      <c r="K2384" s="178"/>
      <c r="L2384" s="178"/>
      <c r="M2384" s="182"/>
      <c r="N2384" s="183"/>
      <c r="O2384" s="184"/>
      <c r="P2384" s="184"/>
      <c r="Q2384" s="185"/>
      <c r="R2384" s="186"/>
      <c r="S2384" s="186"/>
      <c r="T2384" s="186"/>
      <c r="U2384" s="187"/>
      <c r="V2384" s="176"/>
      <c r="W2384" s="164"/>
      <c r="X2384" s="164"/>
      <c r="Y2384" s="164"/>
      <c r="Z2384" s="164"/>
      <c r="AA2384" s="164"/>
      <c r="AB2384" s="164"/>
      <c r="AC2384" s="164"/>
      <c r="AD2384" s="164"/>
      <c r="AE2384" s="164"/>
      <c r="AF2384" s="164"/>
      <c r="AG2384" s="164"/>
      <c r="AH2384" s="164"/>
      <c r="AI2384" s="164"/>
    </row>
    <row r="2385">
      <c r="A2385" s="154"/>
      <c r="B2385" s="155"/>
      <c r="C2385" s="156"/>
      <c r="D2385" s="156"/>
      <c r="E2385" s="155"/>
      <c r="F2385" s="156"/>
      <c r="G2385" s="154"/>
      <c r="H2385" s="157"/>
      <c r="I2385" s="158"/>
      <c r="J2385" s="159"/>
      <c r="K2385" s="156"/>
      <c r="L2385" s="156"/>
      <c r="M2385" s="155"/>
      <c r="N2385" s="160"/>
      <c r="O2385" s="161"/>
      <c r="P2385" s="161"/>
      <c r="Q2385" s="203"/>
      <c r="R2385" s="162"/>
      <c r="S2385" s="162"/>
      <c r="T2385" s="162"/>
      <c r="U2385" s="163"/>
      <c r="V2385" s="154"/>
      <c r="W2385" s="164"/>
      <c r="X2385" s="164"/>
      <c r="Y2385" s="164"/>
      <c r="Z2385" s="164"/>
      <c r="AA2385" s="164"/>
      <c r="AB2385" s="164"/>
      <c r="AC2385" s="164"/>
      <c r="AD2385" s="164"/>
      <c r="AE2385" s="164"/>
      <c r="AF2385" s="164"/>
      <c r="AG2385" s="164"/>
      <c r="AH2385" s="164"/>
      <c r="AI2385" s="164"/>
    </row>
    <row r="2386">
      <c r="A2386" s="154"/>
      <c r="B2386" s="155"/>
      <c r="C2386" s="156"/>
      <c r="D2386" s="156"/>
      <c r="E2386" s="155"/>
      <c r="F2386" s="156"/>
      <c r="G2386" s="154"/>
      <c r="H2386" s="157"/>
      <c r="I2386" s="158"/>
      <c r="J2386" s="159"/>
      <c r="K2386" s="156"/>
      <c r="L2386" s="156"/>
      <c r="M2386" s="155"/>
      <c r="N2386" s="160"/>
      <c r="O2386" s="161"/>
      <c r="P2386" s="161"/>
      <c r="Q2386" s="203"/>
      <c r="R2386" s="162"/>
      <c r="S2386" s="162"/>
      <c r="T2386" s="162"/>
      <c r="U2386" s="163"/>
      <c r="V2386" s="154"/>
      <c r="W2386" s="164"/>
      <c r="X2386" s="164"/>
      <c r="Y2386" s="164"/>
      <c r="Z2386" s="164"/>
      <c r="AA2386" s="164"/>
      <c r="AB2386" s="164"/>
      <c r="AC2386" s="164"/>
      <c r="AD2386" s="164"/>
      <c r="AE2386" s="164"/>
      <c r="AF2386" s="164"/>
      <c r="AG2386" s="164"/>
      <c r="AH2386" s="164"/>
      <c r="AI2386" s="164"/>
    </row>
    <row r="2387">
      <c r="A2387" s="154"/>
      <c r="B2387" s="155"/>
      <c r="C2387" s="156"/>
      <c r="D2387" s="156"/>
      <c r="E2387" s="155"/>
      <c r="F2387" s="156"/>
      <c r="G2387" s="154"/>
      <c r="H2387" s="157"/>
      <c r="I2387" s="158"/>
      <c r="J2387" s="159"/>
      <c r="K2387" s="156"/>
      <c r="L2387" s="156"/>
      <c r="M2387" s="155"/>
      <c r="N2387" s="160"/>
      <c r="O2387" s="161"/>
      <c r="P2387" s="161"/>
      <c r="Q2387" s="203"/>
      <c r="R2387" s="162"/>
      <c r="S2387" s="162"/>
      <c r="T2387" s="162"/>
      <c r="U2387" s="163"/>
      <c r="V2387" s="154"/>
      <c r="W2387" s="164"/>
      <c r="X2387" s="164"/>
      <c r="Y2387" s="164"/>
      <c r="Z2387" s="164"/>
      <c r="AA2387" s="164"/>
      <c r="AB2387" s="164"/>
      <c r="AC2387" s="164"/>
      <c r="AD2387" s="164"/>
      <c r="AE2387" s="164"/>
      <c r="AF2387" s="164"/>
      <c r="AG2387" s="164"/>
      <c r="AH2387" s="164"/>
      <c r="AI2387" s="164"/>
    </row>
    <row r="2388">
      <c r="A2388" s="154"/>
      <c r="B2388" s="155"/>
      <c r="C2388" s="156"/>
      <c r="D2388" s="156"/>
      <c r="E2388" s="155"/>
      <c r="F2388" s="156"/>
      <c r="G2388" s="154"/>
      <c r="H2388" s="157"/>
      <c r="I2388" s="158"/>
      <c r="J2388" s="159"/>
      <c r="K2388" s="156"/>
      <c r="L2388" s="156"/>
      <c r="M2388" s="155"/>
      <c r="N2388" s="160"/>
      <c r="O2388" s="161"/>
      <c r="P2388" s="161"/>
      <c r="Q2388" s="203"/>
      <c r="R2388" s="162"/>
      <c r="S2388" s="162"/>
      <c r="T2388" s="162"/>
      <c r="U2388" s="156"/>
      <c r="V2388" s="154"/>
      <c r="W2388" s="164"/>
      <c r="X2388" s="164"/>
      <c r="Y2388" s="164"/>
      <c r="Z2388" s="164"/>
      <c r="AA2388" s="164"/>
      <c r="AB2388" s="164"/>
      <c r="AC2388" s="164"/>
      <c r="AD2388" s="164"/>
      <c r="AE2388" s="164"/>
      <c r="AF2388" s="164"/>
      <c r="AG2388" s="164"/>
      <c r="AH2388" s="164"/>
      <c r="AI2388" s="164"/>
    </row>
    <row r="2389">
      <c r="A2389" s="154"/>
      <c r="B2389" s="155"/>
      <c r="C2389" s="156"/>
      <c r="D2389" s="156"/>
      <c r="E2389" s="155"/>
      <c r="F2389" s="156"/>
      <c r="G2389" s="154"/>
      <c r="H2389" s="157"/>
      <c r="I2389" s="158"/>
      <c r="J2389" s="159"/>
      <c r="K2389" s="156"/>
      <c r="L2389" s="156"/>
      <c r="M2389" s="155"/>
      <c r="N2389" s="160"/>
      <c r="O2389" s="161"/>
      <c r="P2389" s="161"/>
      <c r="Q2389" s="203"/>
      <c r="R2389" s="162"/>
      <c r="S2389" s="162"/>
      <c r="T2389" s="162"/>
      <c r="U2389" s="163"/>
      <c r="V2389" s="154"/>
      <c r="W2389" s="164"/>
      <c r="X2389" s="164"/>
      <c r="Y2389" s="164"/>
      <c r="Z2389" s="164"/>
      <c r="AA2389" s="164"/>
      <c r="AB2389" s="164"/>
      <c r="AC2389" s="164"/>
      <c r="AD2389" s="164"/>
      <c r="AE2389" s="164"/>
      <c r="AF2389" s="164"/>
      <c r="AG2389" s="164"/>
      <c r="AH2389" s="164"/>
      <c r="AI2389" s="164"/>
    </row>
    <row r="2390">
      <c r="A2390" s="154"/>
      <c r="B2390" s="155"/>
      <c r="C2390" s="156"/>
      <c r="D2390" s="156"/>
      <c r="E2390" s="155"/>
      <c r="F2390" s="156"/>
      <c r="G2390" s="154"/>
      <c r="H2390" s="157"/>
      <c r="I2390" s="158"/>
      <c r="J2390" s="159"/>
      <c r="K2390" s="156"/>
      <c r="L2390" s="156"/>
      <c r="M2390" s="155"/>
      <c r="N2390" s="160"/>
      <c r="O2390" s="161"/>
      <c r="P2390" s="161"/>
      <c r="Q2390" s="203"/>
      <c r="R2390" s="162"/>
      <c r="S2390" s="162"/>
      <c r="T2390" s="162"/>
      <c r="U2390" s="163"/>
      <c r="V2390" s="154"/>
      <c r="W2390" s="164"/>
      <c r="X2390" s="164"/>
      <c r="Y2390" s="164"/>
      <c r="Z2390" s="164"/>
      <c r="AA2390" s="164"/>
      <c r="AB2390" s="164"/>
      <c r="AC2390" s="164"/>
      <c r="AD2390" s="164"/>
      <c r="AE2390" s="164"/>
      <c r="AF2390" s="164"/>
      <c r="AG2390" s="164"/>
      <c r="AH2390" s="164"/>
      <c r="AI2390" s="164"/>
    </row>
    <row r="2391">
      <c r="A2391" s="154"/>
      <c r="B2391" s="155"/>
      <c r="C2391" s="156"/>
      <c r="D2391" s="156"/>
      <c r="E2391" s="155"/>
      <c r="F2391" s="156"/>
      <c r="G2391" s="154"/>
      <c r="H2391" s="157"/>
      <c r="I2391" s="158"/>
      <c r="J2391" s="159"/>
      <c r="K2391" s="156"/>
      <c r="L2391" s="156"/>
      <c r="M2391" s="155"/>
      <c r="N2391" s="160"/>
      <c r="O2391" s="161"/>
      <c r="P2391" s="161"/>
      <c r="Q2391" s="203"/>
      <c r="R2391" s="162"/>
      <c r="S2391" s="162"/>
      <c r="T2391" s="162"/>
      <c r="U2391" s="163"/>
      <c r="V2391" s="154"/>
      <c r="W2391" s="164"/>
      <c r="X2391" s="164"/>
      <c r="Y2391" s="164"/>
      <c r="Z2391" s="164"/>
      <c r="AA2391" s="164"/>
      <c r="AB2391" s="164"/>
      <c r="AC2391" s="164"/>
      <c r="AD2391" s="164"/>
      <c r="AE2391" s="164"/>
      <c r="AF2391" s="164"/>
      <c r="AG2391" s="164"/>
      <c r="AH2391" s="164"/>
      <c r="AI2391" s="164"/>
    </row>
    <row r="2392">
      <c r="A2392" s="154"/>
      <c r="B2392" s="155"/>
      <c r="C2392" s="156"/>
      <c r="D2392" s="156"/>
      <c r="E2392" s="155"/>
      <c r="F2392" s="156"/>
      <c r="G2392" s="154"/>
      <c r="H2392" s="157"/>
      <c r="I2392" s="158"/>
      <c r="J2392" s="159"/>
      <c r="K2392" s="156"/>
      <c r="L2392" s="156"/>
      <c r="M2392" s="155"/>
      <c r="N2392" s="160"/>
      <c r="O2392" s="161"/>
      <c r="P2392" s="161"/>
      <c r="Q2392" s="203"/>
      <c r="R2392" s="162"/>
      <c r="S2392" s="162"/>
      <c r="T2392" s="162"/>
      <c r="U2392" s="163"/>
      <c r="V2392" s="154"/>
      <c r="W2392" s="164"/>
      <c r="X2392" s="164"/>
      <c r="Y2392" s="164"/>
      <c r="Z2392" s="164"/>
      <c r="AA2392" s="164"/>
      <c r="AB2392" s="164"/>
      <c r="AC2392" s="164"/>
      <c r="AD2392" s="164"/>
      <c r="AE2392" s="164"/>
      <c r="AF2392" s="164"/>
      <c r="AG2392" s="164"/>
      <c r="AH2392" s="164"/>
      <c r="AI2392" s="164"/>
    </row>
    <row r="2393">
      <c r="A2393" s="154"/>
      <c r="B2393" s="155"/>
      <c r="C2393" s="156"/>
      <c r="D2393" s="156"/>
      <c r="E2393" s="155"/>
      <c r="F2393" s="156"/>
      <c r="G2393" s="154"/>
      <c r="H2393" s="157"/>
      <c r="I2393" s="158"/>
      <c r="J2393" s="159"/>
      <c r="K2393" s="156"/>
      <c r="L2393" s="156"/>
      <c r="M2393" s="155"/>
      <c r="N2393" s="160"/>
      <c r="O2393" s="161"/>
      <c r="P2393" s="161"/>
      <c r="Q2393" s="203"/>
      <c r="R2393" s="162"/>
      <c r="S2393" s="162"/>
      <c r="T2393" s="162"/>
      <c r="U2393" s="163"/>
      <c r="V2393" s="154"/>
      <c r="W2393" s="164"/>
      <c r="X2393" s="164"/>
      <c r="Y2393" s="164"/>
      <c r="Z2393" s="164"/>
      <c r="AA2393" s="164"/>
      <c r="AB2393" s="164"/>
      <c r="AC2393" s="164"/>
      <c r="AD2393" s="164"/>
      <c r="AE2393" s="164"/>
      <c r="AF2393" s="164"/>
      <c r="AG2393" s="164"/>
      <c r="AH2393" s="164"/>
      <c r="AI2393" s="164"/>
    </row>
    <row r="2394">
      <c r="A2394" s="176"/>
      <c r="B2394" s="177"/>
      <c r="C2394" s="178"/>
      <c r="D2394" s="178"/>
      <c r="E2394" s="177"/>
      <c r="F2394" s="178"/>
      <c r="G2394" s="176"/>
      <c r="H2394" s="179"/>
      <c r="I2394" s="180"/>
      <c r="J2394" s="181"/>
      <c r="K2394" s="178"/>
      <c r="L2394" s="178"/>
      <c r="M2394" s="182"/>
      <c r="N2394" s="183"/>
      <c r="O2394" s="184"/>
      <c r="P2394" s="184"/>
      <c r="Q2394" s="185"/>
      <c r="R2394" s="186"/>
      <c r="S2394" s="186"/>
      <c r="T2394" s="186"/>
      <c r="U2394" s="187"/>
      <c r="V2394" s="176"/>
      <c r="W2394" s="164"/>
      <c r="X2394" s="164"/>
      <c r="Y2394" s="164"/>
      <c r="Z2394" s="164"/>
      <c r="AA2394" s="164"/>
      <c r="AB2394" s="164"/>
      <c r="AC2394" s="164"/>
      <c r="AD2394" s="164"/>
      <c r="AE2394" s="164"/>
      <c r="AF2394" s="164"/>
      <c r="AG2394" s="164"/>
      <c r="AH2394" s="164"/>
      <c r="AI2394" s="164"/>
    </row>
    <row r="2395">
      <c r="A2395" s="154"/>
      <c r="B2395" s="155"/>
      <c r="C2395" s="156"/>
      <c r="D2395" s="156"/>
      <c r="E2395" s="155"/>
      <c r="F2395" s="156"/>
      <c r="G2395" s="154"/>
      <c r="H2395" s="157"/>
      <c r="I2395" s="158"/>
      <c r="J2395" s="159"/>
      <c r="K2395" s="156"/>
      <c r="L2395" s="156"/>
      <c r="M2395" s="155"/>
      <c r="N2395" s="160"/>
      <c r="O2395" s="161"/>
      <c r="P2395" s="161"/>
      <c r="Q2395" s="203"/>
      <c r="R2395" s="162"/>
      <c r="S2395" s="162"/>
      <c r="T2395" s="162"/>
      <c r="U2395" s="163"/>
      <c r="V2395" s="154"/>
      <c r="W2395" s="164"/>
      <c r="X2395" s="164"/>
      <c r="Y2395" s="164"/>
      <c r="Z2395" s="164"/>
      <c r="AA2395" s="164"/>
      <c r="AB2395" s="164"/>
      <c r="AC2395" s="164"/>
      <c r="AD2395" s="164"/>
      <c r="AE2395" s="164"/>
      <c r="AF2395" s="164"/>
      <c r="AG2395" s="164"/>
      <c r="AH2395" s="164"/>
      <c r="AI2395" s="164"/>
    </row>
    <row r="2396">
      <c r="A2396" s="154"/>
      <c r="B2396" s="155"/>
      <c r="C2396" s="156"/>
      <c r="D2396" s="156"/>
      <c r="E2396" s="155"/>
      <c r="F2396" s="156"/>
      <c r="G2396" s="154"/>
      <c r="H2396" s="157"/>
      <c r="I2396" s="158"/>
      <c r="J2396" s="159"/>
      <c r="K2396" s="156"/>
      <c r="L2396" s="156"/>
      <c r="M2396" s="155"/>
      <c r="N2396" s="160"/>
      <c r="O2396" s="161"/>
      <c r="P2396" s="161"/>
      <c r="Q2396" s="203"/>
      <c r="R2396" s="162"/>
      <c r="S2396" s="162"/>
      <c r="T2396" s="162"/>
      <c r="U2396" s="163"/>
      <c r="V2396" s="154"/>
      <c r="W2396" s="164"/>
      <c r="X2396" s="164"/>
      <c r="Y2396" s="164"/>
      <c r="Z2396" s="164"/>
      <c r="AA2396" s="164"/>
      <c r="AB2396" s="164"/>
      <c r="AC2396" s="164"/>
      <c r="AD2396" s="164"/>
      <c r="AE2396" s="164"/>
      <c r="AF2396" s="164"/>
      <c r="AG2396" s="164"/>
      <c r="AH2396" s="164"/>
      <c r="AI2396" s="164"/>
    </row>
    <row r="2397">
      <c r="A2397" s="154"/>
      <c r="B2397" s="155"/>
      <c r="C2397" s="156"/>
      <c r="D2397" s="156"/>
      <c r="E2397" s="155"/>
      <c r="F2397" s="156"/>
      <c r="G2397" s="154"/>
      <c r="H2397" s="157"/>
      <c r="I2397" s="158"/>
      <c r="J2397" s="159"/>
      <c r="K2397" s="156"/>
      <c r="L2397" s="156"/>
      <c r="M2397" s="202"/>
      <c r="N2397" s="160"/>
      <c r="O2397" s="161"/>
      <c r="P2397" s="161"/>
      <c r="Q2397" s="203"/>
      <c r="R2397" s="162"/>
      <c r="S2397" s="162"/>
      <c r="T2397" s="162"/>
      <c r="U2397" s="163"/>
      <c r="V2397" s="154"/>
      <c r="W2397" s="164"/>
      <c r="X2397" s="164"/>
      <c r="Y2397" s="164"/>
      <c r="Z2397" s="164"/>
      <c r="AA2397" s="164"/>
      <c r="AB2397" s="164"/>
      <c r="AC2397" s="164"/>
      <c r="AD2397" s="164"/>
      <c r="AE2397" s="164"/>
      <c r="AF2397" s="164"/>
      <c r="AG2397" s="164"/>
      <c r="AH2397" s="164"/>
      <c r="AI2397" s="164"/>
    </row>
    <row r="2398">
      <c r="A2398" s="154"/>
      <c r="B2398" s="155"/>
      <c r="C2398" s="156"/>
      <c r="D2398" s="156"/>
      <c r="E2398" s="155"/>
      <c r="F2398" s="156"/>
      <c r="G2398" s="154"/>
      <c r="H2398" s="157"/>
      <c r="I2398" s="158"/>
      <c r="J2398" s="159"/>
      <c r="K2398" s="156"/>
      <c r="L2398" s="156"/>
      <c r="M2398" s="155"/>
      <c r="N2398" s="160"/>
      <c r="O2398" s="161"/>
      <c r="P2398" s="161"/>
      <c r="Q2398" s="203"/>
      <c r="R2398" s="162"/>
      <c r="S2398" s="162"/>
      <c r="T2398" s="162"/>
      <c r="U2398" s="163"/>
      <c r="V2398" s="154"/>
      <c r="W2398" s="164"/>
      <c r="X2398" s="164"/>
      <c r="Y2398" s="164"/>
      <c r="Z2398" s="164"/>
      <c r="AA2398" s="164"/>
      <c r="AB2398" s="164"/>
      <c r="AC2398" s="164"/>
      <c r="AD2398" s="164"/>
      <c r="AE2398" s="164"/>
      <c r="AF2398" s="164"/>
      <c r="AG2398" s="164"/>
      <c r="AH2398" s="164"/>
      <c r="AI2398" s="164"/>
    </row>
    <row r="2399">
      <c r="A2399" s="154"/>
      <c r="B2399" s="155"/>
      <c r="C2399" s="156"/>
      <c r="D2399" s="156"/>
      <c r="E2399" s="155"/>
      <c r="F2399" s="156"/>
      <c r="G2399" s="154"/>
      <c r="H2399" s="157"/>
      <c r="I2399" s="158"/>
      <c r="J2399" s="159"/>
      <c r="K2399" s="156"/>
      <c r="L2399" s="156"/>
      <c r="M2399" s="202"/>
      <c r="N2399" s="160"/>
      <c r="O2399" s="161"/>
      <c r="P2399" s="161"/>
      <c r="Q2399" s="203"/>
      <c r="R2399" s="162"/>
      <c r="S2399" s="162"/>
      <c r="T2399" s="162"/>
      <c r="U2399" s="163"/>
      <c r="V2399" s="154"/>
      <c r="W2399" s="164"/>
      <c r="X2399" s="164"/>
      <c r="Y2399" s="164"/>
      <c r="Z2399" s="164"/>
      <c r="AA2399" s="164"/>
      <c r="AB2399" s="164"/>
      <c r="AC2399" s="164"/>
      <c r="AD2399" s="164"/>
      <c r="AE2399" s="164"/>
      <c r="AF2399" s="164"/>
      <c r="AG2399" s="164"/>
      <c r="AH2399" s="164"/>
      <c r="AI2399" s="164"/>
    </row>
    <row r="2400">
      <c r="A2400" s="154"/>
      <c r="B2400" s="155"/>
      <c r="C2400" s="156"/>
      <c r="D2400" s="156"/>
      <c r="E2400" s="155"/>
      <c r="F2400" s="156"/>
      <c r="G2400" s="154"/>
      <c r="H2400" s="157"/>
      <c r="I2400" s="158"/>
      <c r="J2400" s="159"/>
      <c r="K2400" s="156"/>
      <c r="L2400" s="156"/>
      <c r="M2400" s="155"/>
      <c r="N2400" s="160"/>
      <c r="O2400" s="161"/>
      <c r="P2400" s="161"/>
      <c r="Q2400" s="203"/>
      <c r="R2400" s="162"/>
      <c r="S2400" s="162"/>
      <c r="T2400" s="162"/>
      <c r="U2400" s="163"/>
      <c r="V2400" s="154"/>
      <c r="W2400" s="164"/>
      <c r="X2400" s="164"/>
      <c r="Y2400" s="164"/>
      <c r="Z2400" s="164"/>
      <c r="AA2400" s="164"/>
      <c r="AB2400" s="164"/>
      <c r="AC2400" s="164"/>
      <c r="AD2400" s="164"/>
      <c r="AE2400" s="164"/>
      <c r="AF2400" s="164"/>
      <c r="AG2400" s="164"/>
      <c r="AH2400" s="164"/>
      <c r="AI2400" s="164"/>
    </row>
    <row r="2401">
      <c r="A2401" s="154"/>
      <c r="B2401" s="155"/>
      <c r="C2401" s="156"/>
      <c r="D2401" s="156"/>
      <c r="E2401" s="155"/>
      <c r="F2401" s="156"/>
      <c r="G2401" s="154"/>
      <c r="H2401" s="157"/>
      <c r="I2401" s="158"/>
      <c r="J2401" s="159"/>
      <c r="K2401" s="156"/>
      <c r="L2401" s="156"/>
      <c r="M2401" s="155"/>
      <c r="N2401" s="160"/>
      <c r="O2401" s="161"/>
      <c r="P2401" s="161"/>
      <c r="Q2401" s="203"/>
      <c r="R2401" s="162"/>
      <c r="S2401" s="162"/>
      <c r="T2401" s="162"/>
      <c r="U2401" s="163"/>
      <c r="V2401" s="154"/>
      <c r="W2401" s="164"/>
      <c r="X2401" s="164"/>
      <c r="Y2401" s="164"/>
      <c r="Z2401" s="164"/>
      <c r="AA2401" s="164"/>
      <c r="AB2401" s="164"/>
      <c r="AC2401" s="164"/>
      <c r="AD2401" s="164"/>
      <c r="AE2401" s="164"/>
      <c r="AF2401" s="164"/>
      <c r="AG2401" s="164"/>
      <c r="AH2401" s="164"/>
      <c r="AI2401" s="164"/>
    </row>
    <row r="2402">
      <c r="A2402" s="154"/>
      <c r="B2402" s="155"/>
      <c r="C2402" s="156"/>
      <c r="D2402" s="156"/>
      <c r="E2402" s="155"/>
      <c r="F2402" s="156"/>
      <c r="G2402" s="154"/>
      <c r="H2402" s="157"/>
      <c r="I2402" s="158"/>
      <c r="J2402" s="159"/>
      <c r="K2402" s="156"/>
      <c r="L2402" s="156"/>
      <c r="M2402" s="155"/>
      <c r="N2402" s="160"/>
      <c r="O2402" s="161"/>
      <c r="P2402" s="161"/>
      <c r="Q2402" s="203"/>
      <c r="R2402" s="162"/>
      <c r="S2402" s="162"/>
      <c r="T2402" s="162"/>
      <c r="U2402" s="163"/>
      <c r="V2402" s="154"/>
      <c r="W2402" s="164"/>
      <c r="X2402" s="164"/>
      <c r="Y2402" s="164"/>
      <c r="Z2402" s="164"/>
      <c r="AA2402" s="164"/>
      <c r="AB2402" s="164"/>
      <c r="AC2402" s="164"/>
      <c r="AD2402" s="164"/>
      <c r="AE2402" s="164"/>
      <c r="AF2402" s="164"/>
      <c r="AG2402" s="164"/>
      <c r="AH2402" s="164"/>
      <c r="AI2402" s="164"/>
    </row>
    <row r="2403">
      <c r="A2403" s="154"/>
      <c r="B2403" s="155"/>
      <c r="C2403" s="156"/>
      <c r="D2403" s="156"/>
      <c r="E2403" s="155"/>
      <c r="F2403" s="156"/>
      <c r="G2403" s="154"/>
      <c r="H2403" s="157"/>
      <c r="I2403" s="158"/>
      <c r="J2403" s="159"/>
      <c r="K2403" s="156"/>
      <c r="L2403" s="156"/>
      <c r="M2403" s="155"/>
      <c r="N2403" s="160"/>
      <c r="O2403" s="161"/>
      <c r="P2403" s="161"/>
      <c r="Q2403" s="203"/>
      <c r="R2403" s="162"/>
      <c r="S2403" s="162"/>
      <c r="T2403" s="162"/>
      <c r="U2403" s="163"/>
      <c r="V2403" s="154"/>
      <c r="W2403" s="164"/>
      <c r="X2403" s="164"/>
      <c r="Y2403" s="164"/>
      <c r="Z2403" s="164"/>
      <c r="AA2403" s="164"/>
      <c r="AB2403" s="164"/>
      <c r="AC2403" s="164"/>
      <c r="AD2403" s="164"/>
      <c r="AE2403" s="164"/>
      <c r="AF2403" s="164"/>
      <c r="AG2403" s="164"/>
      <c r="AH2403" s="164"/>
      <c r="AI2403" s="164"/>
    </row>
    <row r="2404">
      <c r="A2404" s="154"/>
      <c r="B2404" s="155"/>
      <c r="C2404" s="156"/>
      <c r="D2404" s="156"/>
      <c r="E2404" s="155"/>
      <c r="F2404" s="156"/>
      <c r="G2404" s="154"/>
      <c r="H2404" s="157"/>
      <c r="I2404" s="158"/>
      <c r="J2404" s="159"/>
      <c r="K2404" s="156"/>
      <c r="L2404" s="156"/>
      <c r="M2404" s="202"/>
      <c r="N2404" s="160"/>
      <c r="O2404" s="161"/>
      <c r="P2404" s="161"/>
      <c r="Q2404" s="203"/>
      <c r="R2404" s="162"/>
      <c r="S2404" s="162"/>
      <c r="T2404" s="162"/>
      <c r="U2404" s="163"/>
      <c r="V2404" s="154"/>
      <c r="W2404" s="164"/>
      <c r="X2404" s="164"/>
      <c r="Y2404" s="164"/>
      <c r="Z2404" s="164"/>
      <c r="AA2404" s="164"/>
      <c r="AB2404" s="164"/>
      <c r="AC2404" s="164"/>
      <c r="AD2404" s="164"/>
      <c r="AE2404" s="164"/>
      <c r="AF2404" s="164"/>
      <c r="AG2404" s="164"/>
      <c r="AH2404" s="164"/>
      <c r="AI2404" s="164"/>
    </row>
    <row r="2405">
      <c r="A2405" s="154"/>
      <c r="B2405" s="155"/>
      <c r="C2405" s="156"/>
      <c r="D2405" s="156"/>
      <c r="E2405" s="155"/>
      <c r="F2405" s="156"/>
      <c r="G2405" s="154"/>
      <c r="H2405" s="157"/>
      <c r="I2405" s="158"/>
      <c r="J2405" s="159"/>
      <c r="K2405" s="156"/>
      <c r="L2405" s="156"/>
      <c r="M2405" s="155"/>
      <c r="N2405" s="160"/>
      <c r="O2405" s="161"/>
      <c r="P2405" s="161"/>
      <c r="Q2405" s="159"/>
      <c r="R2405" s="162"/>
      <c r="S2405" s="162"/>
      <c r="T2405" s="162"/>
      <c r="U2405" s="163"/>
      <c r="V2405" s="154"/>
      <c r="W2405" s="164"/>
      <c r="X2405" s="164"/>
      <c r="Y2405" s="164"/>
      <c r="Z2405" s="164"/>
      <c r="AA2405" s="164"/>
      <c r="AB2405" s="164"/>
      <c r="AC2405" s="164"/>
      <c r="AD2405" s="164"/>
      <c r="AE2405" s="164"/>
      <c r="AF2405" s="164"/>
      <c r="AG2405" s="164"/>
      <c r="AH2405" s="164"/>
      <c r="AI2405" s="164"/>
    </row>
    <row r="2406">
      <c r="A2406" s="154"/>
      <c r="B2406" s="155"/>
      <c r="C2406" s="156"/>
      <c r="D2406" s="156"/>
      <c r="E2406" s="155"/>
      <c r="F2406" s="156"/>
      <c r="G2406" s="154"/>
      <c r="H2406" s="157"/>
      <c r="I2406" s="158"/>
      <c r="J2406" s="159"/>
      <c r="K2406" s="156"/>
      <c r="L2406" s="156"/>
      <c r="M2406" s="155"/>
      <c r="N2406" s="160"/>
      <c r="O2406" s="161"/>
      <c r="P2406" s="161"/>
      <c r="Q2406" s="203"/>
      <c r="R2406" s="162"/>
      <c r="S2406" s="162"/>
      <c r="T2406" s="162"/>
      <c r="U2406" s="163"/>
      <c r="V2406" s="154"/>
      <c r="W2406" s="164"/>
      <c r="X2406" s="164"/>
      <c r="Y2406" s="164"/>
      <c r="Z2406" s="164"/>
      <c r="AA2406" s="164"/>
      <c r="AB2406" s="164"/>
      <c r="AC2406" s="164"/>
      <c r="AD2406" s="164"/>
      <c r="AE2406" s="164"/>
      <c r="AF2406" s="164"/>
      <c r="AG2406" s="164"/>
      <c r="AH2406" s="164"/>
      <c r="AI2406" s="164"/>
    </row>
    <row r="2407">
      <c r="A2407" s="154"/>
      <c r="B2407" s="155"/>
      <c r="C2407" s="156"/>
      <c r="D2407" s="156"/>
      <c r="E2407" s="155"/>
      <c r="F2407" s="156"/>
      <c r="G2407" s="154"/>
      <c r="H2407" s="157"/>
      <c r="I2407" s="158"/>
      <c r="J2407" s="159"/>
      <c r="K2407" s="156"/>
      <c r="L2407" s="156"/>
      <c r="M2407" s="202"/>
      <c r="N2407" s="160"/>
      <c r="O2407" s="161"/>
      <c r="P2407" s="161"/>
      <c r="Q2407" s="203"/>
      <c r="R2407" s="162"/>
      <c r="S2407" s="162"/>
      <c r="T2407" s="162"/>
      <c r="U2407" s="163"/>
      <c r="V2407" s="154"/>
      <c r="W2407" s="164"/>
      <c r="X2407" s="164"/>
      <c r="Y2407" s="164"/>
      <c r="Z2407" s="164"/>
      <c r="AA2407" s="164"/>
      <c r="AB2407" s="164"/>
      <c r="AC2407" s="164"/>
      <c r="AD2407" s="164"/>
      <c r="AE2407" s="164"/>
      <c r="AF2407" s="164"/>
      <c r="AG2407" s="164"/>
      <c r="AH2407" s="164"/>
      <c r="AI2407" s="164"/>
    </row>
    <row r="2408">
      <c r="A2408" s="154"/>
      <c r="B2408" s="155"/>
      <c r="C2408" s="156"/>
      <c r="D2408" s="156"/>
      <c r="E2408" s="155"/>
      <c r="F2408" s="156"/>
      <c r="G2408" s="154"/>
      <c r="H2408" s="157"/>
      <c r="I2408" s="158"/>
      <c r="J2408" s="159"/>
      <c r="K2408" s="156"/>
      <c r="L2408" s="156"/>
      <c r="M2408" s="155"/>
      <c r="N2408" s="160"/>
      <c r="O2408" s="161"/>
      <c r="P2408" s="161"/>
      <c r="Q2408" s="203"/>
      <c r="R2408" s="162"/>
      <c r="S2408" s="162"/>
      <c r="T2408" s="162"/>
      <c r="U2408" s="163"/>
      <c r="V2408" s="154"/>
      <c r="W2408" s="164"/>
      <c r="X2408" s="164"/>
      <c r="Y2408" s="164"/>
      <c r="Z2408" s="164"/>
      <c r="AA2408" s="164"/>
      <c r="AB2408" s="164"/>
      <c r="AC2408" s="164"/>
      <c r="AD2408" s="164"/>
      <c r="AE2408" s="164"/>
      <c r="AF2408" s="164"/>
      <c r="AG2408" s="164"/>
      <c r="AH2408" s="164"/>
      <c r="AI2408" s="164"/>
    </row>
    <row r="2409">
      <c r="A2409" s="154"/>
      <c r="B2409" s="155"/>
      <c r="C2409" s="156"/>
      <c r="D2409" s="156"/>
      <c r="E2409" s="155"/>
      <c r="F2409" s="156"/>
      <c r="G2409" s="154"/>
      <c r="H2409" s="157"/>
      <c r="I2409" s="158"/>
      <c r="J2409" s="159"/>
      <c r="K2409" s="156"/>
      <c r="L2409" s="156"/>
      <c r="M2409" s="202"/>
      <c r="N2409" s="160"/>
      <c r="O2409" s="161"/>
      <c r="P2409" s="161"/>
      <c r="Q2409" s="203"/>
      <c r="R2409" s="162"/>
      <c r="S2409" s="162"/>
      <c r="T2409" s="162"/>
      <c r="U2409" s="163"/>
      <c r="V2409" s="154"/>
      <c r="W2409" s="164"/>
      <c r="X2409" s="164"/>
      <c r="Y2409" s="164"/>
      <c r="Z2409" s="164"/>
      <c r="AA2409" s="164"/>
      <c r="AB2409" s="164"/>
      <c r="AC2409" s="164"/>
      <c r="AD2409" s="164"/>
      <c r="AE2409" s="164"/>
      <c r="AF2409" s="164"/>
      <c r="AG2409" s="164"/>
      <c r="AH2409" s="164"/>
      <c r="AI2409" s="164"/>
    </row>
    <row r="2410">
      <c r="A2410" s="154"/>
      <c r="B2410" s="155"/>
      <c r="C2410" s="156"/>
      <c r="D2410" s="156"/>
      <c r="E2410" s="155"/>
      <c r="F2410" s="156"/>
      <c r="G2410" s="154"/>
      <c r="H2410" s="157"/>
      <c r="I2410" s="158"/>
      <c r="J2410" s="159"/>
      <c r="K2410" s="156"/>
      <c r="L2410" s="156"/>
      <c r="M2410" s="155"/>
      <c r="N2410" s="160"/>
      <c r="O2410" s="161"/>
      <c r="P2410" s="161"/>
      <c r="Q2410" s="203"/>
      <c r="R2410" s="162"/>
      <c r="S2410" s="162"/>
      <c r="T2410" s="162"/>
      <c r="U2410" s="163"/>
      <c r="V2410" s="154"/>
      <c r="W2410" s="164"/>
      <c r="X2410" s="164"/>
      <c r="Y2410" s="164"/>
      <c r="Z2410" s="164"/>
      <c r="AA2410" s="164"/>
      <c r="AB2410" s="164"/>
      <c r="AC2410" s="164"/>
      <c r="AD2410" s="164"/>
      <c r="AE2410" s="164"/>
      <c r="AF2410" s="164"/>
      <c r="AG2410" s="164"/>
      <c r="AH2410" s="164"/>
      <c r="AI2410" s="164"/>
    </row>
    <row r="2411">
      <c r="A2411" s="154"/>
      <c r="B2411" s="155"/>
      <c r="C2411" s="156"/>
      <c r="D2411" s="156"/>
      <c r="E2411" s="155"/>
      <c r="F2411" s="156"/>
      <c r="G2411" s="154"/>
      <c r="H2411" s="157"/>
      <c r="I2411" s="158"/>
      <c r="J2411" s="159"/>
      <c r="K2411" s="156"/>
      <c r="L2411" s="156"/>
      <c r="M2411" s="155"/>
      <c r="N2411" s="160"/>
      <c r="O2411" s="161"/>
      <c r="P2411" s="161"/>
      <c r="Q2411" s="203"/>
      <c r="R2411" s="162"/>
      <c r="S2411" s="162"/>
      <c r="T2411" s="162"/>
      <c r="U2411" s="163"/>
      <c r="V2411" s="154"/>
      <c r="W2411" s="164"/>
      <c r="X2411" s="164"/>
      <c r="Y2411" s="164"/>
      <c r="Z2411" s="164"/>
      <c r="AA2411" s="164"/>
      <c r="AB2411" s="164"/>
      <c r="AC2411" s="164"/>
      <c r="AD2411" s="164"/>
      <c r="AE2411" s="164"/>
      <c r="AF2411" s="164"/>
      <c r="AG2411" s="164"/>
      <c r="AH2411" s="164"/>
      <c r="AI2411" s="164"/>
    </row>
    <row r="2412">
      <c r="A2412" s="154"/>
      <c r="B2412" s="155"/>
      <c r="C2412" s="156"/>
      <c r="D2412" s="156"/>
      <c r="E2412" s="155"/>
      <c r="F2412" s="156"/>
      <c r="G2412" s="154"/>
      <c r="H2412" s="157"/>
      <c r="I2412" s="158"/>
      <c r="J2412" s="159"/>
      <c r="K2412" s="156"/>
      <c r="L2412" s="156"/>
      <c r="M2412" s="202"/>
      <c r="N2412" s="160"/>
      <c r="O2412" s="161"/>
      <c r="P2412" s="161"/>
      <c r="Q2412" s="203"/>
      <c r="R2412" s="162"/>
      <c r="S2412" s="162"/>
      <c r="T2412" s="162"/>
      <c r="U2412" s="163"/>
      <c r="V2412" s="154"/>
      <c r="W2412" s="164"/>
      <c r="X2412" s="164"/>
      <c r="Y2412" s="164"/>
      <c r="Z2412" s="164"/>
      <c r="AA2412" s="164"/>
      <c r="AB2412" s="164"/>
      <c r="AC2412" s="164"/>
      <c r="AD2412" s="164"/>
      <c r="AE2412" s="164"/>
      <c r="AF2412" s="164"/>
      <c r="AG2412" s="164"/>
      <c r="AH2412" s="164"/>
      <c r="AI2412" s="164"/>
    </row>
    <row r="2413">
      <c r="A2413" s="154"/>
      <c r="B2413" s="155"/>
      <c r="C2413" s="156"/>
      <c r="D2413" s="156"/>
      <c r="E2413" s="155"/>
      <c r="F2413" s="156"/>
      <c r="G2413" s="154"/>
      <c r="H2413" s="157"/>
      <c r="I2413" s="158"/>
      <c r="J2413" s="159"/>
      <c r="K2413" s="156"/>
      <c r="L2413" s="156"/>
      <c r="M2413" s="155"/>
      <c r="N2413" s="160"/>
      <c r="O2413" s="161"/>
      <c r="P2413" s="161"/>
      <c r="Q2413" s="159"/>
      <c r="R2413" s="162"/>
      <c r="S2413" s="162"/>
      <c r="T2413" s="162"/>
      <c r="U2413" s="163"/>
      <c r="V2413" s="154"/>
      <c r="W2413" s="164"/>
      <c r="X2413" s="164"/>
      <c r="Y2413" s="164"/>
      <c r="Z2413" s="164"/>
      <c r="AA2413" s="164"/>
      <c r="AB2413" s="164"/>
      <c r="AC2413" s="164"/>
      <c r="AD2413" s="164"/>
      <c r="AE2413" s="164"/>
      <c r="AF2413" s="164"/>
      <c r="AG2413" s="164"/>
      <c r="AH2413" s="164"/>
      <c r="AI2413" s="164"/>
    </row>
    <row r="2414">
      <c r="A2414" s="154"/>
      <c r="B2414" s="155"/>
      <c r="C2414" s="156"/>
      <c r="D2414" s="156"/>
      <c r="E2414" s="155"/>
      <c r="F2414" s="156"/>
      <c r="G2414" s="154"/>
      <c r="H2414" s="157"/>
      <c r="I2414" s="158"/>
      <c r="J2414" s="159"/>
      <c r="K2414" s="156"/>
      <c r="L2414" s="156"/>
      <c r="M2414" s="155"/>
      <c r="N2414" s="160"/>
      <c r="O2414" s="161"/>
      <c r="P2414" s="161"/>
      <c r="Q2414" s="203"/>
      <c r="R2414" s="162"/>
      <c r="S2414" s="162"/>
      <c r="T2414" s="162"/>
      <c r="U2414" s="163"/>
      <c r="V2414" s="154"/>
      <c r="W2414" s="164"/>
      <c r="X2414" s="164"/>
      <c r="Y2414" s="164"/>
      <c r="Z2414" s="164"/>
      <c r="AA2414" s="164"/>
      <c r="AB2414" s="164"/>
      <c r="AC2414" s="164"/>
      <c r="AD2414" s="164"/>
      <c r="AE2414" s="164"/>
      <c r="AF2414" s="164"/>
      <c r="AG2414" s="164"/>
      <c r="AH2414" s="164"/>
      <c r="AI2414" s="164"/>
    </row>
    <row r="2415">
      <c r="A2415" s="154"/>
      <c r="B2415" s="155"/>
      <c r="C2415" s="156"/>
      <c r="D2415" s="156"/>
      <c r="E2415" s="155"/>
      <c r="F2415" s="156"/>
      <c r="G2415" s="154"/>
      <c r="H2415" s="157"/>
      <c r="I2415" s="158"/>
      <c r="J2415" s="159"/>
      <c r="K2415" s="156"/>
      <c r="L2415" s="156"/>
      <c r="M2415" s="155"/>
      <c r="N2415" s="160"/>
      <c r="O2415" s="161"/>
      <c r="P2415" s="161"/>
      <c r="Q2415" s="203"/>
      <c r="R2415" s="162"/>
      <c r="S2415" s="162"/>
      <c r="T2415" s="162"/>
      <c r="U2415" s="163"/>
      <c r="V2415" s="154"/>
      <c r="W2415" s="164"/>
      <c r="X2415" s="164"/>
      <c r="Y2415" s="164"/>
      <c r="Z2415" s="164"/>
      <c r="AA2415" s="164"/>
      <c r="AB2415" s="164"/>
      <c r="AC2415" s="164"/>
      <c r="AD2415" s="164"/>
      <c r="AE2415" s="164"/>
      <c r="AF2415" s="164"/>
      <c r="AG2415" s="164"/>
      <c r="AH2415" s="164"/>
      <c r="AI2415" s="164"/>
    </row>
    <row r="2416">
      <c r="A2416" s="154"/>
      <c r="B2416" s="155"/>
      <c r="C2416" s="156"/>
      <c r="D2416" s="156"/>
      <c r="E2416" s="155"/>
      <c r="F2416" s="156"/>
      <c r="G2416" s="154"/>
      <c r="H2416" s="157"/>
      <c r="I2416" s="158"/>
      <c r="J2416" s="159"/>
      <c r="K2416" s="156"/>
      <c r="L2416" s="156"/>
      <c r="M2416" s="202"/>
      <c r="N2416" s="160"/>
      <c r="O2416" s="161"/>
      <c r="P2416" s="161"/>
      <c r="Q2416" s="203"/>
      <c r="R2416" s="162"/>
      <c r="S2416" s="162"/>
      <c r="T2416" s="162"/>
      <c r="U2416" s="163"/>
      <c r="V2416" s="154"/>
      <c r="W2416" s="164"/>
      <c r="X2416" s="164"/>
      <c r="Y2416" s="164"/>
      <c r="Z2416" s="164"/>
      <c r="AA2416" s="164"/>
      <c r="AB2416" s="164"/>
      <c r="AC2416" s="164"/>
      <c r="AD2416" s="164"/>
      <c r="AE2416" s="164"/>
      <c r="AF2416" s="164"/>
      <c r="AG2416" s="164"/>
      <c r="AH2416" s="164"/>
      <c r="AI2416" s="164"/>
    </row>
    <row r="2417">
      <c r="A2417" s="154"/>
      <c r="B2417" s="155"/>
      <c r="C2417" s="156"/>
      <c r="D2417" s="156"/>
      <c r="E2417" s="155"/>
      <c r="F2417" s="156"/>
      <c r="G2417" s="154"/>
      <c r="H2417" s="157"/>
      <c r="I2417" s="158"/>
      <c r="J2417" s="159"/>
      <c r="K2417" s="156"/>
      <c r="L2417" s="156"/>
      <c r="M2417" s="202"/>
      <c r="N2417" s="160"/>
      <c r="O2417" s="161"/>
      <c r="P2417" s="161"/>
      <c r="Q2417" s="203"/>
      <c r="R2417" s="162"/>
      <c r="S2417" s="162"/>
      <c r="T2417" s="162"/>
      <c r="U2417" s="163"/>
      <c r="V2417" s="154"/>
      <c r="W2417" s="164"/>
      <c r="X2417" s="164"/>
      <c r="Y2417" s="164"/>
      <c r="Z2417" s="164"/>
      <c r="AA2417" s="164"/>
      <c r="AB2417" s="164"/>
      <c r="AC2417" s="164"/>
      <c r="AD2417" s="164"/>
      <c r="AE2417" s="164"/>
      <c r="AF2417" s="164"/>
      <c r="AG2417" s="164"/>
      <c r="AH2417" s="164"/>
      <c r="AI2417" s="164"/>
    </row>
    <row r="2418">
      <c r="A2418" s="154"/>
      <c r="B2418" s="155"/>
      <c r="C2418" s="156"/>
      <c r="D2418" s="156"/>
      <c r="E2418" s="155"/>
      <c r="F2418" s="156"/>
      <c r="G2418" s="154"/>
      <c r="H2418" s="157"/>
      <c r="I2418" s="158"/>
      <c r="J2418" s="159"/>
      <c r="K2418" s="156"/>
      <c r="L2418" s="156"/>
      <c r="M2418" s="202"/>
      <c r="N2418" s="160"/>
      <c r="O2418" s="161"/>
      <c r="P2418" s="161"/>
      <c r="Q2418" s="203"/>
      <c r="R2418" s="162"/>
      <c r="S2418" s="162"/>
      <c r="T2418" s="162"/>
      <c r="U2418" s="163"/>
      <c r="V2418" s="154"/>
      <c r="W2418" s="164"/>
      <c r="X2418" s="164"/>
      <c r="Y2418" s="164"/>
      <c r="Z2418" s="164"/>
      <c r="AA2418" s="164"/>
      <c r="AB2418" s="164"/>
      <c r="AC2418" s="164"/>
      <c r="AD2418" s="164"/>
      <c r="AE2418" s="164"/>
      <c r="AF2418" s="164"/>
      <c r="AG2418" s="164"/>
      <c r="AH2418" s="164"/>
      <c r="AI2418" s="164"/>
    </row>
    <row r="2419">
      <c r="A2419" s="154"/>
      <c r="B2419" s="155"/>
      <c r="C2419" s="156"/>
      <c r="D2419" s="156"/>
      <c r="E2419" s="155"/>
      <c r="F2419" s="156"/>
      <c r="G2419" s="154"/>
      <c r="H2419" s="157"/>
      <c r="I2419" s="158"/>
      <c r="J2419" s="159"/>
      <c r="K2419" s="156"/>
      <c r="L2419" s="156"/>
      <c r="M2419" s="155"/>
      <c r="N2419" s="160"/>
      <c r="O2419" s="161"/>
      <c r="P2419" s="161"/>
      <c r="Q2419" s="203"/>
      <c r="R2419" s="162"/>
      <c r="S2419" s="162"/>
      <c r="T2419" s="162"/>
      <c r="U2419" s="163"/>
      <c r="V2419" s="154"/>
      <c r="W2419" s="164"/>
      <c r="X2419" s="164"/>
      <c r="Y2419" s="164"/>
      <c r="Z2419" s="164"/>
      <c r="AA2419" s="164"/>
      <c r="AB2419" s="164"/>
      <c r="AC2419" s="164"/>
      <c r="AD2419" s="164"/>
      <c r="AE2419" s="164"/>
      <c r="AF2419" s="164"/>
      <c r="AG2419" s="164"/>
      <c r="AH2419" s="164"/>
      <c r="AI2419" s="164"/>
    </row>
    <row r="2420">
      <c r="A2420" s="154"/>
      <c r="B2420" s="155"/>
      <c r="C2420" s="156"/>
      <c r="D2420" s="156"/>
      <c r="E2420" s="155"/>
      <c r="F2420" s="156"/>
      <c r="G2420" s="154"/>
      <c r="H2420" s="157"/>
      <c r="I2420" s="158"/>
      <c r="J2420" s="159"/>
      <c r="K2420" s="156"/>
      <c r="L2420" s="156"/>
      <c r="M2420" s="202"/>
      <c r="N2420" s="160"/>
      <c r="O2420" s="161"/>
      <c r="P2420" s="161"/>
      <c r="Q2420" s="203"/>
      <c r="R2420" s="162"/>
      <c r="S2420" s="162"/>
      <c r="T2420" s="162"/>
      <c r="U2420" s="163"/>
      <c r="V2420" s="154"/>
      <c r="W2420" s="164"/>
      <c r="X2420" s="164"/>
      <c r="Y2420" s="164"/>
      <c r="Z2420" s="164"/>
      <c r="AA2420" s="164"/>
      <c r="AB2420" s="164"/>
      <c r="AC2420" s="164"/>
      <c r="AD2420" s="164"/>
      <c r="AE2420" s="164"/>
      <c r="AF2420" s="164"/>
      <c r="AG2420" s="164"/>
      <c r="AH2420" s="164"/>
      <c r="AI2420" s="164"/>
    </row>
    <row r="2421">
      <c r="A2421" s="154"/>
      <c r="B2421" s="155"/>
      <c r="C2421" s="156"/>
      <c r="D2421" s="156"/>
      <c r="E2421" s="155"/>
      <c r="F2421" s="156"/>
      <c r="G2421" s="154"/>
      <c r="H2421" s="157"/>
      <c r="I2421" s="158"/>
      <c r="J2421" s="159"/>
      <c r="K2421" s="156"/>
      <c r="L2421" s="156"/>
      <c r="M2421" s="202"/>
      <c r="N2421" s="160"/>
      <c r="O2421" s="161"/>
      <c r="P2421" s="161"/>
      <c r="Q2421" s="203"/>
      <c r="R2421" s="162"/>
      <c r="S2421" s="162"/>
      <c r="T2421" s="162"/>
      <c r="U2421" s="163"/>
      <c r="V2421" s="154"/>
      <c r="W2421" s="164"/>
      <c r="X2421" s="164"/>
      <c r="Y2421" s="164"/>
      <c r="Z2421" s="164"/>
      <c r="AA2421" s="164"/>
      <c r="AB2421" s="164"/>
      <c r="AC2421" s="164"/>
      <c r="AD2421" s="164"/>
      <c r="AE2421" s="164"/>
      <c r="AF2421" s="164"/>
      <c r="AG2421" s="164"/>
      <c r="AH2421" s="164"/>
      <c r="AI2421" s="164"/>
    </row>
    <row r="2422">
      <c r="A2422" s="154"/>
      <c r="B2422" s="155"/>
      <c r="C2422" s="156"/>
      <c r="D2422" s="156"/>
      <c r="E2422" s="155"/>
      <c r="F2422" s="156"/>
      <c r="G2422" s="154"/>
      <c r="H2422" s="157"/>
      <c r="I2422" s="158"/>
      <c r="J2422" s="159"/>
      <c r="K2422" s="156"/>
      <c r="L2422" s="156"/>
      <c r="M2422" s="155"/>
      <c r="N2422" s="160"/>
      <c r="O2422" s="161"/>
      <c r="P2422" s="161"/>
      <c r="Q2422" s="203"/>
      <c r="R2422" s="162"/>
      <c r="S2422" s="162"/>
      <c r="T2422" s="162"/>
      <c r="U2422" s="163"/>
      <c r="V2422" s="154"/>
      <c r="W2422" s="164"/>
      <c r="X2422" s="164"/>
      <c r="Y2422" s="164"/>
      <c r="Z2422" s="164"/>
      <c r="AA2422" s="164"/>
      <c r="AB2422" s="164"/>
      <c r="AC2422" s="164"/>
      <c r="AD2422" s="164"/>
      <c r="AE2422" s="164"/>
      <c r="AF2422" s="164"/>
      <c r="AG2422" s="164"/>
      <c r="AH2422" s="164"/>
      <c r="AI2422" s="164"/>
    </row>
    <row r="2423">
      <c r="A2423" s="154"/>
      <c r="B2423" s="155"/>
      <c r="C2423" s="156"/>
      <c r="D2423" s="156"/>
      <c r="E2423" s="155"/>
      <c r="F2423" s="156"/>
      <c r="G2423" s="154"/>
      <c r="H2423" s="157"/>
      <c r="I2423" s="158"/>
      <c r="J2423" s="159"/>
      <c r="K2423" s="156"/>
      <c r="L2423" s="156"/>
      <c r="M2423" s="155"/>
      <c r="N2423" s="160"/>
      <c r="O2423" s="161"/>
      <c r="P2423" s="161"/>
      <c r="Q2423" s="203"/>
      <c r="R2423" s="162"/>
      <c r="S2423" s="162"/>
      <c r="T2423" s="162"/>
      <c r="U2423" s="163"/>
      <c r="V2423" s="154"/>
      <c r="W2423" s="164"/>
      <c r="X2423" s="164"/>
      <c r="Y2423" s="164"/>
      <c r="Z2423" s="164"/>
      <c r="AA2423" s="164"/>
      <c r="AB2423" s="164"/>
      <c r="AC2423" s="164"/>
      <c r="AD2423" s="164"/>
      <c r="AE2423" s="164"/>
      <c r="AF2423" s="164"/>
      <c r="AG2423" s="164"/>
      <c r="AH2423" s="164"/>
      <c r="AI2423" s="164"/>
    </row>
    <row r="2424">
      <c r="A2424" s="154"/>
      <c r="B2424" s="155"/>
      <c r="C2424" s="156"/>
      <c r="D2424" s="156"/>
      <c r="E2424" s="155"/>
      <c r="F2424" s="156"/>
      <c r="G2424" s="154"/>
      <c r="H2424" s="157"/>
      <c r="I2424" s="158"/>
      <c r="J2424" s="159"/>
      <c r="K2424" s="156"/>
      <c r="L2424" s="156"/>
      <c r="M2424" s="155"/>
      <c r="N2424" s="160"/>
      <c r="O2424" s="161"/>
      <c r="P2424" s="161"/>
      <c r="Q2424" s="203"/>
      <c r="R2424" s="162"/>
      <c r="S2424" s="162"/>
      <c r="T2424" s="162"/>
      <c r="U2424" s="163"/>
      <c r="V2424" s="154"/>
      <c r="W2424" s="164"/>
      <c r="X2424" s="164"/>
      <c r="Y2424" s="164"/>
      <c r="Z2424" s="164"/>
      <c r="AA2424" s="164"/>
      <c r="AB2424" s="164"/>
      <c r="AC2424" s="164"/>
      <c r="AD2424" s="164"/>
      <c r="AE2424" s="164"/>
      <c r="AF2424" s="164"/>
      <c r="AG2424" s="164"/>
      <c r="AH2424" s="164"/>
      <c r="AI2424" s="164"/>
    </row>
    <row r="2425">
      <c r="A2425" s="154"/>
      <c r="B2425" s="155"/>
      <c r="C2425" s="156"/>
      <c r="D2425" s="156"/>
      <c r="E2425" s="155"/>
      <c r="F2425" s="156"/>
      <c r="G2425" s="154"/>
      <c r="H2425" s="157"/>
      <c r="I2425" s="158"/>
      <c r="J2425" s="159"/>
      <c r="K2425" s="156"/>
      <c r="L2425" s="156"/>
      <c r="M2425" s="202"/>
      <c r="N2425" s="160"/>
      <c r="O2425" s="161"/>
      <c r="P2425" s="161"/>
      <c r="Q2425" s="203"/>
      <c r="R2425" s="162"/>
      <c r="S2425" s="162"/>
      <c r="T2425" s="162"/>
      <c r="U2425" s="163"/>
      <c r="V2425" s="154"/>
      <c r="W2425" s="164"/>
      <c r="X2425" s="164"/>
      <c r="Y2425" s="164"/>
      <c r="Z2425" s="164"/>
      <c r="AA2425" s="164"/>
      <c r="AB2425" s="164"/>
      <c r="AC2425" s="164"/>
      <c r="AD2425" s="164"/>
      <c r="AE2425" s="164"/>
      <c r="AF2425" s="164"/>
      <c r="AG2425" s="164"/>
      <c r="AH2425" s="164"/>
      <c r="AI2425" s="164"/>
    </row>
    <row r="2426">
      <c r="A2426" s="154"/>
      <c r="B2426" s="155"/>
      <c r="C2426" s="156"/>
      <c r="D2426" s="156"/>
      <c r="E2426" s="155"/>
      <c r="F2426" s="156"/>
      <c r="G2426" s="154"/>
      <c r="H2426" s="157"/>
      <c r="I2426" s="158"/>
      <c r="J2426" s="159"/>
      <c r="K2426" s="156"/>
      <c r="L2426" s="156"/>
      <c r="M2426" s="155"/>
      <c r="N2426" s="160"/>
      <c r="O2426" s="161"/>
      <c r="P2426" s="161"/>
      <c r="Q2426" s="203"/>
      <c r="R2426" s="162"/>
      <c r="S2426" s="162"/>
      <c r="T2426" s="162"/>
      <c r="U2426" s="163"/>
      <c r="V2426" s="154"/>
      <c r="W2426" s="164"/>
      <c r="X2426" s="164"/>
      <c r="Y2426" s="164"/>
      <c r="Z2426" s="164"/>
      <c r="AA2426" s="164"/>
      <c r="AB2426" s="164"/>
      <c r="AC2426" s="164"/>
      <c r="AD2426" s="164"/>
      <c r="AE2426" s="164"/>
      <c r="AF2426" s="164"/>
      <c r="AG2426" s="164"/>
      <c r="AH2426" s="164"/>
      <c r="AI2426" s="164"/>
    </row>
    <row r="2427">
      <c r="A2427" s="154"/>
      <c r="B2427" s="155"/>
      <c r="C2427" s="156"/>
      <c r="D2427" s="156"/>
      <c r="E2427" s="155"/>
      <c r="F2427" s="156"/>
      <c r="G2427" s="154"/>
      <c r="H2427" s="157"/>
      <c r="I2427" s="158"/>
      <c r="J2427" s="159"/>
      <c r="K2427" s="156"/>
      <c r="L2427" s="156"/>
      <c r="M2427" s="155"/>
      <c r="N2427" s="160"/>
      <c r="O2427" s="161"/>
      <c r="P2427" s="161"/>
      <c r="Q2427" s="203"/>
      <c r="R2427" s="162"/>
      <c r="S2427" s="162"/>
      <c r="T2427" s="162"/>
      <c r="U2427" s="163"/>
      <c r="V2427" s="154"/>
      <c r="W2427" s="164"/>
      <c r="X2427" s="164"/>
      <c r="Y2427" s="164"/>
      <c r="Z2427" s="164"/>
      <c r="AA2427" s="164"/>
      <c r="AB2427" s="164"/>
      <c r="AC2427" s="164"/>
      <c r="AD2427" s="164"/>
      <c r="AE2427" s="164"/>
      <c r="AF2427" s="164"/>
      <c r="AG2427" s="164"/>
      <c r="AH2427" s="164"/>
      <c r="AI2427" s="164"/>
    </row>
    <row r="2428">
      <c r="A2428" s="154"/>
      <c r="B2428" s="155"/>
      <c r="C2428" s="156"/>
      <c r="D2428" s="156"/>
      <c r="E2428" s="155"/>
      <c r="F2428" s="156"/>
      <c r="G2428" s="154"/>
      <c r="H2428" s="157"/>
      <c r="I2428" s="158"/>
      <c r="J2428" s="159"/>
      <c r="K2428" s="156"/>
      <c r="L2428" s="156"/>
      <c r="M2428" s="155"/>
      <c r="N2428" s="160"/>
      <c r="O2428" s="161"/>
      <c r="P2428" s="161"/>
      <c r="Q2428" s="203"/>
      <c r="R2428" s="162"/>
      <c r="S2428" s="162"/>
      <c r="T2428" s="162"/>
      <c r="U2428" s="163"/>
      <c r="V2428" s="154"/>
      <c r="W2428" s="164"/>
      <c r="X2428" s="164"/>
      <c r="Y2428" s="164"/>
      <c r="Z2428" s="164"/>
      <c r="AA2428" s="164"/>
      <c r="AB2428" s="164"/>
      <c r="AC2428" s="164"/>
      <c r="AD2428" s="164"/>
      <c r="AE2428" s="164"/>
      <c r="AF2428" s="164"/>
      <c r="AG2428" s="164"/>
      <c r="AH2428" s="164"/>
      <c r="AI2428" s="164"/>
    </row>
    <row r="2429">
      <c r="A2429" s="154"/>
      <c r="B2429" s="155"/>
      <c r="C2429" s="156"/>
      <c r="D2429" s="156"/>
      <c r="E2429" s="155"/>
      <c r="F2429" s="156"/>
      <c r="G2429" s="154"/>
      <c r="H2429" s="157"/>
      <c r="I2429" s="158"/>
      <c r="J2429" s="159"/>
      <c r="K2429" s="156"/>
      <c r="L2429" s="156"/>
      <c r="M2429" s="155"/>
      <c r="N2429" s="160"/>
      <c r="O2429" s="161"/>
      <c r="P2429" s="161"/>
      <c r="Q2429" s="203"/>
      <c r="R2429" s="162"/>
      <c r="S2429" s="162"/>
      <c r="T2429" s="162"/>
      <c r="U2429" s="163"/>
      <c r="V2429" s="154"/>
      <c r="W2429" s="164"/>
      <c r="X2429" s="164"/>
      <c r="Y2429" s="164"/>
      <c r="Z2429" s="164"/>
      <c r="AA2429" s="164"/>
      <c r="AB2429" s="164"/>
      <c r="AC2429" s="164"/>
      <c r="AD2429" s="164"/>
      <c r="AE2429" s="164"/>
      <c r="AF2429" s="164"/>
      <c r="AG2429" s="164"/>
      <c r="AH2429" s="164"/>
      <c r="AI2429" s="164"/>
    </row>
    <row r="2430">
      <c r="A2430" s="154"/>
      <c r="B2430" s="155"/>
      <c r="C2430" s="156"/>
      <c r="D2430" s="156"/>
      <c r="E2430" s="155"/>
      <c r="F2430" s="156"/>
      <c r="G2430" s="154"/>
      <c r="H2430" s="157"/>
      <c r="I2430" s="158"/>
      <c r="J2430" s="159"/>
      <c r="K2430" s="156"/>
      <c r="L2430" s="156"/>
      <c r="M2430" s="202"/>
      <c r="N2430" s="160"/>
      <c r="O2430" s="161"/>
      <c r="P2430" s="161"/>
      <c r="Q2430" s="203"/>
      <c r="R2430" s="162"/>
      <c r="S2430" s="162"/>
      <c r="T2430" s="162"/>
      <c r="U2430" s="163"/>
      <c r="V2430" s="154"/>
      <c r="W2430" s="164"/>
      <c r="X2430" s="164"/>
      <c r="Y2430" s="164"/>
      <c r="Z2430" s="164"/>
      <c r="AA2430" s="164"/>
      <c r="AB2430" s="164"/>
      <c r="AC2430" s="164"/>
      <c r="AD2430" s="164"/>
      <c r="AE2430" s="164"/>
      <c r="AF2430" s="164"/>
      <c r="AG2430" s="164"/>
      <c r="AH2430" s="164"/>
      <c r="AI2430" s="164"/>
    </row>
    <row r="2431">
      <c r="A2431" s="154"/>
      <c r="B2431" s="155"/>
      <c r="C2431" s="156"/>
      <c r="D2431" s="156"/>
      <c r="E2431" s="155"/>
      <c r="F2431" s="156"/>
      <c r="G2431" s="154"/>
      <c r="H2431" s="157"/>
      <c r="I2431" s="158"/>
      <c r="J2431" s="159"/>
      <c r="K2431" s="156"/>
      <c r="L2431" s="156"/>
      <c r="M2431" s="155"/>
      <c r="N2431" s="160"/>
      <c r="O2431" s="161"/>
      <c r="P2431" s="161"/>
      <c r="Q2431" s="159"/>
      <c r="R2431" s="162"/>
      <c r="S2431" s="162"/>
      <c r="T2431" s="162"/>
      <c r="U2431" s="163"/>
      <c r="V2431" s="154"/>
      <c r="W2431" s="164"/>
      <c r="X2431" s="164"/>
      <c r="Y2431" s="164"/>
      <c r="Z2431" s="164"/>
      <c r="AA2431" s="164"/>
      <c r="AB2431" s="164"/>
      <c r="AC2431" s="164"/>
      <c r="AD2431" s="164"/>
      <c r="AE2431" s="164"/>
      <c r="AF2431" s="164"/>
      <c r="AG2431" s="164"/>
      <c r="AH2431" s="164"/>
      <c r="AI2431" s="164"/>
    </row>
    <row r="2432">
      <c r="A2432" s="154"/>
      <c r="B2432" s="155"/>
      <c r="C2432" s="156"/>
      <c r="D2432" s="156"/>
      <c r="E2432" s="155"/>
      <c r="F2432" s="156"/>
      <c r="G2432" s="154"/>
      <c r="H2432" s="157"/>
      <c r="I2432" s="158"/>
      <c r="J2432" s="159"/>
      <c r="K2432" s="156"/>
      <c r="L2432" s="156"/>
      <c r="M2432" s="155"/>
      <c r="N2432" s="160"/>
      <c r="O2432" s="161"/>
      <c r="P2432" s="161"/>
      <c r="Q2432" s="159"/>
      <c r="R2432" s="162"/>
      <c r="S2432" s="162"/>
      <c r="T2432" s="162"/>
      <c r="U2432" s="163"/>
      <c r="V2432" s="154"/>
      <c r="W2432" s="164"/>
      <c r="X2432" s="164"/>
      <c r="Y2432" s="164"/>
      <c r="Z2432" s="164"/>
      <c r="AA2432" s="164"/>
      <c r="AB2432" s="164"/>
      <c r="AC2432" s="164"/>
      <c r="AD2432" s="164"/>
      <c r="AE2432" s="164"/>
      <c r="AF2432" s="164"/>
      <c r="AG2432" s="164"/>
      <c r="AH2432" s="164"/>
      <c r="AI2432" s="164"/>
    </row>
    <row r="2433">
      <c r="A2433" s="154"/>
      <c r="B2433" s="155"/>
      <c r="C2433" s="156"/>
      <c r="D2433" s="156"/>
      <c r="E2433" s="155"/>
      <c r="F2433" s="156"/>
      <c r="G2433" s="154"/>
      <c r="H2433" s="157"/>
      <c r="I2433" s="158"/>
      <c r="J2433" s="159"/>
      <c r="K2433" s="156"/>
      <c r="L2433" s="156"/>
      <c r="M2433" s="155"/>
      <c r="N2433" s="160"/>
      <c r="O2433" s="161"/>
      <c r="P2433" s="161"/>
      <c r="Q2433" s="203"/>
      <c r="R2433" s="162"/>
      <c r="S2433" s="162"/>
      <c r="T2433" s="162"/>
      <c r="U2433" s="163"/>
      <c r="V2433" s="154"/>
      <c r="W2433" s="164"/>
      <c r="X2433" s="164"/>
      <c r="Y2433" s="164"/>
      <c r="Z2433" s="164"/>
      <c r="AA2433" s="164"/>
      <c r="AB2433" s="164"/>
      <c r="AC2433" s="164"/>
      <c r="AD2433" s="164"/>
      <c r="AE2433" s="164"/>
      <c r="AF2433" s="164"/>
      <c r="AG2433" s="164"/>
      <c r="AH2433" s="164"/>
      <c r="AI2433" s="164"/>
    </row>
    <row r="2434">
      <c r="A2434" s="154"/>
      <c r="B2434" s="155"/>
      <c r="C2434" s="156"/>
      <c r="D2434" s="156"/>
      <c r="E2434" s="155"/>
      <c r="F2434" s="156"/>
      <c r="G2434" s="154"/>
      <c r="H2434" s="157"/>
      <c r="I2434" s="158"/>
      <c r="J2434" s="159"/>
      <c r="K2434" s="156"/>
      <c r="L2434" s="156"/>
      <c r="M2434" s="155"/>
      <c r="N2434" s="160"/>
      <c r="O2434" s="161"/>
      <c r="P2434" s="161"/>
      <c r="Q2434" s="159"/>
      <c r="R2434" s="162"/>
      <c r="S2434" s="162"/>
      <c r="T2434" s="162"/>
      <c r="U2434" s="163"/>
      <c r="V2434" s="154"/>
      <c r="W2434" s="164"/>
      <c r="X2434" s="164"/>
      <c r="Y2434" s="164"/>
      <c r="Z2434" s="164"/>
      <c r="AA2434" s="164"/>
      <c r="AB2434" s="164"/>
      <c r="AC2434" s="164"/>
      <c r="AD2434" s="164"/>
      <c r="AE2434" s="164"/>
      <c r="AF2434" s="164"/>
      <c r="AG2434" s="164"/>
      <c r="AH2434" s="164"/>
      <c r="AI2434" s="164"/>
    </row>
    <row r="2435">
      <c r="A2435" s="154"/>
      <c r="B2435" s="155"/>
      <c r="C2435" s="156"/>
      <c r="D2435" s="156"/>
      <c r="E2435" s="155"/>
      <c r="F2435" s="156"/>
      <c r="G2435" s="154"/>
      <c r="H2435" s="157"/>
      <c r="I2435" s="158"/>
      <c r="J2435" s="159"/>
      <c r="K2435" s="156"/>
      <c r="L2435" s="156"/>
      <c r="M2435" s="155"/>
      <c r="N2435" s="160"/>
      <c r="O2435" s="161"/>
      <c r="P2435" s="161"/>
      <c r="Q2435" s="203"/>
      <c r="R2435" s="162"/>
      <c r="S2435" s="162"/>
      <c r="T2435" s="162"/>
      <c r="U2435" s="163"/>
      <c r="V2435" s="154"/>
      <c r="W2435" s="164"/>
      <c r="X2435" s="164"/>
      <c r="Y2435" s="164"/>
      <c r="Z2435" s="164"/>
      <c r="AA2435" s="164"/>
      <c r="AB2435" s="164"/>
      <c r="AC2435" s="164"/>
      <c r="AD2435" s="164"/>
      <c r="AE2435" s="164"/>
      <c r="AF2435" s="164"/>
      <c r="AG2435" s="164"/>
      <c r="AH2435" s="164"/>
      <c r="AI2435" s="164"/>
    </row>
    <row r="2436">
      <c r="A2436" s="154"/>
      <c r="B2436" s="155"/>
      <c r="C2436" s="156"/>
      <c r="D2436" s="156"/>
      <c r="E2436" s="155"/>
      <c r="F2436" s="156"/>
      <c r="G2436" s="154"/>
      <c r="H2436" s="157"/>
      <c r="I2436" s="158"/>
      <c r="J2436" s="159"/>
      <c r="K2436" s="156"/>
      <c r="L2436" s="156"/>
      <c r="M2436" s="155"/>
      <c r="N2436" s="160"/>
      <c r="O2436" s="161"/>
      <c r="P2436" s="161"/>
      <c r="Q2436" s="203"/>
      <c r="R2436" s="162"/>
      <c r="S2436" s="162"/>
      <c r="T2436" s="162"/>
      <c r="U2436" s="163"/>
      <c r="V2436" s="154"/>
      <c r="W2436" s="164"/>
      <c r="X2436" s="164"/>
      <c r="Y2436" s="164"/>
      <c r="Z2436" s="164"/>
      <c r="AA2436" s="164"/>
      <c r="AB2436" s="164"/>
      <c r="AC2436" s="164"/>
      <c r="AD2436" s="164"/>
      <c r="AE2436" s="164"/>
      <c r="AF2436" s="164"/>
      <c r="AG2436" s="164"/>
      <c r="AH2436" s="164"/>
      <c r="AI2436" s="164"/>
    </row>
    <row r="2437">
      <c r="A2437" s="154"/>
      <c r="B2437" s="155"/>
      <c r="C2437" s="156"/>
      <c r="D2437" s="156"/>
      <c r="E2437" s="155"/>
      <c r="F2437" s="156"/>
      <c r="G2437" s="154"/>
      <c r="H2437" s="157"/>
      <c r="I2437" s="158"/>
      <c r="J2437" s="159"/>
      <c r="K2437" s="156"/>
      <c r="L2437" s="156"/>
      <c r="M2437" s="155"/>
      <c r="N2437" s="160"/>
      <c r="O2437" s="161"/>
      <c r="P2437" s="161"/>
      <c r="Q2437" s="203"/>
      <c r="R2437" s="162"/>
      <c r="S2437" s="162"/>
      <c r="T2437" s="162"/>
      <c r="U2437" s="163"/>
      <c r="V2437" s="154"/>
      <c r="W2437" s="164"/>
      <c r="X2437" s="164"/>
      <c r="Y2437" s="164"/>
      <c r="Z2437" s="164"/>
      <c r="AA2437" s="164"/>
      <c r="AB2437" s="164"/>
      <c r="AC2437" s="164"/>
      <c r="AD2437" s="164"/>
      <c r="AE2437" s="164"/>
      <c r="AF2437" s="164"/>
      <c r="AG2437" s="164"/>
      <c r="AH2437" s="164"/>
      <c r="AI2437" s="164"/>
    </row>
    <row r="2438">
      <c r="A2438" s="154"/>
      <c r="B2438" s="155"/>
      <c r="C2438" s="156"/>
      <c r="D2438" s="156"/>
      <c r="E2438" s="155"/>
      <c r="F2438" s="156"/>
      <c r="G2438" s="154"/>
      <c r="H2438" s="157"/>
      <c r="I2438" s="158"/>
      <c r="J2438" s="159"/>
      <c r="K2438" s="156"/>
      <c r="L2438" s="156"/>
      <c r="M2438" s="202"/>
      <c r="N2438" s="160"/>
      <c r="O2438" s="161"/>
      <c r="P2438" s="161"/>
      <c r="Q2438" s="203"/>
      <c r="R2438" s="162"/>
      <c r="S2438" s="162"/>
      <c r="T2438" s="162"/>
      <c r="U2438" s="163"/>
      <c r="V2438" s="154"/>
      <c r="W2438" s="164"/>
      <c r="X2438" s="164"/>
      <c r="Y2438" s="164"/>
      <c r="Z2438" s="164"/>
      <c r="AA2438" s="164"/>
      <c r="AB2438" s="164"/>
      <c r="AC2438" s="164"/>
      <c r="AD2438" s="164"/>
      <c r="AE2438" s="164"/>
      <c r="AF2438" s="164"/>
      <c r="AG2438" s="164"/>
      <c r="AH2438" s="164"/>
      <c r="AI2438" s="164"/>
    </row>
    <row r="2439">
      <c r="A2439" s="154"/>
      <c r="B2439" s="155"/>
      <c r="C2439" s="156"/>
      <c r="D2439" s="156"/>
      <c r="E2439" s="155"/>
      <c r="F2439" s="156"/>
      <c r="G2439" s="154"/>
      <c r="H2439" s="157"/>
      <c r="I2439" s="158"/>
      <c r="J2439" s="159"/>
      <c r="K2439" s="156"/>
      <c r="L2439" s="156"/>
      <c r="M2439" s="155"/>
      <c r="N2439" s="160"/>
      <c r="O2439" s="161"/>
      <c r="P2439" s="161"/>
      <c r="Q2439" s="203"/>
      <c r="R2439" s="162"/>
      <c r="S2439" s="162"/>
      <c r="T2439" s="162"/>
      <c r="U2439" s="163"/>
      <c r="V2439" s="154"/>
      <c r="W2439" s="164"/>
      <c r="X2439" s="164"/>
      <c r="Y2439" s="164"/>
      <c r="Z2439" s="164"/>
      <c r="AA2439" s="164"/>
      <c r="AB2439" s="164"/>
      <c r="AC2439" s="164"/>
      <c r="AD2439" s="164"/>
      <c r="AE2439" s="164"/>
      <c r="AF2439" s="164"/>
      <c r="AG2439" s="164"/>
      <c r="AH2439" s="164"/>
      <c r="AI2439" s="164"/>
    </row>
    <row r="2440">
      <c r="A2440" s="154"/>
      <c r="B2440" s="155"/>
      <c r="C2440" s="156"/>
      <c r="D2440" s="156"/>
      <c r="E2440" s="155"/>
      <c r="F2440" s="156"/>
      <c r="G2440" s="154"/>
      <c r="H2440" s="157"/>
      <c r="I2440" s="158"/>
      <c r="J2440" s="159"/>
      <c r="K2440" s="156"/>
      <c r="L2440" s="156"/>
      <c r="M2440" s="155"/>
      <c r="N2440" s="160"/>
      <c r="O2440" s="161"/>
      <c r="P2440" s="161"/>
      <c r="Q2440" s="203"/>
      <c r="R2440" s="162"/>
      <c r="S2440" s="162"/>
      <c r="T2440" s="162"/>
      <c r="U2440" s="163"/>
      <c r="V2440" s="154"/>
      <c r="W2440" s="164"/>
      <c r="X2440" s="164"/>
      <c r="Y2440" s="164"/>
      <c r="Z2440" s="164"/>
      <c r="AA2440" s="164"/>
      <c r="AB2440" s="164"/>
      <c r="AC2440" s="164"/>
      <c r="AD2440" s="164"/>
      <c r="AE2440" s="164"/>
      <c r="AF2440" s="164"/>
      <c r="AG2440" s="164"/>
      <c r="AH2440" s="164"/>
      <c r="AI2440" s="164"/>
    </row>
    <row r="2441">
      <c r="A2441" s="154"/>
      <c r="B2441" s="155"/>
      <c r="C2441" s="156"/>
      <c r="D2441" s="156"/>
      <c r="E2441" s="155"/>
      <c r="F2441" s="156"/>
      <c r="G2441" s="154"/>
      <c r="H2441" s="157"/>
      <c r="I2441" s="158"/>
      <c r="J2441" s="159"/>
      <c r="K2441" s="156"/>
      <c r="L2441" s="156"/>
      <c r="M2441" s="202"/>
      <c r="N2441" s="160"/>
      <c r="O2441" s="161"/>
      <c r="P2441" s="161"/>
      <c r="Q2441" s="203"/>
      <c r="R2441" s="162"/>
      <c r="S2441" s="162"/>
      <c r="T2441" s="162"/>
      <c r="U2441" s="163"/>
      <c r="V2441" s="154"/>
      <c r="W2441" s="164"/>
      <c r="X2441" s="164"/>
      <c r="Y2441" s="164"/>
      <c r="Z2441" s="164"/>
      <c r="AA2441" s="164"/>
      <c r="AB2441" s="164"/>
      <c r="AC2441" s="164"/>
      <c r="AD2441" s="164"/>
      <c r="AE2441" s="164"/>
      <c r="AF2441" s="164"/>
      <c r="AG2441" s="164"/>
      <c r="AH2441" s="164"/>
      <c r="AI2441" s="164"/>
    </row>
    <row r="2442">
      <c r="A2442" s="154"/>
      <c r="B2442" s="155"/>
      <c r="C2442" s="156"/>
      <c r="D2442" s="156"/>
      <c r="E2442" s="155"/>
      <c r="F2442" s="156"/>
      <c r="G2442" s="154"/>
      <c r="H2442" s="157"/>
      <c r="I2442" s="158"/>
      <c r="J2442" s="159"/>
      <c r="K2442" s="156"/>
      <c r="L2442" s="156"/>
      <c r="M2442" s="155"/>
      <c r="N2442" s="160"/>
      <c r="O2442" s="161"/>
      <c r="P2442" s="161"/>
      <c r="Q2442" s="203"/>
      <c r="R2442" s="162"/>
      <c r="S2442" s="162"/>
      <c r="T2442" s="162"/>
      <c r="U2442" s="163"/>
      <c r="V2442" s="154"/>
      <c r="W2442" s="164"/>
      <c r="X2442" s="164"/>
      <c r="Y2442" s="164"/>
      <c r="Z2442" s="164"/>
      <c r="AA2442" s="164"/>
      <c r="AB2442" s="164"/>
      <c r="AC2442" s="164"/>
      <c r="AD2442" s="164"/>
      <c r="AE2442" s="164"/>
      <c r="AF2442" s="164"/>
      <c r="AG2442" s="164"/>
      <c r="AH2442" s="164"/>
      <c r="AI2442" s="164"/>
    </row>
    <row r="2443">
      <c r="A2443" s="154"/>
      <c r="B2443" s="155"/>
      <c r="C2443" s="156"/>
      <c r="D2443" s="156"/>
      <c r="E2443" s="155"/>
      <c r="F2443" s="156"/>
      <c r="G2443" s="154"/>
      <c r="H2443" s="157"/>
      <c r="I2443" s="158"/>
      <c r="J2443" s="159"/>
      <c r="K2443" s="156"/>
      <c r="L2443" s="156"/>
      <c r="M2443" s="155"/>
      <c r="N2443" s="160"/>
      <c r="O2443" s="161"/>
      <c r="P2443" s="161"/>
      <c r="Q2443" s="203"/>
      <c r="R2443" s="162"/>
      <c r="S2443" s="162"/>
      <c r="T2443" s="162"/>
      <c r="U2443" s="163"/>
      <c r="V2443" s="154"/>
      <c r="W2443" s="164"/>
      <c r="X2443" s="164"/>
      <c r="Y2443" s="164"/>
      <c r="Z2443" s="164"/>
      <c r="AA2443" s="164"/>
      <c r="AB2443" s="164"/>
      <c r="AC2443" s="164"/>
      <c r="AD2443" s="164"/>
      <c r="AE2443" s="164"/>
      <c r="AF2443" s="164"/>
      <c r="AG2443" s="164"/>
      <c r="AH2443" s="164"/>
      <c r="AI2443" s="164"/>
    </row>
    <row r="2444">
      <c r="A2444" s="154"/>
      <c r="B2444" s="155"/>
      <c r="C2444" s="156"/>
      <c r="D2444" s="156"/>
      <c r="E2444" s="155"/>
      <c r="F2444" s="156"/>
      <c r="G2444" s="154"/>
      <c r="H2444" s="157"/>
      <c r="I2444" s="158"/>
      <c r="J2444" s="159"/>
      <c r="K2444" s="156"/>
      <c r="L2444" s="156"/>
      <c r="M2444" s="155"/>
      <c r="N2444" s="160"/>
      <c r="O2444" s="161"/>
      <c r="P2444" s="161"/>
      <c r="Q2444" s="203"/>
      <c r="R2444" s="162"/>
      <c r="S2444" s="162"/>
      <c r="T2444" s="162"/>
      <c r="U2444" s="163"/>
      <c r="V2444" s="154"/>
      <c r="W2444" s="164"/>
      <c r="X2444" s="164"/>
      <c r="Y2444" s="164"/>
      <c r="Z2444" s="164"/>
      <c r="AA2444" s="164"/>
      <c r="AB2444" s="164"/>
      <c r="AC2444" s="164"/>
      <c r="AD2444" s="164"/>
      <c r="AE2444" s="164"/>
      <c r="AF2444" s="164"/>
      <c r="AG2444" s="164"/>
      <c r="AH2444" s="164"/>
      <c r="AI2444" s="164"/>
    </row>
    <row r="2445">
      <c r="A2445" s="154"/>
      <c r="B2445" s="155"/>
      <c r="C2445" s="156"/>
      <c r="D2445" s="156"/>
      <c r="E2445" s="155"/>
      <c r="F2445" s="156"/>
      <c r="G2445" s="154"/>
      <c r="H2445" s="157"/>
      <c r="I2445" s="158"/>
      <c r="J2445" s="159"/>
      <c r="K2445" s="156"/>
      <c r="L2445" s="156"/>
      <c r="M2445" s="202"/>
      <c r="N2445" s="160"/>
      <c r="O2445" s="161"/>
      <c r="P2445" s="161"/>
      <c r="Q2445" s="203"/>
      <c r="R2445" s="162"/>
      <c r="S2445" s="162"/>
      <c r="T2445" s="162"/>
      <c r="U2445" s="163"/>
      <c r="V2445" s="154"/>
      <c r="W2445" s="164"/>
      <c r="X2445" s="164"/>
      <c r="Y2445" s="164"/>
      <c r="Z2445" s="164"/>
      <c r="AA2445" s="164"/>
      <c r="AB2445" s="164"/>
      <c r="AC2445" s="164"/>
      <c r="AD2445" s="164"/>
      <c r="AE2445" s="164"/>
      <c r="AF2445" s="164"/>
      <c r="AG2445" s="164"/>
      <c r="AH2445" s="164"/>
      <c r="AI2445" s="164"/>
    </row>
    <row r="2446">
      <c r="A2446" s="154"/>
      <c r="B2446" s="155"/>
      <c r="C2446" s="156"/>
      <c r="D2446" s="156"/>
      <c r="E2446" s="155"/>
      <c r="F2446" s="156"/>
      <c r="G2446" s="154"/>
      <c r="H2446" s="157"/>
      <c r="I2446" s="158"/>
      <c r="J2446" s="159"/>
      <c r="K2446" s="156"/>
      <c r="L2446" s="156"/>
      <c r="M2446" s="155"/>
      <c r="N2446" s="160"/>
      <c r="O2446" s="161"/>
      <c r="P2446" s="161"/>
      <c r="Q2446" s="203"/>
      <c r="R2446" s="162"/>
      <c r="S2446" s="162"/>
      <c r="T2446" s="162"/>
      <c r="U2446" s="163"/>
      <c r="V2446" s="154"/>
      <c r="W2446" s="164"/>
      <c r="X2446" s="164"/>
      <c r="Y2446" s="164"/>
      <c r="Z2446" s="164"/>
      <c r="AA2446" s="164"/>
      <c r="AB2446" s="164"/>
      <c r="AC2446" s="164"/>
      <c r="AD2446" s="164"/>
      <c r="AE2446" s="164"/>
      <c r="AF2446" s="164"/>
      <c r="AG2446" s="164"/>
      <c r="AH2446" s="164"/>
      <c r="AI2446" s="164"/>
    </row>
    <row r="2447">
      <c r="A2447" s="154"/>
      <c r="B2447" s="155"/>
      <c r="C2447" s="156"/>
      <c r="D2447" s="156"/>
      <c r="E2447" s="155"/>
      <c r="F2447" s="156"/>
      <c r="G2447" s="154"/>
      <c r="H2447" s="157"/>
      <c r="I2447" s="158"/>
      <c r="J2447" s="159"/>
      <c r="K2447" s="156"/>
      <c r="L2447" s="156"/>
      <c r="M2447" s="202"/>
      <c r="N2447" s="160"/>
      <c r="O2447" s="161"/>
      <c r="P2447" s="161"/>
      <c r="Q2447" s="203"/>
      <c r="R2447" s="162"/>
      <c r="S2447" s="162"/>
      <c r="T2447" s="162"/>
      <c r="U2447" s="163"/>
      <c r="V2447" s="154"/>
      <c r="W2447" s="164"/>
      <c r="X2447" s="164"/>
      <c r="Y2447" s="164"/>
      <c r="Z2447" s="164"/>
      <c r="AA2447" s="164"/>
      <c r="AB2447" s="164"/>
      <c r="AC2447" s="164"/>
      <c r="AD2447" s="164"/>
      <c r="AE2447" s="164"/>
      <c r="AF2447" s="164"/>
      <c r="AG2447" s="164"/>
      <c r="AH2447" s="164"/>
      <c r="AI2447" s="164"/>
    </row>
    <row r="2448">
      <c r="A2448" s="154"/>
      <c r="B2448" s="155"/>
      <c r="C2448" s="156"/>
      <c r="D2448" s="156"/>
      <c r="E2448" s="155"/>
      <c r="F2448" s="156"/>
      <c r="G2448" s="154"/>
      <c r="H2448" s="157"/>
      <c r="I2448" s="158"/>
      <c r="J2448" s="159"/>
      <c r="K2448" s="156"/>
      <c r="L2448" s="156"/>
      <c r="M2448" s="155"/>
      <c r="N2448" s="160"/>
      <c r="O2448" s="161"/>
      <c r="P2448" s="161"/>
      <c r="Q2448" s="159"/>
      <c r="R2448" s="162"/>
      <c r="S2448" s="162"/>
      <c r="T2448" s="162"/>
      <c r="U2448" s="163"/>
      <c r="V2448" s="154"/>
      <c r="W2448" s="164"/>
      <c r="X2448" s="164"/>
      <c r="Y2448" s="164"/>
      <c r="Z2448" s="164"/>
      <c r="AA2448" s="164"/>
      <c r="AB2448" s="164"/>
      <c r="AC2448" s="164"/>
      <c r="AD2448" s="164"/>
      <c r="AE2448" s="164"/>
      <c r="AF2448" s="164"/>
      <c r="AG2448" s="164"/>
      <c r="AH2448" s="164"/>
      <c r="AI2448" s="164"/>
    </row>
    <row r="2449">
      <c r="A2449" s="154"/>
      <c r="B2449" s="155"/>
      <c r="C2449" s="156"/>
      <c r="D2449" s="156"/>
      <c r="E2449" s="155"/>
      <c r="F2449" s="156"/>
      <c r="G2449" s="154"/>
      <c r="H2449" s="157"/>
      <c r="I2449" s="158"/>
      <c r="J2449" s="159"/>
      <c r="K2449" s="156"/>
      <c r="L2449" s="156"/>
      <c r="M2449" s="155"/>
      <c r="N2449" s="160"/>
      <c r="O2449" s="161"/>
      <c r="P2449" s="161"/>
      <c r="Q2449" s="203"/>
      <c r="R2449" s="162"/>
      <c r="S2449" s="162"/>
      <c r="T2449" s="162"/>
      <c r="U2449" s="163"/>
      <c r="V2449" s="154"/>
      <c r="W2449" s="164"/>
      <c r="X2449" s="164"/>
      <c r="Y2449" s="164"/>
      <c r="Z2449" s="164"/>
      <c r="AA2449" s="164"/>
      <c r="AB2449" s="164"/>
      <c r="AC2449" s="164"/>
      <c r="AD2449" s="164"/>
      <c r="AE2449" s="164"/>
      <c r="AF2449" s="164"/>
      <c r="AG2449" s="164"/>
      <c r="AH2449" s="164"/>
      <c r="AI2449" s="164"/>
    </row>
    <row r="2450">
      <c r="A2450" s="154"/>
      <c r="B2450" s="155"/>
      <c r="C2450" s="156"/>
      <c r="D2450" s="156"/>
      <c r="E2450" s="155"/>
      <c r="F2450" s="156"/>
      <c r="G2450" s="154"/>
      <c r="H2450" s="157"/>
      <c r="I2450" s="158"/>
      <c r="J2450" s="159"/>
      <c r="K2450" s="156"/>
      <c r="L2450" s="156"/>
      <c r="M2450" s="155"/>
      <c r="N2450" s="160"/>
      <c r="O2450" s="161"/>
      <c r="P2450" s="161"/>
      <c r="Q2450" s="203"/>
      <c r="R2450" s="162"/>
      <c r="S2450" s="162"/>
      <c r="T2450" s="162"/>
      <c r="U2450" s="163"/>
      <c r="V2450" s="154"/>
      <c r="W2450" s="164"/>
      <c r="X2450" s="164"/>
      <c r="Y2450" s="164"/>
      <c r="Z2450" s="164"/>
      <c r="AA2450" s="164"/>
      <c r="AB2450" s="164"/>
      <c r="AC2450" s="164"/>
      <c r="AD2450" s="164"/>
      <c r="AE2450" s="164"/>
      <c r="AF2450" s="164"/>
      <c r="AG2450" s="164"/>
      <c r="AH2450" s="164"/>
      <c r="AI2450" s="164"/>
    </row>
    <row r="2451">
      <c r="A2451" s="154"/>
      <c r="B2451" s="155"/>
      <c r="C2451" s="156"/>
      <c r="D2451" s="156"/>
      <c r="E2451" s="155"/>
      <c r="F2451" s="156"/>
      <c r="G2451" s="154"/>
      <c r="H2451" s="157"/>
      <c r="I2451" s="158"/>
      <c r="J2451" s="159"/>
      <c r="K2451" s="156"/>
      <c r="L2451" s="156"/>
      <c r="M2451" s="155"/>
      <c r="N2451" s="160"/>
      <c r="O2451" s="161"/>
      <c r="P2451" s="161"/>
      <c r="Q2451" s="203"/>
      <c r="R2451" s="162"/>
      <c r="S2451" s="162"/>
      <c r="T2451" s="162"/>
      <c r="U2451" s="163"/>
      <c r="V2451" s="154"/>
      <c r="W2451" s="164"/>
      <c r="X2451" s="164"/>
      <c r="Y2451" s="164"/>
      <c r="Z2451" s="164"/>
      <c r="AA2451" s="164"/>
      <c r="AB2451" s="164"/>
      <c r="AC2451" s="164"/>
      <c r="AD2451" s="164"/>
      <c r="AE2451" s="164"/>
      <c r="AF2451" s="164"/>
      <c r="AG2451" s="164"/>
      <c r="AH2451" s="164"/>
      <c r="AI2451" s="164"/>
    </row>
    <row r="2452">
      <c r="A2452" s="176"/>
      <c r="B2452" s="177"/>
      <c r="C2452" s="178"/>
      <c r="D2452" s="178"/>
      <c r="E2452" s="177"/>
      <c r="F2452" s="178"/>
      <c r="G2452" s="176"/>
      <c r="H2452" s="179"/>
      <c r="I2452" s="180"/>
      <c r="J2452" s="181"/>
      <c r="K2452" s="178"/>
      <c r="L2452" s="178"/>
      <c r="M2452" s="182"/>
      <c r="N2452" s="183"/>
      <c r="O2452" s="184"/>
      <c r="P2452" s="184"/>
      <c r="Q2452" s="185"/>
      <c r="R2452" s="186"/>
      <c r="S2452" s="186"/>
      <c r="T2452" s="186"/>
      <c r="U2452" s="187"/>
      <c r="V2452" s="176"/>
      <c r="W2452" s="164"/>
      <c r="X2452" s="164"/>
      <c r="Y2452" s="164"/>
      <c r="Z2452" s="164"/>
      <c r="AA2452" s="164"/>
      <c r="AB2452" s="164"/>
      <c r="AC2452" s="164"/>
      <c r="AD2452" s="164"/>
      <c r="AE2452" s="164"/>
      <c r="AF2452" s="164"/>
      <c r="AG2452" s="164"/>
      <c r="AH2452" s="164"/>
      <c r="AI2452" s="164"/>
    </row>
    <row r="2453">
      <c r="A2453" s="154"/>
      <c r="B2453" s="155"/>
      <c r="C2453" s="156"/>
      <c r="D2453" s="156"/>
      <c r="E2453" s="155"/>
      <c r="F2453" s="156"/>
      <c r="G2453" s="154"/>
      <c r="H2453" s="157"/>
      <c r="I2453" s="158"/>
      <c r="J2453" s="159"/>
      <c r="K2453" s="156"/>
      <c r="L2453" s="156"/>
      <c r="M2453" s="202"/>
      <c r="N2453" s="160"/>
      <c r="O2453" s="161"/>
      <c r="P2453" s="161"/>
      <c r="Q2453" s="203"/>
      <c r="R2453" s="162"/>
      <c r="S2453" s="162"/>
      <c r="T2453" s="162"/>
      <c r="U2453" s="163"/>
      <c r="V2453" s="154"/>
      <c r="W2453" s="164"/>
      <c r="X2453" s="164"/>
      <c r="Y2453" s="164"/>
      <c r="Z2453" s="164"/>
      <c r="AA2453" s="164"/>
      <c r="AB2453" s="164"/>
      <c r="AC2453" s="164"/>
      <c r="AD2453" s="164"/>
      <c r="AE2453" s="164"/>
      <c r="AF2453" s="164"/>
      <c r="AG2453" s="164"/>
      <c r="AH2453" s="164"/>
      <c r="AI2453" s="164"/>
    </row>
    <row r="2454">
      <c r="A2454" s="154"/>
      <c r="B2454" s="155"/>
      <c r="C2454" s="156"/>
      <c r="D2454" s="156"/>
      <c r="E2454" s="155"/>
      <c r="F2454" s="156"/>
      <c r="G2454" s="154"/>
      <c r="H2454" s="157"/>
      <c r="I2454" s="158"/>
      <c r="J2454" s="159"/>
      <c r="K2454" s="156"/>
      <c r="L2454" s="156"/>
      <c r="M2454" s="155"/>
      <c r="N2454" s="160"/>
      <c r="O2454" s="161"/>
      <c r="P2454" s="161"/>
      <c r="Q2454" s="203"/>
      <c r="R2454" s="162"/>
      <c r="S2454" s="162"/>
      <c r="T2454" s="162"/>
      <c r="U2454" s="163"/>
      <c r="V2454" s="154"/>
      <c r="W2454" s="164"/>
      <c r="X2454" s="164"/>
      <c r="Y2454" s="164"/>
      <c r="Z2454" s="164"/>
      <c r="AA2454" s="164"/>
      <c r="AB2454" s="164"/>
      <c r="AC2454" s="164"/>
      <c r="AD2454" s="164"/>
      <c r="AE2454" s="164"/>
      <c r="AF2454" s="164"/>
      <c r="AG2454" s="164"/>
      <c r="AH2454" s="164"/>
      <c r="AI2454" s="164"/>
    </row>
    <row r="2455">
      <c r="A2455" s="154"/>
      <c r="B2455" s="155"/>
      <c r="C2455" s="156"/>
      <c r="D2455" s="156"/>
      <c r="E2455" s="155"/>
      <c r="F2455" s="156"/>
      <c r="G2455" s="154"/>
      <c r="H2455" s="157"/>
      <c r="I2455" s="158"/>
      <c r="J2455" s="159"/>
      <c r="K2455" s="156"/>
      <c r="L2455" s="156"/>
      <c r="M2455" s="155"/>
      <c r="N2455" s="160"/>
      <c r="O2455" s="161"/>
      <c r="P2455" s="161"/>
      <c r="Q2455" s="203"/>
      <c r="R2455" s="162"/>
      <c r="S2455" s="162"/>
      <c r="T2455" s="162"/>
      <c r="U2455" s="163"/>
      <c r="V2455" s="154"/>
      <c r="W2455" s="164"/>
      <c r="X2455" s="164"/>
      <c r="Y2455" s="164"/>
      <c r="Z2455" s="164"/>
      <c r="AA2455" s="164"/>
      <c r="AB2455" s="164"/>
      <c r="AC2455" s="164"/>
      <c r="AD2455" s="164"/>
      <c r="AE2455" s="164"/>
      <c r="AF2455" s="164"/>
      <c r="AG2455" s="164"/>
      <c r="AH2455" s="164"/>
      <c r="AI2455" s="164"/>
    </row>
    <row r="2456">
      <c r="A2456" s="154"/>
      <c r="B2456" s="155"/>
      <c r="C2456" s="156"/>
      <c r="D2456" s="156"/>
      <c r="E2456" s="155"/>
      <c r="F2456" s="156"/>
      <c r="G2456" s="154"/>
      <c r="H2456" s="157"/>
      <c r="I2456" s="158"/>
      <c r="J2456" s="159"/>
      <c r="K2456" s="156"/>
      <c r="L2456" s="156"/>
      <c r="M2456" s="202"/>
      <c r="N2456" s="160"/>
      <c r="O2456" s="161"/>
      <c r="P2456" s="161"/>
      <c r="Q2456" s="203"/>
      <c r="R2456" s="162"/>
      <c r="S2456" s="162"/>
      <c r="T2456" s="162"/>
      <c r="U2456" s="163"/>
      <c r="V2456" s="154"/>
      <c r="W2456" s="164"/>
      <c r="X2456" s="164"/>
      <c r="Y2456" s="164"/>
      <c r="Z2456" s="164"/>
      <c r="AA2456" s="164"/>
      <c r="AB2456" s="164"/>
      <c r="AC2456" s="164"/>
      <c r="AD2456" s="164"/>
      <c r="AE2456" s="164"/>
      <c r="AF2456" s="164"/>
      <c r="AG2456" s="164"/>
      <c r="AH2456" s="164"/>
      <c r="AI2456" s="164"/>
    </row>
    <row r="2457">
      <c r="A2457" s="154"/>
      <c r="B2457" s="155"/>
      <c r="C2457" s="156"/>
      <c r="D2457" s="156"/>
      <c r="E2457" s="155"/>
      <c r="F2457" s="156"/>
      <c r="G2457" s="154"/>
      <c r="H2457" s="157"/>
      <c r="I2457" s="158"/>
      <c r="J2457" s="159"/>
      <c r="K2457" s="156"/>
      <c r="L2457" s="156"/>
      <c r="M2457" s="155"/>
      <c r="N2457" s="160"/>
      <c r="O2457" s="161"/>
      <c r="P2457" s="161"/>
      <c r="Q2457" s="203"/>
      <c r="R2457" s="162"/>
      <c r="S2457" s="162"/>
      <c r="T2457" s="162"/>
      <c r="U2457" s="163"/>
      <c r="V2457" s="154"/>
      <c r="W2457" s="164"/>
      <c r="X2457" s="164"/>
      <c r="Y2457" s="164"/>
      <c r="Z2457" s="164"/>
      <c r="AA2457" s="164"/>
      <c r="AB2457" s="164"/>
      <c r="AC2457" s="164"/>
      <c r="AD2457" s="164"/>
      <c r="AE2457" s="164"/>
      <c r="AF2457" s="164"/>
      <c r="AG2457" s="164"/>
      <c r="AH2457" s="164"/>
      <c r="AI2457" s="164"/>
    </row>
    <row r="2458">
      <c r="A2458" s="154"/>
      <c r="B2458" s="155"/>
      <c r="C2458" s="156"/>
      <c r="D2458" s="156"/>
      <c r="E2458" s="155"/>
      <c r="F2458" s="156"/>
      <c r="G2458" s="154"/>
      <c r="H2458" s="157"/>
      <c r="I2458" s="158"/>
      <c r="J2458" s="159"/>
      <c r="K2458" s="156"/>
      <c r="L2458" s="156"/>
      <c r="M2458" s="155"/>
      <c r="N2458" s="160"/>
      <c r="O2458" s="161"/>
      <c r="P2458" s="161"/>
      <c r="Q2458" s="203"/>
      <c r="R2458" s="162"/>
      <c r="S2458" s="162"/>
      <c r="T2458" s="162"/>
      <c r="U2458" s="163"/>
      <c r="V2458" s="154"/>
      <c r="W2458" s="164"/>
      <c r="X2458" s="164"/>
      <c r="Y2458" s="164"/>
      <c r="Z2458" s="164"/>
      <c r="AA2458" s="164"/>
      <c r="AB2458" s="164"/>
      <c r="AC2458" s="164"/>
      <c r="AD2458" s="164"/>
      <c r="AE2458" s="164"/>
      <c r="AF2458" s="164"/>
      <c r="AG2458" s="164"/>
      <c r="AH2458" s="164"/>
      <c r="AI2458" s="164"/>
    </row>
    <row r="2459">
      <c r="A2459" s="154"/>
      <c r="B2459" s="155"/>
      <c r="C2459" s="156"/>
      <c r="D2459" s="156"/>
      <c r="E2459" s="155"/>
      <c r="F2459" s="156"/>
      <c r="G2459" s="154"/>
      <c r="H2459" s="157"/>
      <c r="I2459" s="158"/>
      <c r="J2459" s="159"/>
      <c r="K2459" s="156"/>
      <c r="L2459" s="156"/>
      <c r="M2459" s="155"/>
      <c r="N2459" s="160"/>
      <c r="O2459" s="161"/>
      <c r="P2459" s="161"/>
      <c r="Q2459" s="203"/>
      <c r="R2459" s="162"/>
      <c r="S2459" s="162"/>
      <c r="T2459" s="162"/>
      <c r="U2459" s="163"/>
      <c r="V2459" s="154"/>
      <c r="W2459" s="164"/>
      <c r="X2459" s="164"/>
      <c r="Y2459" s="164"/>
      <c r="Z2459" s="164"/>
      <c r="AA2459" s="164"/>
      <c r="AB2459" s="164"/>
      <c r="AC2459" s="164"/>
      <c r="AD2459" s="164"/>
      <c r="AE2459" s="164"/>
      <c r="AF2459" s="164"/>
      <c r="AG2459" s="164"/>
      <c r="AH2459" s="164"/>
      <c r="AI2459" s="164"/>
    </row>
    <row r="2460">
      <c r="A2460" s="154"/>
      <c r="B2460" s="155"/>
      <c r="C2460" s="156"/>
      <c r="D2460" s="156"/>
      <c r="E2460" s="155"/>
      <c r="F2460" s="156"/>
      <c r="G2460" s="154"/>
      <c r="H2460" s="157"/>
      <c r="I2460" s="158"/>
      <c r="J2460" s="159"/>
      <c r="K2460" s="156"/>
      <c r="L2460" s="156"/>
      <c r="M2460" s="155"/>
      <c r="N2460" s="160"/>
      <c r="O2460" s="161"/>
      <c r="P2460" s="161"/>
      <c r="Q2460" s="203"/>
      <c r="R2460" s="162"/>
      <c r="S2460" s="162"/>
      <c r="T2460" s="162"/>
      <c r="U2460" s="163"/>
      <c r="V2460" s="154"/>
      <c r="W2460" s="164"/>
      <c r="X2460" s="164"/>
      <c r="Y2460" s="164"/>
      <c r="Z2460" s="164"/>
      <c r="AA2460" s="164"/>
      <c r="AB2460" s="164"/>
      <c r="AC2460" s="164"/>
      <c r="AD2460" s="164"/>
      <c r="AE2460" s="164"/>
      <c r="AF2460" s="164"/>
      <c r="AG2460" s="164"/>
      <c r="AH2460" s="164"/>
      <c r="AI2460" s="164"/>
    </row>
    <row r="2461">
      <c r="A2461" s="154"/>
      <c r="B2461" s="155"/>
      <c r="C2461" s="156"/>
      <c r="D2461" s="156"/>
      <c r="E2461" s="155"/>
      <c r="F2461" s="156"/>
      <c r="G2461" s="154"/>
      <c r="H2461" s="157"/>
      <c r="I2461" s="158"/>
      <c r="J2461" s="159"/>
      <c r="K2461" s="156"/>
      <c r="L2461" s="156"/>
      <c r="M2461" s="202"/>
      <c r="N2461" s="160"/>
      <c r="O2461" s="161"/>
      <c r="P2461" s="161"/>
      <c r="Q2461" s="203"/>
      <c r="R2461" s="162"/>
      <c r="S2461" s="162"/>
      <c r="T2461" s="162"/>
      <c r="U2461" s="163"/>
      <c r="V2461" s="154"/>
      <c r="W2461" s="164"/>
      <c r="X2461" s="164"/>
      <c r="Y2461" s="164"/>
      <c r="Z2461" s="164"/>
      <c r="AA2461" s="164"/>
      <c r="AB2461" s="164"/>
      <c r="AC2461" s="164"/>
      <c r="AD2461" s="164"/>
      <c r="AE2461" s="164"/>
      <c r="AF2461" s="164"/>
      <c r="AG2461" s="164"/>
      <c r="AH2461" s="164"/>
      <c r="AI2461" s="164"/>
    </row>
    <row r="2462">
      <c r="A2462" s="154"/>
      <c r="B2462" s="155"/>
      <c r="C2462" s="156"/>
      <c r="D2462" s="156"/>
      <c r="E2462" s="155"/>
      <c r="F2462" s="156"/>
      <c r="G2462" s="154"/>
      <c r="H2462" s="157"/>
      <c r="I2462" s="158"/>
      <c r="J2462" s="159"/>
      <c r="K2462" s="156"/>
      <c r="L2462" s="156"/>
      <c r="M2462" s="155"/>
      <c r="N2462" s="160"/>
      <c r="O2462" s="161"/>
      <c r="P2462" s="161"/>
      <c r="Q2462" s="203"/>
      <c r="R2462" s="162"/>
      <c r="S2462" s="162"/>
      <c r="T2462" s="162"/>
      <c r="U2462" s="163"/>
      <c r="V2462" s="154"/>
      <c r="W2462" s="164"/>
      <c r="X2462" s="164"/>
      <c r="Y2462" s="164"/>
      <c r="Z2462" s="164"/>
      <c r="AA2462" s="164"/>
      <c r="AB2462" s="164"/>
      <c r="AC2462" s="164"/>
      <c r="AD2462" s="164"/>
      <c r="AE2462" s="164"/>
      <c r="AF2462" s="164"/>
      <c r="AG2462" s="164"/>
      <c r="AH2462" s="164"/>
      <c r="AI2462" s="164"/>
    </row>
    <row r="2463">
      <c r="A2463" s="176"/>
      <c r="B2463" s="177"/>
      <c r="C2463" s="178"/>
      <c r="D2463" s="178"/>
      <c r="E2463" s="177"/>
      <c r="F2463" s="178"/>
      <c r="G2463" s="176"/>
      <c r="H2463" s="179"/>
      <c r="I2463" s="180"/>
      <c r="J2463" s="181"/>
      <c r="K2463" s="178"/>
      <c r="L2463" s="178"/>
      <c r="M2463" s="182"/>
      <c r="N2463" s="183"/>
      <c r="O2463" s="184"/>
      <c r="P2463" s="184"/>
      <c r="Q2463" s="185"/>
      <c r="R2463" s="186"/>
      <c r="S2463" s="186"/>
      <c r="T2463" s="186"/>
      <c r="U2463" s="187"/>
      <c r="V2463" s="176"/>
      <c r="W2463" s="164"/>
      <c r="X2463" s="164"/>
      <c r="Y2463" s="164"/>
      <c r="Z2463" s="164"/>
      <c r="AA2463" s="164"/>
      <c r="AB2463" s="164"/>
      <c r="AC2463" s="164"/>
      <c r="AD2463" s="164"/>
      <c r="AE2463" s="164"/>
      <c r="AF2463" s="164"/>
      <c r="AG2463" s="164"/>
      <c r="AH2463" s="164"/>
      <c r="AI2463" s="164"/>
    </row>
    <row r="2464">
      <c r="A2464" s="154"/>
      <c r="B2464" s="155"/>
      <c r="C2464" s="156"/>
      <c r="D2464" s="156"/>
      <c r="E2464" s="155"/>
      <c r="F2464" s="156"/>
      <c r="G2464" s="154"/>
      <c r="H2464" s="157"/>
      <c r="I2464" s="158"/>
      <c r="J2464" s="159"/>
      <c r="K2464" s="156"/>
      <c r="L2464" s="156"/>
      <c r="M2464" s="155"/>
      <c r="N2464" s="160"/>
      <c r="O2464" s="161"/>
      <c r="P2464" s="161"/>
      <c r="Q2464" s="159"/>
      <c r="R2464" s="162"/>
      <c r="S2464" s="162"/>
      <c r="T2464" s="162"/>
      <c r="U2464" s="163"/>
      <c r="V2464" s="154"/>
      <c r="W2464" s="164"/>
      <c r="X2464" s="164"/>
      <c r="Y2464" s="164"/>
      <c r="Z2464" s="164"/>
      <c r="AA2464" s="164"/>
      <c r="AB2464" s="164"/>
      <c r="AC2464" s="164"/>
      <c r="AD2464" s="164"/>
      <c r="AE2464" s="164"/>
      <c r="AF2464" s="164"/>
      <c r="AG2464" s="164"/>
      <c r="AH2464" s="164"/>
      <c r="AI2464" s="164"/>
    </row>
    <row r="2465">
      <c r="A2465" s="154"/>
      <c r="B2465" s="155"/>
      <c r="C2465" s="156"/>
      <c r="D2465" s="156"/>
      <c r="E2465" s="155"/>
      <c r="F2465" s="156"/>
      <c r="G2465" s="154"/>
      <c r="H2465" s="157"/>
      <c r="I2465" s="158"/>
      <c r="J2465" s="159"/>
      <c r="K2465" s="156"/>
      <c r="L2465" s="156"/>
      <c r="M2465" s="155"/>
      <c r="N2465" s="160"/>
      <c r="O2465" s="161"/>
      <c r="P2465" s="161"/>
      <c r="Q2465" s="203"/>
      <c r="R2465" s="162"/>
      <c r="S2465" s="162"/>
      <c r="T2465" s="162"/>
      <c r="U2465" s="163"/>
      <c r="V2465" s="154"/>
      <c r="W2465" s="164"/>
      <c r="X2465" s="164"/>
      <c r="Y2465" s="164"/>
      <c r="Z2465" s="164"/>
      <c r="AA2465" s="164"/>
      <c r="AB2465" s="164"/>
      <c r="AC2465" s="164"/>
      <c r="AD2465" s="164"/>
      <c r="AE2465" s="164"/>
      <c r="AF2465" s="164"/>
      <c r="AG2465" s="164"/>
      <c r="AH2465" s="164"/>
      <c r="AI2465" s="164"/>
    </row>
    <row r="2466">
      <c r="A2466" s="154"/>
      <c r="B2466" s="155"/>
      <c r="C2466" s="156"/>
      <c r="D2466" s="156"/>
      <c r="E2466" s="155"/>
      <c r="F2466" s="156"/>
      <c r="G2466" s="154"/>
      <c r="H2466" s="157"/>
      <c r="I2466" s="158"/>
      <c r="J2466" s="159"/>
      <c r="K2466" s="156"/>
      <c r="L2466" s="156"/>
      <c r="M2466" s="155"/>
      <c r="N2466" s="160"/>
      <c r="O2466" s="161"/>
      <c r="P2466" s="161"/>
      <c r="Q2466" s="203"/>
      <c r="R2466" s="162"/>
      <c r="S2466" s="162"/>
      <c r="T2466" s="162"/>
      <c r="U2466" s="163"/>
      <c r="V2466" s="154"/>
      <c r="W2466" s="164"/>
      <c r="X2466" s="164"/>
      <c r="Y2466" s="164"/>
      <c r="Z2466" s="164"/>
      <c r="AA2466" s="164"/>
      <c r="AB2466" s="164"/>
      <c r="AC2466" s="164"/>
      <c r="AD2466" s="164"/>
      <c r="AE2466" s="164"/>
      <c r="AF2466" s="164"/>
      <c r="AG2466" s="164"/>
      <c r="AH2466" s="164"/>
      <c r="AI2466" s="164"/>
    </row>
    <row r="2467">
      <c r="A2467" s="154"/>
      <c r="B2467" s="155"/>
      <c r="C2467" s="156"/>
      <c r="D2467" s="156"/>
      <c r="E2467" s="155"/>
      <c r="F2467" s="156"/>
      <c r="G2467" s="154"/>
      <c r="H2467" s="157"/>
      <c r="I2467" s="158"/>
      <c r="J2467" s="159"/>
      <c r="K2467" s="156"/>
      <c r="L2467" s="156"/>
      <c r="M2467" s="202"/>
      <c r="N2467" s="160"/>
      <c r="O2467" s="161"/>
      <c r="P2467" s="161"/>
      <c r="Q2467" s="203"/>
      <c r="R2467" s="162"/>
      <c r="S2467" s="162"/>
      <c r="T2467" s="162"/>
      <c r="U2467" s="163"/>
      <c r="V2467" s="154"/>
      <c r="W2467" s="164"/>
      <c r="X2467" s="164"/>
      <c r="Y2467" s="164"/>
      <c r="Z2467" s="164"/>
      <c r="AA2467" s="164"/>
      <c r="AB2467" s="164"/>
      <c r="AC2467" s="164"/>
      <c r="AD2467" s="164"/>
      <c r="AE2467" s="164"/>
      <c r="AF2467" s="164"/>
      <c r="AG2467" s="164"/>
      <c r="AH2467" s="164"/>
      <c r="AI2467" s="164"/>
    </row>
    <row r="2468">
      <c r="A2468" s="154"/>
      <c r="B2468" s="155"/>
      <c r="C2468" s="156"/>
      <c r="D2468" s="156"/>
      <c r="E2468" s="155"/>
      <c r="F2468" s="156"/>
      <c r="G2468" s="154"/>
      <c r="H2468" s="157"/>
      <c r="I2468" s="158"/>
      <c r="J2468" s="159"/>
      <c r="K2468" s="156"/>
      <c r="L2468" s="156"/>
      <c r="M2468" s="202"/>
      <c r="N2468" s="160"/>
      <c r="O2468" s="161"/>
      <c r="P2468" s="161"/>
      <c r="Q2468" s="203"/>
      <c r="R2468" s="162"/>
      <c r="S2468" s="162"/>
      <c r="T2468" s="162"/>
      <c r="U2468" s="163"/>
      <c r="V2468" s="154"/>
      <c r="W2468" s="164"/>
      <c r="X2468" s="164"/>
      <c r="Y2468" s="164"/>
      <c r="Z2468" s="164"/>
      <c r="AA2468" s="164"/>
      <c r="AB2468" s="164"/>
      <c r="AC2468" s="164"/>
      <c r="AD2468" s="164"/>
      <c r="AE2468" s="164"/>
      <c r="AF2468" s="164"/>
      <c r="AG2468" s="164"/>
      <c r="AH2468" s="164"/>
      <c r="AI2468" s="164"/>
    </row>
    <row r="2469">
      <c r="A2469" s="154"/>
      <c r="B2469" s="155"/>
      <c r="C2469" s="156"/>
      <c r="D2469" s="156"/>
      <c r="E2469" s="155"/>
      <c r="F2469" s="156"/>
      <c r="G2469" s="154"/>
      <c r="H2469" s="157"/>
      <c r="I2469" s="158"/>
      <c r="J2469" s="159"/>
      <c r="K2469" s="156"/>
      <c r="L2469" s="156"/>
      <c r="M2469" s="155"/>
      <c r="N2469" s="160"/>
      <c r="O2469" s="161"/>
      <c r="P2469" s="161"/>
      <c r="Q2469" s="203"/>
      <c r="R2469" s="162"/>
      <c r="S2469" s="162"/>
      <c r="T2469" s="162"/>
      <c r="U2469" s="163"/>
      <c r="V2469" s="154"/>
      <c r="W2469" s="164"/>
      <c r="X2469" s="164"/>
      <c r="Y2469" s="164"/>
      <c r="Z2469" s="164"/>
      <c r="AA2469" s="164"/>
      <c r="AB2469" s="164"/>
      <c r="AC2469" s="164"/>
      <c r="AD2469" s="164"/>
      <c r="AE2469" s="164"/>
      <c r="AF2469" s="164"/>
      <c r="AG2469" s="164"/>
      <c r="AH2469" s="164"/>
      <c r="AI2469" s="164"/>
    </row>
    <row r="2470">
      <c r="A2470" s="154"/>
      <c r="B2470" s="155"/>
      <c r="C2470" s="156"/>
      <c r="D2470" s="156"/>
      <c r="E2470" s="155"/>
      <c r="F2470" s="156"/>
      <c r="G2470" s="154"/>
      <c r="H2470" s="157"/>
      <c r="I2470" s="158"/>
      <c r="J2470" s="159"/>
      <c r="K2470" s="156"/>
      <c r="L2470" s="156"/>
      <c r="M2470" s="202"/>
      <c r="N2470" s="160"/>
      <c r="O2470" s="161"/>
      <c r="P2470" s="161"/>
      <c r="Q2470" s="203"/>
      <c r="R2470" s="162"/>
      <c r="S2470" s="162"/>
      <c r="T2470" s="162"/>
      <c r="U2470" s="163"/>
      <c r="V2470" s="154"/>
      <c r="W2470" s="164"/>
      <c r="X2470" s="164"/>
      <c r="Y2470" s="164"/>
      <c r="Z2470" s="164"/>
      <c r="AA2470" s="164"/>
      <c r="AB2470" s="164"/>
      <c r="AC2470" s="164"/>
      <c r="AD2470" s="164"/>
      <c r="AE2470" s="164"/>
      <c r="AF2470" s="164"/>
      <c r="AG2470" s="164"/>
      <c r="AH2470" s="164"/>
      <c r="AI2470" s="164"/>
    </row>
    <row r="2471">
      <c r="A2471" s="154"/>
      <c r="B2471" s="155"/>
      <c r="C2471" s="156"/>
      <c r="D2471" s="156"/>
      <c r="E2471" s="155"/>
      <c r="F2471" s="156"/>
      <c r="G2471" s="154"/>
      <c r="H2471" s="157"/>
      <c r="I2471" s="158"/>
      <c r="J2471" s="159"/>
      <c r="K2471" s="156"/>
      <c r="L2471" s="156"/>
      <c r="M2471" s="155"/>
      <c r="N2471" s="160"/>
      <c r="O2471" s="161"/>
      <c r="P2471" s="161"/>
      <c r="Q2471" s="203"/>
      <c r="R2471" s="162"/>
      <c r="S2471" s="162"/>
      <c r="T2471" s="162"/>
      <c r="U2471" s="163"/>
      <c r="V2471" s="154"/>
      <c r="W2471" s="164"/>
      <c r="X2471" s="164"/>
      <c r="Y2471" s="164"/>
      <c r="Z2471" s="164"/>
      <c r="AA2471" s="164"/>
      <c r="AB2471" s="164"/>
      <c r="AC2471" s="164"/>
      <c r="AD2471" s="164"/>
      <c r="AE2471" s="164"/>
      <c r="AF2471" s="164"/>
      <c r="AG2471" s="164"/>
      <c r="AH2471" s="164"/>
      <c r="AI2471" s="164"/>
    </row>
    <row r="2472">
      <c r="A2472" s="154"/>
      <c r="B2472" s="155"/>
      <c r="C2472" s="156"/>
      <c r="D2472" s="156"/>
      <c r="E2472" s="155"/>
      <c r="F2472" s="156"/>
      <c r="G2472" s="154"/>
      <c r="H2472" s="157"/>
      <c r="I2472" s="158"/>
      <c r="J2472" s="159"/>
      <c r="K2472" s="156"/>
      <c r="L2472" s="156"/>
      <c r="M2472" s="155"/>
      <c r="N2472" s="160"/>
      <c r="O2472" s="161"/>
      <c r="P2472" s="161"/>
      <c r="Q2472" s="203"/>
      <c r="R2472" s="162"/>
      <c r="S2472" s="162"/>
      <c r="T2472" s="162"/>
      <c r="U2472" s="163"/>
      <c r="V2472" s="154"/>
      <c r="W2472" s="164"/>
      <c r="X2472" s="164"/>
      <c r="Y2472" s="164"/>
      <c r="Z2472" s="164"/>
      <c r="AA2472" s="164"/>
      <c r="AB2472" s="164"/>
      <c r="AC2472" s="164"/>
      <c r="AD2472" s="164"/>
      <c r="AE2472" s="164"/>
      <c r="AF2472" s="164"/>
      <c r="AG2472" s="164"/>
      <c r="AH2472" s="164"/>
      <c r="AI2472" s="164"/>
    </row>
    <row r="2473">
      <c r="A2473" s="154"/>
      <c r="B2473" s="155"/>
      <c r="C2473" s="156"/>
      <c r="D2473" s="156"/>
      <c r="E2473" s="155"/>
      <c r="F2473" s="156"/>
      <c r="G2473" s="154"/>
      <c r="H2473" s="157"/>
      <c r="I2473" s="158"/>
      <c r="J2473" s="159"/>
      <c r="K2473" s="156"/>
      <c r="L2473" s="156"/>
      <c r="M2473" s="202"/>
      <c r="N2473" s="160"/>
      <c r="O2473" s="161"/>
      <c r="P2473" s="161"/>
      <c r="Q2473" s="203"/>
      <c r="R2473" s="162"/>
      <c r="S2473" s="162"/>
      <c r="T2473" s="162"/>
      <c r="U2473" s="163"/>
      <c r="V2473" s="154"/>
      <c r="W2473" s="164"/>
      <c r="X2473" s="164"/>
      <c r="Y2473" s="164"/>
      <c r="Z2473" s="164"/>
      <c r="AA2473" s="164"/>
      <c r="AB2473" s="164"/>
      <c r="AC2473" s="164"/>
      <c r="AD2473" s="164"/>
      <c r="AE2473" s="164"/>
      <c r="AF2473" s="164"/>
      <c r="AG2473" s="164"/>
      <c r="AH2473" s="164"/>
      <c r="AI2473" s="164"/>
    </row>
    <row r="2474">
      <c r="A2474" s="154"/>
      <c r="B2474" s="155"/>
      <c r="C2474" s="156"/>
      <c r="D2474" s="156"/>
      <c r="E2474" s="155"/>
      <c r="F2474" s="156"/>
      <c r="G2474" s="154"/>
      <c r="H2474" s="157"/>
      <c r="I2474" s="158"/>
      <c r="J2474" s="159"/>
      <c r="K2474" s="156"/>
      <c r="L2474" s="156"/>
      <c r="M2474" s="155"/>
      <c r="N2474" s="160"/>
      <c r="O2474" s="161"/>
      <c r="P2474" s="161"/>
      <c r="Q2474" s="203"/>
      <c r="R2474" s="162"/>
      <c r="S2474" s="162"/>
      <c r="T2474" s="162"/>
      <c r="U2474" s="163"/>
      <c r="V2474" s="154"/>
      <c r="W2474" s="164"/>
      <c r="X2474" s="164"/>
      <c r="Y2474" s="164"/>
      <c r="Z2474" s="164"/>
      <c r="AA2474" s="164"/>
      <c r="AB2474" s="164"/>
      <c r="AC2474" s="164"/>
      <c r="AD2474" s="164"/>
      <c r="AE2474" s="164"/>
      <c r="AF2474" s="164"/>
      <c r="AG2474" s="164"/>
      <c r="AH2474" s="164"/>
      <c r="AI2474" s="164"/>
    </row>
    <row r="2475">
      <c r="A2475" s="154"/>
      <c r="B2475" s="155"/>
      <c r="C2475" s="156"/>
      <c r="D2475" s="156"/>
      <c r="E2475" s="155"/>
      <c r="F2475" s="156"/>
      <c r="G2475" s="154"/>
      <c r="H2475" s="157"/>
      <c r="I2475" s="158"/>
      <c r="J2475" s="159"/>
      <c r="K2475" s="156"/>
      <c r="L2475" s="156"/>
      <c r="M2475" s="155"/>
      <c r="N2475" s="160"/>
      <c r="O2475" s="161"/>
      <c r="P2475" s="161"/>
      <c r="Q2475" s="159"/>
      <c r="R2475" s="162"/>
      <c r="S2475" s="162"/>
      <c r="T2475" s="162"/>
      <c r="U2475" s="163"/>
      <c r="V2475" s="154"/>
      <c r="W2475" s="164"/>
      <c r="X2475" s="164"/>
      <c r="Y2475" s="164"/>
      <c r="Z2475" s="164"/>
      <c r="AA2475" s="164"/>
      <c r="AB2475" s="164"/>
      <c r="AC2475" s="164"/>
      <c r="AD2475" s="164"/>
      <c r="AE2475" s="164"/>
      <c r="AF2475" s="164"/>
      <c r="AG2475" s="164"/>
      <c r="AH2475" s="164"/>
      <c r="AI2475" s="164"/>
    </row>
    <row r="2476">
      <c r="A2476" s="154"/>
      <c r="B2476" s="155"/>
      <c r="C2476" s="156"/>
      <c r="D2476" s="156"/>
      <c r="E2476" s="155"/>
      <c r="F2476" s="156"/>
      <c r="G2476" s="154"/>
      <c r="H2476" s="157"/>
      <c r="I2476" s="158"/>
      <c r="J2476" s="159"/>
      <c r="K2476" s="156"/>
      <c r="L2476" s="156"/>
      <c r="M2476" s="202"/>
      <c r="N2476" s="160"/>
      <c r="O2476" s="161"/>
      <c r="P2476" s="161"/>
      <c r="Q2476" s="203"/>
      <c r="R2476" s="162"/>
      <c r="S2476" s="162"/>
      <c r="T2476" s="162"/>
      <c r="U2476" s="163"/>
      <c r="V2476" s="154"/>
      <c r="W2476" s="164"/>
      <c r="X2476" s="164"/>
      <c r="Y2476" s="164"/>
      <c r="Z2476" s="164"/>
      <c r="AA2476" s="164"/>
      <c r="AB2476" s="164"/>
      <c r="AC2476" s="164"/>
      <c r="AD2476" s="164"/>
      <c r="AE2476" s="164"/>
      <c r="AF2476" s="164"/>
      <c r="AG2476" s="164"/>
      <c r="AH2476" s="164"/>
      <c r="AI2476" s="164"/>
    </row>
    <row r="2477">
      <c r="A2477" s="154"/>
      <c r="B2477" s="155"/>
      <c r="C2477" s="156"/>
      <c r="D2477" s="156"/>
      <c r="E2477" s="155"/>
      <c r="F2477" s="156"/>
      <c r="G2477" s="154"/>
      <c r="H2477" s="157"/>
      <c r="I2477" s="158"/>
      <c r="J2477" s="159"/>
      <c r="K2477" s="156"/>
      <c r="L2477" s="156"/>
      <c r="M2477" s="155"/>
      <c r="N2477" s="160"/>
      <c r="O2477" s="161"/>
      <c r="P2477" s="161"/>
      <c r="Q2477" s="203"/>
      <c r="R2477" s="162"/>
      <c r="S2477" s="162"/>
      <c r="T2477" s="162"/>
      <c r="U2477" s="163"/>
      <c r="V2477" s="154"/>
      <c r="W2477" s="164"/>
      <c r="X2477" s="164"/>
      <c r="Y2477" s="164"/>
      <c r="Z2477" s="164"/>
      <c r="AA2477" s="164"/>
      <c r="AB2477" s="164"/>
      <c r="AC2477" s="164"/>
      <c r="AD2477" s="164"/>
      <c r="AE2477" s="164"/>
      <c r="AF2477" s="164"/>
      <c r="AG2477" s="164"/>
      <c r="AH2477" s="164"/>
      <c r="AI2477" s="164"/>
    </row>
    <row r="2478">
      <c r="A2478" s="154"/>
      <c r="B2478" s="155"/>
      <c r="C2478" s="156"/>
      <c r="D2478" s="156"/>
      <c r="E2478" s="155"/>
      <c r="F2478" s="156"/>
      <c r="G2478" s="154"/>
      <c r="H2478" s="157"/>
      <c r="I2478" s="158"/>
      <c r="J2478" s="159"/>
      <c r="K2478" s="156"/>
      <c r="L2478" s="156"/>
      <c r="M2478" s="155"/>
      <c r="N2478" s="160"/>
      <c r="O2478" s="161"/>
      <c r="P2478" s="161"/>
      <c r="Q2478" s="203"/>
      <c r="R2478" s="162"/>
      <c r="S2478" s="162"/>
      <c r="T2478" s="162"/>
      <c r="U2478" s="163"/>
      <c r="V2478" s="154"/>
      <c r="W2478" s="164"/>
      <c r="X2478" s="164"/>
      <c r="Y2478" s="164"/>
      <c r="Z2478" s="164"/>
      <c r="AA2478" s="164"/>
      <c r="AB2478" s="164"/>
      <c r="AC2478" s="164"/>
      <c r="AD2478" s="164"/>
      <c r="AE2478" s="164"/>
      <c r="AF2478" s="164"/>
      <c r="AG2478" s="164"/>
      <c r="AH2478" s="164"/>
      <c r="AI2478" s="164"/>
    </row>
    <row r="2479">
      <c r="A2479" s="154"/>
      <c r="B2479" s="155"/>
      <c r="C2479" s="156"/>
      <c r="D2479" s="156"/>
      <c r="E2479" s="155"/>
      <c r="F2479" s="156"/>
      <c r="G2479" s="154"/>
      <c r="H2479" s="157"/>
      <c r="I2479" s="158"/>
      <c r="J2479" s="159"/>
      <c r="K2479" s="156"/>
      <c r="L2479" s="156"/>
      <c r="M2479" s="155"/>
      <c r="N2479" s="160"/>
      <c r="O2479" s="161"/>
      <c r="P2479" s="161"/>
      <c r="Q2479" s="203"/>
      <c r="R2479" s="162"/>
      <c r="S2479" s="162"/>
      <c r="T2479" s="162"/>
      <c r="U2479" s="163"/>
      <c r="V2479" s="154"/>
      <c r="W2479" s="164"/>
      <c r="X2479" s="164"/>
      <c r="Y2479" s="164"/>
      <c r="Z2479" s="164"/>
      <c r="AA2479" s="164"/>
      <c r="AB2479" s="164"/>
      <c r="AC2479" s="164"/>
      <c r="AD2479" s="164"/>
      <c r="AE2479" s="164"/>
      <c r="AF2479" s="164"/>
      <c r="AG2479" s="164"/>
      <c r="AH2479" s="164"/>
      <c r="AI2479" s="164"/>
    </row>
    <row r="2480">
      <c r="A2480" s="154"/>
      <c r="B2480" s="155"/>
      <c r="C2480" s="156"/>
      <c r="D2480" s="156"/>
      <c r="E2480" s="155"/>
      <c r="F2480" s="156"/>
      <c r="G2480" s="154"/>
      <c r="H2480" s="157"/>
      <c r="I2480" s="158"/>
      <c r="J2480" s="159"/>
      <c r="K2480" s="156"/>
      <c r="L2480" s="156"/>
      <c r="M2480" s="155"/>
      <c r="N2480" s="160"/>
      <c r="O2480" s="161"/>
      <c r="P2480" s="161"/>
      <c r="Q2480" s="203"/>
      <c r="R2480" s="162"/>
      <c r="S2480" s="162"/>
      <c r="T2480" s="162"/>
      <c r="U2480" s="163"/>
      <c r="V2480" s="154"/>
      <c r="W2480" s="164"/>
      <c r="X2480" s="164"/>
      <c r="Y2480" s="164"/>
      <c r="Z2480" s="164"/>
      <c r="AA2480" s="164"/>
      <c r="AB2480" s="164"/>
      <c r="AC2480" s="164"/>
      <c r="AD2480" s="164"/>
      <c r="AE2480" s="164"/>
      <c r="AF2480" s="164"/>
      <c r="AG2480" s="164"/>
      <c r="AH2480" s="164"/>
      <c r="AI2480" s="164"/>
    </row>
    <row r="2481">
      <c r="A2481" s="154"/>
      <c r="B2481" s="155"/>
      <c r="C2481" s="156"/>
      <c r="D2481" s="156"/>
      <c r="E2481" s="155"/>
      <c r="F2481" s="156"/>
      <c r="G2481" s="154"/>
      <c r="H2481" s="157"/>
      <c r="I2481" s="158"/>
      <c r="J2481" s="159"/>
      <c r="K2481" s="156"/>
      <c r="L2481" s="156"/>
      <c r="M2481" s="155"/>
      <c r="N2481" s="160"/>
      <c r="O2481" s="161"/>
      <c r="P2481" s="161"/>
      <c r="Q2481" s="203"/>
      <c r="R2481" s="162"/>
      <c r="S2481" s="162"/>
      <c r="T2481" s="162"/>
      <c r="U2481" s="163"/>
      <c r="V2481" s="154"/>
      <c r="W2481" s="164"/>
      <c r="X2481" s="164"/>
      <c r="Y2481" s="164"/>
      <c r="Z2481" s="164"/>
      <c r="AA2481" s="164"/>
      <c r="AB2481" s="164"/>
      <c r="AC2481" s="164"/>
      <c r="AD2481" s="164"/>
      <c r="AE2481" s="164"/>
      <c r="AF2481" s="164"/>
      <c r="AG2481" s="164"/>
      <c r="AH2481" s="164"/>
      <c r="AI2481" s="164"/>
    </row>
    <row r="2482">
      <c r="A2482" s="154"/>
      <c r="B2482" s="155"/>
      <c r="C2482" s="156"/>
      <c r="D2482" s="156"/>
      <c r="E2482" s="155"/>
      <c r="F2482" s="156"/>
      <c r="G2482" s="154"/>
      <c r="H2482" s="157"/>
      <c r="I2482" s="158"/>
      <c r="J2482" s="159"/>
      <c r="K2482" s="156"/>
      <c r="L2482" s="156"/>
      <c r="M2482" s="155"/>
      <c r="N2482" s="160"/>
      <c r="O2482" s="161"/>
      <c r="P2482" s="161"/>
      <c r="Q2482" s="203"/>
      <c r="R2482" s="162"/>
      <c r="S2482" s="162"/>
      <c r="T2482" s="162"/>
      <c r="U2482" s="163"/>
      <c r="V2482" s="154"/>
      <c r="W2482" s="164"/>
      <c r="X2482" s="164"/>
      <c r="Y2482" s="164"/>
      <c r="Z2482" s="164"/>
      <c r="AA2482" s="164"/>
      <c r="AB2482" s="164"/>
      <c r="AC2482" s="164"/>
      <c r="AD2482" s="164"/>
      <c r="AE2482" s="164"/>
      <c r="AF2482" s="164"/>
      <c r="AG2482" s="164"/>
      <c r="AH2482" s="164"/>
      <c r="AI2482" s="164"/>
    </row>
    <row r="2483">
      <c r="A2483" s="154"/>
      <c r="B2483" s="155"/>
      <c r="C2483" s="156"/>
      <c r="D2483" s="156"/>
      <c r="E2483" s="155"/>
      <c r="F2483" s="156"/>
      <c r="G2483" s="154"/>
      <c r="H2483" s="157"/>
      <c r="I2483" s="158"/>
      <c r="J2483" s="159"/>
      <c r="K2483" s="156"/>
      <c r="L2483" s="156"/>
      <c r="M2483" s="155"/>
      <c r="N2483" s="160"/>
      <c r="O2483" s="161"/>
      <c r="P2483" s="161"/>
      <c r="Q2483" s="203"/>
      <c r="R2483" s="162"/>
      <c r="S2483" s="162"/>
      <c r="T2483" s="162"/>
      <c r="U2483" s="163"/>
      <c r="V2483" s="154"/>
      <c r="W2483" s="164"/>
      <c r="X2483" s="164"/>
      <c r="Y2483" s="164"/>
      <c r="Z2483" s="164"/>
      <c r="AA2483" s="164"/>
      <c r="AB2483" s="164"/>
      <c r="AC2483" s="164"/>
      <c r="AD2483" s="164"/>
      <c r="AE2483" s="164"/>
      <c r="AF2483" s="164"/>
      <c r="AG2483" s="164"/>
      <c r="AH2483" s="164"/>
      <c r="AI2483" s="164"/>
    </row>
    <row r="2484">
      <c r="A2484" s="154"/>
      <c r="B2484" s="155"/>
      <c r="C2484" s="156"/>
      <c r="D2484" s="156"/>
      <c r="E2484" s="155"/>
      <c r="F2484" s="156"/>
      <c r="G2484" s="154"/>
      <c r="H2484" s="157"/>
      <c r="I2484" s="158"/>
      <c r="J2484" s="159"/>
      <c r="K2484" s="156"/>
      <c r="L2484" s="156"/>
      <c r="M2484" s="155"/>
      <c r="N2484" s="160"/>
      <c r="O2484" s="161"/>
      <c r="P2484" s="161"/>
      <c r="Q2484" s="159"/>
      <c r="R2484" s="162"/>
      <c r="S2484" s="162"/>
      <c r="T2484" s="162"/>
      <c r="U2484" s="163"/>
      <c r="V2484" s="154"/>
      <c r="W2484" s="164"/>
      <c r="X2484" s="164"/>
      <c r="Y2484" s="164"/>
      <c r="Z2484" s="164"/>
      <c r="AA2484" s="164"/>
      <c r="AB2484" s="164"/>
      <c r="AC2484" s="164"/>
      <c r="AD2484" s="164"/>
      <c r="AE2484" s="164"/>
      <c r="AF2484" s="164"/>
      <c r="AG2484" s="164"/>
      <c r="AH2484" s="164"/>
      <c r="AI2484" s="164"/>
    </row>
    <row r="2485">
      <c r="A2485" s="154"/>
      <c r="B2485" s="155"/>
      <c r="C2485" s="156"/>
      <c r="D2485" s="156"/>
      <c r="E2485" s="155"/>
      <c r="F2485" s="156"/>
      <c r="G2485" s="154"/>
      <c r="H2485" s="157"/>
      <c r="I2485" s="158"/>
      <c r="J2485" s="159"/>
      <c r="K2485" s="156"/>
      <c r="L2485" s="156"/>
      <c r="M2485" s="155"/>
      <c r="N2485" s="160"/>
      <c r="O2485" s="161"/>
      <c r="P2485" s="161"/>
      <c r="Q2485" s="203"/>
      <c r="R2485" s="162"/>
      <c r="S2485" s="162"/>
      <c r="T2485" s="162"/>
      <c r="U2485" s="163"/>
      <c r="V2485" s="154"/>
      <c r="W2485" s="164"/>
      <c r="X2485" s="164"/>
      <c r="Y2485" s="164"/>
      <c r="Z2485" s="164"/>
      <c r="AA2485" s="164"/>
      <c r="AB2485" s="164"/>
      <c r="AC2485" s="164"/>
      <c r="AD2485" s="164"/>
      <c r="AE2485" s="164"/>
      <c r="AF2485" s="164"/>
      <c r="AG2485" s="164"/>
      <c r="AH2485" s="164"/>
      <c r="AI2485" s="164"/>
    </row>
    <row r="2486">
      <c r="A2486" s="154"/>
      <c r="B2486" s="155"/>
      <c r="C2486" s="156"/>
      <c r="D2486" s="156"/>
      <c r="E2486" s="155"/>
      <c r="F2486" s="156"/>
      <c r="G2486" s="154"/>
      <c r="H2486" s="157"/>
      <c r="I2486" s="158"/>
      <c r="J2486" s="159"/>
      <c r="K2486" s="156"/>
      <c r="L2486" s="156"/>
      <c r="M2486" s="202"/>
      <c r="N2486" s="160"/>
      <c r="O2486" s="161"/>
      <c r="P2486" s="161"/>
      <c r="Q2486" s="203"/>
      <c r="R2486" s="162"/>
      <c r="S2486" s="162"/>
      <c r="T2486" s="162"/>
      <c r="U2486" s="163"/>
      <c r="V2486" s="154"/>
      <c r="W2486" s="164"/>
      <c r="X2486" s="164"/>
      <c r="Y2486" s="164"/>
      <c r="Z2486" s="164"/>
      <c r="AA2486" s="164"/>
      <c r="AB2486" s="164"/>
      <c r="AC2486" s="164"/>
      <c r="AD2486" s="164"/>
      <c r="AE2486" s="164"/>
      <c r="AF2486" s="164"/>
      <c r="AG2486" s="164"/>
      <c r="AH2486" s="164"/>
      <c r="AI2486" s="164"/>
    </row>
    <row r="2487">
      <c r="A2487" s="154"/>
      <c r="B2487" s="155"/>
      <c r="C2487" s="156"/>
      <c r="D2487" s="156"/>
      <c r="E2487" s="155"/>
      <c r="F2487" s="156"/>
      <c r="G2487" s="154"/>
      <c r="H2487" s="157"/>
      <c r="I2487" s="158"/>
      <c r="J2487" s="159"/>
      <c r="K2487" s="156"/>
      <c r="L2487" s="156"/>
      <c r="M2487" s="155"/>
      <c r="N2487" s="160"/>
      <c r="O2487" s="161"/>
      <c r="P2487" s="161"/>
      <c r="Q2487" s="203"/>
      <c r="R2487" s="162"/>
      <c r="S2487" s="162"/>
      <c r="T2487" s="162"/>
      <c r="U2487" s="163"/>
      <c r="V2487" s="154"/>
      <c r="W2487" s="164"/>
      <c r="X2487" s="164"/>
      <c r="Y2487" s="164"/>
      <c r="Z2487" s="164"/>
      <c r="AA2487" s="164"/>
      <c r="AB2487" s="164"/>
      <c r="AC2487" s="164"/>
      <c r="AD2487" s="164"/>
      <c r="AE2487" s="164"/>
      <c r="AF2487" s="164"/>
      <c r="AG2487" s="164"/>
      <c r="AH2487" s="164"/>
      <c r="AI2487" s="164"/>
    </row>
    <row r="2488">
      <c r="A2488" s="154"/>
      <c r="B2488" s="155"/>
      <c r="C2488" s="156"/>
      <c r="D2488" s="156"/>
      <c r="E2488" s="155"/>
      <c r="F2488" s="156"/>
      <c r="G2488" s="154"/>
      <c r="H2488" s="157"/>
      <c r="I2488" s="158"/>
      <c r="J2488" s="159"/>
      <c r="K2488" s="156"/>
      <c r="L2488" s="156"/>
      <c r="M2488" s="155"/>
      <c r="N2488" s="160"/>
      <c r="O2488" s="161"/>
      <c r="P2488" s="161"/>
      <c r="Q2488" s="159"/>
      <c r="R2488" s="162"/>
      <c r="S2488" s="162"/>
      <c r="T2488" s="162"/>
      <c r="U2488" s="163"/>
      <c r="V2488" s="154"/>
      <c r="W2488" s="164"/>
      <c r="X2488" s="164"/>
      <c r="Y2488" s="164"/>
      <c r="Z2488" s="164"/>
      <c r="AA2488" s="164"/>
      <c r="AB2488" s="164"/>
      <c r="AC2488" s="164"/>
      <c r="AD2488" s="164"/>
      <c r="AE2488" s="164"/>
      <c r="AF2488" s="164"/>
      <c r="AG2488" s="164"/>
      <c r="AH2488" s="164"/>
      <c r="AI2488" s="164"/>
    </row>
    <row r="2489">
      <c r="A2489" s="154"/>
      <c r="B2489" s="155"/>
      <c r="C2489" s="156"/>
      <c r="D2489" s="156"/>
      <c r="E2489" s="155"/>
      <c r="F2489" s="156"/>
      <c r="G2489" s="154"/>
      <c r="H2489" s="157"/>
      <c r="I2489" s="158"/>
      <c r="J2489" s="159"/>
      <c r="K2489" s="156"/>
      <c r="L2489" s="156"/>
      <c r="M2489" s="155"/>
      <c r="N2489" s="160"/>
      <c r="O2489" s="161"/>
      <c r="P2489" s="161"/>
      <c r="Q2489" s="159"/>
      <c r="R2489" s="162"/>
      <c r="S2489" s="162"/>
      <c r="T2489" s="162"/>
      <c r="U2489" s="163"/>
      <c r="V2489" s="154"/>
      <c r="W2489" s="164"/>
      <c r="X2489" s="164"/>
      <c r="Y2489" s="164"/>
      <c r="Z2489" s="164"/>
      <c r="AA2489" s="164"/>
      <c r="AB2489" s="164"/>
      <c r="AC2489" s="164"/>
      <c r="AD2489" s="164"/>
      <c r="AE2489" s="164"/>
      <c r="AF2489" s="164"/>
      <c r="AG2489" s="164"/>
      <c r="AH2489" s="164"/>
      <c r="AI2489" s="164"/>
    </row>
    <row r="2490">
      <c r="A2490" s="154"/>
      <c r="B2490" s="155"/>
      <c r="C2490" s="156"/>
      <c r="D2490" s="156"/>
      <c r="E2490" s="155"/>
      <c r="F2490" s="156"/>
      <c r="G2490" s="154"/>
      <c r="H2490" s="157"/>
      <c r="I2490" s="158"/>
      <c r="J2490" s="159"/>
      <c r="K2490" s="156"/>
      <c r="L2490" s="156"/>
      <c r="M2490" s="155"/>
      <c r="N2490" s="160"/>
      <c r="O2490" s="161"/>
      <c r="P2490" s="161"/>
      <c r="Q2490" s="203"/>
      <c r="R2490" s="162"/>
      <c r="S2490" s="162"/>
      <c r="T2490" s="162"/>
      <c r="U2490" s="163"/>
      <c r="V2490" s="154"/>
      <c r="W2490" s="164"/>
      <c r="X2490" s="164"/>
      <c r="Y2490" s="164"/>
      <c r="Z2490" s="164"/>
      <c r="AA2490" s="164"/>
      <c r="AB2490" s="164"/>
      <c r="AC2490" s="164"/>
      <c r="AD2490" s="164"/>
      <c r="AE2490" s="164"/>
      <c r="AF2490" s="164"/>
      <c r="AG2490" s="164"/>
      <c r="AH2490" s="164"/>
      <c r="AI2490" s="164"/>
    </row>
    <row r="2491">
      <c r="A2491" s="154"/>
      <c r="B2491" s="155"/>
      <c r="C2491" s="156"/>
      <c r="D2491" s="156"/>
      <c r="E2491" s="155"/>
      <c r="F2491" s="156"/>
      <c r="G2491" s="154"/>
      <c r="H2491" s="157"/>
      <c r="I2491" s="158"/>
      <c r="J2491" s="159"/>
      <c r="K2491" s="156"/>
      <c r="L2491" s="156"/>
      <c r="M2491" s="155"/>
      <c r="N2491" s="160"/>
      <c r="O2491" s="161"/>
      <c r="P2491" s="161"/>
      <c r="Q2491" s="203"/>
      <c r="R2491" s="162"/>
      <c r="S2491" s="162"/>
      <c r="T2491" s="162"/>
      <c r="U2491" s="163"/>
      <c r="V2491" s="154"/>
      <c r="W2491" s="164"/>
      <c r="X2491" s="164"/>
      <c r="Y2491" s="164"/>
      <c r="Z2491" s="164"/>
      <c r="AA2491" s="164"/>
      <c r="AB2491" s="164"/>
      <c r="AC2491" s="164"/>
      <c r="AD2491" s="164"/>
      <c r="AE2491" s="164"/>
      <c r="AF2491" s="164"/>
      <c r="AG2491" s="164"/>
      <c r="AH2491" s="164"/>
      <c r="AI2491" s="164"/>
    </row>
    <row r="2492">
      <c r="A2492" s="154"/>
      <c r="B2492" s="155"/>
      <c r="C2492" s="156"/>
      <c r="D2492" s="156"/>
      <c r="E2492" s="155"/>
      <c r="F2492" s="156"/>
      <c r="G2492" s="154"/>
      <c r="H2492" s="157"/>
      <c r="I2492" s="158"/>
      <c r="J2492" s="159"/>
      <c r="K2492" s="156"/>
      <c r="L2492" s="156"/>
      <c r="M2492" s="155"/>
      <c r="N2492" s="160"/>
      <c r="O2492" s="161"/>
      <c r="P2492" s="161"/>
      <c r="Q2492" s="203"/>
      <c r="R2492" s="162"/>
      <c r="S2492" s="162"/>
      <c r="T2492" s="162"/>
      <c r="U2492" s="163"/>
      <c r="V2492" s="154"/>
      <c r="W2492" s="164"/>
      <c r="X2492" s="164"/>
      <c r="Y2492" s="164"/>
      <c r="Z2492" s="164"/>
      <c r="AA2492" s="164"/>
      <c r="AB2492" s="164"/>
      <c r="AC2492" s="164"/>
      <c r="AD2492" s="164"/>
      <c r="AE2492" s="164"/>
      <c r="AF2492" s="164"/>
      <c r="AG2492" s="164"/>
      <c r="AH2492" s="164"/>
      <c r="AI2492" s="164"/>
    </row>
    <row r="2493">
      <c r="A2493" s="154"/>
      <c r="B2493" s="155"/>
      <c r="C2493" s="156"/>
      <c r="D2493" s="156"/>
      <c r="E2493" s="155"/>
      <c r="F2493" s="156"/>
      <c r="G2493" s="154"/>
      <c r="H2493" s="157"/>
      <c r="I2493" s="158"/>
      <c r="J2493" s="159"/>
      <c r="K2493" s="156"/>
      <c r="L2493" s="156"/>
      <c r="M2493" s="155"/>
      <c r="N2493" s="160"/>
      <c r="O2493" s="161"/>
      <c r="P2493" s="161"/>
      <c r="Q2493" s="159"/>
      <c r="R2493" s="162"/>
      <c r="S2493" s="162"/>
      <c r="T2493" s="162"/>
      <c r="U2493" s="163"/>
      <c r="V2493" s="154"/>
      <c r="W2493" s="164"/>
      <c r="X2493" s="164"/>
      <c r="Y2493" s="164"/>
      <c r="Z2493" s="164"/>
      <c r="AA2493" s="164"/>
      <c r="AB2493" s="164"/>
      <c r="AC2493" s="164"/>
      <c r="AD2493" s="164"/>
      <c r="AE2493" s="164"/>
      <c r="AF2493" s="164"/>
      <c r="AG2493" s="164"/>
      <c r="AH2493" s="164"/>
      <c r="AI2493" s="164"/>
    </row>
    <row r="2494">
      <c r="A2494" s="154"/>
      <c r="B2494" s="155"/>
      <c r="C2494" s="156"/>
      <c r="D2494" s="156"/>
      <c r="E2494" s="155"/>
      <c r="F2494" s="156"/>
      <c r="G2494" s="154"/>
      <c r="H2494" s="157"/>
      <c r="I2494" s="158"/>
      <c r="J2494" s="159"/>
      <c r="K2494" s="156"/>
      <c r="L2494" s="156"/>
      <c r="M2494" s="155"/>
      <c r="N2494" s="160"/>
      <c r="O2494" s="161"/>
      <c r="P2494" s="161"/>
      <c r="Q2494" s="203"/>
      <c r="R2494" s="162"/>
      <c r="S2494" s="162"/>
      <c r="T2494" s="162"/>
      <c r="U2494" s="163"/>
      <c r="V2494" s="154"/>
      <c r="W2494" s="164"/>
      <c r="X2494" s="164"/>
      <c r="Y2494" s="164"/>
      <c r="Z2494" s="164"/>
      <c r="AA2494" s="164"/>
      <c r="AB2494" s="164"/>
      <c r="AC2494" s="164"/>
      <c r="AD2494" s="164"/>
      <c r="AE2494" s="164"/>
      <c r="AF2494" s="164"/>
      <c r="AG2494" s="164"/>
      <c r="AH2494" s="164"/>
      <c r="AI2494" s="164"/>
    </row>
    <row r="2495">
      <c r="A2495" s="154"/>
      <c r="B2495" s="155"/>
      <c r="C2495" s="156"/>
      <c r="D2495" s="156"/>
      <c r="E2495" s="155"/>
      <c r="F2495" s="156"/>
      <c r="G2495" s="154"/>
      <c r="H2495" s="157"/>
      <c r="I2495" s="158"/>
      <c r="J2495" s="159"/>
      <c r="K2495" s="156"/>
      <c r="L2495" s="156"/>
      <c r="M2495" s="155"/>
      <c r="N2495" s="160"/>
      <c r="O2495" s="161"/>
      <c r="P2495" s="161"/>
      <c r="Q2495" s="203"/>
      <c r="R2495" s="162"/>
      <c r="S2495" s="162"/>
      <c r="T2495" s="162"/>
      <c r="U2495" s="163"/>
      <c r="V2495" s="154"/>
      <c r="W2495" s="164"/>
      <c r="X2495" s="164"/>
      <c r="Y2495" s="164"/>
      <c r="Z2495" s="164"/>
      <c r="AA2495" s="164"/>
      <c r="AB2495" s="164"/>
      <c r="AC2495" s="164"/>
      <c r="AD2495" s="164"/>
      <c r="AE2495" s="164"/>
      <c r="AF2495" s="164"/>
      <c r="AG2495" s="164"/>
      <c r="AH2495" s="164"/>
      <c r="AI2495" s="164"/>
    </row>
    <row r="2496">
      <c r="A2496" s="154"/>
      <c r="B2496" s="155"/>
      <c r="C2496" s="156"/>
      <c r="D2496" s="156"/>
      <c r="E2496" s="155"/>
      <c r="F2496" s="156"/>
      <c r="G2496" s="154"/>
      <c r="H2496" s="157"/>
      <c r="I2496" s="158"/>
      <c r="J2496" s="159"/>
      <c r="K2496" s="156"/>
      <c r="L2496" s="156"/>
      <c r="M2496" s="155"/>
      <c r="N2496" s="160"/>
      <c r="O2496" s="161"/>
      <c r="P2496" s="161"/>
      <c r="Q2496" s="203"/>
      <c r="R2496" s="162"/>
      <c r="S2496" s="162"/>
      <c r="T2496" s="162"/>
      <c r="U2496" s="163"/>
      <c r="V2496" s="154"/>
      <c r="W2496" s="164"/>
      <c r="X2496" s="164"/>
      <c r="Y2496" s="164"/>
      <c r="Z2496" s="164"/>
      <c r="AA2496" s="164"/>
      <c r="AB2496" s="164"/>
      <c r="AC2496" s="164"/>
      <c r="AD2496" s="164"/>
      <c r="AE2496" s="164"/>
      <c r="AF2496" s="164"/>
      <c r="AG2496" s="164"/>
      <c r="AH2496" s="164"/>
      <c r="AI2496" s="164"/>
    </row>
    <row r="2497">
      <c r="A2497" s="154"/>
      <c r="B2497" s="155"/>
      <c r="C2497" s="156"/>
      <c r="D2497" s="156"/>
      <c r="E2497" s="155"/>
      <c r="F2497" s="156"/>
      <c r="G2497" s="154"/>
      <c r="H2497" s="157"/>
      <c r="I2497" s="158"/>
      <c r="J2497" s="159"/>
      <c r="K2497" s="156"/>
      <c r="L2497" s="156"/>
      <c r="M2497" s="155"/>
      <c r="N2497" s="160"/>
      <c r="O2497" s="161"/>
      <c r="P2497" s="161"/>
      <c r="Q2497" s="203"/>
      <c r="R2497" s="162"/>
      <c r="S2497" s="162"/>
      <c r="T2497" s="162"/>
      <c r="U2497" s="163"/>
      <c r="V2497" s="154"/>
      <c r="W2497" s="164"/>
      <c r="X2497" s="164"/>
      <c r="Y2497" s="164"/>
      <c r="Z2497" s="164"/>
      <c r="AA2497" s="164"/>
      <c r="AB2497" s="164"/>
      <c r="AC2497" s="164"/>
      <c r="AD2497" s="164"/>
      <c r="AE2497" s="164"/>
      <c r="AF2497" s="164"/>
      <c r="AG2497" s="164"/>
      <c r="AH2497" s="164"/>
      <c r="AI2497" s="164"/>
    </row>
    <row r="2498">
      <c r="A2498" s="165"/>
      <c r="B2498" s="166"/>
      <c r="C2498" s="166"/>
      <c r="D2498" s="166"/>
      <c r="E2498" s="166"/>
      <c r="F2498" s="166"/>
      <c r="G2498" s="165"/>
      <c r="H2498" s="167"/>
      <c r="I2498" s="168"/>
      <c r="J2498" s="169"/>
      <c r="K2498" s="166"/>
      <c r="L2498" s="166"/>
      <c r="M2498" s="205"/>
      <c r="N2498" s="170"/>
      <c r="O2498" s="171"/>
      <c r="P2498" s="171"/>
      <c r="Q2498" s="172"/>
      <c r="R2498" s="173"/>
      <c r="S2498" s="173"/>
      <c r="T2498" s="173"/>
      <c r="U2498" s="201"/>
      <c r="V2498" s="165"/>
      <c r="W2498" s="164"/>
      <c r="X2498" s="164"/>
      <c r="Y2498" s="164"/>
      <c r="Z2498" s="164"/>
      <c r="AA2498" s="164"/>
      <c r="AB2498" s="164"/>
      <c r="AC2498" s="164"/>
      <c r="AD2498" s="164"/>
      <c r="AE2498" s="164"/>
      <c r="AF2498" s="164"/>
      <c r="AG2498" s="164"/>
      <c r="AH2498" s="164"/>
      <c r="AI2498" s="164"/>
    </row>
    <row r="2499">
      <c r="A2499" s="154"/>
      <c r="B2499" s="155"/>
      <c r="C2499" s="156"/>
      <c r="D2499" s="156"/>
      <c r="E2499" s="155"/>
      <c r="F2499" s="156"/>
      <c r="G2499" s="154"/>
      <c r="H2499" s="157"/>
      <c r="I2499" s="158"/>
      <c r="J2499" s="159"/>
      <c r="K2499" s="156"/>
      <c r="L2499" s="156"/>
      <c r="M2499" s="155"/>
      <c r="N2499" s="160"/>
      <c r="O2499" s="161"/>
      <c r="P2499" s="161"/>
      <c r="Q2499" s="159"/>
      <c r="R2499" s="162"/>
      <c r="S2499" s="162"/>
      <c r="T2499" s="162"/>
      <c r="U2499" s="163"/>
      <c r="V2499" s="154"/>
      <c r="W2499" s="164"/>
      <c r="X2499" s="164"/>
      <c r="Y2499" s="164"/>
      <c r="Z2499" s="164"/>
      <c r="AA2499" s="164"/>
      <c r="AB2499" s="164"/>
      <c r="AC2499" s="164"/>
      <c r="AD2499" s="164"/>
      <c r="AE2499" s="164"/>
      <c r="AF2499" s="164"/>
      <c r="AG2499" s="164"/>
      <c r="AH2499" s="164"/>
      <c r="AI2499" s="164"/>
    </row>
    <row r="2500">
      <c r="A2500" s="154"/>
      <c r="B2500" s="155"/>
      <c r="C2500" s="156"/>
      <c r="D2500" s="156"/>
      <c r="E2500" s="155"/>
      <c r="F2500" s="156"/>
      <c r="G2500" s="154"/>
      <c r="H2500" s="157"/>
      <c r="I2500" s="158"/>
      <c r="J2500" s="159"/>
      <c r="K2500" s="156"/>
      <c r="L2500" s="156"/>
      <c r="M2500" s="155"/>
      <c r="N2500" s="160"/>
      <c r="O2500" s="161"/>
      <c r="P2500" s="161"/>
      <c r="Q2500" s="159"/>
      <c r="R2500" s="162"/>
      <c r="S2500" s="162"/>
      <c r="T2500" s="162"/>
      <c r="U2500" s="163"/>
      <c r="V2500" s="154"/>
      <c r="W2500" s="164"/>
      <c r="X2500" s="164"/>
      <c r="Y2500" s="164"/>
      <c r="Z2500" s="164"/>
      <c r="AA2500" s="164"/>
      <c r="AB2500" s="164"/>
      <c r="AC2500" s="164"/>
      <c r="AD2500" s="164"/>
      <c r="AE2500" s="164"/>
      <c r="AF2500" s="164"/>
      <c r="AG2500" s="164"/>
      <c r="AH2500" s="164"/>
      <c r="AI2500" s="164"/>
    </row>
    <row r="2501">
      <c r="A2501" s="154"/>
      <c r="B2501" s="155"/>
      <c r="C2501" s="156"/>
      <c r="D2501" s="156"/>
      <c r="E2501" s="155"/>
      <c r="F2501" s="156"/>
      <c r="G2501" s="154"/>
      <c r="H2501" s="157"/>
      <c r="I2501" s="158"/>
      <c r="J2501" s="159"/>
      <c r="K2501" s="156"/>
      <c r="L2501" s="156"/>
      <c r="M2501" s="155"/>
      <c r="N2501" s="160"/>
      <c r="O2501" s="161"/>
      <c r="P2501" s="161"/>
      <c r="Q2501" s="203"/>
      <c r="R2501" s="162"/>
      <c r="S2501" s="162"/>
      <c r="T2501" s="162"/>
      <c r="U2501" s="163"/>
      <c r="V2501" s="154"/>
      <c r="W2501" s="164"/>
      <c r="X2501" s="164"/>
      <c r="Y2501" s="164"/>
      <c r="Z2501" s="164"/>
      <c r="AA2501" s="164"/>
      <c r="AB2501" s="164"/>
      <c r="AC2501" s="164"/>
      <c r="AD2501" s="164"/>
      <c r="AE2501" s="164"/>
      <c r="AF2501" s="164"/>
      <c r="AG2501" s="164"/>
      <c r="AH2501" s="164"/>
      <c r="AI2501" s="164"/>
    </row>
    <row r="2502">
      <c r="A2502" s="154"/>
      <c r="B2502" s="155"/>
      <c r="C2502" s="156"/>
      <c r="D2502" s="156"/>
      <c r="E2502" s="155"/>
      <c r="F2502" s="156"/>
      <c r="G2502" s="154"/>
      <c r="H2502" s="157"/>
      <c r="I2502" s="158"/>
      <c r="J2502" s="159"/>
      <c r="K2502" s="156"/>
      <c r="L2502" s="156"/>
      <c r="M2502" s="202"/>
      <c r="N2502" s="160"/>
      <c r="O2502" s="161"/>
      <c r="P2502" s="161"/>
      <c r="Q2502" s="203"/>
      <c r="R2502" s="162"/>
      <c r="S2502" s="162"/>
      <c r="T2502" s="162"/>
      <c r="U2502" s="163"/>
      <c r="V2502" s="154"/>
      <c r="W2502" s="164"/>
      <c r="X2502" s="164"/>
      <c r="Y2502" s="164"/>
      <c r="Z2502" s="164"/>
      <c r="AA2502" s="164"/>
      <c r="AB2502" s="164"/>
      <c r="AC2502" s="164"/>
      <c r="AD2502" s="164"/>
      <c r="AE2502" s="164"/>
      <c r="AF2502" s="164"/>
      <c r="AG2502" s="164"/>
      <c r="AH2502" s="164"/>
      <c r="AI2502" s="164"/>
    </row>
    <row r="2503">
      <c r="A2503" s="154"/>
      <c r="B2503" s="155"/>
      <c r="C2503" s="156"/>
      <c r="D2503" s="156"/>
      <c r="E2503" s="155"/>
      <c r="F2503" s="156"/>
      <c r="G2503" s="154"/>
      <c r="H2503" s="157"/>
      <c r="I2503" s="158"/>
      <c r="J2503" s="159"/>
      <c r="K2503" s="156"/>
      <c r="L2503" s="156"/>
      <c r="M2503" s="155"/>
      <c r="N2503" s="160"/>
      <c r="O2503" s="161"/>
      <c r="P2503" s="161"/>
      <c r="Q2503" s="159"/>
      <c r="R2503" s="162"/>
      <c r="S2503" s="162"/>
      <c r="T2503" s="162"/>
      <c r="U2503" s="163"/>
      <c r="V2503" s="154"/>
      <c r="W2503" s="164"/>
      <c r="X2503" s="164"/>
      <c r="Y2503" s="164"/>
      <c r="Z2503" s="164"/>
      <c r="AA2503" s="164"/>
      <c r="AB2503" s="164"/>
      <c r="AC2503" s="164"/>
      <c r="AD2503" s="164"/>
      <c r="AE2503" s="164"/>
      <c r="AF2503" s="164"/>
      <c r="AG2503" s="164"/>
      <c r="AH2503" s="164"/>
      <c r="AI2503" s="164"/>
    </row>
    <row r="2504">
      <c r="A2504" s="154"/>
      <c r="B2504" s="155"/>
      <c r="C2504" s="156"/>
      <c r="D2504" s="156"/>
      <c r="E2504" s="155"/>
      <c r="F2504" s="156"/>
      <c r="G2504" s="154"/>
      <c r="H2504" s="157"/>
      <c r="I2504" s="158"/>
      <c r="J2504" s="159"/>
      <c r="K2504" s="156"/>
      <c r="L2504" s="156"/>
      <c r="M2504" s="155"/>
      <c r="N2504" s="160"/>
      <c r="O2504" s="161"/>
      <c r="P2504" s="161"/>
      <c r="Q2504" s="203"/>
      <c r="R2504" s="162"/>
      <c r="S2504" s="162"/>
      <c r="T2504" s="162"/>
      <c r="U2504" s="163"/>
      <c r="V2504" s="154"/>
      <c r="W2504" s="164"/>
      <c r="X2504" s="164"/>
      <c r="Y2504" s="164"/>
      <c r="Z2504" s="164"/>
      <c r="AA2504" s="164"/>
      <c r="AB2504" s="164"/>
      <c r="AC2504" s="164"/>
      <c r="AD2504" s="164"/>
      <c r="AE2504" s="164"/>
      <c r="AF2504" s="164"/>
      <c r="AG2504" s="164"/>
      <c r="AH2504" s="164"/>
      <c r="AI2504" s="164"/>
    </row>
    <row r="2505">
      <c r="A2505" s="154"/>
      <c r="B2505" s="155"/>
      <c r="C2505" s="156"/>
      <c r="D2505" s="156"/>
      <c r="E2505" s="155"/>
      <c r="F2505" s="156"/>
      <c r="G2505" s="154"/>
      <c r="H2505" s="157"/>
      <c r="I2505" s="158"/>
      <c r="J2505" s="159"/>
      <c r="K2505" s="156"/>
      <c r="L2505" s="156"/>
      <c r="M2505" s="155"/>
      <c r="N2505" s="160"/>
      <c r="O2505" s="161"/>
      <c r="P2505" s="161"/>
      <c r="Q2505" s="203"/>
      <c r="R2505" s="162"/>
      <c r="S2505" s="162"/>
      <c r="T2505" s="162"/>
      <c r="U2505" s="163"/>
      <c r="V2505" s="154"/>
      <c r="W2505" s="164"/>
      <c r="X2505" s="164"/>
      <c r="Y2505" s="164"/>
      <c r="Z2505" s="164"/>
      <c r="AA2505" s="164"/>
      <c r="AB2505" s="164"/>
      <c r="AC2505" s="164"/>
      <c r="AD2505" s="164"/>
      <c r="AE2505" s="164"/>
      <c r="AF2505" s="164"/>
      <c r="AG2505" s="164"/>
      <c r="AH2505" s="164"/>
      <c r="AI2505" s="164"/>
    </row>
    <row r="2506">
      <c r="A2506" s="176"/>
      <c r="B2506" s="177"/>
      <c r="C2506" s="178"/>
      <c r="D2506" s="178"/>
      <c r="E2506" s="177"/>
      <c r="F2506" s="178"/>
      <c r="G2506" s="176"/>
      <c r="H2506" s="179"/>
      <c r="I2506" s="180"/>
      <c r="J2506" s="181"/>
      <c r="K2506" s="178"/>
      <c r="L2506" s="178"/>
      <c r="M2506" s="182"/>
      <c r="N2506" s="183"/>
      <c r="O2506" s="184"/>
      <c r="P2506" s="184"/>
      <c r="Q2506" s="185"/>
      <c r="R2506" s="186"/>
      <c r="S2506" s="186"/>
      <c r="T2506" s="186"/>
      <c r="U2506" s="187"/>
      <c r="V2506" s="176"/>
      <c r="W2506" s="164"/>
      <c r="X2506" s="164"/>
      <c r="Y2506" s="164"/>
      <c r="Z2506" s="164"/>
      <c r="AA2506" s="164"/>
      <c r="AB2506" s="164"/>
      <c r="AC2506" s="164"/>
      <c r="AD2506" s="164"/>
      <c r="AE2506" s="164"/>
      <c r="AF2506" s="164"/>
      <c r="AG2506" s="164"/>
      <c r="AH2506" s="164"/>
      <c r="AI2506" s="164"/>
    </row>
    <row r="2507">
      <c r="A2507" s="154"/>
      <c r="B2507" s="155"/>
      <c r="C2507" s="156"/>
      <c r="D2507" s="156"/>
      <c r="E2507" s="155"/>
      <c r="F2507" s="156"/>
      <c r="G2507" s="154"/>
      <c r="H2507" s="157"/>
      <c r="I2507" s="158"/>
      <c r="J2507" s="159"/>
      <c r="K2507" s="156"/>
      <c r="L2507" s="156"/>
      <c r="M2507" s="202"/>
      <c r="N2507" s="160"/>
      <c r="O2507" s="161"/>
      <c r="P2507" s="161"/>
      <c r="Q2507" s="203"/>
      <c r="R2507" s="162"/>
      <c r="S2507" s="162"/>
      <c r="T2507" s="162"/>
      <c r="U2507" s="163"/>
      <c r="V2507" s="154"/>
      <c r="W2507" s="164"/>
      <c r="X2507" s="164"/>
      <c r="Y2507" s="164"/>
      <c r="Z2507" s="164"/>
      <c r="AA2507" s="164"/>
      <c r="AB2507" s="164"/>
      <c r="AC2507" s="164"/>
      <c r="AD2507" s="164"/>
      <c r="AE2507" s="164"/>
      <c r="AF2507" s="164"/>
      <c r="AG2507" s="164"/>
      <c r="AH2507" s="164"/>
      <c r="AI2507" s="164"/>
    </row>
    <row r="2508">
      <c r="A2508" s="154"/>
      <c r="B2508" s="155"/>
      <c r="C2508" s="156"/>
      <c r="D2508" s="156"/>
      <c r="E2508" s="155"/>
      <c r="F2508" s="156"/>
      <c r="G2508" s="154"/>
      <c r="H2508" s="157"/>
      <c r="I2508" s="158"/>
      <c r="J2508" s="159"/>
      <c r="K2508" s="156"/>
      <c r="L2508" s="156"/>
      <c r="M2508" s="202"/>
      <c r="N2508" s="160"/>
      <c r="O2508" s="161"/>
      <c r="P2508" s="161"/>
      <c r="Q2508" s="203"/>
      <c r="R2508" s="162"/>
      <c r="S2508" s="162"/>
      <c r="T2508" s="162"/>
      <c r="U2508" s="163"/>
      <c r="V2508" s="154"/>
      <c r="W2508" s="164"/>
      <c r="X2508" s="164"/>
      <c r="Y2508" s="164"/>
      <c r="Z2508" s="164"/>
      <c r="AA2508" s="164"/>
      <c r="AB2508" s="164"/>
      <c r="AC2508" s="164"/>
      <c r="AD2508" s="164"/>
      <c r="AE2508" s="164"/>
      <c r="AF2508" s="164"/>
      <c r="AG2508" s="164"/>
      <c r="AH2508" s="164"/>
      <c r="AI2508" s="164"/>
    </row>
    <row r="2509">
      <c r="A2509" s="154"/>
      <c r="B2509" s="155"/>
      <c r="C2509" s="156"/>
      <c r="D2509" s="156"/>
      <c r="E2509" s="155"/>
      <c r="F2509" s="156"/>
      <c r="G2509" s="154"/>
      <c r="H2509" s="157"/>
      <c r="I2509" s="158"/>
      <c r="J2509" s="159"/>
      <c r="K2509" s="156"/>
      <c r="L2509" s="156"/>
      <c r="M2509" s="155"/>
      <c r="N2509" s="160"/>
      <c r="O2509" s="161"/>
      <c r="P2509" s="161"/>
      <c r="Q2509" s="203"/>
      <c r="R2509" s="162"/>
      <c r="S2509" s="162"/>
      <c r="T2509" s="162"/>
      <c r="U2509" s="163"/>
      <c r="V2509" s="154"/>
      <c r="W2509" s="164"/>
      <c r="X2509" s="164"/>
      <c r="Y2509" s="164"/>
      <c r="Z2509" s="164"/>
      <c r="AA2509" s="164"/>
      <c r="AB2509" s="164"/>
      <c r="AC2509" s="164"/>
      <c r="AD2509" s="164"/>
      <c r="AE2509" s="164"/>
      <c r="AF2509" s="164"/>
      <c r="AG2509" s="164"/>
      <c r="AH2509" s="164"/>
      <c r="AI2509" s="164"/>
    </row>
    <row r="2510">
      <c r="A2510" s="154"/>
      <c r="B2510" s="155"/>
      <c r="C2510" s="156"/>
      <c r="D2510" s="156"/>
      <c r="E2510" s="155"/>
      <c r="F2510" s="156"/>
      <c r="G2510" s="154"/>
      <c r="H2510" s="157"/>
      <c r="I2510" s="158"/>
      <c r="J2510" s="159"/>
      <c r="K2510" s="156"/>
      <c r="L2510" s="156"/>
      <c r="M2510" s="202"/>
      <c r="N2510" s="160"/>
      <c r="O2510" s="161"/>
      <c r="P2510" s="161"/>
      <c r="Q2510" s="203"/>
      <c r="R2510" s="162"/>
      <c r="S2510" s="162"/>
      <c r="T2510" s="162"/>
      <c r="U2510" s="163"/>
      <c r="V2510" s="154"/>
      <c r="W2510" s="164"/>
      <c r="X2510" s="164"/>
      <c r="Y2510" s="164"/>
      <c r="Z2510" s="164"/>
      <c r="AA2510" s="164"/>
      <c r="AB2510" s="164"/>
      <c r="AC2510" s="164"/>
      <c r="AD2510" s="164"/>
      <c r="AE2510" s="164"/>
      <c r="AF2510" s="164"/>
      <c r="AG2510" s="164"/>
      <c r="AH2510" s="164"/>
      <c r="AI2510" s="164"/>
    </row>
    <row r="2511">
      <c r="A2511" s="154"/>
      <c r="B2511" s="155"/>
      <c r="C2511" s="156"/>
      <c r="D2511" s="156"/>
      <c r="E2511" s="155"/>
      <c r="F2511" s="156"/>
      <c r="G2511" s="154"/>
      <c r="H2511" s="157"/>
      <c r="I2511" s="158"/>
      <c r="J2511" s="159"/>
      <c r="K2511" s="156"/>
      <c r="L2511" s="156"/>
      <c r="M2511" s="202"/>
      <c r="N2511" s="160"/>
      <c r="O2511" s="161"/>
      <c r="P2511" s="161"/>
      <c r="Q2511" s="203"/>
      <c r="R2511" s="162"/>
      <c r="S2511" s="162"/>
      <c r="T2511" s="162"/>
      <c r="U2511" s="163"/>
      <c r="V2511" s="154"/>
      <c r="W2511" s="164"/>
      <c r="X2511" s="164"/>
      <c r="Y2511" s="164"/>
      <c r="Z2511" s="164"/>
      <c r="AA2511" s="164"/>
      <c r="AB2511" s="164"/>
      <c r="AC2511" s="164"/>
      <c r="AD2511" s="164"/>
      <c r="AE2511" s="164"/>
      <c r="AF2511" s="164"/>
      <c r="AG2511" s="164"/>
      <c r="AH2511" s="164"/>
      <c r="AI2511" s="164"/>
    </row>
    <row r="2512">
      <c r="A2512" s="154"/>
      <c r="B2512" s="155"/>
      <c r="C2512" s="156"/>
      <c r="D2512" s="156"/>
      <c r="E2512" s="155"/>
      <c r="F2512" s="156"/>
      <c r="G2512" s="154"/>
      <c r="H2512" s="157"/>
      <c r="I2512" s="158"/>
      <c r="J2512" s="159"/>
      <c r="K2512" s="156"/>
      <c r="L2512" s="156"/>
      <c r="M2512" s="155"/>
      <c r="N2512" s="160"/>
      <c r="O2512" s="161"/>
      <c r="P2512" s="161"/>
      <c r="Q2512" s="159"/>
      <c r="R2512" s="162"/>
      <c r="S2512" s="162"/>
      <c r="T2512" s="162"/>
      <c r="U2512" s="163"/>
      <c r="V2512" s="154"/>
      <c r="W2512" s="164"/>
      <c r="X2512" s="164"/>
      <c r="Y2512" s="164"/>
      <c r="Z2512" s="164"/>
      <c r="AA2512" s="164"/>
      <c r="AB2512" s="164"/>
      <c r="AC2512" s="164"/>
      <c r="AD2512" s="164"/>
      <c r="AE2512" s="164"/>
      <c r="AF2512" s="164"/>
      <c r="AG2512" s="164"/>
      <c r="AH2512" s="164"/>
      <c r="AI2512" s="164"/>
    </row>
    <row r="2513">
      <c r="A2513" s="154"/>
      <c r="B2513" s="155"/>
      <c r="C2513" s="156"/>
      <c r="D2513" s="156"/>
      <c r="E2513" s="155"/>
      <c r="F2513" s="156"/>
      <c r="G2513" s="154"/>
      <c r="H2513" s="157"/>
      <c r="I2513" s="158"/>
      <c r="J2513" s="159"/>
      <c r="K2513" s="156"/>
      <c r="L2513" s="156"/>
      <c r="M2513" s="202"/>
      <c r="N2513" s="160"/>
      <c r="O2513" s="161"/>
      <c r="P2513" s="161"/>
      <c r="Q2513" s="203"/>
      <c r="R2513" s="162"/>
      <c r="S2513" s="162"/>
      <c r="T2513" s="162"/>
      <c r="U2513" s="163"/>
      <c r="V2513" s="154"/>
      <c r="W2513" s="164"/>
      <c r="X2513" s="164"/>
      <c r="Y2513" s="164"/>
      <c r="Z2513" s="164"/>
      <c r="AA2513" s="164"/>
      <c r="AB2513" s="164"/>
      <c r="AC2513" s="164"/>
      <c r="AD2513" s="164"/>
      <c r="AE2513" s="164"/>
      <c r="AF2513" s="164"/>
      <c r="AG2513" s="164"/>
      <c r="AH2513" s="164"/>
      <c r="AI2513" s="164"/>
    </row>
    <row r="2514">
      <c r="A2514" s="154"/>
      <c r="B2514" s="155"/>
      <c r="C2514" s="156"/>
      <c r="D2514" s="156"/>
      <c r="E2514" s="155"/>
      <c r="F2514" s="156"/>
      <c r="G2514" s="154"/>
      <c r="H2514" s="157"/>
      <c r="I2514" s="158"/>
      <c r="J2514" s="159"/>
      <c r="K2514" s="156"/>
      <c r="L2514" s="156"/>
      <c r="M2514" s="202"/>
      <c r="N2514" s="160"/>
      <c r="O2514" s="161"/>
      <c r="P2514" s="161"/>
      <c r="Q2514" s="203"/>
      <c r="R2514" s="162"/>
      <c r="S2514" s="162"/>
      <c r="T2514" s="162"/>
      <c r="U2514" s="163"/>
      <c r="V2514" s="154"/>
      <c r="W2514" s="164"/>
      <c r="X2514" s="164"/>
      <c r="Y2514" s="164"/>
      <c r="Z2514" s="164"/>
      <c r="AA2514" s="164"/>
      <c r="AB2514" s="164"/>
      <c r="AC2514" s="164"/>
      <c r="AD2514" s="164"/>
      <c r="AE2514" s="164"/>
      <c r="AF2514" s="164"/>
      <c r="AG2514" s="164"/>
      <c r="AH2514" s="164"/>
      <c r="AI2514" s="164"/>
    </row>
    <row r="2515">
      <c r="A2515" s="154"/>
      <c r="B2515" s="155"/>
      <c r="C2515" s="156"/>
      <c r="D2515" s="156"/>
      <c r="E2515" s="155"/>
      <c r="F2515" s="156"/>
      <c r="G2515" s="154"/>
      <c r="H2515" s="157"/>
      <c r="I2515" s="158"/>
      <c r="J2515" s="159"/>
      <c r="K2515" s="156"/>
      <c r="L2515" s="156"/>
      <c r="M2515" s="202"/>
      <c r="N2515" s="160"/>
      <c r="O2515" s="161"/>
      <c r="P2515" s="161"/>
      <c r="Q2515" s="203"/>
      <c r="R2515" s="162"/>
      <c r="S2515" s="162"/>
      <c r="T2515" s="162"/>
      <c r="U2515" s="163"/>
      <c r="V2515" s="154"/>
      <c r="W2515" s="164"/>
      <c r="X2515" s="164"/>
      <c r="Y2515" s="164"/>
      <c r="Z2515" s="164"/>
      <c r="AA2515" s="164"/>
      <c r="AB2515" s="164"/>
      <c r="AC2515" s="164"/>
      <c r="AD2515" s="164"/>
      <c r="AE2515" s="164"/>
      <c r="AF2515" s="164"/>
      <c r="AG2515" s="164"/>
      <c r="AH2515" s="164"/>
      <c r="AI2515" s="164"/>
    </row>
    <row r="2516">
      <c r="A2516" s="154"/>
      <c r="B2516" s="155"/>
      <c r="C2516" s="156"/>
      <c r="D2516" s="156"/>
      <c r="E2516" s="155"/>
      <c r="F2516" s="156"/>
      <c r="G2516" s="154"/>
      <c r="H2516" s="157"/>
      <c r="I2516" s="158"/>
      <c r="J2516" s="159"/>
      <c r="K2516" s="156"/>
      <c r="L2516" s="156"/>
      <c r="M2516" s="202"/>
      <c r="N2516" s="160"/>
      <c r="O2516" s="161"/>
      <c r="P2516" s="161"/>
      <c r="Q2516" s="203"/>
      <c r="R2516" s="162"/>
      <c r="S2516" s="162"/>
      <c r="T2516" s="162"/>
      <c r="U2516" s="163"/>
      <c r="V2516" s="154"/>
      <c r="W2516" s="164"/>
      <c r="X2516" s="164"/>
      <c r="Y2516" s="164"/>
      <c r="Z2516" s="164"/>
      <c r="AA2516" s="164"/>
      <c r="AB2516" s="164"/>
      <c r="AC2516" s="164"/>
      <c r="AD2516" s="164"/>
      <c r="AE2516" s="164"/>
      <c r="AF2516" s="164"/>
      <c r="AG2516" s="164"/>
      <c r="AH2516" s="164"/>
      <c r="AI2516" s="164"/>
    </row>
    <row r="2517">
      <c r="A2517" s="154"/>
      <c r="B2517" s="155"/>
      <c r="C2517" s="156"/>
      <c r="D2517" s="156"/>
      <c r="E2517" s="155"/>
      <c r="F2517" s="156"/>
      <c r="G2517" s="154"/>
      <c r="H2517" s="157"/>
      <c r="I2517" s="158"/>
      <c r="J2517" s="159"/>
      <c r="K2517" s="156"/>
      <c r="L2517" s="156"/>
      <c r="M2517" s="202"/>
      <c r="N2517" s="160"/>
      <c r="O2517" s="161"/>
      <c r="P2517" s="161"/>
      <c r="Q2517" s="203"/>
      <c r="R2517" s="162"/>
      <c r="S2517" s="162"/>
      <c r="T2517" s="186"/>
      <c r="U2517" s="187"/>
      <c r="V2517" s="189"/>
      <c r="W2517" s="164"/>
      <c r="X2517" s="164"/>
      <c r="Y2517" s="164"/>
      <c r="Z2517" s="164"/>
      <c r="AA2517" s="164"/>
      <c r="AB2517" s="164"/>
      <c r="AC2517" s="164"/>
      <c r="AD2517" s="164"/>
      <c r="AE2517" s="164"/>
      <c r="AF2517" s="164"/>
      <c r="AG2517" s="164"/>
      <c r="AH2517" s="164"/>
      <c r="AI2517" s="164"/>
    </row>
    <row r="2518">
      <c r="A2518" s="154"/>
      <c r="B2518" s="155"/>
      <c r="C2518" s="156"/>
      <c r="D2518" s="156"/>
      <c r="E2518" s="155"/>
      <c r="F2518" s="156"/>
      <c r="G2518" s="154"/>
      <c r="H2518" s="157"/>
      <c r="I2518" s="158"/>
      <c r="J2518" s="159"/>
      <c r="K2518" s="156"/>
      <c r="L2518" s="156"/>
      <c r="M2518" s="202"/>
      <c r="N2518" s="160"/>
      <c r="O2518" s="161"/>
      <c r="P2518" s="161"/>
      <c r="Q2518" s="203"/>
      <c r="R2518" s="162"/>
      <c r="S2518" s="162"/>
      <c r="T2518" s="162"/>
      <c r="U2518" s="163"/>
      <c r="V2518" s="154"/>
      <c r="W2518" s="164"/>
      <c r="X2518" s="164"/>
      <c r="Y2518" s="164"/>
      <c r="Z2518" s="164"/>
      <c r="AA2518" s="164"/>
      <c r="AB2518" s="164"/>
      <c r="AC2518" s="164"/>
      <c r="AD2518" s="164"/>
      <c r="AE2518" s="164"/>
      <c r="AF2518" s="164"/>
      <c r="AG2518" s="164"/>
      <c r="AH2518" s="164"/>
      <c r="AI2518" s="164"/>
    </row>
    <row r="2519">
      <c r="A2519" s="154"/>
      <c r="B2519" s="155"/>
      <c r="C2519" s="156"/>
      <c r="D2519" s="156"/>
      <c r="E2519" s="155"/>
      <c r="F2519" s="156"/>
      <c r="G2519" s="154"/>
      <c r="H2519" s="157"/>
      <c r="I2519" s="158"/>
      <c r="J2519" s="159"/>
      <c r="K2519" s="156"/>
      <c r="L2519" s="156"/>
      <c r="M2519" s="202"/>
      <c r="N2519" s="160"/>
      <c r="O2519" s="161"/>
      <c r="P2519" s="161"/>
      <c r="Q2519" s="203"/>
      <c r="R2519" s="162"/>
      <c r="S2519" s="162"/>
      <c r="T2519" s="162"/>
      <c r="U2519" s="163"/>
      <c r="V2519" s="154"/>
      <c r="W2519" s="164"/>
      <c r="X2519" s="164"/>
      <c r="Y2519" s="164"/>
      <c r="Z2519" s="164"/>
      <c r="AA2519" s="164"/>
      <c r="AB2519" s="164"/>
      <c r="AC2519" s="164"/>
      <c r="AD2519" s="164"/>
      <c r="AE2519" s="164"/>
      <c r="AF2519" s="164"/>
      <c r="AG2519" s="164"/>
      <c r="AH2519" s="164"/>
      <c r="AI2519" s="164"/>
    </row>
    <row r="2520">
      <c r="A2520" s="154"/>
      <c r="B2520" s="155"/>
      <c r="C2520" s="156"/>
      <c r="D2520" s="156"/>
      <c r="E2520" s="155"/>
      <c r="F2520" s="156"/>
      <c r="G2520" s="154"/>
      <c r="H2520" s="157"/>
      <c r="I2520" s="158"/>
      <c r="J2520" s="159"/>
      <c r="K2520" s="156"/>
      <c r="L2520" s="156"/>
      <c r="M2520" s="202"/>
      <c r="N2520" s="160"/>
      <c r="O2520" s="161"/>
      <c r="P2520" s="161"/>
      <c r="Q2520" s="203"/>
      <c r="R2520" s="162"/>
      <c r="S2520" s="162"/>
      <c r="T2520" s="162"/>
      <c r="U2520" s="163"/>
      <c r="V2520" s="154"/>
      <c r="W2520" s="164"/>
      <c r="X2520" s="164"/>
      <c r="Y2520" s="164"/>
      <c r="Z2520" s="164"/>
      <c r="AA2520" s="164"/>
      <c r="AB2520" s="164"/>
      <c r="AC2520" s="164"/>
      <c r="AD2520" s="164"/>
      <c r="AE2520" s="164"/>
      <c r="AF2520" s="164"/>
      <c r="AG2520" s="164"/>
      <c r="AH2520" s="164"/>
      <c r="AI2520" s="164"/>
    </row>
    <row r="2521">
      <c r="A2521" s="154"/>
      <c r="B2521" s="155"/>
      <c r="C2521" s="156"/>
      <c r="D2521" s="156"/>
      <c r="E2521" s="155"/>
      <c r="F2521" s="156"/>
      <c r="G2521" s="154"/>
      <c r="H2521" s="157"/>
      <c r="I2521" s="158"/>
      <c r="J2521" s="159"/>
      <c r="K2521" s="156"/>
      <c r="L2521" s="156"/>
      <c r="M2521" s="155"/>
      <c r="N2521" s="160"/>
      <c r="O2521" s="161"/>
      <c r="P2521" s="161"/>
      <c r="Q2521" s="203"/>
      <c r="R2521" s="162"/>
      <c r="S2521" s="162"/>
      <c r="T2521" s="162"/>
      <c r="U2521" s="163"/>
      <c r="V2521" s="154"/>
      <c r="W2521" s="164"/>
      <c r="X2521" s="164"/>
      <c r="Y2521" s="164"/>
      <c r="Z2521" s="164"/>
      <c r="AA2521" s="164"/>
      <c r="AB2521" s="164"/>
      <c r="AC2521" s="164"/>
      <c r="AD2521" s="164"/>
      <c r="AE2521" s="164"/>
      <c r="AF2521" s="164"/>
      <c r="AG2521" s="164"/>
      <c r="AH2521" s="164"/>
      <c r="AI2521" s="164"/>
    </row>
    <row r="2522">
      <c r="A2522" s="154"/>
      <c r="B2522" s="155"/>
      <c r="C2522" s="156"/>
      <c r="D2522" s="156"/>
      <c r="E2522" s="155"/>
      <c r="F2522" s="156"/>
      <c r="G2522" s="154"/>
      <c r="H2522" s="157"/>
      <c r="I2522" s="158"/>
      <c r="J2522" s="159"/>
      <c r="K2522" s="156"/>
      <c r="L2522" s="156"/>
      <c r="M2522" s="155"/>
      <c r="N2522" s="160"/>
      <c r="O2522" s="161"/>
      <c r="P2522" s="161"/>
      <c r="Q2522" s="203"/>
      <c r="R2522" s="162"/>
      <c r="S2522" s="162"/>
      <c r="T2522" s="162"/>
      <c r="U2522" s="163"/>
      <c r="V2522" s="154"/>
      <c r="W2522" s="164"/>
      <c r="X2522" s="164"/>
      <c r="Y2522" s="164"/>
      <c r="Z2522" s="164"/>
      <c r="AA2522" s="164"/>
      <c r="AB2522" s="164"/>
      <c r="AC2522" s="164"/>
      <c r="AD2522" s="164"/>
      <c r="AE2522" s="164"/>
      <c r="AF2522" s="164"/>
      <c r="AG2522" s="164"/>
      <c r="AH2522" s="164"/>
      <c r="AI2522" s="164"/>
    </row>
    <row r="2523">
      <c r="A2523" s="154"/>
      <c r="B2523" s="155"/>
      <c r="C2523" s="156"/>
      <c r="D2523" s="156"/>
      <c r="E2523" s="155"/>
      <c r="F2523" s="156"/>
      <c r="G2523" s="154"/>
      <c r="H2523" s="157"/>
      <c r="I2523" s="158"/>
      <c r="J2523" s="159"/>
      <c r="K2523" s="156"/>
      <c r="L2523" s="156"/>
      <c r="M2523" s="202"/>
      <c r="N2523" s="160"/>
      <c r="O2523" s="161"/>
      <c r="P2523" s="161"/>
      <c r="Q2523" s="203"/>
      <c r="R2523" s="162"/>
      <c r="S2523" s="162"/>
      <c r="T2523" s="162"/>
      <c r="U2523" s="163"/>
      <c r="V2523" s="154"/>
      <c r="W2523" s="164"/>
      <c r="X2523" s="164"/>
      <c r="Y2523" s="164"/>
      <c r="Z2523" s="164"/>
      <c r="AA2523" s="164"/>
      <c r="AB2523" s="164"/>
      <c r="AC2523" s="164"/>
      <c r="AD2523" s="164"/>
      <c r="AE2523" s="164"/>
      <c r="AF2523" s="164"/>
      <c r="AG2523" s="164"/>
      <c r="AH2523" s="164"/>
      <c r="AI2523" s="164"/>
    </row>
    <row r="2524">
      <c r="A2524" s="154"/>
      <c r="B2524" s="155"/>
      <c r="C2524" s="156"/>
      <c r="D2524" s="156"/>
      <c r="E2524" s="155"/>
      <c r="F2524" s="156"/>
      <c r="G2524" s="154"/>
      <c r="H2524" s="157"/>
      <c r="I2524" s="158"/>
      <c r="J2524" s="159"/>
      <c r="K2524" s="156"/>
      <c r="L2524" s="156"/>
      <c r="M2524" s="202"/>
      <c r="N2524" s="160"/>
      <c r="O2524" s="161"/>
      <c r="P2524" s="161"/>
      <c r="Q2524" s="203"/>
      <c r="R2524" s="162"/>
      <c r="S2524" s="162"/>
      <c r="T2524" s="162"/>
      <c r="U2524" s="163"/>
      <c r="V2524" s="154"/>
      <c r="W2524" s="164"/>
      <c r="X2524" s="164"/>
      <c r="Y2524" s="164"/>
      <c r="Z2524" s="164"/>
      <c r="AA2524" s="164"/>
      <c r="AB2524" s="164"/>
      <c r="AC2524" s="164"/>
      <c r="AD2524" s="164"/>
      <c r="AE2524" s="164"/>
      <c r="AF2524" s="164"/>
      <c r="AG2524" s="164"/>
      <c r="AH2524" s="164"/>
      <c r="AI2524" s="164"/>
    </row>
    <row r="2525">
      <c r="A2525" s="154"/>
      <c r="B2525" s="155"/>
      <c r="C2525" s="156"/>
      <c r="D2525" s="156"/>
      <c r="E2525" s="155"/>
      <c r="F2525" s="156"/>
      <c r="G2525" s="154"/>
      <c r="H2525" s="157"/>
      <c r="I2525" s="158"/>
      <c r="J2525" s="159"/>
      <c r="K2525" s="156"/>
      <c r="L2525" s="156"/>
      <c r="M2525" s="202"/>
      <c r="N2525" s="160"/>
      <c r="O2525" s="161"/>
      <c r="P2525" s="161"/>
      <c r="Q2525" s="203"/>
      <c r="R2525" s="162"/>
      <c r="S2525" s="162"/>
      <c r="T2525" s="162"/>
      <c r="U2525" s="163"/>
      <c r="V2525" s="154"/>
      <c r="W2525" s="164"/>
      <c r="X2525" s="164"/>
      <c r="Y2525" s="164"/>
      <c r="Z2525" s="164"/>
      <c r="AA2525" s="164"/>
      <c r="AB2525" s="164"/>
      <c r="AC2525" s="164"/>
      <c r="AD2525" s="164"/>
      <c r="AE2525" s="164"/>
      <c r="AF2525" s="164"/>
      <c r="AG2525" s="164"/>
      <c r="AH2525" s="164"/>
      <c r="AI2525" s="164"/>
    </row>
    <row r="2526">
      <c r="A2526" s="154"/>
      <c r="B2526" s="155"/>
      <c r="C2526" s="156"/>
      <c r="D2526" s="156"/>
      <c r="E2526" s="155"/>
      <c r="F2526" s="156"/>
      <c r="G2526" s="154"/>
      <c r="H2526" s="157"/>
      <c r="I2526" s="158"/>
      <c r="J2526" s="159"/>
      <c r="K2526" s="156"/>
      <c r="L2526" s="156"/>
      <c r="M2526" s="202"/>
      <c r="N2526" s="160"/>
      <c r="O2526" s="161"/>
      <c r="P2526" s="161"/>
      <c r="Q2526" s="203"/>
      <c r="R2526" s="162"/>
      <c r="S2526" s="162"/>
      <c r="T2526" s="162"/>
      <c r="U2526" s="163"/>
      <c r="V2526" s="154"/>
      <c r="W2526" s="164"/>
      <c r="X2526" s="164"/>
      <c r="Y2526" s="164"/>
      <c r="Z2526" s="164"/>
      <c r="AA2526" s="164"/>
      <c r="AB2526" s="164"/>
      <c r="AC2526" s="164"/>
      <c r="AD2526" s="164"/>
      <c r="AE2526" s="164"/>
      <c r="AF2526" s="164"/>
      <c r="AG2526" s="164"/>
      <c r="AH2526" s="164"/>
      <c r="AI2526" s="164"/>
    </row>
    <row r="2527">
      <c r="A2527" s="154"/>
      <c r="B2527" s="155"/>
      <c r="C2527" s="156"/>
      <c r="D2527" s="156"/>
      <c r="E2527" s="155"/>
      <c r="F2527" s="156"/>
      <c r="G2527" s="154"/>
      <c r="H2527" s="157"/>
      <c r="I2527" s="158"/>
      <c r="J2527" s="159"/>
      <c r="K2527" s="156"/>
      <c r="L2527" s="156"/>
      <c r="M2527" s="202"/>
      <c r="N2527" s="160"/>
      <c r="O2527" s="161"/>
      <c r="P2527" s="161"/>
      <c r="Q2527" s="203"/>
      <c r="R2527" s="162"/>
      <c r="S2527" s="162"/>
      <c r="T2527" s="162"/>
      <c r="U2527" s="163"/>
      <c r="V2527" s="154"/>
      <c r="W2527" s="164"/>
      <c r="X2527" s="164"/>
      <c r="Y2527" s="164"/>
      <c r="Z2527" s="164"/>
      <c r="AA2527" s="164"/>
      <c r="AB2527" s="164"/>
      <c r="AC2527" s="164"/>
      <c r="AD2527" s="164"/>
      <c r="AE2527" s="164"/>
      <c r="AF2527" s="164"/>
      <c r="AG2527" s="164"/>
      <c r="AH2527" s="164"/>
      <c r="AI2527" s="164"/>
    </row>
    <row r="2528">
      <c r="A2528" s="154"/>
      <c r="B2528" s="155"/>
      <c r="C2528" s="156"/>
      <c r="D2528" s="156"/>
      <c r="E2528" s="155"/>
      <c r="F2528" s="156"/>
      <c r="G2528" s="154"/>
      <c r="H2528" s="157"/>
      <c r="I2528" s="158"/>
      <c r="J2528" s="159"/>
      <c r="K2528" s="156"/>
      <c r="L2528" s="156"/>
      <c r="M2528" s="202"/>
      <c r="N2528" s="160"/>
      <c r="O2528" s="161"/>
      <c r="P2528" s="161"/>
      <c r="Q2528" s="203"/>
      <c r="R2528" s="162"/>
      <c r="S2528" s="162"/>
      <c r="T2528" s="162"/>
      <c r="U2528" s="163"/>
      <c r="V2528" s="154"/>
      <c r="W2528" s="164"/>
      <c r="X2528" s="164"/>
      <c r="Y2528" s="164"/>
      <c r="Z2528" s="164"/>
      <c r="AA2528" s="164"/>
      <c r="AB2528" s="164"/>
      <c r="AC2528" s="164"/>
      <c r="AD2528" s="164"/>
      <c r="AE2528" s="164"/>
      <c r="AF2528" s="164"/>
      <c r="AG2528" s="164"/>
      <c r="AH2528" s="164"/>
      <c r="AI2528" s="164"/>
    </row>
    <row r="2529">
      <c r="A2529" s="154"/>
      <c r="B2529" s="155"/>
      <c r="C2529" s="156"/>
      <c r="D2529" s="156"/>
      <c r="E2529" s="155"/>
      <c r="F2529" s="156"/>
      <c r="G2529" s="154"/>
      <c r="H2529" s="157"/>
      <c r="I2529" s="158"/>
      <c r="J2529" s="159"/>
      <c r="K2529" s="156"/>
      <c r="L2529" s="156"/>
      <c r="M2529" s="202"/>
      <c r="N2529" s="160"/>
      <c r="O2529" s="161"/>
      <c r="P2529" s="161"/>
      <c r="Q2529" s="203"/>
      <c r="R2529" s="162"/>
      <c r="S2529" s="162"/>
      <c r="T2529" s="162"/>
      <c r="U2529" s="163"/>
      <c r="V2529" s="154"/>
      <c r="W2529" s="164"/>
      <c r="X2529" s="164"/>
      <c r="Y2529" s="164"/>
      <c r="Z2529" s="164"/>
      <c r="AA2529" s="164"/>
      <c r="AB2529" s="164"/>
      <c r="AC2529" s="164"/>
      <c r="AD2529" s="164"/>
      <c r="AE2529" s="164"/>
      <c r="AF2529" s="164"/>
      <c r="AG2529" s="164"/>
      <c r="AH2529" s="164"/>
      <c r="AI2529" s="164"/>
    </row>
    <row r="2530">
      <c r="A2530" s="154"/>
      <c r="B2530" s="155"/>
      <c r="C2530" s="156"/>
      <c r="D2530" s="156"/>
      <c r="E2530" s="155"/>
      <c r="F2530" s="156"/>
      <c r="G2530" s="154"/>
      <c r="H2530" s="157"/>
      <c r="I2530" s="158"/>
      <c r="J2530" s="159"/>
      <c r="K2530" s="156"/>
      <c r="L2530" s="156"/>
      <c r="M2530" s="202"/>
      <c r="N2530" s="160"/>
      <c r="O2530" s="161"/>
      <c r="P2530" s="161"/>
      <c r="Q2530" s="203"/>
      <c r="R2530" s="162"/>
      <c r="S2530" s="162"/>
      <c r="T2530" s="162"/>
      <c r="U2530" s="163"/>
      <c r="V2530" s="154"/>
      <c r="W2530" s="164"/>
      <c r="X2530" s="164"/>
      <c r="Y2530" s="164"/>
      <c r="Z2530" s="164"/>
      <c r="AA2530" s="164"/>
      <c r="AB2530" s="164"/>
      <c r="AC2530" s="164"/>
      <c r="AD2530" s="164"/>
      <c r="AE2530" s="164"/>
      <c r="AF2530" s="164"/>
      <c r="AG2530" s="164"/>
      <c r="AH2530" s="164"/>
      <c r="AI2530" s="164"/>
    </row>
    <row r="2531">
      <c r="A2531" s="154"/>
      <c r="B2531" s="155"/>
      <c r="C2531" s="156"/>
      <c r="D2531" s="156"/>
      <c r="E2531" s="155"/>
      <c r="F2531" s="156"/>
      <c r="G2531" s="154"/>
      <c r="H2531" s="157"/>
      <c r="I2531" s="158"/>
      <c r="J2531" s="159"/>
      <c r="K2531" s="156"/>
      <c r="L2531" s="156"/>
      <c r="M2531" s="202"/>
      <c r="N2531" s="160"/>
      <c r="O2531" s="161"/>
      <c r="P2531" s="161"/>
      <c r="Q2531" s="203"/>
      <c r="R2531" s="162"/>
      <c r="S2531" s="162"/>
      <c r="T2531" s="162"/>
      <c r="U2531" s="163"/>
      <c r="V2531" s="154"/>
      <c r="W2531" s="164"/>
      <c r="X2531" s="164"/>
      <c r="Y2531" s="164"/>
      <c r="Z2531" s="164"/>
      <c r="AA2531" s="164"/>
      <c r="AB2531" s="164"/>
      <c r="AC2531" s="164"/>
      <c r="AD2531" s="164"/>
      <c r="AE2531" s="164"/>
      <c r="AF2531" s="164"/>
      <c r="AG2531" s="164"/>
      <c r="AH2531" s="164"/>
      <c r="AI2531" s="164"/>
    </row>
    <row r="2532">
      <c r="A2532" s="154"/>
      <c r="B2532" s="155"/>
      <c r="C2532" s="156"/>
      <c r="D2532" s="156"/>
      <c r="E2532" s="155"/>
      <c r="F2532" s="156"/>
      <c r="G2532" s="154"/>
      <c r="H2532" s="157"/>
      <c r="I2532" s="158"/>
      <c r="J2532" s="159"/>
      <c r="K2532" s="156"/>
      <c r="L2532" s="156"/>
      <c r="M2532" s="202"/>
      <c r="N2532" s="160"/>
      <c r="O2532" s="161"/>
      <c r="P2532" s="161"/>
      <c r="Q2532" s="203"/>
      <c r="R2532" s="162"/>
      <c r="S2532" s="162"/>
      <c r="T2532" s="162"/>
      <c r="U2532" s="163"/>
      <c r="V2532" s="154"/>
      <c r="W2532" s="164"/>
      <c r="X2532" s="164"/>
      <c r="Y2532" s="164"/>
      <c r="Z2532" s="164"/>
      <c r="AA2532" s="164"/>
      <c r="AB2532" s="164"/>
      <c r="AC2532" s="164"/>
      <c r="AD2532" s="164"/>
      <c r="AE2532" s="164"/>
      <c r="AF2532" s="164"/>
      <c r="AG2532" s="164"/>
      <c r="AH2532" s="164"/>
      <c r="AI2532" s="164"/>
    </row>
    <row r="2533">
      <c r="A2533" s="154"/>
      <c r="B2533" s="155"/>
      <c r="C2533" s="156"/>
      <c r="D2533" s="156"/>
      <c r="E2533" s="155"/>
      <c r="F2533" s="156"/>
      <c r="G2533" s="154"/>
      <c r="H2533" s="157"/>
      <c r="I2533" s="158"/>
      <c r="J2533" s="159"/>
      <c r="K2533" s="156"/>
      <c r="L2533" s="156"/>
      <c r="M2533" s="202"/>
      <c r="N2533" s="160"/>
      <c r="O2533" s="161"/>
      <c r="P2533" s="161"/>
      <c r="Q2533" s="203"/>
      <c r="R2533" s="162"/>
      <c r="S2533" s="162"/>
      <c r="T2533" s="162"/>
      <c r="U2533" s="163"/>
      <c r="V2533" s="154"/>
      <c r="W2533" s="164"/>
      <c r="X2533" s="164"/>
      <c r="Y2533" s="164"/>
      <c r="Z2533" s="164"/>
      <c r="AA2533" s="164"/>
      <c r="AB2533" s="164"/>
      <c r="AC2533" s="164"/>
      <c r="AD2533" s="164"/>
      <c r="AE2533" s="164"/>
      <c r="AF2533" s="164"/>
      <c r="AG2533" s="164"/>
      <c r="AH2533" s="164"/>
      <c r="AI2533" s="164"/>
    </row>
    <row r="2534">
      <c r="A2534" s="154"/>
      <c r="B2534" s="155"/>
      <c r="C2534" s="156"/>
      <c r="D2534" s="156"/>
      <c r="E2534" s="155"/>
      <c r="F2534" s="156"/>
      <c r="G2534" s="154"/>
      <c r="H2534" s="157"/>
      <c r="I2534" s="158"/>
      <c r="J2534" s="159"/>
      <c r="K2534" s="156"/>
      <c r="L2534" s="156"/>
      <c r="M2534" s="202"/>
      <c r="N2534" s="160"/>
      <c r="O2534" s="161"/>
      <c r="P2534" s="161"/>
      <c r="Q2534" s="203"/>
      <c r="R2534" s="162"/>
      <c r="S2534" s="162"/>
      <c r="T2534" s="162"/>
      <c r="U2534" s="163"/>
      <c r="V2534" s="154"/>
      <c r="W2534" s="164"/>
      <c r="X2534" s="164"/>
      <c r="Y2534" s="164"/>
      <c r="Z2534" s="164"/>
      <c r="AA2534" s="164"/>
      <c r="AB2534" s="164"/>
      <c r="AC2534" s="164"/>
      <c r="AD2534" s="164"/>
      <c r="AE2534" s="164"/>
      <c r="AF2534" s="164"/>
      <c r="AG2534" s="164"/>
      <c r="AH2534" s="164"/>
      <c r="AI2534" s="164"/>
    </row>
    <row r="2535">
      <c r="A2535" s="154"/>
      <c r="B2535" s="155"/>
      <c r="C2535" s="156"/>
      <c r="D2535" s="156"/>
      <c r="E2535" s="155"/>
      <c r="F2535" s="156"/>
      <c r="G2535" s="154"/>
      <c r="H2535" s="157"/>
      <c r="I2535" s="158"/>
      <c r="J2535" s="159"/>
      <c r="K2535" s="156"/>
      <c r="L2535" s="156"/>
      <c r="M2535" s="202"/>
      <c r="N2535" s="160"/>
      <c r="O2535" s="161"/>
      <c r="P2535" s="161"/>
      <c r="Q2535" s="203"/>
      <c r="R2535" s="162"/>
      <c r="S2535" s="162"/>
      <c r="T2535" s="162"/>
      <c r="U2535" s="163"/>
      <c r="V2535" s="154"/>
      <c r="W2535" s="164"/>
      <c r="X2535" s="164"/>
      <c r="Y2535" s="164"/>
      <c r="Z2535" s="164"/>
      <c r="AA2535" s="164"/>
      <c r="AB2535" s="164"/>
      <c r="AC2535" s="164"/>
      <c r="AD2535" s="164"/>
      <c r="AE2535" s="164"/>
      <c r="AF2535" s="164"/>
      <c r="AG2535" s="164"/>
      <c r="AH2535" s="164"/>
      <c r="AI2535" s="164"/>
    </row>
    <row r="2536">
      <c r="A2536" s="154"/>
      <c r="B2536" s="155"/>
      <c r="C2536" s="156"/>
      <c r="D2536" s="156"/>
      <c r="E2536" s="155"/>
      <c r="F2536" s="156"/>
      <c r="G2536" s="154"/>
      <c r="H2536" s="157"/>
      <c r="I2536" s="158"/>
      <c r="J2536" s="159"/>
      <c r="K2536" s="156"/>
      <c r="L2536" s="156"/>
      <c r="M2536" s="202"/>
      <c r="N2536" s="160"/>
      <c r="O2536" s="161"/>
      <c r="P2536" s="161"/>
      <c r="Q2536" s="203"/>
      <c r="R2536" s="162"/>
      <c r="S2536" s="162"/>
      <c r="T2536" s="162"/>
      <c r="U2536" s="163"/>
      <c r="V2536" s="154"/>
      <c r="W2536" s="164"/>
      <c r="X2536" s="164"/>
      <c r="Y2536" s="164"/>
      <c r="Z2536" s="164"/>
      <c r="AA2536" s="164"/>
      <c r="AB2536" s="164"/>
      <c r="AC2536" s="164"/>
      <c r="AD2536" s="164"/>
      <c r="AE2536" s="164"/>
      <c r="AF2536" s="164"/>
      <c r="AG2536" s="164"/>
      <c r="AH2536" s="164"/>
      <c r="AI2536" s="164"/>
    </row>
    <row r="2537">
      <c r="A2537" s="154"/>
      <c r="B2537" s="155"/>
      <c r="C2537" s="156"/>
      <c r="D2537" s="156"/>
      <c r="E2537" s="155"/>
      <c r="F2537" s="156"/>
      <c r="G2537" s="154"/>
      <c r="H2537" s="157"/>
      <c r="I2537" s="158"/>
      <c r="J2537" s="159"/>
      <c r="K2537" s="156"/>
      <c r="L2537" s="156"/>
      <c r="M2537" s="202"/>
      <c r="N2537" s="160"/>
      <c r="O2537" s="161"/>
      <c r="P2537" s="161"/>
      <c r="Q2537" s="203"/>
      <c r="R2537" s="162"/>
      <c r="S2537" s="162"/>
      <c r="T2537" s="162"/>
      <c r="U2537" s="163"/>
      <c r="V2537" s="154"/>
      <c r="W2537" s="164"/>
      <c r="X2537" s="164"/>
      <c r="Y2537" s="164"/>
      <c r="Z2537" s="164"/>
      <c r="AA2537" s="164"/>
      <c r="AB2537" s="164"/>
      <c r="AC2537" s="164"/>
      <c r="AD2537" s="164"/>
      <c r="AE2537" s="164"/>
      <c r="AF2537" s="164"/>
      <c r="AG2537" s="164"/>
      <c r="AH2537" s="164"/>
      <c r="AI2537" s="164"/>
    </row>
    <row r="2538">
      <c r="A2538" s="154"/>
      <c r="B2538" s="155"/>
      <c r="C2538" s="156"/>
      <c r="D2538" s="156"/>
      <c r="E2538" s="155"/>
      <c r="F2538" s="156"/>
      <c r="G2538" s="154"/>
      <c r="H2538" s="157"/>
      <c r="I2538" s="158"/>
      <c r="J2538" s="159"/>
      <c r="K2538" s="156"/>
      <c r="L2538" s="156"/>
      <c r="M2538" s="202"/>
      <c r="N2538" s="160"/>
      <c r="O2538" s="161"/>
      <c r="P2538" s="161"/>
      <c r="Q2538" s="203"/>
      <c r="R2538" s="162"/>
      <c r="S2538" s="162"/>
      <c r="T2538" s="162"/>
      <c r="U2538" s="163"/>
      <c r="V2538" s="154"/>
      <c r="W2538" s="164"/>
      <c r="X2538" s="164"/>
      <c r="Y2538" s="164"/>
      <c r="Z2538" s="164"/>
      <c r="AA2538" s="164"/>
      <c r="AB2538" s="164"/>
      <c r="AC2538" s="164"/>
      <c r="AD2538" s="164"/>
      <c r="AE2538" s="164"/>
      <c r="AF2538" s="164"/>
      <c r="AG2538" s="164"/>
      <c r="AH2538" s="164"/>
      <c r="AI2538" s="164"/>
    </row>
    <row r="2539">
      <c r="A2539" s="154"/>
      <c r="B2539" s="155"/>
      <c r="C2539" s="156"/>
      <c r="D2539" s="156"/>
      <c r="E2539" s="155"/>
      <c r="F2539" s="156"/>
      <c r="G2539" s="154"/>
      <c r="H2539" s="157"/>
      <c r="I2539" s="158"/>
      <c r="J2539" s="159"/>
      <c r="K2539" s="156"/>
      <c r="L2539" s="156"/>
      <c r="M2539" s="202"/>
      <c r="N2539" s="160"/>
      <c r="O2539" s="161"/>
      <c r="P2539" s="161"/>
      <c r="Q2539" s="203"/>
      <c r="R2539" s="162"/>
      <c r="S2539" s="162"/>
      <c r="T2539" s="162"/>
      <c r="U2539" s="163"/>
      <c r="V2539" s="154"/>
      <c r="W2539" s="164"/>
      <c r="X2539" s="164"/>
      <c r="Y2539" s="164"/>
      <c r="Z2539" s="164"/>
      <c r="AA2539" s="164"/>
      <c r="AB2539" s="164"/>
      <c r="AC2539" s="164"/>
      <c r="AD2539" s="164"/>
      <c r="AE2539" s="164"/>
      <c r="AF2539" s="164"/>
      <c r="AG2539" s="164"/>
      <c r="AH2539" s="164"/>
      <c r="AI2539" s="164"/>
    </row>
    <row r="2540">
      <c r="A2540" s="154"/>
      <c r="B2540" s="155"/>
      <c r="C2540" s="156"/>
      <c r="D2540" s="156"/>
      <c r="E2540" s="155"/>
      <c r="F2540" s="156"/>
      <c r="G2540" s="154"/>
      <c r="H2540" s="157"/>
      <c r="I2540" s="158"/>
      <c r="J2540" s="159"/>
      <c r="K2540" s="156"/>
      <c r="L2540" s="156"/>
      <c r="M2540" s="155"/>
      <c r="N2540" s="160"/>
      <c r="O2540" s="161"/>
      <c r="P2540" s="161"/>
      <c r="Q2540" s="203"/>
      <c r="R2540" s="162"/>
      <c r="S2540" s="162"/>
      <c r="T2540" s="162"/>
      <c r="U2540" s="163"/>
      <c r="V2540" s="154"/>
      <c r="W2540" s="164"/>
      <c r="X2540" s="164"/>
      <c r="Y2540" s="164"/>
      <c r="Z2540" s="164"/>
      <c r="AA2540" s="164"/>
      <c r="AB2540" s="164"/>
      <c r="AC2540" s="164"/>
      <c r="AD2540" s="164"/>
      <c r="AE2540" s="164"/>
      <c r="AF2540" s="164"/>
      <c r="AG2540" s="164"/>
      <c r="AH2540" s="164"/>
      <c r="AI2540" s="164"/>
    </row>
    <row r="2541">
      <c r="A2541" s="154"/>
      <c r="B2541" s="155"/>
      <c r="C2541" s="156"/>
      <c r="D2541" s="156"/>
      <c r="E2541" s="155"/>
      <c r="F2541" s="156"/>
      <c r="G2541" s="154"/>
      <c r="H2541" s="157"/>
      <c r="I2541" s="158"/>
      <c r="J2541" s="159"/>
      <c r="K2541" s="156"/>
      <c r="L2541" s="156"/>
      <c r="M2541" s="202"/>
      <c r="N2541" s="160"/>
      <c r="O2541" s="161"/>
      <c r="P2541" s="161"/>
      <c r="Q2541" s="203"/>
      <c r="R2541" s="162"/>
      <c r="S2541" s="162"/>
      <c r="T2541" s="162"/>
      <c r="U2541" s="163"/>
      <c r="V2541" s="154"/>
      <c r="W2541" s="164"/>
      <c r="X2541" s="164"/>
      <c r="Y2541" s="164"/>
      <c r="Z2541" s="164"/>
      <c r="AA2541" s="164"/>
      <c r="AB2541" s="164"/>
      <c r="AC2541" s="164"/>
      <c r="AD2541" s="164"/>
      <c r="AE2541" s="164"/>
      <c r="AF2541" s="164"/>
      <c r="AG2541" s="164"/>
      <c r="AH2541" s="164"/>
      <c r="AI2541" s="164"/>
    </row>
    <row r="2542">
      <c r="A2542" s="154"/>
      <c r="B2542" s="155"/>
      <c r="C2542" s="156"/>
      <c r="D2542" s="156"/>
      <c r="E2542" s="155"/>
      <c r="F2542" s="156"/>
      <c r="G2542" s="154"/>
      <c r="H2542" s="157"/>
      <c r="I2542" s="158"/>
      <c r="J2542" s="159"/>
      <c r="K2542" s="156"/>
      <c r="L2542" s="156"/>
      <c r="M2542" s="202"/>
      <c r="N2542" s="160"/>
      <c r="O2542" s="161"/>
      <c r="P2542" s="161"/>
      <c r="Q2542" s="203"/>
      <c r="R2542" s="162"/>
      <c r="S2542" s="162"/>
      <c r="T2542" s="162"/>
      <c r="U2542" s="163"/>
      <c r="V2542" s="154"/>
      <c r="W2542" s="164"/>
      <c r="X2542" s="164"/>
      <c r="Y2542" s="164"/>
      <c r="Z2542" s="164"/>
      <c r="AA2542" s="164"/>
      <c r="AB2542" s="164"/>
      <c r="AC2542" s="164"/>
      <c r="AD2542" s="164"/>
      <c r="AE2542" s="164"/>
      <c r="AF2542" s="164"/>
      <c r="AG2542" s="164"/>
      <c r="AH2542" s="164"/>
      <c r="AI2542" s="164"/>
    </row>
    <row r="2543">
      <c r="A2543" s="154"/>
      <c r="B2543" s="155"/>
      <c r="C2543" s="156"/>
      <c r="D2543" s="156"/>
      <c r="E2543" s="155"/>
      <c r="F2543" s="156"/>
      <c r="G2543" s="154"/>
      <c r="H2543" s="157"/>
      <c r="I2543" s="158"/>
      <c r="J2543" s="159"/>
      <c r="K2543" s="156"/>
      <c r="L2543" s="156"/>
      <c r="M2543" s="202"/>
      <c r="N2543" s="160"/>
      <c r="O2543" s="161"/>
      <c r="P2543" s="161"/>
      <c r="Q2543" s="203"/>
      <c r="R2543" s="162"/>
      <c r="S2543" s="162"/>
      <c r="T2543" s="162"/>
      <c r="U2543" s="163"/>
      <c r="V2543" s="154"/>
      <c r="W2543" s="164"/>
      <c r="X2543" s="164"/>
      <c r="Y2543" s="164"/>
      <c r="Z2543" s="164"/>
      <c r="AA2543" s="164"/>
      <c r="AB2543" s="164"/>
      <c r="AC2543" s="164"/>
      <c r="AD2543" s="164"/>
      <c r="AE2543" s="164"/>
      <c r="AF2543" s="164"/>
      <c r="AG2543" s="164"/>
      <c r="AH2543" s="164"/>
      <c r="AI2543" s="164"/>
    </row>
    <row r="2544">
      <c r="A2544" s="154"/>
      <c r="B2544" s="155"/>
      <c r="C2544" s="156"/>
      <c r="D2544" s="156"/>
      <c r="E2544" s="155"/>
      <c r="F2544" s="156"/>
      <c r="G2544" s="154"/>
      <c r="H2544" s="157"/>
      <c r="I2544" s="158"/>
      <c r="J2544" s="159"/>
      <c r="K2544" s="156"/>
      <c r="L2544" s="156"/>
      <c r="M2544" s="202"/>
      <c r="N2544" s="160"/>
      <c r="O2544" s="161"/>
      <c r="P2544" s="161"/>
      <c r="Q2544" s="203"/>
      <c r="R2544" s="162"/>
      <c r="S2544" s="162"/>
      <c r="T2544" s="162"/>
      <c r="U2544" s="163"/>
      <c r="V2544" s="154"/>
      <c r="W2544" s="164"/>
      <c r="X2544" s="164"/>
      <c r="Y2544" s="164"/>
      <c r="Z2544" s="164"/>
      <c r="AA2544" s="164"/>
      <c r="AB2544" s="164"/>
      <c r="AC2544" s="164"/>
      <c r="AD2544" s="164"/>
      <c r="AE2544" s="164"/>
      <c r="AF2544" s="164"/>
      <c r="AG2544" s="164"/>
      <c r="AH2544" s="164"/>
      <c r="AI2544" s="164"/>
    </row>
    <row r="2545">
      <c r="A2545" s="154"/>
      <c r="B2545" s="155"/>
      <c r="C2545" s="156"/>
      <c r="D2545" s="156"/>
      <c r="E2545" s="155"/>
      <c r="F2545" s="156"/>
      <c r="G2545" s="154"/>
      <c r="H2545" s="157"/>
      <c r="I2545" s="158"/>
      <c r="J2545" s="159"/>
      <c r="K2545" s="156"/>
      <c r="L2545" s="156"/>
      <c r="M2545" s="202"/>
      <c r="N2545" s="160"/>
      <c r="O2545" s="161"/>
      <c r="P2545" s="161"/>
      <c r="Q2545" s="203"/>
      <c r="R2545" s="162"/>
      <c r="S2545" s="162"/>
      <c r="T2545" s="162"/>
      <c r="U2545" s="163"/>
      <c r="V2545" s="154"/>
      <c r="W2545" s="164"/>
      <c r="X2545" s="164"/>
      <c r="Y2545" s="164"/>
      <c r="Z2545" s="164"/>
      <c r="AA2545" s="164"/>
      <c r="AB2545" s="164"/>
      <c r="AC2545" s="164"/>
      <c r="AD2545" s="164"/>
      <c r="AE2545" s="164"/>
      <c r="AF2545" s="164"/>
      <c r="AG2545" s="164"/>
      <c r="AH2545" s="164"/>
      <c r="AI2545" s="164"/>
    </row>
    <row r="2546">
      <c r="A2546" s="154"/>
      <c r="B2546" s="155"/>
      <c r="C2546" s="156"/>
      <c r="D2546" s="156"/>
      <c r="E2546" s="155"/>
      <c r="F2546" s="156"/>
      <c r="G2546" s="154"/>
      <c r="H2546" s="157"/>
      <c r="I2546" s="158"/>
      <c r="J2546" s="159"/>
      <c r="K2546" s="156"/>
      <c r="L2546" s="156"/>
      <c r="M2546" s="202"/>
      <c r="N2546" s="160"/>
      <c r="O2546" s="161"/>
      <c r="P2546" s="161"/>
      <c r="Q2546" s="203"/>
      <c r="R2546" s="162"/>
      <c r="S2546" s="162"/>
      <c r="T2546" s="162"/>
      <c r="U2546" s="163"/>
      <c r="V2546" s="154"/>
      <c r="W2546" s="164"/>
      <c r="X2546" s="164"/>
      <c r="Y2546" s="164"/>
      <c r="Z2546" s="164"/>
      <c r="AA2546" s="164"/>
      <c r="AB2546" s="164"/>
      <c r="AC2546" s="164"/>
      <c r="AD2546" s="164"/>
      <c r="AE2546" s="164"/>
      <c r="AF2546" s="164"/>
      <c r="AG2546" s="164"/>
      <c r="AH2546" s="164"/>
      <c r="AI2546" s="164"/>
    </row>
    <row r="2547">
      <c r="A2547" s="154"/>
      <c r="B2547" s="155"/>
      <c r="C2547" s="156"/>
      <c r="D2547" s="156"/>
      <c r="E2547" s="155"/>
      <c r="F2547" s="156"/>
      <c r="G2547" s="154"/>
      <c r="H2547" s="157"/>
      <c r="I2547" s="158"/>
      <c r="J2547" s="159"/>
      <c r="K2547" s="156"/>
      <c r="L2547" s="156"/>
      <c r="M2547" s="202"/>
      <c r="N2547" s="160"/>
      <c r="O2547" s="161"/>
      <c r="P2547" s="161"/>
      <c r="Q2547" s="203"/>
      <c r="R2547" s="162"/>
      <c r="S2547" s="162"/>
      <c r="T2547" s="162"/>
      <c r="U2547" s="163"/>
      <c r="V2547" s="154"/>
      <c r="W2547" s="164"/>
      <c r="X2547" s="164"/>
      <c r="Y2547" s="164"/>
      <c r="Z2547" s="164"/>
      <c r="AA2547" s="164"/>
      <c r="AB2547" s="164"/>
      <c r="AC2547" s="164"/>
      <c r="AD2547" s="164"/>
      <c r="AE2547" s="164"/>
      <c r="AF2547" s="164"/>
      <c r="AG2547" s="164"/>
      <c r="AH2547" s="164"/>
      <c r="AI2547" s="164"/>
    </row>
    <row r="2548">
      <c r="A2548" s="154"/>
      <c r="B2548" s="155"/>
      <c r="C2548" s="156"/>
      <c r="D2548" s="156"/>
      <c r="E2548" s="155"/>
      <c r="F2548" s="156"/>
      <c r="G2548" s="154"/>
      <c r="H2548" s="157"/>
      <c r="I2548" s="158"/>
      <c r="J2548" s="159"/>
      <c r="K2548" s="156"/>
      <c r="L2548" s="156"/>
      <c r="M2548" s="202"/>
      <c r="N2548" s="160"/>
      <c r="O2548" s="161"/>
      <c r="P2548" s="161"/>
      <c r="Q2548" s="203"/>
      <c r="R2548" s="162"/>
      <c r="S2548" s="162"/>
      <c r="T2548" s="162"/>
      <c r="U2548" s="163"/>
      <c r="V2548" s="154"/>
      <c r="W2548" s="164"/>
      <c r="X2548" s="164"/>
      <c r="Y2548" s="164"/>
      <c r="Z2548" s="164"/>
      <c r="AA2548" s="164"/>
      <c r="AB2548" s="164"/>
      <c r="AC2548" s="164"/>
      <c r="AD2548" s="164"/>
      <c r="AE2548" s="164"/>
      <c r="AF2548" s="164"/>
      <c r="AG2548" s="164"/>
      <c r="AH2548" s="164"/>
      <c r="AI2548" s="164"/>
    </row>
    <row r="2549">
      <c r="A2549" s="154"/>
      <c r="B2549" s="155"/>
      <c r="C2549" s="156"/>
      <c r="D2549" s="156"/>
      <c r="E2549" s="155"/>
      <c r="F2549" s="156"/>
      <c r="G2549" s="154"/>
      <c r="H2549" s="157"/>
      <c r="I2549" s="158"/>
      <c r="J2549" s="159"/>
      <c r="K2549" s="156"/>
      <c r="L2549" s="156"/>
      <c r="M2549" s="202"/>
      <c r="N2549" s="160"/>
      <c r="O2549" s="161"/>
      <c r="P2549" s="161"/>
      <c r="Q2549" s="203"/>
      <c r="R2549" s="162"/>
      <c r="S2549" s="162"/>
      <c r="T2549" s="162"/>
      <c r="U2549" s="163"/>
      <c r="V2549" s="154"/>
      <c r="W2549" s="164"/>
      <c r="X2549" s="164"/>
      <c r="Y2549" s="164"/>
      <c r="Z2549" s="164"/>
      <c r="AA2549" s="164"/>
      <c r="AB2549" s="164"/>
      <c r="AC2549" s="164"/>
      <c r="AD2549" s="164"/>
      <c r="AE2549" s="164"/>
      <c r="AF2549" s="164"/>
      <c r="AG2549" s="164"/>
      <c r="AH2549" s="164"/>
      <c r="AI2549" s="164"/>
    </row>
    <row r="2550">
      <c r="A2550" s="154"/>
      <c r="B2550" s="155"/>
      <c r="C2550" s="156"/>
      <c r="D2550" s="156"/>
      <c r="E2550" s="155"/>
      <c r="F2550" s="156"/>
      <c r="G2550" s="154"/>
      <c r="H2550" s="157"/>
      <c r="I2550" s="158"/>
      <c r="J2550" s="159"/>
      <c r="K2550" s="156"/>
      <c r="L2550" s="156"/>
      <c r="M2550" s="202"/>
      <c r="N2550" s="160"/>
      <c r="O2550" s="161"/>
      <c r="P2550" s="161"/>
      <c r="Q2550" s="203"/>
      <c r="R2550" s="162"/>
      <c r="S2550" s="162"/>
      <c r="T2550" s="162"/>
      <c r="U2550" s="163"/>
      <c r="V2550" s="154"/>
      <c r="W2550" s="164"/>
      <c r="X2550" s="164"/>
      <c r="Y2550" s="164"/>
      <c r="Z2550" s="164"/>
      <c r="AA2550" s="164"/>
      <c r="AB2550" s="164"/>
      <c r="AC2550" s="164"/>
      <c r="AD2550" s="164"/>
      <c r="AE2550" s="164"/>
      <c r="AF2550" s="164"/>
      <c r="AG2550" s="164"/>
      <c r="AH2550" s="164"/>
      <c r="AI2550" s="164"/>
    </row>
    <row r="2551">
      <c r="A2551" s="154"/>
      <c r="B2551" s="155"/>
      <c r="C2551" s="156"/>
      <c r="D2551" s="156"/>
      <c r="E2551" s="155"/>
      <c r="F2551" s="156"/>
      <c r="G2551" s="154"/>
      <c r="H2551" s="157"/>
      <c r="I2551" s="158"/>
      <c r="J2551" s="159"/>
      <c r="K2551" s="156"/>
      <c r="L2551" s="156"/>
      <c r="M2551" s="155"/>
      <c r="N2551" s="160"/>
      <c r="O2551" s="161"/>
      <c r="P2551" s="161"/>
      <c r="Q2551" s="159"/>
      <c r="R2551" s="162"/>
      <c r="S2551" s="162"/>
      <c r="T2551" s="162"/>
      <c r="U2551" s="163"/>
      <c r="V2551" s="154"/>
      <c r="W2551" s="164"/>
      <c r="X2551" s="164"/>
      <c r="Y2551" s="164"/>
      <c r="Z2551" s="164"/>
      <c r="AA2551" s="164"/>
      <c r="AB2551" s="164"/>
      <c r="AC2551" s="164"/>
      <c r="AD2551" s="164"/>
      <c r="AE2551" s="164"/>
      <c r="AF2551" s="164"/>
      <c r="AG2551" s="164"/>
      <c r="AH2551" s="164"/>
      <c r="AI2551" s="164"/>
    </row>
    <row r="2552">
      <c r="A2552" s="154"/>
      <c r="B2552" s="155"/>
      <c r="C2552" s="156"/>
      <c r="D2552" s="156"/>
      <c r="E2552" s="155"/>
      <c r="F2552" s="156"/>
      <c r="G2552" s="154"/>
      <c r="H2552" s="157"/>
      <c r="I2552" s="158"/>
      <c r="J2552" s="159"/>
      <c r="K2552" s="156"/>
      <c r="L2552" s="156"/>
      <c r="M2552" s="155"/>
      <c r="N2552" s="160"/>
      <c r="O2552" s="161"/>
      <c r="P2552" s="161"/>
      <c r="Q2552" s="203"/>
      <c r="R2552" s="162"/>
      <c r="S2552" s="162"/>
      <c r="T2552" s="162"/>
      <c r="U2552" s="163"/>
      <c r="V2552" s="154"/>
      <c r="W2552" s="164"/>
      <c r="X2552" s="164"/>
      <c r="Y2552" s="164"/>
      <c r="Z2552" s="164"/>
      <c r="AA2552" s="164"/>
      <c r="AB2552" s="164"/>
      <c r="AC2552" s="164"/>
      <c r="AD2552" s="164"/>
      <c r="AE2552" s="164"/>
      <c r="AF2552" s="164"/>
      <c r="AG2552" s="164"/>
      <c r="AH2552" s="164"/>
      <c r="AI2552" s="164"/>
    </row>
    <row r="2553">
      <c r="A2553" s="154"/>
      <c r="B2553" s="155"/>
      <c r="C2553" s="156"/>
      <c r="D2553" s="156"/>
      <c r="E2553" s="155"/>
      <c r="F2553" s="156"/>
      <c r="G2553" s="154"/>
      <c r="H2553" s="157"/>
      <c r="I2553" s="158"/>
      <c r="J2553" s="159"/>
      <c r="K2553" s="156"/>
      <c r="L2553" s="156"/>
      <c r="M2553" s="202"/>
      <c r="N2553" s="160"/>
      <c r="O2553" s="161"/>
      <c r="P2553" s="161"/>
      <c r="Q2553" s="203"/>
      <c r="R2553" s="162"/>
      <c r="S2553" s="162"/>
      <c r="T2553" s="162"/>
      <c r="U2553" s="163"/>
      <c r="V2553" s="154"/>
      <c r="W2553" s="164"/>
      <c r="X2553" s="164"/>
      <c r="Y2553" s="164"/>
      <c r="Z2553" s="164"/>
      <c r="AA2553" s="164"/>
      <c r="AB2553" s="164"/>
      <c r="AC2553" s="164"/>
      <c r="AD2553" s="164"/>
      <c r="AE2553" s="164"/>
      <c r="AF2553" s="164"/>
      <c r="AG2553" s="164"/>
      <c r="AH2553" s="164"/>
      <c r="AI2553" s="164"/>
    </row>
    <row r="2554">
      <c r="A2554" s="154"/>
      <c r="B2554" s="155"/>
      <c r="C2554" s="156"/>
      <c r="D2554" s="156"/>
      <c r="E2554" s="155"/>
      <c r="F2554" s="156"/>
      <c r="G2554" s="154"/>
      <c r="H2554" s="157"/>
      <c r="I2554" s="158"/>
      <c r="J2554" s="159"/>
      <c r="K2554" s="156"/>
      <c r="L2554" s="156"/>
      <c r="M2554" s="202"/>
      <c r="N2554" s="160"/>
      <c r="O2554" s="161"/>
      <c r="P2554" s="161"/>
      <c r="Q2554" s="203"/>
      <c r="R2554" s="162"/>
      <c r="S2554" s="162"/>
      <c r="T2554" s="162"/>
      <c r="U2554" s="156"/>
      <c r="V2554" s="154"/>
      <c r="W2554" s="164"/>
      <c r="X2554" s="164"/>
      <c r="Y2554" s="164"/>
      <c r="Z2554" s="164"/>
      <c r="AA2554" s="164"/>
      <c r="AB2554" s="164"/>
      <c r="AC2554" s="164"/>
      <c r="AD2554" s="164"/>
      <c r="AE2554" s="164"/>
      <c r="AF2554" s="164"/>
      <c r="AG2554" s="164"/>
      <c r="AH2554" s="164"/>
      <c r="AI2554" s="164"/>
    </row>
    <row r="2555">
      <c r="A2555" s="154"/>
      <c r="B2555" s="155"/>
      <c r="C2555" s="156"/>
      <c r="D2555" s="156"/>
      <c r="E2555" s="155"/>
      <c r="F2555" s="156"/>
      <c r="G2555" s="154"/>
      <c r="H2555" s="157"/>
      <c r="I2555" s="158"/>
      <c r="J2555" s="159"/>
      <c r="K2555" s="156"/>
      <c r="L2555" s="156"/>
      <c r="M2555" s="202"/>
      <c r="N2555" s="160"/>
      <c r="O2555" s="161"/>
      <c r="P2555" s="161"/>
      <c r="Q2555" s="203"/>
      <c r="R2555" s="162"/>
      <c r="S2555" s="162"/>
      <c r="T2555" s="162"/>
      <c r="U2555" s="163"/>
      <c r="V2555" s="154"/>
      <c r="W2555" s="164"/>
      <c r="X2555" s="164"/>
      <c r="Y2555" s="164"/>
      <c r="Z2555" s="164"/>
      <c r="AA2555" s="164"/>
      <c r="AB2555" s="164"/>
      <c r="AC2555" s="164"/>
      <c r="AD2555" s="164"/>
      <c r="AE2555" s="164"/>
      <c r="AF2555" s="164"/>
      <c r="AG2555" s="164"/>
      <c r="AH2555" s="164"/>
      <c r="AI2555" s="164"/>
    </row>
    <row r="2556">
      <c r="A2556" s="154"/>
      <c r="B2556" s="155"/>
      <c r="C2556" s="156"/>
      <c r="D2556" s="156"/>
      <c r="E2556" s="155"/>
      <c r="F2556" s="156"/>
      <c r="G2556" s="154"/>
      <c r="H2556" s="157"/>
      <c r="I2556" s="158"/>
      <c r="J2556" s="159"/>
      <c r="K2556" s="156"/>
      <c r="L2556" s="156"/>
      <c r="M2556" s="202"/>
      <c r="N2556" s="160"/>
      <c r="O2556" s="161"/>
      <c r="P2556" s="161"/>
      <c r="Q2556" s="203"/>
      <c r="R2556" s="162"/>
      <c r="S2556" s="162"/>
      <c r="T2556" s="162"/>
      <c r="U2556" s="163"/>
      <c r="V2556" s="154"/>
      <c r="W2556" s="164"/>
      <c r="X2556" s="164"/>
      <c r="Y2556" s="164"/>
      <c r="Z2556" s="164"/>
      <c r="AA2556" s="164"/>
      <c r="AB2556" s="164"/>
      <c r="AC2556" s="164"/>
      <c r="AD2556" s="164"/>
      <c r="AE2556" s="164"/>
      <c r="AF2556" s="164"/>
      <c r="AG2556" s="164"/>
      <c r="AH2556" s="164"/>
      <c r="AI2556" s="164"/>
    </row>
    <row r="2557">
      <c r="A2557" s="154"/>
      <c r="B2557" s="155"/>
      <c r="C2557" s="156"/>
      <c r="D2557" s="156"/>
      <c r="E2557" s="155"/>
      <c r="F2557" s="156"/>
      <c r="G2557" s="154"/>
      <c r="H2557" s="157"/>
      <c r="I2557" s="158"/>
      <c r="J2557" s="159"/>
      <c r="K2557" s="156"/>
      <c r="L2557" s="156"/>
      <c r="M2557" s="202"/>
      <c r="N2557" s="160"/>
      <c r="O2557" s="161"/>
      <c r="P2557" s="161"/>
      <c r="Q2557" s="203"/>
      <c r="R2557" s="162"/>
      <c r="S2557" s="162"/>
      <c r="T2557" s="162"/>
      <c r="U2557" s="163"/>
      <c r="V2557" s="154"/>
      <c r="W2557" s="164"/>
      <c r="X2557" s="164"/>
      <c r="Y2557" s="164"/>
      <c r="Z2557" s="164"/>
      <c r="AA2557" s="164"/>
      <c r="AB2557" s="164"/>
      <c r="AC2557" s="164"/>
      <c r="AD2557" s="164"/>
      <c r="AE2557" s="164"/>
      <c r="AF2557" s="164"/>
      <c r="AG2557" s="164"/>
      <c r="AH2557" s="164"/>
      <c r="AI2557" s="164"/>
    </row>
    <row r="2558">
      <c r="A2558" s="154"/>
      <c r="B2558" s="155"/>
      <c r="C2558" s="156"/>
      <c r="D2558" s="156"/>
      <c r="E2558" s="155"/>
      <c r="F2558" s="156"/>
      <c r="G2558" s="154"/>
      <c r="H2558" s="157"/>
      <c r="I2558" s="158"/>
      <c r="J2558" s="159"/>
      <c r="K2558" s="156"/>
      <c r="L2558" s="156"/>
      <c r="M2558" s="155"/>
      <c r="N2558" s="160"/>
      <c r="O2558" s="161"/>
      <c r="P2558" s="161"/>
      <c r="Q2558" s="159"/>
      <c r="R2558" s="162"/>
      <c r="S2558" s="162"/>
      <c r="T2558" s="162"/>
      <c r="U2558" s="163"/>
      <c r="V2558" s="154"/>
      <c r="W2558" s="164"/>
      <c r="X2558" s="164"/>
      <c r="Y2558" s="164"/>
      <c r="Z2558" s="164"/>
      <c r="AA2558" s="164"/>
      <c r="AB2558" s="164"/>
      <c r="AC2558" s="164"/>
      <c r="AD2558" s="164"/>
      <c r="AE2558" s="164"/>
      <c r="AF2558" s="164"/>
      <c r="AG2558" s="164"/>
      <c r="AH2558" s="164"/>
      <c r="AI2558" s="164"/>
    </row>
    <row r="2559">
      <c r="A2559" s="154"/>
      <c r="B2559" s="155"/>
      <c r="C2559" s="156"/>
      <c r="D2559" s="156"/>
      <c r="E2559" s="155"/>
      <c r="F2559" s="156"/>
      <c r="G2559" s="154"/>
      <c r="H2559" s="157"/>
      <c r="I2559" s="158"/>
      <c r="J2559" s="159"/>
      <c r="K2559" s="156"/>
      <c r="L2559" s="156"/>
      <c r="M2559" s="202"/>
      <c r="N2559" s="160"/>
      <c r="O2559" s="161"/>
      <c r="P2559" s="161"/>
      <c r="Q2559" s="203"/>
      <c r="R2559" s="162"/>
      <c r="S2559" s="162"/>
      <c r="T2559" s="162"/>
      <c r="U2559" s="163"/>
      <c r="V2559" s="154"/>
      <c r="W2559" s="164"/>
      <c r="X2559" s="164"/>
      <c r="Y2559" s="164"/>
      <c r="Z2559" s="164"/>
      <c r="AA2559" s="164"/>
      <c r="AB2559" s="164"/>
      <c r="AC2559" s="164"/>
      <c r="AD2559" s="164"/>
      <c r="AE2559" s="164"/>
      <c r="AF2559" s="164"/>
      <c r="AG2559" s="164"/>
      <c r="AH2559" s="164"/>
      <c r="AI2559" s="164"/>
    </row>
    <row r="2560">
      <c r="A2560" s="154"/>
      <c r="B2560" s="155"/>
      <c r="C2560" s="156"/>
      <c r="D2560" s="156"/>
      <c r="E2560" s="155"/>
      <c r="F2560" s="156"/>
      <c r="G2560" s="154"/>
      <c r="H2560" s="157"/>
      <c r="I2560" s="158"/>
      <c r="J2560" s="159"/>
      <c r="K2560" s="156"/>
      <c r="L2560" s="156"/>
      <c r="M2560" s="202"/>
      <c r="N2560" s="160"/>
      <c r="O2560" s="161"/>
      <c r="P2560" s="161"/>
      <c r="Q2560" s="203"/>
      <c r="R2560" s="162"/>
      <c r="S2560" s="162"/>
      <c r="T2560" s="162"/>
      <c r="U2560" s="156"/>
      <c r="V2560" s="154"/>
      <c r="W2560" s="164"/>
      <c r="X2560" s="164"/>
      <c r="Y2560" s="164"/>
      <c r="Z2560" s="164"/>
      <c r="AA2560" s="164"/>
      <c r="AB2560" s="164"/>
      <c r="AC2560" s="164"/>
      <c r="AD2560" s="164"/>
      <c r="AE2560" s="164"/>
      <c r="AF2560" s="164"/>
      <c r="AG2560" s="164"/>
      <c r="AH2560" s="164"/>
      <c r="AI2560" s="164"/>
    </row>
    <row r="2561">
      <c r="A2561" s="154"/>
      <c r="B2561" s="155"/>
      <c r="C2561" s="156"/>
      <c r="D2561" s="156"/>
      <c r="E2561" s="155"/>
      <c r="F2561" s="156"/>
      <c r="G2561" s="154"/>
      <c r="H2561" s="157"/>
      <c r="I2561" s="158"/>
      <c r="J2561" s="159"/>
      <c r="K2561" s="156"/>
      <c r="L2561" s="156"/>
      <c r="M2561" s="202"/>
      <c r="N2561" s="160"/>
      <c r="O2561" s="161"/>
      <c r="P2561" s="161"/>
      <c r="Q2561" s="203"/>
      <c r="R2561" s="162"/>
      <c r="S2561" s="162"/>
      <c r="T2561" s="162"/>
      <c r="U2561" s="163"/>
      <c r="V2561" s="154"/>
      <c r="W2561" s="164"/>
      <c r="X2561" s="164"/>
      <c r="Y2561" s="164"/>
      <c r="Z2561" s="164"/>
      <c r="AA2561" s="164"/>
      <c r="AB2561" s="164"/>
      <c r="AC2561" s="164"/>
      <c r="AD2561" s="164"/>
      <c r="AE2561" s="164"/>
      <c r="AF2561" s="164"/>
      <c r="AG2561" s="164"/>
      <c r="AH2561" s="164"/>
      <c r="AI2561" s="164"/>
    </row>
    <row r="2562">
      <c r="A2562" s="154"/>
      <c r="B2562" s="155"/>
      <c r="C2562" s="156"/>
      <c r="D2562" s="156"/>
      <c r="E2562" s="155"/>
      <c r="F2562" s="156"/>
      <c r="G2562" s="154"/>
      <c r="H2562" s="157"/>
      <c r="I2562" s="158"/>
      <c r="J2562" s="159"/>
      <c r="K2562" s="156"/>
      <c r="L2562" s="156"/>
      <c r="M2562" s="202"/>
      <c r="N2562" s="160"/>
      <c r="O2562" s="161"/>
      <c r="P2562" s="161"/>
      <c r="Q2562" s="203"/>
      <c r="R2562" s="162"/>
      <c r="S2562" s="162"/>
      <c r="T2562" s="162"/>
      <c r="U2562" s="163"/>
      <c r="V2562" s="154"/>
      <c r="W2562" s="164"/>
      <c r="X2562" s="164"/>
      <c r="Y2562" s="164"/>
      <c r="Z2562" s="164"/>
      <c r="AA2562" s="164"/>
      <c r="AB2562" s="164"/>
      <c r="AC2562" s="164"/>
      <c r="AD2562" s="164"/>
      <c r="AE2562" s="164"/>
      <c r="AF2562" s="164"/>
      <c r="AG2562" s="164"/>
      <c r="AH2562" s="164"/>
      <c r="AI2562" s="164"/>
    </row>
    <row r="2563">
      <c r="A2563" s="154"/>
      <c r="B2563" s="155"/>
      <c r="C2563" s="156"/>
      <c r="D2563" s="156"/>
      <c r="E2563" s="155"/>
      <c r="F2563" s="156"/>
      <c r="G2563" s="154"/>
      <c r="H2563" s="157"/>
      <c r="I2563" s="158"/>
      <c r="J2563" s="159"/>
      <c r="K2563" s="156"/>
      <c r="L2563" s="156"/>
      <c r="M2563" s="155"/>
      <c r="N2563" s="160"/>
      <c r="O2563" s="161"/>
      <c r="P2563" s="161"/>
      <c r="Q2563" s="159"/>
      <c r="R2563" s="162"/>
      <c r="S2563" s="162"/>
      <c r="T2563" s="162"/>
      <c r="U2563" s="163"/>
      <c r="V2563" s="154"/>
      <c r="W2563" s="164"/>
      <c r="X2563" s="164"/>
      <c r="Y2563" s="164"/>
      <c r="Z2563" s="164"/>
      <c r="AA2563" s="164"/>
      <c r="AB2563" s="164"/>
      <c r="AC2563" s="164"/>
      <c r="AD2563" s="164"/>
      <c r="AE2563" s="164"/>
      <c r="AF2563" s="164"/>
      <c r="AG2563" s="164"/>
      <c r="AH2563" s="164"/>
      <c r="AI2563" s="164"/>
    </row>
    <row r="2564">
      <c r="A2564" s="165"/>
      <c r="B2564" s="166"/>
      <c r="C2564" s="166"/>
      <c r="D2564" s="166"/>
      <c r="E2564" s="166"/>
      <c r="F2564" s="166"/>
      <c r="G2564" s="165"/>
      <c r="H2564" s="167"/>
      <c r="I2564" s="168"/>
      <c r="J2564" s="169"/>
      <c r="K2564" s="166"/>
      <c r="L2564" s="166"/>
      <c r="M2564" s="166"/>
      <c r="N2564" s="170"/>
      <c r="O2564" s="171"/>
      <c r="P2564" s="171"/>
      <c r="Q2564" s="172"/>
      <c r="R2564" s="173"/>
      <c r="S2564" s="173"/>
      <c r="T2564" s="173"/>
      <c r="U2564" s="174"/>
      <c r="V2564" s="165"/>
      <c r="W2564" s="164"/>
      <c r="X2564" s="164"/>
      <c r="Y2564" s="164"/>
      <c r="Z2564" s="164"/>
      <c r="AA2564" s="164"/>
      <c r="AB2564" s="164"/>
      <c r="AC2564" s="164"/>
      <c r="AD2564" s="164"/>
      <c r="AE2564" s="164"/>
      <c r="AF2564" s="164"/>
      <c r="AG2564" s="164"/>
      <c r="AH2564" s="164"/>
      <c r="AI2564" s="164"/>
    </row>
    <row r="2565">
      <c r="A2565" s="154"/>
      <c r="B2565" s="155"/>
      <c r="C2565" s="156"/>
      <c r="D2565" s="156"/>
      <c r="E2565" s="155"/>
      <c r="F2565" s="156"/>
      <c r="G2565" s="154"/>
      <c r="H2565" s="157"/>
      <c r="I2565" s="158"/>
      <c r="J2565" s="159"/>
      <c r="K2565" s="156"/>
      <c r="L2565" s="156"/>
      <c r="M2565" s="202"/>
      <c r="N2565" s="160"/>
      <c r="O2565" s="161"/>
      <c r="P2565" s="161"/>
      <c r="Q2565" s="203"/>
      <c r="R2565" s="162"/>
      <c r="S2565" s="162"/>
      <c r="T2565" s="162"/>
      <c r="U2565" s="163"/>
      <c r="V2565" s="154"/>
      <c r="W2565" s="164"/>
      <c r="X2565" s="164"/>
      <c r="Y2565" s="164"/>
      <c r="Z2565" s="164"/>
      <c r="AA2565" s="164"/>
      <c r="AB2565" s="164"/>
      <c r="AC2565" s="164"/>
      <c r="AD2565" s="164"/>
      <c r="AE2565" s="164"/>
      <c r="AF2565" s="164"/>
      <c r="AG2565" s="164"/>
      <c r="AH2565" s="164"/>
      <c r="AI2565" s="164"/>
    </row>
    <row r="2566">
      <c r="A2566" s="154"/>
      <c r="B2566" s="155"/>
      <c r="C2566" s="156"/>
      <c r="D2566" s="156"/>
      <c r="E2566" s="155"/>
      <c r="F2566" s="156"/>
      <c r="G2566" s="154"/>
      <c r="H2566" s="157"/>
      <c r="I2566" s="158"/>
      <c r="J2566" s="159"/>
      <c r="K2566" s="156"/>
      <c r="L2566" s="156"/>
      <c r="M2566" s="202"/>
      <c r="N2566" s="160"/>
      <c r="O2566" s="161"/>
      <c r="P2566" s="161"/>
      <c r="Q2566" s="203"/>
      <c r="R2566" s="162"/>
      <c r="S2566" s="162"/>
      <c r="T2566" s="162"/>
      <c r="U2566" s="163"/>
      <c r="V2566" s="154"/>
      <c r="W2566" s="164"/>
      <c r="X2566" s="164"/>
      <c r="Y2566" s="164"/>
      <c r="Z2566" s="164"/>
      <c r="AA2566" s="164"/>
      <c r="AB2566" s="164"/>
      <c r="AC2566" s="164"/>
      <c r="AD2566" s="164"/>
      <c r="AE2566" s="164"/>
      <c r="AF2566" s="164"/>
      <c r="AG2566" s="164"/>
      <c r="AH2566" s="164"/>
      <c r="AI2566" s="164"/>
    </row>
    <row r="2567">
      <c r="A2567" s="154"/>
      <c r="B2567" s="155"/>
      <c r="C2567" s="156"/>
      <c r="D2567" s="156"/>
      <c r="E2567" s="155"/>
      <c r="F2567" s="156"/>
      <c r="G2567" s="154"/>
      <c r="H2567" s="157"/>
      <c r="I2567" s="158"/>
      <c r="J2567" s="159"/>
      <c r="K2567" s="156"/>
      <c r="L2567" s="156"/>
      <c r="M2567" s="202"/>
      <c r="N2567" s="160"/>
      <c r="O2567" s="161"/>
      <c r="P2567" s="161"/>
      <c r="Q2567" s="203"/>
      <c r="R2567" s="162"/>
      <c r="S2567" s="162"/>
      <c r="T2567" s="162"/>
      <c r="U2567" s="163"/>
      <c r="V2567" s="154"/>
      <c r="W2567" s="164"/>
      <c r="X2567" s="164"/>
      <c r="Y2567" s="164"/>
      <c r="Z2567" s="164"/>
      <c r="AA2567" s="164"/>
      <c r="AB2567" s="164"/>
      <c r="AC2567" s="164"/>
      <c r="AD2567" s="164"/>
      <c r="AE2567" s="164"/>
      <c r="AF2567" s="164"/>
      <c r="AG2567" s="164"/>
      <c r="AH2567" s="164"/>
      <c r="AI2567" s="164"/>
    </row>
    <row r="2568">
      <c r="A2568" s="154"/>
      <c r="B2568" s="155"/>
      <c r="C2568" s="156"/>
      <c r="D2568" s="156"/>
      <c r="E2568" s="155"/>
      <c r="F2568" s="156"/>
      <c r="G2568" s="154"/>
      <c r="H2568" s="157"/>
      <c r="I2568" s="158"/>
      <c r="J2568" s="159"/>
      <c r="K2568" s="156"/>
      <c r="L2568" s="156"/>
      <c r="M2568" s="202"/>
      <c r="N2568" s="160"/>
      <c r="O2568" s="161"/>
      <c r="P2568" s="161"/>
      <c r="Q2568" s="203"/>
      <c r="R2568" s="162"/>
      <c r="S2568" s="162"/>
      <c r="T2568" s="162"/>
      <c r="U2568" s="163"/>
      <c r="V2568" s="154"/>
      <c r="W2568" s="164"/>
      <c r="X2568" s="164"/>
      <c r="Y2568" s="164"/>
      <c r="Z2568" s="164"/>
      <c r="AA2568" s="164"/>
      <c r="AB2568" s="164"/>
      <c r="AC2568" s="164"/>
      <c r="AD2568" s="164"/>
      <c r="AE2568" s="164"/>
      <c r="AF2568" s="164"/>
      <c r="AG2568" s="164"/>
      <c r="AH2568" s="164"/>
      <c r="AI2568" s="164"/>
    </row>
    <row r="2569">
      <c r="A2569" s="154"/>
      <c r="B2569" s="155"/>
      <c r="C2569" s="156"/>
      <c r="D2569" s="156"/>
      <c r="E2569" s="155"/>
      <c r="F2569" s="156"/>
      <c r="G2569" s="154"/>
      <c r="H2569" s="157"/>
      <c r="I2569" s="158"/>
      <c r="J2569" s="159"/>
      <c r="K2569" s="156"/>
      <c r="L2569" s="156"/>
      <c r="M2569" s="202"/>
      <c r="N2569" s="160"/>
      <c r="O2569" s="161"/>
      <c r="P2569" s="161"/>
      <c r="Q2569" s="203"/>
      <c r="R2569" s="162"/>
      <c r="S2569" s="162"/>
      <c r="T2569" s="162"/>
      <c r="U2569" s="163"/>
      <c r="V2569" s="154"/>
      <c r="W2569" s="164"/>
      <c r="X2569" s="164"/>
      <c r="Y2569" s="164"/>
      <c r="Z2569" s="164"/>
      <c r="AA2569" s="164"/>
      <c r="AB2569" s="164"/>
      <c r="AC2569" s="164"/>
      <c r="AD2569" s="164"/>
      <c r="AE2569" s="164"/>
      <c r="AF2569" s="164"/>
      <c r="AG2569" s="164"/>
      <c r="AH2569" s="164"/>
      <c r="AI2569" s="164"/>
    </row>
    <row r="2570">
      <c r="A2570" s="154"/>
      <c r="B2570" s="155"/>
      <c r="C2570" s="156"/>
      <c r="D2570" s="156"/>
      <c r="E2570" s="155"/>
      <c r="F2570" s="156"/>
      <c r="G2570" s="154"/>
      <c r="H2570" s="157"/>
      <c r="I2570" s="158"/>
      <c r="J2570" s="159"/>
      <c r="K2570" s="156"/>
      <c r="L2570" s="156"/>
      <c r="M2570" s="202"/>
      <c r="N2570" s="160"/>
      <c r="O2570" s="161"/>
      <c r="P2570" s="161"/>
      <c r="Q2570" s="203"/>
      <c r="R2570" s="162"/>
      <c r="S2570" s="162"/>
      <c r="T2570" s="162"/>
      <c r="U2570" s="163"/>
      <c r="V2570" s="154"/>
      <c r="W2570" s="164"/>
      <c r="X2570" s="164"/>
      <c r="Y2570" s="164"/>
      <c r="Z2570" s="164"/>
      <c r="AA2570" s="164"/>
      <c r="AB2570" s="164"/>
      <c r="AC2570" s="164"/>
      <c r="AD2570" s="164"/>
      <c r="AE2570" s="164"/>
      <c r="AF2570" s="164"/>
      <c r="AG2570" s="164"/>
      <c r="AH2570" s="164"/>
      <c r="AI2570" s="164"/>
    </row>
    <row r="2571">
      <c r="A2571" s="154"/>
      <c r="B2571" s="155"/>
      <c r="C2571" s="156"/>
      <c r="D2571" s="156"/>
      <c r="E2571" s="155"/>
      <c r="F2571" s="156"/>
      <c r="G2571" s="154"/>
      <c r="H2571" s="157"/>
      <c r="I2571" s="158"/>
      <c r="J2571" s="159"/>
      <c r="K2571" s="156"/>
      <c r="L2571" s="156"/>
      <c r="M2571" s="202"/>
      <c r="N2571" s="160"/>
      <c r="O2571" s="161"/>
      <c r="P2571" s="161"/>
      <c r="Q2571" s="203"/>
      <c r="R2571" s="162"/>
      <c r="S2571" s="162"/>
      <c r="T2571" s="162"/>
      <c r="U2571" s="163"/>
      <c r="V2571" s="154"/>
      <c r="W2571" s="164"/>
      <c r="X2571" s="164"/>
      <c r="Y2571" s="164"/>
      <c r="Z2571" s="164"/>
      <c r="AA2571" s="164"/>
      <c r="AB2571" s="164"/>
      <c r="AC2571" s="164"/>
      <c r="AD2571" s="164"/>
      <c r="AE2571" s="164"/>
      <c r="AF2571" s="164"/>
      <c r="AG2571" s="164"/>
      <c r="AH2571" s="164"/>
      <c r="AI2571" s="164"/>
    </row>
    <row r="2572">
      <c r="A2572" s="154"/>
      <c r="B2572" s="155"/>
      <c r="C2572" s="156"/>
      <c r="D2572" s="156"/>
      <c r="E2572" s="155"/>
      <c r="F2572" s="156"/>
      <c r="G2572" s="154"/>
      <c r="H2572" s="157"/>
      <c r="I2572" s="158"/>
      <c r="J2572" s="159"/>
      <c r="K2572" s="156"/>
      <c r="L2572" s="156"/>
      <c r="M2572" s="202"/>
      <c r="N2572" s="160"/>
      <c r="O2572" s="161"/>
      <c r="P2572" s="161"/>
      <c r="Q2572" s="203"/>
      <c r="R2572" s="162"/>
      <c r="S2572" s="162"/>
      <c r="T2572" s="162"/>
      <c r="U2572" s="163"/>
      <c r="V2572" s="154"/>
      <c r="W2572" s="164"/>
      <c r="X2572" s="164"/>
      <c r="Y2572" s="164"/>
      <c r="Z2572" s="164"/>
      <c r="AA2572" s="164"/>
      <c r="AB2572" s="164"/>
      <c r="AC2572" s="164"/>
      <c r="AD2572" s="164"/>
      <c r="AE2572" s="164"/>
      <c r="AF2572" s="164"/>
      <c r="AG2572" s="164"/>
      <c r="AH2572" s="164"/>
      <c r="AI2572" s="164"/>
    </row>
    <row r="2573">
      <c r="A2573" s="154"/>
      <c r="B2573" s="155"/>
      <c r="C2573" s="156"/>
      <c r="D2573" s="156"/>
      <c r="E2573" s="155"/>
      <c r="F2573" s="156"/>
      <c r="G2573" s="154"/>
      <c r="H2573" s="157"/>
      <c r="I2573" s="158"/>
      <c r="J2573" s="159"/>
      <c r="K2573" s="156"/>
      <c r="L2573" s="156"/>
      <c r="M2573" s="202"/>
      <c r="N2573" s="160"/>
      <c r="O2573" s="161"/>
      <c r="P2573" s="161"/>
      <c r="Q2573" s="203"/>
      <c r="R2573" s="162"/>
      <c r="S2573" s="162"/>
      <c r="T2573" s="162"/>
      <c r="U2573" s="163"/>
      <c r="V2573" s="154"/>
      <c r="W2573" s="164"/>
      <c r="X2573" s="164"/>
      <c r="Y2573" s="164"/>
      <c r="Z2573" s="164"/>
      <c r="AA2573" s="164"/>
      <c r="AB2573" s="164"/>
      <c r="AC2573" s="164"/>
      <c r="AD2573" s="164"/>
      <c r="AE2573" s="164"/>
      <c r="AF2573" s="164"/>
      <c r="AG2573" s="164"/>
      <c r="AH2573" s="164"/>
      <c r="AI2573" s="164"/>
    </row>
    <row r="2574">
      <c r="A2574" s="154"/>
      <c r="B2574" s="155"/>
      <c r="C2574" s="156"/>
      <c r="D2574" s="156"/>
      <c r="E2574" s="155"/>
      <c r="F2574" s="156"/>
      <c r="G2574" s="154"/>
      <c r="H2574" s="157"/>
      <c r="I2574" s="158"/>
      <c r="J2574" s="159"/>
      <c r="K2574" s="156"/>
      <c r="L2574" s="156"/>
      <c r="M2574" s="202"/>
      <c r="N2574" s="160"/>
      <c r="O2574" s="161"/>
      <c r="P2574" s="161"/>
      <c r="Q2574" s="203"/>
      <c r="R2574" s="162"/>
      <c r="S2574" s="162"/>
      <c r="T2574" s="162"/>
      <c r="U2574" s="163"/>
      <c r="V2574" s="154"/>
      <c r="W2574" s="164"/>
      <c r="X2574" s="164"/>
      <c r="Y2574" s="164"/>
      <c r="Z2574" s="164"/>
      <c r="AA2574" s="164"/>
      <c r="AB2574" s="164"/>
      <c r="AC2574" s="164"/>
      <c r="AD2574" s="164"/>
      <c r="AE2574" s="164"/>
      <c r="AF2574" s="164"/>
      <c r="AG2574" s="164"/>
      <c r="AH2574" s="164"/>
      <c r="AI2574" s="164"/>
    </row>
    <row r="2575">
      <c r="A2575" s="154"/>
      <c r="B2575" s="155"/>
      <c r="C2575" s="156"/>
      <c r="D2575" s="156"/>
      <c r="E2575" s="155"/>
      <c r="F2575" s="156"/>
      <c r="G2575" s="154"/>
      <c r="H2575" s="157"/>
      <c r="I2575" s="158"/>
      <c r="J2575" s="159"/>
      <c r="K2575" s="156"/>
      <c r="L2575" s="156"/>
      <c r="M2575" s="202"/>
      <c r="N2575" s="160"/>
      <c r="O2575" s="161"/>
      <c r="P2575" s="161"/>
      <c r="Q2575" s="203"/>
      <c r="R2575" s="162"/>
      <c r="S2575" s="162"/>
      <c r="T2575" s="162"/>
      <c r="U2575" s="163"/>
      <c r="V2575" s="154"/>
      <c r="W2575" s="164"/>
      <c r="X2575" s="164"/>
      <c r="Y2575" s="164"/>
      <c r="Z2575" s="164"/>
      <c r="AA2575" s="164"/>
      <c r="AB2575" s="164"/>
      <c r="AC2575" s="164"/>
      <c r="AD2575" s="164"/>
      <c r="AE2575" s="164"/>
      <c r="AF2575" s="164"/>
      <c r="AG2575" s="164"/>
      <c r="AH2575" s="164"/>
      <c r="AI2575" s="164"/>
    </row>
    <row r="2576">
      <c r="A2576" s="154"/>
      <c r="B2576" s="155"/>
      <c r="C2576" s="156"/>
      <c r="D2576" s="156"/>
      <c r="E2576" s="155"/>
      <c r="F2576" s="156"/>
      <c r="G2576" s="154"/>
      <c r="H2576" s="157"/>
      <c r="I2576" s="158"/>
      <c r="J2576" s="159"/>
      <c r="K2576" s="156"/>
      <c r="L2576" s="156"/>
      <c r="M2576" s="155"/>
      <c r="N2576" s="160"/>
      <c r="O2576" s="161"/>
      <c r="P2576" s="161"/>
      <c r="Q2576" s="159"/>
      <c r="R2576" s="162"/>
      <c r="S2576" s="162"/>
      <c r="T2576" s="162"/>
      <c r="U2576" s="163"/>
      <c r="V2576" s="154"/>
      <c r="W2576" s="164"/>
      <c r="X2576" s="164"/>
      <c r="Y2576" s="164"/>
      <c r="Z2576" s="164"/>
      <c r="AA2576" s="164"/>
      <c r="AB2576" s="164"/>
      <c r="AC2576" s="164"/>
      <c r="AD2576" s="164"/>
      <c r="AE2576" s="164"/>
      <c r="AF2576" s="164"/>
      <c r="AG2576" s="164"/>
      <c r="AH2576" s="164"/>
      <c r="AI2576" s="164"/>
    </row>
    <row r="2577">
      <c r="A2577" s="154"/>
      <c r="B2577" s="155"/>
      <c r="C2577" s="156"/>
      <c r="D2577" s="156"/>
      <c r="E2577" s="155"/>
      <c r="F2577" s="156"/>
      <c r="G2577" s="154"/>
      <c r="H2577" s="157"/>
      <c r="I2577" s="158"/>
      <c r="J2577" s="159"/>
      <c r="K2577" s="156"/>
      <c r="L2577" s="156"/>
      <c r="M2577" s="155"/>
      <c r="N2577" s="160"/>
      <c r="O2577" s="161"/>
      <c r="P2577" s="161"/>
      <c r="Q2577" s="203"/>
      <c r="R2577" s="162"/>
      <c r="S2577" s="162"/>
      <c r="T2577" s="162"/>
      <c r="U2577" s="163"/>
      <c r="V2577" s="154"/>
      <c r="W2577" s="164"/>
      <c r="X2577" s="164"/>
      <c r="Y2577" s="164"/>
      <c r="Z2577" s="164"/>
      <c r="AA2577" s="164"/>
      <c r="AB2577" s="164"/>
      <c r="AC2577" s="164"/>
      <c r="AD2577" s="164"/>
      <c r="AE2577" s="164"/>
      <c r="AF2577" s="164"/>
      <c r="AG2577" s="164"/>
      <c r="AH2577" s="164"/>
      <c r="AI2577" s="164"/>
    </row>
    <row r="2578">
      <c r="A2578" s="154"/>
      <c r="B2578" s="155"/>
      <c r="C2578" s="156"/>
      <c r="D2578" s="156"/>
      <c r="E2578" s="155"/>
      <c r="F2578" s="156"/>
      <c r="G2578" s="154"/>
      <c r="H2578" s="157"/>
      <c r="I2578" s="158"/>
      <c r="J2578" s="159"/>
      <c r="K2578" s="156"/>
      <c r="L2578" s="156"/>
      <c r="M2578" s="155"/>
      <c r="N2578" s="160"/>
      <c r="O2578" s="161"/>
      <c r="P2578" s="161"/>
      <c r="Q2578" s="203"/>
      <c r="R2578" s="162"/>
      <c r="S2578" s="162"/>
      <c r="T2578" s="162"/>
      <c r="U2578" s="163"/>
      <c r="V2578" s="215"/>
      <c r="W2578" s="164"/>
      <c r="X2578" s="164"/>
      <c r="Y2578" s="164"/>
      <c r="Z2578" s="164"/>
      <c r="AA2578" s="164"/>
      <c r="AB2578" s="164"/>
      <c r="AC2578" s="164"/>
      <c r="AD2578" s="164"/>
      <c r="AE2578" s="164"/>
      <c r="AF2578" s="164"/>
      <c r="AG2578" s="164"/>
      <c r="AH2578" s="164"/>
      <c r="AI2578" s="164"/>
    </row>
    <row r="2579">
      <c r="A2579" s="154"/>
      <c r="B2579" s="155"/>
      <c r="C2579" s="156"/>
      <c r="D2579" s="156"/>
      <c r="E2579" s="155"/>
      <c r="F2579" s="156"/>
      <c r="G2579" s="154"/>
      <c r="H2579" s="157"/>
      <c r="I2579" s="158"/>
      <c r="J2579" s="159"/>
      <c r="K2579" s="156"/>
      <c r="L2579" s="156"/>
      <c r="M2579" s="202"/>
      <c r="N2579" s="160"/>
      <c r="O2579" s="161"/>
      <c r="P2579" s="161"/>
      <c r="Q2579" s="203"/>
      <c r="R2579" s="162"/>
      <c r="S2579" s="162"/>
      <c r="T2579" s="162"/>
      <c r="U2579" s="163"/>
      <c r="V2579" s="154"/>
      <c r="W2579" s="164"/>
      <c r="X2579" s="164"/>
      <c r="Y2579" s="164"/>
      <c r="Z2579" s="164"/>
      <c r="AA2579" s="164"/>
      <c r="AB2579" s="164"/>
      <c r="AC2579" s="164"/>
      <c r="AD2579" s="164"/>
      <c r="AE2579" s="164"/>
      <c r="AF2579" s="164"/>
      <c r="AG2579" s="164"/>
      <c r="AH2579" s="164"/>
      <c r="AI2579" s="164"/>
    </row>
    <row r="2580">
      <c r="A2580" s="154"/>
      <c r="B2580" s="155"/>
      <c r="C2580" s="156"/>
      <c r="D2580" s="156"/>
      <c r="E2580" s="155"/>
      <c r="F2580" s="156"/>
      <c r="G2580" s="154"/>
      <c r="H2580" s="157"/>
      <c r="I2580" s="158"/>
      <c r="J2580" s="159"/>
      <c r="K2580" s="156"/>
      <c r="L2580" s="156"/>
      <c r="M2580" s="202"/>
      <c r="N2580" s="160"/>
      <c r="O2580" s="161"/>
      <c r="P2580" s="161"/>
      <c r="Q2580" s="203"/>
      <c r="R2580" s="162"/>
      <c r="S2580" s="162"/>
      <c r="T2580" s="162"/>
      <c r="U2580" s="163"/>
      <c r="V2580" s="154"/>
      <c r="W2580" s="164"/>
      <c r="X2580" s="164"/>
      <c r="Y2580" s="164"/>
      <c r="Z2580" s="164"/>
      <c r="AA2580" s="164"/>
      <c r="AB2580" s="164"/>
      <c r="AC2580" s="164"/>
      <c r="AD2580" s="164"/>
      <c r="AE2580" s="164"/>
      <c r="AF2580" s="164"/>
      <c r="AG2580" s="164"/>
      <c r="AH2580" s="164"/>
      <c r="AI2580" s="164"/>
    </row>
    <row r="2581">
      <c r="A2581" s="154"/>
      <c r="B2581" s="155"/>
      <c r="C2581" s="156"/>
      <c r="D2581" s="156"/>
      <c r="E2581" s="155"/>
      <c r="F2581" s="156"/>
      <c r="G2581" s="154"/>
      <c r="H2581" s="157"/>
      <c r="I2581" s="158"/>
      <c r="J2581" s="159"/>
      <c r="K2581" s="156"/>
      <c r="L2581" s="156"/>
      <c r="M2581" s="202"/>
      <c r="N2581" s="160"/>
      <c r="O2581" s="161"/>
      <c r="P2581" s="161"/>
      <c r="Q2581" s="203"/>
      <c r="R2581" s="162"/>
      <c r="S2581" s="162"/>
      <c r="T2581" s="162"/>
      <c r="U2581" s="163"/>
      <c r="V2581" s="154"/>
      <c r="W2581" s="164"/>
      <c r="X2581" s="164"/>
      <c r="Y2581" s="164"/>
      <c r="Z2581" s="164"/>
      <c r="AA2581" s="164"/>
      <c r="AB2581" s="164"/>
      <c r="AC2581" s="164"/>
      <c r="AD2581" s="164"/>
      <c r="AE2581" s="164"/>
      <c r="AF2581" s="164"/>
      <c r="AG2581" s="164"/>
      <c r="AH2581" s="164"/>
      <c r="AI2581" s="164"/>
    </row>
    <row r="2582">
      <c r="A2582" s="154"/>
      <c r="B2582" s="155"/>
      <c r="C2582" s="156"/>
      <c r="D2582" s="156"/>
      <c r="E2582" s="155"/>
      <c r="F2582" s="156"/>
      <c r="G2582" s="154"/>
      <c r="H2582" s="157"/>
      <c r="I2582" s="158"/>
      <c r="J2582" s="159"/>
      <c r="K2582" s="156"/>
      <c r="L2582" s="156"/>
      <c r="M2582" s="202"/>
      <c r="N2582" s="160"/>
      <c r="O2582" s="161"/>
      <c r="P2582" s="161"/>
      <c r="Q2582" s="203"/>
      <c r="R2582" s="162"/>
      <c r="S2582" s="162"/>
      <c r="T2582" s="162"/>
      <c r="U2582" s="163"/>
      <c r="V2582" s="154"/>
      <c r="W2582" s="164"/>
      <c r="X2582" s="164"/>
      <c r="Y2582" s="164"/>
      <c r="Z2582" s="164"/>
      <c r="AA2582" s="164"/>
      <c r="AB2582" s="164"/>
      <c r="AC2582" s="164"/>
      <c r="AD2582" s="164"/>
      <c r="AE2582" s="164"/>
      <c r="AF2582" s="164"/>
      <c r="AG2582" s="164"/>
      <c r="AH2582" s="164"/>
      <c r="AI2582" s="164"/>
    </row>
    <row r="2583">
      <c r="A2583" s="154"/>
      <c r="B2583" s="155"/>
      <c r="C2583" s="156"/>
      <c r="D2583" s="156"/>
      <c r="E2583" s="155"/>
      <c r="F2583" s="156"/>
      <c r="G2583" s="154"/>
      <c r="H2583" s="157"/>
      <c r="I2583" s="158"/>
      <c r="J2583" s="159"/>
      <c r="K2583" s="156"/>
      <c r="L2583" s="156"/>
      <c r="M2583" s="202"/>
      <c r="N2583" s="160"/>
      <c r="O2583" s="161"/>
      <c r="P2583" s="161"/>
      <c r="Q2583" s="203"/>
      <c r="R2583" s="162"/>
      <c r="S2583" s="162"/>
      <c r="T2583" s="162"/>
      <c r="U2583" s="163"/>
      <c r="V2583" s="154"/>
      <c r="W2583" s="164"/>
      <c r="X2583" s="164"/>
      <c r="Y2583" s="164"/>
      <c r="Z2583" s="164"/>
      <c r="AA2583" s="164"/>
      <c r="AB2583" s="164"/>
      <c r="AC2583" s="164"/>
      <c r="AD2583" s="164"/>
      <c r="AE2583" s="164"/>
      <c r="AF2583" s="164"/>
      <c r="AG2583" s="164"/>
      <c r="AH2583" s="164"/>
      <c r="AI2583" s="164"/>
    </row>
    <row r="2584">
      <c r="A2584" s="154"/>
      <c r="B2584" s="155"/>
      <c r="C2584" s="156"/>
      <c r="D2584" s="156"/>
      <c r="E2584" s="155"/>
      <c r="F2584" s="156"/>
      <c r="G2584" s="154"/>
      <c r="H2584" s="157"/>
      <c r="I2584" s="158"/>
      <c r="J2584" s="159"/>
      <c r="K2584" s="156"/>
      <c r="L2584" s="156"/>
      <c r="M2584" s="155"/>
      <c r="N2584" s="160"/>
      <c r="O2584" s="161"/>
      <c r="P2584" s="161"/>
      <c r="Q2584" s="203"/>
      <c r="R2584" s="162"/>
      <c r="S2584" s="162"/>
      <c r="T2584" s="162"/>
      <c r="U2584" s="163"/>
      <c r="V2584" s="154"/>
      <c r="W2584" s="164"/>
      <c r="X2584" s="164"/>
      <c r="Y2584" s="164"/>
      <c r="Z2584" s="164"/>
      <c r="AA2584" s="164"/>
      <c r="AB2584" s="164"/>
      <c r="AC2584" s="164"/>
      <c r="AD2584" s="164"/>
      <c r="AE2584" s="164"/>
      <c r="AF2584" s="164"/>
      <c r="AG2584" s="164"/>
      <c r="AH2584" s="164"/>
      <c r="AI2584" s="164"/>
    </row>
    <row r="2585">
      <c r="A2585" s="154"/>
      <c r="B2585" s="155"/>
      <c r="C2585" s="156"/>
      <c r="D2585" s="156"/>
      <c r="E2585" s="155"/>
      <c r="F2585" s="156"/>
      <c r="G2585" s="154"/>
      <c r="H2585" s="157"/>
      <c r="I2585" s="158"/>
      <c r="J2585" s="159"/>
      <c r="K2585" s="156"/>
      <c r="L2585" s="156"/>
      <c r="M2585" s="202"/>
      <c r="N2585" s="160"/>
      <c r="O2585" s="161"/>
      <c r="P2585" s="161"/>
      <c r="Q2585" s="203"/>
      <c r="R2585" s="162"/>
      <c r="S2585" s="162"/>
      <c r="T2585" s="162"/>
      <c r="U2585" s="163"/>
      <c r="V2585" s="154"/>
      <c r="W2585" s="164"/>
      <c r="X2585" s="164"/>
      <c r="Y2585" s="164"/>
      <c r="Z2585" s="164"/>
      <c r="AA2585" s="164"/>
      <c r="AB2585" s="164"/>
      <c r="AC2585" s="164"/>
      <c r="AD2585" s="164"/>
      <c r="AE2585" s="164"/>
      <c r="AF2585" s="164"/>
      <c r="AG2585" s="164"/>
      <c r="AH2585" s="164"/>
      <c r="AI2585" s="164"/>
    </row>
    <row r="2586">
      <c r="A2586" s="154"/>
      <c r="B2586" s="155"/>
      <c r="C2586" s="156"/>
      <c r="D2586" s="156"/>
      <c r="E2586" s="155"/>
      <c r="F2586" s="156"/>
      <c r="G2586" s="154"/>
      <c r="H2586" s="157"/>
      <c r="I2586" s="158"/>
      <c r="J2586" s="159"/>
      <c r="K2586" s="156"/>
      <c r="L2586" s="156"/>
      <c r="M2586" s="202"/>
      <c r="N2586" s="160"/>
      <c r="O2586" s="161"/>
      <c r="P2586" s="161"/>
      <c r="Q2586" s="203"/>
      <c r="R2586" s="162"/>
      <c r="S2586" s="162"/>
      <c r="T2586" s="162"/>
      <c r="U2586" s="163"/>
      <c r="V2586" s="154"/>
      <c r="W2586" s="164"/>
      <c r="X2586" s="164"/>
      <c r="Y2586" s="164"/>
      <c r="Z2586" s="164"/>
      <c r="AA2586" s="164"/>
      <c r="AB2586" s="164"/>
      <c r="AC2586" s="164"/>
      <c r="AD2586" s="164"/>
      <c r="AE2586" s="164"/>
      <c r="AF2586" s="164"/>
      <c r="AG2586" s="164"/>
      <c r="AH2586" s="164"/>
      <c r="AI2586" s="164"/>
    </row>
    <row r="2587">
      <c r="A2587" s="154"/>
      <c r="B2587" s="155"/>
      <c r="C2587" s="156"/>
      <c r="D2587" s="156"/>
      <c r="E2587" s="155"/>
      <c r="F2587" s="156"/>
      <c r="G2587" s="154"/>
      <c r="H2587" s="157"/>
      <c r="I2587" s="158"/>
      <c r="J2587" s="159"/>
      <c r="K2587" s="156"/>
      <c r="L2587" s="156"/>
      <c r="M2587" s="155"/>
      <c r="N2587" s="160"/>
      <c r="O2587" s="161"/>
      <c r="P2587" s="161"/>
      <c r="Q2587" s="203"/>
      <c r="R2587" s="162"/>
      <c r="S2587" s="162"/>
      <c r="T2587" s="162"/>
      <c r="U2587" s="163"/>
      <c r="V2587" s="154"/>
      <c r="W2587" s="164"/>
      <c r="X2587" s="164"/>
      <c r="Y2587" s="164"/>
      <c r="Z2587" s="164"/>
      <c r="AA2587" s="164"/>
      <c r="AB2587" s="164"/>
      <c r="AC2587" s="164"/>
      <c r="AD2587" s="164"/>
      <c r="AE2587" s="164"/>
      <c r="AF2587" s="164"/>
      <c r="AG2587" s="164"/>
      <c r="AH2587" s="164"/>
      <c r="AI2587" s="164"/>
    </row>
    <row r="2588">
      <c r="A2588" s="154"/>
      <c r="B2588" s="155"/>
      <c r="C2588" s="156"/>
      <c r="D2588" s="156"/>
      <c r="E2588" s="155"/>
      <c r="F2588" s="156"/>
      <c r="G2588" s="154"/>
      <c r="H2588" s="157"/>
      <c r="I2588" s="158"/>
      <c r="J2588" s="159"/>
      <c r="K2588" s="156"/>
      <c r="L2588" s="156"/>
      <c r="M2588" s="202"/>
      <c r="N2588" s="160"/>
      <c r="O2588" s="161"/>
      <c r="P2588" s="161"/>
      <c r="Q2588" s="203"/>
      <c r="R2588" s="162"/>
      <c r="S2588" s="162"/>
      <c r="T2588" s="162"/>
      <c r="U2588" s="163"/>
      <c r="V2588" s="154"/>
      <c r="W2588" s="164"/>
      <c r="X2588" s="164"/>
      <c r="Y2588" s="164"/>
      <c r="Z2588" s="164"/>
      <c r="AA2588" s="164"/>
      <c r="AB2588" s="164"/>
      <c r="AC2588" s="164"/>
      <c r="AD2588" s="164"/>
      <c r="AE2588" s="164"/>
      <c r="AF2588" s="164"/>
      <c r="AG2588" s="164"/>
      <c r="AH2588" s="164"/>
      <c r="AI2588" s="164"/>
    </row>
    <row r="2589">
      <c r="A2589" s="154"/>
      <c r="B2589" s="155"/>
      <c r="C2589" s="156"/>
      <c r="D2589" s="156"/>
      <c r="E2589" s="155"/>
      <c r="F2589" s="156"/>
      <c r="G2589" s="154"/>
      <c r="H2589" s="157"/>
      <c r="I2589" s="158"/>
      <c r="J2589" s="159"/>
      <c r="K2589" s="156"/>
      <c r="L2589" s="156"/>
      <c r="M2589" s="202"/>
      <c r="N2589" s="160"/>
      <c r="O2589" s="161"/>
      <c r="P2589" s="161"/>
      <c r="Q2589" s="203"/>
      <c r="R2589" s="162"/>
      <c r="S2589" s="162"/>
      <c r="T2589" s="162"/>
      <c r="U2589" s="163"/>
      <c r="V2589" s="154"/>
      <c r="W2589" s="164"/>
      <c r="X2589" s="164"/>
      <c r="Y2589" s="164"/>
      <c r="Z2589" s="164"/>
      <c r="AA2589" s="164"/>
      <c r="AB2589" s="164"/>
      <c r="AC2589" s="164"/>
      <c r="AD2589" s="164"/>
      <c r="AE2589" s="164"/>
      <c r="AF2589" s="164"/>
      <c r="AG2589" s="164"/>
      <c r="AH2589" s="164"/>
      <c r="AI2589" s="164"/>
    </row>
    <row r="2590">
      <c r="A2590" s="154"/>
      <c r="B2590" s="155"/>
      <c r="C2590" s="156"/>
      <c r="D2590" s="156"/>
      <c r="E2590" s="155"/>
      <c r="F2590" s="156"/>
      <c r="G2590" s="154"/>
      <c r="H2590" s="157"/>
      <c r="I2590" s="158"/>
      <c r="J2590" s="159"/>
      <c r="K2590" s="156"/>
      <c r="L2590" s="156"/>
      <c r="M2590" s="202"/>
      <c r="N2590" s="160"/>
      <c r="O2590" s="161"/>
      <c r="P2590" s="161"/>
      <c r="Q2590" s="203"/>
      <c r="R2590" s="162"/>
      <c r="S2590" s="162"/>
      <c r="T2590" s="162"/>
      <c r="U2590" s="163"/>
      <c r="V2590" s="154"/>
      <c r="W2590" s="164"/>
      <c r="X2590" s="164"/>
      <c r="Y2590" s="164"/>
      <c r="Z2590" s="164"/>
      <c r="AA2590" s="164"/>
      <c r="AB2590" s="164"/>
      <c r="AC2590" s="164"/>
      <c r="AD2590" s="164"/>
      <c r="AE2590" s="164"/>
      <c r="AF2590" s="164"/>
      <c r="AG2590" s="164"/>
      <c r="AH2590" s="164"/>
      <c r="AI2590" s="164"/>
    </row>
    <row r="2591">
      <c r="A2591" s="154"/>
      <c r="B2591" s="155"/>
      <c r="C2591" s="156"/>
      <c r="D2591" s="156"/>
      <c r="E2591" s="155"/>
      <c r="F2591" s="156"/>
      <c r="G2591" s="154"/>
      <c r="H2591" s="157"/>
      <c r="I2591" s="158"/>
      <c r="J2591" s="159"/>
      <c r="K2591" s="156"/>
      <c r="L2591" s="156"/>
      <c r="M2591" s="202"/>
      <c r="N2591" s="160"/>
      <c r="O2591" s="161"/>
      <c r="P2591" s="161"/>
      <c r="Q2591" s="203"/>
      <c r="R2591" s="162"/>
      <c r="S2591" s="162"/>
      <c r="T2591" s="162"/>
      <c r="U2591" s="163"/>
      <c r="V2591" s="154"/>
      <c r="W2591" s="164"/>
      <c r="X2591" s="164"/>
      <c r="Y2591" s="164"/>
      <c r="Z2591" s="164"/>
      <c r="AA2591" s="164"/>
      <c r="AB2591" s="164"/>
      <c r="AC2591" s="164"/>
      <c r="AD2591" s="164"/>
      <c r="AE2591" s="164"/>
      <c r="AF2591" s="164"/>
      <c r="AG2591" s="164"/>
      <c r="AH2591" s="164"/>
      <c r="AI2591" s="164"/>
    </row>
    <row r="2592">
      <c r="A2592" s="154"/>
      <c r="B2592" s="155"/>
      <c r="C2592" s="156"/>
      <c r="D2592" s="156"/>
      <c r="E2592" s="155"/>
      <c r="F2592" s="156"/>
      <c r="G2592" s="154"/>
      <c r="H2592" s="157"/>
      <c r="I2592" s="158"/>
      <c r="J2592" s="159"/>
      <c r="K2592" s="156"/>
      <c r="L2592" s="156"/>
      <c r="M2592" s="202"/>
      <c r="N2592" s="160"/>
      <c r="O2592" s="161"/>
      <c r="P2592" s="161"/>
      <c r="Q2592" s="203"/>
      <c r="R2592" s="162"/>
      <c r="S2592" s="162"/>
      <c r="T2592" s="162"/>
      <c r="U2592" s="163"/>
      <c r="V2592" s="154"/>
      <c r="W2592" s="164"/>
      <c r="X2592" s="164"/>
      <c r="Y2592" s="164"/>
      <c r="Z2592" s="164"/>
      <c r="AA2592" s="164"/>
      <c r="AB2592" s="164"/>
      <c r="AC2592" s="164"/>
      <c r="AD2592" s="164"/>
      <c r="AE2592" s="164"/>
      <c r="AF2592" s="164"/>
      <c r="AG2592" s="164"/>
      <c r="AH2592" s="164"/>
      <c r="AI2592" s="164"/>
    </row>
    <row r="2593">
      <c r="A2593" s="154"/>
      <c r="B2593" s="155"/>
      <c r="C2593" s="156"/>
      <c r="D2593" s="156"/>
      <c r="E2593" s="155"/>
      <c r="F2593" s="156"/>
      <c r="G2593" s="154"/>
      <c r="H2593" s="157"/>
      <c r="I2593" s="158"/>
      <c r="J2593" s="159"/>
      <c r="K2593" s="156"/>
      <c r="L2593" s="156"/>
      <c r="M2593" s="155"/>
      <c r="N2593" s="160"/>
      <c r="O2593" s="161"/>
      <c r="P2593" s="161"/>
      <c r="Q2593" s="203"/>
      <c r="R2593" s="162"/>
      <c r="S2593" s="162"/>
      <c r="T2593" s="162"/>
      <c r="U2593" s="163"/>
      <c r="V2593" s="154"/>
      <c r="W2593" s="164"/>
      <c r="X2593" s="164"/>
      <c r="Y2593" s="164"/>
      <c r="Z2593" s="164"/>
      <c r="AA2593" s="164"/>
      <c r="AB2593" s="164"/>
      <c r="AC2593" s="164"/>
      <c r="AD2593" s="164"/>
      <c r="AE2593" s="164"/>
      <c r="AF2593" s="164"/>
      <c r="AG2593" s="164"/>
      <c r="AH2593" s="164"/>
      <c r="AI2593" s="164"/>
    </row>
    <row r="2594">
      <c r="A2594" s="154"/>
      <c r="B2594" s="155"/>
      <c r="C2594" s="156"/>
      <c r="D2594" s="156"/>
      <c r="E2594" s="155"/>
      <c r="F2594" s="156"/>
      <c r="G2594" s="154"/>
      <c r="H2594" s="157"/>
      <c r="I2594" s="158"/>
      <c r="J2594" s="159"/>
      <c r="K2594" s="156"/>
      <c r="L2594" s="156"/>
      <c r="M2594" s="155"/>
      <c r="N2594" s="160"/>
      <c r="O2594" s="161"/>
      <c r="P2594" s="161"/>
      <c r="Q2594" s="203"/>
      <c r="R2594" s="162"/>
      <c r="S2594" s="162"/>
      <c r="T2594" s="162"/>
      <c r="U2594" s="163"/>
      <c r="V2594" s="154"/>
      <c r="W2594" s="164"/>
      <c r="X2594" s="164"/>
      <c r="Y2594" s="164"/>
      <c r="Z2594" s="164"/>
      <c r="AA2594" s="164"/>
      <c r="AB2594" s="164"/>
      <c r="AC2594" s="164"/>
      <c r="AD2594" s="164"/>
      <c r="AE2594" s="164"/>
      <c r="AF2594" s="164"/>
      <c r="AG2594" s="164"/>
      <c r="AH2594" s="164"/>
      <c r="AI2594" s="164"/>
    </row>
    <row r="2595">
      <c r="A2595" s="154"/>
      <c r="B2595" s="155"/>
      <c r="C2595" s="156"/>
      <c r="D2595" s="156"/>
      <c r="E2595" s="155"/>
      <c r="F2595" s="156"/>
      <c r="G2595" s="154"/>
      <c r="H2595" s="157"/>
      <c r="I2595" s="158"/>
      <c r="J2595" s="159"/>
      <c r="K2595" s="156"/>
      <c r="L2595" s="156"/>
      <c r="M2595" s="155"/>
      <c r="N2595" s="160"/>
      <c r="O2595" s="161"/>
      <c r="P2595" s="161"/>
      <c r="Q2595" s="203"/>
      <c r="R2595" s="162"/>
      <c r="S2595" s="162"/>
      <c r="T2595" s="162"/>
      <c r="U2595" s="163"/>
      <c r="V2595" s="154"/>
      <c r="W2595" s="164"/>
      <c r="X2595" s="164"/>
      <c r="Y2595" s="164"/>
      <c r="Z2595" s="164"/>
      <c r="AA2595" s="164"/>
      <c r="AB2595" s="164"/>
      <c r="AC2595" s="164"/>
      <c r="AD2595" s="164"/>
      <c r="AE2595" s="164"/>
      <c r="AF2595" s="164"/>
      <c r="AG2595" s="164"/>
      <c r="AH2595" s="164"/>
      <c r="AI2595" s="164"/>
    </row>
    <row r="2596">
      <c r="A2596" s="176"/>
      <c r="B2596" s="177"/>
      <c r="C2596" s="178"/>
      <c r="D2596" s="178"/>
      <c r="E2596" s="177"/>
      <c r="F2596" s="178"/>
      <c r="G2596" s="176"/>
      <c r="H2596" s="179"/>
      <c r="I2596" s="180"/>
      <c r="J2596" s="181"/>
      <c r="K2596" s="178"/>
      <c r="L2596" s="178"/>
      <c r="M2596" s="182"/>
      <c r="N2596" s="183"/>
      <c r="O2596" s="184"/>
      <c r="P2596" s="184"/>
      <c r="Q2596" s="185"/>
      <c r="R2596" s="186"/>
      <c r="S2596" s="186"/>
      <c r="T2596" s="186"/>
      <c r="U2596" s="187"/>
      <c r="V2596" s="176"/>
      <c r="W2596" s="164"/>
      <c r="X2596" s="164"/>
      <c r="Y2596" s="164"/>
      <c r="Z2596" s="164"/>
      <c r="AA2596" s="164"/>
      <c r="AB2596" s="164"/>
      <c r="AC2596" s="164"/>
      <c r="AD2596" s="164"/>
      <c r="AE2596" s="164"/>
      <c r="AF2596" s="164"/>
      <c r="AG2596" s="164"/>
      <c r="AH2596" s="164"/>
      <c r="AI2596" s="164"/>
    </row>
    <row r="2597">
      <c r="A2597" s="154"/>
      <c r="B2597" s="155"/>
      <c r="C2597" s="156"/>
      <c r="D2597" s="156"/>
      <c r="E2597" s="155"/>
      <c r="F2597" s="156"/>
      <c r="G2597" s="154"/>
      <c r="H2597" s="157"/>
      <c r="I2597" s="158"/>
      <c r="J2597" s="159"/>
      <c r="K2597" s="156"/>
      <c r="L2597" s="156"/>
      <c r="M2597" s="202"/>
      <c r="N2597" s="160"/>
      <c r="O2597" s="161"/>
      <c r="P2597" s="161"/>
      <c r="Q2597" s="203"/>
      <c r="R2597" s="162"/>
      <c r="S2597" s="162"/>
      <c r="T2597" s="162"/>
      <c r="U2597" s="163"/>
      <c r="V2597" s="154"/>
      <c r="W2597" s="164"/>
      <c r="X2597" s="164"/>
      <c r="Y2597" s="164"/>
      <c r="Z2597" s="164"/>
      <c r="AA2597" s="164"/>
      <c r="AB2597" s="164"/>
      <c r="AC2597" s="164"/>
      <c r="AD2597" s="164"/>
      <c r="AE2597" s="164"/>
      <c r="AF2597" s="164"/>
      <c r="AG2597" s="164"/>
      <c r="AH2597" s="164"/>
      <c r="AI2597" s="164"/>
    </row>
    <row r="2598">
      <c r="A2598" s="154"/>
      <c r="B2598" s="155"/>
      <c r="C2598" s="156"/>
      <c r="D2598" s="156"/>
      <c r="E2598" s="155"/>
      <c r="F2598" s="156"/>
      <c r="G2598" s="154"/>
      <c r="H2598" s="157"/>
      <c r="I2598" s="158"/>
      <c r="J2598" s="159"/>
      <c r="K2598" s="156"/>
      <c r="L2598" s="156"/>
      <c r="M2598" s="155"/>
      <c r="N2598" s="160"/>
      <c r="O2598" s="161"/>
      <c r="P2598" s="161"/>
      <c r="Q2598" s="203"/>
      <c r="R2598" s="162"/>
      <c r="S2598" s="162"/>
      <c r="T2598" s="162"/>
      <c r="U2598" s="163"/>
      <c r="V2598" s="154"/>
      <c r="W2598" s="164"/>
      <c r="X2598" s="164"/>
      <c r="Y2598" s="164"/>
      <c r="Z2598" s="164"/>
      <c r="AA2598" s="164"/>
      <c r="AB2598" s="164"/>
      <c r="AC2598" s="164"/>
      <c r="AD2598" s="164"/>
      <c r="AE2598" s="164"/>
      <c r="AF2598" s="164"/>
      <c r="AG2598" s="164"/>
      <c r="AH2598" s="164"/>
      <c r="AI2598" s="164"/>
    </row>
    <row r="2599">
      <c r="A2599" s="154"/>
      <c r="B2599" s="155"/>
      <c r="C2599" s="156"/>
      <c r="D2599" s="156"/>
      <c r="E2599" s="155"/>
      <c r="F2599" s="156"/>
      <c r="G2599" s="154"/>
      <c r="H2599" s="157"/>
      <c r="I2599" s="158"/>
      <c r="J2599" s="159"/>
      <c r="K2599" s="156"/>
      <c r="L2599" s="156"/>
      <c r="M2599" s="155"/>
      <c r="N2599" s="160"/>
      <c r="O2599" s="161"/>
      <c r="P2599" s="161"/>
      <c r="Q2599" s="203"/>
      <c r="R2599" s="162"/>
      <c r="S2599" s="162"/>
      <c r="T2599" s="162"/>
      <c r="U2599" s="163"/>
      <c r="V2599" s="154"/>
      <c r="W2599" s="164"/>
      <c r="X2599" s="164"/>
      <c r="Y2599" s="164"/>
      <c r="Z2599" s="164"/>
      <c r="AA2599" s="164"/>
      <c r="AB2599" s="164"/>
      <c r="AC2599" s="164"/>
      <c r="AD2599" s="164"/>
      <c r="AE2599" s="164"/>
      <c r="AF2599" s="164"/>
      <c r="AG2599" s="164"/>
      <c r="AH2599" s="164"/>
      <c r="AI2599" s="164"/>
    </row>
    <row r="2600">
      <c r="A2600" s="154"/>
      <c r="B2600" s="155"/>
      <c r="C2600" s="156"/>
      <c r="D2600" s="156"/>
      <c r="E2600" s="155"/>
      <c r="F2600" s="156"/>
      <c r="G2600" s="154"/>
      <c r="H2600" s="157"/>
      <c r="I2600" s="158"/>
      <c r="J2600" s="159"/>
      <c r="K2600" s="156"/>
      <c r="L2600" s="156"/>
      <c r="M2600" s="155"/>
      <c r="N2600" s="160"/>
      <c r="O2600" s="161"/>
      <c r="P2600" s="161"/>
      <c r="Q2600" s="159"/>
      <c r="R2600" s="162"/>
      <c r="S2600" s="162"/>
      <c r="T2600" s="162"/>
      <c r="U2600" s="163"/>
      <c r="V2600" s="154"/>
      <c r="W2600" s="164"/>
      <c r="X2600" s="164"/>
      <c r="Y2600" s="164"/>
      <c r="Z2600" s="164"/>
      <c r="AA2600" s="164"/>
      <c r="AB2600" s="164"/>
      <c r="AC2600" s="164"/>
      <c r="AD2600" s="164"/>
      <c r="AE2600" s="164"/>
      <c r="AF2600" s="164"/>
      <c r="AG2600" s="164"/>
      <c r="AH2600" s="164"/>
      <c r="AI2600" s="164"/>
    </row>
    <row r="2601">
      <c r="A2601" s="154"/>
      <c r="B2601" s="155"/>
      <c r="C2601" s="156"/>
      <c r="D2601" s="156"/>
      <c r="E2601" s="155"/>
      <c r="F2601" s="156"/>
      <c r="G2601" s="154"/>
      <c r="H2601" s="157"/>
      <c r="I2601" s="158"/>
      <c r="J2601" s="159"/>
      <c r="K2601" s="156"/>
      <c r="L2601" s="156"/>
      <c r="M2601" s="155"/>
      <c r="N2601" s="160"/>
      <c r="O2601" s="161"/>
      <c r="P2601" s="161"/>
      <c r="Q2601" s="203"/>
      <c r="R2601" s="162"/>
      <c r="S2601" s="162"/>
      <c r="T2601" s="162"/>
      <c r="U2601" s="163"/>
      <c r="V2601" s="154"/>
      <c r="W2601" s="164"/>
      <c r="X2601" s="164"/>
      <c r="Y2601" s="164"/>
      <c r="Z2601" s="164"/>
      <c r="AA2601" s="164"/>
      <c r="AB2601" s="164"/>
      <c r="AC2601" s="164"/>
      <c r="AD2601" s="164"/>
      <c r="AE2601" s="164"/>
      <c r="AF2601" s="164"/>
      <c r="AG2601" s="164"/>
      <c r="AH2601" s="164"/>
      <c r="AI2601" s="164"/>
    </row>
    <row r="2602">
      <c r="A2602" s="154"/>
      <c r="B2602" s="155"/>
      <c r="C2602" s="156"/>
      <c r="D2602" s="156"/>
      <c r="E2602" s="155"/>
      <c r="F2602" s="156"/>
      <c r="G2602" s="154"/>
      <c r="H2602" s="157"/>
      <c r="I2602" s="158"/>
      <c r="J2602" s="159"/>
      <c r="K2602" s="156"/>
      <c r="L2602" s="156"/>
      <c r="M2602" s="202"/>
      <c r="N2602" s="160"/>
      <c r="O2602" s="161"/>
      <c r="P2602" s="161"/>
      <c r="Q2602" s="203"/>
      <c r="R2602" s="162"/>
      <c r="S2602" s="162"/>
      <c r="T2602" s="162"/>
      <c r="U2602" s="163"/>
      <c r="V2602" s="154"/>
      <c r="W2602" s="164"/>
      <c r="X2602" s="164"/>
      <c r="Y2602" s="164"/>
      <c r="Z2602" s="164"/>
      <c r="AA2602" s="164"/>
      <c r="AB2602" s="164"/>
      <c r="AC2602" s="164"/>
      <c r="AD2602" s="164"/>
      <c r="AE2602" s="164"/>
      <c r="AF2602" s="164"/>
      <c r="AG2602" s="164"/>
      <c r="AH2602" s="164"/>
      <c r="AI2602" s="164"/>
    </row>
    <row r="2603">
      <c r="A2603" s="154"/>
      <c r="B2603" s="155"/>
      <c r="C2603" s="156"/>
      <c r="D2603" s="156"/>
      <c r="E2603" s="155"/>
      <c r="F2603" s="156"/>
      <c r="G2603" s="154"/>
      <c r="H2603" s="157"/>
      <c r="I2603" s="158"/>
      <c r="J2603" s="159"/>
      <c r="K2603" s="156"/>
      <c r="L2603" s="156"/>
      <c r="M2603" s="155"/>
      <c r="N2603" s="160"/>
      <c r="O2603" s="161"/>
      <c r="P2603" s="161"/>
      <c r="Q2603" s="203"/>
      <c r="R2603" s="162"/>
      <c r="S2603" s="162"/>
      <c r="T2603" s="162"/>
      <c r="U2603" s="163"/>
      <c r="V2603" s="154"/>
      <c r="W2603" s="164"/>
      <c r="X2603" s="164"/>
      <c r="Y2603" s="164"/>
      <c r="Z2603" s="164"/>
      <c r="AA2603" s="164"/>
      <c r="AB2603" s="164"/>
      <c r="AC2603" s="164"/>
      <c r="AD2603" s="164"/>
      <c r="AE2603" s="164"/>
      <c r="AF2603" s="164"/>
      <c r="AG2603" s="164"/>
      <c r="AH2603" s="164"/>
      <c r="AI2603" s="164"/>
    </row>
    <row r="2604">
      <c r="A2604" s="154"/>
      <c r="B2604" s="155"/>
      <c r="C2604" s="156"/>
      <c r="D2604" s="156"/>
      <c r="E2604" s="155"/>
      <c r="F2604" s="156"/>
      <c r="G2604" s="154"/>
      <c r="H2604" s="157"/>
      <c r="I2604" s="158"/>
      <c r="J2604" s="159"/>
      <c r="K2604" s="156"/>
      <c r="L2604" s="156"/>
      <c r="M2604" s="155"/>
      <c r="N2604" s="160"/>
      <c r="O2604" s="161"/>
      <c r="P2604" s="161"/>
      <c r="Q2604" s="203"/>
      <c r="R2604" s="162"/>
      <c r="S2604" s="162"/>
      <c r="T2604" s="162"/>
      <c r="U2604" s="163"/>
      <c r="V2604" s="154"/>
      <c r="W2604" s="164"/>
      <c r="X2604" s="164"/>
      <c r="Y2604" s="164"/>
      <c r="Z2604" s="164"/>
      <c r="AA2604" s="164"/>
      <c r="AB2604" s="164"/>
      <c r="AC2604" s="164"/>
      <c r="AD2604" s="164"/>
      <c r="AE2604" s="164"/>
      <c r="AF2604" s="164"/>
      <c r="AG2604" s="164"/>
      <c r="AH2604" s="164"/>
      <c r="AI2604" s="164"/>
    </row>
    <row r="2605">
      <c r="A2605" s="154"/>
      <c r="B2605" s="155"/>
      <c r="C2605" s="156"/>
      <c r="D2605" s="156"/>
      <c r="E2605" s="155"/>
      <c r="F2605" s="156"/>
      <c r="G2605" s="154"/>
      <c r="H2605" s="157"/>
      <c r="I2605" s="158"/>
      <c r="J2605" s="159"/>
      <c r="K2605" s="156"/>
      <c r="L2605" s="156"/>
      <c r="M2605" s="202"/>
      <c r="N2605" s="160"/>
      <c r="O2605" s="161"/>
      <c r="P2605" s="161"/>
      <c r="Q2605" s="203"/>
      <c r="R2605" s="162"/>
      <c r="S2605" s="162"/>
      <c r="T2605" s="162"/>
      <c r="U2605" s="163"/>
      <c r="V2605" s="154"/>
      <c r="W2605" s="164"/>
      <c r="X2605" s="164"/>
      <c r="Y2605" s="164"/>
      <c r="Z2605" s="164"/>
      <c r="AA2605" s="164"/>
      <c r="AB2605" s="164"/>
      <c r="AC2605" s="164"/>
      <c r="AD2605" s="164"/>
      <c r="AE2605" s="164"/>
      <c r="AF2605" s="164"/>
      <c r="AG2605" s="164"/>
      <c r="AH2605" s="164"/>
      <c r="AI2605" s="164"/>
    </row>
    <row r="2606">
      <c r="A2606" s="154"/>
      <c r="B2606" s="155"/>
      <c r="C2606" s="156"/>
      <c r="D2606" s="156"/>
      <c r="E2606" s="155"/>
      <c r="F2606" s="156"/>
      <c r="G2606" s="154"/>
      <c r="H2606" s="157"/>
      <c r="I2606" s="158"/>
      <c r="J2606" s="159"/>
      <c r="K2606" s="156"/>
      <c r="L2606" s="156"/>
      <c r="M2606" s="155"/>
      <c r="N2606" s="160"/>
      <c r="O2606" s="161"/>
      <c r="P2606" s="161"/>
      <c r="Q2606" s="203"/>
      <c r="R2606" s="162"/>
      <c r="S2606" s="162"/>
      <c r="T2606" s="162"/>
      <c r="U2606" s="163"/>
      <c r="V2606" s="154"/>
      <c r="W2606" s="164"/>
      <c r="X2606" s="164"/>
      <c r="Y2606" s="164"/>
      <c r="Z2606" s="164"/>
      <c r="AA2606" s="164"/>
      <c r="AB2606" s="164"/>
      <c r="AC2606" s="164"/>
      <c r="AD2606" s="164"/>
      <c r="AE2606" s="164"/>
      <c r="AF2606" s="164"/>
      <c r="AG2606" s="164"/>
      <c r="AH2606" s="164"/>
      <c r="AI2606" s="164"/>
    </row>
    <row r="2607">
      <c r="A2607" s="154"/>
      <c r="B2607" s="155"/>
      <c r="C2607" s="156"/>
      <c r="D2607" s="156"/>
      <c r="E2607" s="155"/>
      <c r="F2607" s="156"/>
      <c r="G2607" s="154"/>
      <c r="H2607" s="157"/>
      <c r="I2607" s="158"/>
      <c r="J2607" s="159"/>
      <c r="K2607" s="156"/>
      <c r="L2607" s="156"/>
      <c r="M2607" s="155"/>
      <c r="N2607" s="160"/>
      <c r="O2607" s="161"/>
      <c r="P2607" s="161"/>
      <c r="Q2607" s="159"/>
      <c r="R2607" s="162"/>
      <c r="S2607" s="162"/>
      <c r="T2607" s="162"/>
      <c r="U2607" s="163"/>
      <c r="V2607" s="154"/>
      <c r="W2607" s="164"/>
      <c r="X2607" s="164"/>
      <c r="Y2607" s="164"/>
      <c r="Z2607" s="164"/>
      <c r="AA2607" s="164"/>
      <c r="AB2607" s="164"/>
      <c r="AC2607" s="164"/>
      <c r="AD2607" s="164"/>
      <c r="AE2607" s="164"/>
      <c r="AF2607" s="164"/>
      <c r="AG2607" s="164"/>
      <c r="AH2607" s="164"/>
      <c r="AI2607" s="164"/>
    </row>
    <row r="2608">
      <c r="A2608" s="154"/>
      <c r="B2608" s="155"/>
      <c r="C2608" s="156"/>
      <c r="D2608" s="156"/>
      <c r="E2608" s="155"/>
      <c r="F2608" s="156"/>
      <c r="G2608" s="154"/>
      <c r="H2608" s="157"/>
      <c r="I2608" s="158"/>
      <c r="J2608" s="159"/>
      <c r="K2608" s="156"/>
      <c r="L2608" s="156"/>
      <c r="M2608" s="155"/>
      <c r="N2608" s="160"/>
      <c r="O2608" s="161"/>
      <c r="P2608" s="161"/>
      <c r="Q2608" s="203"/>
      <c r="R2608" s="162"/>
      <c r="S2608" s="162"/>
      <c r="T2608" s="162"/>
      <c r="U2608" s="163"/>
      <c r="V2608" s="154"/>
      <c r="W2608" s="164"/>
      <c r="X2608" s="164"/>
      <c r="Y2608" s="164"/>
      <c r="Z2608" s="164"/>
      <c r="AA2608" s="164"/>
      <c r="AB2608" s="164"/>
      <c r="AC2608" s="164"/>
      <c r="AD2608" s="164"/>
      <c r="AE2608" s="164"/>
      <c r="AF2608" s="164"/>
      <c r="AG2608" s="164"/>
      <c r="AH2608" s="164"/>
      <c r="AI2608" s="164"/>
    </row>
    <row r="2609">
      <c r="A2609" s="154"/>
      <c r="B2609" s="155"/>
      <c r="C2609" s="156"/>
      <c r="D2609" s="156"/>
      <c r="E2609" s="155"/>
      <c r="F2609" s="156"/>
      <c r="G2609" s="154"/>
      <c r="H2609" s="157"/>
      <c r="I2609" s="158"/>
      <c r="J2609" s="159"/>
      <c r="K2609" s="156"/>
      <c r="L2609" s="156"/>
      <c r="M2609" s="155"/>
      <c r="N2609" s="160"/>
      <c r="O2609" s="161"/>
      <c r="P2609" s="161"/>
      <c r="Q2609" s="203"/>
      <c r="R2609" s="162"/>
      <c r="S2609" s="162"/>
      <c r="T2609" s="162"/>
      <c r="U2609" s="163"/>
      <c r="V2609" s="154"/>
      <c r="W2609" s="164"/>
      <c r="X2609" s="164"/>
      <c r="Y2609" s="164"/>
      <c r="Z2609" s="164"/>
      <c r="AA2609" s="164"/>
      <c r="AB2609" s="164"/>
      <c r="AC2609" s="164"/>
      <c r="AD2609" s="164"/>
      <c r="AE2609" s="164"/>
      <c r="AF2609" s="164"/>
      <c r="AG2609" s="164"/>
      <c r="AH2609" s="164"/>
      <c r="AI2609" s="164"/>
    </row>
    <row r="2610">
      <c r="A2610" s="154"/>
      <c r="B2610" s="155"/>
      <c r="C2610" s="156"/>
      <c r="D2610" s="156"/>
      <c r="E2610" s="155"/>
      <c r="F2610" s="156"/>
      <c r="G2610" s="154"/>
      <c r="H2610" s="157"/>
      <c r="I2610" s="158"/>
      <c r="J2610" s="159"/>
      <c r="K2610" s="156"/>
      <c r="L2610" s="156"/>
      <c r="M2610" s="202"/>
      <c r="N2610" s="160"/>
      <c r="O2610" s="161"/>
      <c r="P2610" s="161"/>
      <c r="Q2610" s="203"/>
      <c r="R2610" s="162"/>
      <c r="S2610" s="162"/>
      <c r="T2610" s="162"/>
      <c r="U2610" s="163"/>
      <c r="V2610" s="154"/>
      <c r="W2610" s="164"/>
      <c r="X2610" s="164"/>
      <c r="Y2610" s="164"/>
      <c r="Z2610" s="164"/>
      <c r="AA2610" s="164"/>
      <c r="AB2610" s="164"/>
      <c r="AC2610" s="164"/>
      <c r="AD2610" s="164"/>
      <c r="AE2610" s="164"/>
      <c r="AF2610" s="164"/>
      <c r="AG2610" s="164"/>
      <c r="AH2610" s="164"/>
      <c r="AI2610" s="164"/>
    </row>
    <row r="2611">
      <c r="A2611" s="154"/>
      <c r="B2611" s="155"/>
      <c r="C2611" s="156"/>
      <c r="D2611" s="156"/>
      <c r="E2611" s="155"/>
      <c r="F2611" s="156"/>
      <c r="G2611" s="154"/>
      <c r="H2611" s="157"/>
      <c r="I2611" s="158"/>
      <c r="J2611" s="159"/>
      <c r="K2611" s="156"/>
      <c r="L2611" s="156"/>
      <c r="M2611" s="155"/>
      <c r="N2611" s="160"/>
      <c r="O2611" s="161"/>
      <c r="P2611" s="161"/>
      <c r="Q2611" s="203"/>
      <c r="R2611" s="162"/>
      <c r="S2611" s="162"/>
      <c r="T2611" s="162"/>
      <c r="U2611" s="163"/>
      <c r="V2611" s="154"/>
      <c r="W2611" s="164"/>
      <c r="X2611" s="164"/>
      <c r="Y2611" s="164"/>
      <c r="Z2611" s="164"/>
      <c r="AA2611" s="164"/>
      <c r="AB2611" s="164"/>
      <c r="AC2611" s="164"/>
      <c r="AD2611" s="164"/>
      <c r="AE2611" s="164"/>
      <c r="AF2611" s="164"/>
      <c r="AG2611" s="164"/>
      <c r="AH2611" s="164"/>
      <c r="AI2611" s="164"/>
    </row>
    <row r="2612">
      <c r="A2612" s="154"/>
      <c r="B2612" s="155"/>
      <c r="C2612" s="156"/>
      <c r="D2612" s="156"/>
      <c r="E2612" s="155"/>
      <c r="F2612" s="156"/>
      <c r="G2612" s="154"/>
      <c r="H2612" s="157"/>
      <c r="I2612" s="158"/>
      <c r="J2612" s="159"/>
      <c r="K2612" s="156"/>
      <c r="L2612" s="156"/>
      <c r="M2612" s="155"/>
      <c r="N2612" s="160"/>
      <c r="O2612" s="161"/>
      <c r="P2612" s="161"/>
      <c r="Q2612" s="203"/>
      <c r="R2612" s="162"/>
      <c r="S2612" s="162"/>
      <c r="T2612" s="162"/>
      <c r="U2612" s="163"/>
      <c r="V2612" s="154"/>
      <c r="W2612" s="164"/>
      <c r="X2612" s="164"/>
      <c r="Y2612" s="164"/>
      <c r="Z2612" s="164"/>
      <c r="AA2612" s="164"/>
      <c r="AB2612" s="164"/>
      <c r="AC2612" s="164"/>
      <c r="AD2612" s="164"/>
      <c r="AE2612" s="164"/>
      <c r="AF2612" s="164"/>
      <c r="AG2612" s="164"/>
      <c r="AH2612" s="164"/>
      <c r="AI2612" s="164"/>
    </row>
    <row r="2613">
      <c r="A2613" s="154"/>
      <c r="B2613" s="155"/>
      <c r="C2613" s="156"/>
      <c r="D2613" s="156"/>
      <c r="E2613" s="155"/>
      <c r="F2613" s="156"/>
      <c r="G2613" s="154"/>
      <c r="H2613" s="157"/>
      <c r="I2613" s="158"/>
      <c r="J2613" s="159"/>
      <c r="K2613" s="156"/>
      <c r="L2613" s="156"/>
      <c r="M2613" s="155"/>
      <c r="N2613" s="160"/>
      <c r="O2613" s="161"/>
      <c r="P2613" s="161"/>
      <c r="Q2613" s="203"/>
      <c r="R2613" s="162"/>
      <c r="S2613" s="162"/>
      <c r="T2613" s="162"/>
      <c r="U2613" s="163"/>
      <c r="V2613" s="154"/>
      <c r="W2613" s="164"/>
      <c r="X2613" s="164"/>
      <c r="Y2613" s="164"/>
      <c r="Z2613" s="164"/>
      <c r="AA2613" s="164"/>
      <c r="AB2613" s="164"/>
      <c r="AC2613" s="164"/>
      <c r="AD2613" s="164"/>
      <c r="AE2613" s="164"/>
      <c r="AF2613" s="164"/>
      <c r="AG2613" s="164"/>
      <c r="AH2613" s="164"/>
      <c r="AI2613" s="164"/>
    </row>
    <row r="2614">
      <c r="A2614" s="176"/>
      <c r="B2614" s="177"/>
      <c r="C2614" s="178"/>
      <c r="D2614" s="178"/>
      <c r="E2614" s="177"/>
      <c r="F2614" s="178"/>
      <c r="G2614" s="176"/>
      <c r="H2614" s="179"/>
      <c r="I2614" s="180"/>
      <c r="J2614" s="181"/>
      <c r="K2614" s="178"/>
      <c r="L2614" s="178"/>
      <c r="M2614" s="182"/>
      <c r="N2614" s="183"/>
      <c r="O2614" s="184"/>
      <c r="P2614" s="184"/>
      <c r="Q2614" s="185"/>
      <c r="R2614" s="186"/>
      <c r="S2614" s="186"/>
      <c r="T2614" s="186"/>
      <c r="U2614" s="187"/>
      <c r="V2614" s="189"/>
      <c r="W2614" s="164"/>
      <c r="X2614" s="164"/>
      <c r="Y2614" s="164"/>
      <c r="Z2614" s="164"/>
      <c r="AA2614" s="164"/>
      <c r="AB2614" s="164"/>
      <c r="AC2614" s="164"/>
      <c r="AD2614" s="164"/>
      <c r="AE2614" s="164"/>
      <c r="AF2614" s="164"/>
      <c r="AG2614" s="164"/>
      <c r="AH2614" s="164"/>
      <c r="AI2614" s="164"/>
    </row>
    <row r="2615">
      <c r="A2615" s="154"/>
      <c r="B2615" s="155"/>
      <c r="C2615" s="156"/>
      <c r="D2615" s="156"/>
      <c r="E2615" s="155"/>
      <c r="F2615" s="156"/>
      <c r="G2615" s="154"/>
      <c r="H2615" s="157"/>
      <c r="I2615" s="158"/>
      <c r="J2615" s="159"/>
      <c r="K2615" s="156"/>
      <c r="L2615" s="156"/>
      <c r="M2615" s="155"/>
      <c r="N2615" s="160"/>
      <c r="O2615" s="161"/>
      <c r="P2615" s="161"/>
      <c r="Q2615" s="159"/>
      <c r="R2615" s="162"/>
      <c r="S2615" s="162"/>
      <c r="T2615" s="162"/>
      <c r="U2615" s="163"/>
      <c r="V2615" s="154"/>
      <c r="W2615" s="164"/>
      <c r="X2615" s="164"/>
      <c r="Y2615" s="164"/>
      <c r="Z2615" s="164"/>
      <c r="AA2615" s="164"/>
      <c r="AB2615" s="164"/>
      <c r="AC2615" s="164"/>
      <c r="AD2615" s="164"/>
      <c r="AE2615" s="164"/>
      <c r="AF2615" s="164"/>
      <c r="AG2615" s="164"/>
      <c r="AH2615" s="164"/>
      <c r="AI2615" s="164"/>
    </row>
    <row r="2616">
      <c r="A2616" s="154"/>
      <c r="B2616" s="155"/>
      <c r="C2616" s="156"/>
      <c r="D2616" s="156"/>
      <c r="E2616" s="155"/>
      <c r="F2616" s="156"/>
      <c r="G2616" s="154"/>
      <c r="H2616" s="157"/>
      <c r="I2616" s="158"/>
      <c r="J2616" s="159"/>
      <c r="K2616" s="156"/>
      <c r="L2616" s="156"/>
      <c r="M2616" s="202"/>
      <c r="N2616" s="160"/>
      <c r="O2616" s="161"/>
      <c r="P2616" s="161"/>
      <c r="Q2616" s="203"/>
      <c r="R2616" s="162"/>
      <c r="S2616" s="162"/>
      <c r="T2616" s="162"/>
      <c r="U2616" s="163"/>
      <c r="V2616" s="154"/>
      <c r="W2616" s="164"/>
      <c r="X2616" s="164"/>
      <c r="Y2616" s="164"/>
      <c r="Z2616" s="164"/>
      <c r="AA2616" s="164"/>
      <c r="AB2616" s="164"/>
      <c r="AC2616" s="164"/>
      <c r="AD2616" s="164"/>
      <c r="AE2616" s="164"/>
      <c r="AF2616" s="164"/>
      <c r="AG2616" s="164"/>
      <c r="AH2616" s="164"/>
      <c r="AI2616" s="164"/>
    </row>
    <row r="2617">
      <c r="A2617" s="154"/>
      <c r="B2617" s="155"/>
      <c r="C2617" s="156"/>
      <c r="D2617" s="156"/>
      <c r="E2617" s="155"/>
      <c r="F2617" s="156"/>
      <c r="G2617" s="154"/>
      <c r="H2617" s="157"/>
      <c r="I2617" s="158"/>
      <c r="J2617" s="159"/>
      <c r="K2617" s="156"/>
      <c r="L2617" s="156"/>
      <c r="M2617" s="202"/>
      <c r="N2617" s="160"/>
      <c r="O2617" s="161"/>
      <c r="P2617" s="161"/>
      <c r="Q2617" s="203"/>
      <c r="R2617" s="162"/>
      <c r="S2617" s="162"/>
      <c r="T2617" s="162"/>
      <c r="U2617" s="163"/>
      <c r="V2617" s="154"/>
      <c r="W2617" s="164"/>
      <c r="X2617" s="164"/>
      <c r="Y2617" s="164"/>
      <c r="Z2617" s="164"/>
      <c r="AA2617" s="164"/>
      <c r="AB2617" s="164"/>
      <c r="AC2617" s="164"/>
      <c r="AD2617" s="164"/>
      <c r="AE2617" s="164"/>
      <c r="AF2617" s="164"/>
      <c r="AG2617" s="164"/>
      <c r="AH2617" s="164"/>
      <c r="AI2617" s="164"/>
    </row>
    <row r="2618">
      <c r="A2618" s="154"/>
      <c r="B2618" s="155"/>
      <c r="C2618" s="156"/>
      <c r="D2618" s="156"/>
      <c r="E2618" s="155"/>
      <c r="F2618" s="156"/>
      <c r="G2618" s="154"/>
      <c r="H2618" s="157"/>
      <c r="I2618" s="158"/>
      <c r="J2618" s="159"/>
      <c r="K2618" s="156"/>
      <c r="L2618" s="156"/>
      <c r="M2618" s="202"/>
      <c r="N2618" s="160"/>
      <c r="O2618" s="161"/>
      <c r="P2618" s="161"/>
      <c r="Q2618" s="203"/>
      <c r="R2618" s="162"/>
      <c r="S2618" s="162"/>
      <c r="T2618" s="162"/>
      <c r="U2618" s="163"/>
      <c r="V2618" s="154"/>
      <c r="W2618" s="164"/>
      <c r="X2618" s="164"/>
      <c r="Y2618" s="164"/>
      <c r="Z2618" s="164"/>
      <c r="AA2618" s="164"/>
      <c r="AB2618" s="164"/>
      <c r="AC2618" s="164"/>
      <c r="AD2618" s="164"/>
      <c r="AE2618" s="164"/>
      <c r="AF2618" s="164"/>
      <c r="AG2618" s="164"/>
      <c r="AH2618" s="164"/>
      <c r="AI2618" s="164"/>
    </row>
    <row r="2619">
      <c r="A2619" s="154"/>
      <c r="B2619" s="155"/>
      <c r="C2619" s="156"/>
      <c r="D2619" s="156"/>
      <c r="E2619" s="155"/>
      <c r="F2619" s="156"/>
      <c r="G2619" s="154"/>
      <c r="H2619" s="157"/>
      <c r="I2619" s="158"/>
      <c r="J2619" s="159"/>
      <c r="K2619" s="156"/>
      <c r="L2619" s="156"/>
      <c r="M2619" s="155"/>
      <c r="N2619" s="160"/>
      <c r="O2619" s="161"/>
      <c r="P2619" s="161"/>
      <c r="Q2619" s="159"/>
      <c r="R2619" s="162"/>
      <c r="S2619" s="162"/>
      <c r="T2619" s="162"/>
      <c r="U2619" s="163"/>
      <c r="V2619" s="154"/>
      <c r="W2619" s="164"/>
      <c r="X2619" s="164"/>
      <c r="Y2619" s="164"/>
      <c r="Z2619" s="164"/>
      <c r="AA2619" s="164"/>
      <c r="AB2619" s="164"/>
      <c r="AC2619" s="164"/>
      <c r="AD2619" s="164"/>
      <c r="AE2619" s="164"/>
      <c r="AF2619" s="164"/>
      <c r="AG2619" s="164"/>
      <c r="AH2619" s="164"/>
      <c r="AI2619" s="164"/>
    </row>
    <row r="2620">
      <c r="A2620" s="154"/>
      <c r="B2620" s="155"/>
      <c r="C2620" s="156"/>
      <c r="D2620" s="156"/>
      <c r="E2620" s="155"/>
      <c r="F2620" s="156"/>
      <c r="G2620" s="154"/>
      <c r="H2620" s="157"/>
      <c r="I2620" s="158"/>
      <c r="J2620" s="159"/>
      <c r="K2620" s="156"/>
      <c r="L2620" s="156"/>
      <c r="M2620" s="202"/>
      <c r="N2620" s="160"/>
      <c r="O2620" s="161"/>
      <c r="P2620" s="161"/>
      <c r="Q2620" s="203"/>
      <c r="R2620" s="162"/>
      <c r="S2620" s="162"/>
      <c r="T2620" s="162"/>
      <c r="U2620" s="163"/>
      <c r="V2620" s="154"/>
      <c r="W2620" s="164"/>
      <c r="X2620" s="164"/>
      <c r="Y2620" s="164"/>
      <c r="Z2620" s="164"/>
      <c r="AA2620" s="164"/>
      <c r="AB2620" s="164"/>
      <c r="AC2620" s="164"/>
      <c r="AD2620" s="164"/>
      <c r="AE2620" s="164"/>
      <c r="AF2620" s="164"/>
      <c r="AG2620" s="164"/>
      <c r="AH2620" s="164"/>
      <c r="AI2620" s="164"/>
    </row>
    <row r="2621">
      <c r="A2621" s="154"/>
      <c r="B2621" s="155"/>
      <c r="C2621" s="156"/>
      <c r="D2621" s="156"/>
      <c r="E2621" s="155"/>
      <c r="F2621" s="156"/>
      <c r="G2621" s="154"/>
      <c r="H2621" s="157"/>
      <c r="I2621" s="158"/>
      <c r="J2621" s="159"/>
      <c r="K2621" s="156"/>
      <c r="L2621" s="156"/>
      <c r="M2621" s="155"/>
      <c r="N2621" s="160"/>
      <c r="O2621" s="161"/>
      <c r="P2621" s="161"/>
      <c r="Q2621" s="159"/>
      <c r="R2621" s="162"/>
      <c r="S2621" s="162"/>
      <c r="T2621" s="162"/>
      <c r="U2621" s="163"/>
      <c r="V2621" s="154"/>
      <c r="W2621" s="164"/>
      <c r="X2621" s="164"/>
      <c r="Y2621" s="164"/>
      <c r="Z2621" s="164"/>
      <c r="AA2621" s="164"/>
      <c r="AB2621" s="164"/>
      <c r="AC2621" s="164"/>
      <c r="AD2621" s="164"/>
      <c r="AE2621" s="164"/>
      <c r="AF2621" s="164"/>
      <c r="AG2621" s="164"/>
      <c r="AH2621" s="164"/>
      <c r="AI2621" s="164"/>
    </row>
    <row r="2622">
      <c r="A2622" s="154"/>
      <c r="B2622" s="155"/>
      <c r="C2622" s="156"/>
      <c r="D2622" s="156"/>
      <c r="E2622" s="155"/>
      <c r="F2622" s="156"/>
      <c r="G2622" s="154"/>
      <c r="H2622" s="157"/>
      <c r="I2622" s="158"/>
      <c r="J2622" s="159"/>
      <c r="K2622" s="156"/>
      <c r="L2622" s="156"/>
      <c r="M2622" s="155"/>
      <c r="N2622" s="160"/>
      <c r="O2622" s="161"/>
      <c r="P2622" s="161"/>
      <c r="Q2622" s="159"/>
      <c r="R2622" s="162"/>
      <c r="S2622" s="162"/>
      <c r="T2622" s="162"/>
      <c r="U2622" s="163"/>
      <c r="V2622" s="154"/>
      <c r="W2622" s="164"/>
      <c r="X2622" s="164"/>
      <c r="Y2622" s="164"/>
      <c r="Z2622" s="164"/>
      <c r="AA2622" s="164"/>
      <c r="AB2622" s="164"/>
      <c r="AC2622" s="164"/>
      <c r="AD2622" s="164"/>
      <c r="AE2622" s="164"/>
      <c r="AF2622" s="164"/>
      <c r="AG2622" s="164"/>
      <c r="AH2622" s="164"/>
      <c r="AI2622" s="164"/>
    </row>
    <row r="2623">
      <c r="A2623" s="176"/>
      <c r="B2623" s="177"/>
      <c r="C2623" s="178"/>
      <c r="D2623" s="178"/>
      <c r="E2623" s="177"/>
      <c r="F2623" s="178"/>
      <c r="G2623" s="176"/>
      <c r="H2623" s="179"/>
      <c r="I2623" s="180"/>
      <c r="J2623" s="181"/>
      <c r="K2623" s="178"/>
      <c r="L2623" s="178"/>
      <c r="M2623" s="182"/>
      <c r="N2623" s="183"/>
      <c r="O2623" s="184"/>
      <c r="P2623" s="184"/>
      <c r="Q2623" s="185"/>
      <c r="R2623" s="186"/>
      <c r="S2623" s="186"/>
      <c r="T2623" s="186"/>
      <c r="U2623" s="187"/>
      <c r="V2623" s="176"/>
      <c r="W2623" s="164"/>
      <c r="X2623" s="164"/>
      <c r="Y2623" s="164"/>
      <c r="Z2623" s="164"/>
      <c r="AA2623" s="164"/>
      <c r="AB2623" s="164"/>
      <c r="AC2623" s="164"/>
      <c r="AD2623" s="164"/>
      <c r="AE2623" s="164"/>
      <c r="AF2623" s="164"/>
      <c r="AG2623" s="164"/>
      <c r="AH2623" s="164"/>
      <c r="AI2623" s="164"/>
    </row>
    <row r="2624">
      <c r="A2624" s="154"/>
      <c r="B2624" s="155"/>
      <c r="C2624" s="156"/>
      <c r="D2624" s="156"/>
      <c r="E2624" s="155"/>
      <c r="F2624" s="156"/>
      <c r="G2624" s="154"/>
      <c r="H2624" s="157"/>
      <c r="I2624" s="158"/>
      <c r="J2624" s="159"/>
      <c r="K2624" s="156"/>
      <c r="L2624" s="156"/>
      <c r="M2624" s="202"/>
      <c r="N2624" s="160"/>
      <c r="O2624" s="161"/>
      <c r="P2624" s="161"/>
      <c r="Q2624" s="203"/>
      <c r="R2624" s="162"/>
      <c r="S2624" s="162"/>
      <c r="T2624" s="162"/>
      <c r="U2624" s="163"/>
      <c r="V2624" s="154"/>
      <c r="W2624" s="164"/>
      <c r="X2624" s="164"/>
      <c r="Y2624" s="164"/>
      <c r="Z2624" s="164"/>
      <c r="AA2624" s="164"/>
      <c r="AB2624" s="164"/>
      <c r="AC2624" s="164"/>
      <c r="AD2624" s="164"/>
      <c r="AE2624" s="164"/>
      <c r="AF2624" s="164"/>
      <c r="AG2624" s="164"/>
      <c r="AH2624" s="164"/>
      <c r="AI2624" s="164"/>
    </row>
    <row r="2625">
      <c r="A2625" s="154"/>
      <c r="B2625" s="155"/>
      <c r="C2625" s="156"/>
      <c r="D2625" s="156"/>
      <c r="E2625" s="155"/>
      <c r="F2625" s="156"/>
      <c r="G2625" s="154"/>
      <c r="H2625" s="157"/>
      <c r="I2625" s="158"/>
      <c r="J2625" s="159"/>
      <c r="K2625" s="156"/>
      <c r="L2625" s="156"/>
      <c r="M2625" s="155"/>
      <c r="N2625" s="160"/>
      <c r="O2625" s="161"/>
      <c r="P2625" s="161"/>
      <c r="Q2625" s="203"/>
      <c r="R2625" s="162"/>
      <c r="S2625" s="162"/>
      <c r="T2625" s="162"/>
      <c r="U2625" s="163"/>
      <c r="V2625" s="154"/>
      <c r="W2625" s="164"/>
      <c r="X2625" s="164"/>
      <c r="Y2625" s="164"/>
      <c r="Z2625" s="164"/>
      <c r="AA2625" s="164"/>
      <c r="AB2625" s="164"/>
      <c r="AC2625" s="164"/>
      <c r="AD2625" s="164"/>
      <c r="AE2625" s="164"/>
      <c r="AF2625" s="164"/>
      <c r="AG2625" s="164"/>
      <c r="AH2625" s="164"/>
      <c r="AI2625" s="164"/>
    </row>
    <row r="2626">
      <c r="A2626" s="154"/>
      <c r="B2626" s="155"/>
      <c r="C2626" s="156"/>
      <c r="D2626" s="156"/>
      <c r="E2626" s="155"/>
      <c r="F2626" s="156"/>
      <c r="G2626" s="154"/>
      <c r="H2626" s="157"/>
      <c r="I2626" s="158"/>
      <c r="J2626" s="159"/>
      <c r="K2626" s="156"/>
      <c r="L2626" s="156"/>
      <c r="M2626" s="202"/>
      <c r="N2626" s="160"/>
      <c r="O2626" s="161"/>
      <c r="P2626" s="161"/>
      <c r="Q2626" s="203"/>
      <c r="R2626" s="162"/>
      <c r="S2626" s="162"/>
      <c r="T2626" s="162"/>
      <c r="U2626" s="163"/>
      <c r="V2626" s="154"/>
      <c r="W2626" s="164"/>
      <c r="X2626" s="164"/>
      <c r="Y2626" s="164"/>
      <c r="Z2626" s="164"/>
      <c r="AA2626" s="164"/>
      <c r="AB2626" s="164"/>
      <c r="AC2626" s="164"/>
      <c r="AD2626" s="164"/>
      <c r="AE2626" s="164"/>
      <c r="AF2626" s="164"/>
      <c r="AG2626" s="164"/>
      <c r="AH2626" s="164"/>
      <c r="AI2626" s="164"/>
    </row>
    <row r="2627">
      <c r="A2627" s="154"/>
      <c r="B2627" s="155"/>
      <c r="C2627" s="156"/>
      <c r="D2627" s="156"/>
      <c r="E2627" s="155"/>
      <c r="F2627" s="156"/>
      <c r="G2627" s="154"/>
      <c r="H2627" s="157"/>
      <c r="I2627" s="158"/>
      <c r="J2627" s="159"/>
      <c r="K2627" s="156"/>
      <c r="L2627" s="156"/>
      <c r="M2627" s="202"/>
      <c r="N2627" s="160"/>
      <c r="O2627" s="161"/>
      <c r="P2627" s="161"/>
      <c r="Q2627" s="203"/>
      <c r="R2627" s="162"/>
      <c r="S2627" s="162"/>
      <c r="T2627" s="162"/>
      <c r="U2627" s="163"/>
      <c r="V2627" s="154"/>
      <c r="W2627" s="164"/>
      <c r="X2627" s="164"/>
      <c r="Y2627" s="164"/>
      <c r="Z2627" s="164"/>
      <c r="AA2627" s="164"/>
      <c r="AB2627" s="164"/>
      <c r="AC2627" s="164"/>
      <c r="AD2627" s="164"/>
      <c r="AE2627" s="164"/>
      <c r="AF2627" s="164"/>
      <c r="AG2627" s="164"/>
      <c r="AH2627" s="164"/>
      <c r="AI2627" s="164"/>
    </row>
    <row r="2628">
      <c r="A2628" s="154"/>
      <c r="B2628" s="155"/>
      <c r="C2628" s="156"/>
      <c r="D2628" s="156"/>
      <c r="E2628" s="155"/>
      <c r="F2628" s="156"/>
      <c r="G2628" s="154"/>
      <c r="H2628" s="157"/>
      <c r="I2628" s="158"/>
      <c r="J2628" s="159"/>
      <c r="K2628" s="156"/>
      <c r="L2628" s="156"/>
      <c r="M2628" s="155"/>
      <c r="N2628" s="160"/>
      <c r="O2628" s="161"/>
      <c r="P2628" s="161"/>
      <c r="Q2628" s="203"/>
      <c r="R2628" s="162"/>
      <c r="S2628" s="162"/>
      <c r="T2628" s="162"/>
      <c r="U2628" s="163"/>
      <c r="V2628" s="154"/>
      <c r="W2628" s="164"/>
      <c r="X2628" s="164"/>
      <c r="Y2628" s="164"/>
      <c r="Z2628" s="164"/>
      <c r="AA2628" s="164"/>
      <c r="AB2628" s="164"/>
      <c r="AC2628" s="164"/>
      <c r="AD2628" s="164"/>
      <c r="AE2628" s="164"/>
      <c r="AF2628" s="164"/>
      <c r="AG2628" s="164"/>
      <c r="AH2628" s="164"/>
      <c r="AI2628" s="164"/>
    </row>
    <row r="2629">
      <c r="A2629" s="154"/>
      <c r="B2629" s="155"/>
      <c r="C2629" s="156"/>
      <c r="D2629" s="156"/>
      <c r="E2629" s="155"/>
      <c r="F2629" s="156"/>
      <c r="G2629" s="154"/>
      <c r="H2629" s="157"/>
      <c r="I2629" s="158"/>
      <c r="J2629" s="159"/>
      <c r="K2629" s="156"/>
      <c r="L2629" s="156"/>
      <c r="M2629" s="155"/>
      <c r="N2629" s="160"/>
      <c r="O2629" s="161"/>
      <c r="P2629" s="161"/>
      <c r="Q2629" s="203"/>
      <c r="R2629" s="162"/>
      <c r="S2629" s="162"/>
      <c r="T2629" s="162"/>
      <c r="U2629" s="163"/>
      <c r="V2629" s="154"/>
      <c r="W2629" s="164"/>
      <c r="X2629" s="164"/>
      <c r="Y2629" s="164"/>
      <c r="Z2629" s="164"/>
      <c r="AA2629" s="164"/>
      <c r="AB2629" s="164"/>
      <c r="AC2629" s="164"/>
      <c r="AD2629" s="164"/>
      <c r="AE2629" s="164"/>
      <c r="AF2629" s="164"/>
      <c r="AG2629" s="164"/>
      <c r="AH2629" s="164"/>
      <c r="AI2629" s="164"/>
    </row>
    <row r="2630">
      <c r="A2630" s="154"/>
      <c r="B2630" s="155"/>
      <c r="C2630" s="156"/>
      <c r="D2630" s="156"/>
      <c r="E2630" s="155"/>
      <c r="F2630" s="156"/>
      <c r="G2630" s="154"/>
      <c r="H2630" s="157"/>
      <c r="I2630" s="158"/>
      <c r="J2630" s="159"/>
      <c r="K2630" s="156"/>
      <c r="L2630" s="156"/>
      <c r="M2630" s="155"/>
      <c r="N2630" s="160"/>
      <c r="O2630" s="161"/>
      <c r="P2630" s="161"/>
      <c r="Q2630" s="159"/>
      <c r="R2630" s="162"/>
      <c r="S2630" s="162"/>
      <c r="T2630" s="162"/>
      <c r="U2630" s="163"/>
      <c r="V2630" s="154"/>
      <c r="W2630" s="164"/>
      <c r="X2630" s="164"/>
      <c r="Y2630" s="164"/>
      <c r="Z2630" s="164"/>
      <c r="AA2630" s="164"/>
      <c r="AB2630" s="164"/>
      <c r="AC2630" s="164"/>
      <c r="AD2630" s="164"/>
      <c r="AE2630" s="164"/>
      <c r="AF2630" s="164"/>
      <c r="AG2630" s="164"/>
      <c r="AH2630" s="164"/>
      <c r="AI2630" s="164"/>
    </row>
    <row r="2631">
      <c r="A2631" s="154"/>
      <c r="B2631" s="155"/>
      <c r="C2631" s="156"/>
      <c r="D2631" s="156"/>
      <c r="E2631" s="155"/>
      <c r="F2631" s="156"/>
      <c r="G2631" s="154"/>
      <c r="H2631" s="157"/>
      <c r="I2631" s="158"/>
      <c r="J2631" s="159"/>
      <c r="K2631" s="156"/>
      <c r="L2631" s="156"/>
      <c r="M2631" s="155"/>
      <c r="N2631" s="160"/>
      <c r="O2631" s="161"/>
      <c r="P2631" s="161"/>
      <c r="Q2631" s="203"/>
      <c r="R2631" s="162"/>
      <c r="S2631" s="162"/>
      <c r="T2631" s="162"/>
      <c r="U2631" s="163"/>
      <c r="V2631" s="154"/>
      <c r="W2631" s="164"/>
      <c r="X2631" s="164"/>
      <c r="Y2631" s="164"/>
      <c r="Z2631" s="164"/>
      <c r="AA2631" s="164"/>
      <c r="AB2631" s="164"/>
      <c r="AC2631" s="164"/>
      <c r="AD2631" s="164"/>
      <c r="AE2631" s="164"/>
      <c r="AF2631" s="164"/>
      <c r="AG2631" s="164"/>
      <c r="AH2631" s="164"/>
      <c r="AI2631" s="164"/>
    </row>
    <row r="2632">
      <c r="A2632" s="154"/>
      <c r="B2632" s="155"/>
      <c r="C2632" s="156"/>
      <c r="D2632" s="156"/>
      <c r="E2632" s="155"/>
      <c r="F2632" s="156"/>
      <c r="G2632" s="154"/>
      <c r="H2632" s="157"/>
      <c r="I2632" s="158"/>
      <c r="J2632" s="159"/>
      <c r="K2632" s="156"/>
      <c r="L2632" s="156"/>
      <c r="M2632" s="155"/>
      <c r="N2632" s="160"/>
      <c r="O2632" s="161"/>
      <c r="P2632" s="161"/>
      <c r="Q2632" s="203"/>
      <c r="R2632" s="162"/>
      <c r="S2632" s="162"/>
      <c r="T2632" s="162"/>
      <c r="U2632" s="163"/>
      <c r="V2632" s="154"/>
      <c r="W2632" s="164"/>
      <c r="X2632" s="164"/>
      <c r="Y2632" s="164"/>
      <c r="Z2632" s="164"/>
      <c r="AA2632" s="164"/>
      <c r="AB2632" s="164"/>
      <c r="AC2632" s="164"/>
      <c r="AD2632" s="164"/>
      <c r="AE2632" s="164"/>
      <c r="AF2632" s="164"/>
      <c r="AG2632" s="164"/>
      <c r="AH2632" s="164"/>
      <c r="AI2632" s="164"/>
    </row>
    <row r="2633">
      <c r="A2633" s="154"/>
      <c r="B2633" s="155"/>
      <c r="C2633" s="156"/>
      <c r="D2633" s="156"/>
      <c r="E2633" s="155"/>
      <c r="F2633" s="156"/>
      <c r="G2633" s="154"/>
      <c r="H2633" s="157"/>
      <c r="I2633" s="158"/>
      <c r="J2633" s="159"/>
      <c r="K2633" s="156"/>
      <c r="L2633" s="156"/>
      <c r="M2633" s="155"/>
      <c r="N2633" s="160"/>
      <c r="O2633" s="161"/>
      <c r="P2633" s="161"/>
      <c r="Q2633" s="159"/>
      <c r="R2633" s="162"/>
      <c r="S2633" s="162"/>
      <c r="T2633" s="162"/>
      <c r="U2633" s="163"/>
      <c r="V2633" s="154"/>
      <c r="W2633" s="164"/>
      <c r="X2633" s="164"/>
      <c r="Y2633" s="164"/>
      <c r="Z2633" s="164"/>
      <c r="AA2633" s="164"/>
      <c r="AB2633" s="164"/>
      <c r="AC2633" s="164"/>
      <c r="AD2633" s="164"/>
      <c r="AE2633" s="164"/>
      <c r="AF2633" s="164"/>
      <c r="AG2633" s="164"/>
      <c r="AH2633" s="164"/>
      <c r="AI2633" s="164"/>
    </row>
    <row r="2634">
      <c r="A2634" s="154"/>
      <c r="B2634" s="155"/>
      <c r="C2634" s="156"/>
      <c r="D2634" s="156"/>
      <c r="E2634" s="155"/>
      <c r="F2634" s="156"/>
      <c r="G2634" s="154"/>
      <c r="H2634" s="157"/>
      <c r="I2634" s="158"/>
      <c r="J2634" s="159"/>
      <c r="K2634" s="156"/>
      <c r="L2634" s="156"/>
      <c r="M2634" s="155"/>
      <c r="N2634" s="160"/>
      <c r="O2634" s="161"/>
      <c r="P2634" s="161"/>
      <c r="Q2634" s="203"/>
      <c r="R2634" s="162"/>
      <c r="S2634" s="162"/>
      <c r="T2634" s="162"/>
      <c r="U2634" s="163"/>
      <c r="V2634" s="154"/>
      <c r="W2634" s="164"/>
      <c r="X2634" s="164"/>
      <c r="Y2634" s="164"/>
      <c r="Z2634" s="164"/>
      <c r="AA2634" s="164"/>
      <c r="AB2634" s="164"/>
      <c r="AC2634" s="164"/>
      <c r="AD2634" s="164"/>
      <c r="AE2634" s="164"/>
      <c r="AF2634" s="164"/>
      <c r="AG2634" s="164"/>
      <c r="AH2634" s="164"/>
      <c r="AI2634" s="164"/>
    </row>
    <row r="2635">
      <c r="A2635" s="154"/>
      <c r="B2635" s="155"/>
      <c r="C2635" s="156"/>
      <c r="D2635" s="156"/>
      <c r="E2635" s="155"/>
      <c r="F2635" s="156"/>
      <c r="G2635" s="154"/>
      <c r="H2635" s="157"/>
      <c r="I2635" s="158"/>
      <c r="J2635" s="159"/>
      <c r="K2635" s="156"/>
      <c r="L2635" s="156"/>
      <c r="M2635" s="155"/>
      <c r="N2635" s="160"/>
      <c r="O2635" s="161"/>
      <c r="P2635" s="161"/>
      <c r="Q2635" s="159"/>
      <c r="R2635" s="162"/>
      <c r="S2635" s="162"/>
      <c r="T2635" s="162"/>
      <c r="U2635" s="163"/>
      <c r="V2635" s="154"/>
      <c r="W2635" s="164"/>
      <c r="X2635" s="164"/>
      <c r="Y2635" s="164"/>
      <c r="Z2635" s="164"/>
      <c r="AA2635" s="164"/>
      <c r="AB2635" s="164"/>
      <c r="AC2635" s="164"/>
      <c r="AD2635" s="164"/>
      <c r="AE2635" s="164"/>
      <c r="AF2635" s="164"/>
      <c r="AG2635" s="164"/>
      <c r="AH2635" s="164"/>
      <c r="AI2635" s="164"/>
    </row>
    <row r="2636">
      <c r="A2636" s="154"/>
      <c r="B2636" s="155"/>
      <c r="C2636" s="156"/>
      <c r="D2636" s="156"/>
      <c r="E2636" s="155"/>
      <c r="F2636" s="156"/>
      <c r="G2636" s="154"/>
      <c r="H2636" s="157"/>
      <c r="I2636" s="158"/>
      <c r="J2636" s="159"/>
      <c r="K2636" s="156"/>
      <c r="L2636" s="156"/>
      <c r="M2636" s="155"/>
      <c r="N2636" s="160"/>
      <c r="O2636" s="161"/>
      <c r="P2636" s="161"/>
      <c r="Q2636" s="159"/>
      <c r="R2636" s="162"/>
      <c r="S2636" s="162"/>
      <c r="T2636" s="162"/>
      <c r="U2636" s="163"/>
      <c r="V2636" s="154"/>
      <c r="W2636" s="164"/>
      <c r="X2636" s="164"/>
      <c r="Y2636" s="164"/>
      <c r="Z2636" s="164"/>
      <c r="AA2636" s="164"/>
      <c r="AB2636" s="164"/>
      <c r="AC2636" s="164"/>
      <c r="AD2636" s="164"/>
      <c r="AE2636" s="164"/>
      <c r="AF2636" s="164"/>
      <c r="AG2636" s="164"/>
      <c r="AH2636" s="164"/>
      <c r="AI2636" s="164"/>
    </row>
    <row r="2637">
      <c r="A2637" s="154"/>
      <c r="B2637" s="155"/>
      <c r="C2637" s="156"/>
      <c r="D2637" s="156"/>
      <c r="E2637" s="155"/>
      <c r="F2637" s="156"/>
      <c r="G2637" s="154"/>
      <c r="H2637" s="157"/>
      <c r="I2637" s="158"/>
      <c r="J2637" s="159"/>
      <c r="K2637" s="156"/>
      <c r="L2637" s="156"/>
      <c r="M2637" s="202"/>
      <c r="N2637" s="160"/>
      <c r="O2637" s="161"/>
      <c r="P2637" s="161"/>
      <c r="Q2637" s="203"/>
      <c r="R2637" s="162"/>
      <c r="S2637" s="162"/>
      <c r="T2637" s="162"/>
      <c r="U2637" s="163"/>
      <c r="V2637" s="154"/>
      <c r="W2637" s="164"/>
      <c r="X2637" s="164"/>
      <c r="Y2637" s="164"/>
      <c r="Z2637" s="164"/>
      <c r="AA2637" s="164"/>
      <c r="AB2637" s="164"/>
      <c r="AC2637" s="164"/>
      <c r="AD2637" s="164"/>
      <c r="AE2637" s="164"/>
      <c r="AF2637" s="164"/>
      <c r="AG2637" s="164"/>
      <c r="AH2637" s="164"/>
      <c r="AI2637" s="164"/>
    </row>
    <row r="2638">
      <c r="A2638" s="154"/>
      <c r="B2638" s="155"/>
      <c r="C2638" s="156"/>
      <c r="D2638" s="156"/>
      <c r="E2638" s="155"/>
      <c r="F2638" s="156"/>
      <c r="G2638" s="154"/>
      <c r="H2638" s="157"/>
      <c r="I2638" s="158"/>
      <c r="J2638" s="159"/>
      <c r="K2638" s="156"/>
      <c r="L2638" s="156"/>
      <c r="M2638" s="202"/>
      <c r="N2638" s="160"/>
      <c r="O2638" s="161"/>
      <c r="P2638" s="161"/>
      <c r="Q2638" s="203"/>
      <c r="R2638" s="162"/>
      <c r="S2638" s="162"/>
      <c r="T2638" s="162"/>
      <c r="U2638" s="163"/>
      <c r="V2638" s="154"/>
      <c r="W2638" s="164"/>
      <c r="X2638" s="164"/>
      <c r="Y2638" s="164"/>
      <c r="Z2638" s="164"/>
      <c r="AA2638" s="164"/>
      <c r="AB2638" s="164"/>
      <c r="AC2638" s="164"/>
      <c r="AD2638" s="164"/>
      <c r="AE2638" s="164"/>
      <c r="AF2638" s="164"/>
      <c r="AG2638" s="164"/>
      <c r="AH2638" s="164"/>
      <c r="AI2638" s="164"/>
    </row>
    <row r="2639">
      <c r="A2639" s="154"/>
      <c r="B2639" s="155"/>
      <c r="C2639" s="156"/>
      <c r="D2639" s="156"/>
      <c r="E2639" s="155"/>
      <c r="F2639" s="156"/>
      <c r="G2639" s="154"/>
      <c r="H2639" s="157"/>
      <c r="I2639" s="158"/>
      <c r="J2639" s="159"/>
      <c r="K2639" s="156"/>
      <c r="L2639" s="156"/>
      <c r="M2639" s="155"/>
      <c r="N2639" s="160"/>
      <c r="O2639" s="161"/>
      <c r="P2639" s="161"/>
      <c r="Q2639" s="203"/>
      <c r="R2639" s="162"/>
      <c r="S2639" s="162"/>
      <c r="T2639" s="162"/>
      <c r="U2639" s="163"/>
      <c r="V2639" s="154"/>
      <c r="W2639" s="164"/>
      <c r="X2639" s="164"/>
      <c r="Y2639" s="164"/>
      <c r="Z2639" s="164"/>
      <c r="AA2639" s="164"/>
      <c r="AB2639" s="164"/>
      <c r="AC2639" s="164"/>
      <c r="AD2639" s="164"/>
      <c r="AE2639" s="164"/>
      <c r="AF2639" s="164"/>
      <c r="AG2639" s="164"/>
      <c r="AH2639" s="164"/>
      <c r="AI2639" s="164"/>
    </row>
    <row r="2640">
      <c r="A2640" s="154"/>
      <c r="B2640" s="155"/>
      <c r="C2640" s="156"/>
      <c r="D2640" s="156"/>
      <c r="E2640" s="155"/>
      <c r="F2640" s="156"/>
      <c r="G2640" s="154"/>
      <c r="H2640" s="157"/>
      <c r="I2640" s="158"/>
      <c r="J2640" s="159"/>
      <c r="K2640" s="156"/>
      <c r="L2640" s="156"/>
      <c r="M2640" s="155"/>
      <c r="N2640" s="160"/>
      <c r="O2640" s="161"/>
      <c r="P2640" s="161"/>
      <c r="Q2640" s="203"/>
      <c r="R2640" s="162"/>
      <c r="S2640" s="162"/>
      <c r="T2640" s="162"/>
      <c r="U2640" s="163"/>
      <c r="V2640" s="154"/>
      <c r="W2640" s="164"/>
      <c r="X2640" s="164"/>
      <c r="Y2640" s="164"/>
      <c r="Z2640" s="164"/>
      <c r="AA2640" s="164"/>
      <c r="AB2640" s="164"/>
      <c r="AC2640" s="164"/>
      <c r="AD2640" s="164"/>
      <c r="AE2640" s="164"/>
      <c r="AF2640" s="164"/>
      <c r="AG2640" s="164"/>
      <c r="AH2640" s="164"/>
      <c r="AI2640" s="164"/>
    </row>
    <row r="2641">
      <c r="A2641" s="154"/>
      <c r="B2641" s="155"/>
      <c r="C2641" s="156"/>
      <c r="D2641" s="156"/>
      <c r="E2641" s="155"/>
      <c r="F2641" s="156"/>
      <c r="G2641" s="154"/>
      <c r="H2641" s="157"/>
      <c r="I2641" s="158"/>
      <c r="J2641" s="159"/>
      <c r="K2641" s="156"/>
      <c r="L2641" s="156"/>
      <c r="M2641" s="155"/>
      <c r="N2641" s="160"/>
      <c r="O2641" s="161"/>
      <c r="P2641" s="161"/>
      <c r="Q2641" s="203"/>
      <c r="R2641" s="162"/>
      <c r="S2641" s="162"/>
      <c r="T2641" s="162"/>
      <c r="U2641" s="163"/>
      <c r="V2641" s="154"/>
      <c r="W2641" s="164"/>
      <c r="X2641" s="164"/>
      <c r="Y2641" s="164"/>
      <c r="Z2641" s="164"/>
      <c r="AA2641" s="164"/>
      <c r="AB2641" s="164"/>
      <c r="AC2641" s="164"/>
      <c r="AD2641" s="164"/>
      <c r="AE2641" s="164"/>
      <c r="AF2641" s="164"/>
      <c r="AG2641" s="164"/>
      <c r="AH2641" s="164"/>
      <c r="AI2641" s="164"/>
    </row>
    <row r="2642">
      <c r="A2642" s="154"/>
      <c r="B2642" s="155"/>
      <c r="C2642" s="156"/>
      <c r="D2642" s="156"/>
      <c r="E2642" s="155"/>
      <c r="F2642" s="156"/>
      <c r="G2642" s="154"/>
      <c r="H2642" s="157"/>
      <c r="I2642" s="158"/>
      <c r="J2642" s="159"/>
      <c r="K2642" s="156"/>
      <c r="L2642" s="156"/>
      <c r="M2642" s="155"/>
      <c r="N2642" s="160"/>
      <c r="O2642" s="161"/>
      <c r="P2642" s="161"/>
      <c r="Q2642" s="203"/>
      <c r="R2642" s="162"/>
      <c r="S2642" s="162"/>
      <c r="T2642" s="162"/>
      <c r="U2642" s="163"/>
      <c r="V2642" s="154"/>
      <c r="W2642" s="164"/>
      <c r="X2642" s="164"/>
      <c r="Y2642" s="164"/>
      <c r="Z2642" s="164"/>
      <c r="AA2642" s="164"/>
      <c r="AB2642" s="164"/>
      <c r="AC2642" s="164"/>
      <c r="AD2642" s="164"/>
      <c r="AE2642" s="164"/>
      <c r="AF2642" s="164"/>
      <c r="AG2642" s="164"/>
      <c r="AH2642" s="164"/>
      <c r="AI2642" s="164"/>
    </row>
    <row r="2643">
      <c r="A2643" s="154"/>
      <c r="B2643" s="155"/>
      <c r="C2643" s="156"/>
      <c r="D2643" s="156"/>
      <c r="E2643" s="155"/>
      <c r="F2643" s="156"/>
      <c r="G2643" s="154"/>
      <c r="H2643" s="157"/>
      <c r="I2643" s="158"/>
      <c r="J2643" s="159"/>
      <c r="K2643" s="156"/>
      <c r="L2643" s="156"/>
      <c r="M2643" s="155"/>
      <c r="N2643" s="160"/>
      <c r="O2643" s="161"/>
      <c r="P2643" s="161"/>
      <c r="Q2643" s="159"/>
      <c r="R2643" s="162"/>
      <c r="S2643" s="162"/>
      <c r="T2643" s="162"/>
      <c r="U2643" s="163"/>
      <c r="V2643" s="154"/>
      <c r="W2643" s="164"/>
      <c r="X2643" s="164"/>
      <c r="Y2643" s="164"/>
      <c r="Z2643" s="164"/>
      <c r="AA2643" s="164"/>
      <c r="AB2643" s="164"/>
      <c r="AC2643" s="164"/>
      <c r="AD2643" s="164"/>
      <c r="AE2643" s="164"/>
      <c r="AF2643" s="164"/>
      <c r="AG2643" s="164"/>
      <c r="AH2643" s="164"/>
      <c r="AI2643" s="164"/>
    </row>
    <row r="2644">
      <c r="A2644" s="154"/>
      <c r="B2644" s="155"/>
      <c r="C2644" s="156"/>
      <c r="D2644" s="156"/>
      <c r="E2644" s="155"/>
      <c r="F2644" s="156"/>
      <c r="G2644" s="154"/>
      <c r="H2644" s="157"/>
      <c r="I2644" s="158"/>
      <c r="J2644" s="159"/>
      <c r="K2644" s="156"/>
      <c r="L2644" s="156"/>
      <c r="M2644" s="155"/>
      <c r="N2644" s="160"/>
      <c r="O2644" s="161"/>
      <c r="P2644" s="161"/>
      <c r="Q2644" s="203"/>
      <c r="R2644" s="162"/>
      <c r="S2644" s="162"/>
      <c r="T2644" s="162"/>
      <c r="U2644" s="163"/>
      <c r="V2644" s="154"/>
      <c r="W2644" s="164"/>
      <c r="X2644" s="164"/>
      <c r="Y2644" s="164"/>
      <c r="Z2644" s="164"/>
      <c r="AA2644" s="164"/>
      <c r="AB2644" s="164"/>
      <c r="AC2644" s="164"/>
      <c r="AD2644" s="164"/>
      <c r="AE2644" s="164"/>
      <c r="AF2644" s="164"/>
      <c r="AG2644" s="164"/>
      <c r="AH2644" s="164"/>
      <c r="AI2644" s="164"/>
    </row>
    <row r="2645">
      <c r="A2645" s="154"/>
      <c r="B2645" s="155"/>
      <c r="C2645" s="156"/>
      <c r="D2645" s="156"/>
      <c r="E2645" s="155"/>
      <c r="F2645" s="156"/>
      <c r="G2645" s="154"/>
      <c r="H2645" s="157"/>
      <c r="I2645" s="158"/>
      <c r="J2645" s="159"/>
      <c r="K2645" s="156"/>
      <c r="L2645" s="156"/>
      <c r="M2645" s="155"/>
      <c r="N2645" s="160"/>
      <c r="O2645" s="161"/>
      <c r="P2645" s="161"/>
      <c r="Q2645" s="203"/>
      <c r="R2645" s="162"/>
      <c r="S2645" s="162"/>
      <c r="T2645" s="162"/>
      <c r="U2645" s="163"/>
      <c r="V2645" s="154"/>
      <c r="W2645" s="164"/>
      <c r="X2645" s="164"/>
      <c r="Y2645" s="164"/>
      <c r="Z2645" s="164"/>
      <c r="AA2645" s="164"/>
      <c r="AB2645" s="164"/>
      <c r="AC2645" s="164"/>
      <c r="AD2645" s="164"/>
      <c r="AE2645" s="164"/>
      <c r="AF2645" s="164"/>
      <c r="AG2645" s="164"/>
      <c r="AH2645" s="164"/>
      <c r="AI2645" s="164"/>
    </row>
    <row r="2646">
      <c r="A2646" s="154"/>
      <c r="B2646" s="155"/>
      <c r="C2646" s="156"/>
      <c r="D2646" s="156"/>
      <c r="E2646" s="155"/>
      <c r="F2646" s="156"/>
      <c r="G2646" s="154"/>
      <c r="H2646" s="157"/>
      <c r="I2646" s="158"/>
      <c r="J2646" s="159"/>
      <c r="K2646" s="156"/>
      <c r="L2646" s="156"/>
      <c r="M2646" s="202"/>
      <c r="N2646" s="160"/>
      <c r="O2646" s="161"/>
      <c r="P2646" s="161"/>
      <c r="Q2646" s="203"/>
      <c r="R2646" s="162"/>
      <c r="S2646" s="162"/>
      <c r="T2646" s="162"/>
      <c r="U2646" s="163"/>
      <c r="V2646" s="154"/>
      <c r="W2646" s="164"/>
      <c r="X2646" s="164"/>
      <c r="Y2646" s="164"/>
      <c r="Z2646" s="164"/>
      <c r="AA2646" s="164"/>
      <c r="AB2646" s="164"/>
      <c r="AC2646" s="164"/>
      <c r="AD2646" s="164"/>
      <c r="AE2646" s="164"/>
      <c r="AF2646" s="164"/>
      <c r="AG2646" s="164"/>
      <c r="AH2646" s="164"/>
      <c r="AI2646" s="164"/>
    </row>
    <row r="2647">
      <c r="A2647" s="154"/>
      <c r="B2647" s="155"/>
      <c r="C2647" s="156"/>
      <c r="D2647" s="156"/>
      <c r="E2647" s="155"/>
      <c r="F2647" s="156"/>
      <c r="G2647" s="154"/>
      <c r="H2647" s="157"/>
      <c r="I2647" s="158"/>
      <c r="J2647" s="159"/>
      <c r="K2647" s="156"/>
      <c r="L2647" s="156"/>
      <c r="M2647" s="202"/>
      <c r="N2647" s="160"/>
      <c r="O2647" s="161"/>
      <c r="P2647" s="161"/>
      <c r="Q2647" s="203"/>
      <c r="R2647" s="162"/>
      <c r="S2647" s="162"/>
      <c r="T2647" s="162"/>
      <c r="U2647" s="163"/>
      <c r="V2647" s="154"/>
      <c r="W2647" s="164"/>
      <c r="X2647" s="164"/>
      <c r="Y2647" s="164"/>
      <c r="Z2647" s="164"/>
      <c r="AA2647" s="164"/>
      <c r="AB2647" s="164"/>
      <c r="AC2647" s="164"/>
      <c r="AD2647" s="164"/>
      <c r="AE2647" s="164"/>
      <c r="AF2647" s="164"/>
      <c r="AG2647" s="164"/>
      <c r="AH2647" s="164"/>
      <c r="AI2647" s="164"/>
    </row>
    <row r="2648">
      <c r="A2648" s="154"/>
      <c r="B2648" s="155"/>
      <c r="C2648" s="156"/>
      <c r="D2648" s="156"/>
      <c r="E2648" s="155"/>
      <c r="F2648" s="156"/>
      <c r="G2648" s="154"/>
      <c r="H2648" s="157"/>
      <c r="I2648" s="158"/>
      <c r="J2648" s="159"/>
      <c r="K2648" s="156"/>
      <c r="L2648" s="156"/>
      <c r="M2648" s="155"/>
      <c r="N2648" s="160"/>
      <c r="O2648" s="161"/>
      <c r="P2648" s="161"/>
      <c r="Q2648" s="203"/>
      <c r="R2648" s="162"/>
      <c r="S2648" s="162"/>
      <c r="T2648" s="162"/>
      <c r="U2648" s="163"/>
      <c r="V2648" s="154"/>
      <c r="W2648" s="164"/>
      <c r="X2648" s="164"/>
      <c r="Y2648" s="164"/>
      <c r="Z2648" s="164"/>
      <c r="AA2648" s="164"/>
      <c r="AB2648" s="164"/>
      <c r="AC2648" s="164"/>
      <c r="AD2648" s="164"/>
      <c r="AE2648" s="164"/>
      <c r="AF2648" s="164"/>
      <c r="AG2648" s="164"/>
      <c r="AH2648" s="164"/>
      <c r="AI2648" s="164"/>
    </row>
    <row r="2649">
      <c r="A2649" s="154"/>
      <c r="B2649" s="155"/>
      <c r="C2649" s="156"/>
      <c r="D2649" s="156"/>
      <c r="E2649" s="155"/>
      <c r="F2649" s="156"/>
      <c r="G2649" s="154"/>
      <c r="H2649" s="157"/>
      <c r="I2649" s="158"/>
      <c r="J2649" s="159"/>
      <c r="K2649" s="156"/>
      <c r="L2649" s="156"/>
      <c r="M2649" s="155"/>
      <c r="N2649" s="160"/>
      <c r="O2649" s="161"/>
      <c r="P2649" s="161"/>
      <c r="Q2649" s="159"/>
      <c r="R2649" s="162"/>
      <c r="S2649" s="162"/>
      <c r="T2649" s="162"/>
      <c r="U2649" s="163"/>
      <c r="V2649" s="154"/>
      <c r="W2649" s="164"/>
      <c r="X2649" s="164"/>
      <c r="Y2649" s="164"/>
      <c r="Z2649" s="164"/>
      <c r="AA2649" s="164"/>
      <c r="AB2649" s="164"/>
      <c r="AC2649" s="164"/>
      <c r="AD2649" s="164"/>
      <c r="AE2649" s="164"/>
      <c r="AF2649" s="164"/>
      <c r="AG2649" s="164"/>
      <c r="AH2649" s="164"/>
      <c r="AI2649" s="164"/>
    </row>
    <row r="2650">
      <c r="A2650" s="154"/>
      <c r="B2650" s="155"/>
      <c r="C2650" s="156"/>
      <c r="D2650" s="156"/>
      <c r="E2650" s="155"/>
      <c r="F2650" s="156"/>
      <c r="G2650" s="154"/>
      <c r="H2650" s="157"/>
      <c r="I2650" s="158"/>
      <c r="J2650" s="159"/>
      <c r="K2650" s="156"/>
      <c r="L2650" s="156"/>
      <c r="M2650" s="155"/>
      <c r="N2650" s="160"/>
      <c r="O2650" s="161"/>
      <c r="P2650" s="161"/>
      <c r="Q2650" s="203"/>
      <c r="R2650" s="162"/>
      <c r="S2650" s="162"/>
      <c r="T2650" s="162"/>
      <c r="U2650" s="163"/>
      <c r="V2650" s="154"/>
      <c r="W2650" s="164"/>
      <c r="X2650" s="164"/>
      <c r="Y2650" s="164"/>
      <c r="Z2650" s="164"/>
      <c r="AA2650" s="164"/>
      <c r="AB2650" s="164"/>
      <c r="AC2650" s="164"/>
      <c r="AD2650" s="164"/>
      <c r="AE2650" s="164"/>
      <c r="AF2650" s="164"/>
      <c r="AG2650" s="164"/>
      <c r="AH2650" s="164"/>
      <c r="AI2650" s="164"/>
    </row>
    <row r="2651">
      <c r="A2651" s="154"/>
      <c r="B2651" s="155"/>
      <c r="C2651" s="156"/>
      <c r="D2651" s="156"/>
      <c r="E2651" s="155"/>
      <c r="F2651" s="156"/>
      <c r="G2651" s="154"/>
      <c r="H2651" s="157"/>
      <c r="I2651" s="158"/>
      <c r="J2651" s="159"/>
      <c r="K2651" s="156"/>
      <c r="L2651" s="156"/>
      <c r="M2651" s="155"/>
      <c r="N2651" s="160"/>
      <c r="O2651" s="161"/>
      <c r="P2651" s="161"/>
      <c r="Q2651" s="203"/>
      <c r="R2651" s="162"/>
      <c r="S2651" s="162"/>
      <c r="T2651" s="162"/>
      <c r="U2651" s="163"/>
      <c r="V2651" s="154"/>
      <c r="W2651" s="164"/>
      <c r="X2651" s="164"/>
      <c r="Y2651" s="164"/>
      <c r="Z2651" s="164"/>
      <c r="AA2651" s="164"/>
      <c r="AB2651" s="164"/>
      <c r="AC2651" s="164"/>
      <c r="AD2651" s="164"/>
      <c r="AE2651" s="164"/>
      <c r="AF2651" s="164"/>
      <c r="AG2651" s="164"/>
      <c r="AH2651" s="164"/>
      <c r="AI2651" s="164"/>
    </row>
    <row r="2652">
      <c r="A2652" s="154"/>
      <c r="B2652" s="155"/>
      <c r="C2652" s="156"/>
      <c r="D2652" s="156"/>
      <c r="E2652" s="155"/>
      <c r="F2652" s="156"/>
      <c r="G2652" s="154"/>
      <c r="H2652" s="157"/>
      <c r="I2652" s="158"/>
      <c r="J2652" s="159"/>
      <c r="K2652" s="156"/>
      <c r="L2652" s="156"/>
      <c r="M2652" s="155"/>
      <c r="N2652" s="160"/>
      <c r="O2652" s="161"/>
      <c r="P2652" s="161"/>
      <c r="Q2652" s="203"/>
      <c r="R2652" s="162"/>
      <c r="S2652" s="162"/>
      <c r="T2652" s="162"/>
      <c r="U2652" s="163"/>
      <c r="V2652" s="154"/>
      <c r="W2652" s="164"/>
      <c r="X2652" s="164"/>
      <c r="Y2652" s="164"/>
      <c r="Z2652" s="164"/>
      <c r="AA2652" s="164"/>
      <c r="AB2652" s="164"/>
      <c r="AC2652" s="164"/>
      <c r="AD2652" s="164"/>
      <c r="AE2652" s="164"/>
      <c r="AF2652" s="164"/>
      <c r="AG2652" s="164"/>
      <c r="AH2652" s="164"/>
      <c r="AI2652" s="164"/>
    </row>
    <row r="2653">
      <c r="A2653" s="154"/>
      <c r="B2653" s="155"/>
      <c r="C2653" s="156"/>
      <c r="D2653" s="156"/>
      <c r="E2653" s="155"/>
      <c r="F2653" s="156"/>
      <c r="G2653" s="154"/>
      <c r="H2653" s="157"/>
      <c r="I2653" s="158"/>
      <c r="J2653" s="159"/>
      <c r="K2653" s="156"/>
      <c r="L2653" s="156"/>
      <c r="M2653" s="155"/>
      <c r="N2653" s="160"/>
      <c r="O2653" s="161"/>
      <c r="P2653" s="161"/>
      <c r="Q2653" s="203"/>
      <c r="R2653" s="162"/>
      <c r="S2653" s="162"/>
      <c r="T2653" s="162"/>
      <c r="U2653" s="163"/>
      <c r="V2653" s="154"/>
      <c r="W2653" s="164"/>
      <c r="X2653" s="164"/>
      <c r="Y2653" s="164"/>
      <c r="Z2653" s="164"/>
      <c r="AA2653" s="164"/>
      <c r="AB2653" s="164"/>
      <c r="AC2653" s="164"/>
      <c r="AD2653" s="164"/>
      <c r="AE2653" s="164"/>
      <c r="AF2653" s="164"/>
      <c r="AG2653" s="164"/>
      <c r="AH2653" s="164"/>
      <c r="AI2653" s="164"/>
    </row>
    <row r="2654">
      <c r="A2654" s="154"/>
      <c r="B2654" s="155"/>
      <c r="C2654" s="156"/>
      <c r="D2654" s="156"/>
      <c r="E2654" s="155"/>
      <c r="F2654" s="156"/>
      <c r="G2654" s="154"/>
      <c r="H2654" s="157"/>
      <c r="I2654" s="158"/>
      <c r="J2654" s="159"/>
      <c r="K2654" s="156"/>
      <c r="L2654" s="156"/>
      <c r="M2654" s="202"/>
      <c r="N2654" s="160"/>
      <c r="O2654" s="161"/>
      <c r="P2654" s="161"/>
      <c r="Q2654" s="203"/>
      <c r="R2654" s="162"/>
      <c r="S2654" s="162"/>
      <c r="T2654" s="162"/>
      <c r="U2654" s="163"/>
      <c r="V2654" s="216"/>
      <c r="W2654" s="164"/>
      <c r="X2654" s="164"/>
      <c r="Y2654" s="164"/>
      <c r="Z2654" s="164"/>
      <c r="AA2654" s="164"/>
      <c r="AB2654" s="164"/>
      <c r="AC2654" s="164"/>
      <c r="AD2654" s="164"/>
      <c r="AE2654" s="164"/>
      <c r="AF2654" s="164"/>
      <c r="AG2654" s="164"/>
      <c r="AH2654" s="164"/>
      <c r="AI2654" s="164"/>
    </row>
    <row r="2655">
      <c r="A2655" s="154"/>
      <c r="B2655" s="155"/>
      <c r="C2655" s="156"/>
      <c r="D2655" s="156"/>
      <c r="E2655" s="155"/>
      <c r="F2655" s="156"/>
      <c r="G2655" s="154"/>
      <c r="H2655" s="157"/>
      <c r="I2655" s="158"/>
      <c r="J2655" s="159"/>
      <c r="K2655" s="156"/>
      <c r="L2655" s="156"/>
      <c r="M2655" s="202"/>
      <c r="N2655" s="160"/>
      <c r="O2655" s="161"/>
      <c r="P2655" s="161"/>
      <c r="Q2655" s="203"/>
      <c r="R2655" s="162"/>
      <c r="S2655" s="162"/>
      <c r="T2655" s="162"/>
      <c r="U2655" s="163"/>
      <c r="V2655" s="154"/>
      <c r="W2655" s="164"/>
      <c r="X2655" s="164"/>
      <c r="Y2655" s="164"/>
      <c r="Z2655" s="164"/>
      <c r="AA2655" s="164"/>
      <c r="AB2655" s="164"/>
      <c r="AC2655" s="164"/>
      <c r="AD2655" s="164"/>
      <c r="AE2655" s="164"/>
      <c r="AF2655" s="164"/>
      <c r="AG2655" s="164"/>
      <c r="AH2655" s="164"/>
      <c r="AI2655" s="164"/>
    </row>
    <row r="2656">
      <c r="A2656" s="154"/>
      <c r="B2656" s="155"/>
      <c r="C2656" s="156"/>
      <c r="D2656" s="156"/>
      <c r="E2656" s="155"/>
      <c r="F2656" s="156"/>
      <c r="G2656" s="154"/>
      <c r="H2656" s="157"/>
      <c r="I2656" s="158"/>
      <c r="J2656" s="159"/>
      <c r="K2656" s="156"/>
      <c r="L2656" s="156"/>
      <c r="M2656" s="155"/>
      <c r="N2656" s="160"/>
      <c r="O2656" s="161"/>
      <c r="P2656" s="161"/>
      <c r="Q2656" s="203"/>
      <c r="R2656" s="162"/>
      <c r="S2656" s="162"/>
      <c r="T2656" s="162"/>
      <c r="U2656" s="163"/>
      <c r="V2656" s="154"/>
      <c r="W2656" s="164"/>
      <c r="X2656" s="164"/>
      <c r="Y2656" s="164"/>
      <c r="Z2656" s="164"/>
      <c r="AA2656" s="164"/>
      <c r="AB2656" s="164"/>
      <c r="AC2656" s="164"/>
      <c r="AD2656" s="164"/>
      <c r="AE2656" s="164"/>
      <c r="AF2656" s="164"/>
      <c r="AG2656" s="164"/>
      <c r="AH2656" s="164"/>
      <c r="AI2656" s="164"/>
    </row>
    <row r="2657">
      <c r="A2657" s="154"/>
      <c r="B2657" s="155"/>
      <c r="C2657" s="156"/>
      <c r="D2657" s="156"/>
      <c r="E2657" s="155"/>
      <c r="F2657" s="156"/>
      <c r="G2657" s="154"/>
      <c r="H2657" s="157"/>
      <c r="I2657" s="158"/>
      <c r="J2657" s="159"/>
      <c r="K2657" s="156"/>
      <c r="L2657" s="156"/>
      <c r="M2657" s="202"/>
      <c r="N2657" s="160"/>
      <c r="O2657" s="161"/>
      <c r="P2657" s="161"/>
      <c r="Q2657" s="203"/>
      <c r="R2657" s="162"/>
      <c r="S2657" s="162"/>
      <c r="T2657" s="162"/>
      <c r="U2657" s="163"/>
      <c r="V2657" s="154"/>
      <c r="W2657" s="164"/>
      <c r="X2657" s="164"/>
      <c r="Y2657" s="164"/>
      <c r="Z2657" s="164"/>
      <c r="AA2657" s="164"/>
      <c r="AB2657" s="164"/>
      <c r="AC2657" s="164"/>
      <c r="AD2657" s="164"/>
      <c r="AE2657" s="164"/>
      <c r="AF2657" s="164"/>
      <c r="AG2657" s="164"/>
      <c r="AH2657" s="164"/>
      <c r="AI2657" s="164"/>
    </row>
    <row r="2658">
      <c r="A2658" s="154"/>
      <c r="B2658" s="155"/>
      <c r="C2658" s="156"/>
      <c r="D2658" s="156"/>
      <c r="E2658" s="155"/>
      <c r="F2658" s="156"/>
      <c r="G2658" s="154"/>
      <c r="H2658" s="157"/>
      <c r="I2658" s="158"/>
      <c r="J2658" s="159"/>
      <c r="K2658" s="156"/>
      <c r="L2658" s="156"/>
      <c r="M2658" s="155"/>
      <c r="N2658" s="160"/>
      <c r="O2658" s="161"/>
      <c r="P2658" s="161"/>
      <c r="Q2658" s="203"/>
      <c r="R2658" s="162"/>
      <c r="S2658" s="162"/>
      <c r="T2658" s="162"/>
      <c r="U2658" s="163"/>
      <c r="V2658" s="154"/>
      <c r="W2658" s="164"/>
      <c r="X2658" s="164"/>
      <c r="Y2658" s="164"/>
      <c r="Z2658" s="164"/>
      <c r="AA2658" s="164"/>
      <c r="AB2658" s="164"/>
      <c r="AC2658" s="164"/>
      <c r="AD2658" s="164"/>
      <c r="AE2658" s="164"/>
      <c r="AF2658" s="164"/>
      <c r="AG2658" s="164"/>
      <c r="AH2658" s="164"/>
      <c r="AI2658" s="164"/>
    </row>
    <row r="2659">
      <c r="A2659" s="154"/>
      <c r="B2659" s="155"/>
      <c r="C2659" s="156"/>
      <c r="D2659" s="156"/>
      <c r="E2659" s="155"/>
      <c r="F2659" s="156"/>
      <c r="G2659" s="154"/>
      <c r="H2659" s="157"/>
      <c r="I2659" s="158"/>
      <c r="J2659" s="159"/>
      <c r="K2659" s="156"/>
      <c r="L2659" s="156"/>
      <c r="M2659" s="202"/>
      <c r="N2659" s="160"/>
      <c r="O2659" s="161"/>
      <c r="P2659" s="161"/>
      <c r="Q2659" s="203"/>
      <c r="R2659" s="162"/>
      <c r="S2659" s="162"/>
      <c r="T2659" s="162"/>
      <c r="U2659" s="163"/>
      <c r="V2659" s="154"/>
      <c r="W2659" s="164"/>
      <c r="X2659" s="164"/>
      <c r="Y2659" s="164"/>
      <c r="Z2659" s="164"/>
      <c r="AA2659" s="164"/>
      <c r="AB2659" s="164"/>
      <c r="AC2659" s="164"/>
      <c r="AD2659" s="164"/>
      <c r="AE2659" s="164"/>
      <c r="AF2659" s="164"/>
      <c r="AG2659" s="164"/>
      <c r="AH2659" s="164"/>
      <c r="AI2659" s="164"/>
    </row>
    <row r="2660">
      <c r="A2660" s="154"/>
      <c r="B2660" s="155"/>
      <c r="C2660" s="156"/>
      <c r="D2660" s="156"/>
      <c r="E2660" s="155"/>
      <c r="F2660" s="156"/>
      <c r="G2660" s="154"/>
      <c r="H2660" s="157"/>
      <c r="I2660" s="158"/>
      <c r="J2660" s="159"/>
      <c r="K2660" s="156"/>
      <c r="L2660" s="156"/>
      <c r="M2660" s="155"/>
      <c r="N2660" s="160"/>
      <c r="O2660" s="161"/>
      <c r="P2660" s="161"/>
      <c r="Q2660" s="203"/>
      <c r="R2660" s="162"/>
      <c r="S2660" s="162"/>
      <c r="T2660" s="162"/>
      <c r="U2660" s="163"/>
      <c r="V2660" s="154"/>
      <c r="W2660" s="164"/>
      <c r="X2660" s="164"/>
      <c r="Y2660" s="164"/>
      <c r="Z2660" s="164"/>
      <c r="AA2660" s="164"/>
      <c r="AB2660" s="164"/>
      <c r="AC2660" s="164"/>
      <c r="AD2660" s="164"/>
      <c r="AE2660" s="164"/>
      <c r="AF2660" s="164"/>
      <c r="AG2660" s="164"/>
      <c r="AH2660" s="164"/>
      <c r="AI2660" s="164"/>
    </row>
    <row r="2661">
      <c r="A2661" s="154"/>
      <c r="B2661" s="155"/>
      <c r="C2661" s="156"/>
      <c r="D2661" s="156"/>
      <c r="E2661" s="155"/>
      <c r="F2661" s="156"/>
      <c r="G2661" s="154"/>
      <c r="H2661" s="157"/>
      <c r="I2661" s="158"/>
      <c r="J2661" s="159"/>
      <c r="K2661" s="156"/>
      <c r="L2661" s="156"/>
      <c r="M2661" s="202"/>
      <c r="N2661" s="160"/>
      <c r="O2661" s="161"/>
      <c r="P2661" s="161"/>
      <c r="Q2661" s="203"/>
      <c r="R2661" s="162"/>
      <c r="S2661" s="162"/>
      <c r="T2661" s="162"/>
      <c r="U2661" s="163"/>
      <c r="V2661" s="154"/>
      <c r="W2661" s="164"/>
      <c r="X2661" s="164"/>
      <c r="Y2661" s="164"/>
      <c r="Z2661" s="164"/>
      <c r="AA2661" s="164"/>
      <c r="AB2661" s="164"/>
      <c r="AC2661" s="164"/>
      <c r="AD2661" s="164"/>
      <c r="AE2661" s="164"/>
      <c r="AF2661" s="164"/>
      <c r="AG2661" s="164"/>
      <c r="AH2661" s="164"/>
      <c r="AI2661" s="164"/>
    </row>
    <row r="2662">
      <c r="A2662" s="216"/>
      <c r="B2662" s="155"/>
      <c r="C2662" s="156"/>
      <c r="D2662" s="156"/>
      <c r="E2662" s="155"/>
      <c r="F2662" s="156"/>
      <c r="G2662" s="154"/>
      <c r="H2662" s="157"/>
      <c r="I2662" s="158"/>
      <c r="J2662" s="159"/>
      <c r="K2662" s="156"/>
      <c r="L2662" s="156"/>
      <c r="M2662" s="155"/>
      <c r="N2662" s="160"/>
      <c r="O2662" s="161"/>
      <c r="P2662" s="161"/>
      <c r="Q2662" s="203"/>
      <c r="R2662" s="162"/>
      <c r="S2662" s="162"/>
      <c r="T2662" s="162"/>
      <c r="U2662" s="163"/>
      <c r="V2662" s="154"/>
      <c r="W2662" s="164"/>
      <c r="X2662" s="164"/>
      <c r="Y2662" s="164"/>
      <c r="Z2662" s="164"/>
      <c r="AA2662" s="164"/>
      <c r="AB2662" s="164"/>
      <c r="AC2662" s="164"/>
      <c r="AD2662" s="164"/>
      <c r="AE2662" s="164"/>
      <c r="AF2662" s="164"/>
      <c r="AG2662" s="164"/>
      <c r="AH2662" s="164"/>
      <c r="AI2662" s="164"/>
    </row>
    <row r="2663">
      <c r="A2663" s="216"/>
      <c r="B2663" s="155"/>
      <c r="C2663" s="156"/>
      <c r="D2663" s="156"/>
      <c r="E2663" s="155"/>
      <c r="F2663" s="156"/>
      <c r="G2663" s="154"/>
      <c r="H2663" s="157"/>
      <c r="I2663" s="158"/>
      <c r="J2663" s="159"/>
      <c r="K2663" s="156"/>
      <c r="L2663" s="156"/>
      <c r="M2663" s="155"/>
      <c r="N2663" s="160"/>
      <c r="O2663" s="161"/>
      <c r="P2663" s="161"/>
      <c r="Q2663" s="159"/>
      <c r="R2663" s="162"/>
      <c r="S2663" s="162"/>
      <c r="T2663" s="162"/>
      <c r="U2663" s="163"/>
      <c r="V2663" s="154"/>
      <c r="W2663" s="164"/>
      <c r="X2663" s="164"/>
      <c r="Y2663" s="164"/>
      <c r="Z2663" s="164"/>
      <c r="AA2663" s="164"/>
      <c r="AB2663" s="164"/>
      <c r="AC2663" s="164"/>
      <c r="AD2663" s="164"/>
      <c r="AE2663" s="164"/>
      <c r="AF2663" s="164"/>
      <c r="AG2663" s="164"/>
      <c r="AH2663" s="164"/>
      <c r="AI2663" s="164"/>
    </row>
    <row r="2664">
      <c r="A2664" s="154"/>
      <c r="B2664" s="155"/>
      <c r="C2664" s="156"/>
      <c r="D2664" s="156"/>
      <c r="E2664" s="155"/>
      <c r="F2664" s="156"/>
      <c r="G2664" s="154"/>
      <c r="H2664" s="157"/>
      <c r="I2664" s="158"/>
      <c r="J2664" s="159"/>
      <c r="K2664" s="156"/>
      <c r="L2664" s="156"/>
      <c r="M2664" s="155"/>
      <c r="N2664" s="160"/>
      <c r="O2664" s="161"/>
      <c r="P2664" s="161"/>
      <c r="Q2664" s="203"/>
      <c r="R2664" s="162"/>
      <c r="S2664" s="162"/>
      <c r="T2664" s="162"/>
      <c r="U2664" s="163"/>
      <c r="V2664" s="154"/>
      <c r="W2664" s="164"/>
      <c r="X2664" s="164"/>
      <c r="Y2664" s="164"/>
      <c r="Z2664" s="164"/>
      <c r="AA2664" s="164"/>
      <c r="AB2664" s="164"/>
      <c r="AC2664" s="164"/>
      <c r="AD2664" s="164"/>
      <c r="AE2664" s="164"/>
      <c r="AF2664" s="164"/>
      <c r="AG2664" s="164"/>
      <c r="AH2664" s="164"/>
      <c r="AI2664" s="164"/>
    </row>
    <row r="2665">
      <c r="A2665" s="216"/>
      <c r="B2665" s="155"/>
      <c r="C2665" s="156"/>
      <c r="D2665" s="156"/>
      <c r="E2665" s="155"/>
      <c r="F2665" s="156"/>
      <c r="G2665" s="154"/>
      <c r="H2665" s="157"/>
      <c r="I2665" s="158"/>
      <c r="J2665" s="159"/>
      <c r="K2665" s="156"/>
      <c r="L2665" s="156"/>
      <c r="M2665" s="202"/>
      <c r="N2665" s="160"/>
      <c r="O2665" s="161"/>
      <c r="P2665" s="161"/>
      <c r="Q2665" s="203"/>
      <c r="R2665" s="162"/>
      <c r="S2665" s="162"/>
      <c r="T2665" s="162"/>
      <c r="U2665" s="163"/>
      <c r="V2665" s="154"/>
      <c r="W2665" s="164"/>
      <c r="X2665" s="164"/>
      <c r="Y2665" s="164"/>
      <c r="Z2665" s="164"/>
      <c r="AA2665" s="164"/>
      <c r="AB2665" s="164"/>
      <c r="AC2665" s="164"/>
      <c r="AD2665" s="164"/>
      <c r="AE2665" s="164"/>
      <c r="AF2665" s="164"/>
      <c r="AG2665" s="164"/>
      <c r="AH2665" s="164"/>
      <c r="AI2665" s="164"/>
    </row>
    <row r="2666">
      <c r="A2666" s="216"/>
      <c r="B2666" s="155"/>
      <c r="C2666" s="156"/>
      <c r="D2666" s="156"/>
      <c r="E2666" s="155"/>
      <c r="F2666" s="156"/>
      <c r="G2666" s="154"/>
      <c r="H2666" s="157"/>
      <c r="I2666" s="158"/>
      <c r="J2666" s="159"/>
      <c r="K2666" s="156"/>
      <c r="L2666" s="156"/>
      <c r="M2666" s="155"/>
      <c r="N2666" s="160"/>
      <c r="O2666" s="161"/>
      <c r="P2666" s="161"/>
      <c r="Q2666" s="159"/>
      <c r="R2666" s="162"/>
      <c r="S2666" s="162"/>
      <c r="T2666" s="162"/>
      <c r="U2666" s="163"/>
      <c r="V2666" s="154"/>
      <c r="W2666" s="164"/>
      <c r="X2666" s="164"/>
      <c r="Y2666" s="164"/>
      <c r="Z2666" s="164"/>
      <c r="AA2666" s="164"/>
      <c r="AB2666" s="164"/>
      <c r="AC2666" s="164"/>
      <c r="AD2666" s="164"/>
      <c r="AE2666" s="164"/>
      <c r="AF2666" s="164"/>
      <c r="AG2666" s="164"/>
      <c r="AH2666" s="164"/>
      <c r="AI2666" s="164"/>
    </row>
    <row r="2667">
      <c r="A2667" s="216"/>
      <c r="B2667" s="155"/>
      <c r="C2667" s="156"/>
      <c r="D2667" s="156"/>
      <c r="E2667" s="155"/>
      <c r="F2667" s="156"/>
      <c r="G2667" s="154"/>
      <c r="H2667" s="157"/>
      <c r="I2667" s="158"/>
      <c r="J2667" s="159"/>
      <c r="K2667" s="156"/>
      <c r="L2667" s="156"/>
      <c r="M2667" s="155"/>
      <c r="N2667" s="160"/>
      <c r="O2667" s="161"/>
      <c r="P2667" s="161"/>
      <c r="Q2667" s="203"/>
      <c r="R2667" s="162"/>
      <c r="S2667" s="162"/>
      <c r="T2667" s="162"/>
      <c r="U2667" s="163"/>
      <c r="V2667" s="215"/>
      <c r="W2667" s="164"/>
      <c r="X2667" s="164"/>
      <c r="Y2667" s="164"/>
      <c r="Z2667" s="164"/>
      <c r="AA2667" s="164"/>
      <c r="AB2667" s="164"/>
      <c r="AC2667" s="164"/>
      <c r="AD2667" s="164"/>
      <c r="AE2667" s="164"/>
      <c r="AF2667" s="164"/>
      <c r="AG2667" s="164"/>
      <c r="AH2667" s="164"/>
      <c r="AI2667" s="164"/>
    </row>
    <row r="2668">
      <c r="A2668" s="154"/>
      <c r="B2668" s="155"/>
      <c r="C2668" s="156"/>
      <c r="D2668" s="156"/>
      <c r="E2668" s="155"/>
      <c r="F2668" s="156"/>
      <c r="G2668" s="154"/>
      <c r="H2668" s="157"/>
      <c r="I2668" s="158"/>
      <c r="J2668" s="159"/>
      <c r="K2668" s="156"/>
      <c r="L2668" s="156"/>
      <c r="M2668" s="155"/>
      <c r="N2668" s="160"/>
      <c r="O2668" s="161"/>
      <c r="P2668" s="161"/>
      <c r="Q2668" s="203"/>
      <c r="R2668" s="162"/>
      <c r="S2668" s="162"/>
      <c r="T2668" s="162"/>
      <c r="U2668" s="163"/>
      <c r="V2668" s="154"/>
      <c r="W2668" s="164"/>
      <c r="X2668" s="164"/>
      <c r="Y2668" s="164"/>
      <c r="Z2668" s="164"/>
      <c r="AA2668" s="164"/>
      <c r="AB2668" s="164"/>
      <c r="AC2668" s="164"/>
      <c r="AD2668" s="164"/>
      <c r="AE2668" s="164"/>
      <c r="AF2668" s="164"/>
      <c r="AG2668" s="164"/>
      <c r="AH2668" s="164"/>
      <c r="AI2668" s="164"/>
    </row>
    <row r="2669">
      <c r="A2669" s="154"/>
      <c r="B2669" s="155"/>
      <c r="C2669" s="156"/>
      <c r="D2669" s="156"/>
      <c r="E2669" s="155"/>
      <c r="F2669" s="156"/>
      <c r="G2669" s="154"/>
      <c r="H2669" s="157"/>
      <c r="I2669" s="158"/>
      <c r="J2669" s="159"/>
      <c r="K2669" s="156"/>
      <c r="L2669" s="156"/>
      <c r="M2669" s="202"/>
      <c r="N2669" s="160"/>
      <c r="O2669" s="161"/>
      <c r="P2669" s="161"/>
      <c r="Q2669" s="203"/>
      <c r="R2669" s="162"/>
      <c r="S2669" s="162"/>
      <c r="T2669" s="162"/>
      <c r="U2669" s="163"/>
      <c r="V2669" s="154"/>
      <c r="W2669" s="164"/>
      <c r="X2669" s="164"/>
      <c r="Y2669" s="164"/>
      <c r="Z2669" s="164"/>
      <c r="AA2669" s="164"/>
      <c r="AB2669" s="164"/>
      <c r="AC2669" s="164"/>
      <c r="AD2669" s="164"/>
      <c r="AE2669" s="164"/>
      <c r="AF2669" s="164"/>
      <c r="AG2669" s="164"/>
      <c r="AH2669" s="164"/>
      <c r="AI2669" s="164"/>
    </row>
    <row r="2670">
      <c r="A2670" s="216"/>
      <c r="B2670" s="155"/>
      <c r="C2670" s="156"/>
      <c r="D2670" s="156"/>
      <c r="E2670" s="155"/>
      <c r="F2670" s="156"/>
      <c r="G2670" s="154"/>
      <c r="H2670" s="157"/>
      <c r="I2670" s="158"/>
      <c r="J2670" s="159"/>
      <c r="K2670" s="156"/>
      <c r="L2670" s="156"/>
      <c r="M2670" s="155"/>
      <c r="N2670" s="160"/>
      <c r="O2670" s="161"/>
      <c r="P2670" s="161"/>
      <c r="Q2670" s="203"/>
      <c r="R2670" s="162"/>
      <c r="S2670" s="162"/>
      <c r="T2670" s="162"/>
      <c r="U2670" s="163"/>
      <c r="V2670" s="154"/>
      <c r="W2670" s="164"/>
      <c r="X2670" s="164"/>
      <c r="Y2670" s="164"/>
      <c r="Z2670" s="164"/>
      <c r="AA2670" s="164"/>
      <c r="AB2670" s="164"/>
      <c r="AC2670" s="164"/>
      <c r="AD2670" s="164"/>
      <c r="AE2670" s="164"/>
      <c r="AF2670" s="164"/>
      <c r="AG2670" s="164"/>
      <c r="AH2670" s="164"/>
      <c r="AI2670" s="164"/>
    </row>
    <row r="2671">
      <c r="A2671" s="216"/>
      <c r="B2671" s="155"/>
      <c r="C2671" s="156"/>
      <c r="D2671" s="156"/>
      <c r="E2671" s="155"/>
      <c r="F2671" s="156"/>
      <c r="G2671" s="154"/>
      <c r="H2671" s="157"/>
      <c r="I2671" s="158"/>
      <c r="J2671" s="159"/>
      <c r="K2671" s="156"/>
      <c r="L2671" s="156"/>
      <c r="M2671" s="155"/>
      <c r="N2671" s="160"/>
      <c r="O2671" s="161"/>
      <c r="P2671" s="161"/>
      <c r="Q2671" s="159"/>
      <c r="R2671" s="162"/>
      <c r="S2671" s="162"/>
      <c r="T2671" s="162"/>
      <c r="U2671" s="163"/>
      <c r="V2671" s="154"/>
      <c r="W2671" s="164"/>
      <c r="X2671" s="164"/>
      <c r="Y2671" s="164"/>
      <c r="Z2671" s="164"/>
      <c r="AA2671" s="164"/>
      <c r="AB2671" s="164"/>
      <c r="AC2671" s="164"/>
      <c r="AD2671" s="164"/>
      <c r="AE2671" s="164"/>
      <c r="AF2671" s="164"/>
      <c r="AG2671" s="164"/>
      <c r="AH2671" s="164"/>
      <c r="AI2671" s="164"/>
    </row>
    <row r="2672">
      <c r="A2672" s="216"/>
      <c r="B2672" s="155"/>
      <c r="C2672" s="156"/>
      <c r="D2672" s="156"/>
      <c r="E2672" s="155"/>
      <c r="F2672" s="156"/>
      <c r="G2672" s="154"/>
      <c r="H2672" s="157"/>
      <c r="I2672" s="158"/>
      <c r="J2672" s="159"/>
      <c r="K2672" s="156"/>
      <c r="L2672" s="156"/>
      <c r="M2672" s="155"/>
      <c r="N2672" s="160"/>
      <c r="O2672" s="161"/>
      <c r="P2672" s="161"/>
      <c r="Q2672" s="203"/>
      <c r="R2672" s="162"/>
      <c r="S2672" s="162"/>
      <c r="T2672" s="162"/>
      <c r="U2672" s="163"/>
      <c r="V2672" s="154"/>
      <c r="W2672" s="164"/>
      <c r="X2672" s="164"/>
      <c r="Y2672" s="164"/>
      <c r="Z2672" s="164"/>
      <c r="AA2672" s="164"/>
      <c r="AB2672" s="164"/>
      <c r="AC2672" s="164"/>
      <c r="AD2672" s="164"/>
      <c r="AE2672" s="164"/>
      <c r="AF2672" s="164"/>
      <c r="AG2672" s="164"/>
      <c r="AH2672" s="164"/>
      <c r="AI2672" s="164"/>
    </row>
    <row r="2673">
      <c r="A2673" s="154"/>
      <c r="B2673" s="155"/>
      <c r="C2673" s="156"/>
      <c r="D2673" s="156"/>
      <c r="E2673" s="155"/>
      <c r="F2673" s="156"/>
      <c r="G2673" s="154"/>
      <c r="H2673" s="157"/>
      <c r="I2673" s="158"/>
      <c r="J2673" s="159"/>
      <c r="K2673" s="156"/>
      <c r="L2673" s="156"/>
      <c r="M2673" s="155"/>
      <c r="N2673" s="160"/>
      <c r="O2673" s="161"/>
      <c r="P2673" s="161"/>
      <c r="Q2673" s="203"/>
      <c r="R2673" s="162"/>
      <c r="S2673" s="162"/>
      <c r="T2673" s="173"/>
      <c r="U2673" s="174"/>
      <c r="V2673" s="165"/>
      <c r="W2673" s="164"/>
      <c r="X2673" s="164"/>
      <c r="Y2673" s="164"/>
      <c r="Z2673" s="164"/>
      <c r="AA2673" s="164"/>
      <c r="AB2673" s="164"/>
      <c r="AC2673" s="164"/>
      <c r="AD2673" s="164"/>
      <c r="AE2673" s="164"/>
      <c r="AF2673" s="164"/>
      <c r="AG2673" s="164"/>
      <c r="AH2673" s="164"/>
      <c r="AI2673" s="164"/>
    </row>
    <row r="2674">
      <c r="A2674" s="216"/>
      <c r="B2674" s="155"/>
      <c r="C2674" s="156"/>
      <c r="D2674" s="156"/>
      <c r="E2674" s="155"/>
      <c r="F2674" s="156"/>
      <c r="G2674" s="154"/>
      <c r="H2674" s="157"/>
      <c r="I2674" s="158"/>
      <c r="J2674" s="159"/>
      <c r="K2674" s="156"/>
      <c r="L2674" s="156"/>
      <c r="M2674" s="202"/>
      <c r="N2674" s="160"/>
      <c r="O2674" s="161"/>
      <c r="P2674" s="161"/>
      <c r="Q2674" s="203"/>
      <c r="R2674" s="162"/>
      <c r="S2674" s="162"/>
      <c r="T2674" s="162"/>
      <c r="U2674" s="163"/>
      <c r="V2674" s="154"/>
      <c r="W2674" s="164"/>
      <c r="X2674" s="164"/>
      <c r="Y2674" s="164"/>
      <c r="Z2674" s="164"/>
      <c r="AA2674" s="164"/>
      <c r="AB2674" s="164"/>
      <c r="AC2674" s="164"/>
      <c r="AD2674" s="164"/>
      <c r="AE2674" s="164"/>
      <c r="AF2674" s="164"/>
      <c r="AG2674" s="164"/>
      <c r="AH2674" s="164"/>
      <c r="AI2674" s="164"/>
    </row>
    <row r="2675">
      <c r="A2675" s="216"/>
      <c r="B2675" s="155"/>
      <c r="C2675" s="156"/>
      <c r="D2675" s="156"/>
      <c r="E2675" s="155"/>
      <c r="F2675" s="156"/>
      <c r="G2675" s="154"/>
      <c r="H2675" s="157"/>
      <c r="I2675" s="158"/>
      <c r="J2675" s="159"/>
      <c r="K2675" s="156"/>
      <c r="L2675" s="156"/>
      <c r="M2675" s="155"/>
      <c r="N2675" s="160"/>
      <c r="O2675" s="161"/>
      <c r="P2675" s="161"/>
      <c r="Q2675" s="159"/>
      <c r="R2675" s="162"/>
      <c r="S2675" s="162"/>
      <c r="T2675" s="162"/>
      <c r="U2675" s="163"/>
      <c r="V2675" s="154"/>
      <c r="W2675" s="164"/>
      <c r="X2675" s="164"/>
      <c r="Y2675" s="164"/>
      <c r="Z2675" s="164"/>
      <c r="AA2675" s="164"/>
      <c r="AB2675" s="164"/>
      <c r="AC2675" s="164"/>
      <c r="AD2675" s="164"/>
      <c r="AE2675" s="164"/>
      <c r="AF2675" s="164"/>
      <c r="AG2675" s="164"/>
      <c r="AH2675" s="164"/>
      <c r="AI2675" s="164"/>
    </row>
    <row r="2676">
      <c r="A2676" s="216"/>
      <c r="B2676" s="155"/>
      <c r="C2676" s="156"/>
      <c r="D2676" s="156"/>
      <c r="E2676" s="155"/>
      <c r="F2676" s="156"/>
      <c r="G2676" s="154"/>
      <c r="H2676" s="157"/>
      <c r="I2676" s="158"/>
      <c r="J2676" s="159"/>
      <c r="K2676" s="156"/>
      <c r="L2676" s="156"/>
      <c r="M2676" s="155"/>
      <c r="N2676" s="160"/>
      <c r="O2676" s="161"/>
      <c r="P2676" s="161"/>
      <c r="Q2676" s="203"/>
      <c r="R2676" s="162"/>
      <c r="S2676" s="162"/>
      <c r="T2676" s="162"/>
      <c r="U2676" s="163"/>
      <c r="V2676" s="154"/>
      <c r="W2676" s="164"/>
      <c r="X2676" s="164"/>
      <c r="Y2676" s="164"/>
      <c r="Z2676" s="164"/>
      <c r="AA2676" s="164"/>
      <c r="AB2676" s="164"/>
      <c r="AC2676" s="164"/>
      <c r="AD2676" s="164"/>
      <c r="AE2676" s="164"/>
      <c r="AF2676" s="164"/>
      <c r="AG2676" s="164"/>
      <c r="AH2676" s="164"/>
      <c r="AI2676" s="164"/>
    </row>
    <row r="2677">
      <c r="A2677" s="154"/>
      <c r="B2677" s="155"/>
      <c r="C2677" s="156"/>
      <c r="D2677" s="156"/>
      <c r="E2677" s="155"/>
      <c r="F2677" s="156"/>
      <c r="G2677" s="154"/>
      <c r="H2677" s="157"/>
      <c r="I2677" s="158"/>
      <c r="J2677" s="159"/>
      <c r="K2677" s="156"/>
      <c r="L2677" s="156"/>
      <c r="M2677" s="155"/>
      <c r="N2677" s="160"/>
      <c r="O2677" s="161"/>
      <c r="P2677" s="161"/>
      <c r="Q2677" s="159"/>
      <c r="R2677" s="162"/>
      <c r="S2677" s="162"/>
      <c r="T2677" s="162"/>
      <c r="U2677" s="163"/>
      <c r="V2677" s="154"/>
      <c r="W2677" s="164"/>
      <c r="X2677" s="164"/>
      <c r="Y2677" s="164"/>
      <c r="Z2677" s="164"/>
      <c r="AA2677" s="164"/>
      <c r="AB2677" s="164"/>
      <c r="AC2677" s="164"/>
      <c r="AD2677" s="164"/>
      <c r="AE2677" s="164"/>
      <c r="AF2677" s="164"/>
      <c r="AG2677" s="164"/>
      <c r="AH2677" s="164"/>
      <c r="AI2677" s="164"/>
    </row>
    <row r="2678">
      <c r="A2678" s="216"/>
      <c r="B2678" s="155"/>
      <c r="C2678" s="156"/>
      <c r="D2678" s="156"/>
      <c r="E2678" s="155"/>
      <c r="F2678" s="156"/>
      <c r="G2678" s="154"/>
      <c r="H2678" s="157"/>
      <c r="I2678" s="158"/>
      <c r="J2678" s="159"/>
      <c r="K2678" s="156"/>
      <c r="L2678" s="156"/>
      <c r="M2678" s="155"/>
      <c r="N2678" s="160"/>
      <c r="O2678" s="161"/>
      <c r="P2678" s="161"/>
      <c r="Q2678" s="203"/>
      <c r="R2678" s="162"/>
      <c r="S2678" s="162"/>
      <c r="T2678" s="162"/>
      <c r="U2678" s="163"/>
      <c r="V2678" s="215"/>
      <c r="W2678" s="164"/>
      <c r="X2678" s="164"/>
      <c r="Y2678" s="164"/>
      <c r="Z2678" s="164"/>
      <c r="AA2678" s="164"/>
      <c r="AB2678" s="164"/>
      <c r="AC2678" s="164"/>
      <c r="AD2678" s="164"/>
      <c r="AE2678" s="164"/>
      <c r="AF2678" s="164"/>
      <c r="AG2678" s="164"/>
      <c r="AH2678" s="164"/>
      <c r="AI2678" s="164"/>
    </row>
    <row r="2679">
      <c r="A2679" s="216"/>
      <c r="B2679" s="155"/>
      <c r="C2679" s="156"/>
      <c r="D2679" s="156"/>
      <c r="E2679" s="155"/>
      <c r="F2679" s="156"/>
      <c r="G2679" s="154"/>
      <c r="H2679" s="157"/>
      <c r="I2679" s="158"/>
      <c r="J2679" s="159"/>
      <c r="K2679" s="156"/>
      <c r="L2679" s="156"/>
      <c r="M2679" s="155"/>
      <c r="N2679" s="160"/>
      <c r="O2679" s="161"/>
      <c r="P2679" s="161"/>
      <c r="Q2679" s="203"/>
      <c r="R2679" s="162"/>
      <c r="S2679" s="162"/>
      <c r="T2679" s="162"/>
      <c r="U2679" s="163"/>
      <c r="V2679" s="154"/>
      <c r="W2679" s="164"/>
      <c r="X2679" s="164"/>
      <c r="Y2679" s="164"/>
      <c r="Z2679" s="164"/>
      <c r="AA2679" s="164"/>
      <c r="AB2679" s="164"/>
      <c r="AC2679" s="164"/>
      <c r="AD2679" s="164"/>
      <c r="AE2679" s="164"/>
      <c r="AF2679" s="164"/>
      <c r="AG2679" s="164"/>
      <c r="AH2679" s="164"/>
      <c r="AI2679" s="164"/>
    </row>
    <row r="2680">
      <c r="A2680" s="216"/>
      <c r="B2680" s="155"/>
      <c r="C2680" s="156"/>
      <c r="D2680" s="156"/>
      <c r="E2680" s="155"/>
      <c r="F2680" s="156"/>
      <c r="G2680" s="154"/>
      <c r="H2680" s="157"/>
      <c r="I2680" s="158"/>
      <c r="J2680" s="159"/>
      <c r="K2680" s="156"/>
      <c r="L2680" s="156"/>
      <c r="M2680" s="155"/>
      <c r="N2680" s="160"/>
      <c r="O2680" s="161"/>
      <c r="P2680" s="161"/>
      <c r="Q2680" s="203"/>
      <c r="R2680" s="162"/>
      <c r="S2680" s="162"/>
      <c r="T2680" s="162"/>
      <c r="U2680" s="163"/>
      <c r="V2680" s="154"/>
      <c r="W2680" s="164"/>
      <c r="X2680" s="164"/>
      <c r="Y2680" s="164"/>
      <c r="Z2680" s="164"/>
      <c r="AA2680" s="164"/>
      <c r="AB2680" s="164"/>
      <c r="AC2680" s="164"/>
      <c r="AD2680" s="164"/>
      <c r="AE2680" s="164"/>
      <c r="AF2680" s="164"/>
      <c r="AG2680" s="164"/>
      <c r="AH2680" s="164"/>
      <c r="AI2680" s="164"/>
    </row>
    <row r="2681">
      <c r="A2681" s="216"/>
      <c r="B2681" s="155"/>
      <c r="C2681" s="156"/>
      <c r="D2681" s="156"/>
      <c r="E2681" s="155"/>
      <c r="F2681" s="156"/>
      <c r="G2681" s="154"/>
      <c r="H2681" s="157"/>
      <c r="I2681" s="158"/>
      <c r="J2681" s="159"/>
      <c r="K2681" s="156"/>
      <c r="L2681" s="156"/>
      <c r="M2681" s="155"/>
      <c r="N2681" s="160"/>
      <c r="O2681" s="161"/>
      <c r="P2681" s="161"/>
      <c r="Q2681" s="159"/>
      <c r="R2681" s="162"/>
      <c r="S2681" s="162"/>
      <c r="T2681" s="162"/>
      <c r="U2681" s="163"/>
      <c r="V2681" s="154"/>
      <c r="W2681" s="164"/>
      <c r="X2681" s="164"/>
      <c r="Y2681" s="164"/>
      <c r="Z2681" s="164"/>
      <c r="AA2681" s="164"/>
      <c r="AB2681" s="164"/>
      <c r="AC2681" s="164"/>
      <c r="AD2681" s="164"/>
      <c r="AE2681" s="164"/>
      <c r="AF2681" s="164"/>
      <c r="AG2681" s="164"/>
      <c r="AH2681" s="164"/>
      <c r="AI2681" s="164"/>
    </row>
    <row r="2682">
      <c r="A2682" s="216"/>
      <c r="B2682" s="155"/>
      <c r="C2682" s="156"/>
      <c r="D2682" s="156"/>
      <c r="E2682" s="155"/>
      <c r="F2682" s="156"/>
      <c r="G2682" s="154"/>
      <c r="H2682" s="157"/>
      <c r="I2682" s="158"/>
      <c r="J2682" s="159"/>
      <c r="K2682" s="156"/>
      <c r="L2682" s="156"/>
      <c r="M2682" s="155"/>
      <c r="N2682" s="160"/>
      <c r="O2682" s="161"/>
      <c r="P2682" s="161"/>
      <c r="Q2682" s="203"/>
      <c r="R2682" s="162"/>
      <c r="S2682" s="162"/>
      <c r="T2682" s="162"/>
      <c r="U2682" s="163"/>
      <c r="V2682" s="154"/>
      <c r="W2682" s="164"/>
      <c r="X2682" s="164"/>
      <c r="Y2682" s="164"/>
      <c r="Z2682" s="164"/>
      <c r="AA2682" s="164"/>
      <c r="AB2682" s="164"/>
      <c r="AC2682" s="164"/>
      <c r="AD2682" s="164"/>
      <c r="AE2682" s="164"/>
      <c r="AF2682" s="164"/>
      <c r="AG2682" s="164"/>
      <c r="AH2682" s="164"/>
      <c r="AI2682" s="164"/>
    </row>
    <row r="2683">
      <c r="A2683" s="216"/>
      <c r="B2683" s="155"/>
      <c r="C2683" s="156"/>
      <c r="D2683" s="156"/>
      <c r="E2683" s="155"/>
      <c r="F2683" s="156"/>
      <c r="G2683" s="154"/>
      <c r="H2683" s="157"/>
      <c r="I2683" s="158"/>
      <c r="J2683" s="159"/>
      <c r="K2683" s="156"/>
      <c r="L2683" s="156"/>
      <c r="M2683" s="202"/>
      <c r="N2683" s="160"/>
      <c r="O2683" s="161"/>
      <c r="P2683" s="161"/>
      <c r="Q2683" s="203"/>
      <c r="R2683" s="162"/>
      <c r="S2683" s="162"/>
      <c r="T2683" s="162"/>
      <c r="U2683" s="163"/>
      <c r="V2683" s="154"/>
      <c r="W2683" s="164"/>
      <c r="X2683" s="164"/>
      <c r="Y2683" s="164"/>
      <c r="Z2683" s="164"/>
      <c r="AA2683" s="164"/>
      <c r="AB2683" s="164"/>
      <c r="AC2683" s="164"/>
      <c r="AD2683" s="164"/>
      <c r="AE2683" s="164"/>
      <c r="AF2683" s="164"/>
      <c r="AG2683" s="164"/>
      <c r="AH2683" s="164"/>
      <c r="AI2683" s="164"/>
    </row>
    <row r="2684">
      <c r="A2684" s="216"/>
      <c r="B2684" s="155"/>
      <c r="C2684" s="156"/>
      <c r="D2684" s="156"/>
      <c r="E2684" s="155"/>
      <c r="F2684" s="156"/>
      <c r="G2684" s="154"/>
      <c r="H2684" s="157"/>
      <c r="I2684" s="158"/>
      <c r="J2684" s="159"/>
      <c r="K2684" s="156"/>
      <c r="L2684" s="156"/>
      <c r="M2684" s="155"/>
      <c r="N2684" s="160"/>
      <c r="O2684" s="161"/>
      <c r="P2684" s="161"/>
      <c r="Q2684" s="159"/>
      <c r="R2684" s="162"/>
      <c r="S2684" s="162"/>
      <c r="T2684" s="162"/>
      <c r="U2684" s="163"/>
      <c r="V2684" s="216"/>
      <c r="W2684" s="164"/>
      <c r="X2684" s="164"/>
      <c r="Y2684" s="164"/>
      <c r="Z2684" s="164"/>
      <c r="AA2684" s="164"/>
      <c r="AB2684" s="164"/>
      <c r="AC2684" s="164"/>
      <c r="AD2684" s="164"/>
      <c r="AE2684" s="164"/>
      <c r="AF2684" s="164"/>
      <c r="AG2684" s="164"/>
      <c r="AH2684" s="164"/>
      <c r="AI2684" s="164"/>
    </row>
    <row r="2685">
      <c r="A2685" s="216"/>
      <c r="B2685" s="155"/>
      <c r="C2685" s="156"/>
      <c r="D2685" s="156"/>
      <c r="E2685" s="155"/>
      <c r="F2685" s="156"/>
      <c r="G2685" s="154"/>
      <c r="H2685" s="157"/>
      <c r="I2685" s="158"/>
      <c r="J2685" s="159"/>
      <c r="K2685" s="156"/>
      <c r="L2685" s="156"/>
      <c r="M2685" s="155"/>
      <c r="N2685" s="160"/>
      <c r="O2685" s="161"/>
      <c r="P2685" s="161"/>
      <c r="Q2685" s="203"/>
      <c r="R2685" s="162"/>
      <c r="S2685" s="162"/>
      <c r="T2685" s="162"/>
      <c r="U2685" s="163"/>
      <c r="V2685" s="154"/>
      <c r="W2685" s="164"/>
      <c r="X2685" s="164"/>
      <c r="Y2685" s="164"/>
      <c r="Z2685" s="164"/>
      <c r="AA2685" s="164"/>
      <c r="AB2685" s="164"/>
      <c r="AC2685" s="164"/>
      <c r="AD2685" s="164"/>
      <c r="AE2685" s="164"/>
      <c r="AF2685" s="164"/>
      <c r="AG2685" s="164"/>
      <c r="AH2685" s="164"/>
      <c r="AI2685" s="164"/>
    </row>
    <row r="2686">
      <c r="A2686" s="216"/>
      <c r="B2686" s="155"/>
      <c r="C2686" s="156"/>
      <c r="D2686" s="156"/>
      <c r="E2686" s="155"/>
      <c r="F2686" s="156"/>
      <c r="G2686" s="154"/>
      <c r="H2686" s="157"/>
      <c r="I2686" s="158"/>
      <c r="J2686" s="159"/>
      <c r="K2686" s="156"/>
      <c r="L2686" s="156"/>
      <c r="M2686" s="155"/>
      <c r="N2686" s="160"/>
      <c r="O2686" s="161"/>
      <c r="P2686" s="161"/>
      <c r="Q2686" s="203"/>
      <c r="R2686" s="162"/>
      <c r="S2686" s="162"/>
      <c r="T2686" s="162"/>
      <c r="U2686" s="163"/>
      <c r="V2686" s="154"/>
      <c r="W2686" s="164"/>
      <c r="X2686" s="164"/>
      <c r="Y2686" s="164"/>
      <c r="Z2686" s="164"/>
      <c r="AA2686" s="164"/>
      <c r="AB2686" s="164"/>
      <c r="AC2686" s="164"/>
      <c r="AD2686" s="164"/>
      <c r="AE2686" s="164"/>
      <c r="AF2686" s="164"/>
      <c r="AG2686" s="164"/>
      <c r="AH2686" s="164"/>
      <c r="AI2686" s="164"/>
    </row>
    <row r="2687">
      <c r="A2687" s="216"/>
      <c r="B2687" s="155"/>
      <c r="C2687" s="156"/>
      <c r="D2687" s="156"/>
      <c r="E2687" s="155"/>
      <c r="F2687" s="156"/>
      <c r="G2687" s="154"/>
      <c r="H2687" s="157"/>
      <c r="I2687" s="158"/>
      <c r="J2687" s="159"/>
      <c r="K2687" s="156"/>
      <c r="L2687" s="156"/>
      <c r="M2687" s="155"/>
      <c r="N2687" s="160"/>
      <c r="O2687" s="161"/>
      <c r="P2687" s="161"/>
      <c r="Q2687" s="159"/>
      <c r="R2687" s="162"/>
      <c r="S2687" s="162"/>
      <c r="T2687" s="162"/>
      <c r="U2687" s="163"/>
      <c r="V2687" s="154"/>
      <c r="W2687" s="164"/>
      <c r="X2687" s="164"/>
      <c r="Y2687" s="164"/>
      <c r="Z2687" s="164"/>
      <c r="AA2687" s="164"/>
      <c r="AB2687" s="164"/>
      <c r="AC2687" s="164"/>
      <c r="AD2687" s="164"/>
      <c r="AE2687" s="164"/>
      <c r="AF2687" s="164"/>
      <c r="AG2687" s="164"/>
      <c r="AH2687" s="164"/>
      <c r="AI2687" s="164"/>
    </row>
    <row r="2688">
      <c r="A2688" s="216"/>
      <c r="B2688" s="155"/>
      <c r="C2688" s="156"/>
      <c r="D2688" s="156"/>
      <c r="E2688" s="155"/>
      <c r="F2688" s="156"/>
      <c r="G2688" s="154"/>
      <c r="H2688" s="157"/>
      <c r="I2688" s="158"/>
      <c r="J2688" s="159"/>
      <c r="K2688" s="156"/>
      <c r="L2688" s="156"/>
      <c r="M2688" s="155"/>
      <c r="N2688" s="160"/>
      <c r="O2688" s="161"/>
      <c r="P2688" s="161"/>
      <c r="Q2688" s="159"/>
      <c r="R2688" s="162"/>
      <c r="S2688" s="162"/>
      <c r="T2688" s="162"/>
      <c r="U2688" s="163"/>
      <c r="V2688" s="154"/>
      <c r="W2688" s="164"/>
      <c r="X2688" s="164"/>
      <c r="Y2688" s="164"/>
      <c r="Z2688" s="164"/>
      <c r="AA2688" s="164"/>
      <c r="AB2688" s="164"/>
      <c r="AC2688" s="164"/>
      <c r="AD2688" s="164"/>
      <c r="AE2688" s="164"/>
      <c r="AF2688" s="164"/>
      <c r="AG2688" s="164"/>
      <c r="AH2688" s="164"/>
      <c r="AI2688" s="164"/>
    </row>
    <row r="2689">
      <c r="A2689" s="216"/>
      <c r="B2689" s="155"/>
      <c r="C2689" s="156"/>
      <c r="D2689" s="156"/>
      <c r="E2689" s="155"/>
      <c r="F2689" s="156"/>
      <c r="G2689" s="154"/>
      <c r="H2689" s="157"/>
      <c r="I2689" s="158"/>
      <c r="J2689" s="159"/>
      <c r="K2689" s="156"/>
      <c r="L2689" s="156"/>
      <c r="M2689" s="155"/>
      <c r="N2689" s="160"/>
      <c r="O2689" s="161"/>
      <c r="P2689" s="161"/>
      <c r="Q2689" s="203"/>
      <c r="R2689" s="162"/>
      <c r="S2689" s="162"/>
      <c r="T2689" s="162"/>
      <c r="U2689" s="163"/>
      <c r="V2689" s="154"/>
      <c r="W2689" s="164"/>
      <c r="X2689" s="164"/>
      <c r="Y2689" s="164"/>
      <c r="Z2689" s="164"/>
      <c r="AA2689" s="164"/>
      <c r="AB2689" s="164"/>
      <c r="AC2689" s="164"/>
      <c r="AD2689" s="164"/>
      <c r="AE2689" s="164"/>
      <c r="AF2689" s="164"/>
      <c r="AG2689" s="164"/>
      <c r="AH2689" s="164"/>
      <c r="AI2689" s="164"/>
    </row>
    <row r="2690">
      <c r="A2690" s="216"/>
      <c r="B2690" s="155"/>
      <c r="C2690" s="156"/>
      <c r="D2690" s="156"/>
      <c r="E2690" s="155"/>
      <c r="F2690" s="156"/>
      <c r="G2690" s="154"/>
      <c r="H2690" s="157"/>
      <c r="I2690" s="158"/>
      <c r="J2690" s="159"/>
      <c r="K2690" s="156"/>
      <c r="L2690" s="156"/>
      <c r="M2690" s="155"/>
      <c r="N2690" s="160"/>
      <c r="O2690" s="161"/>
      <c r="P2690" s="161"/>
      <c r="Q2690" s="203"/>
      <c r="R2690" s="162"/>
      <c r="S2690" s="162"/>
      <c r="T2690" s="162"/>
      <c r="U2690" s="163"/>
      <c r="V2690" s="154"/>
      <c r="W2690" s="164"/>
      <c r="X2690" s="164"/>
      <c r="Y2690" s="164"/>
      <c r="Z2690" s="164"/>
      <c r="AA2690" s="164"/>
      <c r="AB2690" s="164"/>
      <c r="AC2690" s="164"/>
      <c r="AD2690" s="164"/>
      <c r="AE2690" s="164"/>
      <c r="AF2690" s="164"/>
      <c r="AG2690" s="164"/>
      <c r="AH2690" s="164"/>
      <c r="AI2690" s="164"/>
    </row>
    <row r="2691">
      <c r="A2691" s="154"/>
      <c r="B2691" s="155"/>
      <c r="C2691" s="156"/>
      <c r="D2691" s="156"/>
      <c r="E2691" s="155"/>
      <c r="F2691" s="156"/>
      <c r="G2691" s="154"/>
      <c r="H2691" s="157"/>
      <c r="I2691" s="158"/>
      <c r="J2691" s="159"/>
      <c r="K2691" s="156"/>
      <c r="L2691" s="156"/>
      <c r="M2691" s="202"/>
      <c r="N2691" s="160"/>
      <c r="O2691" s="161"/>
      <c r="P2691" s="161"/>
      <c r="Q2691" s="203"/>
      <c r="R2691" s="162"/>
      <c r="S2691" s="162"/>
      <c r="T2691" s="162"/>
      <c r="U2691" s="163"/>
      <c r="V2691" s="154"/>
      <c r="W2691" s="164"/>
      <c r="X2691" s="164"/>
      <c r="Y2691" s="164"/>
      <c r="Z2691" s="164"/>
      <c r="AA2691" s="164"/>
      <c r="AB2691" s="164"/>
      <c r="AC2691" s="164"/>
      <c r="AD2691" s="164"/>
      <c r="AE2691" s="164"/>
      <c r="AF2691" s="164"/>
      <c r="AG2691" s="164"/>
      <c r="AH2691" s="164"/>
      <c r="AI2691" s="164"/>
    </row>
    <row r="2692">
      <c r="A2692" s="216"/>
      <c r="B2692" s="155"/>
      <c r="C2692" s="156"/>
      <c r="D2692" s="156"/>
      <c r="E2692" s="155"/>
      <c r="F2692" s="156"/>
      <c r="G2692" s="154"/>
      <c r="H2692" s="157"/>
      <c r="I2692" s="158"/>
      <c r="J2692" s="159"/>
      <c r="K2692" s="156"/>
      <c r="L2692" s="156"/>
      <c r="M2692" s="202"/>
      <c r="N2692" s="160"/>
      <c r="O2692" s="161"/>
      <c r="P2692" s="161"/>
      <c r="Q2692" s="203"/>
      <c r="R2692" s="162"/>
      <c r="S2692" s="162"/>
      <c r="T2692" s="162"/>
      <c r="U2692" s="163"/>
      <c r="V2692" s="154"/>
      <c r="W2692" s="164"/>
      <c r="X2692" s="164"/>
      <c r="Y2692" s="164"/>
      <c r="Z2692" s="164"/>
      <c r="AA2692" s="164"/>
      <c r="AB2692" s="164"/>
      <c r="AC2692" s="164"/>
      <c r="AD2692" s="164"/>
      <c r="AE2692" s="164"/>
      <c r="AF2692" s="164"/>
      <c r="AG2692" s="164"/>
      <c r="AH2692" s="164"/>
      <c r="AI2692" s="164"/>
    </row>
    <row r="2693">
      <c r="A2693" s="216"/>
      <c r="B2693" s="155"/>
      <c r="C2693" s="156"/>
      <c r="D2693" s="156"/>
      <c r="E2693" s="155"/>
      <c r="F2693" s="156"/>
      <c r="G2693" s="154"/>
      <c r="H2693" s="157"/>
      <c r="I2693" s="158"/>
      <c r="J2693" s="159"/>
      <c r="K2693" s="156"/>
      <c r="L2693" s="156"/>
      <c r="M2693" s="155"/>
      <c r="N2693" s="160"/>
      <c r="O2693" s="161"/>
      <c r="P2693" s="161"/>
      <c r="Q2693" s="203"/>
      <c r="R2693" s="162"/>
      <c r="S2693" s="162"/>
      <c r="T2693" s="162"/>
      <c r="U2693" s="163"/>
      <c r="V2693" s="154"/>
      <c r="W2693" s="164"/>
      <c r="X2693" s="164"/>
      <c r="Y2693" s="164"/>
      <c r="Z2693" s="164"/>
      <c r="AA2693" s="164"/>
      <c r="AB2693" s="164"/>
      <c r="AC2693" s="164"/>
      <c r="AD2693" s="164"/>
      <c r="AE2693" s="164"/>
      <c r="AF2693" s="164"/>
      <c r="AG2693" s="164"/>
      <c r="AH2693" s="164"/>
      <c r="AI2693" s="164"/>
    </row>
    <row r="2694">
      <c r="A2694" s="216"/>
      <c r="B2694" s="155"/>
      <c r="C2694" s="156"/>
      <c r="D2694" s="156"/>
      <c r="E2694" s="155"/>
      <c r="F2694" s="156"/>
      <c r="G2694" s="154"/>
      <c r="H2694" s="157"/>
      <c r="I2694" s="158"/>
      <c r="J2694" s="159"/>
      <c r="K2694" s="156"/>
      <c r="L2694" s="156"/>
      <c r="M2694" s="202"/>
      <c r="N2694" s="160"/>
      <c r="O2694" s="161"/>
      <c r="P2694" s="161"/>
      <c r="Q2694" s="203"/>
      <c r="R2694" s="162"/>
      <c r="S2694" s="162"/>
      <c r="T2694" s="162"/>
      <c r="U2694" s="163"/>
      <c r="V2694" s="154"/>
      <c r="W2694" s="164"/>
      <c r="X2694" s="164"/>
      <c r="Y2694" s="164"/>
      <c r="Z2694" s="164"/>
      <c r="AA2694" s="164"/>
      <c r="AB2694" s="164"/>
      <c r="AC2694" s="164"/>
      <c r="AD2694" s="164"/>
      <c r="AE2694" s="164"/>
      <c r="AF2694" s="164"/>
      <c r="AG2694" s="164"/>
      <c r="AH2694" s="164"/>
      <c r="AI2694" s="164"/>
    </row>
    <row r="2695">
      <c r="A2695" s="216"/>
      <c r="B2695" s="155"/>
      <c r="C2695" s="156"/>
      <c r="D2695" s="156"/>
      <c r="E2695" s="155"/>
      <c r="F2695" s="156"/>
      <c r="G2695" s="154"/>
      <c r="H2695" s="157"/>
      <c r="I2695" s="158"/>
      <c r="J2695" s="159"/>
      <c r="K2695" s="156"/>
      <c r="L2695" s="156"/>
      <c r="M2695" s="155"/>
      <c r="N2695" s="160"/>
      <c r="O2695" s="161"/>
      <c r="P2695" s="161"/>
      <c r="Q2695" s="159"/>
      <c r="R2695" s="162"/>
      <c r="S2695" s="162"/>
      <c r="T2695" s="162"/>
      <c r="U2695" s="163"/>
      <c r="V2695" s="154"/>
      <c r="W2695" s="164"/>
      <c r="X2695" s="164"/>
      <c r="Y2695" s="164"/>
      <c r="Z2695" s="164"/>
      <c r="AA2695" s="164"/>
      <c r="AB2695" s="164"/>
      <c r="AC2695" s="164"/>
      <c r="AD2695" s="164"/>
      <c r="AE2695" s="164"/>
      <c r="AF2695" s="164"/>
      <c r="AG2695" s="164"/>
      <c r="AH2695" s="164"/>
      <c r="AI2695" s="164"/>
    </row>
    <row r="2696">
      <c r="A2696" s="216"/>
      <c r="B2696" s="155"/>
      <c r="C2696" s="156"/>
      <c r="D2696" s="156"/>
      <c r="E2696" s="155"/>
      <c r="F2696" s="156"/>
      <c r="G2696" s="154"/>
      <c r="H2696" s="157"/>
      <c r="I2696" s="158"/>
      <c r="J2696" s="159"/>
      <c r="K2696" s="156"/>
      <c r="L2696" s="156"/>
      <c r="M2696" s="202"/>
      <c r="N2696" s="160"/>
      <c r="O2696" s="161"/>
      <c r="P2696" s="161"/>
      <c r="Q2696" s="203"/>
      <c r="R2696" s="162"/>
      <c r="S2696" s="162"/>
      <c r="T2696" s="162"/>
      <c r="U2696" s="163"/>
      <c r="V2696" s="154"/>
      <c r="W2696" s="164"/>
      <c r="X2696" s="164"/>
      <c r="Y2696" s="164"/>
      <c r="Z2696" s="164"/>
      <c r="AA2696" s="164"/>
      <c r="AB2696" s="164"/>
      <c r="AC2696" s="164"/>
      <c r="AD2696" s="164"/>
      <c r="AE2696" s="164"/>
      <c r="AF2696" s="164"/>
      <c r="AG2696" s="164"/>
      <c r="AH2696" s="164"/>
      <c r="AI2696" s="164"/>
    </row>
    <row r="2697">
      <c r="A2697" s="216"/>
      <c r="B2697" s="155"/>
      <c r="C2697" s="156"/>
      <c r="D2697" s="156"/>
      <c r="E2697" s="155"/>
      <c r="F2697" s="156"/>
      <c r="G2697" s="154"/>
      <c r="H2697" s="157"/>
      <c r="I2697" s="158"/>
      <c r="J2697" s="159"/>
      <c r="K2697" s="156"/>
      <c r="L2697" s="156"/>
      <c r="M2697" s="155"/>
      <c r="N2697" s="160"/>
      <c r="O2697" s="161"/>
      <c r="P2697" s="161"/>
      <c r="Q2697" s="203"/>
      <c r="R2697" s="162"/>
      <c r="S2697" s="162"/>
      <c r="T2697" s="162"/>
      <c r="U2697" s="163"/>
      <c r="V2697" s="154"/>
      <c r="W2697" s="164"/>
      <c r="X2697" s="164"/>
      <c r="Y2697" s="164"/>
      <c r="Z2697" s="164"/>
      <c r="AA2697" s="164"/>
      <c r="AB2697" s="164"/>
      <c r="AC2697" s="164"/>
      <c r="AD2697" s="164"/>
      <c r="AE2697" s="164"/>
      <c r="AF2697" s="164"/>
      <c r="AG2697" s="164"/>
      <c r="AH2697" s="164"/>
      <c r="AI2697" s="164"/>
    </row>
    <row r="2698">
      <c r="A2698" s="216"/>
      <c r="B2698" s="155"/>
      <c r="C2698" s="156"/>
      <c r="D2698" s="156"/>
      <c r="E2698" s="155"/>
      <c r="F2698" s="156"/>
      <c r="G2698" s="154"/>
      <c r="H2698" s="157"/>
      <c r="I2698" s="158"/>
      <c r="J2698" s="159"/>
      <c r="K2698" s="156"/>
      <c r="L2698" s="156"/>
      <c r="M2698" s="155"/>
      <c r="N2698" s="160"/>
      <c r="O2698" s="161"/>
      <c r="P2698" s="161"/>
      <c r="Q2698" s="203"/>
      <c r="R2698" s="162"/>
      <c r="S2698" s="162"/>
      <c r="T2698" s="162"/>
      <c r="U2698" s="163"/>
      <c r="V2698" s="154"/>
      <c r="W2698" s="164"/>
      <c r="X2698" s="164"/>
      <c r="Y2698" s="164"/>
      <c r="Z2698" s="164"/>
      <c r="AA2698" s="164"/>
      <c r="AB2698" s="164"/>
      <c r="AC2698" s="164"/>
      <c r="AD2698" s="164"/>
      <c r="AE2698" s="164"/>
      <c r="AF2698" s="164"/>
      <c r="AG2698" s="164"/>
      <c r="AH2698" s="164"/>
      <c r="AI2698" s="164"/>
    </row>
    <row r="2699">
      <c r="A2699" s="216"/>
      <c r="B2699" s="155"/>
      <c r="C2699" s="156"/>
      <c r="D2699" s="156"/>
      <c r="E2699" s="155"/>
      <c r="F2699" s="156"/>
      <c r="G2699" s="154"/>
      <c r="H2699" s="157"/>
      <c r="I2699" s="158"/>
      <c r="J2699" s="159"/>
      <c r="K2699" s="156"/>
      <c r="L2699" s="156"/>
      <c r="M2699" s="155"/>
      <c r="N2699" s="160"/>
      <c r="O2699" s="161"/>
      <c r="P2699" s="161"/>
      <c r="Q2699" s="159"/>
      <c r="R2699" s="162"/>
      <c r="S2699" s="162"/>
      <c r="T2699" s="162"/>
      <c r="U2699" s="163"/>
      <c r="V2699" s="154"/>
      <c r="W2699" s="164"/>
      <c r="X2699" s="164"/>
      <c r="Y2699" s="164"/>
      <c r="Z2699" s="164"/>
      <c r="AA2699" s="164"/>
      <c r="AB2699" s="164"/>
      <c r="AC2699" s="164"/>
      <c r="AD2699" s="164"/>
      <c r="AE2699" s="164"/>
      <c r="AF2699" s="164"/>
      <c r="AG2699" s="164"/>
      <c r="AH2699" s="164"/>
      <c r="AI2699" s="164"/>
    </row>
    <row r="2700">
      <c r="A2700" s="216"/>
      <c r="B2700" s="155"/>
      <c r="C2700" s="156"/>
      <c r="D2700" s="156"/>
      <c r="E2700" s="155"/>
      <c r="F2700" s="156"/>
      <c r="G2700" s="154"/>
      <c r="H2700" s="157"/>
      <c r="I2700" s="158"/>
      <c r="J2700" s="159"/>
      <c r="K2700" s="156"/>
      <c r="L2700" s="156"/>
      <c r="M2700" s="202"/>
      <c r="N2700" s="160"/>
      <c r="O2700" s="161"/>
      <c r="P2700" s="161"/>
      <c r="Q2700" s="203"/>
      <c r="R2700" s="162"/>
      <c r="S2700" s="162"/>
      <c r="T2700" s="162"/>
      <c r="U2700" s="163"/>
      <c r="V2700" s="154"/>
      <c r="W2700" s="164"/>
      <c r="X2700" s="164"/>
      <c r="Y2700" s="164"/>
      <c r="Z2700" s="164"/>
      <c r="AA2700" s="164"/>
      <c r="AB2700" s="164"/>
      <c r="AC2700" s="164"/>
      <c r="AD2700" s="164"/>
      <c r="AE2700" s="164"/>
      <c r="AF2700" s="164"/>
      <c r="AG2700" s="164"/>
      <c r="AH2700" s="164"/>
      <c r="AI2700" s="164"/>
    </row>
    <row r="2701">
      <c r="A2701" s="216"/>
      <c r="B2701" s="155"/>
      <c r="C2701" s="156"/>
      <c r="D2701" s="156"/>
      <c r="E2701" s="155"/>
      <c r="F2701" s="156"/>
      <c r="G2701" s="154"/>
      <c r="H2701" s="157"/>
      <c r="I2701" s="158"/>
      <c r="J2701" s="159"/>
      <c r="K2701" s="156"/>
      <c r="L2701" s="156"/>
      <c r="M2701" s="155"/>
      <c r="N2701" s="160"/>
      <c r="O2701" s="161"/>
      <c r="P2701" s="161"/>
      <c r="Q2701" s="203"/>
      <c r="R2701" s="162"/>
      <c r="S2701" s="162"/>
      <c r="T2701" s="162"/>
      <c r="U2701" s="163"/>
      <c r="V2701" s="215"/>
      <c r="W2701" s="164"/>
      <c r="X2701" s="164"/>
      <c r="Y2701" s="164"/>
      <c r="Z2701" s="164"/>
      <c r="AA2701" s="164"/>
      <c r="AB2701" s="164"/>
      <c r="AC2701" s="164"/>
      <c r="AD2701" s="164"/>
      <c r="AE2701" s="164"/>
      <c r="AF2701" s="164"/>
      <c r="AG2701" s="164"/>
      <c r="AH2701" s="164"/>
      <c r="AI2701" s="164"/>
    </row>
    <row r="2702">
      <c r="A2702" s="216"/>
      <c r="B2702" s="155"/>
      <c r="C2702" s="156"/>
      <c r="D2702" s="156"/>
      <c r="E2702" s="155"/>
      <c r="F2702" s="156"/>
      <c r="G2702" s="154"/>
      <c r="H2702" s="157"/>
      <c r="I2702" s="158"/>
      <c r="J2702" s="159"/>
      <c r="K2702" s="156"/>
      <c r="L2702" s="156"/>
      <c r="M2702" s="202"/>
      <c r="N2702" s="160"/>
      <c r="O2702" s="161"/>
      <c r="P2702" s="161"/>
      <c r="Q2702" s="203"/>
      <c r="R2702" s="162"/>
      <c r="S2702" s="162"/>
      <c r="T2702" s="162"/>
      <c r="U2702" s="163"/>
      <c r="V2702" s="216"/>
      <c r="W2702" s="164"/>
      <c r="X2702" s="164"/>
      <c r="Y2702" s="164"/>
      <c r="Z2702" s="164"/>
      <c r="AA2702" s="164"/>
      <c r="AB2702" s="164"/>
      <c r="AC2702" s="164"/>
      <c r="AD2702" s="164"/>
      <c r="AE2702" s="164"/>
      <c r="AF2702" s="164"/>
      <c r="AG2702" s="164"/>
      <c r="AH2702" s="164"/>
      <c r="AI2702" s="164"/>
    </row>
    <row r="2703">
      <c r="A2703" s="216"/>
      <c r="B2703" s="155"/>
      <c r="C2703" s="156"/>
      <c r="D2703" s="156"/>
      <c r="E2703" s="155"/>
      <c r="F2703" s="156"/>
      <c r="G2703" s="154"/>
      <c r="H2703" s="157"/>
      <c r="I2703" s="158"/>
      <c r="J2703" s="159"/>
      <c r="K2703" s="156"/>
      <c r="L2703" s="156"/>
      <c r="M2703" s="155"/>
      <c r="N2703" s="160"/>
      <c r="O2703" s="161"/>
      <c r="P2703" s="161"/>
      <c r="Q2703" s="203"/>
      <c r="R2703" s="162"/>
      <c r="S2703" s="162"/>
      <c r="T2703" s="162"/>
      <c r="U2703" s="163"/>
      <c r="V2703" s="154"/>
      <c r="W2703" s="164"/>
      <c r="X2703" s="164"/>
      <c r="Y2703" s="164"/>
      <c r="Z2703" s="164"/>
      <c r="AA2703" s="164"/>
      <c r="AB2703" s="164"/>
      <c r="AC2703" s="164"/>
      <c r="AD2703" s="164"/>
      <c r="AE2703" s="164"/>
      <c r="AF2703" s="164"/>
      <c r="AG2703" s="164"/>
      <c r="AH2703" s="164"/>
      <c r="AI2703" s="164"/>
    </row>
    <row r="2704">
      <c r="A2704" s="176"/>
      <c r="B2704" s="177"/>
      <c r="C2704" s="178"/>
      <c r="D2704" s="178"/>
      <c r="E2704" s="177"/>
      <c r="F2704" s="178"/>
      <c r="G2704" s="176"/>
      <c r="H2704" s="179"/>
      <c r="I2704" s="180"/>
      <c r="J2704" s="181"/>
      <c r="K2704" s="178"/>
      <c r="L2704" s="178"/>
      <c r="M2704" s="182"/>
      <c r="N2704" s="181"/>
      <c r="O2704" s="184"/>
      <c r="P2704" s="184"/>
      <c r="Q2704" s="181"/>
      <c r="R2704" s="186"/>
      <c r="S2704" s="186"/>
      <c r="T2704" s="186"/>
      <c r="U2704" s="187"/>
      <c r="V2704" s="176"/>
      <c r="W2704" s="164"/>
      <c r="X2704" s="164"/>
      <c r="Y2704" s="164"/>
      <c r="Z2704" s="164"/>
      <c r="AA2704" s="164"/>
      <c r="AB2704" s="164"/>
      <c r="AC2704" s="164"/>
      <c r="AD2704" s="164"/>
      <c r="AE2704" s="164"/>
      <c r="AF2704" s="164"/>
      <c r="AG2704" s="164"/>
      <c r="AH2704" s="164"/>
      <c r="AI2704" s="164"/>
    </row>
    <row r="2705">
      <c r="A2705" s="216"/>
      <c r="B2705" s="155"/>
      <c r="C2705" s="156"/>
      <c r="D2705" s="156"/>
      <c r="E2705" s="155"/>
      <c r="F2705" s="156"/>
      <c r="G2705" s="154"/>
      <c r="H2705" s="157"/>
      <c r="I2705" s="158"/>
      <c r="J2705" s="159"/>
      <c r="K2705" s="156"/>
      <c r="L2705" s="156"/>
      <c r="M2705" s="202"/>
      <c r="N2705" s="160"/>
      <c r="O2705" s="161"/>
      <c r="P2705" s="161"/>
      <c r="Q2705" s="203"/>
      <c r="R2705" s="162"/>
      <c r="S2705" s="162"/>
      <c r="T2705" s="162"/>
      <c r="U2705" s="163"/>
      <c r="V2705" s="154"/>
      <c r="W2705" s="164"/>
      <c r="X2705" s="164"/>
      <c r="Y2705" s="164"/>
      <c r="Z2705" s="164"/>
      <c r="AA2705" s="164"/>
      <c r="AB2705" s="164"/>
      <c r="AC2705" s="164"/>
      <c r="AD2705" s="164"/>
      <c r="AE2705" s="164"/>
      <c r="AF2705" s="164"/>
      <c r="AG2705" s="164"/>
      <c r="AH2705" s="164"/>
      <c r="AI2705" s="164"/>
    </row>
    <row r="2706">
      <c r="A2706" s="216"/>
      <c r="B2706" s="155"/>
      <c r="C2706" s="156"/>
      <c r="D2706" s="156"/>
      <c r="E2706" s="155"/>
      <c r="F2706" s="156"/>
      <c r="G2706" s="154"/>
      <c r="H2706" s="157"/>
      <c r="I2706" s="158"/>
      <c r="J2706" s="159"/>
      <c r="K2706" s="156"/>
      <c r="L2706" s="156"/>
      <c r="M2706" s="202"/>
      <c r="N2706" s="160"/>
      <c r="O2706" s="161"/>
      <c r="P2706" s="161"/>
      <c r="Q2706" s="159"/>
      <c r="R2706" s="162"/>
      <c r="S2706" s="162"/>
      <c r="T2706" s="162"/>
      <c r="U2706" s="163"/>
      <c r="V2706" s="154"/>
      <c r="W2706" s="164"/>
      <c r="X2706" s="164"/>
      <c r="Y2706" s="164"/>
      <c r="Z2706" s="164"/>
      <c r="AA2706" s="164"/>
      <c r="AB2706" s="164"/>
      <c r="AC2706" s="164"/>
      <c r="AD2706" s="164"/>
      <c r="AE2706" s="164"/>
      <c r="AF2706" s="164"/>
      <c r="AG2706" s="164"/>
      <c r="AH2706" s="164"/>
      <c r="AI2706" s="164"/>
    </row>
    <row r="2707">
      <c r="A2707" s="154"/>
      <c r="B2707" s="155"/>
      <c r="C2707" s="156"/>
      <c r="D2707" s="156"/>
      <c r="E2707" s="155"/>
      <c r="F2707" s="156"/>
      <c r="G2707" s="154"/>
      <c r="H2707" s="157"/>
      <c r="I2707" s="158"/>
      <c r="J2707" s="159"/>
      <c r="K2707" s="156"/>
      <c r="L2707" s="156"/>
      <c r="M2707" s="155"/>
      <c r="N2707" s="160"/>
      <c r="O2707" s="161"/>
      <c r="P2707" s="161"/>
      <c r="Q2707" s="159"/>
      <c r="R2707" s="162"/>
      <c r="S2707" s="162"/>
      <c r="T2707" s="162"/>
      <c r="U2707" s="163"/>
      <c r="V2707" s="154"/>
      <c r="W2707" s="164"/>
      <c r="X2707" s="164"/>
      <c r="Y2707" s="164"/>
      <c r="Z2707" s="164"/>
      <c r="AA2707" s="164"/>
      <c r="AB2707" s="164"/>
      <c r="AC2707" s="164"/>
      <c r="AD2707" s="164"/>
      <c r="AE2707" s="164"/>
      <c r="AF2707" s="164"/>
      <c r="AG2707" s="164"/>
      <c r="AH2707" s="164"/>
      <c r="AI2707" s="164"/>
    </row>
    <row r="2708">
      <c r="A2708" s="216"/>
      <c r="B2708" s="155"/>
      <c r="C2708" s="156"/>
      <c r="D2708" s="156"/>
      <c r="E2708" s="155"/>
      <c r="F2708" s="156"/>
      <c r="G2708" s="154"/>
      <c r="H2708" s="157"/>
      <c r="I2708" s="158"/>
      <c r="J2708" s="159"/>
      <c r="K2708" s="156"/>
      <c r="L2708" s="156"/>
      <c r="M2708" s="155"/>
      <c r="N2708" s="160"/>
      <c r="O2708" s="161"/>
      <c r="P2708" s="161"/>
      <c r="Q2708" s="159"/>
      <c r="R2708" s="162"/>
      <c r="S2708" s="162"/>
      <c r="T2708" s="162"/>
      <c r="U2708" s="163"/>
      <c r="V2708" s="215"/>
      <c r="W2708" s="164"/>
      <c r="X2708" s="164"/>
      <c r="Y2708" s="164"/>
      <c r="Z2708" s="164"/>
      <c r="AA2708" s="164"/>
      <c r="AB2708" s="164"/>
      <c r="AC2708" s="164"/>
      <c r="AD2708" s="164"/>
      <c r="AE2708" s="164"/>
      <c r="AF2708" s="164"/>
      <c r="AG2708" s="164"/>
      <c r="AH2708" s="164"/>
      <c r="AI2708" s="164"/>
    </row>
    <row r="2709">
      <c r="A2709" s="216"/>
      <c r="B2709" s="155"/>
      <c r="C2709" s="156"/>
      <c r="D2709" s="156"/>
      <c r="E2709" s="155"/>
      <c r="F2709" s="156"/>
      <c r="G2709" s="154"/>
      <c r="H2709" s="157"/>
      <c r="I2709" s="158"/>
      <c r="J2709" s="159"/>
      <c r="K2709" s="156"/>
      <c r="L2709" s="156"/>
      <c r="M2709" s="155"/>
      <c r="N2709" s="160"/>
      <c r="O2709" s="161"/>
      <c r="P2709" s="161"/>
      <c r="Q2709" s="203"/>
      <c r="R2709" s="162"/>
      <c r="S2709" s="162"/>
      <c r="T2709" s="162"/>
      <c r="U2709" s="163"/>
      <c r="V2709" s="215"/>
      <c r="W2709" s="164"/>
      <c r="X2709" s="164"/>
      <c r="Y2709" s="164"/>
      <c r="Z2709" s="164"/>
      <c r="AA2709" s="164"/>
      <c r="AB2709" s="164"/>
      <c r="AC2709" s="164"/>
      <c r="AD2709" s="164"/>
      <c r="AE2709" s="164"/>
      <c r="AF2709" s="164"/>
      <c r="AG2709" s="164"/>
      <c r="AH2709" s="164"/>
      <c r="AI2709" s="164"/>
    </row>
    <row r="2710">
      <c r="A2710" s="154"/>
      <c r="B2710" s="155"/>
      <c r="C2710" s="156"/>
      <c r="D2710" s="156"/>
      <c r="E2710" s="155"/>
      <c r="F2710" s="156"/>
      <c r="G2710" s="154"/>
      <c r="H2710" s="157"/>
      <c r="I2710" s="158"/>
      <c r="J2710" s="159"/>
      <c r="K2710" s="156"/>
      <c r="L2710" s="156"/>
      <c r="M2710" s="202"/>
      <c r="N2710" s="160"/>
      <c r="O2710" s="161"/>
      <c r="P2710" s="161"/>
      <c r="Q2710" s="203"/>
      <c r="R2710" s="162"/>
      <c r="S2710" s="162"/>
      <c r="T2710" s="162"/>
      <c r="U2710" s="163"/>
      <c r="V2710" s="154"/>
      <c r="W2710" s="164"/>
      <c r="X2710" s="164"/>
      <c r="Y2710" s="164"/>
      <c r="Z2710" s="164"/>
      <c r="AA2710" s="164"/>
      <c r="AB2710" s="164"/>
      <c r="AC2710" s="164"/>
      <c r="AD2710" s="164"/>
      <c r="AE2710" s="164"/>
      <c r="AF2710" s="164"/>
      <c r="AG2710" s="164"/>
      <c r="AH2710" s="164"/>
      <c r="AI2710" s="164"/>
    </row>
    <row r="2711">
      <c r="A2711" s="154"/>
      <c r="B2711" s="155"/>
      <c r="C2711" s="156"/>
      <c r="D2711" s="156"/>
      <c r="E2711" s="155"/>
      <c r="F2711" s="156"/>
      <c r="G2711" s="154"/>
      <c r="H2711" s="157"/>
      <c r="I2711" s="158"/>
      <c r="J2711" s="159"/>
      <c r="K2711" s="156"/>
      <c r="L2711" s="156"/>
      <c r="M2711" s="155"/>
      <c r="N2711" s="160"/>
      <c r="O2711" s="161"/>
      <c r="P2711" s="161"/>
      <c r="Q2711" s="203"/>
      <c r="R2711" s="162"/>
      <c r="S2711" s="162"/>
      <c r="T2711" s="162"/>
      <c r="U2711" s="163"/>
      <c r="V2711" s="215"/>
      <c r="W2711" s="164"/>
      <c r="X2711" s="164"/>
      <c r="Y2711" s="164"/>
      <c r="Z2711" s="164"/>
      <c r="AA2711" s="164"/>
      <c r="AB2711" s="164"/>
      <c r="AC2711" s="164"/>
      <c r="AD2711" s="164"/>
      <c r="AE2711" s="164"/>
      <c r="AF2711" s="164"/>
      <c r="AG2711" s="164"/>
      <c r="AH2711" s="164"/>
      <c r="AI2711" s="164"/>
    </row>
    <row r="2712">
      <c r="A2712" s="216"/>
      <c r="B2712" s="155"/>
      <c r="C2712" s="156"/>
      <c r="D2712" s="156"/>
      <c r="E2712" s="155"/>
      <c r="F2712" s="156"/>
      <c r="G2712" s="154"/>
      <c r="H2712" s="157"/>
      <c r="I2712" s="158"/>
      <c r="J2712" s="159"/>
      <c r="K2712" s="156"/>
      <c r="L2712" s="156"/>
      <c r="M2712" s="155"/>
      <c r="N2712" s="160"/>
      <c r="O2712" s="161"/>
      <c r="P2712" s="161"/>
      <c r="Q2712" s="203"/>
      <c r="R2712" s="162"/>
      <c r="S2712" s="162"/>
      <c r="T2712" s="162"/>
      <c r="U2712" s="163"/>
      <c r="V2712" s="154"/>
      <c r="W2712" s="164"/>
      <c r="X2712" s="164"/>
      <c r="Y2712" s="164"/>
      <c r="Z2712" s="164"/>
      <c r="AA2712" s="164"/>
      <c r="AB2712" s="164"/>
      <c r="AC2712" s="164"/>
      <c r="AD2712" s="164"/>
      <c r="AE2712" s="164"/>
      <c r="AF2712" s="164"/>
      <c r="AG2712" s="164"/>
      <c r="AH2712" s="164"/>
      <c r="AI2712" s="164"/>
    </row>
    <row r="2713">
      <c r="A2713" s="154"/>
      <c r="B2713" s="155"/>
      <c r="C2713" s="156"/>
      <c r="D2713" s="156"/>
      <c r="E2713" s="155"/>
      <c r="F2713" s="156"/>
      <c r="G2713" s="154"/>
      <c r="H2713" s="157"/>
      <c r="I2713" s="158"/>
      <c r="J2713" s="159"/>
      <c r="K2713" s="156"/>
      <c r="L2713" s="156"/>
      <c r="M2713" s="155"/>
      <c r="N2713" s="160"/>
      <c r="O2713" s="161"/>
      <c r="P2713" s="161"/>
      <c r="Q2713" s="159"/>
      <c r="R2713" s="162"/>
      <c r="S2713" s="162"/>
      <c r="T2713" s="162"/>
      <c r="U2713" s="163"/>
      <c r="V2713" s="154"/>
      <c r="W2713" s="164"/>
      <c r="X2713" s="164"/>
      <c r="Y2713" s="164"/>
      <c r="Z2713" s="164"/>
      <c r="AA2713" s="164"/>
      <c r="AB2713" s="164"/>
      <c r="AC2713" s="164"/>
      <c r="AD2713" s="164"/>
      <c r="AE2713" s="164"/>
      <c r="AF2713" s="164"/>
      <c r="AG2713" s="164"/>
      <c r="AH2713" s="164"/>
      <c r="AI2713" s="164"/>
    </row>
    <row r="2714">
      <c r="A2714" s="216"/>
      <c r="B2714" s="155"/>
      <c r="C2714" s="156"/>
      <c r="D2714" s="156"/>
      <c r="E2714" s="155"/>
      <c r="F2714" s="156"/>
      <c r="G2714" s="154"/>
      <c r="H2714" s="157"/>
      <c r="I2714" s="158"/>
      <c r="J2714" s="159"/>
      <c r="K2714" s="156"/>
      <c r="L2714" s="156"/>
      <c r="M2714" s="155"/>
      <c r="N2714" s="160"/>
      <c r="O2714" s="161"/>
      <c r="P2714" s="161"/>
      <c r="Q2714" s="203"/>
      <c r="R2714" s="162"/>
      <c r="S2714" s="162"/>
      <c r="T2714" s="162"/>
      <c r="U2714" s="163"/>
      <c r="V2714" s="154"/>
      <c r="W2714" s="164"/>
      <c r="X2714" s="164"/>
      <c r="Y2714" s="164"/>
      <c r="Z2714" s="164"/>
      <c r="AA2714" s="164"/>
      <c r="AB2714" s="164"/>
      <c r="AC2714" s="164"/>
      <c r="AD2714" s="164"/>
      <c r="AE2714" s="164"/>
      <c r="AF2714" s="164"/>
      <c r="AG2714" s="164"/>
      <c r="AH2714" s="164"/>
      <c r="AI2714" s="164"/>
    </row>
    <row r="2715">
      <c r="A2715" s="216"/>
      <c r="B2715" s="155"/>
      <c r="C2715" s="156"/>
      <c r="D2715" s="156"/>
      <c r="E2715" s="155"/>
      <c r="F2715" s="156"/>
      <c r="G2715" s="154"/>
      <c r="H2715" s="157"/>
      <c r="I2715" s="158"/>
      <c r="J2715" s="159"/>
      <c r="K2715" s="156"/>
      <c r="L2715" s="156"/>
      <c r="M2715" s="155"/>
      <c r="N2715" s="160"/>
      <c r="O2715" s="161"/>
      <c r="P2715" s="161"/>
      <c r="Q2715" s="203"/>
      <c r="R2715" s="162"/>
      <c r="S2715" s="162"/>
      <c r="T2715" s="162"/>
      <c r="U2715" s="163"/>
      <c r="V2715" s="154"/>
      <c r="W2715" s="164"/>
      <c r="X2715" s="164"/>
      <c r="Y2715" s="164"/>
      <c r="Z2715" s="164"/>
      <c r="AA2715" s="164"/>
      <c r="AB2715" s="164"/>
      <c r="AC2715" s="164"/>
      <c r="AD2715" s="164"/>
      <c r="AE2715" s="164"/>
      <c r="AF2715" s="164"/>
      <c r="AG2715" s="164"/>
      <c r="AH2715" s="164"/>
      <c r="AI2715" s="164"/>
    </row>
    <row r="2716">
      <c r="A2716" s="216"/>
      <c r="B2716" s="155"/>
      <c r="C2716" s="156"/>
      <c r="D2716" s="156"/>
      <c r="E2716" s="155"/>
      <c r="F2716" s="156"/>
      <c r="G2716" s="154"/>
      <c r="H2716" s="157"/>
      <c r="I2716" s="158"/>
      <c r="J2716" s="159"/>
      <c r="K2716" s="156"/>
      <c r="L2716" s="156"/>
      <c r="M2716" s="155"/>
      <c r="N2716" s="160"/>
      <c r="O2716" s="161"/>
      <c r="P2716" s="161"/>
      <c r="Q2716" s="159"/>
      <c r="R2716" s="162"/>
      <c r="S2716" s="162"/>
      <c r="T2716" s="162"/>
      <c r="U2716" s="163"/>
      <c r="V2716" s="154"/>
      <c r="W2716" s="164"/>
      <c r="X2716" s="164"/>
      <c r="Y2716" s="164"/>
      <c r="Z2716" s="164"/>
      <c r="AA2716" s="164"/>
      <c r="AB2716" s="164"/>
      <c r="AC2716" s="164"/>
      <c r="AD2716" s="164"/>
      <c r="AE2716" s="164"/>
      <c r="AF2716" s="164"/>
      <c r="AG2716" s="164"/>
      <c r="AH2716" s="164"/>
      <c r="AI2716" s="164"/>
    </row>
    <row r="2717">
      <c r="A2717" s="216"/>
      <c r="B2717" s="155"/>
      <c r="C2717" s="156"/>
      <c r="D2717" s="156"/>
      <c r="E2717" s="155"/>
      <c r="F2717" s="156"/>
      <c r="G2717" s="154"/>
      <c r="H2717" s="157"/>
      <c r="I2717" s="158"/>
      <c r="J2717" s="159"/>
      <c r="K2717" s="156"/>
      <c r="L2717" s="156"/>
      <c r="M2717" s="155"/>
      <c r="N2717" s="160"/>
      <c r="O2717" s="161"/>
      <c r="P2717" s="161"/>
      <c r="Q2717" s="203"/>
      <c r="R2717" s="162"/>
      <c r="S2717" s="162"/>
      <c r="T2717" s="162"/>
      <c r="U2717" s="163"/>
      <c r="V2717" s="154"/>
      <c r="W2717" s="164"/>
      <c r="X2717" s="164"/>
      <c r="Y2717" s="164"/>
      <c r="Z2717" s="164"/>
      <c r="AA2717" s="164"/>
      <c r="AB2717" s="164"/>
      <c r="AC2717" s="164"/>
      <c r="AD2717" s="164"/>
      <c r="AE2717" s="164"/>
      <c r="AF2717" s="164"/>
      <c r="AG2717" s="164"/>
      <c r="AH2717" s="164"/>
      <c r="AI2717" s="164"/>
    </row>
    <row r="2718">
      <c r="A2718" s="216"/>
      <c r="B2718" s="155"/>
      <c r="C2718" s="156"/>
      <c r="D2718" s="156"/>
      <c r="E2718" s="155"/>
      <c r="F2718" s="156"/>
      <c r="G2718" s="154"/>
      <c r="H2718" s="157"/>
      <c r="I2718" s="158"/>
      <c r="J2718" s="159"/>
      <c r="K2718" s="156"/>
      <c r="L2718" s="156"/>
      <c r="M2718" s="155"/>
      <c r="N2718" s="160"/>
      <c r="O2718" s="161"/>
      <c r="P2718" s="161"/>
      <c r="Q2718" s="203"/>
      <c r="R2718" s="162"/>
      <c r="S2718" s="162"/>
      <c r="T2718" s="162"/>
      <c r="U2718" s="163"/>
      <c r="V2718" s="215"/>
      <c r="W2718" s="164"/>
      <c r="X2718" s="164"/>
      <c r="Y2718" s="164"/>
      <c r="Z2718" s="164"/>
      <c r="AA2718" s="164"/>
      <c r="AB2718" s="164"/>
      <c r="AC2718" s="164"/>
      <c r="AD2718" s="164"/>
      <c r="AE2718" s="164"/>
      <c r="AF2718" s="164"/>
      <c r="AG2718" s="164"/>
      <c r="AH2718" s="164"/>
      <c r="AI2718" s="164"/>
    </row>
    <row r="2719">
      <c r="A2719" s="216"/>
      <c r="B2719" s="155"/>
      <c r="C2719" s="156"/>
      <c r="D2719" s="156"/>
      <c r="E2719" s="155"/>
      <c r="F2719" s="156"/>
      <c r="G2719" s="154"/>
      <c r="H2719" s="157"/>
      <c r="I2719" s="158"/>
      <c r="J2719" s="159"/>
      <c r="K2719" s="156"/>
      <c r="L2719" s="156"/>
      <c r="M2719" s="155"/>
      <c r="N2719" s="160"/>
      <c r="O2719" s="161"/>
      <c r="P2719" s="161"/>
      <c r="Q2719" s="203"/>
      <c r="R2719" s="162"/>
      <c r="S2719" s="162"/>
      <c r="T2719" s="162"/>
      <c r="U2719" s="163"/>
      <c r="V2719" s="154"/>
      <c r="W2719" s="164"/>
      <c r="X2719" s="164"/>
      <c r="Y2719" s="164"/>
      <c r="Z2719" s="164"/>
      <c r="AA2719" s="164"/>
      <c r="AB2719" s="164"/>
      <c r="AC2719" s="164"/>
      <c r="AD2719" s="164"/>
      <c r="AE2719" s="164"/>
      <c r="AF2719" s="164"/>
      <c r="AG2719" s="164"/>
      <c r="AH2719" s="164"/>
      <c r="AI2719" s="164"/>
    </row>
    <row r="2720">
      <c r="A2720" s="216"/>
      <c r="B2720" s="155"/>
      <c r="C2720" s="156"/>
      <c r="D2720" s="156"/>
      <c r="E2720" s="155"/>
      <c r="F2720" s="156"/>
      <c r="G2720" s="154"/>
      <c r="H2720" s="157"/>
      <c r="I2720" s="158"/>
      <c r="J2720" s="159"/>
      <c r="K2720" s="156"/>
      <c r="L2720" s="156"/>
      <c r="M2720" s="202"/>
      <c r="N2720" s="160"/>
      <c r="O2720" s="161"/>
      <c r="P2720" s="161"/>
      <c r="Q2720" s="203"/>
      <c r="R2720" s="162"/>
      <c r="S2720" s="162"/>
      <c r="T2720" s="162"/>
      <c r="U2720" s="163"/>
      <c r="V2720" s="154"/>
      <c r="W2720" s="164"/>
      <c r="X2720" s="164"/>
      <c r="Y2720" s="164"/>
      <c r="Z2720" s="164"/>
      <c r="AA2720" s="164"/>
      <c r="AB2720" s="164"/>
      <c r="AC2720" s="164"/>
      <c r="AD2720" s="164"/>
      <c r="AE2720" s="164"/>
      <c r="AF2720" s="164"/>
      <c r="AG2720" s="164"/>
      <c r="AH2720" s="164"/>
      <c r="AI2720" s="164"/>
    </row>
    <row r="2721">
      <c r="A2721" s="154"/>
      <c r="B2721" s="155"/>
      <c r="C2721" s="156"/>
      <c r="D2721" s="156"/>
      <c r="E2721" s="155"/>
      <c r="F2721" s="156"/>
      <c r="G2721" s="154"/>
      <c r="H2721" s="157"/>
      <c r="I2721" s="158"/>
      <c r="J2721" s="159"/>
      <c r="K2721" s="156"/>
      <c r="L2721" s="156"/>
      <c r="M2721" s="202"/>
      <c r="N2721" s="160"/>
      <c r="O2721" s="161"/>
      <c r="P2721" s="161"/>
      <c r="Q2721" s="203"/>
      <c r="R2721" s="162"/>
      <c r="S2721" s="162"/>
      <c r="T2721" s="162"/>
      <c r="U2721" s="163"/>
      <c r="V2721" s="154"/>
      <c r="W2721" s="164"/>
      <c r="X2721" s="164"/>
      <c r="Y2721" s="164"/>
      <c r="Z2721" s="164"/>
      <c r="AA2721" s="164"/>
      <c r="AB2721" s="164"/>
      <c r="AC2721" s="164"/>
      <c r="AD2721" s="164"/>
      <c r="AE2721" s="164"/>
      <c r="AF2721" s="164"/>
      <c r="AG2721" s="164"/>
      <c r="AH2721" s="164"/>
      <c r="AI2721" s="164"/>
    </row>
    <row r="2722">
      <c r="A2722" s="216"/>
      <c r="B2722" s="155"/>
      <c r="C2722" s="156"/>
      <c r="D2722" s="156"/>
      <c r="E2722" s="155"/>
      <c r="F2722" s="156"/>
      <c r="G2722" s="154"/>
      <c r="H2722" s="157"/>
      <c r="I2722" s="158"/>
      <c r="J2722" s="159"/>
      <c r="K2722" s="156"/>
      <c r="L2722" s="156"/>
      <c r="M2722" s="155"/>
      <c r="N2722" s="160"/>
      <c r="O2722" s="161"/>
      <c r="P2722" s="161"/>
      <c r="Q2722" s="203"/>
      <c r="R2722" s="162"/>
      <c r="S2722" s="162"/>
      <c r="T2722" s="162"/>
      <c r="U2722" s="163"/>
      <c r="V2722" s="216"/>
      <c r="W2722" s="164"/>
      <c r="X2722" s="164"/>
      <c r="Y2722" s="164"/>
      <c r="Z2722" s="164"/>
      <c r="AA2722" s="164"/>
      <c r="AB2722" s="164"/>
      <c r="AC2722" s="164"/>
      <c r="AD2722" s="164"/>
      <c r="AE2722" s="164"/>
      <c r="AF2722" s="164"/>
      <c r="AG2722" s="164"/>
      <c r="AH2722" s="164"/>
      <c r="AI2722" s="164"/>
    </row>
    <row r="2723">
      <c r="A2723" s="154"/>
      <c r="B2723" s="155"/>
      <c r="C2723" s="156"/>
      <c r="D2723" s="156"/>
      <c r="E2723" s="155"/>
      <c r="F2723" s="156"/>
      <c r="G2723" s="154"/>
      <c r="H2723" s="157"/>
      <c r="I2723" s="158"/>
      <c r="J2723" s="159"/>
      <c r="K2723" s="156"/>
      <c r="L2723" s="156"/>
      <c r="M2723" s="155"/>
      <c r="N2723" s="160"/>
      <c r="O2723" s="161"/>
      <c r="P2723" s="161"/>
      <c r="Q2723" s="203"/>
      <c r="R2723" s="162"/>
      <c r="S2723" s="162"/>
      <c r="T2723" s="162"/>
      <c r="U2723" s="163"/>
      <c r="V2723" s="154"/>
      <c r="W2723" s="164"/>
      <c r="X2723" s="164"/>
      <c r="Y2723" s="164"/>
      <c r="Z2723" s="164"/>
      <c r="AA2723" s="164"/>
      <c r="AB2723" s="164"/>
      <c r="AC2723" s="164"/>
      <c r="AD2723" s="164"/>
      <c r="AE2723" s="164"/>
      <c r="AF2723" s="164"/>
      <c r="AG2723" s="164"/>
      <c r="AH2723" s="164"/>
      <c r="AI2723" s="164"/>
    </row>
    <row r="2724">
      <c r="A2724" s="216"/>
      <c r="B2724" s="155"/>
      <c r="C2724" s="156"/>
      <c r="D2724" s="156"/>
      <c r="E2724" s="155"/>
      <c r="F2724" s="156"/>
      <c r="G2724" s="154"/>
      <c r="H2724" s="157"/>
      <c r="I2724" s="158"/>
      <c r="J2724" s="159"/>
      <c r="K2724" s="156"/>
      <c r="L2724" s="156"/>
      <c r="M2724" s="155"/>
      <c r="N2724" s="160"/>
      <c r="O2724" s="161"/>
      <c r="P2724" s="161"/>
      <c r="Q2724" s="159"/>
      <c r="R2724" s="162"/>
      <c r="S2724" s="162"/>
      <c r="T2724" s="162"/>
      <c r="U2724" s="163"/>
      <c r="V2724" s="154"/>
      <c r="W2724" s="164"/>
      <c r="X2724" s="164"/>
      <c r="Y2724" s="164"/>
      <c r="Z2724" s="164"/>
      <c r="AA2724" s="164"/>
      <c r="AB2724" s="164"/>
      <c r="AC2724" s="164"/>
      <c r="AD2724" s="164"/>
      <c r="AE2724" s="164"/>
      <c r="AF2724" s="164"/>
      <c r="AG2724" s="164"/>
      <c r="AH2724" s="164"/>
      <c r="AI2724" s="164"/>
    </row>
    <row r="2725">
      <c r="A2725" s="216"/>
      <c r="B2725" s="155"/>
      <c r="C2725" s="156"/>
      <c r="D2725" s="156"/>
      <c r="E2725" s="155"/>
      <c r="F2725" s="156"/>
      <c r="G2725" s="154"/>
      <c r="H2725" s="157"/>
      <c r="I2725" s="158"/>
      <c r="J2725" s="159"/>
      <c r="K2725" s="156"/>
      <c r="L2725" s="156"/>
      <c r="M2725" s="202"/>
      <c r="N2725" s="160"/>
      <c r="O2725" s="161"/>
      <c r="P2725" s="161"/>
      <c r="Q2725" s="203"/>
      <c r="R2725" s="162"/>
      <c r="S2725" s="162"/>
      <c r="T2725" s="162"/>
      <c r="U2725" s="163"/>
      <c r="V2725" s="216"/>
      <c r="W2725" s="164"/>
      <c r="X2725" s="164"/>
      <c r="Y2725" s="164"/>
      <c r="Z2725" s="164"/>
      <c r="AA2725" s="164"/>
      <c r="AB2725" s="164"/>
      <c r="AC2725" s="164"/>
      <c r="AD2725" s="164"/>
      <c r="AE2725" s="164"/>
      <c r="AF2725" s="164"/>
      <c r="AG2725" s="164"/>
      <c r="AH2725" s="164"/>
      <c r="AI2725" s="164"/>
    </row>
    <row r="2726">
      <c r="A2726" s="216"/>
      <c r="B2726" s="155"/>
      <c r="C2726" s="156"/>
      <c r="D2726" s="156"/>
      <c r="E2726" s="155"/>
      <c r="F2726" s="156"/>
      <c r="G2726" s="154"/>
      <c r="H2726" s="157"/>
      <c r="I2726" s="158"/>
      <c r="J2726" s="159"/>
      <c r="K2726" s="156"/>
      <c r="L2726" s="156"/>
      <c r="M2726" s="155"/>
      <c r="N2726" s="160"/>
      <c r="O2726" s="161"/>
      <c r="P2726" s="161"/>
      <c r="Q2726" s="203"/>
      <c r="R2726" s="162"/>
      <c r="S2726" s="162"/>
      <c r="T2726" s="162"/>
      <c r="U2726" s="163"/>
      <c r="V2726" s="215"/>
      <c r="W2726" s="164"/>
      <c r="X2726" s="164"/>
      <c r="Y2726" s="164"/>
      <c r="Z2726" s="164"/>
      <c r="AA2726" s="164"/>
      <c r="AB2726" s="164"/>
      <c r="AC2726" s="164"/>
      <c r="AD2726" s="164"/>
      <c r="AE2726" s="164"/>
      <c r="AF2726" s="164"/>
      <c r="AG2726" s="164"/>
      <c r="AH2726" s="164"/>
      <c r="AI2726" s="164"/>
    </row>
    <row r="2727">
      <c r="A2727" s="216"/>
      <c r="B2727" s="155"/>
      <c r="C2727" s="156"/>
      <c r="D2727" s="156"/>
      <c r="E2727" s="155"/>
      <c r="F2727" s="156"/>
      <c r="G2727" s="154"/>
      <c r="H2727" s="157"/>
      <c r="I2727" s="158"/>
      <c r="J2727" s="159"/>
      <c r="K2727" s="156"/>
      <c r="L2727" s="156"/>
      <c r="M2727" s="155"/>
      <c r="N2727" s="160"/>
      <c r="O2727" s="161"/>
      <c r="P2727" s="161"/>
      <c r="Q2727" s="159"/>
      <c r="R2727" s="162"/>
      <c r="S2727" s="162"/>
      <c r="T2727" s="162"/>
      <c r="U2727" s="163"/>
      <c r="V2727" s="154"/>
      <c r="W2727" s="164"/>
      <c r="X2727" s="164"/>
      <c r="Y2727" s="164"/>
      <c r="Z2727" s="164"/>
      <c r="AA2727" s="164"/>
      <c r="AB2727" s="164"/>
      <c r="AC2727" s="164"/>
      <c r="AD2727" s="164"/>
      <c r="AE2727" s="164"/>
      <c r="AF2727" s="164"/>
      <c r="AG2727" s="164"/>
      <c r="AH2727" s="164"/>
      <c r="AI2727" s="164"/>
    </row>
    <row r="2728">
      <c r="A2728" s="216"/>
      <c r="B2728" s="155"/>
      <c r="C2728" s="156"/>
      <c r="D2728" s="156"/>
      <c r="E2728" s="155"/>
      <c r="F2728" s="156"/>
      <c r="G2728" s="154"/>
      <c r="H2728" s="157"/>
      <c r="I2728" s="158"/>
      <c r="J2728" s="159"/>
      <c r="K2728" s="156"/>
      <c r="L2728" s="156"/>
      <c r="M2728" s="155"/>
      <c r="N2728" s="160"/>
      <c r="O2728" s="161"/>
      <c r="P2728" s="161"/>
      <c r="Q2728" s="159"/>
      <c r="R2728" s="162"/>
      <c r="S2728" s="162"/>
      <c r="T2728" s="162"/>
      <c r="U2728" s="163"/>
      <c r="V2728" s="154"/>
      <c r="W2728" s="164"/>
      <c r="X2728" s="164"/>
      <c r="Y2728" s="164"/>
      <c r="Z2728" s="164"/>
      <c r="AA2728" s="164"/>
      <c r="AB2728" s="164"/>
      <c r="AC2728" s="164"/>
      <c r="AD2728" s="164"/>
      <c r="AE2728" s="164"/>
      <c r="AF2728" s="164"/>
      <c r="AG2728" s="164"/>
      <c r="AH2728" s="164"/>
      <c r="AI2728" s="164"/>
    </row>
    <row r="2729">
      <c r="A2729" s="154"/>
      <c r="B2729" s="155"/>
      <c r="C2729" s="156"/>
      <c r="D2729" s="156"/>
      <c r="E2729" s="155"/>
      <c r="F2729" s="156"/>
      <c r="G2729" s="154"/>
      <c r="H2729" s="157"/>
      <c r="I2729" s="158"/>
      <c r="J2729" s="159"/>
      <c r="K2729" s="156"/>
      <c r="L2729" s="156"/>
      <c r="M2729" s="155"/>
      <c r="N2729" s="160"/>
      <c r="O2729" s="161"/>
      <c r="P2729" s="161"/>
      <c r="Q2729" s="203"/>
      <c r="R2729" s="162"/>
      <c r="S2729" s="162"/>
      <c r="T2729" s="162"/>
      <c r="U2729" s="163"/>
      <c r="V2729" s="154"/>
      <c r="W2729" s="164"/>
      <c r="X2729" s="164"/>
      <c r="Y2729" s="164"/>
      <c r="Z2729" s="164"/>
      <c r="AA2729" s="164"/>
      <c r="AB2729" s="164"/>
      <c r="AC2729" s="164"/>
      <c r="AD2729" s="164"/>
      <c r="AE2729" s="164"/>
      <c r="AF2729" s="164"/>
      <c r="AG2729" s="164"/>
      <c r="AH2729" s="164"/>
      <c r="AI2729" s="164"/>
    </row>
    <row r="2730">
      <c r="A2730" s="154"/>
      <c r="B2730" s="155"/>
      <c r="C2730" s="156"/>
      <c r="D2730" s="156"/>
      <c r="E2730" s="155"/>
      <c r="F2730" s="156"/>
      <c r="G2730" s="154"/>
      <c r="H2730" s="157"/>
      <c r="I2730" s="158"/>
      <c r="J2730" s="159"/>
      <c r="K2730" s="156"/>
      <c r="L2730" s="156"/>
      <c r="M2730" s="155"/>
      <c r="N2730" s="160"/>
      <c r="O2730" s="161"/>
      <c r="P2730" s="161"/>
      <c r="Q2730" s="203"/>
      <c r="R2730" s="162"/>
      <c r="S2730" s="162"/>
      <c r="T2730" s="162"/>
      <c r="U2730" s="163"/>
      <c r="V2730" s="154"/>
      <c r="W2730" s="164"/>
      <c r="X2730" s="164"/>
      <c r="Y2730" s="164"/>
      <c r="Z2730" s="164"/>
      <c r="AA2730" s="164"/>
      <c r="AB2730" s="164"/>
      <c r="AC2730" s="164"/>
      <c r="AD2730" s="164"/>
      <c r="AE2730" s="164"/>
      <c r="AF2730" s="164"/>
      <c r="AG2730" s="164"/>
      <c r="AH2730" s="164"/>
      <c r="AI2730" s="164"/>
    </row>
    <row r="2731">
      <c r="A2731" s="216"/>
      <c r="B2731" s="155"/>
      <c r="C2731" s="156"/>
      <c r="D2731" s="156"/>
      <c r="E2731" s="155"/>
      <c r="F2731" s="156"/>
      <c r="G2731" s="154"/>
      <c r="H2731" s="157"/>
      <c r="I2731" s="158"/>
      <c r="J2731" s="159"/>
      <c r="K2731" s="156"/>
      <c r="L2731" s="156"/>
      <c r="M2731" s="155"/>
      <c r="N2731" s="160"/>
      <c r="O2731" s="161"/>
      <c r="P2731" s="161"/>
      <c r="Q2731" s="203"/>
      <c r="R2731" s="162"/>
      <c r="S2731" s="162"/>
      <c r="T2731" s="162"/>
      <c r="U2731" s="163"/>
      <c r="V2731" s="154"/>
      <c r="W2731" s="164"/>
      <c r="X2731" s="164"/>
      <c r="Y2731" s="164"/>
      <c r="Z2731" s="164"/>
      <c r="AA2731" s="164"/>
      <c r="AB2731" s="164"/>
      <c r="AC2731" s="164"/>
      <c r="AD2731" s="164"/>
      <c r="AE2731" s="164"/>
      <c r="AF2731" s="164"/>
      <c r="AG2731" s="164"/>
      <c r="AH2731" s="164"/>
      <c r="AI2731" s="164"/>
    </row>
    <row r="2732">
      <c r="A2732" s="154"/>
      <c r="B2732" s="155"/>
      <c r="C2732" s="156"/>
      <c r="D2732" s="156"/>
      <c r="E2732" s="155"/>
      <c r="F2732" s="156"/>
      <c r="G2732" s="154"/>
      <c r="H2732" s="157"/>
      <c r="I2732" s="158"/>
      <c r="J2732" s="159"/>
      <c r="K2732" s="156"/>
      <c r="L2732" s="156"/>
      <c r="M2732" s="202"/>
      <c r="N2732" s="160"/>
      <c r="O2732" s="161"/>
      <c r="P2732" s="161"/>
      <c r="Q2732" s="203"/>
      <c r="R2732" s="162"/>
      <c r="S2732" s="162"/>
      <c r="T2732" s="162"/>
      <c r="U2732" s="163"/>
      <c r="V2732" s="154"/>
      <c r="W2732" s="164"/>
      <c r="X2732" s="164"/>
      <c r="Y2732" s="164"/>
      <c r="Z2732" s="164"/>
      <c r="AA2732" s="164"/>
      <c r="AB2732" s="164"/>
      <c r="AC2732" s="164"/>
      <c r="AD2732" s="164"/>
      <c r="AE2732" s="164"/>
      <c r="AF2732" s="164"/>
      <c r="AG2732" s="164"/>
      <c r="AH2732" s="164"/>
      <c r="AI2732" s="164"/>
    </row>
    <row r="2733">
      <c r="A2733" s="154"/>
      <c r="B2733" s="155"/>
      <c r="C2733" s="156"/>
      <c r="D2733" s="156"/>
      <c r="E2733" s="155"/>
      <c r="F2733" s="156"/>
      <c r="G2733" s="154"/>
      <c r="H2733" s="157"/>
      <c r="I2733" s="158"/>
      <c r="J2733" s="159"/>
      <c r="K2733" s="156"/>
      <c r="L2733" s="156"/>
      <c r="M2733" s="202"/>
      <c r="N2733" s="160"/>
      <c r="O2733" s="161"/>
      <c r="P2733" s="161"/>
      <c r="Q2733" s="203"/>
      <c r="R2733" s="162"/>
      <c r="S2733" s="162"/>
      <c r="T2733" s="162"/>
      <c r="U2733" s="163"/>
      <c r="V2733" s="154"/>
      <c r="W2733" s="164"/>
      <c r="X2733" s="164"/>
      <c r="Y2733" s="164"/>
      <c r="Z2733" s="164"/>
      <c r="AA2733" s="164"/>
      <c r="AB2733" s="164"/>
      <c r="AC2733" s="164"/>
      <c r="AD2733" s="164"/>
      <c r="AE2733" s="164"/>
      <c r="AF2733" s="164"/>
      <c r="AG2733" s="164"/>
      <c r="AH2733" s="164"/>
      <c r="AI2733" s="164"/>
    </row>
    <row r="2734">
      <c r="A2734" s="154"/>
      <c r="B2734" s="155"/>
      <c r="C2734" s="156"/>
      <c r="D2734" s="156"/>
      <c r="E2734" s="155"/>
      <c r="F2734" s="156"/>
      <c r="G2734" s="154"/>
      <c r="H2734" s="157"/>
      <c r="I2734" s="158"/>
      <c r="J2734" s="159"/>
      <c r="K2734" s="156"/>
      <c r="L2734" s="156"/>
      <c r="M2734" s="202"/>
      <c r="N2734" s="160"/>
      <c r="O2734" s="161"/>
      <c r="P2734" s="161"/>
      <c r="Q2734" s="159"/>
      <c r="R2734" s="162"/>
      <c r="S2734" s="162"/>
      <c r="T2734" s="162"/>
      <c r="U2734" s="163"/>
      <c r="V2734" s="154"/>
      <c r="W2734" s="164"/>
      <c r="X2734" s="164"/>
      <c r="Y2734" s="164"/>
      <c r="Z2734" s="164"/>
      <c r="AA2734" s="164"/>
      <c r="AB2734" s="164"/>
      <c r="AC2734" s="164"/>
      <c r="AD2734" s="164"/>
      <c r="AE2734" s="164"/>
      <c r="AF2734" s="164"/>
      <c r="AG2734" s="164"/>
      <c r="AH2734" s="164"/>
      <c r="AI2734" s="164"/>
    </row>
    <row r="2735">
      <c r="A2735" s="154"/>
      <c r="B2735" s="155"/>
      <c r="C2735" s="156"/>
      <c r="D2735" s="156"/>
      <c r="E2735" s="155"/>
      <c r="F2735" s="156"/>
      <c r="G2735" s="154"/>
      <c r="H2735" s="157"/>
      <c r="I2735" s="158"/>
      <c r="J2735" s="159"/>
      <c r="K2735" s="156"/>
      <c r="L2735" s="156"/>
      <c r="M2735" s="202"/>
      <c r="N2735" s="160"/>
      <c r="O2735" s="161"/>
      <c r="P2735" s="161"/>
      <c r="Q2735" s="203"/>
      <c r="R2735" s="162"/>
      <c r="S2735" s="162"/>
      <c r="T2735" s="162"/>
      <c r="U2735" s="163"/>
      <c r="V2735" s="154"/>
      <c r="W2735" s="164"/>
      <c r="X2735" s="164"/>
      <c r="Y2735" s="164"/>
      <c r="Z2735" s="164"/>
      <c r="AA2735" s="164"/>
      <c r="AB2735" s="164"/>
      <c r="AC2735" s="164"/>
      <c r="AD2735" s="164"/>
      <c r="AE2735" s="164"/>
      <c r="AF2735" s="164"/>
      <c r="AG2735" s="164"/>
      <c r="AH2735" s="164"/>
      <c r="AI2735" s="164"/>
    </row>
    <row r="2736">
      <c r="A2736" s="216"/>
      <c r="B2736" s="155"/>
      <c r="C2736" s="156"/>
      <c r="D2736" s="156"/>
      <c r="E2736" s="155"/>
      <c r="F2736" s="156"/>
      <c r="G2736" s="154"/>
      <c r="H2736" s="157"/>
      <c r="I2736" s="158"/>
      <c r="J2736" s="159"/>
      <c r="K2736" s="156"/>
      <c r="L2736" s="156"/>
      <c r="M2736" s="155"/>
      <c r="N2736" s="160"/>
      <c r="O2736" s="161"/>
      <c r="P2736" s="161"/>
      <c r="Q2736" s="203"/>
      <c r="R2736" s="162"/>
      <c r="S2736" s="162"/>
      <c r="T2736" s="162"/>
      <c r="U2736" s="163"/>
      <c r="V2736" s="215"/>
      <c r="W2736" s="164"/>
      <c r="X2736" s="164"/>
      <c r="Y2736" s="164"/>
      <c r="Z2736" s="164"/>
      <c r="AA2736" s="164"/>
      <c r="AB2736" s="164"/>
      <c r="AC2736" s="164"/>
      <c r="AD2736" s="164"/>
      <c r="AE2736" s="164"/>
      <c r="AF2736" s="164"/>
      <c r="AG2736" s="164"/>
      <c r="AH2736" s="164"/>
      <c r="AI2736" s="164"/>
    </row>
    <row r="2737">
      <c r="A2737" s="216"/>
      <c r="B2737" s="155"/>
      <c r="C2737" s="156"/>
      <c r="D2737" s="156"/>
      <c r="E2737" s="155"/>
      <c r="F2737" s="156"/>
      <c r="G2737" s="154"/>
      <c r="H2737" s="157"/>
      <c r="I2737" s="158"/>
      <c r="J2737" s="159"/>
      <c r="K2737" s="156"/>
      <c r="L2737" s="156"/>
      <c r="M2737" s="155"/>
      <c r="N2737" s="160"/>
      <c r="O2737" s="161"/>
      <c r="P2737" s="161"/>
      <c r="Q2737" s="203"/>
      <c r="R2737" s="162"/>
      <c r="S2737" s="162"/>
      <c r="T2737" s="162"/>
      <c r="U2737" s="163"/>
      <c r="V2737" s="154"/>
      <c r="W2737" s="164"/>
      <c r="X2737" s="164"/>
      <c r="Y2737" s="164"/>
      <c r="Z2737" s="164"/>
      <c r="AA2737" s="164"/>
      <c r="AB2737" s="164"/>
      <c r="AC2737" s="164"/>
      <c r="AD2737" s="164"/>
      <c r="AE2737" s="164"/>
      <c r="AF2737" s="164"/>
      <c r="AG2737" s="164"/>
      <c r="AH2737" s="164"/>
      <c r="AI2737" s="164"/>
    </row>
    <row r="2738">
      <c r="A2738" s="216"/>
      <c r="B2738" s="155"/>
      <c r="C2738" s="156"/>
      <c r="D2738" s="156"/>
      <c r="E2738" s="155"/>
      <c r="F2738" s="156"/>
      <c r="G2738" s="154"/>
      <c r="H2738" s="157"/>
      <c r="I2738" s="158"/>
      <c r="J2738" s="159"/>
      <c r="K2738" s="156"/>
      <c r="L2738" s="156"/>
      <c r="M2738" s="155"/>
      <c r="N2738" s="160"/>
      <c r="O2738" s="161"/>
      <c r="P2738" s="161"/>
      <c r="Q2738" s="203"/>
      <c r="R2738" s="162"/>
      <c r="S2738" s="162"/>
      <c r="T2738" s="186"/>
      <c r="U2738" s="187"/>
      <c r="V2738" s="189"/>
      <c r="W2738" s="164"/>
      <c r="X2738" s="164"/>
      <c r="Y2738" s="164"/>
      <c r="Z2738" s="164"/>
      <c r="AA2738" s="164"/>
      <c r="AB2738" s="164"/>
      <c r="AC2738" s="164"/>
      <c r="AD2738" s="164"/>
      <c r="AE2738" s="164"/>
      <c r="AF2738" s="164"/>
      <c r="AG2738" s="164"/>
      <c r="AH2738" s="164"/>
      <c r="AI2738" s="164"/>
    </row>
    <row r="2739">
      <c r="A2739" s="154"/>
      <c r="B2739" s="155"/>
      <c r="C2739" s="156"/>
      <c r="D2739" s="156"/>
      <c r="E2739" s="155"/>
      <c r="F2739" s="156"/>
      <c r="G2739" s="154"/>
      <c r="H2739" s="157"/>
      <c r="I2739" s="158"/>
      <c r="J2739" s="159"/>
      <c r="K2739" s="156"/>
      <c r="L2739" s="156"/>
      <c r="M2739" s="155"/>
      <c r="N2739" s="160"/>
      <c r="O2739" s="161"/>
      <c r="P2739" s="161"/>
      <c r="Q2739" s="203"/>
      <c r="R2739" s="162"/>
      <c r="S2739" s="162"/>
      <c r="T2739" s="162"/>
      <c r="U2739" s="163"/>
      <c r="V2739" s="154"/>
      <c r="W2739" s="164"/>
      <c r="X2739" s="164"/>
      <c r="Y2739" s="164"/>
      <c r="Z2739" s="164"/>
      <c r="AA2739" s="164"/>
      <c r="AB2739" s="164"/>
      <c r="AC2739" s="164"/>
      <c r="AD2739" s="164"/>
      <c r="AE2739" s="164"/>
      <c r="AF2739" s="164"/>
      <c r="AG2739" s="164"/>
      <c r="AH2739" s="164"/>
      <c r="AI2739" s="164"/>
    </row>
    <row r="2740">
      <c r="A2740" s="216"/>
      <c r="B2740" s="155"/>
      <c r="C2740" s="156"/>
      <c r="D2740" s="156"/>
      <c r="E2740" s="155"/>
      <c r="F2740" s="156"/>
      <c r="G2740" s="154"/>
      <c r="H2740" s="157"/>
      <c r="I2740" s="158"/>
      <c r="J2740" s="159"/>
      <c r="K2740" s="156"/>
      <c r="L2740" s="156"/>
      <c r="M2740" s="155"/>
      <c r="N2740" s="160"/>
      <c r="O2740" s="161"/>
      <c r="P2740" s="161"/>
      <c r="Q2740" s="203"/>
      <c r="R2740" s="162"/>
      <c r="S2740" s="162"/>
      <c r="T2740" s="162"/>
      <c r="U2740" s="163"/>
      <c r="V2740" s="154"/>
      <c r="W2740" s="164"/>
      <c r="X2740" s="164"/>
      <c r="Y2740" s="164"/>
      <c r="Z2740" s="164"/>
      <c r="AA2740" s="164"/>
      <c r="AB2740" s="164"/>
      <c r="AC2740" s="164"/>
      <c r="AD2740" s="164"/>
      <c r="AE2740" s="164"/>
      <c r="AF2740" s="164"/>
      <c r="AG2740" s="164"/>
      <c r="AH2740" s="164"/>
      <c r="AI2740" s="164"/>
    </row>
    <row r="2741">
      <c r="A2741" s="216"/>
      <c r="B2741" s="155"/>
      <c r="C2741" s="156"/>
      <c r="D2741" s="156"/>
      <c r="E2741" s="155"/>
      <c r="F2741" s="156"/>
      <c r="G2741" s="154"/>
      <c r="H2741" s="157"/>
      <c r="I2741" s="158"/>
      <c r="J2741" s="159"/>
      <c r="K2741" s="156"/>
      <c r="L2741" s="156"/>
      <c r="M2741" s="155"/>
      <c r="N2741" s="160"/>
      <c r="O2741" s="161"/>
      <c r="P2741" s="161"/>
      <c r="Q2741" s="203"/>
      <c r="R2741" s="162"/>
      <c r="S2741" s="162"/>
      <c r="T2741" s="162"/>
      <c r="U2741" s="163"/>
      <c r="V2741" s="154"/>
      <c r="W2741" s="164"/>
      <c r="X2741" s="164"/>
      <c r="Y2741" s="164"/>
      <c r="Z2741" s="164"/>
      <c r="AA2741" s="164"/>
      <c r="AB2741" s="164"/>
      <c r="AC2741" s="164"/>
      <c r="AD2741" s="164"/>
      <c r="AE2741" s="164"/>
      <c r="AF2741" s="164"/>
      <c r="AG2741" s="164"/>
      <c r="AH2741" s="164"/>
      <c r="AI2741" s="164"/>
    </row>
    <row r="2742">
      <c r="A2742" s="154"/>
      <c r="B2742" s="155"/>
      <c r="C2742" s="156"/>
      <c r="D2742" s="156"/>
      <c r="E2742" s="155"/>
      <c r="F2742" s="156"/>
      <c r="G2742" s="154"/>
      <c r="H2742" s="157"/>
      <c r="I2742" s="158"/>
      <c r="J2742" s="159"/>
      <c r="K2742" s="156"/>
      <c r="L2742" s="156"/>
      <c r="M2742" s="155"/>
      <c r="N2742" s="160"/>
      <c r="O2742" s="161"/>
      <c r="P2742" s="161"/>
      <c r="Q2742" s="159"/>
      <c r="R2742" s="162"/>
      <c r="S2742" s="162"/>
      <c r="T2742" s="162"/>
      <c r="U2742" s="163"/>
      <c r="V2742" s="154"/>
      <c r="W2742" s="164"/>
      <c r="X2742" s="164"/>
      <c r="Y2742" s="164"/>
      <c r="Z2742" s="164"/>
      <c r="AA2742" s="164"/>
      <c r="AB2742" s="164"/>
      <c r="AC2742" s="164"/>
      <c r="AD2742" s="164"/>
      <c r="AE2742" s="164"/>
      <c r="AF2742" s="164"/>
      <c r="AG2742" s="164"/>
      <c r="AH2742" s="164"/>
      <c r="AI2742" s="164"/>
    </row>
    <row r="2743">
      <c r="A2743" s="154"/>
      <c r="B2743" s="155"/>
      <c r="C2743" s="156"/>
      <c r="D2743" s="156"/>
      <c r="E2743" s="155"/>
      <c r="F2743" s="156"/>
      <c r="G2743" s="154"/>
      <c r="H2743" s="157"/>
      <c r="I2743" s="158"/>
      <c r="J2743" s="159"/>
      <c r="K2743" s="156"/>
      <c r="L2743" s="156"/>
      <c r="M2743" s="155"/>
      <c r="N2743" s="160"/>
      <c r="O2743" s="161"/>
      <c r="P2743" s="161"/>
      <c r="Q2743" s="159"/>
      <c r="R2743" s="162"/>
      <c r="S2743" s="162"/>
      <c r="T2743" s="162"/>
      <c r="U2743" s="163"/>
      <c r="V2743" s="154"/>
      <c r="W2743" s="164"/>
      <c r="X2743" s="164"/>
      <c r="Y2743" s="164"/>
      <c r="Z2743" s="164"/>
      <c r="AA2743" s="164"/>
      <c r="AB2743" s="164"/>
      <c r="AC2743" s="164"/>
      <c r="AD2743" s="164"/>
      <c r="AE2743" s="164"/>
      <c r="AF2743" s="164"/>
      <c r="AG2743" s="164"/>
      <c r="AH2743" s="164"/>
      <c r="AI2743" s="164"/>
    </row>
    <row r="2744">
      <c r="A2744" s="154"/>
      <c r="B2744" s="155"/>
      <c r="C2744" s="156"/>
      <c r="D2744" s="156"/>
      <c r="E2744" s="155"/>
      <c r="F2744" s="156"/>
      <c r="G2744" s="154"/>
      <c r="H2744" s="157"/>
      <c r="I2744" s="158"/>
      <c r="J2744" s="159"/>
      <c r="K2744" s="156"/>
      <c r="L2744" s="156"/>
      <c r="M2744" s="155"/>
      <c r="N2744" s="160"/>
      <c r="O2744" s="161"/>
      <c r="P2744" s="161"/>
      <c r="Q2744" s="203"/>
      <c r="R2744" s="162"/>
      <c r="S2744" s="162"/>
      <c r="T2744" s="162"/>
      <c r="U2744" s="163"/>
      <c r="V2744" s="154"/>
      <c r="W2744" s="164"/>
      <c r="X2744" s="164"/>
      <c r="Y2744" s="164"/>
      <c r="Z2744" s="164"/>
      <c r="AA2744" s="164"/>
      <c r="AB2744" s="164"/>
      <c r="AC2744" s="164"/>
      <c r="AD2744" s="164"/>
      <c r="AE2744" s="164"/>
      <c r="AF2744" s="164"/>
      <c r="AG2744" s="164"/>
      <c r="AH2744" s="164"/>
      <c r="AI2744" s="164"/>
    </row>
    <row r="2745">
      <c r="A2745" s="154"/>
      <c r="B2745" s="155"/>
      <c r="C2745" s="156"/>
      <c r="D2745" s="156"/>
      <c r="E2745" s="155"/>
      <c r="F2745" s="156"/>
      <c r="G2745" s="154"/>
      <c r="H2745" s="157"/>
      <c r="I2745" s="158"/>
      <c r="J2745" s="159"/>
      <c r="K2745" s="156"/>
      <c r="L2745" s="156"/>
      <c r="M2745" s="155"/>
      <c r="N2745" s="160"/>
      <c r="O2745" s="161"/>
      <c r="P2745" s="161"/>
      <c r="Q2745" s="203"/>
      <c r="R2745" s="162"/>
      <c r="S2745" s="162"/>
      <c r="T2745" s="162"/>
      <c r="U2745" s="163"/>
      <c r="V2745" s="154"/>
      <c r="W2745" s="164"/>
      <c r="X2745" s="164"/>
      <c r="Y2745" s="164"/>
      <c r="Z2745" s="164"/>
      <c r="AA2745" s="164"/>
      <c r="AB2745" s="164"/>
      <c r="AC2745" s="164"/>
      <c r="AD2745" s="164"/>
      <c r="AE2745" s="164"/>
      <c r="AF2745" s="164"/>
      <c r="AG2745" s="164"/>
      <c r="AH2745" s="164"/>
      <c r="AI2745" s="164"/>
    </row>
    <row r="2746">
      <c r="A2746" s="154"/>
      <c r="B2746" s="155"/>
      <c r="C2746" s="156"/>
      <c r="D2746" s="156"/>
      <c r="E2746" s="155"/>
      <c r="F2746" s="156"/>
      <c r="G2746" s="154"/>
      <c r="H2746" s="157"/>
      <c r="I2746" s="158"/>
      <c r="J2746" s="159"/>
      <c r="K2746" s="156"/>
      <c r="L2746" s="156"/>
      <c r="M2746" s="202"/>
      <c r="N2746" s="160"/>
      <c r="O2746" s="161"/>
      <c r="P2746" s="161"/>
      <c r="Q2746" s="203"/>
      <c r="R2746" s="162"/>
      <c r="S2746" s="162"/>
      <c r="T2746" s="162"/>
      <c r="U2746" s="163"/>
      <c r="V2746" s="154"/>
      <c r="W2746" s="164"/>
      <c r="X2746" s="164"/>
      <c r="Y2746" s="164"/>
      <c r="Z2746" s="164"/>
      <c r="AA2746" s="164"/>
      <c r="AB2746" s="164"/>
      <c r="AC2746" s="164"/>
      <c r="AD2746" s="164"/>
      <c r="AE2746" s="164"/>
      <c r="AF2746" s="164"/>
      <c r="AG2746" s="164"/>
      <c r="AH2746" s="164"/>
      <c r="AI2746" s="164"/>
    </row>
    <row r="2747">
      <c r="A2747" s="154"/>
      <c r="B2747" s="155"/>
      <c r="C2747" s="156"/>
      <c r="D2747" s="156"/>
      <c r="E2747" s="155"/>
      <c r="F2747" s="156"/>
      <c r="G2747" s="154"/>
      <c r="H2747" s="157"/>
      <c r="I2747" s="158"/>
      <c r="J2747" s="159"/>
      <c r="K2747" s="156"/>
      <c r="L2747" s="156"/>
      <c r="M2747" s="155"/>
      <c r="N2747" s="160"/>
      <c r="O2747" s="161"/>
      <c r="P2747" s="161"/>
      <c r="Q2747" s="203"/>
      <c r="R2747" s="162"/>
      <c r="S2747" s="162"/>
      <c r="T2747" s="162"/>
      <c r="U2747" s="163"/>
      <c r="V2747" s="154"/>
      <c r="W2747" s="164"/>
      <c r="X2747" s="164"/>
      <c r="Y2747" s="164"/>
      <c r="Z2747" s="164"/>
      <c r="AA2747" s="164"/>
      <c r="AB2747" s="164"/>
      <c r="AC2747" s="164"/>
      <c r="AD2747" s="164"/>
      <c r="AE2747" s="164"/>
      <c r="AF2747" s="164"/>
      <c r="AG2747" s="164"/>
      <c r="AH2747" s="164"/>
      <c r="AI2747" s="164"/>
    </row>
    <row r="2748">
      <c r="A2748" s="216"/>
      <c r="B2748" s="155"/>
      <c r="C2748" s="156"/>
      <c r="D2748" s="156"/>
      <c r="E2748" s="155"/>
      <c r="F2748" s="156"/>
      <c r="G2748" s="154"/>
      <c r="H2748" s="157"/>
      <c r="I2748" s="158"/>
      <c r="J2748" s="159"/>
      <c r="K2748" s="156"/>
      <c r="L2748" s="156"/>
      <c r="M2748" s="155"/>
      <c r="N2748" s="160"/>
      <c r="O2748" s="161"/>
      <c r="P2748" s="161"/>
      <c r="Q2748" s="203"/>
      <c r="R2748" s="162"/>
      <c r="S2748" s="162"/>
      <c r="T2748" s="186"/>
      <c r="U2748" s="187"/>
      <c r="V2748" s="176"/>
      <c r="W2748" s="164"/>
      <c r="X2748" s="164"/>
      <c r="Y2748" s="164"/>
      <c r="Z2748" s="164"/>
      <c r="AA2748" s="164"/>
      <c r="AB2748" s="164"/>
      <c r="AC2748" s="164"/>
      <c r="AD2748" s="164"/>
      <c r="AE2748" s="164"/>
      <c r="AF2748" s="164"/>
      <c r="AG2748" s="164"/>
      <c r="AH2748" s="164"/>
      <c r="AI2748" s="164"/>
    </row>
    <row r="2749">
      <c r="A2749" s="216"/>
      <c r="B2749" s="155"/>
      <c r="C2749" s="156"/>
      <c r="D2749" s="156"/>
      <c r="E2749" s="155"/>
      <c r="F2749" s="156"/>
      <c r="G2749" s="154"/>
      <c r="H2749" s="157"/>
      <c r="I2749" s="158"/>
      <c r="J2749" s="159"/>
      <c r="K2749" s="156"/>
      <c r="L2749" s="156"/>
      <c r="M2749" s="155"/>
      <c r="N2749" s="160"/>
      <c r="O2749" s="161"/>
      <c r="P2749" s="161"/>
      <c r="Q2749" s="203"/>
      <c r="R2749" s="162"/>
      <c r="S2749" s="162"/>
      <c r="T2749" s="162"/>
      <c r="U2749" s="163"/>
      <c r="V2749" s="154"/>
      <c r="W2749" s="164"/>
      <c r="X2749" s="164"/>
      <c r="Y2749" s="164"/>
      <c r="Z2749" s="164"/>
      <c r="AA2749" s="164"/>
      <c r="AB2749" s="164"/>
      <c r="AC2749" s="164"/>
      <c r="AD2749" s="164"/>
      <c r="AE2749" s="164"/>
      <c r="AF2749" s="164"/>
      <c r="AG2749" s="164"/>
      <c r="AH2749" s="164"/>
      <c r="AI2749" s="164"/>
    </row>
    <row r="2750">
      <c r="A2750" s="154"/>
      <c r="B2750" s="155"/>
      <c r="C2750" s="156"/>
      <c r="D2750" s="156"/>
      <c r="E2750" s="155"/>
      <c r="F2750" s="156"/>
      <c r="G2750" s="154"/>
      <c r="H2750" s="157"/>
      <c r="I2750" s="158"/>
      <c r="J2750" s="159"/>
      <c r="K2750" s="156"/>
      <c r="L2750" s="156"/>
      <c r="M2750" s="202"/>
      <c r="N2750" s="160"/>
      <c r="O2750" s="161"/>
      <c r="P2750" s="161"/>
      <c r="Q2750" s="203"/>
      <c r="R2750" s="162"/>
      <c r="S2750" s="162"/>
      <c r="T2750" s="162"/>
      <c r="U2750" s="163"/>
      <c r="V2750" s="154"/>
      <c r="W2750" s="164"/>
      <c r="X2750" s="164"/>
      <c r="Y2750" s="164"/>
      <c r="Z2750" s="164"/>
      <c r="AA2750" s="164"/>
      <c r="AB2750" s="164"/>
      <c r="AC2750" s="164"/>
      <c r="AD2750" s="164"/>
      <c r="AE2750" s="164"/>
      <c r="AF2750" s="164"/>
      <c r="AG2750" s="164"/>
      <c r="AH2750" s="164"/>
      <c r="AI2750" s="164"/>
    </row>
    <row r="2751">
      <c r="A2751" s="154"/>
      <c r="B2751" s="155"/>
      <c r="C2751" s="156"/>
      <c r="D2751" s="156"/>
      <c r="E2751" s="155"/>
      <c r="F2751" s="156"/>
      <c r="G2751" s="154"/>
      <c r="H2751" s="157"/>
      <c r="I2751" s="158"/>
      <c r="J2751" s="159"/>
      <c r="K2751" s="156"/>
      <c r="L2751" s="156"/>
      <c r="M2751" s="202"/>
      <c r="N2751" s="160"/>
      <c r="O2751" s="161"/>
      <c r="P2751" s="161"/>
      <c r="Q2751" s="159"/>
      <c r="R2751" s="162"/>
      <c r="S2751" s="162"/>
      <c r="T2751" s="162"/>
      <c r="U2751" s="163"/>
      <c r="V2751" s="154"/>
      <c r="W2751" s="164"/>
      <c r="X2751" s="164"/>
      <c r="Y2751" s="164"/>
      <c r="Z2751" s="164"/>
      <c r="AA2751" s="164"/>
      <c r="AB2751" s="164"/>
      <c r="AC2751" s="164"/>
      <c r="AD2751" s="164"/>
      <c r="AE2751" s="164"/>
      <c r="AF2751" s="164"/>
      <c r="AG2751" s="164"/>
      <c r="AH2751" s="164"/>
      <c r="AI2751" s="164"/>
    </row>
    <row r="2752">
      <c r="A2752" s="216"/>
      <c r="B2752" s="155"/>
      <c r="C2752" s="156"/>
      <c r="D2752" s="156"/>
      <c r="E2752" s="155"/>
      <c r="F2752" s="156"/>
      <c r="G2752" s="154"/>
      <c r="H2752" s="157"/>
      <c r="I2752" s="158"/>
      <c r="J2752" s="159"/>
      <c r="K2752" s="156"/>
      <c r="L2752" s="156"/>
      <c r="M2752" s="155"/>
      <c r="N2752" s="160"/>
      <c r="O2752" s="161"/>
      <c r="P2752" s="161"/>
      <c r="Q2752" s="203"/>
      <c r="R2752" s="162"/>
      <c r="S2752" s="162"/>
      <c r="T2752" s="162"/>
      <c r="U2752" s="163"/>
      <c r="V2752" s="154"/>
      <c r="W2752" s="164"/>
      <c r="X2752" s="164"/>
      <c r="Y2752" s="164"/>
      <c r="Z2752" s="164"/>
      <c r="AA2752" s="164"/>
      <c r="AB2752" s="164"/>
      <c r="AC2752" s="164"/>
      <c r="AD2752" s="164"/>
      <c r="AE2752" s="164"/>
      <c r="AF2752" s="164"/>
      <c r="AG2752" s="164"/>
      <c r="AH2752" s="164"/>
      <c r="AI2752" s="164"/>
    </row>
    <row r="2753">
      <c r="A2753" s="154"/>
      <c r="B2753" s="155"/>
      <c r="C2753" s="156"/>
      <c r="D2753" s="156"/>
      <c r="E2753" s="155"/>
      <c r="F2753" s="156"/>
      <c r="G2753" s="154"/>
      <c r="H2753" s="157"/>
      <c r="I2753" s="158"/>
      <c r="J2753" s="159"/>
      <c r="K2753" s="156"/>
      <c r="L2753" s="156"/>
      <c r="M2753" s="202"/>
      <c r="N2753" s="160"/>
      <c r="O2753" s="161"/>
      <c r="P2753" s="161"/>
      <c r="Q2753" s="203"/>
      <c r="R2753" s="162"/>
      <c r="S2753" s="162"/>
      <c r="T2753" s="162"/>
      <c r="U2753" s="163"/>
      <c r="V2753" s="154"/>
      <c r="W2753" s="164"/>
      <c r="X2753" s="164"/>
      <c r="Y2753" s="164"/>
      <c r="Z2753" s="164"/>
      <c r="AA2753" s="164"/>
      <c r="AB2753" s="164"/>
      <c r="AC2753" s="164"/>
      <c r="AD2753" s="164"/>
      <c r="AE2753" s="164"/>
      <c r="AF2753" s="164"/>
      <c r="AG2753" s="164"/>
      <c r="AH2753" s="164"/>
      <c r="AI2753" s="164"/>
    </row>
    <row r="2754">
      <c r="A2754" s="154"/>
      <c r="B2754" s="155"/>
      <c r="C2754" s="156"/>
      <c r="D2754" s="156"/>
      <c r="E2754" s="155"/>
      <c r="F2754" s="156"/>
      <c r="G2754" s="154"/>
      <c r="H2754" s="157"/>
      <c r="I2754" s="158"/>
      <c r="J2754" s="159"/>
      <c r="K2754" s="156"/>
      <c r="L2754" s="156"/>
      <c r="M2754" s="155"/>
      <c r="N2754" s="160"/>
      <c r="O2754" s="161"/>
      <c r="P2754" s="161"/>
      <c r="Q2754" s="203"/>
      <c r="R2754" s="162"/>
      <c r="S2754" s="162"/>
      <c r="T2754" s="162"/>
      <c r="U2754" s="163"/>
      <c r="V2754" s="154"/>
      <c r="W2754" s="164"/>
      <c r="X2754" s="164"/>
      <c r="Y2754" s="164"/>
      <c r="Z2754" s="164"/>
      <c r="AA2754" s="164"/>
      <c r="AB2754" s="164"/>
      <c r="AC2754" s="164"/>
      <c r="AD2754" s="164"/>
      <c r="AE2754" s="164"/>
      <c r="AF2754" s="164"/>
      <c r="AG2754" s="164"/>
      <c r="AH2754" s="164"/>
      <c r="AI2754" s="164"/>
    </row>
    <row r="2755">
      <c r="A2755" s="216"/>
      <c r="B2755" s="155"/>
      <c r="C2755" s="156"/>
      <c r="D2755" s="156"/>
      <c r="E2755" s="155"/>
      <c r="F2755" s="156"/>
      <c r="G2755" s="154"/>
      <c r="H2755" s="157"/>
      <c r="I2755" s="158"/>
      <c r="J2755" s="159"/>
      <c r="K2755" s="156"/>
      <c r="L2755" s="156"/>
      <c r="M2755" s="155"/>
      <c r="N2755" s="160"/>
      <c r="O2755" s="161"/>
      <c r="P2755" s="161"/>
      <c r="Q2755" s="203"/>
      <c r="R2755" s="162"/>
      <c r="S2755" s="162"/>
      <c r="T2755" s="162"/>
      <c r="U2755" s="163"/>
      <c r="V2755" s="154"/>
      <c r="W2755" s="164"/>
      <c r="X2755" s="164"/>
      <c r="Y2755" s="164"/>
      <c r="Z2755" s="164"/>
      <c r="AA2755" s="164"/>
      <c r="AB2755" s="164"/>
      <c r="AC2755" s="164"/>
      <c r="AD2755" s="164"/>
      <c r="AE2755" s="164"/>
      <c r="AF2755" s="164"/>
      <c r="AG2755" s="164"/>
      <c r="AH2755" s="164"/>
      <c r="AI2755" s="164"/>
    </row>
    <row r="2756">
      <c r="A2756" s="216"/>
      <c r="B2756" s="155"/>
      <c r="C2756" s="156"/>
      <c r="D2756" s="156"/>
      <c r="E2756" s="155"/>
      <c r="F2756" s="156"/>
      <c r="G2756" s="154"/>
      <c r="H2756" s="157"/>
      <c r="I2756" s="158"/>
      <c r="J2756" s="159"/>
      <c r="K2756" s="156"/>
      <c r="L2756" s="156"/>
      <c r="M2756" s="155"/>
      <c r="N2756" s="160"/>
      <c r="O2756" s="161"/>
      <c r="P2756" s="161"/>
      <c r="Q2756" s="203"/>
      <c r="R2756" s="162"/>
      <c r="S2756" s="162"/>
      <c r="T2756" s="162"/>
      <c r="U2756" s="163"/>
      <c r="V2756" s="154"/>
      <c r="W2756" s="164"/>
      <c r="X2756" s="164"/>
      <c r="Y2756" s="164"/>
      <c r="Z2756" s="164"/>
      <c r="AA2756" s="164"/>
      <c r="AB2756" s="164"/>
      <c r="AC2756" s="164"/>
      <c r="AD2756" s="164"/>
      <c r="AE2756" s="164"/>
      <c r="AF2756" s="164"/>
      <c r="AG2756" s="164"/>
      <c r="AH2756" s="164"/>
      <c r="AI2756" s="164"/>
    </row>
    <row r="2757">
      <c r="A2757" s="154"/>
      <c r="B2757" s="155"/>
      <c r="C2757" s="156"/>
      <c r="D2757" s="156"/>
      <c r="E2757" s="155"/>
      <c r="F2757" s="156"/>
      <c r="G2757" s="154"/>
      <c r="H2757" s="157"/>
      <c r="I2757" s="158"/>
      <c r="J2757" s="159"/>
      <c r="K2757" s="156"/>
      <c r="L2757" s="156"/>
      <c r="M2757" s="155"/>
      <c r="N2757" s="160"/>
      <c r="O2757" s="161"/>
      <c r="P2757" s="161"/>
      <c r="Q2757" s="159"/>
      <c r="R2757" s="162"/>
      <c r="S2757" s="162"/>
      <c r="T2757" s="162"/>
      <c r="U2757" s="163"/>
      <c r="V2757" s="154"/>
      <c r="W2757" s="164"/>
      <c r="X2757" s="164"/>
      <c r="Y2757" s="164"/>
      <c r="Z2757" s="164"/>
      <c r="AA2757" s="164"/>
      <c r="AB2757" s="164"/>
      <c r="AC2757" s="164"/>
      <c r="AD2757" s="164"/>
      <c r="AE2757" s="164"/>
      <c r="AF2757" s="164"/>
      <c r="AG2757" s="164"/>
      <c r="AH2757" s="164"/>
      <c r="AI2757" s="164"/>
    </row>
    <row r="2758">
      <c r="A2758" s="154"/>
      <c r="B2758" s="155"/>
      <c r="C2758" s="156"/>
      <c r="D2758" s="156"/>
      <c r="E2758" s="155"/>
      <c r="F2758" s="156"/>
      <c r="G2758" s="154"/>
      <c r="H2758" s="157"/>
      <c r="I2758" s="158"/>
      <c r="J2758" s="159"/>
      <c r="K2758" s="156"/>
      <c r="L2758" s="156"/>
      <c r="M2758" s="155"/>
      <c r="N2758" s="160"/>
      <c r="O2758" s="161"/>
      <c r="P2758" s="161"/>
      <c r="Q2758" s="203"/>
      <c r="R2758" s="162"/>
      <c r="S2758" s="162"/>
      <c r="T2758" s="162"/>
      <c r="U2758" s="163"/>
      <c r="V2758" s="154"/>
      <c r="W2758" s="164"/>
      <c r="X2758" s="164"/>
      <c r="Y2758" s="164"/>
      <c r="Z2758" s="164"/>
      <c r="AA2758" s="164"/>
      <c r="AB2758" s="164"/>
      <c r="AC2758" s="164"/>
      <c r="AD2758" s="164"/>
      <c r="AE2758" s="164"/>
      <c r="AF2758" s="164"/>
      <c r="AG2758" s="164"/>
      <c r="AH2758" s="164"/>
      <c r="AI2758" s="164"/>
    </row>
    <row r="2759">
      <c r="A2759" s="154"/>
      <c r="B2759" s="155"/>
      <c r="C2759" s="156"/>
      <c r="D2759" s="156"/>
      <c r="E2759" s="155"/>
      <c r="F2759" s="156"/>
      <c r="G2759" s="154"/>
      <c r="H2759" s="157"/>
      <c r="I2759" s="158"/>
      <c r="J2759" s="159"/>
      <c r="K2759" s="156"/>
      <c r="L2759" s="156"/>
      <c r="M2759" s="155"/>
      <c r="N2759" s="160"/>
      <c r="O2759" s="161"/>
      <c r="P2759" s="161"/>
      <c r="Q2759" s="203"/>
      <c r="R2759" s="162"/>
      <c r="S2759" s="162"/>
      <c r="T2759" s="162"/>
      <c r="U2759" s="163"/>
      <c r="V2759" s="154"/>
      <c r="W2759" s="164"/>
      <c r="X2759" s="164"/>
      <c r="Y2759" s="164"/>
      <c r="Z2759" s="164"/>
      <c r="AA2759" s="164"/>
      <c r="AB2759" s="164"/>
      <c r="AC2759" s="164"/>
      <c r="AD2759" s="164"/>
      <c r="AE2759" s="164"/>
      <c r="AF2759" s="164"/>
      <c r="AG2759" s="164"/>
      <c r="AH2759" s="164"/>
      <c r="AI2759" s="164"/>
    </row>
    <row r="2760">
      <c r="A2760" s="154"/>
      <c r="B2760" s="155"/>
      <c r="C2760" s="156"/>
      <c r="D2760" s="156"/>
      <c r="E2760" s="155"/>
      <c r="F2760" s="156"/>
      <c r="G2760" s="154"/>
      <c r="H2760" s="157"/>
      <c r="I2760" s="158"/>
      <c r="J2760" s="159"/>
      <c r="K2760" s="156"/>
      <c r="L2760" s="156"/>
      <c r="M2760" s="155"/>
      <c r="N2760" s="160"/>
      <c r="O2760" s="161"/>
      <c r="P2760" s="161"/>
      <c r="Q2760" s="159"/>
      <c r="R2760" s="162"/>
      <c r="S2760" s="162"/>
      <c r="T2760" s="162"/>
      <c r="U2760" s="163"/>
      <c r="V2760" s="154"/>
      <c r="W2760" s="164"/>
      <c r="X2760" s="164"/>
      <c r="Y2760" s="164"/>
      <c r="Z2760" s="164"/>
      <c r="AA2760" s="164"/>
      <c r="AB2760" s="164"/>
      <c r="AC2760" s="164"/>
      <c r="AD2760" s="164"/>
      <c r="AE2760" s="164"/>
      <c r="AF2760" s="164"/>
      <c r="AG2760" s="164"/>
      <c r="AH2760" s="164"/>
      <c r="AI2760" s="164"/>
    </row>
    <row r="2761">
      <c r="A2761" s="154"/>
      <c r="B2761" s="155"/>
      <c r="C2761" s="156"/>
      <c r="D2761" s="156"/>
      <c r="E2761" s="155"/>
      <c r="F2761" s="156"/>
      <c r="G2761" s="154"/>
      <c r="H2761" s="157"/>
      <c r="I2761" s="158"/>
      <c r="J2761" s="159"/>
      <c r="K2761" s="156"/>
      <c r="L2761" s="156"/>
      <c r="M2761" s="155"/>
      <c r="N2761" s="160"/>
      <c r="O2761" s="161"/>
      <c r="P2761" s="161"/>
      <c r="Q2761" s="159"/>
      <c r="R2761" s="162"/>
      <c r="S2761" s="162"/>
      <c r="T2761" s="162"/>
      <c r="U2761" s="163"/>
      <c r="V2761" s="154"/>
      <c r="W2761" s="164"/>
      <c r="X2761" s="164"/>
      <c r="Y2761" s="164"/>
      <c r="Z2761" s="164"/>
      <c r="AA2761" s="164"/>
      <c r="AB2761" s="164"/>
      <c r="AC2761" s="164"/>
      <c r="AD2761" s="164"/>
      <c r="AE2761" s="164"/>
      <c r="AF2761" s="164"/>
      <c r="AG2761" s="164"/>
      <c r="AH2761" s="164"/>
      <c r="AI2761" s="164"/>
    </row>
    <row r="2762">
      <c r="A2762" s="216"/>
      <c r="B2762" s="155"/>
      <c r="C2762" s="156"/>
      <c r="D2762" s="156"/>
      <c r="E2762" s="155"/>
      <c r="F2762" s="156"/>
      <c r="G2762" s="154"/>
      <c r="H2762" s="157"/>
      <c r="I2762" s="158"/>
      <c r="J2762" s="159"/>
      <c r="K2762" s="156"/>
      <c r="L2762" s="156"/>
      <c r="M2762" s="155"/>
      <c r="N2762" s="160"/>
      <c r="O2762" s="161"/>
      <c r="P2762" s="161"/>
      <c r="Q2762" s="159"/>
      <c r="R2762" s="162"/>
      <c r="S2762" s="162"/>
      <c r="T2762" s="162"/>
      <c r="U2762" s="163"/>
      <c r="V2762" s="154"/>
      <c r="W2762" s="164"/>
      <c r="X2762" s="164"/>
      <c r="Y2762" s="164"/>
      <c r="Z2762" s="164"/>
      <c r="AA2762" s="164"/>
      <c r="AB2762" s="164"/>
      <c r="AC2762" s="164"/>
      <c r="AD2762" s="164"/>
      <c r="AE2762" s="164"/>
      <c r="AF2762" s="164"/>
      <c r="AG2762" s="164"/>
      <c r="AH2762" s="164"/>
      <c r="AI2762" s="164"/>
    </row>
    <row r="2763">
      <c r="A2763" s="154"/>
      <c r="B2763" s="155"/>
      <c r="C2763" s="156"/>
      <c r="D2763" s="156"/>
      <c r="E2763" s="155"/>
      <c r="F2763" s="156"/>
      <c r="G2763" s="154"/>
      <c r="H2763" s="157"/>
      <c r="I2763" s="158"/>
      <c r="J2763" s="159"/>
      <c r="K2763" s="156"/>
      <c r="L2763" s="156"/>
      <c r="M2763" s="155"/>
      <c r="N2763" s="160"/>
      <c r="O2763" s="161"/>
      <c r="P2763" s="161"/>
      <c r="Q2763" s="203"/>
      <c r="R2763" s="162"/>
      <c r="S2763" s="162"/>
      <c r="T2763" s="162"/>
      <c r="U2763" s="163"/>
      <c r="V2763" s="154"/>
      <c r="W2763" s="164"/>
      <c r="X2763" s="164"/>
      <c r="Y2763" s="164"/>
      <c r="Z2763" s="164"/>
      <c r="AA2763" s="164"/>
      <c r="AB2763" s="164"/>
      <c r="AC2763" s="164"/>
      <c r="AD2763" s="164"/>
      <c r="AE2763" s="164"/>
      <c r="AF2763" s="164"/>
      <c r="AG2763" s="164"/>
      <c r="AH2763" s="164"/>
      <c r="AI2763" s="164"/>
    </row>
    <row r="2764">
      <c r="A2764" s="154"/>
      <c r="B2764" s="155"/>
      <c r="C2764" s="156"/>
      <c r="D2764" s="156"/>
      <c r="E2764" s="155"/>
      <c r="F2764" s="156"/>
      <c r="G2764" s="154"/>
      <c r="H2764" s="157"/>
      <c r="I2764" s="158"/>
      <c r="J2764" s="159"/>
      <c r="K2764" s="156"/>
      <c r="L2764" s="156"/>
      <c r="M2764" s="155"/>
      <c r="N2764" s="160"/>
      <c r="O2764" s="161"/>
      <c r="P2764" s="161"/>
      <c r="Q2764" s="203"/>
      <c r="R2764" s="162"/>
      <c r="S2764" s="162"/>
      <c r="T2764" s="162"/>
      <c r="U2764" s="163"/>
      <c r="V2764" s="154"/>
      <c r="W2764" s="164"/>
      <c r="X2764" s="164"/>
      <c r="Y2764" s="164"/>
      <c r="Z2764" s="164"/>
      <c r="AA2764" s="164"/>
      <c r="AB2764" s="164"/>
      <c r="AC2764" s="164"/>
      <c r="AD2764" s="164"/>
      <c r="AE2764" s="164"/>
      <c r="AF2764" s="164"/>
      <c r="AG2764" s="164"/>
      <c r="AH2764" s="164"/>
      <c r="AI2764" s="164"/>
    </row>
    <row r="2765">
      <c r="A2765" s="154"/>
      <c r="B2765" s="155"/>
      <c r="C2765" s="156"/>
      <c r="D2765" s="156"/>
      <c r="E2765" s="155"/>
      <c r="F2765" s="156"/>
      <c r="G2765" s="154"/>
      <c r="H2765" s="157"/>
      <c r="I2765" s="158"/>
      <c r="J2765" s="159"/>
      <c r="K2765" s="156"/>
      <c r="L2765" s="156"/>
      <c r="M2765" s="155"/>
      <c r="N2765" s="160"/>
      <c r="O2765" s="161"/>
      <c r="P2765" s="161"/>
      <c r="Q2765" s="159"/>
      <c r="R2765" s="162"/>
      <c r="S2765" s="162"/>
      <c r="T2765" s="162"/>
      <c r="U2765" s="163"/>
      <c r="V2765" s="154"/>
      <c r="W2765" s="164"/>
      <c r="X2765" s="164"/>
      <c r="Y2765" s="164"/>
      <c r="Z2765" s="164"/>
      <c r="AA2765" s="164"/>
      <c r="AB2765" s="164"/>
      <c r="AC2765" s="164"/>
      <c r="AD2765" s="164"/>
      <c r="AE2765" s="164"/>
      <c r="AF2765" s="164"/>
      <c r="AG2765" s="164"/>
      <c r="AH2765" s="164"/>
      <c r="AI2765" s="164"/>
    </row>
    <row r="2766">
      <c r="A2766" s="154"/>
      <c r="B2766" s="155"/>
      <c r="C2766" s="156"/>
      <c r="D2766" s="156"/>
      <c r="E2766" s="155"/>
      <c r="F2766" s="156"/>
      <c r="G2766" s="154"/>
      <c r="H2766" s="157"/>
      <c r="I2766" s="158"/>
      <c r="J2766" s="159"/>
      <c r="K2766" s="156"/>
      <c r="L2766" s="156"/>
      <c r="M2766" s="155"/>
      <c r="N2766" s="160"/>
      <c r="O2766" s="161"/>
      <c r="P2766" s="161"/>
      <c r="Q2766" s="203"/>
      <c r="R2766" s="162"/>
      <c r="S2766" s="162"/>
      <c r="T2766" s="173"/>
      <c r="U2766" s="174"/>
      <c r="V2766" s="165"/>
      <c r="W2766" s="164"/>
      <c r="X2766" s="164"/>
      <c r="Y2766" s="164"/>
      <c r="Z2766" s="164"/>
      <c r="AA2766" s="164"/>
      <c r="AB2766" s="164"/>
      <c r="AC2766" s="164"/>
      <c r="AD2766" s="164"/>
      <c r="AE2766" s="164"/>
      <c r="AF2766" s="164"/>
      <c r="AG2766" s="164"/>
      <c r="AH2766" s="164"/>
      <c r="AI2766" s="164"/>
    </row>
    <row r="2767">
      <c r="A2767" s="154"/>
      <c r="B2767" s="155"/>
      <c r="C2767" s="156"/>
      <c r="D2767" s="156"/>
      <c r="E2767" s="155"/>
      <c r="F2767" s="156"/>
      <c r="G2767" s="154"/>
      <c r="H2767" s="157"/>
      <c r="I2767" s="158"/>
      <c r="J2767" s="159"/>
      <c r="K2767" s="156"/>
      <c r="L2767" s="156"/>
      <c r="M2767" s="155"/>
      <c r="N2767" s="160"/>
      <c r="O2767" s="161"/>
      <c r="P2767" s="161"/>
      <c r="Q2767" s="203"/>
      <c r="R2767" s="162"/>
      <c r="S2767" s="162"/>
      <c r="T2767" s="162"/>
      <c r="U2767" s="163"/>
      <c r="V2767" s="154"/>
      <c r="W2767" s="164"/>
      <c r="X2767" s="164"/>
      <c r="Y2767" s="164"/>
      <c r="Z2767" s="164"/>
      <c r="AA2767" s="164"/>
      <c r="AB2767" s="164"/>
      <c r="AC2767" s="164"/>
      <c r="AD2767" s="164"/>
      <c r="AE2767" s="164"/>
      <c r="AF2767" s="164"/>
      <c r="AG2767" s="164"/>
      <c r="AH2767" s="164"/>
      <c r="AI2767" s="164"/>
    </row>
    <row r="2768">
      <c r="A2768" s="154"/>
      <c r="B2768" s="155"/>
      <c r="C2768" s="156"/>
      <c r="D2768" s="156"/>
      <c r="E2768" s="155"/>
      <c r="F2768" s="156"/>
      <c r="G2768" s="154"/>
      <c r="H2768" s="157"/>
      <c r="I2768" s="158"/>
      <c r="J2768" s="159"/>
      <c r="K2768" s="156"/>
      <c r="L2768" s="156"/>
      <c r="M2768" s="155"/>
      <c r="N2768" s="160"/>
      <c r="O2768" s="161"/>
      <c r="P2768" s="161"/>
      <c r="Q2768" s="203"/>
      <c r="R2768" s="162"/>
      <c r="S2768" s="162"/>
      <c r="T2768" s="162"/>
      <c r="U2768" s="163"/>
      <c r="V2768" s="154"/>
      <c r="W2768" s="164"/>
      <c r="X2768" s="164"/>
      <c r="Y2768" s="164"/>
      <c r="Z2768" s="164"/>
      <c r="AA2768" s="164"/>
      <c r="AB2768" s="164"/>
      <c r="AC2768" s="164"/>
      <c r="AD2768" s="164"/>
      <c r="AE2768" s="164"/>
      <c r="AF2768" s="164"/>
      <c r="AG2768" s="164"/>
      <c r="AH2768" s="164"/>
      <c r="AI2768" s="164"/>
    </row>
    <row r="2769">
      <c r="A2769" s="154"/>
      <c r="B2769" s="155"/>
      <c r="C2769" s="156"/>
      <c r="D2769" s="156"/>
      <c r="E2769" s="155"/>
      <c r="F2769" s="156"/>
      <c r="G2769" s="154"/>
      <c r="H2769" s="157"/>
      <c r="I2769" s="158"/>
      <c r="J2769" s="159"/>
      <c r="K2769" s="156"/>
      <c r="L2769" s="156"/>
      <c r="M2769" s="155"/>
      <c r="N2769" s="160"/>
      <c r="O2769" s="161"/>
      <c r="P2769" s="161"/>
      <c r="Q2769" s="203"/>
      <c r="R2769" s="162"/>
      <c r="S2769" s="162"/>
      <c r="T2769" s="162"/>
      <c r="U2769" s="163"/>
      <c r="V2769" s="154"/>
      <c r="W2769" s="164"/>
      <c r="X2769" s="164"/>
      <c r="Y2769" s="164"/>
      <c r="Z2769" s="164"/>
      <c r="AA2769" s="164"/>
      <c r="AB2769" s="164"/>
      <c r="AC2769" s="164"/>
      <c r="AD2769" s="164"/>
      <c r="AE2769" s="164"/>
      <c r="AF2769" s="164"/>
      <c r="AG2769" s="164"/>
      <c r="AH2769" s="164"/>
      <c r="AI2769" s="164"/>
    </row>
    <row r="2770">
      <c r="A2770" s="154"/>
      <c r="B2770" s="155"/>
      <c r="C2770" s="156"/>
      <c r="D2770" s="156"/>
      <c r="E2770" s="155"/>
      <c r="F2770" s="156"/>
      <c r="G2770" s="154"/>
      <c r="H2770" s="157"/>
      <c r="I2770" s="158"/>
      <c r="J2770" s="159"/>
      <c r="K2770" s="156"/>
      <c r="L2770" s="156"/>
      <c r="M2770" s="155"/>
      <c r="N2770" s="160"/>
      <c r="O2770" s="161"/>
      <c r="P2770" s="161"/>
      <c r="Q2770" s="203"/>
      <c r="R2770" s="162"/>
      <c r="S2770" s="162"/>
      <c r="T2770" s="162"/>
      <c r="U2770" s="163"/>
      <c r="V2770" s="154"/>
      <c r="W2770" s="164"/>
      <c r="X2770" s="164"/>
      <c r="Y2770" s="164"/>
      <c r="Z2770" s="164"/>
      <c r="AA2770" s="164"/>
      <c r="AB2770" s="164"/>
      <c r="AC2770" s="164"/>
      <c r="AD2770" s="164"/>
      <c r="AE2770" s="164"/>
      <c r="AF2770" s="164"/>
      <c r="AG2770" s="164"/>
      <c r="AH2770" s="164"/>
      <c r="AI2770" s="164"/>
    </row>
    <row r="2771">
      <c r="A2771" s="154"/>
      <c r="B2771" s="155"/>
      <c r="C2771" s="156"/>
      <c r="D2771" s="156"/>
      <c r="E2771" s="155"/>
      <c r="F2771" s="156"/>
      <c r="G2771" s="154"/>
      <c r="H2771" s="157"/>
      <c r="I2771" s="158"/>
      <c r="J2771" s="159"/>
      <c r="K2771" s="156"/>
      <c r="L2771" s="156"/>
      <c r="M2771" s="155"/>
      <c r="N2771" s="160"/>
      <c r="O2771" s="161"/>
      <c r="P2771" s="161"/>
      <c r="Q2771" s="203"/>
      <c r="R2771" s="162"/>
      <c r="S2771" s="162"/>
      <c r="T2771" s="162"/>
      <c r="U2771" s="163"/>
      <c r="V2771" s="154"/>
      <c r="W2771" s="164"/>
      <c r="X2771" s="164"/>
      <c r="Y2771" s="164"/>
      <c r="Z2771" s="164"/>
      <c r="AA2771" s="164"/>
      <c r="AB2771" s="164"/>
      <c r="AC2771" s="164"/>
      <c r="AD2771" s="164"/>
      <c r="AE2771" s="164"/>
      <c r="AF2771" s="164"/>
      <c r="AG2771" s="164"/>
      <c r="AH2771" s="164"/>
      <c r="AI2771" s="164"/>
    </row>
    <row r="2772">
      <c r="A2772" s="154"/>
      <c r="B2772" s="155"/>
      <c r="C2772" s="156"/>
      <c r="D2772" s="156"/>
      <c r="E2772" s="155"/>
      <c r="F2772" s="156"/>
      <c r="G2772" s="154"/>
      <c r="H2772" s="157"/>
      <c r="I2772" s="158"/>
      <c r="J2772" s="159"/>
      <c r="K2772" s="156"/>
      <c r="L2772" s="156"/>
      <c r="M2772" s="155"/>
      <c r="N2772" s="160"/>
      <c r="O2772" s="161"/>
      <c r="P2772" s="161"/>
      <c r="Q2772" s="159"/>
      <c r="R2772" s="162"/>
      <c r="S2772" s="162"/>
      <c r="T2772" s="162"/>
      <c r="U2772" s="163"/>
      <c r="V2772" s="154"/>
      <c r="W2772" s="164"/>
      <c r="X2772" s="164"/>
      <c r="Y2772" s="164"/>
      <c r="Z2772" s="164"/>
      <c r="AA2772" s="164"/>
      <c r="AB2772" s="164"/>
      <c r="AC2772" s="164"/>
      <c r="AD2772" s="164"/>
      <c r="AE2772" s="164"/>
      <c r="AF2772" s="164"/>
      <c r="AG2772" s="164"/>
      <c r="AH2772" s="164"/>
      <c r="AI2772" s="164"/>
    </row>
    <row r="2773">
      <c r="A2773" s="154"/>
      <c r="B2773" s="155"/>
      <c r="C2773" s="156"/>
      <c r="D2773" s="156"/>
      <c r="E2773" s="155"/>
      <c r="F2773" s="156"/>
      <c r="G2773" s="154"/>
      <c r="H2773" s="157"/>
      <c r="I2773" s="158"/>
      <c r="J2773" s="159"/>
      <c r="K2773" s="156"/>
      <c r="L2773" s="156"/>
      <c r="M2773" s="155"/>
      <c r="N2773" s="160"/>
      <c r="O2773" s="161"/>
      <c r="P2773" s="161"/>
      <c r="Q2773" s="203"/>
      <c r="R2773" s="162"/>
      <c r="S2773" s="162"/>
      <c r="T2773" s="162"/>
      <c r="U2773" s="163"/>
      <c r="V2773" s="154"/>
      <c r="W2773" s="164"/>
      <c r="X2773" s="164"/>
      <c r="Y2773" s="164"/>
      <c r="Z2773" s="164"/>
      <c r="AA2773" s="164"/>
      <c r="AB2773" s="164"/>
      <c r="AC2773" s="164"/>
      <c r="AD2773" s="164"/>
      <c r="AE2773" s="164"/>
      <c r="AF2773" s="164"/>
      <c r="AG2773" s="164"/>
      <c r="AH2773" s="164"/>
      <c r="AI2773" s="164"/>
    </row>
    <row r="2774">
      <c r="A2774" s="154"/>
      <c r="B2774" s="155"/>
      <c r="C2774" s="156"/>
      <c r="D2774" s="156"/>
      <c r="E2774" s="155"/>
      <c r="F2774" s="156"/>
      <c r="G2774" s="154"/>
      <c r="H2774" s="157"/>
      <c r="I2774" s="158"/>
      <c r="J2774" s="159"/>
      <c r="K2774" s="156"/>
      <c r="L2774" s="156"/>
      <c r="M2774" s="155"/>
      <c r="N2774" s="160"/>
      <c r="O2774" s="161"/>
      <c r="P2774" s="161"/>
      <c r="Q2774" s="203"/>
      <c r="R2774" s="162"/>
      <c r="S2774" s="162"/>
      <c r="T2774" s="162"/>
      <c r="U2774" s="163"/>
      <c r="V2774" s="154"/>
      <c r="W2774" s="164"/>
      <c r="X2774" s="164"/>
      <c r="Y2774" s="164"/>
      <c r="Z2774" s="164"/>
      <c r="AA2774" s="164"/>
      <c r="AB2774" s="164"/>
      <c r="AC2774" s="164"/>
      <c r="AD2774" s="164"/>
      <c r="AE2774" s="164"/>
      <c r="AF2774" s="164"/>
      <c r="AG2774" s="164"/>
      <c r="AH2774" s="164"/>
      <c r="AI2774" s="164"/>
    </row>
    <row r="2775">
      <c r="A2775" s="154"/>
      <c r="B2775" s="155"/>
      <c r="C2775" s="156"/>
      <c r="D2775" s="156"/>
      <c r="E2775" s="155"/>
      <c r="F2775" s="156"/>
      <c r="G2775" s="154"/>
      <c r="H2775" s="157"/>
      <c r="I2775" s="158"/>
      <c r="J2775" s="159"/>
      <c r="K2775" s="156"/>
      <c r="L2775" s="156"/>
      <c r="M2775" s="155"/>
      <c r="N2775" s="160"/>
      <c r="O2775" s="161"/>
      <c r="P2775" s="161"/>
      <c r="Q2775" s="203"/>
      <c r="R2775" s="162"/>
      <c r="S2775" s="162"/>
      <c r="T2775" s="162"/>
      <c r="U2775" s="163"/>
      <c r="V2775" s="154"/>
      <c r="W2775" s="164"/>
      <c r="X2775" s="164"/>
      <c r="Y2775" s="164"/>
      <c r="Z2775" s="164"/>
      <c r="AA2775" s="164"/>
      <c r="AB2775" s="164"/>
      <c r="AC2775" s="164"/>
      <c r="AD2775" s="164"/>
      <c r="AE2775" s="164"/>
      <c r="AF2775" s="164"/>
      <c r="AG2775" s="164"/>
      <c r="AH2775" s="164"/>
      <c r="AI2775" s="164"/>
    </row>
    <row r="2776">
      <c r="A2776" s="154"/>
      <c r="B2776" s="155"/>
      <c r="C2776" s="156"/>
      <c r="D2776" s="156"/>
      <c r="E2776" s="155"/>
      <c r="F2776" s="156"/>
      <c r="G2776" s="154"/>
      <c r="H2776" s="157"/>
      <c r="I2776" s="158"/>
      <c r="J2776" s="159"/>
      <c r="K2776" s="156"/>
      <c r="L2776" s="156"/>
      <c r="M2776" s="155"/>
      <c r="N2776" s="160"/>
      <c r="O2776" s="161"/>
      <c r="P2776" s="161"/>
      <c r="Q2776" s="203"/>
      <c r="R2776" s="162"/>
      <c r="S2776" s="162"/>
      <c r="T2776" s="162"/>
      <c r="U2776" s="163"/>
      <c r="V2776" s="154"/>
      <c r="W2776" s="164"/>
      <c r="X2776" s="164"/>
      <c r="Y2776" s="164"/>
      <c r="Z2776" s="164"/>
      <c r="AA2776" s="164"/>
      <c r="AB2776" s="164"/>
      <c r="AC2776" s="164"/>
      <c r="AD2776" s="164"/>
      <c r="AE2776" s="164"/>
      <c r="AF2776" s="164"/>
      <c r="AG2776" s="164"/>
      <c r="AH2776" s="164"/>
      <c r="AI2776" s="164"/>
    </row>
    <row r="2777">
      <c r="A2777" s="154"/>
      <c r="B2777" s="155"/>
      <c r="C2777" s="156"/>
      <c r="D2777" s="156"/>
      <c r="E2777" s="155"/>
      <c r="F2777" s="156"/>
      <c r="G2777" s="154"/>
      <c r="H2777" s="157"/>
      <c r="I2777" s="158"/>
      <c r="J2777" s="159"/>
      <c r="K2777" s="156"/>
      <c r="L2777" s="156"/>
      <c r="M2777" s="155"/>
      <c r="N2777" s="160"/>
      <c r="O2777" s="161"/>
      <c r="P2777" s="161"/>
      <c r="Q2777" s="203"/>
      <c r="R2777" s="162"/>
      <c r="S2777" s="162"/>
      <c r="T2777" s="162"/>
      <c r="U2777" s="163"/>
      <c r="V2777" s="154"/>
      <c r="W2777" s="164"/>
      <c r="X2777" s="164"/>
      <c r="Y2777" s="164"/>
      <c r="Z2777" s="164"/>
      <c r="AA2777" s="164"/>
      <c r="AB2777" s="164"/>
      <c r="AC2777" s="164"/>
      <c r="AD2777" s="164"/>
      <c r="AE2777" s="164"/>
      <c r="AF2777" s="164"/>
      <c r="AG2777" s="164"/>
      <c r="AH2777" s="164"/>
      <c r="AI2777" s="164"/>
    </row>
    <row r="2778">
      <c r="A2778" s="154"/>
      <c r="B2778" s="155"/>
      <c r="C2778" s="156"/>
      <c r="D2778" s="156"/>
      <c r="E2778" s="155"/>
      <c r="F2778" s="156"/>
      <c r="G2778" s="154"/>
      <c r="H2778" s="157"/>
      <c r="I2778" s="158"/>
      <c r="J2778" s="159"/>
      <c r="K2778" s="156"/>
      <c r="L2778" s="156"/>
      <c r="M2778" s="155"/>
      <c r="N2778" s="160"/>
      <c r="O2778" s="161"/>
      <c r="P2778" s="161"/>
      <c r="Q2778" s="203"/>
      <c r="R2778" s="162"/>
      <c r="S2778" s="162"/>
      <c r="T2778" s="162"/>
      <c r="U2778" s="163"/>
      <c r="V2778" s="154"/>
      <c r="W2778" s="164"/>
      <c r="X2778" s="164"/>
      <c r="Y2778" s="164"/>
      <c r="Z2778" s="164"/>
      <c r="AA2778" s="164"/>
      <c r="AB2778" s="164"/>
      <c r="AC2778" s="164"/>
      <c r="AD2778" s="164"/>
      <c r="AE2778" s="164"/>
      <c r="AF2778" s="164"/>
      <c r="AG2778" s="164"/>
      <c r="AH2778" s="164"/>
      <c r="AI2778" s="164"/>
    </row>
    <row r="2779">
      <c r="A2779" s="154"/>
      <c r="B2779" s="155"/>
      <c r="C2779" s="156"/>
      <c r="D2779" s="156"/>
      <c r="E2779" s="155"/>
      <c r="F2779" s="156"/>
      <c r="G2779" s="154"/>
      <c r="H2779" s="157"/>
      <c r="I2779" s="158"/>
      <c r="J2779" s="159"/>
      <c r="K2779" s="156"/>
      <c r="L2779" s="156"/>
      <c r="M2779" s="155"/>
      <c r="N2779" s="160"/>
      <c r="O2779" s="161"/>
      <c r="P2779" s="161"/>
      <c r="Q2779" s="159"/>
      <c r="R2779" s="162"/>
      <c r="S2779" s="162"/>
      <c r="T2779" s="162"/>
      <c r="U2779" s="163"/>
      <c r="V2779" s="154"/>
      <c r="W2779" s="164"/>
      <c r="X2779" s="164"/>
      <c r="Y2779" s="164"/>
      <c r="Z2779" s="164"/>
      <c r="AA2779" s="164"/>
      <c r="AB2779" s="164"/>
      <c r="AC2779" s="164"/>
      <c r="AD2779" s="164"/>
      <c r="AE2779" s="164"/>
      <c r="AF2779" s="164"/>
      <c r="AG2779" s="164"/>
      <c r="AH2779" s="164"/>
      <c r="AI2779" s="164"/>
    </row>
    <row r="2780">
      <c r="A2780" s="154"/>
      <c r="B2780" s="155"/>
      <c r="C2780" s="156"/>
      <c r="D2780" s="156"/>
      <c r="E2780" s="155"/>
      <c r="F2780" s="156"/>
      <c r="G2780" s="154"/>
      <c r="H2780" s="157"/>
      <c r="I2780" s="158"/>
      <c r="J2780" s="159"/>
      <c r="K2780" s="156"/>
      <c r="L2780" s="156"/>
      <c r="M2780" s="155"/>
      <c r="N2780" s="160"/>
      <c r="O2780" s="161"/>
      <c r="P2780" s="161"/>
      <c r="Q2780" s="203"/>
      <c r="R2780" s="162"/>
      <c r="S2780" s="162"/>
      <c r="T2780" s="162"/>
      <c r="U2780" s="163"/>
      <c r="V2780" s="154"/>
      <c r="W2780" s="164"/>
      <c r="X2780" s="164"/>
      <c r="Y2780" s="164"/>
      <c r="Z2780" s="164"/>
      <c r="AA2780" s="164"/>
      <c r="AB2780" s="164"/>
      <c r="AC2780" s="164"/>
      <c r="AD2780" s="164"/>
      <c r="AE2780" s="164"/>
      <c r="AF2780" s="164"/>
      <c r="AG2780" s="164"/>
      <c r="AH2780" s="164"/>
      <c r="AI2780" s="164"/>
    </row>
    <row r="2781">
      <c r="A2781" s="154"/>
      <c r="B2781" s="155"/>
      <c r="C2781" s="156"/>
      <c r="D2781" s="156"/>
      <c r="E2781" s="155"/>
      <c r="F2781" s="156"/>
      <c r="G2781" s="154"/>
      <c r="H2781" s="157"/>
      <c r="I2781" s="158"/>
      <c r="J2781" s="159"/>
      <c r="K2781" s="156"/>
      <c r="L2781" s="156"/>
      <c r="M2781" s="155"/>
      <c r="N2781" s="160"/>
      <c r="O2781" s="161"/>
      <c r="P2781" s="161"/>
      <c r="Q2781" s="203"/>
      <c r="R2781" s="162"/>
      <c r="S2781" s="162"/>
      <c r="T2781" s="162"/>
      <c r="U2781" s="163"/>
      <c r="V2781" s="154"/>
      <c r="W2781" s="164"/>
      <c r="X2781" s="164"/>
      <c r="Y2781" s="164"/>
      <c r="Z2781" s="164"/>
      <c r="AA2781" s="164"/>
      <c r="AB2781" s="164"/>
      <c r="AC2781" s="164"/>
      <c r="AD2781" s="164"/>
      <c r="AE2781" s="164"/>
      <c r="AF2781" s="164"/>
      <c r="AG2781" s="164"/>
      <c r="AH2781" s="164"/>
      <c r="AI2781" s="164"/>
    </row>
    <row r="2782">
      <c r="A2782" s="154"/>
      <c r="B2782" s="155"/>
      <c r="C2782" s="156"/>
      <c r="D2782" s="156"/>
      <c r="E2782" s="155"/>
      <c r="F2782" s="156"/>
      <c r="G2782" s="154"/>
      <c r="H2782" s="157"/>
      <c r="I2782" s="158"/>
      <c r="J2782" s="159"/>
      <c r="K2782" s="156"/>
      <c r="L2782" s="156"/>
      <c r="M2782" s="155"/>
      <c r="N2782" s="160"/>
      <c r="O2782" s="161"/>
      <c r="P2782" s="161"/>
      <c r="Q2782" s="203"/>
      <c r="R2782" s="162"/>
      <c r="S2782" s="162"/>
      <c r="T2782" s="162"/>
      <c r="U2782" s="163"/>
      <c r="V2782" s="154"/>
      <c r="W2782" s="164"/>
      <c r="X2782" s="164"/>
      <c r="Y2782" s="164"/>
      <c r="Z2782" s="164"/>
      <c r="AA2782" s="164"/>
      <c r="AB2782" s="164"/>
      <c r="AC2782" s="164"/>
      <c r="AD2782" s="164"/>
      <c r="AE2782" s="164"/>
      <c r="AF2782" s="164"/>
      <c r="AG2782" s="164"/>
      <c r="AH2782" s="164"/>
      <c r="AI2782" s="164"/>
    </row>
    <row r="2783">
      <c r="A2783" s="154"/>
      <c r="B2783" s="155"/>
      <c r="C2783" s="156"/>
      <c r="D2783" s="156"/>
      <c r="E2783" s="155"/>
      <c r="F2783" s="156"/>
      <c r="G2783" s="154"/>
      <c r="H2783" s="157"/>
      <c r="I2783" s="158"/>
      <c r="J2783" s="159"/>
      <c r="K2783" s="156"/>
      <c r="L2783" s="156"/>
      <c r="M2783" s="155"/>
      <c r="N2783" s="160"/>
      <c r="O2783" s="161"/>
      <c r="P2783" s="161"/>
      <c r="Q2783" s="203"/>
      <c r="R2783" s="162"/>
      <c r="S2783" s="162"/>
      <c r="T2783" s="162"/>
      <c r="U2783" s="163"/>
      <c r="V2783" s="154"/>
      <c r="W2783" s="164"/>
      <c r="X2783" s="164"/>
      <c r="Y2783" s="164"/>
      <c r="Z2783" s="164"/>
      <c r="AA2783" s="164"/>
      <c r="AB2783" s="164"/>
      <c r="AC2783" s="164"/>
      <c r="AD2783" s="164"/>
      <c r="AE2783" s="164"/>
      <c r="AF2783" s="164"/>
      <c r="AG2783" s="164"/>
      <c r="AH2783" s="164"/>
      <c r="AI2783" s="164"/>
    </row>
    <row r="2784">
      <c r="A2784" s="154"/>
      <c r="B2784" s="155"/>
      <c r="C2784" s="156"/>
      <c r="D2784" s="156"/>
      <c r="E2784" s="155"/>
      <c r="F2784" s="156"/>
      <c r="G2784" s="154"/>
      <c r="H2784" s="157"/>
      <c r="I2784" s="158"/>
      <c r="J2784" s="159"/>
      <c r="K2784" s="156"/>
      <c r="L2784" s="156"/>
      <c r="M2784" s="155"/>
      <c r="N2784" s="160"/>
      <c r="O2784" s="161"/>
      <c r="P2784" s="161"/>
      <c r="Q2784" s="203"/>
      <c r="R2784" s="162"/>
      <c r="S2784" s="162"/>
      <c r="T2784" s="162"/>
      <c r="U2784" s="163"/>
      <c r="V2784" s="154"/>
      <c r="W2784" s="164"/>
      <c r="X2784" s="164"/>
      <c r="Y2784" s="164"/>
      <c r="Z2784" s="164"/>
      <c r="AA2784" s="164"/>
      <c r="AB2784" s="164"/>
      <c r="AC2784" s="164"/>
      <c r="AD2784" s="164"/>
      <c r="AE2784" s="164"/>
      <c r="AF2784" s="164"/>
      <c r="AG2784" s="164"/>
      <c r="AH2784" s="164"/>
      <c r="AI2784" s="164"/>
    </row>
    <row r="2785">
      <c r="A2785" s="154"/>
      <c r="B2785" s="155"/>
      <c r="C2785" s="156"/>
      <c r="D2785" s="156"/>
      <c r="E2785" s="155"/>
      <c r="F2785" s="156"/>
      <c r="G2785" s="154"/>
      <c r="H2785" s="157"/>
      <c r="I2785" s="158"/>
      <c r="J2785" s="159"/>
      <c r="K2785" s="156"/>
      <c r="L2785" s="156"/>
      <c r="M2785" s="155"/>
      <c r="N2785" s="160"/>
      <c r="O2785" s="161"/>
      <c r="P2785" s="161"/>
      <c r="Q2785" s="203"/>
      <c r="R2785" s="162"/>
      <c r="S2785" s="162"/>
      <c r="T2785" s="162"/>
      <c r="U2785" s="163"/>
      <c r="V2785" s="154"/>
      <c r="W2785" s="164"/>
      <c r="X2785" s="164"/>
      <c r="Y2785" s="164"/>
      <c r="Z2785" s="164"/>
      <c r="AA2785" s="164"/>
      <c r="AB2785" s="164"/>
      <c r="AC2785" s="164"/>
      <c r="AD2785" s="164"/>
      <c r="AE2785" s="164"/>
      <c r="AF2785" s="164"/>
      <c r="AG2785" s="164"/>
      <c r="AH2785" s="164"/>
      <c r="AI2785" s="164"/>
    </row>
    <row r="2786">
      <c r="A2786" s="154"/>
      <c r="B2786" s="155"/>
      <c r="C2786" s="156"/>
      <c r="D2786" s="156"/>
      <c r="E2786" s="155"/>
      <c r="F2786" s="156"/>
      <c r="G2786" s="154"/>
      <c r="H2786" s="157"/>
      <c r="I2786" s="158"/>
      <c r="J2786" s="159"/>
      <c r="K2786" s="156"/>
      <c r="L2786" s="156"/>
      <c r="M2786" s="155"/>
      <c r="N2786" s="160"/>
      <c r="O2786" s="161"/>
      <c r="P2786" s="161"/>
      <c r="Q2786" s="203"/>
      <c r="R2786" s="162"/>
      <c r="S2786" s="162"/>
      <c r="T2786" s="162"/>
      <c r="U2786" s="163"/>
      <c r="V2786" s="154"/>
      <c r="W2786" s="164"/>
      <c r="X2786" s="164"/>
      <c r="Y2786" s="164"/>
      <c r="Z2786" s="164"/>
      <c r="AA2786" s="164"/>
      <c r="AB2786" s="164"/>
      <c r="AC2786" s="164"/>
      <c r="AD2786" s="164"/>
      <c r="AE2786" s="164"/>
      <c r="AF2786" s="164"/>
      <c r="AG2786" s="164"/>
      <c r="AH2786" s="164"/>
      <c r="AI2786" s="164"/>
    </row>
    <row r="2787">
      <c r="A2787" s="154"/>
      <c r="B2787" s="155"/>
      <c r="C2787" s="156"/>
      <c r="D2787" s="156"/>
      <c r="E2787" s="155"/>
      <c r="F2787" s="156"/>
      <c r="G2787" s="154"/>
      <c r="H2787" s="157"/>
      <c r="I2787" s="158"/>
      <c r="J2787" s="159"/>
      <c r="K2787" s="156"/>
      <c r="L2787" s="156"/>
      <c r="M2787" s="155"/>
      <c r="N2787" s="160"/>
      <c r="O2787" s="161"/>
      <c r="P2787" s="161"/>
      <c r="Q2787" s="203"/>
      <c r="R2787" s="162"/>
      <c r="S2787" s="162"/>
      <c r="T2787" s="162"/>
      <c r="U2787" s="163"/>
      <c r="V2787" s="154"/>
      <c r="W2787" s="164"/>
      <c r="X2787" s="164"/>
      <c r="Y2787" s="164"/>
      <c r="Z2787" s="164"/>
      <c r="AA2787" s="164"/>
      <c r="AB2787" s="164"/>
      <c r="AC2787" s="164"/>
      <c r="AD2787" s="164"/>
      <c r="AE2787" s="164"/>
      <c r="AF2787" s="164"/>
      <c r="AG2787" s="164"/>
      <c r="AH2787" s="164"/>
      <c r="AI2787" s="164"/>
    </row>
    <row r="2788">
      <c r="A2788" s="154"/>
      <c r="B2788" s="155"/>
      <c r="C2788" s="156"/>
      <c r="D2788" s="156"/>
      <c r="E2788" s="155"/>
      <c r="F2788" s="156"/>
      <c r="G2788" s="154"/>
      <c r="H2788" s="157"/>
      <c r="I2788" s="158"/>
      <c r="J2788" s="159"/>
      <c r="K2788" s="156"/>
      <c r="L2788" s="156"/>
      <c r="M2788" s="155"/>
      <c r="N2788" s="160"/>
      <c r="O2788" s="161"/>
      <c r="P2788" s="161"/>
      <c r="Q2788" s="203"/>
      <c r="R2788" s="162"/>
      <c r="S2788" s="162"/>
      <c r="T2788" s="162"/>
      <c r="U2788" s="163"/>
      <c r="V2788" s="154"/>
      <c r="W2788" s="164"/>
      <c r="X2788" s="164"/>
      <c r="Y2788" s="164"/>
      <c r="Z2788" s="164"/>
      <c r="AA2788" s="164"/>
      <c r="AB2788" s="164"/>
      <c r="AC2788" s="164"/>
      <c r="AD2788" s="164"/>
      <c r="AE2788" s="164"/>
      <c r="AF2788" s="164"/>
      <c r="AG2788" s="164"/>
      <c r="AH2788" s="164"/>
      <c r="AI2788" s="164"/>
    </row>
    <row r="2789">
      <c r="A2789" s="154"/>
      <c r="B2789" s="155"/>
      <c r="C2789" s="156"/>
      <c r="D2789" s="156"/>
      <c r="E2789" s="155"/>
      <c r="F2789" s="156"/>
      <c r="G2789" s="154"/>
      <c r="H2789" s="157"/>
      <c r="I2789" s="158"/>
      <c r="J2789" s="159"/>
      <c r="K2789" s="156"/>
      <c r="L2789" s="156"/>
      <c r="M2789" s="155"/>
      <c r="N2789" s="160"/>
      <c r="O2789" s="161"/>
      <c r="P2789" s="161"/>
      <c r="Q2789" s="203"/>
      <c r="R2789" s="162"/>
      <c r="S2789" s="162"/>
      <c r="T2789" s="162"/>
      <c r="U2789" s="163"/>
      <c r="V2789" s="154"/>
      <c r="W2789" s="164"/>
      <c r="X2789" s="164"/>
      <c r="Y2789" s="164"/>
      <c r="Z2789" s="164"/>
      <c r="AA2789" s="164"/>
      <c r="AB2789" s="164"/>
      <c r="AC2789" s="164"/>
      <c r="AD2789" s="164"/>
      <c r="AE2789" s="164"/>
      <c r="AF2789" s="164"/>
      <c r="AG2789" s="164"/>
      <c r="AH2789" s="164"/>
      <c r="AI2789" s="164"/>
    </row>
    <row r="2790">
      <c r="A2790" s="154"/>
      <c r="B2790" s="155"/>
      <c r="C2790" s="156"/>
      <c r="D2790" s="156"/>
      <c r="E2790" s="155"/>
      <c r="F2790" s="156"/>
      <c r="G2790" s="154"/>
      <c r="H2790" s="157"/>
      <c r="I2790" s="158"/>
      <c r="J2790" s="159"/>
      <c r="K2790" s="156"/>
      <c r="L2790" s="156"/>
      <c r="M2790" s="155"/>
      <c r="N2790" s="160"/>
      <c r="O2790" s="161"/>
      <c r="P2790" s="161"/>
      <c r="Q2790" s="203"/>
      <c r="R2790" s="162"/>
      <c r="S2790" s="162"/>
      <c r="T2790" s="162"/>
      <c r="U2790" s="163"/>
      <c r="V2790" s="154"/>
      <c r="W2790" s="164"/>
      <c r="X2790" s="164"/>
      <c r="Y2790" s="164"/>
      <c r="Z2790" s="164"/>
      <c r="AA2790" s="164"/>
      <c r="AB2790" s="164"/>
      <c r="AC2790" s="164"/>
      <c r="AD2790" s="164"/>
      <c r="AE2790" s="164"/>
      <c r="AF2790" s="164"/>
      <c r="AG2790" s="164"/>
      <c r="AH2790" s="164"/>
      <c r="AI2790" s="164"/>
    </row>
    <row r="2791">
      <c r="A2791" s="154"/>
      <c r="B2791" s="155"/>
      <c r="C2791" s="156"/>
      <c r="D2791" s="156"/>
      <c r="E2791" s="155"/>
      <c r="F2791" s="156"/>
      <c r="G2791" s="154"/>
      <c r="H2791" s="157"/>
      <c r="I2791" s="158"/>
      <c r="J2791" s="159"/>
      <c r="K2791" s="156"/>
      <c r="L2791" s="156"/>
      <c r="M2791" s="155"/>
      <c r="N2791" s="160"/>
      <c r="O2791" s="161"/>
      <c r="P2791" s="161"/>
      <c r="Q2791" s="203"/>
      <c r="R2791" s="162"/>
      <c r="S2791" s="162"/>
      <c r="T2791" s="162"/>
      <c r="U2791" s="163"/>
      <c r="V2791" s="154"/>
      <c r="W2791" s="164"/>
      <c r="X2791" s="164"/>
      <c r="Y2791" s="164"/>
      <c r="Z2791" s="164"/>
      <c r="AA2791" s="164"/>
      <c r="AB2791" s="164"/>
      <c r="AC2791" s="164"/>
      <c r="AD2791" s="164"/>
      <c r="AE2791" s="164"/>
      <c r="AF2791" s="164"/>
      <c r="AG2791" s="164"/>
      <c r="AH2791" s="164"/>
      <c r="AI2791" s="164"/>
    </row>
    <row r="2792">
      <c r="A2792" s="154"/>
      <c r="B2792" s="155"/>
      <c r="C2792" s="156"/>
      <c r="D2792" s="156"/>
      <c r="E2792" s="155"/>
      <c r="F2792" s="156"/>
      <c r="G2792" s="154"/>
      <c r="H2792" s="157"/>
      <c r="I2792" s="158"/>
      <c r="J2792" s="159"/>
      <c r="K2792" s="156"/>
      <c r="L2792" s="156"/>
      <c r="M2792" s="155"/>
      <c r="N2792" s="160"/>
      <c r="O2792" s="161"/>
      <c r="P2792" s="161"/>
      <c r="Q2792" s="203"/>
      <c r="R2792" s="162"/>
      <c r="S2792" s="162"/>
      <c r="T2792" s="162"/>
      <c r="U2792" s="163"/>
      <c r="V2792" s="154"/>
      <c r="W2792" s="164"/>
      <c r="X2792" s="164"/>
      <c r="Y2792" s="164"/>
      <c r="Z2792" s="164"/>
      <c r="AA2792" s="164"/>
      <c r="AB2792" s="164"/>
      <c r="AC2792" s="164"/>
      <c r="AD2792" s="164"/>
      <c r="AE2792" s="164"/>
      <c r="AF2792" s="164"/>
      <c r="AG2792" s="164"/>
      <c r="AH2792" s="164"/>
      <c r="AI2792" s="164"/>
    </row>
    <row r="2793">
      <c r="A2793" s="154"/>
      <c r="B2793" s="155"/>
      <c r="C2793" s="156"/>
      <c r="D2793" s="156"/>
      <c r="E2793" s="155"/>
      <c r="F2793" s="156"/>
      <c r="G2793" s="154"/>
      <c r="H2793" s="157"/>
      <c r="I2793" s="158"/>
      <c r="J2793" s="159"/>
      <c r="K2793" s="156"/>
      <c r="L2793" s="156"/>
      <c r="M2793" s="155"/>
      <c r="N2793" s="160"/>
      <c r="O2793" s="161"/>
      <c r="P2793" s="161"/>
      <c r="Q2793" s="203"/>
      <c r="R2793" s="162"/>
      <c r="S2793" s="162"/>
      <c r="T2793" s="162"/>
      <c r="U2793" s="163"/>
      <c r="V2793" s="154"/>
      <c r="W2793" s="164"/>
      <c r="X2793" s="164"/>
      <c r="Y2793" s="164"/>
      <c r="Z2793" s="164"/>
      <c r="AA2793" s="164"/>
      <c r="AB2793" s="164"/>
      <c r="AC2793" s="164"/>
      <c r="AD2793" s="164"/>
      <c r="AE2793" s="164"/>
      <c r="AF2793" s="164"/>
      <c r="AG2793" s="164"/>
      <c r="AH2793" s="164"/>
      <c r="AI2793" s="164"/>
    </row>
    <row r="2794">
      <c r="A2794" s="154"/>
      <c r="B2794" s="155"/>
      <c r="C2794" s="156"/>
      <c r="D2794" s="156"/>
      <c r="E2794" s="155"/>
      <c r="F2794" s="156"/>
      <c r="G2794" s="154"/>
      <c r="H2794" s="157"/>
      <c r="I2794" s="158"/>
      <c r="J2794" s="159"/>
      <c r="K2794" s="156"/>
      <c r="L2794" s="156"/>
      <c r="M2794" s="155"/>
      <c r="N2794" s="160"/>
      <c r="O2794" s="161"/>
      <c r="P2794" s="161"/>
      <c r="Q2794" s="203"/>
      <c r="R2794" s="162"/>
      <c r="S2794" s="162"/>
      <c r="T2794" s="162"/>
      <c r="U2794" s="163"/>
      <c r="V2794" s="154"/>
      <c r="W2794" s="164"/>
      <c r="X2794" s="164"/>
      <c r="Y2794" s="164"/>
      <c r="Z2794" s="164"/>
      <c r="AA2794" s="164"/>
      <c r="AB2794" s="164"/>
      <c r="AC2794" s="164"/>
      <c r="AD2794" s="164"/>
      <c r="AE2794" s="164"/>
      <c r="AF2794" s="164"/>
      <c r="AG2794" s="164"/>
      <c r="AH2794" s="164"/>
      <c r="AI2794" s="164"/>
    </row>
    <row r="2795">
      <c r="A2795" s="154"/>
      <c r="B2795" s="155"/>
      <c r="C2795" s="156"/>
      <c r="D2795" s="156"/>
      <c r="E2795" s="155"/>
      <c r="F2795" s="156"/>
      <c r="G2795" s="154"/>
      <c r="H2795" s="157"/>
      <c r="I2795" s="158"/>
      <c r="J2795" s="159"/>
      <c r="K2795" s="156"/>
      <c r="L2795" s="156"/>
      <c r="M2795" s="155"/>
      <c r="N2795" s="160"/>
      <c r="O2795" s="161"/>
      <c r="P2795" s="161"/>
      <c r="Q2795" s="203"/>
      <c r="R2795" s="162"/>
      <c r="S2795" s="162"/>
      <c r="T2795" s="162"/>
      <c r="U2795" s="163"/>
      <c r="V2795" s="154"/>
      <c r="W2795" s="164"/>
      <c r="X2795" s="164"/>
      <c r="Y2795" s="164"/>
      <c r="Z2795" s="164"/>
      <c r="AA2795" s="164"/>
      <c r="AB2795" s="164"/>
      <c r="AC2795" s="164"/>
      <c r="AD2795" s="164"/>
      <c r="AE2795" s="164"/>
      <c r="AF2795" s="164"/>
      <c r="AG2795" s="164"/>
      <c r="AH2795" s="164"/>
      <c r="AI2795" s="164"/>
    </row>
    <row r="2796">
      <c r="A2796" s="154"/>
      <c r="B2796" s="155"/>
      <c r="C2796" s="156"/>
      <c r="D2796" s="156"/>
      <c r="E2796" s="155"/>
      <c r="F2796" s="156"/>
      <c r="G2796" s="154"/>
      <c r="H2796" s="157"/>
      <c r="I2796" s="158"/>
      <c r="J2796" s="159"/>
      <c r="K2796" s="156"/>
      <c r="L2796" s="156"/>
      <c r="M2796" s="155"/>
      <c r="N2796" s="160"/>
      <c r="O2796" s="161"/>
      <c r="P2796" s="161"/>
      <c r="Q2796" s="159"/>
      <c r="R2796" s="162"/>
      <c r="S2796" s="162"/>
      <c r="T2796" s="162"/>
      <c r="U2796" s="163"/>
      <c r="V2796" s="154"/>
      <c r="W2796" s="164"/>
      <c r="X2796" s="164"/>
      <c r="Y2796" s="164"/>
      <c r="Z2796" s="164"/>
      <c r="AA2796" s="164"/>
      <c r="AB2796" s="164"/>
      <c r="AC2796" s="164"/>
      <c r="AD2796" s="164"/>
      <c r="AE2796" s="164"/>
      <c r="AF2796" s="164"/>
      <c r="AG2796" s="164"/>
      <c r="AH2796" s="164"/>
      <c r="AI2796" s="164"/>
    </row>
    <row r="2797">
      <c r="A2797" s="154"/>
      <c r="B2797" s="155"/>
      <c r="C2797" s="156"/>
      <c r="D2797" s="156"/>
      <c r="E2797" s="155"/>
      <c r="F2797" s="156"/>
      <c r="G2797" s="154"/>
      <c r="H2797" s="157"/>
      <c r="I2797" s="158"/>
      <c r="J2797" s="159"/>
      <c r="K2797" s="156"/>
      <c r="L2797" s="156"/>
      <c r="M2797" s="155"/>
      <c r="N2797" s="160"/>
      <c r="O2797" s="161"/>
      <c r="P2797" s="161"/>
      <c r="Q2797" s="159"/>
      <c r="R2797" s="162"/>
      <c r="S2797" s="162"/>
      <c r="T2797" s="162"/>
      <c r="U2797" s="163"/>
      <c r="V2797" s="154"/>
      <c r="W2797" s="164"/>
      <c r="X2797" s="164"/>
      <c r="Y2797" s="164"/>
      <c r="Z2797" s="164"/>
      <c r="AA2797" s="164"/>
      <c r="AB2797" s="164"/>
      <c r="AC2797" s="164"/>
      <c r="AD2797" s="164"/>
      <c r="AE2797" s="164"/>
      <c r="AF2797" s="164"/>
      <c r="AG2797" s="164"/>
      <c r="AH2797" s="164"/>
      <c r="AI2797" s="164"/>
    </row>
    <row r="2798">
      <c r="A2798" s="154"/>
      <c r="B2798" s="155"/>
      <c r="C2798" s="156"/>
      <c r="D2798" s="156"/>
      <c r="E2798" s="155"/>
      <c r="F2798" s="156"/>
      <c r="G2798" s="154"/>
      <c r="H2798" s="157"/>
      <c r="I2798" s="158"/>
      <c r="J2798" s="159"/>
      <c r="K2798" s="156"/>
      <c r="L2798" s="156"/>
      <c r="M2798" s="155"/>
      <c r="N2798" s="160"/>
      <c r="O2798" s="161"/>
      <c r="P2798" s="161"/>
      <c r="Q2798" s="203"/>
      <c r="R2798" s="162"/>
      <c r="S2798" s="162"/>
      <c r="T2798" s="162"/>
      <c r="U2798" s="163"/>
      <c r="V2798" s="154"/>
      <c r="W2798" s="164"/>
      <c r="X2798" s="164"/>
      <c r="Y2798" s="164"/>
      <c r="Z2798" s="164"/>
      <c r="AA2798" s="164"/>
      <c r="AB2798" s="164"/>
      <c r="AC2798" s="164"/>
      <c r="AD2798" s="164"/>
      <c r="AE2798" s="164"/>
      <c r="AF2798" s="164"/>
      <c r="AG2798" s="164"/>
      <c r="AH2798" s="164"/>
      <c r="AI2798" s="164"/>
    </row>
    <row r="2799">
      <c r="A2799" s="154"/>
      <c r="B2799" s="155"/>
      <c r="C2799" s="156"/>
      <c r="D2799" s="156"/>
      <c r="E2799" s="155"/>
      <c r="F2799" s="156"/>
      <c r="G2799" s="154"/>
      <c r="H2799" s="157"/>
      <c r="I2799" s="158"/>
      <c r="J2799" s="159"/>
      <c r="K2799" s="156"/>
      <c r="L2799" s="156"/>
      <c r="M2799" s="155"/>
      <c r="N2799" s="160"/>
      <c r="O2799" s="161"/>
      <c r="P2799" s="161"/>
      <c r="Q2799" s="203"/>
      <c r="R2799" s="162"/>
      <c r="S2799" s="162"/>
      <c r="T2799" s="162"/>
      <c r="U2799" s="163"/>
      <c r="V2799" s="154"/>
      <c r="W2799" s="164"/>
      <c r="X2799" s="164"/>
      <c r="Y2799" s="164"/>
      <c r="Z2799" s="164"/>
      <c r="AA2799" s="164"/>
      <c r="AB2799" s="164"/>
      <c r="AC2799" s="164"/>
      <c r="AD2799" s="164"/>
      <c r="AE2799" s="164"/>
      <c r="AF2799" s="164"/>
      <c r="AG2799" s="164"/>
      <c r="AH2799" s="164"/>
      <c r="AI2799" s="164"/>
    </row>
    <row r="2800">
      <c r="A2800" s="154"/>
      <c r="B2800" s="155"/>
      <c r="C2800" s="156"/>
      <c r="D2800" s="156"/>
      <c r="E2800" s="155"/>
      <c r="F2800" s="156"/>
      <c r="G2800" s="154"/>
      <c r="H2800" s="157"/>
      <c r="I2800" s="158"/>
      <c r="J2800" s="159"/>
      <c r="K2800" s="156"/>
      <c r="L2800" s="156"/>
      <c r="M2800" s="155"/>
      <c r="N2800" s="160"/>
      <c r="O2800" s="161"/>
      <c r="P2800" s="161"/>
      <c r="Q2800" s="203"/>
      <c r="R2800" s="162"/>
      <c r="S2800" s="162"/>
      <c r="T2800" s="162"/>
      <c r="U2800" s="163"/>
      <c r="V2800" s="154"/>
      <c r="W2800" s="164"/>
      <c r="X2800" s="164"/>
      <c r="Y2800" s="164"/>
      <c r="Z2800" s="164"/>
      <c r="AA2800" s="164"/>
      <c r="AB2800" s="164"/>
      <c r="AC2800" s="164"/>
      <c r="AD2800" s="164"/>
      <c r="AE2800" s="164"/>
      <c r="AF2800" s="164"/>
      <c r="AG2800" s="164"/>
      <c r="AH2800" s="164"/>
      <c r="AI2800" s="164"/>
    </row>
    <row r="2801">
      <c r="A2801" s="154"/>
      <c r="B2801" s="155"/>
      <c r="C2801" s="156"/>
      <c r="D2801" s="156"/>
      <c r="E2801" s="155"/>
      <c r="F2801" s="156"/>
      <c r="G2801" s="154"/>
      <c r="H2801" s="157"/>
      <c r="I2801" s="158"/>
      <c r="J2801" s="159"/>
      <c r="K2801" s="156"/>
      <c r="L2801" s="156"/>
      <c r="M2801" s="155"/>
      <c r="N2801" s="160"/>
      <c r="O2801" s="161"/>
      <c r="P2801" s="161"/>
      <c r="Q2801" s="203"/>
      <c r="R2801" s="162"/>
      <c r="S2801" s="162"/>
      <c r="T2801" s="162"/>
      <c r="U2801" s="163"/>
      <c r="V2801" s="154"/>
      <c r="W2801" s="164"/>
      <c r="X2801" s="164"/>
      <c r="Y2801" s="164"/>
      <c r="Z2801" s="164"/>
      <c r="AA2801" s="164"/>
      <c r="AB2801" s="164"/>
      <c r="AC2801" s="164"/>
      <c r="AD2801" s="164"/>
      <c r="AE2801" s="164"/>
      <c r="AF2801" s="164"/>
      <c r="AG2801" s="164"/>
      <c r="AH2801" s="164"/>
      <c r="AI2801" s="164"/>
    </row>
    <row r="2802">
      <c r="A2802" s="154"/>
      <c r="B2802" s="155"/>
      <c r="C2802" s="156"/>
      <c r="D2802" s="156"/>
      <c r="E2802" s="155"/>
      <c r="F2802" s="156"/>
      <c r="G2802" s="154"/>
      <c r="H2802" s="157"/>
      <c r="I2802" s="158"/>
      <c r="J2802" s="159"/>
      <c r="K2802" s="156"/>
      <c r="L2802" s="156"/>
      <c r="M2802" s="155"/>
      <c r="N2802" s="160"/>
      <c r="O2802" s="161"/>
      <c r="P2802" s="161"/>
      <c r="Q2802" s="203"/>
      <c r="R2802" s="162"/>
      <c r="S2802" s="162"/>
      <c r="T2802" s="162"/>
      <c r="U2802" s="163"/>
      <c r="V2802" s="154"/>
      <c r="W2802" s="164"/>
      <c r="X2802" s="164"/>
      <c r="Y2802" s="164"/>
      <c r="Z2802" s="164"/>
      <c r="AA2802" s="164"/>
      <c r="AB2802" s="164"/>
      <c r="AC2802" s="164"/>
      <c r="AD2802" s="164"/>
      <c r="AE2802" s="164"/>
      <c r="AF2802" s="164"/>
      <c r="AG2802" s="164"/>
      <c r="AH2802" s="164"/>
      <c r="AI2802" s="164"/>
    </row>
    <row r="2803">
      <c r="A2803" s="154"/>
      <c r="B2803" s="155"/>
      <c r="C2803" s="156"/>
      <c r="D2803" s="156"/>
      <c r="E2803" s="155"/>
      <c r="F2803" s="156"/>
      <c r="G2803" s="154"/>
      <c r="H2803" s="157"/>
      <c r="I2803" s="158"/>
      <c r="J2803" s="159"/>
      <c r="K2803" s="156"/>
      <c r="L2803" s="156"/>
      <c r="M2803" s="155"/>
      <c r="N2803" s="160"/>
      <c r="O2803" s="161"/>
      <c r="P2803" s="161"/>
      <c r="Q2803" s="203"/>
      <c r="R2803" s="162"/>
      <c r="S2803" s="162"/>
      <c r="T2803" s="162"/>
      <c r="U2803" s="163"/>
      <c r="V2803" s="154"/>
      <c r="W2803" s="164"/>
      <c r="X2803" s="164"/>
      <c r="Y2803" s="164"/>
      <c r="Z2803" s="164"/>
      <c r="AA2803" s="164"/>
      <c r="AB2803" s="164"/>
      <c r="AC2803" s="164"/>
      <c r="AD2803" s="164"/>
      <c r="AE2803" s="164"/>
      <c r="AF2803" s="164"/>
      <c r="AG2803" s="164"/>
      <c r="AH2803" s="164"/>
      <c r="AI2803" s="164"/>
    </row>
    <row r="2804">
      <c r="A2804" s="154"/>
      <c r="B2804" s="155"/>
      <c r="C2804" s="156"/>
      <c r="D2804" s="156"/>
      <c r="E2804" s="155"/>
      <c r="F2804" s="156"/>
      <c r="G2804" s="154"/>
      <c r="H2804" s="157"/>
      <c r="I2804" s="158"/>
      <c r="J2804" s="159"/>
      <c r="K2804" s="156"/>
      <c r="L2804" s="156"/>
      <c r="M2804" s="155"/>
      <c r="N2804" s="160"/>
      <c r="O2804" s="161"/>
      <c r="P2804" s="161"/>
      <c r="Q2804" s="203"/>
      <c r="R2804" s="162"/>
      <c r="S2804" s="162"/>
      <c r="T2804" s="162"/>
      <c r="U2804" s="163"/>
      <c r="V2804" s="154"/>
      <c r="W2804" s="164"/>
      <c r="X2804" s="164"/>
      <c r="Y2804" s="164"/>
      <c r="Z2804" s="164"/>
      <c r="AA2804" s="164"/>
      <c r="AB2804" s="164"/>
      <c r="AC2804" s="164"/>
      <c r="AD2804" s="164"/>
      <c r="AE2804" s="164"/>
      <c r="AF2804" s="164"/>
      <c r="AG2804" s="164"/>
      <c r="AH2804" s="164"/>
      <c r="AI2804" s="164"/>
    </row>
    <row r="2805">
      <c r="A2805" s="154"/>
      <c r="B2805" s="155"/>
      <c r="C2805" s="156"/>
      <c r="D2805" s="156"/>
      <c r="E2805" s="155"/>
      <c r="F2805" s="156"/>
      <c r="G2805" s="154"/>
      <c r="H2805" s="157"/>
      <c r="I2805" s="158"/>
      <c r="J2805" s="159"/>
      <c r="K2805" s="156"/>
      <c r="L2805" s="156"/>
      <c r="M2805" s="155"/>
      <c r="N2805" s="160"/>
      <c r="O2805" s="161"/>
      <c r="P2805" s="161"/>
      <c r="Q2805" s="203"/>
      <c r="R2805" s="162"/>
      <c r="S2805" s="162"/>
      <c r="T2805" s="162"/>
      <c r="U2805" s="163"/>
      <c r="V2805" s="154"/>
      <c r="W2805" s="164"/>
      <c r="X2805" s="164"/>
      <c r="Y2805" s="164"/>
      <c r="Z2805" s="164"/>
      <c r="AA2805" s="164"/>
      <c r="AB2805" s="164"/>
      <c r="AC2805" s="164"/>
      <c r="AD2805" s="164"/>
      <c r="AE2805" s="164"/>
      <c r="AF2805" s="164"/>
      <c r="AG2805" s="164"/>
      <c r="AH2805" s="164"/>
      <c r="AI2805" s="164"/>
    </row>
    <row r="2806">
      <c r="A2806" s="154"/>
      <c r="B2806" s="155"/>
      <c r="C2806" s="156"/>
      <c r="D2806" s="156"/>
      <c r="E2806" s="155"/>
      <c r="F2806" s="156"/>
      <c r="G2806" s="154"/>
      <c r="H2806" s="157"/>
      <c r="I2806" s="158"/>
      <c r="J2806" s="159"/>
      <c r="K2806" s="156"/>
      <c r="L2806" s="156"/>
      <c r="M2806" s="155"/>
      <c r="N2806" s="160"/>
      <c r="O2806" s="161"/>
      <c r="P2806" s="161"/>
      <c r="Q2806" s="159"/>
      <c r="R2806" s="162"/>
      <c r="S2806" s="162"/>
      <c r="T2806" s="162"/>
      <c r="U2806" s="163"/>
      <c r="V2806" s="154"/>
      <c r="W2806" s="164"/>
      <c r="X2806" s="164"/>
      <c r="Y2806" s="164"/>
      <c r="Z2806" s="164"/>
      <c r="AA2806" s="164"/>
      <c r="AB2806" s="164"/>
      <c r="AC2806" s="164"/>
      <c r="AD2806" s="164"/>
      <c r="AE2806" s="164"/>
      <c r="AF2806" s="164"/>
      <c r="AG2806" s="164"/>
      <c r="AH2806" s="164"/>
      <c r="AI2806" s="164"/>
    </row>
    <row r="2807">
      <c r="A2807" s="154"/>
      <c r="B2807" s="155"/>
      <c r="C2807" s="156"/>
      <c r="D2807" s="156"/>
      <c r="E2807" s="155"/>
      <c r="F2807" s="156"/>
      <c r="G2807" s="154"/>
      <c r="H2807" s="157"/>
      <c r="I2807" s="158"/>
      <c r="J2807" s="159"/>
      <c r="K2807" s="156"/>
      <c r="L2807" s="156"/>
      <c r="M2807" s="155"/>
      <c r="N2807" s="160"/>
      <c r="O2807" s="161"/>
      <c r="P2807" s="161"/>
      <c r="Q2807" s="203"/>
      <c r="R2807" s="162"/>
      <c r="S2807" s="162"/>
      <c r="T2807" s="162"/>
      <c r="U2807" s="163"/>
      <c r="V2807" s="154"/>
      <c r="W2807" s="164"/>
      <c r="X2807" s="164"/>
      <c r="Y2807" s="164"/>
      <c r="Z2807" s="164"/>
      <c r="AA2807" s="164"/>
      <c r="AB2807" s="164"/>
      <c r="AC2807" s="164"/>
      <c r="AD2807" s="164"/>
      <c r="AE2807" s="164"/>
      <c r="AF2807" s="164"/>
      <c r="AG2807" s="164"/>
      <c r="AH2807" s="164"/>
      <c r="AI2807" s="164"/>
    </row>
    <row r="2808">
      <c r="A2808" s="154"/>
      <c r="B2808" s="155"/>
      <c r="C2808" s="156"/>
      <c r="D2808" s="156"/>
      <c r="E2808" s="155"/>
      <c r="F2808" s="156"/>
      <c r="G2808" s="154"/>
      <c r="H2808" s="157"/>
      <c r="I2808" s="158"/>
      <c r="J2808" s="159"/>
      <c r="K2808" s="156"/>
      <c r="L2808" s="156"/>
      <c r="M2808" s="202"/>
      <c r="N2808" s="160"/>
      <c r="O2808" s="161"/>
      <c r="P2808" s="161"/>
      <c r="Q2808" s="203"/>
      <c r="R2808" s="162"/>
      <c r="S2808" s="162"/>
      <c r="T2808" s="162"/>
      <c r="U2808" s="163"/>
      <c r="V2808" s="154"/>
      <c r="W2808" s="164"/>
      <c r="X2808" s="164"/>
      <c r="Y2808" s="164"/>
      <c r="Z2808" s="164"/>
      <c r="AA2808" s="164"/>
      <c r="AB2808" s="164"/>
      <c r="AC2808" s="164"/>
      <c r="AD2808" s="164"/>
      <c r="AE2808" s="164"/>
      <c r="AF2808" s="164"/>
      <c r="AG2808" s="164"/>
      <c r="AH2808" s="164"/>
      <c r="AI2808" s="164"/>
    </row>
    <row r="2809">
      <c r="A2809" s="154"/>
      <c r="B2809" s="155"/>
      <c r="C2809" s="156"/>
      <c r="D2809" s="156"/>
      <c r="E2809" s="155"/>
      <c r="F2809" s="156"/>
      <c r="G2809" s="154"/>
      <c r="H2809" s="157"/>
      <c r="I2809" s="158"/>
      <c r="J2809" s="159"/>
      <c r="K2809" s="156"/>
      <c r="L2809" s="156"/>
      <c r="M2809" s="155"/>
      <c r="N2809" s="160"/>
      <c r="O2809" s="161"/>
      <c r="P2809" s="161"/>
      <c r="Q2809" s="203"/>
      <c r="R2809" s="162"/>
      <c r="S2809" s="162"/>
      <c r="T2809" s="162"/>
      <c r="U2809" s="163"/>
      <c r="V2809" s="154"/>
      <c r="W2809" s="164"/>
      <c r="X2809" s="164"/>
      <c r="Y2809" s="164"/>
      <c r="Z2809" s="164"/>
      <c r="AA2809" s="164"/>
      <c r="AB2809" s="164"/>
      <c r="AC2809" s="164"/>
      <c r="AD2809" s="164"/>
      <c r="AE2809" s="164"/>
      <c r="AF2809" s="164"/>
      <c r="AG2809" s="164"/>
      <c r="AH2809" s="164"/>
      <c r="AI2809" s="164"/>
    </row>
    <row r="2810">
      <c r="A2810" s="154"/>
      <c r="B2810" s="155"/>
      <c r="C2810" s="156"/>
      <c r="D2810" s="156"/>
      <c r="E2810" s="155"/>
      <c r="F2810" s="156"/>
      <c r="G2810" s="154"/>
      <c r="H2810" s="157"/>
      <c r="I2810" s="158"/>
      <c r="J2810" s="159"/>
      <c r="K2810" s="156"/>
      <c r="L2810" s="156"/>
      <c r="M2810" s="155"/>
      <c r="N2810" s="160"/>
      <c r="O2810" s="161"/>
      <c r="P2810" s="161"/>
      <c r="Q2810" s="203"/>
      <c r="R2810" s="162"/>
      <c r="S2810" s="162"/>
      <c r="T2810" s="162"/>
      <c r="U2810" s="163"/>
      <c r="V2810" s="154"/>
      <c r="W2810" s="164"/>
      <c r="X2810" s="164"/>
      <c r="Y2810" s="164"/>
      <c r="Z2810" s="164"/>
      <c r="AA2810" s="164"/>
      <c r="AB2810" s="164"/>
      <c r="AC2810" s="164"/>
      <c r="AD2810" s="164"/>
      <c r="AE2810" s="164"/>
      <c r="AF2810" s="164"/>
      <c r="AG2810" s="164"/>
      <c r="AH2810" s="164"/>
      <c r="AI2810" s="164"/>
    </row>
    <row r="2811">
      <c r="A2811" s="154"/>
      <c r="B2811" s="155"/>
      <c r="C2811" s="156"/>
      <c r="D2811" s="156"/>
      <c r="E2811" s="155"/>
      <c r="F2811" s="156"/>
      <c r="G2811" s="154"/>
      <c r="H2811" s="157"/>
      <c r="I2811" s="158"/>
      <c r="J2811" s="159"/>
      <c r="K2811" s="156"/>
      <c r="L2811" s="156"/>
      <c r="M2811" s="202"/>
      <c r="N2811" s="160"/>
      <c r="O2811" s="161"/>
      <c r="P2811" s="161"/>
      <c r="Q2811" s="203"/>
      <c r="R2811" s="162"/>
      <c r="S2811" s="162"/>
      <c r="T2811" s="162"/>
      <c r="U2811" s="163"/>
      <c r="V2811" s="154"/>
      <c r="W2811" s="164"/>
      <c r="X2811" s="164"/>
      <c r="Y2811" s="164"/>
      <c r="Z2811" s="164"/>
      <c r="AA2811" s="164"/>
      <c r="AB2811" s="164"/>
      <c r="AC2811" s="164"/>
      <c r="AD2811" s="164"/>
      <c r="AE2811" s="164"/>
      <c r="AF2811" s="164"/>
      <c r="AG2811" s="164"/>
      <c r="AH2811" s="164"/>
      <c r="AI2811" s="164"/>
    </row>
    <row r="2812">
      <c r="A2812" s="154"/>
      <c r="B2812" s="155"/>
      <c r="C2812" s="156"/>
      <c r="D2812" s="156"/>
      <c r="E2812" s="155"/>
      <c r="F2812" s="156"/>
      <c r="G2812" s="154"/>
      <c r="H2812" s="157"/>
      <c r="I2812" s="158"/>
      <c r="J2812" s="159"/>
      <c r="K2812" s="156"/>
      <c r="L2812" s="156"/>
      <c r="M2812" s="155"/>
      <c r="N2812" s="160"/>
      <c r="O2812" s="161"/>
      <c r="P2812" s="161"/>
      <c r="Q2812" s="159"/>
      <c r="R2812" s="162"/>
      <c r="S2812" s="162"/>
      <c r="T2812" s="162"/>
      <c r="U2812" s="163"/>
      <c r="V2812" s="154"/>
      <c r="W2812" s="164"/>
      <c r="X2812" s="164"/>
      <c r="Y2812" s="164"/>
      <c r="Z2812" s="164"/>
      <c r="AA2812" s="164"/>
      <c r="AB2812" s="164"/>
      <c r="AC2812" s="164"/>
      <c r="AD2812" s="164"/>
      <c r="AE2812" s="164"/>
      <c r="AF2812" s="164"/>
      <c r="AG2812" s="164"/>
      <c r="AH2812" s="164"/>
      <c r="AI2812" s="164"/>
    </row>
    <row r="2813">
      <c r="A2813" s="154"/>
      <c r="B2813" s="155"/>
      <c r="C2813" s="156"/>
      <c r="D2813" s="156"/>
      <c r="E2813" s="155"/>
      <c r="F2813" s="156"/>
      <c r="G2813" s="154"/>
      <c r="H2813" s="157"/>
      <c r="I2813" s="158"/>
      <c r="J2813" s="159"/>
      <c r="K2813" s="156"/>
      <c r="L2813" s="156"/>
      <c r="M2813" s="155"/>
      <c r="N2813" s="160"/>
      <c r="O2813" s="161"/>
      <c r="P2813" s="161"/>
      <c r="Q2813" s="203"/>
      <c r="R2813" s="162"/>
      <c r="S2813" s="162"/>
      <c r="T2813" s="162"/>
      <c r="U2813" s="163"/>
      <c r="V2813" s="154"/>
      <c r="W2813" s="164"/>
      <c r="X2813" s="164"/>
      <c r="Y2813" s="164"/>
      <c r="Z2813" s="164"/>
      <c r="AA2813" s="164"/>
      <c r="AB2813" s="164"/>
      <c r="AC2813" s="164"/>
      <c r="AD2813" s="164"/>
      <c r="AE2813" s="164"/>
      <c r="AF2813" s="164"/>
      <c r="AG2813" s="164"/>
      <c r="AH2813" s="164"/>
      <c r="AI2813" s="164"/>
    </row>
    <row r="2814">
      <c r="A2814" s="154"/>
      <c r="B2814" s="155"/>
      <c r="C2814" s="156"/>
      <c r="D2814" s="156"/>
      <c r="E2814" s="155"/>
      <c r="F2814" s="156"/>
      <c r="G2814" s="154"/>
      <c r="H2814" s="157"/>
      <c r="I2814" s="158"/>
      <c r="J2814" s="159"/>
      <c r="K2814" s="156"/>
      <c r="L2814" s="156"/>
      <c r="M2814" s="155"/>
      <c r="N2814" s="160"/>
      <c r="O2814" s="161"/>
      <c r="P2814" s="161"/>
      <c r="Q2814" s="203"/>
      <c r="R2814" s="162"/>
      <c r="S2814" s="162"/>
      <c r="T2814" s="162"/>
      <c r="U2814" s="163"/>
      <c r="V2814" s="154"/>
      <c r="W2814" s="164"/>
      <c r="X2814" s="164"/>
      <c r="Y2814" s="164"/>
      <c r="Z2814" s="164"/>
      <c r="AA2814" s="164"/>
      <c r="AB2814" s="164"/>
      <c r="AC2814" s="164"/>
      <c r="AD2814" s="164"/>
      <c r="AE2814" s="164"/>
      <c r="AF2814" s="164"/>
      <c r="AG2814" s="164"/>
      <c r="AH2814" s="164"/>
      <c r="AI2814" s="164"/>
    </row>
    <row r="2815">
      <c r="A2815" s="154"/>
      <c r="B2815" s="155"/>
      <c r="C2815" s="156"/>
      <c r="D2815" s="156"/>
      <c r="E2815" s="155"/>
      <c r="F2815" s="156"/>
      <c r="G2815" s="154"/>
      <c r="H2815" s="157"/>
      <c r="I2815" s="158"/>
      <c r="J2815" s="159"/>
      <c r="K2815" s="156"/>
      <c r="L2815" s="156"/>
      <c r="M2815" s="155"/>
      <c r="N2815" s="160"/>
      <c r="O2815" s="161"/>
      <c r="P2815" s="161"/>
      <c r="Q2815" s="203"/>
      <c r="R2815" s="162"/>
      <c r="S2815" s="162"/>
      <c r="T2815" s="162"/>
      <c r="U2815" s="163"/>
      <c r="V2815" s="154"/>
      <c r="W2815" s="164"/>
      <c r="X2815" s="164"/>
      <c r="Y2815" s="164"/>
      <c r="Z2815" s="164"/>
      <c r="AA2815" s="164"/>
      <c r="AB2815" s="164"/>
      <c r="AC2815" s="164"/>
      <c r="AD2815" s="164"/>
      <c r="AE2815" s="164"/>
      <c r="AF2815" s="164"/>
      <c r="AG2815" s="164"/>
      <c r="AH2815" s="164"/>
      <c r="AI2815" s="164"/>
    </row>
    <row r="2816">
      <c r="A2816" s="154"/>
      <c r="B2816" s="155"/>
      <c r="C2816" s="156"/>
      <c r="D2816" s="156"/>
      <c r="E2816" s="155"/>
      <c r="F2816" s="156"/>
      <c r="G2816" s="154"/>
      <c r="H2816" s="157"/>
      <c r="I2816" s="158"/>
      <c r="J2816" s="159"/>
      <c r="K2816" s="156"/>
      <c r="L2816" s="156"/>
      <c r="M2816" s="155"/>
      <c r="N2816" s="160"/>
      <c r="O2816" s="161"/>
      <c r="P2816" s="161"/>
      <c r="Q2816" s="203"/>
      <c r="R2816" s="162"/>
      <c r="S2816" s="162"/>
      <c r="T2816" s="162"/>
      <c r="U2816" s="163"/>
      <c r="V2816" s="154"/>
      <c r="W2816" s="164"/>
      <c r="X2816" s="164"/>
      <c r="Y2816" s="164"/>
      <c r="Z2816" s="164"/>
      <c r="AA2816" s="164"/>
      <c r="AB2816" s="164"/>
      <c r="AC2816" s="164"/>
      <c r="AD2816" s="164"/>
      <c r="AE2816" s="164"/>
      <c r="AF2816" s="164"/>
      <c r="AG2816" s="164"/>
      <c r="AH2816" s="164"/>
      <c r="AI2816" s="164"/>
    </row>
    <row r="2817">
      <c r="A2817" s="154"/>
      <c r="B2817" s="155"/>
      <c r="C2817" s="156"/>
      <c r="D2817" s="156"/>
      <c r="E2817" s="155"/>
      <c r="F2817" s="156"/>
      <c r="G2817" s="154"/>
      <c r="H2817" s="157"/>
      <c r="I2817" s="158"/>
      <c r="J2817" s="159"/>
      <c r="K2817" s="156"/>
      <c r="L2817" s="156"/>
      <c r="M2817" s="155"/>
      <c r="N2817" s="160"/>
      <c r="O2817" s="161"/>
      <c r="P2817" s="161"/>
      <c r="Q2817" s="203"/>
      <c r="R2817" s="162"/>
      <c r="S2817" s="162"/>
      <c r="T2817" s="162"/>
      <c r="U2817" s="163"/>
      <c r="V2817" s="154"/>
      <c r="W2817" s="164"/>
      <c r="X2817" s="164"/>
      <c r="Y2817" s="164"/>
      <c r="Z2817" s="164"/>
      <c r="AA2817" s="164"/>
      <c r="AB2817" s="164"/>
      <c r="AC2817" s="164"/>
      <c r="AD2817" s="164"/>
      <c r="AE2817" s="164"/>
      <c r="AF2817" s="164"/>
      <c r="AG2817" s="164"/>
      <c r="AH2817" s="164"/>
      <c r="AI2817" s="164"/>
    </row>
    <row r="2818">
      <c r="A2818" s="154"/>
      <c r="B2818" s="155"/>
      <c r="C2818" s="156"/>
      <c r="D2818" s="156"/>
      <c r="E2818" s="155"/>
      <c r="F2818" s="156"/>
      <c r="G2818" s="154"/>
      <c r="H2818" s="157"/>
      <c r="I2818" s="158"/>
      <c r="J2818" s="159"/>
      <c r="K2818" s="156"/>
      <c r="L2818" s="156"/>
      <c r="M2818" s="155"/>
      <c r="N2818" s="160"/>
      <c r="O2818" s="161"/>
      <c r="P2818" s="161"/>
      <c r="Q2818" s="159"/>
      <c r="R2818" s="162"/>
      <c r="S2818" s="162"/>
      <c r="T2818" s="162"/>
      <c r="U2818" s="163"/>
      <c r="V2818" s="154"/>
      <c r="W2818" s="164"/>
      <c r="X2818" s="164"/>
      <c r="Y2818" s="164"/>
      <c r="Z2818" s="164"/>
      <c r="AA2818" s="164"/>
      <c r="AB2818" s="164"/>
      <c r="AC2818" s="164"/>
      <c r="AD2818" s="164"/>
      <c r="AE2818" s="164"/>
      <c r="AF2818" s="164"/>
      <c r="AG2818" s="164"/>
      <c r="AH2818" s="164"/>
      <c r="AI2818" s="164"/>
    </row>
    <row r="2819">
      <c r="A2819" s="154"/>
      <c r="B2819" s="155"/>
      <c r="C2819" s="156"/>
      <c r="D2819" s="156"/>
      <c r="E2819" s="155"/>
      <c r="F2819" s="156"/>
      <c r="G2819" s="154"/>
      <c r="H2819" s="157"/>
      <c r="I2819" s="158"/>
      <c r="J2819" s="159"/>
      <c r="K2819" s="156"/>
      <c r="L2819" s="156"/>
      <c r="M2819" s="155"/>
      <c r="N2819" s="160"/>
      <c r="O2819" s="161"/>
      <c r="P2819" s="161"/>
      <c r="Q2819" s="203"/>
      <c r="R2819" s="162"/>
      <c r="S2819" s="162"/>
      <c r="T2819" s="162"/>
      <c r="U2819" s="163"/>
      <c r="V2819" s="154"/>
      <c r="W2819" s="164"/>
      <c r="X2819" s="164"/>
      <c r="Y2819" s="164"/>
      <c r="Z2819" s="164"/>
      <c r="AA2819" s="164"/>
      <c r="AB2819" s="164"/>
      <c r="AC2819" s="164"/>
      <c r="AD2819" s="164"/>
      <c r="AE2819" s="164"/>
      <c r="AF2819" s="164"/>
      <c r="AG2819" s="164"/>
      <c r="AH2819" s="164"/>
      <c r="AI2819" s="164"/>
    </row>
    <row r="2820">
      <c r="A2820" s="154"/>
      <c r="B2820" s="155"/>
      <c r="C2820" s="156"/>
      <c r="D2820" s="156"/>
      <c r="E2820" s="155"/>
      <c r="F2820" s="156"/>
      <c r="G2820" s="154"/>
      <c r="H2820" s="157"/>
      <c r="I2820" s="158"/>
      <c r="J2820" s="159"/>
      <c r="K2820" s="156"/>
      <c r="L2820" s="156"/>
      <c r="M2820" s="155"/>
      <c r="N2820" s="160"/>
      <c r="O2820" s="161"/>
      <c r="P2820" s="161"/>
      <c r="Q2820" s="203"/>
      <c r="R2820" s="162"/>
      <c r="S2820" s="162"/>
      <c r="T2820" s="162"/>
      <c r="U2820" s="163"/>
      <c r="V2820" s="154"/>
      <c r="W2820" s="164"/>
      <c r="X2820" s="164"/>
      <c r="Y2820" s="164"/>
      <c r="Z2820" s="164"/>
      <c r="AA2820" s="164"/>
      <c r="AB2820" s="164"/>
      <c r="AC2820" s="164"/>
      <c r="AD2820" s="164"/>
      <c r="AE2820" s="164"/>
      <c r="AF2820" s="164"/>
      <c r="AG2820" s="164"/>
      <c r="AH2820" s="164"/>
      <c r="AI2820" s="164"/>
    </row>
    <row r="2821">
      <c r="A2821" s="154"/>
      <c r="B2821" s="155"/>
      <c r="C2821" s="156"/>
      <c r="D2821" s="156"/>
      <c r="E2821" s="155"/>
      <c r="F2821" s="156"/>
      <c r="G2821" s="154"/>
      <c r="H2821" s="157"/>
      <c r="I2821" s="158"/>
      <c r="J2821" s="159"/>
      <c r="K2821" s="156"/>
      <c r="L2821" s="156"/>
      <c r="M2821" s="202"/>
      <c r="N2821" s="160"/>
      <c r="O2821" s="161"/>
      <c r="P2821" s="161"/>
      <c r="Q2821" s="203"/>
      <c r="R2821" s="162"/>
      <c r="S2821" s="162"/>
      <c r="T2821" s="173"/>
      <c r="U2821" s="174"/>
      <c r="V2821" s="210"/>
      <c r="W2821" s="164"/>
      <c r="X2821" s="164"/>
      <c r="Y2821" s="164"/>
      <c r="Z2821" s="164"/>
      <c r="AA2821" s="164"/>
      <c r="AB2821" s="164"/>
      <c r="AC2821" s="164"/>
      <c r="AD2821" s="164"/>
      <c r="AE2821" s="164"/>
      <c r="AF2821" s="164"/>
      <c r="AG2821" s="164"/>
      <c r="AH2821" s="164"/>
      <c r="AI2821" s="164"/>
    </row>
    <row r="2822">
      <c r="A2822" s="154"/>
      <c r="B2822" s="155"/>
      <c r="C2822" s="156"/>
      <c r="D2822" s="156"/>
      <c r="E2822" s="155"/>
      <c r="F2822" s="156"/>
      <c r="G2822" s="154"/>
      <c r="H2822" s="157"/>
      <c r="I2822" s="158"/>
      <c r="J2822" s="159"/>
      <c r="K2822" s="156"/>
      <c r="L2822" s="156"/>
      <c r="M2822" s="202"/>
      <c r="N2822" s="160"/>
      <c r="O2822" s="161"/>
      <c r="P2822" s="161"/>
      <c r="Q2822" s="203"/>
      <c r="R2822" s="162"/>
      <c r="S2822" s="162"/>
      <c r="T2822" s="162"/>
      <c r="U2822" s="163"/>
      <c r="V2822" s="154"/>
      <c r="W2822" s="164"/>
      <c r="X2822" s="164"/>
      <c r="Y2822" s="164"/>
      <c r="Z2822" s="164"/>
      <c r="AA2822" s="164"/>
      <c r="AB2822" s="164"/>
      <c r="AC2822" s="164"/>
      <c r="AD2822" s="164"/>
      <c r="AE2822" s="164"/>
      <c r="AF2822" s="164"/>
      <c r="AG2822" s="164"/>
      <c r="AH2822" s="164"/>
      <c r="AI2822" s="164"/>
    </row>
    <row r="2823">
      <c r="A2823" s="154"/>
      <c r="B2823" s="155"/>
      <c r="C2823" s="156"/>
      <c r="D2823" s="156"/>
      <c r="E2823" s="155"/>
      <c r="F2823" s="156"/>
      <c r="G2823" s="154"/>
      <c r="H2823" s="157"/>
      <c r="I2823" s="158"/>
      <c r="J2823" s="159"/>
      <c r="K2823" s="156"/>
      <c r="L2823" s="156"/>
      <c r="M2823" s="155"/>
      <c r="N2823" s="160"/>
      <c r="O2823" s="161"/>
      <c r="P2823" s="161"/>
      <c r="Q2823" s="203"/>
      <c r="R2823" s="162"/>
      <c r="S2823" s="162"/>
      <c r="T2823" s="162"/>
      <c r="U2823" s="163"/>
      <c r="V2823" s="154"/>
      <c r="W2823" s="164"/>
      <c r="X2823" s="164"/>
      <c r="Y2823" s="164"/>
      <c r="Z2823" s="164"/>
      <c r="AA2823" s="164"/>
      <c r="AB2823" s="164"/>
      <c r="AC2823" s="164"/>
      <c r="AD2823" s="164"/>
      <c r="AE2823" s="164"/>
      <c r="AF2823" s="164"/>
      <c r="AG2823" s="164"/>
      <c r="AH2823" s="164"/>
      <c r="AI2823" s="164"/>
    </row>
    <row r="2824">
      <c r="A2824" s="154"/>
      <c r="B2824" s="155"/>
      <c r="C2824" s="156"/>
      <c r="D2824" s="156"/>
      <c r="E2824" s="155"/>
      <c r="F2824" s="156"/>
      <c r="G2824" s="154"/>
      <c r="H2824" s="157"/>
      <c r="I2824" s="158"/>
      <c r="J2824" s="159"/>
      <c r="K2824" s="156"/>
      <c r="L2824" s="156"/>
      <c r="M2824" s="155"/>
      <c r="N2824" s="160"/>
      <c r="O2824" s="161"/>
      <c r="P2824" s="161"/>
      <c r="Q2824" s="203"/>
      <c r="R2824" s="162"/>
      <c r="S2824" s="162"/>
      <c r="T2824" s="162"/>
      <c r="U2824" s="163"/>
      <c r="V2824" s="154"/>
      <c r="W2824" s="164"/>
      <c r="X2824" s="164"/>
      <c r="Y2824" s="164"/>
      <c r="Z2824" s="164"/>
      <c r="AA2824" s="164"/>
      <c r="AB2824" s="164"/>
      <c r="AC2824" s="164"/>
      <c r="AD2824" s="164"/>
      <c r="AE2824" s="164"/>
      <c r="AF2824" s="164"/>
      <c r="AG2824" s="164"/>
      <c r="AH2824" s="164"/>
      <c r="AI2824" s="164"/>
    </row>
    <row r="2825">
      <c r="A2825" s="154"/>
      <c r="B2825" s="155"/>
      <c r="C2825" s="156"/>
      <c r="D2825" s="156"/>
      <c r="E2825" s="155"/>
      <c r="F2825" s="156"/>
      <c r="G2825" s="154"/>
      <c r="H2825" s="157"/>
      <c r="I2825" s="158"/>
      <c r="J2825" s="159"/>
      <c r="K2825" s="156"/>
      <c r="L2825" s="156"/>
      <c r="M2825" s="155"/>
      <c r="N2825" s="160"/>
      <c r="O2825" s="161"/>
      <c r="P2825" s="161"/>
      <c r="Q2825" s="203"/>
      <c r="R2825" s="162"/>
      <c r="S2825" s="162"/>
      <c r="T2825" s="162"/>
      <c r="U2825" s="163"/>
      <c r="V2825" s="154"/>
      <c r="W2825" s="164"/>
      <c r="X2825" s="164"/>
      <c r="Y2825" s="164"/>
      <c r="Z2825" s="164"/>
      <c r="AA2825" s="164"/>
      <c r="AB2825" s="164"/>
      <c r="AC2825" s="164"/>
      <c r="AD2825" s="164"/>
      <c r="AE2825" s="164"/>
      <c r="AF2825" s="164"/>
      <c r="AG2825" s="164"/>
      <c r="AH2825" s="164"/>
      <c r="AI2825" s="164"/>
    </row>
    <row r="2826">
      <c r="A2826" s="154"/>
      <c r="B2826" s="155"/>
      <c r="C2826" s="156"/>
      <c r="D2826" s="156"/>
      <c r="E2826" s="155"/>
      <c r="F2826" s="156"/>
      <c r="G2826" s="154"/>
      <c r="H2826" s="157"/>
      <c r="I2826" s="158"/>
      <c r="J2826" s="159"/>
      <c r="K2826" s="156"/>
      <c r="L2826" s="156"/>
      <c r="M2826" s="155"/>
      <c r="N2826" s="160"/>
      <c r="O2826" s="161"/>
      <c r="P2826" s="161"/>
      <c r="Q2826" s="203"/>
      <c r="R2826" s="162"/>
      <c r="S2826" s="162"/>
      <c r="T2826" s="162"/>
      <c r="U2826" s="163"/>
      <c r="V2826" s="154"/>
      <c r="W2826" s="164"/>
      <c r="X2826" s="164"/>
      <c r="Y2826" s="164"/>
      <c r="Z2826" s="164"/>
      <c r="AA2826" s="164"/>
      <c r="AB2826" s="164"/>
      <c r="AC2826" s="164"/>
      <c r="AD2826" s="164"/>
      <c r="AE2826" s="164"/>
      <c r="AF2826" s="164"/>
      <c r="AG2826" s="164"/>
      <c r="AH2826" s="164"/>
      <c r="AI2826" s="164"/>
    </row>
    <row r="2827">
      <c r="A2827" s="154"/>
      <c r="B2827" s="155"/>
      <c r="C2827" s="156"/>
      <c r="D2827" s="156"/>
      <c r="E2827" s="155"/>
      <c r="F2827" s="156"/>
      <c r="G2827" s="154"/>
      <c r="H2827" s="157"/>
      <c r="I2827" s="158"/>
      <c r="J2827" s="159"/>
      <c r="K2827" s="156"/>
      <c r="L2827" s="156"/>
      <c r="M2827" s="202"/>
      <c r="N2827" s="160"/>
      <c r="O2827" s="161"/>
      <c r="P2827" s="161"/>
      <c r="Q2827" s="203"/>
      <c r="R2827" s="162"/>
      <c r="S2827" s="162"/>
      <c r="T2827" s="162"/>
      <c r="U2827" s="163"/>
      <c r="V2827" s="154"/>
      <c r="W2827" s="164"/>
      <c r="X2827" s="164"/>
      <c r="Y2827" s="164"/>
      <c r="Z2827" s="164"/>
      <c r="AA2827" s="164"/>
      <c r="AB2827" s="164"/>
      <c r="AC2827" s="164"/>
      <c r="AD2827" s="164"/>
      <c r="AE2827" s="164"/>
      <c r="AF2827" s="164"/>
      <c r="AG2827" s="164"/>
      <c r="AH2827" s="164"/>
      <c r="AI2827" s="164"/>
    </row>
    <row r="2828">
      <c r="A2828" s="154"/>
      <c r="B2828" s="155"/>
      <c r="C2828" s="156"/>
      <c r="D2828" s="156"/>
      <c r="E2828" s="155"/>
      <c r="F2828" s="156"/>
      <c r="G2828" s="154"/>
      <c r="H2828" s="157"/>
      <c r="I2828" s="158"/>
      <c r="J2828" s="159"/>
      <c r="K2828" s="156"/>
      <c r="L2828" s="156"/>
      <c r="M2828" s="155"/>
      <c r="N2828" s="160"/>
      <c r="O2828" s="161"/>
      <c r="P2828" s="161"/>
      <c r="Q2828" s="203"/>
      <c r="R2828" s="162"/>
      <c r="S2828" s="162"/>
      <c r="T2828" s="162"/>
      <c r="U2828" s="163"/>
      <c r="V2828" s="154"/>
      <c r="W2828" s="164"/>
      <c r="X2828" s="164"/>
      <c r="Y2828" s="164"/>
      <c r="Z2828" s="164"/>
      <c r="AA2828" s="164"/>
      <c r="AB2828" s="164"/>
      <c r="AC2828" s="164"/>
      <c r="AD2828" s="164"/>
      <c r="AE2828" s="164"/>
      <c r="AF2828" s="164"/>
      <c r="AG2828" s="164"/>
      <c r="AH2828" s="164"/>
      <c r="AI2828" s="164"/>
    </row>
    <row r="2829">
      <c r="A2829" s="154"/>
      <c r="B2829" s="155"/>
      <c r="C2829" s="156"/>
      <c r="D2829" s="156"/>
      <c r="E2829" s="155"/>
      <c r="F2829" s="156"/>
      <c r="G2829" s="154"/>
      <c r="H2829" s="157"/>
      <c r="I2829" s="158"/>
      <c r="J2829" s="159"/>
      <c r="K2829" s="156"/>
      <c r="L2829" s="156"/>
      <c r="M2829" s="155"/>
      <c r="N2829" s="160"/>
      <c r="O2829" s="161"/>
      <c r="P2829" s="161"/>
      <c r="Q2829" s="159"/>
      <c r="R2829" s="162"/>
      <c r="S2829" s="162"/>
      <c r="T2829" s="162"/>
      <c r="U2829" s="163"/>
      <c r="V2829" s="154"/>
      <c r="W2829" s="164"/>
      <c r="X2829" s="164"/>
      <c r="Y2829" s="164"/>
      <c r="Z2829" s="164"/>
      <c r="AA2829" s="164"/>
      <c r="AB2829" s="164"/>
      <c r="AC2829" s="164"/>
      <c r="AD2829" s="164"/>
      <c r="AE2829" s="164"/>
      <c r="AF2829" s="164"/>
      <c r="AG2829" s="164"/>
      <c r="AH2829" s="164"/>
      <c r="AI2829" s="164"/>
    </row>
    <row r="2830">
      <c r="A2830" s="154"/>
      <c r="B2830" s="155"/>
      <c r="C2830" s="156"/>
      <c r="D2830" s="156"/>
      <c r="E2830" s="155"/>
      <c r="F2830" s="156"/>
      <c r="G2830" s="154"/>
      <c r="H2830" s="157"/>
      <c r="I2830" s="158"/>
      <c r="J2830" s="159"/>
      <c r="K2830" s="156"/>
      <c r="L2830" s="156"/>
      <c r="M2830" s="155"/>
      <c r="N2830" s="160"/>
      <c r="O2830" s="161"/>
      <c r="P2830" s="161"/>
      <c r="Q2830" s="203"/>
      <c r="R2830" s="162"/>
      <c r="S2830" s="162"/>
      <c r="T2830" s="186"/>
      <c r="U2830" s="187"/>
      <c r="V2830" s="189"/>
      <c r="W2830" s="164"/>
      <c r="X2830" s="164"/>
      <c r="Y2830" s="164"/>
      <c r="Z2830" s="164"/>
      <c r="AA2830" s="164"/>
      <c r="AB2830" s="164"/>
      <c r="AC2830" s="164"/>
      <c r="AD2830" s="164"/>
      <c r="AE2830" s="164"/>
      <c r="AF2830" s="164"/>
      <c r="AG2830" s="164"/>
      <c r="AH2830" s="164"/>
      <c r="AI2830" s="164"/>
    </row>
    <row r="2831">
      <c r="A2831" s="154"/>
      <c r="B2831" s="155"/>
      <c r="C2831" s="156"/>
      <c r="D2831" s="156"/>
      <c r="E2831" s="155"/>
      <c r="F2831" s="156"/>
      <c r="G2831" s="154"/>
      <c r="H2831" s="157"/>
      <c r="I2831" s="158"/>
      <c r="J2831" s="159"/>
      <c r="K2831" s="156"/>
      <c r="L2831" s="156"/>
      <c r="M2831" s="155"/>
      <c r="N2831" s="160"/>
      <c r="O2831" s="161"/>
      <c r="P2831" s="161"/>
      <c r="Q2831" s="203"/>
      <c r="R2831" s="162"/>
      <c r="S2831" s="162"/>
      <c r="T2831" s="162"/>
      <c r="U2831" s="163"/>
      <c r="V2831" s="154"/>
      <c r="W2831" s="164"/>
      <c r="X2831" s="164"/>
      <c r="Y2831" s="164"/>
      <c r="Z2831" s="164"/>
      <c r="AA2831" s="164"/>
      <c r="AB2831" s="164"/>
      <c r="AC2831" s="164"/>
      <c r="AD2831" s="164"/>
      <c r="AE2831" s="164"/>
      <c r="AF2831" s="164"/>
      <c r="AG2831" s="164"/>
      <c r="AH2831" s="164"/>
      <c r="AI2831" s="164"/>
    </row>
    <row r="2832">
      <c r="A2832" s="154"/>
      <c r="B2832" s="155"/>
      <c r="C2832" s="156"/>
      <c r="D2832" s="156"/>
      <c r="E2832" s="155"/>
      <c r="F2832" s="156"/>
      <c r="G2832" s="154"/>
      <c r="H2832" s="157"/>
      <c r="I2832" s="158"/>
      <c r="J2832" s="159"/>
      <c r="K2832" s="156"/>
      <c r="L2832" s="156"/>
      <c r="M2832" s="155"/>
      <c r="N2832" s="160"/>
      <c r="O2832" s="161"/>
      <c r="P2832" s="161"/>
      <c r="Q2832" s="203"/>
      <c r="R2832" s="162"/>
      <c r="S2832" s="162"/>
      <c r="T2832" s="162"/>
      <c r="U2832" s="163"/>
      <c r="V2832" s="154"/>
      <c r="W2832" s="164"/>
      <c r="X2832" s="164"/>
      <c r="Y2832" s="164"/>
      <c r="Z2832" s="164"/>
      <c r="AA2832" s="164"/>
      <c r="AB2832" s="164"/>
      <c r="AC2832" s="164"/>
      <c r="AD2832" s="164"/>
      <c r="AE2832" s="164"/>
      <c r="AF2832" s="164"/>
      <c r="AG2832" s="164"/>
      <c r="AH2832" s="164"/>
      <c r="AI2832" s="164"/>
    </row>
    <row r="2833">
      <c r="A2833" s="154"/>
      <c r="B2833" s="155"/>
      <c r="C2833" s="156"/>
      <c r="D2833" s="156"/>
      <c r="E2833" s="155"/>
      <c r="F2833" s="156"/>
      <c r="G2833" s="154"/>
      <c r="H2833" s="157"/>
      <c r="I2833" s="158"/>
      <c r="J2833" s="159"/>
      <c r="K2833" s="156"/>
      <c r="L2833" s="156"/>
      <c r="M2833" s="155"/>
      <c r="N2833" s="160"/>
      <c r="O2833" s="161"/>
      <c r="P2833" s="161"/>
      <c r="Q2833" s="203"/>
      <c r="R2833" s="162"/>
      <c r="S2833" s="162"/>
      <c r="T2833" s="162"/>
      <c r="U2833" s="163"/>
      <c r="V2833" s="154"/>
      <c r="W2833" s="164"/>
      <c r="X2833" s="164"/>
      <c r="Y2833" s="164"/>
      <c r="Z2833" s="164"/>
      <c r="AA2833" s="164"/>
      <c r="AB2833" s="164"/>
      <c r="AC2833" s="164"/>
      <c r="AD2833" s="164"/>
      <c r="AE2833" s="164"/>
      <c r="AF2833" s="164"/>
      <c r="AG2833" s="164"/>
      <c r="AH2833" s="164"/>
      <c r="AI2833" s="164"/>
    </row>
    <row r="2834">
      <c r="A2834" s="154"/>
      <c r="B2834" s="155"/>
      <c r="C2834" s="156"/>
      <c r="D2834" s="156"/>
      <c r="E2834" s="155"/>
      <c r="F2834" s="156"/>
      <c r="G2834" s="154"/>
      <c r="H2834" s="157"/>
      <c r="I2834" s="158"/>
      <c r="J2834" s="159"/>
      <c r="K2834" s="156"/>
      <c r="L2834" s="156"/>
      <c r="M2834" s="155"/>
      <c r="N2834" s="160"/>
      <c r="O2834" s="161"/>
      <c r="P2834" s="161"/>
      <c r="Q2834" s="203"/>
      <c r="R2834" s="162"/>
      <c r="S2834" s="162"/>
      <c r="T2834" s="162"/>
      <c r="U2834" s="163"/>
      <c r="V2834" s="154"/>
      <c r="W2834" s="164"/>
      <c r="X2834" s="164"/>
      <c r="Y2834" s="164"/>
      <c r="Z2834" s="164"/>
      <c r="AA2834" s="164"/>
      <c r="AB2834" s="164"/>
      <c r="AC2834" s="164"/>
      <c r="AD2834" s="164"/>
      <c r="AE2834" s="164"/>
      <c r="AF2834" s="164"/>
      <c r="AG2834" s="164"/>
      <c r="AH2834" s="164"/>
      <c r="AI2834" s="164"/>
    </row>
    <row r="2835">
      <c r="A2835" s="154"/>
      <c r="B2835" s="155"/>
      <c r="C2835" s="156"/>
      <c r="D2835" s="156"/>
      <c r="E2835" s="155"/>
      <c r="F2835" s="156"/>
      <c r="G2835" s="154"/>
      <c r="H2835" s="157"/>
      <c r="I2835" s="158"/>
      <c r="J2835" s="159"/>
      <c r="K2835" s="156"/>
      <c r="L2835" s="156"/>
      <c r="M2835" s="155"/>
      <c r="N2835" s="160"/>
      <c r="O2835" s="161"/>
      <c r="P2835" s="161"/>
      <c r="Q2835" s="203"/>
      <c r="R2835" s="162"/>
      <c r="S2835" s="162"/>
      <c r="T2835" s="162"/>
      <c r="U2835" s="163"/>
      <c r="V2835" s="154"/>
      <c r="W2835" s="164"/>
      <c r="X2835" s="164"/>
      <c r="Y2835" s="164"/>
      <c r="Z2835" s="164"/>
      <c r="AA2835" s="164"/>
      <c r="AB2835" s="164"/>
      <c r="AC2835" s="164"/>
      <c r="AD2835" s="164"/>
      <c r="AE2835" s="164"/>
      <c r="AF2835" s="164"/>
      <c r="AG2835" s="164"/>
      <c r="AH2835" s="164"/>
      <c r="AI2835" s="164"/>
    </row>
    <row r="2836">
      <c r="A2836" s="154"/>
      <c r="B2836" s="155"/>
      <c r="C2836" s="156"/>
      <c r="D2836" s="156"/>
      <c r="E2836" s="155"/>
      <c r="F2836" s="156"/>
      <c r="G2836" s="154"/>
      <c r="H2836" s="157"/>
      <c r="I2836" s="158"/>
      <c r="J2836" s="159"/>
      <c r="K2836" s="156"/>
      <c r="L2836" s="156"/>
      <c r="M2836" s="155"/>
      <c r="N2836" s="160"/>
      <c r="O2836" s="161"/>
      <c r="P2836" s="161"/>
      <c r="Q2836" s="203"/>
      <c r="R2836" s="162"/>
      <c r="S2836" s="162"/>
      <c r="T2836" s="162"/>
      <c r="U2836" s="163"/>
      <c r="V2836" s="154"/>
      <c r="W2836" s="164"/>
      <c r="X2836" s="164"/>
      <c r="Y2836" s="164"/>
      <c r="Z2836" s="164"/>
      <c r="AA2836" s="164"/>
      <c r="AB2836" s="164"/>
      <c r="AC2836" s="164"/>
      <c r="AD2836" s="164"/>
      <c r="AE2836" s="164"/>
      <c r="AF2836" s="164"/>
      <c r="AG2836" s="164"/>
      <c r="AH2836" s="164"/>
      <c r="AI2836" s="164"/>
    </row>
    <row r="2837">
      <c r="A2837" s="154"/>
      <c r="B2837" s="155"/>
      <c r="C2837" s="156"/>
      <c r="D2837" s="156"/>
      <c r="E2837" s="155"/>
      <c r="F2837" s="156"/>
      <c r="G2837" s="154"/>
      <c r="H2837" s="157"/>
      <c r="I2837" s="158"/>
      <c r="J2837" s="159"/>
      <c r="K2837" s="156"/>
      <c r="L2837" s="156"/>
      <c r="M2837" s="155"/>
      <c r="N2837" s="160"/>
      <c r="O2837" s="161"/>
      <c r="P2837" s="161"/>
      <c r="Q2837" s="159"/>
      <c r="R2837" s="162"/>
      <c r="S2837" s="162"/>
      <c r="T2837" s="162"/>
      <c r="U2837" s="163"/>
      <c r="V2837" s="154"/>
      <c r="W2837" s="164"/>
      <c r="X2837" s="164"/>
      <c r="Y2837" s="164"/>
      <c r="Z2837" s="164"/>
      <c r="AA2837" s="164"/>
      <c r="AB2837" s="164"/>
      <c r="AC2837" s="164"/>
      <c r="AD2837" s="164"/>
      <c r="AE2837" s="164"/>
      <c r="AF2837" s="164"/>
      <c r="AG2837" s="164"/>
      <c r="AH2837" s="164"/>
      <c r="AI2837" s="164"/>
    </row>
    <row r="2838">
      <c r="A2838" s="154"/>
      <c r="B2838" s="155"/>
      <c r="C2838" s="156"/>
      <c r="D2838" s="156"/>
      <c r="E2838" s="155"/>
      <c r="F2838" s="156"/>
      <c r="G2838" s="154"/>
      <c r="H2838" s="157"/>
      <c r="I2838" s="158"/>
      <c r="J2838" s="159"/>
      <c r="K2838" s="156"/>
      <c r="L2838" s="156"/>
      <c r="M2838" s="155"/>
      <c r="N2838" s="160"/>
      <c r="O2838" s="161"/>
      <c r="P2838" s="161"/>
      <c r="Q2838" s="203"/>
      <c r="R2838" s="162"/>
      <c r="S2838" s="162"/>
      <c r="T2838" s="162"/>
      <c r="U2838" s="163"/>
      <c r="V2838" s="154"/>
      <c r="W2838" s="164"/>
      <c r="X2838" s="164"/>
      <c r="Y2838" s="164"/>
      <c r="Z2838" s="164"/>
      <c r="AA2838" s="164"/>
      <c r="AB2838" s="164"/>
      <c r="AC2838" s="164"/>
      <c r="AD2838" s="164"/>
      <c r="AE2838" s="164"/>
      <c r="AF2838" s="164"/>
      <c r="AG2838" s="164"/>
      <c r="AH2838" s="164"/>
      <c r="AI2838" s="164"/>
    </row>
    <row r="2839">
      <c r="A2839" s="154"/>
      <c r="B2839" s="155"/>
      <c r="C2839" s="156"/>
      <c r="D2839" s="156"/>
      <c r="E2839" s="155"/>
      <c r="F2839" s="156"/>
      <c r="G2839" s="154"/>
      <c r="H2839" s="157"/>
      <c r="I2839" s="158"/>
      <c r="J2839" s="159"/>
      <c r="K2839" s="156"/>
      <c r="L2839" s="156"/>
      <c r="M2839" s="155"/>
      <c r="N2839" s="160"/>
      <c r="O2839" s="161"/>
      <c r="P2839" s="161"/>
      <c r="Q2839" s="203"/>
      <c r="R2839" s="162"/>
      <c r="S2839" s="162"/>
      <c r="T2839" s="162"/>
      <c r="U2839" s="163"/>
      <c r="V2839" s="154"/>
      <c r="W2839" s="164"/>
      <c r="X2839" s="164"/>
      <c r="Y2839" s="164"/>
      <c r="Z2839" s="164"/>
      <c r="AA2839" s="164"/>
      <c r="AB2839" s="164"/>
      <c r="AC2839" s="164"/>
      <c r="AD2839" s="164"/>
      <c r="AE2839" s="164"/>
      <c r="AF2839" s="164"/>
      <c r="AG2839" s="164"/>
      <c r="AH2839" s="164"/>
      <c r="AI2839" s="164"/>
    </row>
    <row r="2840">
      <c r="A2840" s="154"/>
      <c r="B2840" s="155"/>
      <c r="C2840" s="156"/>
      <c r="D2840" s="156"/>
      <c r="E2840" s="155"/>
      <c r="F2840" s="156"/>
      <c r="G2840" s="154"/>
      <c r="H2840" s="157"/>
      <c r="I2840" s="158"/>
      <c r="J2840" s="159"/>
      <c r="K2840" s="156"/>
      <c r="L2840" s="156"/>
      <c r="M2840" s="202"/>
      <c r="N2840" s="160"/>
      <c r="O2840" s="161"/>
      <c r="P2840" s="161"/>
      <c r="Q2840" s="203"/>
      <c r="R2840" s="162"/>
      <c r="S2840" s="162"/>
      <c r="T2840" s="162"/>
      <c r="U2840" s="163"/>
      <c r="V2840" s="154"/>
      <c r="W2840" s="164"/>
      <c r="X2840" s="164"/>
      <c r="Y2840" s="164"/>
      <c r="Z2840" s="164"/>
      <c r="AA2840" s="164"/>
      <c r="AB2840" s="164"/>
      <c r="AC2840" s="164"/>
      <c r="AD2840" s="164"/>
      <c r="AE2840" s="164"/>
      <c r="AF2840" s="164"/>
      <c r="AG2840" s="164"/>
      <c r="AH2840" s="164"/>
      <c r="AI2840" s="164"/>
    </row>
    <row r="2841">
      <c r="A2841" s="154"/>
      <c r="B2841" s="155"/>
      <c r="C2841" s="156"/>
      <c r="D2841" s="156"/>
      <c r="E2841" s="155"/>
      <c r="F2841" s="156"/>
      <c r="G2841" s="154"/>
      <c r="H2841" s="157"/>
      <c r="I2841" s="158"/>
      <c r="J2841" s="159"/>
      <c r="K2841" s="156"/>
      <c r="L2841" s="156"/>
      <c r="M2841" s="155"/>
      <c r="N2841" s="160"/>
      <c r="O2841" s="161"/>
      <c r="P2841" s="161"/>
      <c r="Q2841" s="159"/>
      <c r="R2841" s="162"/>
      <c r="S2841" s="162"/>
      <c r="T2841" s="162"/>
      <c r="U2841" s="163"/>
      <c r="V2841" s="154"/>
      <c r="W2841" s="164"/>
      <c r="X2841" s="164"/>
      <c r="Y2841" s="164"/>
      <c r="Z2841" s="164"/>
      <c r="AA2841" s="164"/>
      <c r="AB2841" s="164"/>
      <c r="AC2841" s="164"/>
      <c r="AD2841" s="164"/>
      <c r="AE2841" s="164"/>
      <c r="AF2841" s="164"/>
      <c r="AG2841" s="164"/>
      <c r="AH2841" s="164"/>
      <c r="AI2841" s="164"/>
    </row>
    <row r="2842">
      <c r="A2842" s="154"/>
      <c r="B2842" s="155"/>
      <c r="C2842" s="156"/>
      <c r="D2842" s="156"/>
      <c r="E2842" s="155"/>
      <c r="F2842" s="156"/>
      <c r="G2842" s="154"/>
      <c r="H2842" s="157"/>
      <c r="I2842" s="158"/>
      <c r="J2842" s="159"/>
      <c r="K2842" s="156"/>
      <c r="L2842" s="156"/>
      <c r="M2842" s="155"/>
      <c r="N2842" s="160"/>
      <c r="O2842" s="161"/>
      <c r="P2842" s="161"/>
      <c r="Q2842" s="203"/>
      <c r="R2842" s="162"/>
      <c r="S2842" s="162"/>
      <c r="T2842" s="162"/>
      <c r="U2842" s="163"/>
      <c r="V2842" s="154"/>
      <c r="W2842" s="164"/>
      <c r="X2842" s="164"/>
      <c r="Y2842" s="164"/>
      <c r="Z2842" s="164"/>
      <c r="AA2842" s="164"/>
      <c r="AB2842" s="164"/>
      <c r="AC2842" s="164"/>
      <c r="AD2842" s="164"/>
      <c r="AE2842" s="164"/>
      <c r="AF2842" s="164"/>
      <c r="AG2842" s="164"/>
      <c r="AH2842" s="164"/>
      <c r="AI2842" s="164"/>
    </row>
    <row r="2843">
      <c r="A2843" s="154"/>
      <c r="B2843" s="155"/>
      <c r="C2843" s="156"/>
      <c r="D2843" s="156"/>
      <c r="E2843" s="155"/>
      <c r="F2843" s="156"/>
      <c r="G2843" s="154"/>
      <c r="H2843" s="157"/>
      <c r="I2843" s="158"/>
      <c r="J2843" s="159"/>
      <c r="K2843" s="156"/>
      <c r="L2843" s="156"/>
      <c r="M2843" s="202"/>
      <c r="N2843" s="160"/>
      <c r="O2843" s="161"/>
      <c r="P2843" s="161"/>
      <c r="Q2843" s="203"/>
      <c r="R2843" s="162"/>
      <c r="S2843" s="162"/>
      <c r="T2843" s="162"/>
      <c r="U2843" s="163"/>
      <c r="V2843" s="154"/>
      <c r="W2843" s="164"/>
      <c r="X2843" s="164"/>
      <c r="Y2843" s="164"/>
      <c r="Z2843" s="164"/>
      <c r="AA2843" s="164"/>
      <c r="AB2843" s="164"/>
      <c r="AC2843" s="164"/>
      <c r="AD2843" s="164"/>
      <c r="AE2843" s="164"/>
      <c r="AF2843" s="164"/>
      <c r="AG2843" s="164"/>
      <c r="AH2843" s="164"/>
      <c r="AI2843" s="164"/>
    </row>
    <row r="2844">
      <c r="A2844" s="154"/>
      <c r="B2844" s="155"/>
      <c r="C2844" s="156"/>
      <c r="D2844" s="156"/>
      <c r="E2844" s="155"/>
      <c r="F2844" s="156"/>
      <c r="G2844" s="154"/>
      <c r="H2844" s="157"/>
      <c r="I2844" s="158"/>
      <c r="J2844" s="159"/>
      <c r="K2844" s="156"/>
      <c r="L2844" s="156"/>
      <c r="M2844" s="155"/>
      <c r="N2844" s="160"/>
      <c r="O2844" s="161"/>
      <c r="P2844" s="161"/>
      <c r="Q2844" s="159"/>
      <c r="R2844" s="162"/>
      <c r="S2844" s="162"/>
      <c r="T2844" s="186"/>
      <c r="U2844" s="187"/>
      <c r="V2844" s="176"/>
      <c r="W2844" s="164"/>
      <c r="X2844" s="164"/>
      <c r="Y2844" s="164"/>
      <c r="Z2844" s="164"/>
      <c r="AA2844" s="164"/>
      <c r="AB2844" s="164"/>
      <c r="AC2844" s="164"/>
      <c r="AD2844" s="164"/>
      <c r="AE2844" s="164"/>
      <c r="AF2844" s="164"/>
      <c r="AG2844" s="164"/>
      <c r="AH2844" s="164"/>
      <c r="AI2844" s="164"/>
    </row>
    <row r="2845">
      <c r="A2845" s="154"/>
      <c r="B2845" s="155"/>
      <c r="C2845" s="156"/>
      <c r="D2845" s="156"/>
      <c r="E2845" s="155"/>
      <c r="F2845" s="156"/>
      <c r="G2845" s="154"/>
      <c r="H2845" s="157"/>
      <c r="I2845" s="158"/>
      <c r="J2845" s="159"/>
      <c r="K2845" s="156"/>
      <c r="L2845" s="156"/>
      <c r="M2845" s="155"/>
      <c r="N2845" s="160"/>
      <c r="O2845" s="161"/>
      <c r="P2845" s="161"/>
      <c r="Q2845" s="203"/>
      <c r="R2845" s="162"/>
      <c r="S2845" s="162"/>
      <c r="T2845" s="162"/>
      <c r="U2845" s="163"/>
      <c r="V2845" s="154"/>
      <c r="W2845" s="164"/>
      <c r="X2845" s="164"/>
      <c r="Y2845" s="164"/>
      <c r="Z2845" s="164"/>
      <c r="AA2845" s="164"/>
      <c r="AB2845" s="164"/>
      <c r="AC2845" s="164"/>
      <c r="AD2845" s="164"/>
      <c r="AE2845" s="164"/>
      <c r="AF2845" s="164"/>
      <c r="AG2845" s="164"/>
      <c r="AH2845" s="164"/>
      <c r="AI2845" s="164"/>
    </row>
    <row r="2846">
      <c r="A2846" s="154"/>
      <c r="B2846" s="155"/>
      <c r="C2846" s="156"/>
      <c r="D2846" s="156"/>
      <c r="E2846" s="155"/>
      <c r="F2846" s="156"/>
      <c r="G2846" s="154"/>
      <c r="H2846" s="157"/>
      <c r="I2846" s="158"/>
      <c r="J2846" s="159"/>
      <c r="K2846" s="156"/>
      <c r="L2846" s="156"/>
      <c r="M2846" s="155"/>
      <c r="N2846" s="160"/>
      <c r="O2846" s="161"/>
      <c r="P2846" s="161"/>
      <c r="Q2846" s="203"/>
      <c r="R2846" s="162"/>
      <c r="S2846" s="162"/>
      <c r="T2846" s="162"/>
      <c r="U2846" s="163"/>
      <c r="V2846" s="154"/>
      <c r="W2846" s="164"/>
      <c r="X2846" s="164"/>
      <c r="Y2846" s="164"/>
      <c r="Z2846" s="164"/>
      <c r="AA2846" s="164"/>
      <c r="AB2846" s="164"/>
      <c r="AC2846" s="164"/>
      <c r="AD2846" s="164"/>
      <c r="AE2846" s="164"/>
      <c r="AF2846" s="164"/>
      <c r="AG2846" s="164"/>
      <c r="AH2846" s="164"/>
      <c r="AI2846" s="164"/>
    </row>
    <row r="2847">
      <c r="A2847" s="154"/>
      <c r="B2847" s="155"/>
      <c r="C2847" s="156"/>
      <c r="D2847" s="156"/>
      <c r="E2847" s="155"/>
      <c r="F2847" s="156"/>
      <c r="G2847" s="154"/>
      <c r="H2847" s="157"/>
      <c r="I2847" s="158"/>
      <c r="J2847" s="159"/>
      <c r="K2847" s="156"/>
      <c r="L2847" s="156"/>
      <c r="M2847" s="155"/>
      <c r="N2847" s="160"/>
      <c r="O2847" s="161"/>
      <c r="P2847" s="161"/>
      <c r="Q2847" s="203"/>
      <c r="R2847" s="162"/>
      <c r="S2847" s="162"/>
      <c r="T2847" s="162"/>
      <c r="U2847" s="163"/>
      <c r="V2847" s="154"/>
      <c r="W2847" s="164"/>
      <c r="X2847" s="164"/>
      <c r="Y2847" s="164"/>
      <c r="Z2847" s="164"/>
      <c r="AA2847" s="164"/>
      <c r="AB2847" s="164"/>
      <c r="AC2847" s="164"/>
      <c r="AD2847" s="164"/>
      <c r="AE2847" s="164"/>
      <c r="AF2847" s="164"/>
      <c r="AG2847" s="164"/>
      <c r="AH2847" s="164"/>
      <c r="AI2847" s="164"/>
    </row>
    <row r="2848">
      <c r="A2848" s="154"/>
      <c r="B2848" s="155"/>
      <c r="C2848" s="156"/>
      <c r="D2848" s="156"/>
      <c r="E2848" s="155"/>
      <c r="F2848" s="156"/>
      <c r="G2848" s="154"/>
      <c r="H2848" s="157"/>
      <c r="I2848" s="158"/>
      <c r="J2848" s="159"/>
      <c r="K2848" s="156"/>
      <c r="L2848" s="156"/>
      <c r="M2848" s="155"/>
      <c r="N2848" s="160"/>
      <c r="O2848" s="161"/>
      <c r="P2848" s="161"/>
      <c r="Q2848" s="203"/>
      <c r="R2848" s="162"/>
      <c r="S2848" s="162"/>
      <c r="T2848" s="162"/>
      <c r="U2848" s="163"/>
      <c r="V2848" s="154"/>
      <c r="W2848" s="164"/>
      <c r="X2848" s="164"/>
      <c r="Y2848" s="164"/>
      <c r="Z2848" s="164"/>
      <c r="AA2848" s="164"/>
      <c r="AB2848" s="164"/>
      <c r="AC2848" s="164"/>
      <c r="AD2848" s="164"/>
      <c r="AE2848" s="164"/>
      <c r="AF2848" s="164"/>
      <c r="AG2848" s="164"/>
      <c r="AH2848" s="164"/>
      <c r="AI2848" s="164"/>
    </row>
    <row r="2849">
      <c r="A2849" s="154"/>
      <c r="B2849" s="155"/>
      <c r="C2849" s="156"/>
      <c r="D2849" s="156"/>
      <c r="E2849" s="155"/>
      <c r="F2849" s="156"/>
      <c r="G2849" s="154"/>
      <c r="H2849" s="157"/>
      <c r="I2849" s="158"/>
      <c r="J2849" s="159"/>
      <c r="K2849" s="156"/>
      <c r="L2849" s="156"/>
      <c r="M2849" s="155"/>
      <c r="N2849" s="160"/>
      <c r="O2849" s="161"/>
      <c r="P2849" s="161"/>
      <c r="Q2849" s="203"/>
      <c r="R2849" s="162"/>
      <c r="S2849" s="162"/>
      <c r="T2849" s="162"/>
      <c r="U2849" s="163"/>
      <c r="V2849" s="154"/>
      <c r="W2849" s="164"/>
      <c r="X2849" s="164"/>
      <c r="Y2849" s="164"/>
      <c r="Z2849" s="164"/>
      <c r="AA2849" s="164"/>
      <c r="AB2849" s="164"/>
      <c r="AC2849" s="164"/>
      <c r="AD2849" s="164"/>
      <c r="AE2849" s="164"/>
      <c r="AF2849" s="164"/>
      <c r="AG2849" s="164"/>
      <c r="AH2849" s="164"/>
      <c r="AI2849" s="164"/>
    </row>
    <row r="2850">
      <c r="A2850" s="154"/>
      <c r="B2850" s="155"/>
      <c r="C2850" s="156"/>
      <c r="D2850" s="156"/>
      <c r="E2850" s="155"/>
      <c r="F2850" s="156"/>
      <c r="G2850" s="154"/>
      <c r="H2850" s="157"/>
      <c r="I2850" s="158"/>
      <c r="J2850" s="159"/>
      <c r="K2850" s="156"/>
      <c r="L2850" s="156"/>
      <c r="M2850" s="155"/>
      <c r="N2850" s="160"/>
      <c r="O2850" s="161"/>
      <c r="P2850" s="161"/>
      <c r="Q2850" s="203"/>
      <c r="R2850" s="162"/>
      <c r="S2850" s="162"/>
      <c r="T2850" s="162"/>
      <c r="U2850" s="163"/>
      <c r="V2850" s="154"/>
      <c r="W2850" s="164"/>
      <c r="X2850" s="164"/>
      <c r="Y2850" s="164"/>
      <c r="Z2850" s="164"/>
      <c r="AA2850" s="164"/>
      <c r="AB2850" s="164"/>
      <c r="AC2850" s="164"/>
      <c r="AD2850" s="164"/>
      <c r="AE2850" s="164"/>
      <c r="AF2850" s="164"/>
      <c r="AG2850" s="164"/>
      <c r="AH2850" s="164"/>
      <c r="AI2850" s="164"/>
    </row>
    <row r="2851">
      <c r="A2851" s="154"/>
      <c r="B2851" s="155"/>
      <c r="C2851" s="156"/>
      <c r="D2851" s="156"/>
      <c r="E2851" s="155"/>
      <c r="F2851" s="156"/>
      <c r="G2851" s="154"/>
      <c r="H2851" s="157"/>
      <c r="I2851" s="158"/>
      <c r="J2851" s="159"/>
      <c r="K2851" s="156"/>
      <c r="L2851" s="156"/>
      <c r="M2851" s="155"/>
      <c r="N2851" s="160"/>
      <c r="O2851" s="161"/>
      <c r="P2851" s="161"/>
      <c r="Q2851" s="203"/>
      <c r="R2851" s="162"/>
      <c r="S2851" s="162"/>
      <c r="T2851" s="162"/>
      <c r="U2851" s="163"/>
      <c r="V2851" s="154"/>
      <c r="W2851" s="164"/>
      <c r="X2851" s="164"/>
      <c r="Y2851" s="164"/>
      <c r="Z2851" s="164"/>
      <c r="AA2851" s="164"/>
      <c r="AB2851" s="164"/>
      <c r="AC2851" s="164"/>
      <c r="AD2851" s="164"/>
      <c r="AE2851" s="164"/>
      <c r="AF2851" s="164"/>
      <c r="AG2851" s="164"/>
      <c r="AH2851" s="164"/>
      <c r="AI2851" s="164"/>
    </row>
    <row r="2852">
      <c r="A2852" s="154"/>
      <c r="B2852" s="155"/>
      <c r="C2852" s="156"/>
      <c r="D2852" s="156"/>
      <c r="E2852" s="155"/>
      <c r="F2852" s="156"/>
      <c r="G2852" s="154"/>
      <c r="H2852" s="157"/>
      <c r="I2852" s="158"/>
      <c r="J2852" s="159"/>
      <c r="K2852" s="156"/>
      <c r="L2852" s="156"/>
      <c r="M2852" s="155"/>
      <c r="N2852" s="160"/>
      <c r="O2852" s="161"/>
      <c r="P2852" s="161"/>
      <c r="Q2852" s="159"/>
      <c r="R2852" s="162"/>
      <c r="S2852" s="162"/>
      <c r="T2852" s="162"/>
      <c r="U2852" s="163"/>
      <c r="V2852" s="154"/>
      <c r="W2852" s="164"/>
      <c r="X2852" s="164"/>
      <c r="Y2852" s="164"/>
      <c r="Z2852" s="164"/>
      <c r="AA2852" s="164"/>
      <c r="AB2852" s="164"/>
      <c r="AC2852" s="164"/>
      <c r="AD2852" s="164"/>
      <c r="AE2852" s="164"/>
      <c r="AF2852" s="164"/>
      <c r="AG2852" s="164"/>
      <c r="AH2852" s="164"/>
      <c r="AI2852" s="164"/>
    </row>
    <row r="2853">
      <c r="A2853" s="154"/>
      <c r="B2853" s="155"/>
      <c r="C2853" s="156"/>
      <c r="D2853" s="156"/>
      <c r="E2853" s="155"/>
      <c r="F2853" s="156"/>
      <c r="G2853" s="154"/>
      <c r="H2853" s="157"/>
      <c r="I2853" s="158"/>
      <c r="J2853" s="159"/>
      <c r="K2853" s="156"/>
      <c r="L2853" s="156"/>
      <c r="M2853" s="155"/>
      <c r="N2853" s="160"/>
      <c r="O2853" s="161"/>
      <c r="P2853" s="161"/>
      <c r="Q2853" s="203"/>
      <c r="R2853" s="162"/>
      <c r="S2853" s="162"/>
      <c r="T2853" s="162"/>
      <c r="U2853" s="163"/>
      <c r="V2853" s="154"/>
      <c r="W2853" s="164"/>
      <c r="X2853" s="164"/>
      <c r="Y2853" s="164"/>
      <c r="Z2853" s="164"/>
      <c r="AA2853" s="164"/>
      <c r="AB2853" s="164"/>
      <c r="AC2853" s="164"/>
      <c r="AD2853" s="164"/>
      <c r="AE2853" s="164"/>
      <c r="AF2853" s="164"/>
      <c r="AG2853" s="164"/>
      <c r="AH2853" s="164"/>
      <c r="AI2853" s="164"/>
    </row>
    <row r="2854">
      <c r="A2854" s="154"/>
      <c r="B2854" s="155"/>
      <c r="C2854" s="156"/>
      <c r="D2854" s="156"/>
      <c r="E2854" s="155"/>
      <c r="F2854" s="156"/>
      <c r="G2854" s="154"/>
      <c r="H2854" s="157"/>
      <c r="I2854" s="158"/>
      <c r="J2854" s="159"/>
      <c r="K2854" s="156"/>
      <c r="L2854" s="156"/>
      <c r="M2854" s="155"/>
      <c r="N2854" s="160"/>
      <c r="O2854" s="161"/>
      <c r="P2854" s="161"/>
      <c r="Q2854" s="159"/>
      <c r="R2854" s="162"/>
      <c r="S2854" s="162"/>
      <c r="T2854" s="162"/>
      <c r="U2854" s="163"/>
      <c r="V2854" s="154"/>
      <c r="W2854" s="164"/>
      <c r="X2854" s="164"/>
      <c r="Y2854" s="164"/>
      <c r="Z2854" s="164"/>
      <c r="AA2854" s="164"/>
      <c r="AB2854" s="164"/>
      <c r="AC2854" s="164"/>
      <c r="AD2854" s="164"/>
      <c r="AE2854" s="164"/>
      <c r="AF2854" s="164"/>
      <c r="AG2854" s="164"/>
      <c r="AH2854" s="164"/>
      <c r="AI2854" s="164"/>
    </row>
    <row r="2855">
      <c r="A2855" s="154"/>
      <c r="B2855" s="155"/>
      <c r="C2855" s="156"/>
      <c r="D2855" s="156"/>
      <c r="E2855" s="155"/>
      <c r="F2855" s="156"/>
      <c r="G2855" s="154"/>
      <c r="H2855" s="157"/>
      <c r="I2855" s="158"/>
      <c r="J2855" s="159"/>
      <c r="K2855" s="156"/>
      <c r="L2855" s="156"/>
      <c r="M2855" s="155"/>
      <c r="N2855" s="160"/>
      <c r="O2855" s="161"/>
      <c r="P2855" s="161"/>
      <c r="Q2855" s="203"/>
      <c r="R2855" s="162"/>
      <c r="S2855" s="162"/>
      <c r="T2855" s="162"/>
      <c r="U2855" s="163"/>
      <c r="V2855" s="154"/>
      <c r="W2855" s="164"/>
      <c r="X2855" s="164"/>
      <c r="Y2855" s="164"/>
      <c r="Z2855" s="164"/>
      <c r="AA2855" s="164"/>
      <c r="AB2855" s="164"/>
      <c r="AC2855" s="164"/>
      <c r="AD2855" s="164"/>
      <c r="AE2855" s="164"/>
      <c r="AF2855" s="164"/>
      <c r="AG2855" s="164"/>
      <c r="AH2855" s="164"/>
      <c r="AI2855" s="164"/>
    </row>
    <row r="2856">
      <c r="A2856" s="154"/>
      <c r="B2856" s="155"/>
      <c r="C2856" s="156"/>
      <c r="D2856" s="156"/>
      <c r="E2856" s="155"/>
      <c r="F2856" s="156"/>
      <c r="G2856" s="154"/>
      <c r="H2856" s="157"/>
      <c r="I2856" s="158"/>
      <c r="J2856" s="159"/>
      <c r="K2856" s="156"/>
      <c r="L2856" s="156"/>
      <c r="M2856" s="155"/>
      <c r="N2856" s="160"/>
      <c r="O2856" s="161"/>
      <c r="P2856" s="161"/>
      <c r="Q2856" s="203"/>
      <c r="R2856" s="162"/>
      <c r="S2856" s="162"/>
      <c r="T2856" s="162"/>
      <c r="U2856" s="163"/>
      <c r="V2856" s="154"/>
      <c r="W2856" s="164"/>
      <c r="X2856" s="164"/>
      <c r="Y2856" s="164"/>
      <c r="Z2856" s="164"/>
      <c r="AA2856" s="164"/>
      <c r="AB2856" s="164"/>
      <c r="AC2856" s="164"/>
      <c r="AD2856" s="164"/>
      <c r="AE2856" s="164"/>
      <c r="AF2856" s="164"/>
      <c r="AG2856" s="164"/>
      <c r="AH2856" s="164"/>
      <c r="AI2856" s="164"/>
    </row>
    <row r="2857">
      <c r="A2857" s="154"/>
      <c r="B2857" s="155"/>
      <c r="C2857" s="156"/>
      <c r="D2857" s="156"/>
      <c r="E2857" s="155"/>
      <c r="F2857" s="156"/>
      <c r="G2857" s="154"/>
      <c r="H2857" s="157"/>
      <c r="I2857" s="158"/>
      <c r="J2857" s="159"/>
      <c r="K2857" s="156"/>
      <c r="L2857" s="156"/>
      <c r="M2857" s="155"/>
      <c r="N2857" s="160"/>
      <c r="O2857" s="161"/>
      <c r="P2857" s="161"/>
      <c r="Q2857" s="159"/>
      <c r="R2857" s="162"/>
      <c r="S2857" s="162"/>
      <c r="T2857" s="162"/>
      <c r="U2857" s="163"/>
      <c r="V2857" s="154"/>
      <c r="W2857" s="164"/>
      <c r="X2857" s="164"/>
      <c r="Y2857" s="164"/>
      <c r="Z2857" s="164"/>
      <c r="AA2857" s="164"/>
      <c r="AB2857" s="164"/>
      <c r="AC2857" s="164"/>
      <c r="AD2857" s="164"/>
      <c r="AE2857" s="164"/>
      <c r="AF2857" s="164"/>
      <c r="AG2857" s="164"/>
      <c r="AH2857" s="164"/>
      <c r="AI2857" s="164"/>
    </row>
    <row r="2858">
      <c r="A2858" s="154"/>
      <c r="B2858" s="155"/>
      <c r="C2858" s="156"/>
      <c r="D2858" s="156"/>
      <c r="E2858" s="155"/>
      <c r="F2858" s="156"/>
      <c r="G2858" s="154"/>
      <c r="H2858" s="157"/>
      <c r="I2858" s="158"/>
      <c r="J2858" s="159"/>
      <c r="K2858" s="156"/>
      <c r="L2858" s="156"/>
      <c r="M2858" s="155"/>
      <c r="N2858" s="160"/>
      <c r="O2858" s="161"/>
      <c r="P2858" s="161"/>
      <c r="Q2858" s="203"/>
      <c r="R2858" s="162"/>
      <c r="S2858" s="162"/>
      <c r="T2858" s="162"/>
      <c r="U2858" s="163"/>
      <c r="V2858" s="154"/>
      <c r="W2858" s="164"/>
      <c r="X2858" s="164"/>
      <c r="Y2858" s="164"/>
      <c r="Z2858" s="164"/>
      <c r="AA2858" s="164"/>
      <c r="AB2858" s="164"/>
      <c r="AC2858" s="164"/>
      <c r="AD2858" s="164"/>
      <c r="AE2858" s="164"/>
      <c r="AF2858" s="164"/>
      <c r="AG2858" s="164"/>
      <c r="AH2858" s="164"/>
      <c r="AI2858" s="164"/>
    </row>
    <row r="2859">
      <c r="A2859" s="154"/>
      <c r="B2859" s="155"/>
      <c r="C2859" s="156"/>
      <c r="D2859" s="156"/>
      <c r="E2859" s="155"/>
      <c r="F2859" s="156"/>
      <c r="G2859" s="154"/>
      <c r="H2859" s="157"/>
      <c r="I2859" s="158"/>
      <c r="J2859" s="159"/>
      <c r="K2859" s="156"/>
      <c r="L2859" s="156"/>
      <c r="M2859" s="155"/>
      <c r="N2859" s="160"/>
      <c r="O2859" s="161"/>
      <c r="P2859" s="161"/>
      <c r="Q2859" s="159"/>
      <c r="R2859" s="162"/>
      <c r="S2859" s="162"/>
      <c r="T2859" s="162"/>
      <c r="U2859" s="163"/>
      <c r="V2859" s="154"/>
      <c r="W2859" s="164"/>
      <c r="X2859" s="164"/>
      <c r="Y2859" s="164"/>
      <c r="Z2859" s="164"/>
      <c r="AA2859" s="164"/>
      <c r="AB2859" s="164"/>
      <c r="AC2859" s="164"/>
      <c r="AD2859" s="164"/>
      <c r="AE2859" s="164"/>
      <c r="AF2859" s="164"/>
      <c r="AG2859" s="164"/>
      <c r="AH2859" s="164"/>
      <c r="AI2859" s="164"/>
    </row>
    <row r="2860">
      <c r="A2860" s="154"/>
      <c r="B2860" s="155"/>
      <c r="C2860" s="156"/>
      <c r="D2860" s="156"/>
      <c r="E2860" s="155"/>
      <c r="F2860" s="156"/>
      <c r="G2860" s="154"/>
      <c r="H2860" s="157"/>
      <c r="I2860" s="158"/>
      <c r="J2860" s="159"/>
      <c r="K2860" s="156"/>
      <c r="L2860" s="156"/>
      <c r="M2860" s="155"/>
      <c r="N2860" s="160"/>
      <c r="O2860" s="161"/>
      <c r="P2860" s="161"/>
      <c r="Q2860" s="203"/>
      <c r="R2860" s="162"/>
      <c r="S2860" s="162"/>
      <c r="T2860" s="162"/>
      <c r="U2860" s="163"/>
      <c r="V2860" s="154"/>
      <c r="W2860" s="164"/>
      <c r="X2860" s="164"/>
      <c r="Y2860" s="164"/>
      <c r="Z2860" s="164"/>
      <c r="AA2860" s="164"/>
      <c r="AB2860" s="164"/>
      <c r="AC2860" s="164"/>
      <c r="AD2860" s="164"/>
      <c r="AE2860" s="164"/>
      <c r="AF2860" s="164"/>
      <c r="AG2860" s="164"/>
      <c r="AH2860" s="164"/>
      <c r="AI2860" s="164"/>
    </row>
    <row r="2861">
      <c r="A2861" s="154"/>
      <c r="B2861" s="155"/>
      <c r="C2861" s="156"/>
      <c r="D2861" s="156"/>
      <c r="E2861" s="155"/>
      <c r="F2861" s="156"/>
      <c r="G2861" s="154"/>
      <c r="H2861" s="157"/>
      <c r="I2861" s="158"/>
      <c r="J2861" s="159"/>
      <c r="K2861" s="156"/>
      <c r="L2861" s="156"/>
      <c r="M2861" s="155"/>
      <c r="N2861" s="160"/>
      <c r="O2861" s="161"/>
      <c r="P2861" s="161"/>
      <c r="Q2861" s="203"/>
      <c r="R2861" s="162"/>
      <c r="S2861" s="162"/>
      <c r="T2861" s="162"/>
      <c r="U2861" s="163"/>
      <c r="V2861" s="154"/>
      <c r="W2861" s="164"/>
      <c r="X2861" s="164"/>
      <c r="Y2861" s="164"/>
      <c r="Z2861" s="164"/>
      <c r="AA2861" s="164"/>
      <c r="AB2861" s="164"/>
      <c r="AC2861" s="164"/>
      <c r="AD2861" s="164"/>
      <c r="AE2861" s="164"/>
      <c r="AF2861" s="164"/>
      <c r="AG2861" s="164"/>
      <c r="AH2861" s="164"/>
      <c r="AI2861" s="164"/>
    </row>
    <row r="2862">
      <c r="A2862" s="154"/>
      <c r="B2862" s="155"/>
      <c r="C2862" s="156"/>
      <c r="D2862" s="156"/>
      <c r="E2862" s="155"/>
      <c r="F2862" s="156"/>
      <c r="G2862" s="154"/>
      <c r="H2862" s="157"/>
      <c r="I2862" s="158"/>
      <c r="J2862" s="159"/>
      <c r="K2862" s="156"/>
      <c r="L2862" s="156"/>
      <c r="M2862" s="155"/>
      <c r="N2862" s="160"/>
      <c r="O2862" s="161"/>
      <c r="P2862" s="161"/>
      <c r="Q2862" s="159"/>
      <c r="R2862" s="162"/>
      <c r="S2862" s="162"/>
      <c r="T2862" s="162"/>
      <c r="U2862" s="163"/>
      <c r="V2862" s="154"/>
      <c r="W2862" s="164"/>
      <c r="X2862" s="164"/>
      <c r="Y2862" s="164"/>
      <c r="Z2862" s="164"/>
      <c r="AA2862" s="164"/>
      <c r="AB2862" s="164"/>
      <c r="AC2862" s="164"/>
      <c r="AD2862" s="164"/>
      <c r="AE2862" s="164"/>
      <c r="AF2862" s="164"/>
      <c r="AG2862" s="164"/>
      <c r="AH2862" s="164"/>
      <c r="AI2862" s="164"/>
    </row>
    <row r="2863">
      <c r="A2863" s="154"/>
      <c r="B2863" s="155"/>
      <c r="C2863" s="156"/>
      <c r="D2863" s="156"/>
      <c r="E2863" s="155"/>
      <c r="F2863" s="156"/>
      <c r="G2863" s="154"/>
      <c r="H2863" s="157"/>
      <c r="I2863" s="158"/>
      <c r="J2863" s="159"/>
      <c r="K2863" s="156"/>
      <c r="L2863" s="156"/>
      <c r="M2863" s="155"/>
      <c r="N2863" s="160"/>
      <c r="O2863" s="161"/>
      <c r="P2863" s="161"/>
      <c r="Q2863" s="203"/>
      <c r="R2863" s="162"/>
      <c r="S2863" s="162"/>
      <c r="T2863" s="162"/>
      <c r="U2863" s="163"/>
      <c r="V2863" s="154"/>
      <c r="W2863" s="164"/>
      <c r="X2863" s="164"/>
      <c r="Y2863" s="164"/>
      <c r="Z2863" s="164"/>
      <c r="AA2863" s="164"/>
      <c r="AB2863" s="164"/>
      <c r="AC2863" s="164"/>
      <c r="AD2863" s="164"/>
      <c r="AE2863" s="164"/>
      <c r="AF2863" s="164"/>
      <c r="AG2863" s="164"/>
      <c r="AH2863" s="164"/>
      <c r="AI2863" s="164"/>
    </row>
    <row r="2864">
      <c r="A2864" s="176"/>
      <c r="B2864" s="177"/>
      <c r="C2864" s="178"/>
      <c r="D2864" s="178"/>
      <c r="E2864" s="177"/>
      <c r="F2864" s="178"/>
      <c r="G2864" s="176"/>
      <c r="H2864" s="179"/>
      <c r="I2864" s="180"/>
      <c r="J2864" s="181"/>
      <c r="K2864" s="178"/>
      <c r="L2864" s="178"/>
      <c r="M2864" s="182"/>
      <c r="N2864" s="183"/>
      <c r="O2864" s="184"/>
      <c r="P2864" s="184"/>
      <c r="Q2864" s="185"/>
      <c r="R2864" s="186"/>
      <c r="S2864" s="186"/>
      <c r="T2864" s="186"/>
      <c r="U2864" s="187"/>
      <c r="V2864" s="176"/>
      <c r="W2864" s="164"/>
      <c r="X2864" s="164"/>
      <c r="Y2864" s="164"/>
      <c r="Z2864" s="164"/>
      <c r="AA2864" s="164"/>
      <c r="AB2864" s="164"/>
      <c r="AC2864" s="164"/>
      <c r="AD2864" s="164"/>
      <c r="AE2864" s="164"/>
      <c r="AF2864" s="164"/>
      <c r="AG2864" s="164"/>
      <c r="AH2864" s="164"/>
      <c r="AI2864" s="164"/>
    </row>
    <row r="2865">
      <c r="A2865" s="154"/>
      <c r="B2865" s="155"/>
      <c r="C2865" s="156"/>
      <c r="D2865" s="156"/>
      <c r="E2865" s="155"/>
      <c r="F2865" s="156"/>
      <c r="G2865" s="154"/>
      <c r="H2865" s="157"/>
      <c r="I2865" s="158"/>
      <c r="J2865" s="159"/>
      <c r="K2865" s="156"/>
      <c r="L2865" s="156"/>
      <c r="M2865" s="155"/>
      <c r="N2865" s="160"/>
      <c r="O2865" s="161"/>
      <c r="P2865" s="161"/>
      <c r="Q2865" s="159"/>
      <c r="R2865" s="162"/>
      <c r="S2865" s="162"/>
      <c r="T2865" s="162"/>
      <c r="U2865" s="163"/>
      <c r="V2865" s="154"/>
      <c r="W2865" s="164"/>
      <c r="X2865" s="164"/>
      <c r="Y2865" s="164"/>
      <c r="Z2865" s="164"/>
      <c r="AA2865" s="164"/>
      <c r="AB2865" s="164"/>
      <c r="AC2865" s="164"/>
      <c r="AD2865" s="164"/>
      <c r="AE2865" s="164"/>
      <c r="AF2865" s="164"/>
      <c r="AG2865" s="164"/>
      <c r="AH2865" s="164"/>
      <c r="AI2865" s="164"/>
    </row>
    <row r="2866">
      <c r="A2866" s="154"/>
      <c r="B2866" s="155"/>
      <c r="C2866" s="156"/>
      <c r="D2866" s="156"/>
      <c r="E2866" s="155"/>
      <c r="F2866" s="156"/>
      <c r="G2866" s="154"/>
      <c r="H2866" s="157"/>
      <c r="I2866" s="158"/>
      <c r="J2866" s="159"/>
      <c r="K2866" s="156"/>
      <c r="L2866" s="156"/>
      <c r="M2866" s="155"/>
      <c r="N2866" s="160"/>
      <c r="O2866" s="161"/>
      <c r="P2866" s="161"/>
      <c r="Q2866" s="159"/>
      <c r="R2866" s="162"/>
      <c r="S2866" s="162"/>
      <c r="T2866" s="162"/>
      <c r="U2866" s="163"/>
      <c r="V2866" s="154"/>
      <c r="W2866" s="164"/>
      <c r="X2866" s="164"/>
      <c r="Y2866" s="164"/>
      <c r="Z2866" s="164"/>
      <c r="AA2866" s="164"/>
      <c r="AB2866" s="164"/>
      <c r="AC2866" s="164"/>
      <c r="AD2866" s="164"/>
      <c r="AE2866" s="164"/>
      <c r="AF2866" s="164"/>
      <c r="AG2866" s="164"/>
      <c r="AH2866" s="164"/>
      <c r="AI2866" s="164"/>
    </row>
    <row r="2867">
      <c r="A2867" s="154"/>
      <c r="B2867" s="155"/>
      <c r="C2867" s="156"/>
      <c r="D2867" s="156"/>
      <c r="E2867" s="155"/>
      <c r="F2867" s="156"/>
      <c r="G2867" s="154"/>
      <c r="H2867" s="157"/>
      <c r="I2867" s="158"/>
      <c r="J2867" s="159"/>
      <c r="K2867" s="156"/>
      <c r="L2867" s="156"/>
      <c r="M2867" s="202"/>
      <c r="N2867" s="160"/>
      <c r="O2867" s="161"/>
      <c r="P2867" s="161"/>
      <c r="Q2867" s="203"/>
      <c r="R2867" s="162"/>
      <c r="S2867" s="162"/>
      <c r="T2867" s="162"/>
      <c r="U2867" s="163"/>
      <c r="V2867" s="154"/>
      <c r="W2867" s="164"/>
      <c r="X2867" s="164"/>
      <c r="Y2867" s="164"/>
      <c r="Z2867" s="164"/>
      <c r="AA2867" s="164"/>
      <c r="AB2867" s="164"/>
      <c r="AC2867" s="164"/>
      <c r="AD2867" s="164"/>
      <c r="AE2867" s="164"/>
      <c r="AF2867" s="164"/>
      <c r="AG2867" s="164"/>
      <c r="AH2867" s="164"/>
      <c r="AI2867" s="164"/>
    </row>
    <row r="2868">
      <c r="A2868" s="154"/>
      <c r="B2868" s="155"/>
      <c r="C2868" s="156"/>
      <c r="D2868" s="156"/>
      <c r="E2868" s="155"/>
      <c r="F2868" s="156"/>
      <c r="G2868" s="154"/>
      <c r="H2868" s="157"/>
      <c r="I2868" s="158"/>
      <c r="J2868" s="159"/>
      <c r="K2868" s="156"/>
      <c r="L2868" s="156"/>
      <c r="M2868" s="155"/>
      <c r="N2868" s="160"/>
      <c r="O2868" s="161"/>
      <c r="P2868" s="161"/>
      <c r="Q2868" s="159"/>
      <c r="R2868" s="162"/>
      <c r="S2868" s="162"/>
      <c r="T2868" s="162"/>
      <c r="U2868" s="163"/>
      <c r="V2868" s="154"/>
      <c r="W2868" s="164"/>
      <c r="X2868" s="164"/>
      <c r="Y2868" s="164"/>
      <c r="Z2868" s="164"/>
      <c r="AA2868" s="164"/>
      <c r="AB2868" s="164"/>
      <c r="AC2868" s="164"/>
      <c r="AD2868" s="164"/>
      <c r="AE2868" s="164"/>
      <c r="AF2868" s="164"/>
      <c r="AG2868" s="164"/>
      <c r="AH2868" s="164"/>
      <c r="AI2868" s="164"/>
    </row>
    <row r="2869">
      <c r="A2869" s="154"/>
      <c r="B2869" s="155"/>
      <c r="C2869" s="156"/>
      <c r="D2869" s="156"/>
      <c r="E2869" s="155"/>
      <c r="F2869" s="156"/>
      <c r="G2869" s="154"/>
      <c r="H2869" s="157"/>
      <c r="I2869" s="158"/>
      <c r="J2869" s="159"/>
      <c r="K2869" s="156"/>
      <c r="L2869" s="156"/>
      <c r="M2869" s="155"/>
      <c r="N2869" s="160"/>
      <c r="O2869" s="161"/>
      <c r="P2869" s="161"/>
      <c r="Q2869" s="159"/>
      <c r="R2869" s="162"/>
      <c r="S2869" s="162"/>
      <c r="T2869" s="162"/>
      <c r="U2869" s="163"/>
      <c r="V2869" s="154"/>
      <c r="W2869" s="164"/>
      <c r="X2869" s="164"/>
      <c r="Y2869" s="164"/>
      <c r="Z2869" s="164"/>
      <c r="AA2869" s="164"/>
      <c r="AB2869" s="164"/>
      <c r="AC2869" s="164"/>
      <c r="AD2869" s="164"/>
      <c r="AE2869" s="164"/>
      <c r="AF2869" s="164"/>
      <c r="AG2869" s="164"/>
      <c r="AH2869" s="164"/>
      <c r="AI2869" s="164"/>
    </row>
    <row r="2870">
      <c r="A2870" s="154"/>
      <c r="B2870" s="155"/>
      <c r="C2870" s="156"/>
      <c r="D2870" s="156"/>
      <c r="E2870" s="155"/>
      <c r="F2870" s="156"/>
      <c r="G2870" s="154"/>
      <c r="H2870" s="157"/>
      <c r="I2870" s="158"/>
      <c r="J2870" s="159"/>
      <c r="K2870" s="156"/>
      <c r="L2870" s="156"/>
      <c r="M2870" s="155"/>
      <c r="N2870" s="160"/>
      <c r="O2870" s="161"/>
      <c r="P2870" s="161"/>
      <c r="Q2870" s="203"/>
      <c r="R2870" s="162"/>
      <c r="S2870" s="162"/>
      <c r="T2870" s="162"/>
      <c r="U2870" s="163"/>
      <c r="V2870" s="154"/>
      <c r="W2870" s="164"/>
      <c r="X2870" s="164"/>
      <c r="Y2870" s="164"/>
      <c r="Z2870" s="164"/>
      <c r="AA2870" s="164"/>
      <c r="AB2870" s="164"/>
      <c r="AC2870" s="164"/>
      <c r="AD2870" s="164"/>
      <c r="AE2870" s="164"/>
      <c r="AF2870" s="164"/>
      <c r="AG2870" s="164"/>
      <c r="AH2870" s="164"/>
      <c r="AI2870" s="164"/>
    </row>
    <row r="2871">
      <c r="A2871" s="154"/>
      <c r="B2871" s="155"/>
      <c r="C2871" s="156"/>
      <c r="D2871" s="156"/>
      <c r="E2871" s="155"/>
      <c r="F2871" s="156"/>
      <c r="G2871" s="154"/>
      <c r="H2871" s="157"/>
      <c r="I2871" s="158"/>
      <c r="J2871" s="159"/>
      <c r="K2871" s="156"/>
      <c r="L2871" s="156"/>
      <c r="M2871" s="155"/>
      <c r="N2871" s="160"/>
      <c r="O2871" s="161"/>
      <c r="P2871" s="161"/>
      <c r="Q2871" s="203"/>
      <c r="R2871" s="162"/>
      <c r="S2871" s="162"/>
      <c r="T2871" s="162"/>
      <c r="U2871" s="163"/>
      <c r="V2871" s="154"/>
      <c r="W2871" s="164"/>
      <c r="X2871" s="164"/>
      <c r="Y2871" s="164"/>
      <c r="Z2871" s="164"/>
      <c r="AA2871" s="164"/>
      <c r="AB2871" s="164"/>
      <c r="AC2871" s="164"/>
      <c r="AD2871" s="164"/>
      <c r="AE2871" s="164"/>
      <c r="AF2871" s="164"/>
      <c r="AG2871" s="164"/>
      <c r="AH2871" s="164"/>
      <c r="AI2871" s="164"/>
    </row>
    <row r="2872">
      <c r="A2872" s="154"/>
      <c r="B2872" s="155"/>
      <c r="C2872" s="156"/>
      <c r="D2872" s="156"/>
      <c r="E2872" s="155"/>
      <c r="F2872" s="156"/>
      <c r="G2872" s="154"/>
      <c r="H2872" s="157"/>
      <c r="I2872" s="158"/>
      <c r="J2872" s="159"/>
      <c r="K2872" s="156"/>
      <c r="L2872" s="156"/>
      <c r="M2872" s="155"/>
      <c r="N2872" s="160"/>
      <c r="O2872" s="161"/>
      <c r="P2872" s="161"/>
      <c r="Q2872" s="159"/>
      <c r="R2872" s="162"/>
      <c r="S2872" s="162"/>
      <c r="T2872" s="162"/>
      <c r="U2872" s="163"/>
      <c r="V2872" s="154"/>
      <c r="W2872" s="164"/>
      <c r="X2872" s="164"/>
      <c r="Y2872" s="164"/>
      <c r="Z2872" s="164"/>
      <c r="AA2872" s="164"/>
      <c r="AB2872" s="164"/>
      <c r="AC2872" s="164"/>
      <c r="AD2872" s="164"/>
      <c r="AE2872" s="164"/>
      <c r="AF2872" s="164"/>
      <c r="AG2872" s="164"/>
      <c r="AH2872" s="164"/>
      <c r="AI2872" s="164"/>
    </row>
    <row r="2873">
      <c r="A2873" s="154"/>
      <c r="B2873" s="155"/>
      <c r="C2873" s="156"/>
      <c r="D2873" s="156"/>
      <c r="E2873" s="155"/>
      <c r="F2873" s="156"/>
      <c r="G2873" s="154"/>
      <c r="H2873" s="157"/>
      <c r="I2873" s="158"/>
      <c r="J2873" s="159"/>
      <c r="K2873" s="156"/>
      <c r="L2873" s="156"/>
      <c r="M2873" s="155"/>
      <c r="N2873" s="160"/>
      <c r="O2873" s="161"/>
      <c r="P2873" s="161"/>
      <c r="Q2873" s="159"/>
      <c r="R2873" s="162"/>
      <c r="S2873" s="162"/>
      <c r="T2873" s="162"/>
      <c r="U2873" s="163"/>
      <c r="V2873" s="154"/>
      <c r="W2873" s="164"/>
      <c r="X2873" s="164"/>
      <c r="Y2873" s="164"/>
      <c r="Z2873" s="164"/>
      <c r="AA2873" s="164"/>
      <c r="AB2873" s="164"/>
      <c r="AC2873" s="164"/>
      <c r="AD2873" s="164"/>
      <c r="AE2873" s="164"/>
      <c r="AF2873" s="164"/>
      <c r="AG2873" s="164"/>
      <c r="AH2873" s="164"/>
      <c r="AI2873" s="164"/>
    </row>
    <row r="2874">
      <c r="A2874" s="154"/>
      <c r="B2874" s="155"/>
      <c r="C2874" s="156"/>
      <c r="D2874" s="156"/>
      <c r="E2874" s="155"/>
      <c r="F2874" s="156"/>
      <c r="G2874" s="154"/>
      <c r="H2874" s="157"/>
      <c r="I2874" s="158"/>
      <c r="J2874" s="159"/>
      <c r="K2874" s="156"/>
      <c r="L2874" s="156"/>
      <c r="M2874" s="155"/>
      <c r="N2874" s="160"/>
      <c r="O2874" s="161"/>
      <c r="P2874" s="161"/>
      <c r="Q2874" s="203"/>
      <c r="R2874" s="162"/>
      <c r="S2874" s="162"/>
      <c r="T2874" s="162"/>
      <c r="U2874" s="163"/>
      <c r="V2874" s="154"/>
      <c r="W2874" s="164"/>
      <c r="X2874" s="164"/>
      <c r="Y2874" s="164"/>
      <c r="Z2874" s="164"/>
      <c r="AA2874" s="164"/>
      <c r="AB2874" s="164"/>
      <c r="AC2874" s="164"/>
      <c r="AD2874" s="164"/>
      <c r="AE2874" s="164"/>
      <c r="AF2874" s="164"/>
      <c r="AG2874" s="164"/>
      <c r="AH2874" s="164"/>
      <c r="AI2874" s="164"/>
    </row>
    <row r="2875">
      <c r="A2875" s="154"/>
      <c r="B2875" s="155"/>
      <c r="C2875" s="156"/>
      <c r="D2875" s="156"/>
      <c r="E2875" s="155"/>
      <c r="F2875" s="156"/>
      <c r="G2875" s="154"/>
      <c r="H2875" s="157"/>
      <c r="I2875" s="158"/>
      <c r="J2875" s="159"/>
      <c r="K2875" s="156"/>
      <c r="L2875" s="156"/>
      <c r="M2875" s="155"/>
      <c r="N2875" s="160"/>
      <c r="O2875" s="161"/>
      <c r="P2875" s="161"/>
      <c r="Q2875" s="159"/>
      <c r="R2875" s="162"/>
      <c r="S2875" s="162"/>
      <c r="T2875" s="162"/>
      <c r="U2875" s="163"/>
      <c r="V2875" s="154"/>
      <c r="W2875" s="164"/>
      <c r="X2875" s="164"/>
      <c r="Y2875" s="164"/>
      <c r="Z2875" s="164"/>
      <c r="AA2875" s="164"/>
      <c r="AB2875" s="164"/>
      <c r="AC2875" s="164"/>
      <c r="AD2875" s="164"/>
      <c r="AE2875" s="164"/>
      <c r="AF2875" s="164"/>
      <c r="AG2875" s="164"/>
      <c r="AH2875" s="164"/>
      <c r="AI2875" s="164"/>
    </row>
    <row r="2876">
      <c r="A2876" s="154"/>
      <c r="B2876" s="155"/>
      <c r="C2876" s="156"/>
      <c r="D2876" s="156"/>
      <c r="E2876" s="155"/>
      <c r="F2876" s="156"/>
      <c r="G2876" s="154"/>
      <c r="H2876" s="157"/>
      <c r="I2876" s="158"/>
      <c r="J2876" s="159"/>
      <c r="K2876" s="156"/>
      <c r="L2876" s="156"/>
      <c r="M2876" s="155"/>
      <c r="N2876" s="160"/>
      <c r="O2876" s="161"/>
      <c r="P2876" s="161"/>
      <c r="Q2876" s="203"/>
      <c r="R2876" s="162"/>
      <c r="S2876" s="162"/>
      <c r="T2876" s="162"/>
      <c r="U2876" s="163"/>
      <c r="V2876" s="154"/>
      <c r="W2876" s="164"/>
      <c r="X2876" s="164"/>
      <c r="Y2876" s="164"/>
      <c r="Z2876" s="164"/>
      <c r="AA2876" s="164"/>
      <c r="AB2876" s="164"/>
      <c r="AC2876" s="164"/>
      <c r="AD2876" s="164"/>
      <c r="AE2876" s="164"/>
      <c r="AF2876" s="164"/>
      <c r="AG2876" s="164"/>
      <c r="AH2876" s="164"/>
      <c r="AI2876" s="164"/>
    </row>
    <row r="2877">
      <c r="A2877" s="154"/>
      <c r="B2877" s="155"/>
      <c r="C2877" s="156"/>
      <c r="D2877" s="156"/>
      <c r="E2877" s="155"/>
      <c r="F2877" s="156"/>
      <c r="G2877" s="154"/>
      <c r="H2877" s="157"/>
      <c r="I2877" s="158"/>
      <c r="J2877" s="159"/>
      <c r="K2877" s="156"/>
      <c r="L2877" s="156"/>
      <c r="M2877" s="155"/>
      <c r="N2877" s="160"/>
      <c r="O2877" s="161"/>
      <c r="P2877" s="161"/>
      <c r="Q2877" s="203"/>
      <c r="R2877" s="162"/>
      <c r="S2877" s="162"/>
      <c r="T2877" s="162"/>
      <c r="U2877" s="163"/>
      <c r="V2877" s="154"/>
      <c r="W2877" s="164"/>
      <c r="X2877" s="164"/>
      <c r="Y2877" s="164"/>
      <c r="Z2877" s="164"/>
      <c r="AA2877" s="164"/>
      <c r="AB2877" s="164"/>
      <c r="AC2877" s="164"/>
      <c r="AD2877" s="164"/>
      <c r="AE2877" s="164"/>
      <c r="AF2877" s="164"/>
      <c r="AG2877" s="164"/>
      <c r="AH2877" s="164"/>
      <c r="AI2877" s="164"/>
    </row>
    <row r="2878">
      <c r="A2878" s="154"/>
      <c r="B2878" s="155"/>
      <c r="C2878" s="156"/>
      <c r="D2878" s="156"/>
      <c r="E2878" s="155"/>
      <c r="F2878" s="156"/>
      <c r="G2878" s="154"/>
      <c r="H2878" s="157"/>
      <c r="I2878" s="158"/>
      <c r="J2878" s="159"/>
      <c r="K2878" s="156"/>
      <c r="L2878" s="156"/>
      <c r="M2878" s="202"/>
      <c r="N2878" s="160"/>
      <c r="O2878" s="161"/>
      <c r="P2878" s="161"/>
      <c r="Q2878" s="203"/>
      <c r="R2878" s="162"/>
      <c r="S2878" s="162"/>
      <c r="T2878" s="162"/>
      <c r="U2878" s="163"/>
      <c r="V2878" s="154"/>
      <c r="W2878" s="164"/>
      <c r="X2878" s="164"/>
      <c r="Y2878" s="164"/>
      <c r="Z2878" s="164"/>
      <c r="AA2878" s="164"/>
      <c r="AB2878" s="164"/>
      <c r="AC2878" s="164"/>
      <c r="AD2878" s="164"/>
      <c r="AE2878" s="164"/>
      <c r="AF2878" s="164"/>
      <c r="AG2878" s="164"/>
      <c r="AH2878" s="164"/>
      <c r="AI2878" s="164"/>
    </row>
    <row r="2879">
      <c r="A2879" s="154"/>
      <c r="B2879" s="155"/>
      <c r="C2879" s="156"/>
      <c r="D2879" s="156"/>
      <c r="E2879" s="155"/>
      <c r="F2879" s="156"/>
      <c r="G2879" s="154"/>
      <c r="H2879" s="157"/>
      <c r="I2879" s="158"/>
      <c r="J2879" s="159"/>
      <c r="K2879" s="156"/>
      <c r="L2879" s="156"/>
      <c r="M2879" s="155"/>
      <c r="N2879" s="160"/>
      <c r="O2879" s="161"/>
      <c r="P2879" s="161"/>
      <c r="Q2879" s="203"/>
      <c r="R2879" s="162"/>
      <c r="S2879" s="162"/>
      <c r="T2879" s="162"/>
      <c r="U2879" s="163"/>
      <c r="V2879" s="154"/>
      <c r="W2879" s="164"/>
      <c r="X2879" s="164"/>
      <c r="Y2879" s="164"/>
      <c r="Z2879" s="164"/>
      <c r="AA2879" s="164"/>
      <c r="AB2879" s="164"/>
      <c r="AC2879" s="164"/>
      <c r="AD2879" s="164"/>
      <c r="AE2879" s="164"/>
      <c r="AF2879" s="164"/>
      <c r="AG2879" s="164"/>
      <c r="AH2879" s="164"/>
      <c r="AI2879" s="164"/>
    </row>
    <row r="2880">
      <c r="A2880" s="154"/>
      <c r="B2880" s="155"/>
      <c r="C2880" s="156"/>
      <c r="D2880" s="156"/>
      <c r="E2880" s="155"/>
      <c r="F2880" s="156"/>
      <c r="G2880" s="154"/>
      <c r="H2880" s="157"/>
      <c r="I2880" s="158"/>
      <c r="J2880" s="159"/>
      <c r="K2880" s="156"/>
      <c r="L2880" s="156"/>
      <c r="M2880" s="155"/>
      <c r="N2880" s="160"/>
      <c r="O2880" s="161"/>
      <c r="P2880" s="161"/>
      <c r="Q2880" s="203"/>
      <c r="R2880" s="162"/>
      <c r="S2880" s="162"/>
      <c r="T2880" s="162"/>
      <c r="U2880" s="163"/>
      <c r="V2880" s="154"/>
      <c r="W2880" s="164"/>
      <c r="X2880" s="164"/>
      <c r="Y2880" s="164"/>
      <c r="Z2880" s="164"/>
      <c r="AA2880" s="164"/>
      <c r="AB2880" s="164"/>
      <c r="AC2880" s="164"/>
      <c r="AD2880" s="164"/>
      <c r="AE2880" s="164"/>
      <c r="AF2880" s="164"/>
      <c r="AG2880" s="164"/>
      <c r="AH2880" s="164"/>
      <c r="AI2880" s="164"/>
    </row>
    <row r="2881">
      <c r="A2881" s="154"/>
      <c r="B2881" s="155"/>
      <c r="C2881" s="156"/>
      <c r="D2881" s="156"/>
      <c r="E2881" s="155"/>
      <c r="F2881" s="156"/>
      <c r="G2881" s="154"/>
      <c r="H2881" s="157"/>
      <c r="I2881" s="158"/>
      <c r="J2881" s="159"/>
      <c r="K2881" s="156"/>
      <c r="L2881" s="156"/>
      <c r="M2881" s="155"/>
      <c r="N2881" s="160"/>
      <c r="O2881" s="161"/>
      <c r="P2881" s="161"/>
      <c r="Q2881" s="203"/>
      <c r="R2881" s="162"/>
      <c r="S2881" s="162"/>
      <c r="T2881" s="162"/>
      <c r="U2881" s="163"/>
      <c r="V2881" s="154"/>
      <c r="W2881" s="164"/>
      <c r="X2881" s="164"/>
      <c r="Y2881" s="164"/>
      <c r="Z2881" s="164"/>
      <c r="AA2881" s="164"/>
      <c r="AB2881" s="164"/>
      <c r="AC2881" s="164"/>
      <c r="AD2881" s="164"/>
      <c r="AE2881" s="164"/>
      <c r="AF2881" s="164"/>
      <c r="AG2881" s="164"/>
      <c r="AH2881" s="164"/>
      <c r="AI2881" s="164"/>
    </row>
    <row r="2882">
      <c r="A2882" s="176"/>
      <c r="B2882" s="177"/>
      <c r="C2882" s="178"/>
      <c r="D2882" s="178"/>
      <c r="E2882" s="177"/>
      <c r="F2882" s="178"/>
      <c r="G2882" s="176"/>
      <c r="H2882" s="179"/>
      <c r="I2882" s="180"/>
      <c r="J2882" s="181"/>
      <c r="K2882" s="178"/>
      <c r="L2882" s="178"/>
      <c r="M2882" s="182"/>
      <c r="N2882" s="183"/>
      <c r="O2882" s="184"/>
      <c r="P2882" s="184"/>
      <c r="Q2882" s="185"/>
      <c r="R2882" s="186"/>
      <c r="S2882" s="186"/>
      <c r="T2882" s="186"/>
      <c r="U2882" s="187"/>
      <c r="V2882" s="176"/>
      <c r="W2882" s="164"/>
      <c r="X2882" s="164"/>
      <c r="Y2882" s="164"/>
      <c r="Z2882" s="164"/>
      <c r="AA2882" s="164"/>
      <c r="AB2882" s="164"/>
      <c r="AC2882" s="164"/>
      <c r="AD2882" s="164"/>
      <c r="AE2882" s="164"/>
      <c r="AF2882" s="164"/>
      <c r="AG2882" s="164"/>
      <c r="AH2882" s="164"/>
      <c r="AI2882" s="164"/>
    </row>
    <row r="2883">
      <c r="A2883" s="154"/>
      <c r="B2883" s="155"/>
      <c r="C2883" s="156"/>
      <c r="D2883" s="156"/>
      <c r="E2883" s="155"/>
      <c r="F2883" s="156"/>
      <c r="G2883" s="154"/>
      <c r="H2883" s="157"/>
      <c r="I2883" s="158"/>
      <c r="J2883" s="159"/>
      <c r="K2883" s="156"/>
      <c r="L2883" s="156"/>
      <c r="M2883" s="155"/>
      <c r="N2883" s="160"/>
      <c r="O2883" s="161"/>
      <c r="P2883" s="161"/>
      <c r="Q2883" s="203"/>
      <c r="R2883" s="162"/>
      <c r="S2883" s="162"/>
      <c r="T2883" s="162"/>
      <c r="U2883" s="163"/>
      <c r="V2883" s="154"/>
      <c r="W2883" s="164"/>
      <c r="X2883" s="164"/>
      <c r="Y2883" s="164"/>
      <c r="Z2883" s="164"/>
      <c r="AA2883" s="164"/>
      <c r="AB2883" s="164"/>
      <c r="AC2883" s="164"/>
      <c r="AD2883" s="164"/>
      <c r="AE2883" s="164"/>
      <c r="AF2883" s="164"/>
      <c r="AG2883" s="164"/>
      <c r="AH2883" s="164"/>
      <c r="AI2883" s="164"/>
    </row>
    <row r="2884">
      <c r="A2884" s="154"/>
      <c r="B2884" s="155"/>
      <c r="C2884" s="156"/>
      <c r="D2884" s="156"/>
      <c r="E2884" s="155"/>
      <c r="F2884" s="156"/>
      <c r="G2884" s="154"/>
      <c r="H2884" s="157"/>
      <c r="I2884" s="158"/>
      <c r="J2884" s="159"/>
      <c r="K2884" s="156"/>
      <c r="L2884" s="156"/>
      <c r="M2884" s="202"/>
      <c r="N2884" s="160"/>
      <c r="O2884" s="161"/>
      <c r="P2884" s="161"/>
      <c r="Q2884" s="203"/>
      <c r="R2884" s="162"/>
      <c r="S2884" s="162"/>
      <c r="T2884" s="162"/>
      <c r="U2884" s="163"/>
      <c r="V2884" s="154"/>
      <c r="W2884" s="164"/>
      <c r="X2884" s="164"/>
      <c r="Y2884" s="164"/>
      <c r="Z2884" s="164"/>
      <c r="AA2884" s="164"/>
      <c r="AB2884" s="164"/>
      <c r="AC2884" s="164"/>
      <c r="AD2884" s="164"/>
      <c r="AE2884" s="164"/>
      <c r="AF2884" s="164"/>
      <c r="AG2884" s="164"/>
      <c r="AH2884" s="164"/>
      <c r="AI2884" s="164"/>
    </row>
    <row r="2885">
      <c r="A2885" s="154"/>
      <c r="B2885" s="155"/>
      <c r="C2885" s="156"/>
      <c r="D2885" s="156"/>
      <c r="E2885" s="155"/>
      <c r="F2885" s="156"/>
      <c r="G2885" s="154"/>
      <c r="H2885" s="157"/>
      <c r="I2885" s="158"/>
      <c r="J2885" s="159"/>
      <c r="K2885" s="156"/>
      <c r="L2885" s="156"/>
      <c r="M2885" s="155"/>
      <c r="N2885" s="160"/>
      <c r="O2885" s="161"/>
      <c r="P2885" s="161"/>
      <c r="Q2885" s="203"/>
      <c r="R2885" s="162"/>
      <c r="S2885" s="162"/>
      <c r="T2885" s="162"/>
      <c r="U2885" s="163"/>
      <c r="V2885" s="154"/>
      <c r="W2885" s="164"/>
      <c r="X2885" s="164"/>
      <c r="Y2885" s="164"/>
      <c r="Z2885" s="164"/>
      <c r="AA2885" s="164"/>
      <c r="AB2885" s="164"/>
      <c r="AC2885" s="164"/>
      <c r="AD2885" s="164"/>
      <c r="AE2885" s="164"/>
      <c r="AF2885" s="164"/>
      <c r="AG2885" s="164"/>
      <c r="AH2885" s="164"/>
      <c r="AI2885" s="164"/>
    </row>
    <row r="2886">
      <c r="A2886" s="154"/>
      <c r="B2886" s="155"/>
      <c r="C2886" s="156"/>
      <c r="D2886" s="156"/>
      <c r="E2886" s="155"/>
      <c r="F2886" s="156"/>
      <c r="G2886" s="154"/>
      <c r="H2886" s="157"/>
      <c r="I2886" s="158"/>
      <c r="J2886" s="159"/>
      <c r="K2886" s="156"/>
      <c r="L2886" s="156"/>
      <c r="M2886" s="155"/>
      <c r="N2886" s="160"/>
      <c r="O2886" s="161"/>
      <c r="P2886" s="161"/>
      <c r="Q2886" s="203"/>
      <c r="R2886" s="162"/>
      <c r="S2886" s="162"/>
      <c r="T2886" s="162"/>
      <c r="U2886" s="163"/>
      <c r="V2886" s="154"/>
      <c r="W2886" s="164"/>
      <c r="X2886" s="164"/>
      <c r="Y2886" s="164"/>
      <c r="Z2886" s="164"/>
      <c r="AA2886" s="164"/>
      <c r="AB2886" s="164"/>
      <c r="AC2886" s="164"/>
      <c r="AD2886" s="164"/>
      <c r="AE2886" s="164"/>
      <c r="AF2886" s="164"/>
      <c r="AG2886" s="164"/>
      <c r="AH2886" s="164"/>
      <c r="AI2886" s="164"/>
    </row>
    <row r="2887">
      <c r="A2887" s="154"/>
      <c r="B2887" s="155"/>
      <c r="C2887" s="156"/>
      <c r="D2887" s="156"/>
      <c r="E2887" s="155"/>
      <c r="F2887" s="156"/>
      <c r="G2887" s="154"/>
      <c r="H2887" s="157"/>
      <c r="I2887" s="158"/>
      <c r="J2887" s="159"/>
      <c r="K2887" s="156"/>
      <c r="L2887" s="156"/>
      <c r="M2887" s="155"/>
      <c r="N2887" s="160"/>
      <c r="O2887" s="161"/>
      <c r="P2887" s="161"/>
      <c r="Q2887" s="203"/>
      <c r="R2887" s="162"/>
      <c r="S2887" s="162"/>
      <c r="T2887" s="162"/>
      <c r="U2887" s="163"/>
      <c r="V2887" s="154"/>
      <c r="W2887" s="164"/>
      <c r="X2887" s="164"/>
      <c r="Y2887" s="164"/>
      <c r="Z2887" s="164"/>
      <c r="AA2887" s="164"/>
      <c r="AB2887" s="164"/>
      <c r="AC2887" s="164"/>
      <c r="AD2887" s="164"/>
      <c r="AE2887" s="164"/>
      <c r="AF2887" s="164"/>
      <c r="AG2887" s="164"/>
      <c r="AH2887" s="164"/>
      <c r="AI2887" s="164"/>
    </row>
    <row r="2888">
      <c r="A2888" s="154"/>
      <c r="B2888" s="155"/>
      <c r="C2888" s="156"/>
      <c r="D2888" s="156"/>
      <c r="E2888" s="155"/>
      <c r="F2888" s="156"/>
      <c r="G2888" s="154"/>
      <c r="H2888" s="157"/>
      <c r="I2888" s="158"/>
      <c r="J2888" s="159"/>
      <c r="K2888" s="156"/>
      <c r="L2888" s="156"/>
      <c r="M2888" s="155"/>
      <c r="N2888" s="160"/>
      <c r="O2888" s="161"/>
      <c r="P2888" s="161"/>
      <c r="Q2888" s="203"/>
      <c r="R2888" s="162"/>
      <c r="S2888" s="162"/>
      <c r="T2888" s="162"/>
      <c r="U2888" s="163"/>
      <c r="V2888" s="154"/>
      <c r="W2888" s="164"/>
      <c r="X2888" s="164"/>
      <c r="Y2888" s="164"/>
      <c r="Z2888" s="164"/>
      <c r="AA2888" s="164"/>
      <c r="AB2888" s="164"/>
      <c r="AC2888" s="164"/>
      <c r="AD2888" s="164"/>
      <c r="AE2888" s="164"/>
      <c r="AF2888" s="164"/>
      <c r="AG2888" s="164"/>
      <c r="AH2888" s="164"/>
      <c r="AI2888" s="164"/>
    </row>
    <row r="2889">
      <c r="A2889" s="154"/>
      <c r="B2889" s="155"/>
      <c r="C2889" s="156"/>
      <c r="D2889" s="156"/>
      <c r="E2889" s="155"/>
      <c r="F2889" s="156"/>
      <c r="G2889" s="154"/>
      <c r="H2889" s="157"/>
      <c r="I2889" s="158"/>
      <c r="J2889" s="159"/>
      <c r="K2889" s="156"/>
      <c r="L2889" s="156"/>
      <c r="M2889" s="155"/>
      <c r="N2889" s="160"/>
      <c r="O2889" s="161"/>
      <c r="P2889" s="161"/>
      <c r="Q2889" s="203"/>
      <c r="R2889" s="162"/>
      <c r="S2889" s="162"/>
      <c r="T2889" s="162"/>
      <c r="U2889" s="163"/>
      <c r="V2889" s="154"/>
      <c r="W2889" s="164"/>
      <c r="X2889" s="164"/>
      <c r="Y2889" s="164"/>
      <c r="Z2889" s="164"/>
      <c r="AA2889" s="164"/>
      <c r="AB2889" s="164"/>
      <c r="AC2889" s="164"/>
      <c r="AD2889" s="164"/>
      <c r="AE2889" s="164"/>
      <c r="AF2889" s="164"/>
      <c r="AG2889" s="164"/>
      <c r="AH2889" s="164"/>
      <c r="AI2889" s="164"/>
    </row>
    <row r="2890">
      <c r="A2890" s="154"/>
      <c r="B2890" s="155"/>
      <c r="C2890" s="156"/>
      <c r="D2890" s="156"/>
      <c r="E2890" s="155"/>
      <c r="F2890" s="156"/>
      <c r="G2890" s="154"/>
      <c r="H2890" s="157"/>
      <c r="I2890" s="158"/>
      <c r="J2890" s="159"/>
      <c r="K2890" s="156"/>
      <c r="L2890" s="156"/>
      <c r="M2890" s="155"/>
      <c r="N2890" s="160"/>
      <c r="O2890" s="161"/>
      <c r="P2890" s="161"/>
      <c r="Q2890" s="203"/>
      <c r="R2890" s="162"/>
      <c r="S2890" s="162"/>
      <c r="T2890" s="162"/>
      <c r="U2890" s="163"/>
      <c r="V2890" s="154"/>
      <c r="W2890" s="164"/>
      <c r="X2890" s="164"/>
      <c r="Y2890" s="164"/>
      <c r="Z2890" s="164"/>
      <c r="AA2890" s="164"/>
      <c r="AB2890" s="164"/>
      <c r="AC2890" s="164"/>
      <c r="AD2890" s="164"/>
      <c r="AE2890" s="164"/>
      <c r="AF2890" s="164"/>
      <c r="AG2890" s="164"/>
      <c r="AH2890" s="164"/>
      <c r="AI2890" s="164"/>
    </row>
    <row r="2891">
      <c r="A2891" s="154"/>
      <c r="B2891" s="155"/>
      <c r="C2891" s="156"/>
      <c r="D2891" s="156"/>
      <c r="E2891" s="155"/>
      <c r="F2891" s="156"/>
      <c r="G2891" s="154"/>
      <c r="H2891" s="157"/>
      <c r="I2891" s="158"/>
      <c r="J2891" s="159"/>
      <c r="K2891" s="156"/>
      <c r="L2891" s="156"/>
      <c r="M2891" s="202"/>
      <c r="N2891" s="160"/>
      <c r="O2891" s="161"/>
      <c r="P2891" s="161"/>
      <c r="Q2891" s="203"/>
      <c r="R2891" s="162"/>
      <c r="S2891" s="162"/>
      <c r="T2891" s="162"/>
      <c r="U2891" s="163"/>
      <c r="V2891" s="154"/>
      <c r="W2891" s="164"/>
      <c r="X2891" s="164"/>
      <c r="Y2891" s="164"/>
      <c r="Z2891" s="164"/>
      <c r="AA2891" s="164"/>
      <c r="AB2891" s="164"/>
      <c r="AC2891" s="164"/>
      <c r="AD2891" s="164"/>
      <c r="AE2891" s="164"/>
      <c r="AF2891" s="164"/>
      <c r="AG2891" s="164"/>
      <c r="AH2891" s="164"/>
      <c r="AI2891" s="164"/>
    </row>
    <row r="2892">
      <c r="A2892" s="154"/>
      <c r="B2892" s="155"/>
      <c r="C2892" s="156"/>
      <c r="D2892" s="156"/>
      <c r="E2892" s="155"/>
      <c r="F2892" s="156"/>
      <c r="G2892" s="154"/>
      <c r="H2892" s="157"/>
      <c r="I2892" s="158"/>
      <c r="J2892" s="159"/>
      <c r="K2892" s="156"/>
      <c r="L2892" s="156"/>
      <c r="M2892" s="202"/>
      <c r="N2892" s="160"/>
      <c r="O2892" s="161"/>
      <c r="P2892" s="161"/>
      <c r="Q2892" s="203"/>
      <c r="R2892" s="162"/>
      <c r="S2892" s="162"/>
      <c r="T2892" s="162"/>
      <c r="U2892" s="163"/>
      <c r="V2892" s="154"/>
      <c r="W2892" s="164"/>
      <c r="X2892" s="164"/>
      <c r="Y2892" s="164"/>
      <c r="Z2892" s="164"/>
      <c r="AA2892" s="164"/>
      <c r="AB2892" s="164"/>
      <c r="AC2892" s="164"/>
      <c r="AD2892" s="164"/>
      <c r="AE2892" s="164"/>
      <c r="AF2892" s="164"/>
      <c r="AG2892" s="164"/>
      <c r="AH2892" s="164"/>
      <c r="AI2892" s="164"/>
    </row>
    <row r="2893">
      <c r="A2893" s="176"/>
      <c r="B2893" s="177"/>
      <c r="C2893" s="178"/>
      <c r="D2893" s="178"/>
      <c r="E2893" s="177"/>
      <c r="F2893" s="178"/>
      <c r="G2893" s="176"/>
      <c r="H2893" s="179"/>
      <c r="I2893" s="180"/>
      <c r="J2893" s="181"/>
      <c r="K2893" s="178"/>
      <c r="L2893" s="178"/>
      <c r="M2893" s="182"/>
      <c r="N2893" s="183"/>
      <c r="O2893" s="184"/>
      <c r="P2893" s="184"/>
      <c r="Q2893" s="185"/>
      <c r="R2893" s="186"/>
      <c r="S2893" s="186"/>
      <c r="T2893" s="186"/>
      <c r="U2893" s="187"/>
      <c r="V2893" s="176"/>
      <c r="W2893" s="164"/>
      <c r="X2893" s="164"/>
      <c r="Y2893" s="164"/>
      <c r="Z2893" s="164"/>
      <c r="AA2893" s="164"/>
      <c r="AB2893" s="164"/>
      <c r="AC2893" s="164"/>
      <c r="AD2893" s="164"/>
      <c r="AE2893" s="164"/>
      <c r="AF2893" s="164"/>
      <c r="AG2893" s="164"/>
      <c r="AH2893" s="164"/>
      <c r="AI2893" s="164"/>
    </row>
    <row r="2894">
      <c r="A2894" s="154"/>
      <c r="B2894" s="155"/>
      <c r="C2894" s="156"/>
      <c r="D2894" s="156"/>
      <c r="E2894" s="155"/>
      <c r="F2894" s="156"/>
      <c r="G2894" s="154"/>
      <c r="H2894" s="157"/>
      <c r="I2894" s="158"/>
      <c r="J2894" s="159"/>
      <c r="K2894" s="156"/>
      <c r="L2894" s="156"/>
      <c r="M2894" s="155"/>
      <c r="N2894" s="160"/>
      <c r="O2894" s="161"/>
      <c r="P2894" s="161"/>
      <c r="Q2894" s="159"/>
      <c r="R2894" s="162"/>
      <c r="S2894" s="162"/>
      <c r="T2894" s="162"/>
      <c r="U2894" s="163"/>
      <c r="V2894" s="154"/>
      <c r="W2894" s="164"/>
      <c r="X2894" s="164"/>
      <c r="Y2894" s="164"/>
      <c r="Z2894" s="164"/>
      <c r="AA2894" s="164"/>
      <c r="AB2894" s="164"/>
      <c r="AC2894" s="164"/>
      <c r="AD2894" s="164"/>
      <c r="AE2894" s="164"/>
      <c r="AF2894" s="164"/>
      <c r="AG2894" s="164"/>
      <c r="AH2894" s="164"/>
      <c r="AI2894" s="164"/>
    </row>
    <row r="2895">
      <c r="A2895" s="154"/>
      <c r="B2895" s="155"/>
      <c r="C2895" s="156"/>
      <c r="D2895" s="156"/>
      <c r="E2895" s="155"/>
      <c r="F2895" s="156"/>
      <c r="G2895" s="154"/>
      <c r="H2895" s="157"/>
      <c r="I2895" s="158"/>
      <c r="J2895" s="159"/>
      <c r="K2895" s="156"/>
      <c r="L2895" s="156"/>
      <c r="M2895" s="155"/>
      <c r="N2895" s="160"/>
      <c r="O2895" s="161"/>
      <c r="P2895" s="161"/>
      <c r="Q2895" s="203"/>
      <c r="R2895" s="162"/>
      <c r="S2895" s="162"/>
      <c r="T2895" s="162"/>
      <c r="U2895" s="163"/>
      <c r="V2895" s="154"/>
      <c r="W2895" s="164"/>
      <c r="X2895" s="164"/>
      <c r="Y2895" s="164"/>
      <c r="Z2895" s="164"/>
      <c r="AA2895" s="164"/>
      <c r="AB2895" s="164"/>
      <c r="AC2895" s="164"/>
      <c r="AD2895" s="164"/>
      <c r="AE2895" s="164"/>
      <c r="AF2895" s="164"/>
      <c r="AG2895" s="164"/>
      <c r="AH2895" s="164"/>
      <c r="AI2895" s="164"/>
    </row>
    <row r="2896">
      <c r="A2896" s="154"/>
      <c r="B2896" s="155"/>
      <c r="C2896" s="156"/>
      <c r="D2896" s="156"/>
      <c r="E2896" s="155"/>
      <c r="F2896" s="156"/>
      <c r="G2896" s="154"/>
      <c r="H2896" s="157"/>
      <c r="I2896" s="158"/>
      <c r="J2896" s="159"/>
      <c r="K2896" s="156"/>
      <c r="L2896" s="156"/>
      <c r="M2896" s="202"/>
      <c r="N2896" s="160"/>
      <c r="O2896" s="161"/>
      <c r="P2896" s="161"/>
      <c r="Q2896" s="203"/>
      <c r="R2896" s="162"/>
      <c r="S2896" s="162"/>
      <c r="T2896" s="162"/>
      <c r="U2896" s="163"/>
      <c r="V2896" s="154"/>
      <c r="W2896" s="164"/>
      <c r="X2896" s="164"/>
      <c r="Y2896" s="164"/>
      <c r="Z2896" s="164"/>
      <c r="AA2896" s="164"/>
      <c r="AB2896" s="164"/>
      <c r="AC2896" s="164"/>
      <c r="AD2896" s="164"/>
      <c r="AE2896" s="164"/>
      <c r="AF2896" s="164"/>
      <c r="AG2896" s="164"/>
      <c r="AH2896" s="164"/>
      <c r="AI2896" s="164"/>
    </row>
    <row r="2897">
      <c r="A2897" s="154"/>
      <c r="B2897" s="155"/>
      <c r="C2897" s="156"/>
      <c r="D2897" s="156"/>
      <c r="E2897" s="155"/>
      <c r="F2897" s="156"/>
      <c r="G2897" s="154"/>
      <c r="H2897" s="157"/>
      <c r="I2897" s="158"/>
      <c r="J2897" s="159"/>
      <c r="K2897" s="156"/>
      <c r="L2897" s="156"/>
      <c r="M2897" s="155"/>
      <c r="N2897" s="160"/>
      <c r="O2897" s="161"/>
      <c r="P2897" s="161"/>
      <c r="Q2897" s="203"/>
      <c r="R2897" s="162"/>
      <c r="S2897" s="162"/>
      <c r="T2897" s="173"/>
      <c r="U2897" s="174"/>
      <c r="V2897" s="207"/>
      <c r="W2897" s="164"/>
      <c r="X2897" s="164"/>
      <c r="Y2897" s="164"/>
      <c r="Z2897" s="164"/>
      <c r="AA2897" s="164"/>
      <c r="AB2897" s="164"/>
      <c r="AC2897" s="164"/>
      <c r="AD2897" s="164"/>
      <c r="AE2897" s="164"/>
      <c r="AF2897" s="164"/>
      <c r="AG2897" s="164"/>
      <c r="AH2897" s="164"/>
      <c r="AI2897" s="164"/>
    </row>
    <row r="2898">
      <c r="A2898" s="154"/>
      <c r="B2898" s="155"/>
      <c r="C2898" s="156"/>
      <c r="D2898" s="156"/>
      <c r="E2898" s="155"/>
      <c r="F2898" s="156"/>
      <c r="G2898" s="154"/>
      <c r="H2898" s="157"/>
      <c r="I2898" s="158"/>
      <c r="J2898" s="159"/>
      <c r="K2898" s="156"/>
      <c r="L2898" s="156"/>
      <c r="M2898" s="155"/>
      <c r="N2898" s="160"/>
      <c r="O2898" s="161"/>
      <c r="P2898" s="161"/>
      <c r="Q2898" s="159"/>
      <c r="R2898" s="162"/>
      <c r="S2898" s="162"/>
      <c r="T2898" s="162"/>
      <c r="U2898" s="163"/>
      <c r="V2898" s="154"/>
      <c r="W2898" s="164"/>
      <c r="X2898" s="164"/>
      <c r="Y2898" s="164"/>
      <c r="Z2898" s="164"/>
      <c r="AA2898" s="164"/>
      <c r="AB2898" s="164"/>
      <c r="AC2898" s="164"/>
      <c r="AD2898" s="164"/>
      <c r="AE2898" s="164"/>
      <c r="AF2898" s="164"/>
      <c r="AG2898" s="164"/>
      <c r="AH2898" s="164"/>
      <c r="AI2898" s="164"/>
    </row>
    <row r="2899">
      <c r="A2899" s="154"/>
      <c r="B2899" s="155"/>
      <c r="C2899" s="156"/>
      <c r="D2899" s="156"/>
      <c r="E2899" s="155"/>
      <c r="F2899" s="156"/>
      <c r="G2899" s="154"/>
      <c r="H2899" s="157"/>
      <c r="I2899" s="158"/>
      <c r="J2899" s="159"/>
      <c r="K2899" s="156"/>
      <c r="L2899" s="156"/>
      <c r="M2899" s="202"/>
      <c r="N2899" s="160"/>
      <c r="O2899" s="161"/>
      <c r="P2899" s="161"/>
      <c r="Q2899" s="203"/>
      <c r="R2899" s="162"/>
      <c r="S2899" s="162"/>
      <c r="T2899" s="162"/>
      <c r="U2899" s="163"/>
      <c r="V2899" s="154"/>
      <c r="W2899" s="164"/>
      <c r="X2899" s="164"/>
      <c r="Y2899" s="164"/>
      <c r="Z2899" s="164"/>
      <c r="AA2899" s="164"/>
      <c r="AB2899" s="164"/>
      <c r="AC2899" s="164"/>
      <c r="AD2899" s="164"/>
      <c r="AE2899" s="164"/>
      <c r="AF2899" s="164"/>
      <c r="AG2899" s="164"/>
      <c r="AH2899" s="164"/>
      <c r="AI2899" s="164"/>
    </row>
    <row r="2900">
      <c r="A2900" s="154"/>
      <c r="B2900" s="155"/>
      <c r="C2900" s="156"/>
      <c r="D2900" s="156"/>
      <c r="E2900" s="155"/>
      <c r="F2900" s="156"/>
      <c r="G2900" s="154"/>
      <c r="H2900" s="157"/>
      <c r="I2900" s="158"/>
      <c r="J2900" s="159"/>
      <c r="K2900" s="156"/>
      <c r="L2900" s="156"/>
      <c r="M2900" s="202"/>
      <c r="N2900" s="160"/>
      <c r="O2900" s="161"/>
      <c r="P2900" s="161"/>
      <c r="Q2900" s="203"/>
      <c r="R2900" s="162"/>
      <c r="S2900" s="162"/>
      <c r="T2900" s="162"/>
      <c r="U2900" s="163"/>
      <c r="V2900" s="154"/>
      <c r="W2900" s="164"/>
      <c r="X2900" s="164"/>
      <c r="Y2900" s="164"/>
      <c r="Z2900" s="164"/>
      <c r="AA2900" s="164"/>
      <c r="AB2900" s="164"/>
      <c r="AC2900" s="164"/>
      <c r="AD2900" s="164"/>
      <c r="AE2900" s="164"/>
      <c r="AF2900" s="164"/>
      <c r="AG2900" s="164"/>
      <c r="AH2900" s="164"/>
      <c r="AI2900" s="164"/>
    </row>
    <row r="2901">
      <c r="A2901" s="154"/>
      <c r="B2901" s="155"/>
      <c r="C2901" s="156"/>
      <c r="D2901" s="156"/>
      <c r="E2901" s="155"/>
      <c r="F2901" s="156"/>
      <c r="G2901" s="154"/>
      <c r="H2901" s="157"/>
      <c r="I2901" s="158"/>
      <c r="J2901" s="159"/>
      <c r="K2901" s="156"/>
      <c r="L2901" s="156"/>
      <c r="M2901" s="155"/>
      <c r="N2901" s="160"/>
      <c r="O2901" s="161"/>
      <c r="P2901" s="161"/>
      <c r="Q2901" s="159"/>
      <c r="R2901" s="162"/>
      <c r="S2901" s="162"/>
      <c r="T2901" s="162"/>
      <c r="U2901" s="163"/>
      <c r="V2901" s="154"/>
      <c r="W2901" s="164"/>
      <c r="X2901" s="164"/>
      <c r="Y2901" s="164"/>
      <c r="Z2901" s="164"/>
      <c r="AA2901" s="164"/>
      <c r="AB2901" s="164"/>
      <c r="AC2901" s="164"/>
      <c r="AD2901" s="164"/>
      <c r="AE2901" s="164"/>
      <c r="AF2901" s="164"/>
      <c r="AG2901" s="164"/>
      <c r="AH2901" s="164"/>
      <c r="AI2901" s="164"/>
    </row>
    <row r="2902">
      <c r="A2902" s="154"/>
      <c r="B2902" s="155"/>
      <c r="C2902" s="156"/>
      <c r="D2902" s="156"/>
      <c r="E2902" s="155"/>
      <c r="F2902" s="156"/>
      <c r="G2902" s="154"/>
      <c r="H2902" s="157"/>
      <c r="I2902" s="158"/>
      <c r="J2902" s="159"/>
      <c r="K2902" s="156"/>
      <c r="L2902" s="156"/>
      <c r="M2902" s="155"/>
      <c r="N2902" s="160"/>
      <c r="O2902" s="161"/>
      <c r="P2902" s="161"/>
      <c r="Q2902" s="159"/>
      <c r="R2902" s="162"/>
      <c r="S2902" s="162"/>
      <c r="T2902" s="162"/>
      <c r="U2902" s="163"/>
      <c r="V2902" s="154"/>
      <c r="W2902" s="164"/>
      <c r="X2902" s="164"/>
      <c r="Y2902" s="164"/>
      <c r="Z2902" s="164"/>
      <c r="AA2902" s="164"/>
      <c r="AB2902" s="164"/>
      <c r="AC2902" s="164"/>
      <c r="AD2902" s="164"/>
      <c r="AE2902" s="164"/>
      <c r="AF2902" s="164"/>
      <c r="AG2902" s="164"/>
      <c r="AH2902" s="164"/>
      <c r="AI2902" s="164"/>
    </row>
    <row r="2903">
      <c r="A2903" s="154"/>
      <c r="B2903" s="155"/>
      <c r="C2903" s="156"/>
      <c r="D2903" s="156"/>
      <c r="E2903" s="155"/>
      <c r="F2903" s="156"/>
      <c r="G2903" s="154"/>
      <c r="H2903" s="157"/>
      <c r="I2903" s="158"/>
      <c r="J2903" s="159"/>
      <c r="K2903" s="156"/>
      <c r="L2903" s="156"/>
      <c r="M2903" s="155"/>
      <c r="N2903" s="160"/>
      <c r="O2903" s="161"/>
      <c r="P2903" s="161"/>
      <c r="Q2903" s="203"/>
      <c r="R2903" s="162"/>
      <c r="S2903" s="162"/>
      <c r="T2903" s="162"/>
      <c r="U2903" s="163"/>
      <c r="V2903" s="154"/>
      <c r="W2903" s="164"/>
      <c r="X2903" s="164"/>
      <c r="Y2903" s="164"/>
      <c r="Z2903" s="164"/>
      <c r="AA2903" s="164"/>
      <c r="AB2903" s="164"/>
      <c r="AC2903" s="164"/>
      <c r="AD2903" s="164"/>
      <c r="AE2903" s="164"/>
      <c r="AF2903" s="164"/>
      <c r="AG2903" s="164"/>
      <c r="AH2903" s="164"/>
      <c r="AI2903" s="164"/>
    </row>
    <row r="2904">
      <c r="A2904" s="154"/>
      <c r="B2904" s="155"/>
      <c r="C2904" s="156"/>
      <c r="D2904" s="156"/>
      <c r="E2904" s="155"/>
      <c r="F2904" s="156"/>
      <c r="G2904" s="154"/>
      <c r="H2904" s="157"/>
      <c r="I2904" s="158"/>
      <c r="J2904" s="159"/>
      <c r="K2904" s="156"/>
      <c r="L2904" s="156"/>
      <c r="M2904" s="155"/>
      <c r="N2904" s="160"/>
      <c r="O2904" s="161"/>
      <c r="P2904" s="161"/>
      <c r="Q2904" s="203"/>
      <c r="R2904" s="162"/>
      <c r="S2904" s="162"/>
      <c r="T2904" s="162"/>
      <c r="U2904" s="163"/>
      <c r="V2904" s="154"/>
      <c r="W2904" s="164"/>
      <c r="X2904" s="164"/>
      <c r="Y2904" s="164"/>
      <c r="Z2904" s="164"/>
      <c r="AA2904" s="164"/>
      <c r="AB2904" s="164"/>
      <c r="AC2904" s="164"/>
      <c r="AD2904" s="164"/>
      <c r="AE2904" s="164"/>
      <c r="AF2904" s="164"/>
      <c r="AG2904" s="164"/>
      <c r="AH2904" s="164"/>
      <c r="AI2904" s="164"/>
    </row>
    <row r="2905">
      <c r="A2905" s="154"/>
      <c r="B2905" s="155"/>
      <c r="C2905" s="156"/>
      <c r="D2905" s="156"/>
      <c r="E2905" s="155"/>
      <c r="F2905" s="156"/>
      <c r="G2905" s="154"/>
      <c r="H2905" s="157"/>
      <c r="I2905" s="158"/>
      <c r="J2905" s="159"/>
      <c r="K2905" s="156"/>
      <c r="L2905" s="156"/>
      <c r="M2905" s="155"/>
      <c r="N2905" s="160"/>
      <c r="O2905" s="161"/>
      <c r="P2905" s="161"/>
      <c r="Q2905" s="203"/>
      <c r="R2905" s="162"/>
      <c r="S2905" s="162"/>
      <c r="T2905" s="162"/>
      <c r="U2905" s="163"/>
      <c r="V2905" s="154"/>
      <c r="W2905" s="164"/>
      <c r="X2905" s="164"/>
      <c r="Y2905" s="164"/>
      <c r="Z2905" s="164"/>
      <c r="AA2905" s="164"/>
      <c r="AB2905" s="164"/>
      <c r="AC2905" s="164"/>
      <c r="AD2905" s="164"/>
      <c r="AE2905" s="164"/>
      <c r="AF2905" s="164"/>
      <c r="AG2905" s="164"/>
      <c r="AH2905" s="164"/>
      <c r="AI2905" s="164"/>
    </row>
    <row r="2906">
      <c r="A2906" s="154"/>
      <c r="B2906" s="155"/>
      <c r="C2906" s="156"/>
      <c r="D2906" s="156"/>
      <c r="E2906" s="155"/>
      <c r="F2906" s="156"/>
      <c r="G2906" s="154"/>
      <c r="H2906" s="157"/>
      <c r="I2906" s="158"/>
      <c r="J2906" s="159"/>
      <c r="K2906" s="156"/>
      <c r="L2906" s="156"/>
      <c r="M2906" s="155"/>
      <c r="N2906" s="160"/>
      <c r="O2906" s="161"/>
      <c r="P2906" s="161"/>
      <c r="Q2906" s="159"/>
      <c r="R2906" s="162"/>
      <c r="S2906" s="162"/>
      <c r="T2906" s="162"/>
      <c r="U2906" s="163"/>
      <c r="V2906" s="154"/>
      <c r="W2906" s="164"/>
      <c r="X2906" s="164"/>
      <c r="Y2906" s="164"/>
      <c r="Z2906" s="164"/>
      <c r="AA2906" s="164"/>
      <c r="AB2906" s="164"/>
      <c r="AC2906" s="164"/>
      <c r="AD2906" s="164"/>
      <c r="AE2906" s="164"/>
      <c r="AF2906" s="164"/>
      <c r="AG2906" s="164"/>
      <c r="AH2906" s="164"/>
      <c r="AI2906" s="164"/>
    </row>
    <row r="2907">
      <c r="A2907" s="154"/>
      <c r="B2907" s="155"/>
      <c r="C2907" s="156"/>
      <c r="D2907" s="156"/>
      <c r="E2907" s="155"/>
      <c r="F2907" s="156"/>
      <c r="G2907" s="154"/>
      <c r="H2907" s="157"/>
      <c r="I2907" s="158"/>
      <c r="J2907" s="159"/>
      <c r="K2907" s="156"/>
      <c r="L2907" s="156"/>
      <c r="M2907" s="155"/>
      <c r="N2907" s="160"/>
      <c r="O2907" s="161"/>
      <c r="P2907" s="161"/>
      <c r="Q2907" s="203"/>
      <c r="R2907" s="162"/>
      <c r="S2907" s="162"/>
      <c r="T2907" s="162"/>
      <c r="U2907" s="163"/>
      <c r="V2907" s="154"/>
      <c r="W2907" s="164"/>
      <c r="X2907" s="164"/>
      <c r="Y2907" s="164"/>
      <c r="Z2907" s="164"/>
      <c r="AA2907" s="164"/>
      <c r="AB2907" s="164"/>
      <c r="AC2907" s="164"/>
      <c r="AD2907" s="164"/>
      <c r="AE2907" s="164"/>
      <c r="AF2907" s="164"/>
      <c r="AG2907" s="164"/>
      <c r="AH2907" s="164"/>
      <c r="AI2907" s="164"/>
    </row>
    <row r="2908">
      <c r="A2908" s="154"/>
      <c r="B2908" s="155"/>
      <c r="C2908" s="156"/>
      <c r="D2908" s="156"/>
      <c r="E2908" s="155"/>
      <c r="F2908" s="156"/>
      <c r="G2908" s="154"/>
      <c r="H2908" s="157"/>
      <c r="I2908" s="158"/>
      <c r="J2908" s="159"/>
      <c r="K2908" s="156"/>
      <c r="L2908" s="156"/>
      <c r="M2908" s="155"/>
      <c r="N2908" s="160"/>
      <c r="O2908" s="161"/>
      <c r="P2908" s="161"/>
      <c r="Q2908" s="159"/>
      <c r="R2908" s="162"/>
      <c r="S2908" s="162"/>
      <c r="T2908" s="162"/>
      <c r="U2908" s="163"/>
      <c r="V2908" s="154"/>
      <c r="W2908" s="164"/>
      <c r="X2908" s="164"/>
      <c r="Y2908" s="164"/>
      <c r="Z2908" s="164"/>
      <c r="AA2908" s="164"/>
      <c r="AB2908" s="164"/>
      <c r="AC2908" s="164"/>
      <c r="AD2908" s="164"/>
      <c r="AE2908" s="164"/>
      <c r="AF2908" s="164"/>
      <c r="AG2908" s="164"/>
      <c r="AH2908" s="164"/>
      <c r="AI2908" s="164"/>
    </row>
    <row r="2909">
      <c r="A2909" s="154"/>
      <c r="B2909" s="155"/>
      <c r="C2909" s="156"/>
      <c r="D2909" s="156"/>
      <c r="E2909" s="155"/>
      <c r="F2909" s="156"/>
      <c r="G2909" s="154"/>
      <c r="H2909" s="157"/>
      <c r="I2909" s="158"/>
      <c r="J2909" s="159"/>
      <c r="K2909" s="156"/>
      <c r="L2909" s="156"/>
      <c r="M2909" s="155"/>
      <c r="N2909" s="160"/>
      <c r="O2909" s="161"/>
      <c r="P2909" s="161"/>
      <c r="Q2909" s="203"/>
      <c r="R2909" s="162"/>
      <c r="S2909" s="162"/>
      <c r="T2909" s="162"/>
      <c r="U2909" s="163"/>
      <c r="V2909" s="154"/>
      <c r="W2909" s="164"/>
      <c r="X2909" s="164"/>
      <c r="Y2909" s="164"/>
      <c r="Z2909" s="164"/>
      <c r="AA2909" s="164"/>
      <c r="AB2909" s="164"/>
      <c r="AC2909" s="164"/>
      <c r="AD2909" s="164"/>
      <c r="AE2909" s="164"/>
      <c r="AF2909" s="164"/>
      <c r="AG2909" s="164"/>
      <c r="AH2909" s="164"/>
      <c r="AI2909" s="164"/>
    </row>
    <row r="2910">
      <c r="A2910" s="154"/>
      <c r="B2910" s="155"/>
      <c r="C2910" s="156"/>
      <c r="D2910" s="156"/>
      <c r="E2910" s="155"/>
      <c r="F2910" s="156"/>
      <c r="G2910" s="154"/>
      <c r="H2910" s="157"/>
      <c r="I2910" s="158"/>
      <c r="J2910" s="159"/>
      <c r="K2910" s="156"/>
      <c r="L2910" s="156"/>
      <c r="M2910" s="155"/>
      <c r="N2910" s="160"/>
      <c r="O2910" s="161"/>
      <c r="P2910" s="161"/>
      <c r="Q2910" s="159"/>
      <c r="R2910" s="162"/>
      <c r="S2910" s="162"/>
      <c r="T2910" s="162"/>
      <c r="U2910" s="163"/>
      <c r="V2910" s="154"/>
      <c r="W2910" s="164"/>
      <c r="X2910" s="164"/>
      <c r="Y2910" s="164"/>
      <c r="Z2910" s="164"/>
      <c r="AA2910" s="164"/>
      <c r="AB2910" s="164"/>
      <c r="AC2910" s="164"/>
      <c r="AD2910" s="164"/>
      <c r="AE2910" s="164"/>
      <c r="AF2910" s="164"/>
      <c r="AG2910" s="164"/>
      <c r="AH2910" s="164"/>
      <c r="AI2910" s="164"/>
    </row>
    <row r="2911">
      <c r="A2911" s="154"/>
      <c r="B2911" s="155"/>
      <c r="C2911" s="156"/>
      <c r="D2911" s="156"/>
      <c r="E2911" s="155"/>
      <c r="F2911" s="156"/>
      <c r="G2911" s="154"/>
      <c r="H2911" s="157"/>
      <c r="I2911" s="158"/>
      <c r="J2911" s="159"/>
      <c r="K2911" s="156"/>
      <c r="L2911" s="156"/>
      <c r="M2911" s="155"/>
      <c r="N2911" s="160"/>
      <c r="O2911" s="161"/>
      <c r="P2911" s="161"/>
      <c r="Q2911" s="159"/>
      <c r="R2911" s="162"/>
      <c r="S2911" s="162"/>
      <c r="T2911" s="162"/>
      <c r="U2911" s="163"/>
      <c r="V2911" s="154"/>
      <c r="W2911" s="164"/>
      <c r="X2911" s="164"/>
      <c r="Y2911" s="164"/>
      <c r="Z2911" s="164"/>
      <c r="AA2911" s="164"/>
      <c r="AB2911" s="164"/>
      <c r="AC2911" s="164"/>
      <c r="AD2911" s="164"/>
      <c r="AE2911" s="164"/>
      <c r="AF2911" s="164"/>
      <c r="AG2911" s="164"/>
      <c r="AH2911" s="164"/>
      <c r="AI2911" s="164"/>
    </row>
    <row r="2912">
      <c r="A2912" s="154"/>
      <c r="B2912" s="155"/>
      <c r="C2912" s="156"/>
      <c r="D2912" s="156"/>
      <c r="E2912" s="155"/>
      <c r="F2912" s="156"/>
      <c r="G2912" s="154"/>
      <c r="H2912" s="157"/>
      <c r="I2912" s="158"/>
      <c r="J2912" s="159"/>
      <c r="K2912" s="156"/>
      <c r="L2912" s="156"/>
      <c r="M2912" s="155"/>
      <c r="N2912" s="160"/>
      <c r="O2912" s="161"/>
      <c r="P2912" s="161"/>
      <c r="Q2912" s="203"/>
      <c r="R2912" s="162"/>
      <c r="S2912" s="162"/>
      <c r="T2912" s="162"/>
      <c r="U2912" s="163"/>
      <c r="V2912" s="154"/>
      <c r="W2912" s="164"/>
      <c r="X2912" s="164"/>
      <c r="Y2912" s="164"/>
      <c r="Z2912" s="164"/>
      <c r="AA2912" s="164"/>
      <c r="AB2912" s="164"/>
      <c r="AC2912" s="164"/>
      <c r="AD2912" s="164"/>
      <c r="AE2912" s="164"/>
      <c r="AF2912" s="164"/>
      <c r="AG2912" s="164"/>
      <c r="AH2912" s="164"/>
      <c r="AI2912" s="164"/>
    </row>
    <row r="2913">
      <c r="A2913" s="154"/>
      <c r="B2913" s="155"/>
      <c r="C2913" s="156"/>
      <c r="D2913" s="156"/>
      <c r="E2913" s="155"/>
      <c r="F2913" s="156"/>
      <c r="G2913" s="154"/>
      <c r="H2913" s="157"/>
      <c r="I2913" s="158"/>
      <c r="J2913" s="159"/>
      <c r="K2913" s="156"/>
      <c r="L2913" s="156"/>
      <c r="M2913" s="202"/>
      <c r="N2913" s="160"/>
      <c r="O2913" s="161"/>
      <c r="P2913" s="161"/>
      <c r="Q2913" s="203"/>
      <c r="R2913" s="162"/>
      <c r="S2913" s="162"/>
      <c r="T2913" s="162"/>
      <c r="U2913" s="163"/>
      <c r="V2913" s="154"/>
      <c r="W2913" s="164"/>
      <c r="X2913" s="164"/>
      <c r="Y2913" s="164"/>
      <c r="Z2913" s="164"/>
      <c r="AA2913" s="164"/>
      <c r="AB2913" s="164"/>
      <c r="AC2913" s="164"/>
      <c r="AD2913" s="164"/>
      <c r="AE2913" s="164"/>
      <c r="AF2913" s="164"/>
      <c r="AG2913" s="164"/>
      <c r="AH2913" s="164"/>
      <c r="AI2913" s="164"/>
    </row>
    <row r="2914">
      <c r="A2914" s="154"/>
      <c r="B2914" s="155"/>
      <c r="C2914" s="156"/>
      <c r="D2914" s="156"/>
      <c r="E2914" s="155"/>
      <c r="F2914" s="156"/>
      <c r="G2914" s="154"/>
      <c r="H2914" s="157"/>
      <c r="I2914" s="158"/>
      <c r="J2914" s="159"/>
      <c r="K2914" s="156"/>
      <c r="L2914" s="156"/>
      <c r="M2914" s="202"/>
      <c r="N2914" s="160"/>
      <c r="O2914" s="161"/>
      <c r="P2914" s="161"/>
      <c r="Q2914" s="203"/>
      <c r="R2914" s="162"/>
      <c r="S2914" s="162"/>
      <c r="T2914" s="162"/>
      <c r="U2914" s="163"/>
      <c r="V2914" s="154"/>
      <c r="W2914" s="164"/>
      <c r="X2914" s="164"/>
      <c r="Y2914" s="164"/>
      <c r="Z2914" s="164"/>
      <c r="AA2914" s="164"/>
      <c r="AB2914" s="164"/>
      <c r="AC2914" s="164"/>
      <c r="AD2914" s="164"/>
      <c r="AE2914" s="164"/>
      <c r="AF2914" s="164"/>
      <c r="AG2914" s="164"/>
      <c r="AH2914" s="164"/>
      <c r="AI2914" s="164"/>
    </row>
    <row r="2915">
      <c r="A2915" s="154"/>
      <c r="B2915" s="155"/>
      <c r="C2915" s="156"/>
      <c r="D2915" s="156"/>
      <c r="E2915" s="155"/>
      <c r="F2915" s="156"/>
      <c r="G2915" s="154"/>
      <c r="H2915" s="157"/>
      <c r="I2915" s="158"/>
      <c r="J2915" s="159"/>
      <c r="K2915" s="156"/>
      <c r="L2915" s="156"/>
      <c r="M2915" s="202"/>
      <c r="N2915" s="160"/>
      <c r="O2915" s="161"/>
      <c r="P2915" s="161"/>
      <c r="Q2915" s="203"/>
      <c r="R2915" s="162"/>
      <c r="S2915" s="162"/>
      <c r="T2915" s="162"/>
      <c r="U2915" s="163"/>
      <c r="V2915" s="154"/>
      <c r="W2915" s="164"/>
      <c r="X2915" s="164"/>
      <c r="Y2915" s="164"/>
      <c r="Z2915" s="164"/>
      <c r="AA2915" s="164"/>
      <c r="AB2915" s="164"/>
      <c r="AC2915" s="164"/>
      <c r="AD2915" s="164"/>
      <c r="AE2915" s="164"/>
      <c r="AF2915" s="164"/>
      <c r="AG2915" s="164"/>
      <c r="AH2915" s="164"/>
      <c r="AI2915" s="164"/>
    </row>
    <row r="2916">
      <c r="A2916" s="154"/>
      <c r="B2916" s="155"/>
      <c r="C2916" s="156"/>
      <c r="D2916" s="156"/>
      <c r="E2916" s="155"/>
      <c r="F2916" s="156"/>
      <c r="G2916" s="154"/>
      <c r="H2916" s="157"/>
      <c r="I2916" s="158"/>
      <c r="J2916" s="159"/>
      <c r="K2916" s="156"/>
      <c r="L2916" s="156"/>
      <c r="M2916" s="202"/>
      <c r="N2916" s="160"/>
      <c r="O2916" s="161"/>
      <c r="P2916" s="161"/>
      <c r="Q2916" s="203"/>
      <c r="R2916" s="162"/>
      <c r="S2916" s="162"/>
      <c r="T2916" s="162"/>
      <c r="U2916" s="163"/>
      <c r="V2916" s="154"/>
      <c r="W2916" s="164"/>
      <c r="X2916" s="164"/>
      <c r="Y2916" s="164"/>
      <c r="Z2916" s="164"/>
      <c r="AA2916" s="164"/>
      <c r="AB2916" s="164"/>
      <c r="AC2916" s="164"/>
      <c r="AD2916" s="164"/>
      <c r="AE2916" s="164"/>
      <c r="AF2916" s="164"/>
      <c r="AG2916" s="164"/>
      <c r="AH2916" s="164"/>
      <c r="AI2916" s="164"/>
    </row>
    <row r="2917">
      <c r="A2917" s="154"/>
      <c r="B2917" s="155"/>
      <c r="C2917" s="156"/>
      <c r="D2917" s="156"/>
      <c r="E2917" s="155"/>
      <c r="F2917" s="156"/>
      <c r="G2917" s="154"/>
      <c r="H2917" s="157"/>
      <c r="I2917" s="158"/>
      <c r="J2917" s="159"/>
      <c r="K2917" s="156"/>
      <c r="L2917" s="156"/>
      <c r="M2917" s="202"/>
      <c r="N2917" s="160"/>
      <c r="O2917" s="161"/>
      <c r="P2917" s="161"/>
      <c r="Q2917" s="203"/>
      <c r="R2917" s="162"/>
      <c r="S2917" s="162"/>
      <c r="T2917" s="162"/>
      <c r="U2917" s="163"/>
      <c r="V2917" s="154"/>
      <c r="W2917" s="164"/>
      <c r="X2917" s="164"/>
      <c r="Y2917" s="164"/>
      <c r="Z2917" s="164"/>
      <c r="AA2917" s="164"/>
      <c r="AB2917" s="164"/>
      <c r="AC2917" s="164"/>
      <c r="AD2917" s="164"/>
      <c r="AE2917" s="164"/>
      <c r="AF2917" s="164"/>
      <c r="AG2917" s="164"/>
      <c r="AH2917" s="164"/>
      <c r="AI2917" s="164"/>
    </row>
    <row r="2918">
      <c r="A2918" s="154"/>
      <c r="B2918" s="155"/>
      <c r="C2918" s="156"/>
      <c r="D2918" s="156"/>
      <c r="E2918" s="155"/>
      <c r="F2918" s="156"/>
      <c r="G2918" s="154"/>
      <c r="H2918" s="157"/>
      <c r="I2918" s="158"/>
      <c r="J2918" s="159"/>
      <c r="K2918" s="156"/>
      <c r="L2918" s="156"/>
      <c r="M2918" s="155"/>
      <c r="N2918" s="160"/>
      <c r="O2918" s="161"/>
      <c r="P2918" s="161"/>
      <c r="Q2918" s="203"/>
      <c r="R2918" s="162"/>
      <c r="S2918" s="162"/>
      <c r="T2918" s="162"/>
      <c r="U2918" s="163"/>
      <c r="V2918" s="154"/>
      <c r="W2918" s="164"/>
      <c r="X2918" s="164"/>
      <c r="Y2918" s="164"/>
      <c r="Z2918" s="164"/>
      <c r="AA2918" s="164"/>
      <c r="AB2918" s="164"/>
      <c r="AC2918" s="164"/>
      <c r="AD2918" s="164"/>
      <c r="AE2918" s="164"/>
      <c r="AF2918" s="164"/>
      <c r="AG2918" s="164"/>
      <c r="AH2918" s="164"/>
      <c r="AI2918" s="164"/>
    </row>
    <row r="2919">
      <c r="A2919" s="154"/>
      <c r="B2919" s="155"/>
      <c r="C2919" s="156"/>
      <c r="D2919" s="156"/>
      <c r="E2919" s="155"/>
      <c r="F2919" s="156"/>
      <c r="G2919" s="154"/>
      <c r="H2919" s="157"/>
      <c r="I2919" s="158"/>
      <c r="J2919" s="159"/>
      <c r="K2919" s="156"/>
      <c r="L2919" s="156"/>
      <c r="M2919" s="155"/>
      <c r="N2919" s="160"/>
      <c r="O2919" s="161"/>
      <c r="P2919" s="161"/>
      <c r="Q2919" s="159"/>
      <c r="R2919" s="162"/>
      <c r="S2919" s="162"/>
      <c r="T2919" s="162"/>
      <c r="U2919" s="163"/>
      <c r="V2919" s="154"/>
      <c r="W2919" s="164"/>
      <c r="X2919" s="164"/>
      <c r="Y2919" s="164"/>
      <c r="Z2919" s="164"/>
      <c r="AA2919" s="164"/>
      <c r="AB2919" s="164"/>
      <c r="AC2919" s="164"/>
      <c r="AD2919" s="164"/>
      <c r="AE2919" s="164"/>
      <c r="AF2919" s="164"/>
      <c r="AG2919" s="164"/>
      <c r="AH2919" s="164"/>
      <c r="AI2919" s="164"/>
    </row>
    <row r="2920">
      <c r="A2920" s="154"/>
      <c r="B2920" s="155"/>
      <c r="C2920" s="156"/>
      <c r="D2920" s="156"/>
      <c r="E2920" s="155"/>
      <c r="F2920" s="156"/>
      <c r="G2920" s="154"/>
      <c r="H2920" s="157"/>
      <c r="I2920" s="158"/>
      <c r="J2920" s="159"/>
      <c r="K2920" s="156"/>
      <c r="L2920" s="156"/>
      <c r="M2920" s="155"/>
      <c r="N2920" s="160"/>
      <c r="O2920" s="161"/>
      <c r="P2920" s="161"/>
      <c r="Q2920" s="203"/>
      <c r="R2920" s="162"/>
      <c r="S2920" s="162"/>
      <c r="T2920" s="162"/>
      <c r="U2920" s="163"/>
      <c r="V2920" s="154"/>
      <c r="W2920" s="164"/>
      <c r="X2920" s="164"/>
      <c r="Y2920" s="164"/>
      <c r="Z2920" s="164"/>
      <c r="AA2920" s="164"/>
      <c r="AB2920" s="164"/>
      <c r="AC2920" s="164"/>
      <c r="AD2920" s="164"/>
      <c r="AE2920" s="164"/>
      <c r="AF2920" s="164"/>
      <c r="AG2920" s="164"/>
      <c r="AH2920" s="164"/>
      <c r="AI2920" s="164"/>
    </row>
    <row r="2921">
      <c r="A2921" s="154"/>
      <c r="B2921" s="155"/>
      <c r="C2921" s="156"/>
      <c r="D2921" s="156"/>
      <c r="E2921" s="155"/>
      <c r="F2921" s="156"/>
      <c r="G2921" s="154"/>
      <c r="H2921" s="157"/>
      <c r="I2921" s="158"/>
      <c r="J2921" s="159"/>
      <c r="K2921" s="156"/>
      <c r="L2921" s="156"/>
      <c r="M2921" s="155"/>
      <c r="N2921" s="160"/>
      <c r="O2921" s="161"/>
      <c r="P2921" s="161"/>
      <c r="Q2921" s="159"/>
      <c r="R2921" s="162"/>
      <c r="S2921" s="162"/>
      <c r="T2921" s="162"/>
      <c r="U2921" s="163"/>
      <c r="V2921" s="154"/>
      <c r="W2921" s="164"/>
      <c r="X2921" s="164"/>
      <c r="Y2921" s="164"/>
      <c r="Z2921" s="164"/>
      <c r="AA2921" s="164"/>
      <c r="AB2921" s="164"/>
      <c r="AC2921" s="164"/>
      <c r="AD2921" s="164"/>
      <c r="AE2921" s="164"/>
      <c r="AF2921" s="164"/>
      <c r="AG2921" s="164"/>
      <c r="AH2921" s="164"/>
      <c r="AI2921" s="164"/>
    </row>
    <row r="2922">
      <c r="A2922" s="154"/>
      <c r="B2922" s="155"/>
      <c r="C2922" s="156"/>
      <c r="D2922" s="156"/>
      <c r="E2922" s="155"/>
      <c r="F2922" s="156"/>
      <c r="G2922" s="154"/>
      <c r="H2922" s="157"/>
      <c r="I2922" s="158"/>
      <c r="J2922" s="159"/>
      <c r="K2922" s="156"/>
      <c r="L2922" s="156"/>
      <c r="M2922" s="202"/>
      <c r="N2922" s="160"/>
      <c r="O2922" s="161"/>
      <c r="P2922" s="161"/>
      <c r="Q2922" s="203"/>
      <c r="R2922" s="162"/>
      <c r="S2922" s="162"/>
      <c r="T2922" s="162"/>
      <c r="U2922" s="163"/>
      <c r="V2922" s="154"/>
      <c r="W2922" s="164"/>
      <c r="X2922" s="164"/>
      <c r="Y2922" s="164"/>
      <c r="Z2922" s="164"/>
      <c r="AA2922" s="164"/>
      <c r="AB2922" s="164"/>
      <c r="AC2922" s="164"/>
      <c r="AD2922" s="164"/>
      <c r="AE2922" s="164"/>
      <c r="AF2922" s="164"/>
      <c r="AG2922" s="164"/>
      <c r="AH2922" s="164"/>
      <c r="AI2922" s="164"/>
    </row>
    <row r="2923">
      <c r="A2923" s="154"/>
      <c r="B2923" s="155"/>
      <c r="C2923" s="156"/>
      <c r="D2923" s="156"/>
      <c r="E2923" s="155"/>
      <c r="F2923" s="156"/>
      <c r="G2923" s="154"/>
      <c r="H2923" s="157"/>
      <c r="I2923" s="158"/>
      <c r="J2923" s="159"/>
      <c r="K2923" s="156"/>
      <c r="L2923" s="156"/>
      <c r="M2923" s="155"/>
      <c r="N2923" s="160"/>
      <c r="O2923" s="161"/>
      <c r="P2923" s="161"/>
      <c r="Q2923" s="203"/>
      <c r="R2923" s="162"/>
      <c r="S2923" s="162"/>
      <c r="T2923" s="162"/>
      <c r="U2923" s="163"/>
      <c r="V2923" s="154"/>
      <c r="W2923" s="164"/>
      <c r="X2923" s="164"/>
      <c r="Y2923" s="164"/>
      <c r="Z2923" s="164"/>
      <c r="AA2923" s="164"/>
      <c r="AB2923" s="164"/>
      <c r="AC2923" s="164"/>
      <c r="AD2923" s="164"/>
      <c r="AE2923" s="164"/>
      <c r="AF2923" s="164"/>
      <c r="AG2923" s="164"/>
      <c r="AH2923" s="164"/>
      <c r="AI2923" s="164"/>
    </row>
    <row r="2924">
      <c r="A2924" s="154"/>
      <c r="B2924" s="155"/>
      <c r="C2924" s="156"/>
      <c r="D2924" s="156"/>
      <c r="E2924" s="155"/>
      <c r="F2924" s="156"/>
      <c r="G2924" s="154"/>
      <c r="H2924" s="157"/>
      <c r="I2924" s="158"/>
      <c r="J2924" s="159"/>
      <c r="K2924" s="156"/>
      <c r="L2924" s="156"/>
      <c r="M2924" s="155"/>
      <c r="N2924" s="160"/>
      <c r="O2924" s="161"/>
      <c r="P2924" s="161"/>
      <c r="Q2924" s="203"/>
      <c r="R2924" s="162"/>
      <c r="S2924" s="162"/>
      <c r="T2924" s="162"/>
      <c r="U2924" s="163"/>
      <c r="V2924" s="154"/>
      <c r="W2924" s="164"/>
      <c r="X2924" s="164"/>
      <c r="Y2924" s="164"/>
      <c r="Z2924" s="164"/>
      <c r="AA2924" s="164"/>
      <c r="AB2924" s="164"/>
      <c r="AC2924" s="164"/>
      <c r="AD2924" s="164"/>
      <c r="AE2924" s="164"/>
      <c r="AF2924" s="164"/>
      <c r="AG2924" s="164"/>
      <c r="AH2924" s="164"/>
      <c r="AI2924" s="164"/>
    </row>
    <row r="2925">
      <c r="A2925" s="154"/>
      <c r="B2925" s="155"/>
      <c r="C2925" s="156"/>
      <c r="D2925" s="156"/>
      <c r="E2925" s="155"/>
      <c r="F2925" s="156"/>
      <c r="G2925" s="154"/>
      <c r="H2925" s="157"/>
      <c r="I2925" s="158"/>
      <c r="J2925" s="159"/>
      <c r="K2925" s="156"/>
      <c r="L2925" s="156"/>
      <c r="M2925" s="155"/>
      <c r="N2925" s="160"/>
      <c r="O2925" s="161"/>
      <c r="P2925" s="161"/>
      <c r="Q2925" s="159"/>
      <c r="R2925" s="162"/>
      <c r="S2925" s="162"/>
      <c r="T2925" s="162"/>
      <c r="U2925" s="163"/>
      <c r="V2925" s="154"/>
      <c r="W2925" s="164"/>
      <c r="X2925" s="164"/>
      <c r="Y2925" s="164"/>
      <c r="Z2925" s="164"/>
      <c r="AA2925" s="164"/>
      <c r="AB2925" s="164"/>
      <c r="AC2925" s="164"/>
      <c r="AD2925" s="164"/>
      <c r="AE2925" s="164"/>
      <c r="AF2925" s="164"/>
      <c r="AG2925" s="164"/>
      <c r="AH2925" s="164"/>
      <c r="AI2925" s="164"/>
    </row>
    <row r="2926">
      <c r="A2926" s="154"/>
      <c r="B2926" s="155"/>
      <c r="C2926" s="156"/>
      <c r="D2926" s="156"/>
      <c r="E2926" s="155"/>
      <c r="F2926" s="156"/>
      <c r="G2926" s="154"/>
      <c r="H2926" s="157"/>
      <c r="I2926" s="158"/>
      <c r="J2926" s="159"/>
      <c r="K2926" s="156"/>
      <c r="L2926" s="156"/>
      <c r="M2926" s="155"/>
      <c r="N2926" s="160"/>
      <c r="O2926" s="161"/>
      <c r="P2926" s="161"/>
      <c r="Q2926" s="203"/>
      <c r="R2926" s="162"/>
      <c r="S2926" s="162"/>
      <c r="T2926" s="162"/>
      <c r="U2926" s="163"/>
      <c r="V2926" s="154"/>
      <c r="W2926" s="164"/>
      <c r="X2926" s="164"/>
      <c r="Y2926" s="164"/>
      <c r="Z2926" s="164"/>
      <c r="AA2926" s="164"/>
      <c r="AB2926" s="164"/>
      <c r="AC2926" s="164"/>
      <c r="AD2926" s="164"/>
      <c r="AE2926" s="164"/>
      <c r="AF2926" s="164"/>
      <c r="AG2926" s="164"/>
      <c r="AH2926" s="164"/>
      <c r="AI2926" s="164"/>
    </row>
    <row r="2927">
      <c r="A2927" s="154"/>
      <c r="B2927" s="155"/>
      <c r="C2927" s="156"/>
      <c r="D2927" s="156"/>
      <c r="E2927" s="155"/>
      <c r="F2927" s="156"/>
      <c r="G2927" s="154"/>
      <c r="H2927" s="157"/>
      <c r="I2927" s="158"/>
      <c r="J2927" s="159"/>
      <c r="K2927" s="156"/>
      <c r="L2927" s="156"/>
      <c r="M2927" s="155"/>
      <c r="N2927" s="160"/>
      <c r="O2927" s="161"/>
      <c r="P2927" s="161"/>
      <c r="Q2927" s="203"/>
      <c r="R2927" s="162"/>
      <c r="S2927" s="162"/>
      <c r="T2927" s="162"/>
      <c r="U2927" s="163"/>
      <c r="V2927" s="154"/>
      <c r="W2927" s="164"/>
      <c r="X2927" s="164"/>
      <c r="Y2927" s="164"/>
      <c r="Z2927" s="164"/>
      <c r="AA2927" s="164"/>
      <c r="AB2927" s="164"/>
      <c r="AC2927" s="164"/>
      <c r="AD2927" s="164"/>
      <c r="AE2927" s="164"/>
      <c r="AF2927" s="164"/>
      <c r="AG2927" s="164"/>
      <c r="AH2927" s="164"/>
      <c r="AI2927" s="164"/>
    </row>
    <row r="2928">
      <c r="A2928" s="154"/>
      <c r="B2928" s="155"/>
      <c r="C2928" s="156"/>
      <c r="D2928" s="156"/>
      <c r="E2928" s="155"/>
      <c r="F2928" s="156"/>
      <c r="G2928" s="154"/>
      <c r="H2928" s="157"/>
      <c r="I2928" s="158"/>
      <c r="J2928" s="159"/>
      <c r="K2928" s="156"/>
      <c r="L2928" s="156"/>
      <c r="M2928" s="155"/>
      <c r="N2928" s="160"/>
      <c r="O2928" s="161"/>
      <c r="P2928" s="161"/>
      <c r="Q2928" s="203"/>
      <c r="R2928" s="162"/>
      <c r="S2928" s="162"/>
      <c r="T2928" s="162"/>
      <c r="U2928" s="163"/>
      <c r="V2928" s="154"/>
      <c r="W2928" s="164"/>
      <c r="X2928" s="164"/>
      <c r="Y2928" s="164"/>
      <c r="Z2928" s="164"/>
      <c r="AA2928" s="164"/>
      <c r="AB2928" s="164"/>
      <c r="AC2928" s="164"/>
      <c r="AD2928" s="164"/>
      <c r="AE2928" s="164"/>
      <c r="AF2928" s="164"/>
      <c r="AG2928" s="164"/>
      <c r="AH2928" s="164"/>
      <c r="AI2928" s="164"/>
    </row>
    <row r="2929">
      <c r="A2929" s="154"/>
      <c r="B2929" s="155"/>
      <c r="C2929" s="156"/>
      <c r="D2929" s="156"/>
      <c r="E2929" s="155"/>
      <c r="F2929" s="156"/>
      <c r="G2929" s="154"/>
      <c r="H2929" s="157"/>
      <c r="I2929" s="158"/>
      <c r="J2929" s="159"/>
      <c r="K2929" s="156"/>
      <c r="L2929" s="156"/>
      <c r="M2929" s="155"/>
      <c r="N2929" s="160"/>
      <c r="O2929" s="161"/>
      <c r="P2929" s="161"/>
      <c r="Q2929" s="203"/>
      <c r="R2929" s="162"/>
      <c r="S2929" s="162"/>
      <c r="T2929" s="162"/>
      <c r="U2929" s="163"/>
      <c r="V2929" s="154"/>
      <c r="W2929" s="164"/>
      <c r="X2929" s="164"/>
      <c r="Y2929" s="164"/>
      <c r="Z2929" s="164"/>
      <c r="AA2929" s="164"/>
      <c r="AB2929" s="164"/>
      <c r="AC2929" s="164"/>
      <c r="AD2929" s="164"/>
      <c r="AE2929" s="164"/>
      <c r="AF2929" s="164"/>
      <c r="AG2929" s="164"/>
      <c r="AH2929" s="164"/>
      <c r="AI2929" s="164"/>
    </row>
    <row r="2930">
      <c r="A2930" s="154"/>
      <c r="B2930" s="155"/>
      <c r="C2930" s="156"/>
      <c r="D2930" s="156"/>
      <c r="E2930" s="155"/>
      <c r="F2930" s="156"/>
      <c r="G2930" s="154"/>
      <c r="H2930" s="157"/>
      <c r="I2930" s="158"/>
      <c r="J2930" s="159"/>
      <c r="K2930" s="156"/>
      <c r="L2930" s="156"/>
      <c r="M2930" s="155"/>
      <c r="N2930" s="160"/>
      <c r="O2930" s="161"/>
      <c r="P2930" s="161"/>
      <c r="Q2930" s="203"/>
      <c r="R2930" s="162"/>
      <c r="S2930" s="162"/>
      <c r="T2930" s="162"/>
      <c r="U2930" s="163"/>
      <c r="V2930" s="154"/>
      <c r="W2930" s="164"/>
      <c r="X2930" s="164"/>
      <c r="Y2930" s="164"/>
      <c r="Z2930" s="164"/>
      <c r="AA2930" s="164"/>
      <c r="AB2930" s="164"/>
      <c r="AC2930" s="164"/>
      <c r="AD2930" s="164"/>
      <c r="AE2930" s="164"/>
      <c r="AF2930" s="164"/>
      <c r="AG2930" s="164"/>
      <c r="AH2930" s="164"/>
      <c r="AI2930" s="164"/>
    </row>
    <row r="2931">
      <c r="A2931" s="154"/>
      <c r="B2931" s="155"/>
      <c r="C2931" s="156"/>
      <c r="D2931" s="156"/>
      <c r="E2931" s="155"/>
      <c r="F2931" s="156"/>
      <c r="G2931" s="154"/>
      <c r="H2931" s="157"/>
      <c r="I2931" s="158"/>
      <c r="J2931" s="159"/>
      <c r="K2931" s="156"/>
      <c r="L2931" s="156"/>
      <c r="M2931" s="155"/>
      <c r="N2931" s="160"/>
      <c r="O2931" s="161"/>
      <c r="P2931" s="161"/>
      <c r="Q2931" s="203"/>
      <c r="R2931" s="162"/>
      <c r="S2931" s="162"/>
      <c r="T2931" s="162"/>
      <c r="U2931" s="163"/>
      <c r="V2931" s="154"/>
      <c r="W2931" s="164"/>
      <c r="X2931" s="164"/>
      <c r="Y2931" s="164"/>
      <c r="Z2931" s="164"/>
      <c r="AA2931" s="164"/>
      <c r="AB2931" s="164"/>
      <c r="AC2931" s="164"/>
      <c r="AD2931" s="164"/>
      <c r="AE2931" s="164"/>
      <c r="AF2931" s="164"/>
      <c r="AG2931" s="164"/>
      <c r="AH2931" s="164"/>
      <c r="AI2931" s="164"/>
    </row>
    <row r="2932">
      <c r="A2932" s="154"/>
      <c r="B2932" s="155"/>
      <c r="C2932" s="156"/>
      <c r="D2932" s="156"/>
      <c r="E2932" s="155"/>
      <c r="F2932" s="156"/>
      <c r="G2932" s="154"/>
      <c r="H2932" s="157"/>
      <c r="I2932" s="158"/>
      <c r="J2932" s="159"/>
      <c r="K2932" s="156"/>
      <c r="L2932" s="156"/>
      <c r="M2932" s="155"/>
      <c r="N2932" s="160"/>
      <c r="O2932" s="161"/>
      <c r="P2932" s="161"/>
      <c r="Q2932" s="203"/>
      <c r="R2932" s="162"/>
      <c r="S2932" s="162"/>
      <c r="T2932" s="162"/>
      <c r="U2932" s="163"/>
      <c r="V2932" s="154"/>
      <c r="W2932" s="164"/>
      <c r="X2932" s="164"/>
      <c r="Y2932" s="164"/>
      <c r="Z2932" s="164"/>
      <c r="AA2932" s="164"/>
      <c r="AB2932" s="164"/>
      <c r="AC2932" s="164"/>
      <c r="AD2932" s="164"/>
      <c r="AE2932" s="164"/>
      <c r="AF2932" s="164"/>
      <c r="AG2932" s="164"/>
      <c r="AH2932" s="164"/>
      <c r="AI2932" s="164"/>
    </row>
    <row r="2933">
      <c r="A2933" s="154"/>
      <c r="B2933" s="155"/>
      <c r="C2933" s="156"/>
      <c r="D2933" s="156"/>
      <c r="E2933" s="155"/>
      <c r="F2933" s="156"/>
      <c r="G2933" s="154"/>
      <c r="H2933" s="157"/>
      <c r="I2933" s="158"/>
      <c r="J2933" s="159"/>
      <c r="K2933" s="156"/>
      <c r="L2933" s="156"/>
      <c r="M2933" s="155"/>
      <c r="N2933" s="160"/>
      <c r="O2933" s="161"/>
      <c r="P2933" s="161"/>
      <c r="Q2933" s="203"/>
      <c r="R2933" s="162"/>
      <c r="S2933" s="162"/>
      <c r="T2933" s="162"/>
      <c r="U2933" s="163"/>
      <c r="V2933" s="154"/>
      <c r="W2933" s="164"/>
      <c r="X2933" s="164"/>
      <c r="Y2933" s="164"/>
      <c r="Z2933" s="164"/>
      <c r="AA2933" s="164"/>
      <c r="AB2933" s="164"/>
      <c r="AC2933" s="164"/>
      <c r="AD2933" s="164"/>
      <c r="AE2933" s="164"/>
      <c r="AF2933" s="164"/>
      <c r="AG2933" s="164"/>
      <c r="AH2933" s="164"/>
      <c r="AI2933" s="164"/>
    </row>
    <row r="2934">
      <c r="A2934" s="154"/>
      <c r="B2934" s="155"/>
      <c r="C2934" s="156"/>
      <c r="D2934" s="156"/>
      <c r="E2934" s="155"/>
      <c r="F2934" s="156"/>
      <c r="G2934" s="154"/>
      <c r="H2934" s="157"/>
      <c r="I2934" s="158"/>
      <c r="J2934" s="159"/>
      <c r="K2934" s="156"/>
      <c r="L2934" s="156"/>
      <c r="M2934" s="155"/>
      <c r="N2934" s="160"/>
      <c r="O2934" s="161"/>
      <c r="P2934" s="161"/>
      <c r="Q2934" s="203"/>
      <c r="R2934" s="162"/>
      <c r="S2934" s="162"/>
      <c r="T2934" s="162"/>
      <c r="U2934" s="163"/>
      <c r="V2934" s="154"/>
      <c r="W2934" s="164"/>
      <c r="X2934" s="164"/>
      <c r="Y2934" s="164"/>
      <c r="Z2934" s="164"/>
      <c r="AA2934" s="164"/>
      <c r="AB2934" s="164"/>
      <c r="AC2934" s="164"/>
      <c r="AD2934" s="164"/>
      <c r="AE2934" s="164"/>
      <c r="AF2934" s="164"/>
      <c r="AG2934" s="164"/>
      <c r="AH2934" s="164"/>
      <c r="AI2934" s="164"/>
    </row>
    <row r="2935">
      <c r="A2935" s="154"/>
      <c r="B2935" s="155"/>
      <c r="C2935" s="156"/>
      <c r="D2935" s="156"/>
      <c r="E2935" s="155"/>
      <c r="F2935" s="156"/>
      <c r="G2935" s="154"/>
      <c r="H2935" s="157"/>
      <c r="I2935" s="158"/>
      <c r="J2935" s="159"/>
      <c r="K2935" s="156"/>
      <c r="L2935" s="156"/>
      <c r="M2935" s="155"/>
      <c r="N2935" s="160"/>
      <c r="O2935" s="161"/>
      <c r="P2935" s="161"/>
      <c r="Q2935" s="203"/>
      <c r="R2935" s="162"/>
      <c r="S2935" s="162"/>
      <c r="T2935" s="173"/>
      <c r="U2935" s="174"/>
      <c r="V2935" s="165"/>
      <c r="W2935" s="164"/>
      <c r="X2935" s="164"/>
      <c r="Y2935" s="164"/>
      <c r="Z2935" s="164"/>
      <c r="AA2935" s="164"/>
      <c r="AB2935" s="164"/>
      <c r="AC2935" s="164"/>
      <c r="AD2935" s="164"/>
      <c r="AE2935" s="164"/>
      <c r="AF2935" s="164"/>
      <c r="AG2935" s="164"/>
      <c r="AH2935" s="164"/>
      <c r="AI2935" s="164"/>
    </row>
    <row r="2936">
      <c r="A2936" s="154"/>
      <c r="B2936" s="155"/>
      <c r="C2936" s="156"/>
      <c r="D2936" s="156"/>
      <c r="E2936" s="155"/>
      <c r="F2936" s="156"/>
      <c r="G2936" s="154"/>
      <c r="H2936" s="157"/>
      <c r="I2936" s="158"/>
      <c r="J2936" s="159"/>
      <c r="K2936" s="156"/>
      <c r="L2936" s="156"/>
      <c r="M2936" s="155"/>
      <c r="N2936" s="160"/>
      <c r="O2936" s="161"/>
      <c r="P2936" s="161"/>
      <c r="Q2936" s="159"/>
      <c r="R2936" s="162"/>
      <c r="S2936" s="162"/>
      <c r="T2936" s="162"/>
      <c r="U2936" s="163"/>
      <c r="V2936" s="154"/>
      <c r="W2936" s="164"/>
      <c r="X2936" s="164"/>
      <c r="Y2936" s="164"/>
      <c r="Z2936" s="164"/>
      <c r="AA2936" s="164"/>
      <c r="AB2936" s="164"/>
      <c r="AC2936" s="164"/>
      <c r="AD2936" s="164"/>
      <c r="AE2936" s="164"/>
      <c r="AF2936" s="164"/>
      <c r="AG2936" s="164"/>
      <c r="AH2936" s="164"/>
      <c r="AI2936" s="164"/>
    </row>
    <row r="2937">
      <c r="A2937" s="154"/>
      <c r="B2937" s="155"/>
      <c r="C2937" s="156"/>
      <c r="D2937" s="156"/>
      <c r="E2937" s="155"/>
      <c r="F2937" s="156"/>
      <c r="G2937" s="154"/>
      <c r="H2937" s="157"/>
      <c r="I2937" s="158"/>
      <c r="J2937" s="159"/>
      <c r="K2937" s="156"/>
      <c r="L2937" s="156"/>
      <c r="M2937" s="155"/>
      <c r="N2937" s="160"/>
      <c r="O2937" s="161"/>
      <c r="P2937" s="161"/>
      <c r="Q2937" s="203"/>
      <c r="R2937" s="162"/>
      <c r="S2937" s="162"/>
      <c r="T2937" s="162"/>
      <c r="U2937" s="163"/>
      <c r="V2937" s="154"/>
      <c r="W2937" s="164"/>
      <c r="X2937" s="164"/>
      <c r="Y2937" s="164"/>
      <c r="Z2937" s="164"/>
      <c r="AA2937" s="164"/>
      <c r="AB2937" s="164"/>
      <c r="AC2937" s="164"/>
      <c r="AD2937" s="164"/>
      <c r="AE2937" s="164"/>
      <c r="AF2937" s="164"/>
      <c r="AG2937" s="164"/>
      <c r="AH2937" s="164"/>
      <c r="AI2937" s="164"/>
    </row>
    <row r="2938">
      <c r="A2938" s="154"/>
      <c r="B2938" s="155"/>
      <c r="C2938" s="156"/>
      <c r="D2938" s="156"/>
      <c r="E2938" s="155"/>
      <c r="F2938" s="156"/>
      <c r="G2938" s="154"/>
      <c r="H2938" s="157"/>
      <c r="I2938" s="158"/>
      <c r="J2938" s="159"/>
      <c r="K2938" s="156"/>
      <c r="L2938" s="156"/>
      <c r="M2938" s="155"/>
      <c r="N2938" s="160"/>
      <c r="O2938" s="161"/>
      <c r="P2938" s="161"/>
      <c r="Q2938" s="159"/>
      <c r="R2938" s="162"/>
      <c r="S2938" s="162"/>
      <c r="T2938" s="162"/>
      <c r="U2938" s="163"/>
      <c r="V2938" s="154"/>
      <c r="W2938" s="164"/>
      <c r="X2938" s="164"/>
      <c r="Y2938" s="164"/>
      <c r="Z2938" s="164"/>
      <c r="AA2938" s="164"/>
      <c r="AB2938" s="164"/>
      <c r="AC2938" s="164"/>
      <c r="AD2938" s="164"/>
      <c r="AE2938" s="164"/>
      <c r="AF2938" s="164"/>
      <c r="AG2938" s="164"/>
      <c r="AH2938" s="164"/>
      <c r="AI2938" s="164"/>
    </row>
    <row r="2939">
      <c r="A2939" s="154"/>
      <c r="B2939" s="155"/>
      <c r="C2939" s="156"/>
      <c r="D2939" s="156"/>
      <c r="E2939" s="155"/>
      <c r="F2939" s="156"/>
      <c r="G2939" s="154"/>
      <c r="H2939" s="157"/>
      <c r="I2939" s="158"/>
      <c r="J2939" s="159"/>
      <c r="K2939" s="156"/>
      <c r="L2939" s="156"/>
      <c r="M2939" s="155"/>
      <c r="N2939" s="160"/>
      <c r="O2939" s="161"/>
      <c r="P2939" s="161"/>
      <c r="Q2939" s="159"/>
      <c r="R2939" s="162"/>
      <c r="S2939" s="162"/>
      <c r="T2939" s="162"/>
      <c r="U2939" s="163"/>
      <c r="V2939" s="154"/>
      <c r="W2939" s="164"/>
      <c r="X2939" s="164"/>
      <c r="Y2939" s="164"/>
      <c r="Z2939" s="164"/>
      <c r="AA2939" s="164"/>
      <c r="AB2939" s="164"/>
      <c r="AC2939" s="164"/>
      <c r="AD2939" s="164"/>
      <c r="AE2939" s="164"/>
      <c r="AF2939" s="164"/>
      <c r="AG2939" s="164"/>
      <c r="AH2939" s="164"/>
      <c r="AI2939" s="164"/>
    </row>
    <row r="2940">
      <c r="A2940" s="154"/>
      <c r="B2940" s="155"/>
      <c r="C2940" s="156"/>
      <c r="D2940" s="156"/>
      <c r="E2940" s="155"/>
      <c r="F2940" s="156"/>
      <c r="G2940" s="154"/>
      <c r="H2940" s="157"/>
      <c r="I2940" s="158"/>
      <c r="J2940" s="159"/>
      <c r="K2940" s="156"/>
      <c r="L2940" s="156"/>
      <c r="M2940" s="155"/>
      <c r="N2940" s="160"/>
      <c r="O2940" s="161"/>
      <c r="P2940" s="161"/>
      <c r="Q2940" s="203"/>
      <c r="R2940" s="162"/>
      <c r="S2940" s="162"/>
      <c r="T2940" s="162"/>
      <c r="U2940" s="163"/>
      <c r="V2940" s="154"/>
      <c r="W2940" s="164"/>
      <c r="X2940" s="164"/>
      <c r="Y2940" s="164"/>
      <c r="Z2940" s="164"/>
      <c r="AA2940" s="164"/>
      <c r="AB2940" s="164"/>
      <c r="AC2940" s="164"/>
      <c r="AD2940" s="164"/>
      <c r="AE2940" s="164"/>
      <c r="AF2940" s="164"/>
      <c r="AG2940" s="164"/>
      <c r="AH2940" s="164"/>
      <c r="AI2940" s="164"/>
    </row>
    <row r="2941">
      <c r="A2941" s="154"/>
      <c r="B2941" s="155"/>
      <c r="C2941" s="156"/>
      <c r="D2941" s="156"/>
      <c r="E2941" s="155"/>
      <c r="F2941" s="156"/>
      <c r="G2941" s="154"/>
      <c r="H2941" s="157"/>
      <c r="I2941" s="158"/>
      <c r="J2941" s="159"/>
      <c r="K2941" s="156"/>
      <c r="L2941" s="156"/>
      <c r="M2941" s="155"/>
      <c r="N2941" s="160"/>
      <c r="O2941" s="161"/>
      <c r="P2941" s="161"/>
      <c r="Q2941" s="159"/>
      <c r="R2941" s="162"/>
      <c r="S2941" s="162"/>
      <c r="T2941" s="162"/>
      <c r="U2941" s="163"/>
      <c r="V2941" s="154"/>
      <c r="W2941" s="164"/>
      <c r="X2941" s="164"/>
      <c r="Y2941" s="164"/>
      <c r="Z2941" s="164"/>
      <c r="AA2941" s="164"/>
      <c r="AB2941" s="164"/>
      <c r="AC2941" s="164"/>
      <c r="AD2941" s="164"/>
      <c r="AE2941" s="164"/>
      <c r="AF2941" s="164"/>
      <c r="AG2941" s="164"/>
      <c r="AH2941" s="164"/>
      <c r="AI2941" s="164"/>
    </row>
    <row r="2942">
      <c r="A2942" s="154"/>
      <c r="B2942" s="155"/>
      <c r="C2942" s="156"/>
      <c r="D2942" s="156"/>
      <c r="E2942" s="155"/>
      <c r="F2942" s="156"/>
      <c r="G2942" s="154"/>
      <c r="H2942" s="157"/>
      <c r="I2942" s="158"/>
      <c r="J2942" s="159"/>
      <c r="K2942" s="156"/>
      <c r="L2942" s="156"/>
      <c r="M2942" s="202"/>
      <c r="N2942" s="160"/>
      <c r="O2942" s="161"/>
      <c r="P2942" s="161"/>
      <c r="Q2942" s="203"/>
      <c r="R2942" s="162"/>
      <c r="S2942" s="162"/>
      <c r="T2942" s="162"/>
      <c r="U2942" s="163"/>
      <c r="V2942" s="154"/>
      <c r="W2942" s="164"/>
      <c r="X2942" s="164"/>
      <c r="Y2942" s="164"/>
      <c r="Z2942" s="164"/>
      <c r="AA2942" s="164"/>
      <c r="AB2942" s="164"/>
      <c r="AC2942" s="164"/>
      <c r="AD2942" s="164"/>
      <c r="AE2942" s="164"/>
      <c r="AF2942" s="164"/>
      <c r="AG2942" s="164"/>
      <c r="AH2942" s="164"/>
      <c r="AI2942" s="164"/>
    </row>
    <row r="2943">
      <c r="A2943" s="165"/>
      <c r="B2943" s="166"/>
      <c r="C2943" s="166"/>
      <c r="D2943" s="166"/>
      <c r="E2943" s="166"/>
      <c r="F2943" s="166"/>
      <c r="G2943" s="165"/>
      <c r="H2943" s="167"/>
      <c r="I2943" s="168"/>
      <c r="J2943" s="169"/>
      <c r="K2943" s="166"/>
      <c r="L2943" s="166"/>
      <c r="M2943" s="166"/>
      <c r="N2943" s="170"/>
      <c r="O2943" s="171"/>
      <c r="P2943" s="171"/>
      <c r="Q2943" s="172"/>
      <c r="R2943" s="173"/>
      <c r="S2943" s="173"/>
      <c r="T2943" s="173"/>
      <c r="U2943" s="201"/>
      <c r="V2943" s="165"/>
      <c r="W2943" s="164"/>
      <c r="X2943" s="164"/>
      <c r="Y2943" s="164"/>
      <c r="Z2943" s="164"/>
      <c r="AA2943" s="164"/>
      <c r="AB2943" s="164"/>
      <c r="AC2943" s="164"/>
      <c r="AD2943" s="164"/>
      <c r="AE2943" s="164"/>
      <c r="AF2943" s="164"/>
      <c r="AG2943" s="164"/>
      <c r="AH2943" s="164"/>
      <c r="AI2943" s="164"/>
    </row>
    <row r="2944">
      <c r="A2944" s="154"/>
      <c r="B2944" s="155"/>
      <c r="C2944" s="156"/>
      <c r="D2944" s="156"/>
      <c r="E2944" s="155"/>
      <c r="F2944" s="156"/>
      <c r="G2944" s="154"/>
      <c r="H2944" s="157"/>
      <c r="I2944" s="158"/>
      <c r="J2944" s="159"/>
      <c r="K2944" s="156"/>
      <c r="L2944" s="156"/>
      <c r="M2944" s="155"/>
      <c r="N2944" s="160"/>
      <c r="O2944" s="161"/>
      <c r="P2944" s="161"/>
      <c r="Q2944" s="203"/>
      <c r="R2944" s="162"/>
      <c r="S2944" s="162"/>
      <c r="T2944" s="162"/>
      <c r="U2944" s="163"/>
      <c r="V2944" s="154"/>
      <c r="W2944" s="164"/>
      <c r="X2944" s="164"/>
      <c r="Y2944" s="164"/>
      <c r="Z2944" s="164"/>
      <c r="AA2944" s="164"/>
      <c r="AB2944" s="164"/>
      <c r="AC2944" s="164"/>
      <c r="AD2944" s="164"/>
      <c r="AE2944" s="164"/>
      <c r="AF2944" s="164"/>
      <c r="AG2944" s="164"/>
      <c r="AH2944" s="164"/>
      <c r="AI2944" s="164"/>
    </row>
    <row r="2945">
      <c r="A2945" s="154"/>
      <c r="B2945" s="155"/>
      <c r="C2945" s="156"/>
      <c r="D2945" s="156"/>
      <c r="E2945" s="155"/>
      <c r="F2945" s="156"/>
      <c r="G2945" s="154"/>
      <c r="H2945" s="157"/>
      <c r="I2945" s="158"/>
      <c r="J2945" s="159"/>
      <c r="K2945" s="156"/>
      <c r="L2945" s="156"/>
      <c r="M2945" s="202"/>
      <c r="N2945" s="160"/>
      <c r="O2945" s="161"/>
      <c r="P2945" s="161"/>
      <c r="Q2945" s="203"/>
      <c r="R2945" s="162"/>
      <c r="S2945" s="162"/>
      <c r="T2945" s="162"/>
      <c r="U2945" s="163"/>
      <c r="V2945" s="154"/>
      <c r="W2945" s="164"/>
      <c r="X2945" s="164"/>
      <c r="Y2945" s="164"/>
      <c r="Z2945" s="164"/>
      <c r="AA2945" s="164"/>
      <c r="AB2945" s="164"/>
      <c r="AC2945" s="164"/>
      <c r="AD2945" s="164"/>
      <c r="AE2945" s="164"/>
      <c r="AF2945" s="164"/>
      <c r="AG2945" s="164"/>
      <c r="AH2945" s="164"/>
      <c r="AI2945" s="164"/>
    </row>
    <row r="2946">
      <c r="A2946" s="154"/>
      <c r="B2946" s="155"/>
      <c r="C2946" s="156"/>
      <c r="D2946" s="156"/>
      <c r="E2946" s="155"/>
      <c r="F2946" s="156"/>
      <c r="G2946" s="154"/>
      <c r="H2946" s="157"/>
      <c r="I2946" s="158"/>
      <c r="J2946" s="159"/>
      <c r="K2946" s="156"/>
      <c r="L2946" s="156"/>
      <c r="M2946" s="155"/>
      <c r="N2946" s="160"/>
      <c r="O2946" s="161"/>
      <c r="P2946" s="161"/>
      <c r="Q2946" s="203"/>
      <c r="R2946" s="162"/>
      <c r="S2946" s="162"/>
      <c r="T2946" s="162"/>
      <c r="U2946" s="163"/>
      <c r="V2946" s="154"/>
      <c r="W2946" s="164"/>
      <c r="X2946" s="164"/>
      <c r="Y2946" s="164"/>
      <c r="Z2946" s="164"/>
      <c r="AA2946" s="164"/>
      <c r="AB2946" s="164"/>
      <c r="AC2946" s="164"/>
      <c r="AD2946" s="164"/>
      <c r="AE2946" s="164"/>
      <c r="AF2946" s="164"/>
      <c r="AG2946" s="164"/>
      <c r="AH2946" s="164"/>
      <c r="AI2946" s="164"/>
    </row>
    <row r="2947">
      <c r="A2947" s="154"/>
      <c r="B2947" s="155"/>
      <c r="C2947" s="156"/>
      <c r="D2947" s="156"/>
      <c r="E2947" s="155"/>
      <c r="F2947" s="156"/>
      <c r="G2947" s="154"/>
      <c r="H2947" s="157"/>
      <c r="I2947" s="158"/>
      <c r="J2947" s="159"/>
      <c r="K2947" s="156"/>
      <c r="L2947" s="156"/>
      <c r="M2947" s="202"/>
      <c r="N2947" s="160"/>
      <c r="O2947" s="161"/>
      <c r="P2947" s="161"/>
      <c r="Q2947" s="203"/>
      <c r="R2947" s="162"/>
      <c r="S2947" s="162"/>
      <c r="T2947" s="162"/>
      <c r="U2947" s="163"/>
      <c r="V2947" s="154"/>
      <c r="W2947" s="164"/>
      <c r="X2947" s="164"/>
      <c r="Y2947" s="164"/>
      <c r="Z2947" s="164"/>
      <c r="AA2947" s="164"/>
      <c r="AB2947" s="164"/>
      <c r="AC2947" s="164"/>
      <c r="AD2947" s="164"/>
      <c r="AE2947" s="164"/>
      <c r="AF2947" s="164"/>
      <c r="AG2947" s="164"/>
      <c r="AH2947" s="164"/>
      <c r="AI2947" s="164"/>
    </row>
    <row r="2948">
      <c r="A2948" s="154"/>
      <c r="B2948" s="155"/>
      <c r="C2948" s="156"/>
      <c r="D2948" s="156"/>
      <c r="E2948" s="155"/>
      <c r="F2948" s="156"/>
      <c r="G2948" s="154"/>
      <c r="H2948" s="157"/>
      <c r="I2948" s="158"/>
      <c r="J2948" s="159"/>
      <c r="K2948" s="156"/>
      <c r="L2948" s="156"/>
      <c r="M2948" s="155"/>
      <c r="N2948" s="160"/>
      <c r="O2948" s="161"/>
      <c r="P2948" s="161"/>
      <c r="Q2948" s="159"/>
      <c r="R2948" s="162"/>
      <c r="S2948" s="162"/>
      <c r="T2948" s="162"/>
      <c r="U2948" s="163"/>
      <c r="V2948" s="154"/>
      <c r="W2948" s="164"/>
      <c r="X2948" s="164"/>
      <c r="Y2948" s="164"/>
      <c r="Z2948" s="164"/>
      <c r="AA2948" s="164"/>
      <c r="AB2948" s="164"/>
      <c r="AC2948" s="164"/>
      <c r="AD2948" s="164"/>
      <c r="AE2948" s="164"/>
      <c r="AF2948" s="164"/>
      <c r="AG2948" s="164"/>
      <c r="AH2948" s="164"/>
      <c r="AI2948" s="164"/>
    </row>
    <row r="2949">
      <c r="A2949" s="154"/>
      <c r="B2949" s="155"/>
      <c r="C2949" s="156"/>
      <c r="D2949" s="156"/>
      <c r="E2949" s="155"/>
      <c r="F2949" s="156"/>
      <c r="G2949" s="154"/>
      <c r="H2949" s="157"/>
      <c r="I2949" s="158"/>
      <c r="J2949" s="159"/>
      <c r="K2949" s="156"/>
      <c r="L2949" s="156"/>
      <c r="M2949" s="155"/>
      <c r="N2949" s="160"/>
      <c r="O2949" s="161"/>
      <c r="P2949" s="161"/>
      <c r="Q2949" s="203"/>
      <c r="R2949" s="162"/>
      <c r="S2949" s="162"/>
      <c r="T2949" s="162"/>
      <c r="U2949" s="163"/>
      <c r="V2949" s="154"/>
      <c r="W2949" s="164"/>
      <c r="X2949" s="164"/>
      <c r="Y2949" s="164"/>
      <c r="Z2949" s="164"/>
      <c r="AA2949" s="164"/>
      <c r="AB2949" s="164"/>
      <c r="AC2949" s="164"/>
      <c r="AD2949" s="164"/>
      <c r="AE2949" s="164"/>
      <c r="AF2949" s="164"/>
      <c r="AG2949" s="164"/>
      <c r="AH2949" s="164"/>
      <c r="AI2949" s="164"/>
    </row>
    <row r="2950">
      <c r="A2950" s="154"/>
      <c r="B2950" s="155"/>
      <c r="C2950" s="156"/>
      <c r="D2950" s="156"/>
      <c r="E2950" s="155"/>
      <c r="F2950" s="156"/>
      <c r="G2950" s="154"/>
      <c r="H2950" s="157"/>
      <c r="I2950" s="158"/>
      <c r="J2950" s="159"/>
      <c r="K2950" s="156"/>
      <c r="L2950" s="156"/>
      <c r="M2950" s="155"/>
      <c r="N2950" s="160"/>
      <c r="O2950" s="161"/>
      <c r="P2950" s="161"/>
      <c r="Q2950" s="203"/>
      <c r="R2950" s="162"/>
      <c r="S2950" s="162"/>
      <c r="T2950" s="162"/>
      <c r="U2950" s="163"/>
      <c r="V2950" s="154"/>
      <c r="W2950" s="164"/>
      <c r="X2950" s="164"/>
      <c r="Y2950" s="164"/>
      <c r="Z2950" s="164"/>
      <c r="AA2950" s="164"/>
      <c r="AB2950" s="164"/>
      <c r="AC2950" s="164"/>
      <c r="AD2950" s="164"/>
      <c r="AE2950" s="164"/>
      <c r="AF2950" s="164"/>
      <c r="AG2950" s="164"/>
      <c r="AH2950" s="164"/>
      <c r="AI2950" s="164"/>
    </row>
    <row r="2951">
      <c r="A2951" s="154"/>
      <c r="B2951" s="155"/>
      <c r="C2951" s="156"/>
      <c r="D2951" s="156"/>
      <c r="E2951" s="155"/>
      <c r="F2951" s="156"/>
      <c r="G2951" s="154"/>
      <c r="H2951" s="157"/>
      <c r="I2951" s="158"/>
      <c r="J2951" s="159"/>
      <c r="K2951" s="156"/>
      <c r="L2951" s="156"/>
      <c r="M2951" s="202"/>
      <c r="N2951" s="160"/>
      <c r="O2951" s="161"/>
      <c r="P2951" s="161"/>
      <c r="Q2951" s="203"/>
      <c r="R2951" s="162"/>
      <c r="S2951" s="162"/>
      <c r="T2951" s="162"/>
      <c r="U2951" s="163"/>
      <c r="V2951" s="154"/>
      <c r="W2951" s="164"/>
      <c r="X2951" s="164"/>
      <c r="Y2951" s="164"/>
      <c r="Z2951" s="164"/>
      <c r="AA2951" s="164"/>
      <c r="AB2951" s="164"/>
      <c r="AC2951" s="164"/>
      <c r="AD2951" s="164"/>
      <c r="AE2951" s="164"/>
      <c r="AF2951" s="164"/>
      <c r="AG2951" s="164"/>
      <c r="AH2951" s="164"/>
      <c r="AI2951" s="164"/>
    </row>
    <row r="2952">
      <c r="A2952" s="154"/>
      <c r="B2952" s="155"/>
      <c r="C2952" s="156"/>
      <c r="D2952" s="156"/>
      <c r="E2952" s="155"/>
      <c r="F2952" s="156"/>
      <c r="G2952" s="154"/>
      <c r="H2952" s="157"/>
      <c r="I2952" s="158"/>
      <c r="J2952" s="159"/>
      <c r="K2952" s="156"/>
      <c r="L2952" s="156"/>
      <c r="M2952" s="155"/>
      <c r="N2952" s="160"/>
      <c r="O2952" s="161"/>
      <c r="P2952" s="161"/>
      <c r="Q2952" s="203"/>
      <c r="R2952" s="162"/>
      <c r="S2952" s="162"/>
      <c r="T2952" s="162"/>
      <c r="U2952" s="163"/>
      <c r="V2952" s="154"/>
      <c r="W2952" s="164"/>
      <c r="X2952" s="164"/>
      <c r="Y2952" s="164"/>
      <c r="Z2952" s="164"/>
      <c r="AA2952" s="164"/>
      <c r="AB2952" s="164"/>
      <c r="AC2952" s="164"/>
      <c r="AD2952" s="164"/>
      <c r="AE2952" s="164"/>
      <c r="AF2952" s="164"/>
      <c r="AG2952" s="164"/>
      <c r="AH2952" s="164"/>
      <c r="AI2952" s="164"/>
    </row>
    <row r="2953">
      <c r="A2953" s="154"/>
      <c r="B2953" s="155"/>
      <c r="C2953" s="156"/>
      <c r="D2953" s="156"/>
      <c r="E2953" s="155"/>
      <c r="F2953" s="156"/>
      <c r="G2953" s="154"/>
      <c r="H2953" s="157"/>
      <c r="I2953" s="158"/>
      <c r="J2953" s="159"/>
      <c r="K2953" s="156"/>
      <c r="L2953" s="156"/>
      <c r="M2953" s="155"/>
      <c r="N2953" s="160"/>
      <c r="O2953" s="161"/>
      <c r="P2953" s="161"/>
      <c r="Q2953" s="159"/>
      <c r="R2953" s="162"/>
      <c r="S2953" s="162"/>
      <c r="T2953" s="162"/>
      <c r="U2953" s="163"/>
      <c r="V2953" s="154"/>
      <c r="W2953" s="164"/>
      <c r="X2953" s="164"/>
      <c r="Y2953" s="164"/>
      <c r="Z2953" s="164"/>
      <c r="AA2953" s="164"/>
      <c r="AB2953" s="164"/>
      <c r="AC2953" s="164"/>
      <c r="AD2953" s="164"/>
      <c r="AE2953" s="164"/>
      <c r="AF2953" s="164"/>
      <c r="AG2953" s="164"/>
      <c r="AH2953" s="164"/>
      <c r="AI2953" s="164"/>
    </row>
    <row r="2954">
      <c r="A2954" s="154"/>
      <c r="B2954" s="155"/>
      <c r="C2954" s="156"/>
      <c r="D2954" s="156"/>
      <c r="E2954" s="155"/>
      <c r="F2954" s="156"/>
      <c r="G2954" s="154"/>
      <c r="H2954" s="157"/>
      <c r="I2954" s="158"/>
      <c r="J2954" s="159"/>
      <c r="K2954" s="156"/>
      <c r="L2954" s="156"/>
      <c r="M2954" s="155"/>
      <c r="N2954" s="160"/>
      <c r="O2954" s="161"/>
      <c r="P2954" s="161"/>
      <c r="Q2954" s="203"/>
      <c r="R2954" s="162"/>
      <c r="S2954" s="162"/>
      <c r="T2954" s="162"/>
      <c r="U2954" s="163"/>
      <c r="V2954" s="154"/>
      <c r="W2954" s="164"/>
      <c r="X2954" s="164"/>
      <c r="Y2954" s="164"/>
      <c r="Z2954" s="164"/>
      <c r="AA2954" s="164"/>
      <c r="AB2954" s="164"/>
      <c r="AC2954" s="164"/>
      <c r="AD2954" s="164"/>
      <c r="AE2954" s="164"/>
      <c r="AF2954" s="164"/>
      <c r="AG2954" s="164"/>
      <c r="AH2954" s="164"/>
      <c r="AI2954" s="164"/>
    </row>
    <row r="2955">
      <c r="A2955" s="154"/>
      <c r="B2955" s="155"/>
      <c r="C2955" s="156"/>
      <c r="D2955" s="156"/>
      <c r="E2955" s="155"/>
      <c r="F2955" s="156"/>
      <c r="G2955" s="154"/>
      <c r="H2955" s="157"/>
      <c r="I2955" s="158"/>
      <c r="J2955" s="159"/>
      <c r="K2955" s="156"/>
      <c r="L2955" s="156"/>
      <c r="M2955" s="155"/>
      <c r="N2955" s="160"/>
      <c r="O2955" s="161"/>
      <c r="P2955" s="161"/>
      <c r="Q2955" s="203"/>
      <c r="R2955" s="162"/>
      <c r="S2955" s="162"/>
      <c r="T2955" s="162"/>
      <c r="U2955" s="163"/>
      <c r="V2955" s="154"/>
      <c r="W2955" s="164"/>
      <c r="X2955" s="164"/>
      <c r="Y2955" s="164"/>
      <c r="Z2955" s="164"/>
      <c r="AA2955" s="164"/>
      <c r="AB2955" s="164"/>
      <c r="AC2955" s="164"/>
      <c r="AD2955" s="164"/>
      <c r="AE2955" s="164"/>
      <c r="AF2955" s="164"/>
      <c r="AG2955" s="164"/>
      <c r="AH2955" s="164"/>
      <c r="AI2955" s="164"/>
    </row>
    <row r="2956">
      <c r="A2956" s="154"/>
      <c r="B2956" s="155"/>
      <c r="C2956" s="156"/>
      <c r="D2956" s="156"/>
      <c r="E2956" s="155"/>
      <c r="F2956" s="156"/>
      <c r="G2956" s="154"/>
      <c r="H2956" s="157"/>
      <c r="I2956" s="158"/>
      <c r="J2956" s="159"/>
      <c r="K2956" s="156"/>
      <c r="L2956" s="156"/>
      <c r="M2956" s="202"/>
      <c r="N2956" s="160"/>
      <c r="O2956" s="161"/>
      <c r="P2956" s="161"/>
      <c r="Q2956" s="159"/>
      <c r="R2956" s="162"/>
      <c r="S2956" s="162"/>
      <c r="T2956" s="162"/>
      <c r="U2956" s="163"/>
      <c r="V2956" s="154"/>
      <c r="W2956" s="164"/>
      <c r="X2956" s="164"/>
      <c r="Y2956" s="164"/>
      <c r="Z2956" s="164"/>
      <c r="AA2956" s="164"/>
      <c r="AB2956" s="164"/>
      <c r="AC2956" s="164"/>
      <c r="AD2956" s="164"/>
      <c r="AE2956" s="164"/>
      <c r="AF2956" s="164"/>
      <c r="AG2956" s="164"/>
      <c r="AH2956" s="164"/>
      <c r="AI2956" s="164"/>
    </row>
    <row r="2957">
      <c r="A2957" s="154"/>
      <c r="B2957" s="155"/>
      <c r="C2957" s="156"/>
      <c r="D2957" s="156"/>
      <c r="E2957" s="155"/>
      <c r="F2957" s="156"/>
      <c r="G2957" s="154"/>
      <c r="H2957" s="157"/>
      <c r="I2957" s="158"/>
      <c r="J2957" s="159"/>
      <c r="K2957" s="156"/>
      <c r="L2957" s="156"/>
      <c r="M2957" s="155"/>
      <c r="N2957" s="160"/>
      <c r="O2957" s="161"/>
      <c r="P2957" s="161"/>
      <c r="Q2957" s="159"/>
      <c r="R2957" s="162"/>
      <c r="S2957" s="162"/>
      <c r="T2957" s="162"/>
      <c r="U2957" s="163"/>
      <c r="V2957" s="154"/>
      <c r="W2957" s="164"/>
      <c r="X2957" s="164"/>
      <c r="Y2957" s="164"/>
      <c r="Z2957" s="164"/>
      <c r="AA2957" s="164"/>
      <c r="AB2957" s="164"/>
      <c r="AC2957" s="164"/>
      <c r="AD2957" s="164"/>
      <c r="AE2957" s="164"/>
      <c r="AF2957" s="164"/>
      <c r="AG2957" s="164"/>
      <c r="AH2957" s="164"/>
      <c r="AI2957" s="164"/>
    </row>
    <row r="2958">
      <c r="A2958" s="154"/>
      <c r="B2958" s="155"/>
      <c r="C2958" s="156"/>
      <c r="D2958" s="156"/>
      <c r="E2958" s="155"/>
      <c r="F2958" s="156"/>
      <c r="G2958" s="154"/>
      <c r="H2958" s="157"/>
      <c r="I2958" s="158"/>
      <c r="J2958" s="159"/>
      <c r="K2958" s="156"/>
      <c r="L2958" s="156"/>
      <c r="M2958" s="155"/>
      <c r="N2958" s="160"/>
      <c r="O2958" s="161"/>
      <c r="P2958" s="161"/>
      <c r="Q2958" s="203"/>
      <c r="R2958" s="162"/>
      <c r="S2958" s="162"/>
      <c r="T2958" s="162"/>
      <c r="U2958" s="163"/>
      <c r="V2958" s="154"/>
      <c r="W2958" s="164"/>
      <c r="X2958" s="164"/>
      <c r="Y2958" s="164"/>
      <c r="Z2958" s="164"/>
      <c r="AA2958" s="164"/>
      <c r="AB2958" s="164"/>
      <c r="AC2958" s="164"/>
      <c r="AD2958" s="164"/>
      <c r="AE2958" s="164"/>
      <c r="AF2958" s="164"/>
      <c r="AG2958" s="164"/>
      <c r="AH2958" s="164"/>
      <c r="AI2958" s="164"/>
    </row>
    <row r="2959">
      <c r="A2959" s="154"/>
      <c r="B2959" s="155"/>
      <c r="C2959" s="156"/>
      <c r="D2959" s="156"/>
      <c r="E2959" s="155"/>
      <c r="F2959" s="156"/>
      <c r="G2959" s="154"/>
      <c r="H2959" s="157"/>
      <c r="I2959" s="158"/>
      <c r="J2959" s="159"/>
      <c r="K2959" s="156"/>
      <c r="L2959" s="156"/>
      <c r="M2959" s="155"/>
      <c r="N2959" s="160"/>
      <c r="O2959" s="161"/>
      <c r="P2959" s="161"/>
      <c r="Q2959" s="203"/>
      <c r="R2959" s="162"/>
      <c r="S2959" s="162"/>
      <c r="T2959" s="162"/>
      <c r="U2959" s="163"/>
      <c r="V2959" s="154"/>
      <c r="W2959" s="164"/>
      <c r="X2959" s="164"/>
      <c r="Y2959" s="164"/>
      <c r="Z2959" s="164"/>
      <c r="AA2959" s="164"/>
      <c r="AB2959" s="164"/>
      <c r="AC2959" s="164"/>
      <c r="AD2959" s="164"/>
      <c r="AE2959" s="164"/>
      <c r="AF2959" s="164"/>
      <c r="AG2959" s="164"/>
      <c r="AH2959" s="164"/>
      <c r="AI2959" s="164"/>
    </row>
    <row r="2960">
      <c r="A2960" s="154"/>
      <c r="B2960" s="155"/>
      <c r="C2960" s="156"/>
      <c r="D2960" s="156"/>
      <c r="E2960" s="155"/>
      <c r="F2960" s="156"/>
      <c r="G2960" s="154"/>
      <c r="H2960" s="157"/>
      <c r="I2960" s="158"/>
      <c r="J2960" s="159"/>
      <c r="K2960" s="156"/>
      <c r="L2960" s="156"/>
      <c r="M2960" s="155"/>
      <c r="N2960" s="160"/>
      <c r="O2960" s="161"/>
      <c r="P2960" s="161"/>
      <c r="Q2960" s="203"/>
      <c r="R2960" s="162"/>
      <c r="S2960" s="162"/>
      <c r="T2960" s="173"/>
      <c r="U2960" s="174"/>
      <c r="V2960" s="165"/>
      <c r="W2960" s="164"/>
      <c r="X2960" s="164"/>
      <c r="Y2960" s="164"/>
      <c r="Z2960" s="164"/>
      <c r="AA2960" s="164"/>
      <c r="AB2960" s="164"/>
      <c r="AC2960" s="164"/>
      <c r="AD2960" s="164"/>
      <c r="AE2960" s="164"/>
      <c r="AF2960" s="164"/>
      <c r="AG2960" s="164"/>
      <c r="AH2960" s="164"/>
      <c r="AI2960" s="164"/>
    </row>
    <row r="2961">
      <c r="A2961" s="154"/>
      <c r="B2961" s="155"/>
      <c r="C2961" s="156"/>
      <c r="D2961" s="156"/>
      <c r="E2961" s="155"/>
      <c r="F2961" s="156"/>
      <c r="G2961" s="154"/>
      <c r="H2961" s="157"/>
      <c r="I2961" s="158"/>
      <c r="J2961" s="159"/>
      <c r="K2961" s="156"/>
      <c r="L2961" s="156"/>
      <c r="M2961" s="155"/>
      <c r="N2961" s="160"/>
      <c r="O2961" s="161"/>
      <c r="P2961" s="161"/>
      <c r="Q2961" s="203"/>
      <c r="R2961" s="162"/>
      <c r="S2961" s="162"/>
      <c r="T2961" s="162"/>
      <c r="U2961" s="163"/>
      <c r="V2961" s="154"/>
      <c r="W2961" s="164"/>
      <c r="X2961" s="164"/>
      <c r="Y2961" s="164"/>
      <c r="Z2961" s="164"/>
      <c r="AA2961" s="164"/>
      <c r="AB2961" s="164"/>
      <c r="AC2961" s="164"/>
      <c r="AD2961" s="164"/>
      <c r="AE2961" s="164"/>
      <c r="AF2961" s="164"/>
      <c r="AG2961" s="164"/>
      <c r="AH2961" s="164"/>
      <c r="AI2961" s="164"/>
    </row>
    <row r="2962">
      <c r="A2962" s="154"/>
      <c r="B2962" s="155"/>
      <c r="C2962" s="156"/>
      <c r="D2962" s="156"/>
      <c r="E2962" s="155"/>
      <c r="F2962" s="156"/>
      <c r="G2962" s="154"/>
      <c r="H2962" s="157"/>
      <c r="I2962" s="158"/>
      <c r="J2962" s="159"/>
      <c r="K2962" s="156"/>
      <c r="L2962" s="156"/>
      <c r="M2962" s="155"/>
      <c r="N2962" s="160"/>
      <c r="O2962" s="161"/>
      <c r="P2962" s="161"/>
      <c r="Q2962" s="203"/>
      <c r="R2962" s="162"/>
      <c r="S2962" s="162"/>
      <c r="T2962" s="162"/>
      <c r="U2962" s="163"/>
      <c r="V2962" s="154"/>
      <c r="W2962" s="164"/>
      <c r="X2962" s="164"/>
      <c r="Y2962" s="164"/>
      <c r="Z2962" s="164"/>
      <c r="AA2962" s="164"/>
      <c r="AB2962" s="164"/>
      <c r="AC2962" s="164"/>
      <c r="AD2962" s="164"/>
      <c r="AE2962" s="164"/>
      <c r="AF2962" s="164"/>
      <c r="AG2962" s="164"/>
      <c r="AH2962" s="164"/>
      <c r="AI2962" s="164"/>
    </row>
    <row r="2963">
      <c r="A2963" s="154"/>
      <c r="B2963" s="155"/>
      <c r="C2963" s="156"/>
      <c r="D2963" s="156"/>
      <c r="E2963" s="155"/>
      <c r="F2963" s="156"/>
      <c r="G2963" s="154"/>
      <c r="H2963" s="157"/>
      <c r="I2963" s="158"/>
      <c r="J2963" s="159"/>
      <c r="K2963" s="156"/>
      <c r="L2963" s="156"/>
      <c r="M2963" s="155"/>
      <c r="N2963" s="160"/>
      <c r="O2963" s="161"/>
      <c r="P2963" s="161"/>
      <c r="Q2963" s="203"/>
      <c r="R2963" s="162"/>
      <c r="S2963" s="162"/>
      <c r="T2963" s="162"/>
      <c r="U2963" s="163"/>
      <c r="V2963" s="154"/>
      <c r="W2963" s="164"/>
      <c r="X2963" s="164"/>
      <c r="Y2963" s="164"/>
      <c r="Z2963" s="164"/>
      <c r="AA2963" s="164"/>
      <c r="AB2963" s="164"/>
      <c r="AC2963" s="164"/>
      <c r="AD2963" s="164"/>
      <c r="AE2963" s="164"/>
      <c r="AF2963" s="164"/>
      <c r="AG2963" s="164"/>
      <c r="AH2963" s="164"/>
      <c r="AI2963" s="164"/>
    </row>
    <row r="2964">
      <c r="A2964" s="154"/>
      <c r="B2964" s="155"/>
      <c r="C2964" s="156"/>
      <c r="D2964" s="156"/>
      <c r="E2964" s="155"/>
      <c r="F2964" s="156"/>
      <c r="G2964" s="154"/>
      <c r="H2964" s="157"/>
      <c r="I2964" s="158"/>
      <c r="J2964" s="159"/>
      <c r="K2964" s="156"/>
      <c r="L2964" s="156"/>
      <c r="M2964" s="202"/>
      <c r="N2964" s="160"/>
      <c r="O2964" s="161"/>
      <c r="P2964" s="161"/>
      <c r="Q2964" s="203"/>
      <c r="R2964" s="162"/>
      <c r="S2964" s="162"/>
      <c r="T2964" s="162"/>
      <c r="U2964" s="163"/>
      <c r="V2964" s="154"/>
      <c r="W2964" s="164"/>
      <c r="X2964" s="164"/>
      <c r="Y2964" s="164"/>
      <c r="Z2964" s="164"/>
      <c r="AA2964" s="164"/>
      <c r="AB2964" s="164"/>
      <c r="AC2964" s="164"/>
      <c r="AD2964" s="164"/>
      <c r="AE2964" s="164"/>
      <c r="AF2964" s="164"/>
      <c r="AG2964" s="164"/>
      <c r="AH2964" s="164"/>
      <c r="AI2964" s="164"/>
    </row>
    <row r="2965">
      <c r="A2965" s="154"/>
      <c r="B2965" s="155"/>
      <c r="C2965" s="156"/>
      <c r="D2965" s="156"/>
      <c r="E2965" s="155"/>
      <c r="F2965" s="156"/>
      <c r="G2965" s="154"/>
      <c r="H2965" s="157"/>
      <c r="I2965" s="158"/>
      <c r="J2965" s="159"/>
      <c r="K2965" s="156"/>
      <c r="L2965" s="156"/>
      <c r="M2965" s="155"/>
      <c r="N2965" s="160"/>
      <c r="O2965" s="161"/>
      <c r="P2965" s="161"/>
      <c r="Q2965" s="203"/>
      <c r="R2965" s="162"/>
      <c r="S2965" s="162"/>
      <c r="T2965" s="162"/>
      <c r="U2965" s="163"/>
      <c r="V2965" s="154"/>
      <c r="W2965" s="164"/>
      <c r="X2965" s="164"/>
      <c r="Y2965" s="164"/>
      <c r="Z2965" s="164"/>
      <c r="AA2965" s="164"/>
      <c r="AB2965" s="164"/>
      <c r="AC2965" s="164"/>
      <c r="AD2965" s="164"/>
      <c r="AE2965" s="164"/>
      <c r="AF2965" s="164"/>
      <c r="AG2965" s="164"/>
      <c r="AH2965" s="164"/>
      <c r="AI2965" s="164"/>
    </row>
    <row r="2966">
      <c r="A2966" s="154"/>
      <c r="B2966" s="155"/>
      <c r="C2966" s="156"/>
      <c r="D2966" s="156"/>
      <c r="E2966" s="155"/>
      <c r="F2966" s="156"/>
      <c r="G2966" s="154"/>
      <c r="H2966" s="157"/>
      <c r="I2966" s="158"/>
      <c r="J2966" s="159"/>
      <c r="K2966" s="156"/>
      <c r="L2966" s="156"/>
      <c r="M2966" s="155"/>
      <c r="N2966" s="160"/>
      <c r="O2966" s="161"/>
      <c r="P2966" s="161"/>
      <c r="Q2966" s="159"/>
      <c r="R2966" s="162"/>
      <c r="S2966" s="162"/>
      <c r="T2966" s="162"/>
      <c r="U2966" s="163"/>
      <c r="V2966" s="154"/>
      <c r="W2966" s="164"/>
      <c r="X2966" s="164"/>
      <c r="Y2966" s="164"/>
      <c r="Z2966" s="164"/>
      <c r="AA2966" s="164"/>
      <c r="AB2966" s="164"/>
      <c r="AC2966" s="164"/>
      <c r="AD2966" s="164"/>
      <c r="AE2966" s="164"/>
      <c r="AF2966" s="164"/>
      <c r="AG2966" s="164"/>
      <c r="AH2966" s="164"/>
      <c r="AI2966" s="164"/>
    </row>
    <row r="2967">
      <c r="A2967" s="154"/>
      <c r="B2967" s="155"/>
      <c r="C2967" s="156"/>
      <c r="D2967" s="156"/>
      <c r="E2967" s="155"/>
      <c r="F2967" s="156"/>
      <c r="G2967" s="154"/>
      <c r="H2967" s="157"/>
      <c r="I2967" s="158"/>
      <c r="J2967" s="159"/>
      <c r="K2967" s="156"/>
      <c r="L2967" s="156"/>
      <c r="M2967" s="155"/>
      <c r="N2967" s="160"/>
      <c r="O2967" s="161"/>
      <c r="P2967" s="161"/>
      <c r="Q2967" s="203"/>
      <c r="R2967" s="162"/>
      <c r="S2967" s="162"/>
      <c r="T2967" s="162"/>
      <c r="U2967" s="163"/>
      <c r="V2967" s="154"/>
      <c r="W2967" s="164"/>
      <c r="X2967" s="164"/>
      <c r="Y2967" s="164"/>
      <c r="Z2967" s="164"/>
      <c r="AA2967" s="164"/>
      <c r="AB2967" s="164"/>
      <c r="AC2967" s="164"/>
      <c r="AD2967" s="164"/>
      <c r="AE2967" s="164"/>
      <c r="AF2967" s="164"/>
      <c r="AG2967" s="164"/>
      <c r="AH2967" s="164"/>
      <c r="AI2967" s="164"/>
    </row>
    <row r="2968">
      <c r="A2968" s="154"/>
      <c r="B2968" s="155"/>
      <c r="C2968" s="156"/>
      <c r="D2968" s="156"/>
      <c r="E2968" s="155"/>
      <c r="F2968" s="156"/>
      <c r="G2968" s="154"/>
      <c r="H2968" s="157"/>
      <c r="I2968" s="158"/>
      <c r="J2968" s="159"/>
      <c r="K2968" s="156"/>
      <c r="L2968" s="156"/>
      <c r="M2968" s="155"/>
      <c r="N2968" s="160"/>
      <c r="O2968" s="161"/>
      <c r="P2968" s="161"/>
      <c r="Q2968" s="203"/>
      <c r="R2968" s="162"/>
      <c r="S2968" s="162"/>
      <c r="T2968" s="162"/>
      <c r="U2968" s="163"/>
      <c r="V2968" s="154"/>
      <c r="W2968" s="164"/>
      <c r="X2968" s="164"/>
      <c r="Y2968" s="164"/>
      <c r="Z2968" s="164"/>
      <c r="AA2968" s="164"/>
      <c r="AB2968" s="164"/>
      <c r="AC2968" s="164"/>
      <c r="AD2968" s="164"/>
      <c r="AE2968" s="164"/>
      <c r="AF2968" s="164"/>
      <c r="AG2968" s="164"/>
      <c r="AH2968" s="164"/>
      <c r="AI2968" s="164"/>
    </row>
    <row r="2969">
      <c r="A2969" s="154"/>
      <c r="B2969" s="155"/>
      <c r="C2969" s="156"/>
      <c r="D2969" s="156"/>
      <c r="E2969" s="155"/>
      <c r="F2969" s="156"/>
      <c r="G2969" s="154"/>
      <c r="H2969" s="157"/>
      <c r="I2969" s="158"/>
      <c r="J2969" s="159"/>
      <c r="K2969" s="156"/>
      <c r="L2969" s="156"/>
      <c r="M2969" s="155"/>
      <c r="N2969" s="160"/>
      <c r="O2969" s="161"/>
      <c r="P2969" s="161"/>
      <c r="Q2969" s="159"/>
      <c r="R2969" s="162"/>
      <c r="S2969" s="162"/>
      <c r="T2969" s="162"/>
      <c r="U2969" s="163"/>
      <c r="V2969" s="154"/>
      <c r="W2969" s="164"/>
      <c r="X2969" s="164"/>
      <c r="Y2969" s="164"/>
      <c r="Z2969" s="164"/>
      <c r="AA2969" s="164"/>
      <c r="AB2969" s="164"/>
      <c r="AC2969" s="164"/>
      <c r="AD2969" s="164"/>
      <c r="AE2969" s="164"/>
      <c r="AF2969" s="164"/>
      <c r="AG2969" s="164"/>
      <c r="AH2969" s="164"/>
      <c r="AI2969" s="164"/>
    </row>
    <row r="2970">
      <c r="A2970" s="154"/>
      <c r="B2970" s="155"/>
      <c r="C2970" s="156"/>
      <c r="D2970" s="156"/>
      <c r="E2970" s="155"/>
      <c r="F2970" s="156"/>
      <c r="G2970" s="154"/>
      <c r="H2970" s="157"/>
      <c r="I2970" s="158"/>
      <c r="J2970" s="159"/>
      <c r="K2970" s="156"/>
      <c r="L2970" s="156"/>
      <c r="M2970" s="155"/>
      <c r="N2970" s="160"/>
      <c r="O2970" s="161"/>
      <c r="P2970" s="161"/>
      <c r="Q2970" s="203"/>
      <c r="R2970" s="162"/>
      <c r="S2970" s="162"/>
      <c r="T2970" s="162"/>
      <c r="U2970" s="163"/>
      <c r="V2970" s="154"/>
      <c r="W2970" s="164"/>
      <c r="X2970" s="164"/>
      <c r="Y2970" s="164"/>
      <c r="Z2970" s="164"/>
      <c r="AA2970" s="164"/>
      <c r="AB2970" s="164"/>
      <c r="AC2970" s="164"/>
      <c r="AD2970" s="164"/>
      <c r="AE2970" s="164"/>
      <c r="AF2970" s="164"/>
      <c r="AG2970" s="164"/>
      <c r="AH2970" s="164"/>
      <c r="AI2970" s="164"/>
    </row>
    <row r="2971">
      <c r="A2971" s="154"/>
      <c r="B2971" s="155"/>
      <c r="C2971" s="156"/>
      <c r="D2971" s="156"/>
      <c r="E2971" s="155"/>
      <c r="F2971" s="156"/>
      <c r="G2971" s="154"/>
      <c r="H2971" s="157"/>
      <c r="I2971" s="158"/>
      <c r="J2971" s="159"/>
      <c r="K2971" s="156"/>
      <c r="L2971" s="156"/>
      <c r="M2971" s="202"/>
      <c r="N2971" s="160"/>
      <c r="O2971" s="161"/>
      <c r="P2971" s="161"/>
      <c r="Q2971" s="203"/>
      <c r="R2971" s="162"/>
      <c r="S2971" s="162"/>
      <c r="T2971" s="162"/>
      <c r="U2971" s="163"/>
      <c r="V2971" s="154"/>
      <c r="W2971" s="164"/>
      <c r="X2971" s="164"/>
      <c r="Y2971" s="164"/>
      <c r="Z2971" s="164"/>
      <c r="AA2971" s="164"/>
      <c r="AB2971" s="164"/>
      <c r="AC2971" s="164"/>
      <c r="AD2971" s="164"/>
      <c r="AE2971" s="164"/>
      <c r="AF2971" s="164"/>
      <c r="AG2971" s="164"/>
      <c r="AH2971" s="164"/>
      <c r="AI2971" s="164"/>
    </row>
    <row r="2972">
      <c r="A2972" s="154"/>
      <c r="B2972" s="155"/>
      <c r="C2972" s="156"/>
      <c r="D2972" s="156"/>
      <c r="E2972" s="155"/>
      <c r="F2972" s="156"/>
      <c r="G2972" s="154"/>
      <c r="H2972" s="157"/>
      <c r="I2972" s="158"/>
      <c r="J2972" s="159"/>
      <c r="K2972" s="156"/>
      <c r="L2972" s="156"/>
      <c r="M2972" s="155"/>
      <c r="N2972" s="160"/>
      <c r="O2972" s="161"/>
      <c r="P2972" s="161"/>
      <c r="Q2972" s="203"/>
      <c r="R2972" s="162"/>
      <c r="S2972" s="162"/>
      <c r="T2972" s="162"/>
      <c r="U2972" s="163"/>
      <c r="V2972" s="154"/>
      <c r="W2972" s="164"/>
      <c r="X2972" s="164"/>
      <c r="Y2972" s="164"/>
      <c r="Z2972" s="164"/>
      <c r="AA2972" s="164"/>
      <c r="AB2972" s="164"/>
      <c r="AC2972" s="164"/>
      <c r="AD2972" s="164"/>
      <c r="AE2972" s="164"/>
      <c r="AF2972" s="164"/>
      <c r="AG2972" s="164"/>
      <c r="AH2972" s="164"/>
      <c r="AI2972" s="164"/>
    </row>
    <row r="2973">
      <c r="A2973" s="154"/>
      <c r="B2973" s="155"/>
      <c r="C2973" s="156"/>
      <c r="D2973" s="156"/>
      <c r="E2973" s="155"/>
      <c r="F2973" s="156"/>
      <c r="G2973" s="154"/>
      <c r="H2973" s="157"/>
      <c r="I2973" s="158"/>
      <c r="J2973" s="159"/>
      <c r="K2973" s="156"/>
      <c r="L2973" s="156"/>
      <c r="M2973" s="155"/>
      <c r="N2973" s="160"/>
      <c r="O2973" s="161"/>
      <c r="P2973" s="161"/>
      <c r="Q2973" s="203"/>
      <c r="R2973" s="162"/>
      <c r="S2973" s="162"/>
      <c r="T2973" s="162"/>
      <c r="U2973" s="163"/>
      <c r="V2973" s="154"/>
      <c r="W2973" s="164"/>
      <c r="X2973" s="164"/>
      <c r="Y2973" s="164"/>
      <c r="Z2973" s="164"/>
      <c r="AA2973" s="164"/>
      <c r="AB2973" s="164"/>
      <c r="AC2973" s="164"/>
      <c r="AD2973" s="164"/>
      <c r="AE2973" s="164"/>
      <c r="AF2973" s="164"/>
      <c r="AG2973" s="164"/>
      <c r="AH2973" s="164"/>
      <c r="AI2973" s="164"/>
    </row>
    <row r="2974">
      <c r="A2974" s="154"/>
      <c r="B2974" s="155"/>
      <c r="C2974" s="156"/>
      <c r="D2974" s="156"/>
      <c r="E2974" s="155"/>
      <c r="F2974" s="156"/>
      <c r="G2974" s="154"/>
      <c r="H2974" s="157"/>
      <c r="I2974" s="158"/>
      <c r="J2974" s="159"/>
      <c r="K2974" s="156"/>
      <c r="L2974" s="156"/>
      <c r="M2974" s="155"/>
      <c r="N2974" s="160"/>
      <c r="O2974" s="161"/>
      <c r="P2974" s="161"/>
      <c r="Q2974" s="203"/>
      <c r="R2974" s="162"/>
      <c r="S2974" s="162"/>
      <c r="T2974" s="162"/>
      <c r="U2974" s="163"/>
      <c r="V2974" s="154"/>
      <c r="W2974" s="164"/>
      <c r="X2974" s="164"/>
      <c r="Y2974" s="164"/>
      <c r="Z2974" s="164"/>
      <c r="AA2974" s="164"/>
      <c r="AB2974" s="164"/>
      <c r="AC2974" s="164"/>
      <c r="AD2974" s="164"/>
      <c r="AE2974" s="164"/>
      <c r="AF2974" s="164"/>
      <c r="AG2974" s="164"/>
      <c r="AH2974" s="164"/>
      <c r="AI2974" s="164"/>
    </row>
    <row r="2975">
      <c r="A2975" s="154"/>
      <c r="B2975" s="155"/>
      <c r="C2975" s="156"/>
      <c r="D2975" s="156"/>
      <c r="E2975" s="155"/>
      <c r="F2975" s="156"/>
      <c r="G2975" s="154"/>
      <c r="H2975" s="157"/>
      <c r="I2975" s="158"/>
      <c r="J2975" s="159"/>
      <c r="K2975" s="156"/>
      <c r="L2975" s="156"/>
      <c r="M2975" s="155"/>
      <c r="N2975" s="160"/>
      <c r="O2975" s="161"/>
      <c r="P2975" s="161"/>
      <c r="Q2975" s="203"/>
      <c r="R2975" s="162"/>
      <c r="S2975" s="162"/>
      <c r="T2975" s="162"/>
      <c r="U2975" s="163"/>
      <c r="V2975" s="154"/>
      <c r="W2975" s="164"/>
      <c r="X2975" s="164"/>
      <c r="Y2975" s="164"/>
      <c r="Z2975" s="164"/>
      <c r="AA2975" s="164"/>
      <c r="AB2975" s="164"/>
      <c r="AC2975" s="164"/>
      <c r="AD2975" s="164"/>
      <c r="AE2975" s="164"/>
      <c r="AF2975" s="164"/>
      <c r="AG2975" s="164"/>
      <c r="AH2975" s="164"/>
      <c r="AI2975" s="164"/>
    </row>
    <row r="2976">
      <c r="A2976" s="154"/>
      <c r="B2976" s="155"/>
      <c r="C2976" s="156"/>
      <c r="D2976" s="156"/>
      <c r="E2976" s="155"/>
      <c r="F2976" s="156"/>
      <c r="G2976" s="154"/>
      <c r="H2976" s="157"/>
      <c r="I2976" s="158"/>
      <c r="J2976" s="159"/>
      <c r="K2976" s="156"/>
      <c r="L2976" s="156"/>
      <c r="M2976" s="155"/>
      <c r="N2976" s="160"/>
      <c r="O2976" s="161"/>
      <c r="P2976" s="161"/>
      <c r="Q2976" s="159"/>
      <c r="R2976" s="162"/>
      <c r="S2976" s="162"/>
      <c r="T2976" s="162"/>
      <c r="U2976" s="163"/>
      <c r="V2976" s="154"/>
      <c r="W2976" s="164"/>
      <c r="X2976" s="164"/>
      <c r="Y2976" s="164"/>
      <c r="Z2976" s="164"/>
      <c r="AA2976" s="164"/>
      <c r="AB2976" s="164"/>
      <c r="AC2976" s="164"/>
      <c r="AD2976" s="164"/>
      <c r="AE2976" s="164"/>
      <c r="AF2976" s="164"/>
      <c r="AG2976" s="164"/>
      <c r="AH2976" s="164"/>
      <c r="AI2976" s="164"/>
    </row>
    <row r="2977">
      <c r="A2977" s="154"/>
      <c r="B2977" s="155"/>
      <c r="C2977" s="156"/>
      <c r="D2977" s="156"/>
      <c r="E2977" s="155"/>
      <c r="F2977" s="156"/>
      <c r="G2977" s="154"/>
      <c r="H2977" s="157"/>
      <c r="I2977" s="158"/>
      <c r="J2977" s="159"/>
      <c r="K2977" s="156"/>
      <c r="L2977" s="156"/>
      <c r="M2977" s="155"/>
      <c r="N2977" s="160"/>
      <c r="O2977" s="161"/>
      <c r="P2977" s="161"/>
      <c r="Q2977" s="203"/>
      <c r="R2977" s="162"/>
      <c r="S2977" s="162"/>
      <c r="T2977" s="162"/>
      <c r="U2977" s="163"/>
      <c r="V2977" s="154"/>
      <c r="W2977" s="164"/>
      <c r="X2977" s="164"/>
      <c r="Y2977" s="164"/>
      <c r="Z2977" s="164"/>
      <c r="AA2977" s="164"/>
      <c r="AB2977" s="164"/>
      <c r="AC2977" s="164"/>
      <c r="AD2977" s="164"/>
      <c r="AE2977" s="164"/>
      <c r="AF2977" s="164"/>
      <c r="AG2977" s="164"/>
      <c r="AH2977" s="164"/>
      <c r="AI2977" s="164"/>
    </row>
    <row r="2978">
      <c r="A2978" s="154"/>
      <c r="B2978" s="155"/>
      <c r="C2978" s="156"/>
      <c r="D2978" s="156"/>
      <c r="E2978" s="155"/>
      <c r="F2978" s="156"/>
      <c r="G2978" s="154"/>
      <c r="H2978" s="157"/>
      <c r="I2978" s="158"/>
      <c r="J2978" s="159"/>
      <c r="K2978" s="156"/>
      <c r="L2978" s="156"/>
      <c r="M2978" s="155"/>
      <c r="N2978" s="160"/>
      <c r="O2978" s="161"/>
      <c r="P2978" s="161"/>
      <c r="Q2978" s="203"/>
      <c r="R2978" s="162"/>
      <c r="S2978" s="162"/>
      <c r="T2978" s="162"/>
      <c r="U2978" s="163"/>
      <c r="V2978" s="154"/>
      <c r="W2978" s="164"/>
      <c r="X2978" s="164"/>
      <c r="Y2978" s="164"/>
      <c r="Z2978" s="164"/>
      <c r="AA2978" s="164"/>
      <c r="AB2978" s="164"/>
      <c r="AC2978" s="164"/>
      <c r="AD2978" s="164"/>
      <c r="AE2978" s="164"/>
      <c r="AF2978" s="164"/>
      <c r="AG2978" s="164"/>
      <c r="AH2978" s="164"/>
      <c r="AI2978" s="164"/>
    </row>
    <row r="2979">
      <c r="A2979" s="154"/>
      <c r="B2979" s="155"/>
      <c r="C2979" s="156"/>
      <c r="D2979" s="156"/>
      <c r="E2979" s="155"/>
      <c r="F2979" s="156"/>
      <c r="G2979" s="154"/>
      <c r="H2979" s="157"/>
      <c r="I2979" s="158"/>
      <c r="J2979" s="159"/>
      <c r="K2979" s="156"/>
      <c r="L2979" s="156"/>
      <c r="M2979" s="155"/>
      <c r="N2979" s="160"/>
      <c r="O2979" s="161"/>
      <c r="P2979" s="161"/>
      <c r="Q2979" s="203"/>
      <c r="R2979" s="162"/>
      <c r="S2979" s="162"/>
      <c r="T2979" s="162"/>
      <c r="U2979" s="163"/>
      <c r="V2979" s="154"/>
      <c r="W2979" s="164"/>
      <c r="X2979" s="164"/>
      <c r="Y2979" s="164"/>
      <c r="Z2979" s="164"/>
      <c r="AA2979" s="164"/>
      <c r="AB2979" s="164"/>
      <c r="AC2979" s="164"/>
      <c r="AD2979" s="164"/>
      <c r="AE2979" s="164"/>
      <c r="AF2979" s="164"/>
      <c r="AG2979" s="164"/>
      <c r="AH2979" s="164"/>
      <c r="AI2979" s="164"/>
    </row>
    <row r="2980">
      <c r="A2980" s="154"/>
      <c r="B2980" s="155"/>
      <c r="C2980" s="156"/>
      <c r="D2980" s="156"/>
      <c r="E2980" s="155"/>
      <c r="F2980" s="156"/>
      <c r="G2980" s="154"/>
      <c r="H2980" s="157"/>
      <c r="I2980" s="158"/>
      <c r="J2980" s="159"/>
      <c r="K2980" s="156"/>
      <c r="L2980" s="156"/>
      <c r="M2980" s="155"/>
      <c r="N2980" s="160"/>
      <c r="O2980" s="161"/>
      <c r="P2980" s="161"/>
      <c r="Q2980" s="203"/>
      <c r="R2980" s="162"/>
      <c r="S2980" s="162"/>
      <c r="T2980" s="162"/>
      <c r="U2980" s="163"/>
      <c r="V2980" s="154"/>
      <c r="W2980" s="164"/>
      <c r="X2980" s="164"/>
      <c r="Y2980" s="164"/>
      <c r="Z2980" s="164"/>
      <c r="AA2980" s="164"/>
      <c r="AB2980" s="164"/>
      <c r="AC2980" s="164"/>
      <c r="AD2980" s="164"/>
      <c r="AE2980" s="164"/>
      <c r="AF2980" s="164"/>
      <c r="AG2980" s="164"/>
      <c r="AH2980" s="164"/>
      <c r="AI2980" s="164"/>
    </row>
    <row r="2981">
      <c r="A2981" s="176"/>
      <c r="B2981" s="177"/>
      <c r="C2981" s="178"/>
      <c r="D2981" s="178"/>
      <c r="E2981" s="177"/>
      <c r="F2981" s="178"/>
      <c r="G2981" s="176"/>
      <c r="H2981" s="179"/>
      <c r="I2981" s="180"/>
      <c r="J2981" s="181"/>
      <c r="K2981" s="178"/>
      <c r="L2981" s="178"/>
      <c r="M2981" s="182"/>
      <c r="N2981" s="183"/>
      <c r="O2981" s="184"/>
      <c r="P2981" s="184"/>
      <c r="Q2981" s="185"/>
      <c r="R2981" s="186"/>
      <c r="S2981" s="186"/>
      <c r="T2981" s="186"/>
      <c r="U2981" s="187"/>
      <c r="V2981" s="176"/>
      <c r="W2981" s="164"/>
      <c r="X2981" s="164"/>
      <c r="Y2981" s="164"/>
      <c r="Z2981" s="164"/>
      <c r="AA2981" s="164"/>
      <c r="AB2981" s="164"/>
      <c r="AC2981" s="164"/>
      <c r="AD2981" s="164"/>
      <c r="AE2981" s="164"/>
      <c r="AF2981" s="164"/>
      <c r="AG2981" s="164"/>
      <c r="AH2981" s="164"/>
      <c r="AI2981" s="164"/>
    </row>
    <row r="2982">
      <c r="A2982" s="154"/>
      <c r="B2982" s="155"/>
      <c r="C2982" s="156"/>
      <c r="D2982" s="156"/>
      <c r="E2982" s="155"/>
      <c r="F2982" s="156"/>
      <c r="G2982" s="154"/>
      <c r="H2982" s="157"/>
      <c r="I2982" s="158"/>
      <c r="J2982" s="159"/>
      <c r="K2982" s="156"/>
      <c r="L2982" s="156"/>
      <c r="M2982" s="155"/>
      <c r="N2982" s="160"/>
      <c r="O2982" s="161"/>
      <c r="P2982" s="161"/>
      <c r="Q2982" s="203"/>
      <c r="R2982" s="162"/>
      <c r="S2982" s="162"/>
      <c r="T2982" s="162"/>
      <c r="U2982" s="163"/>
      <c r="V2982" s="154"/>
      <c r="W2982" s="164"/>
      <c r="X2982" s="164"/>
      <c r="Y2982" s="164"/>
      <c r="Z2982" s="164"/>
      <c r="AA2982" s="164"/>
      <c r="AB2982" s="164"/>
      <c r="AC2982" s="164"/>
      <c r="AD2982" s="164"/>
      <c r="AE2982" s="164"/>
      <c r="AF2982" s="164"/>
      <c r="AG2982" s="164"/>
      <c r="AH2982" s="164"/>
      <c r="AI2982" s="164"/>
    </row>
    <row r="2983">
      <c r="A2983" s="154"/>
      <c r="B2983" s="155"/>
      <c r="C2983" s="156"/>
      <c r="D2983" s="156"/>
      <c r="E2983" s="155"/>
      <c r="F2983" s="156"/>
      <c r="G2983" s="154"/>
      <c r="H2983" s="157"/>
      <c r="I2983" s="158"/>
      <c r="J2983" s="159"/>
      <c r="K2983" s="156"/>
      <c r="L2983" s="156"/>
      <c r="M2983" s="202"/>
      <c r="N2983" s="160"/>
      <c r="O2983" s="161"/>
      <c r="P2983" s="161"/>
      <c r="Q2983" s="203"/>
      <c r="R2983" s="162"/>
      <c r="S2983" s="162"/>
      <c r="T2983" s="162"/>
      <c r="U2983" s="163"/>
      <c r="V2983" s="154"/>
      <c r="W2983" s="164"/>
      <c r="X2983" s="164"/>
      <c r="Y2983" s="164"/>
      <c r="Z2983" s="164"/>
      <c r="AA2983" s="164"/>
      <c r="AB2983" s="164"/>
      <c r="AC2983" s="164"/>
      <c r="AD2983" s="164"/>
      <c r="AE2983" s="164"/>
      <c r="AF2983" s="164"/>
      <c r="AG2983" s="164"/>
      <c r="AH2983" s="164"/>
      <c r="AI2983" s="164"/>
    </row>
    <row r="2984">
      <c r="A2984" s="154"/>
      <c r="B2984" s="155"/>
      <c r="C2984" s="156"/>
      <c r="D2984" s="156"/>
      <c r="E2984" s="155"/>
      <c r="F2984" s="156"/>
      <c r="G2984" s="154"/>
      <c r="H2984" s="157"/>
      <c r="I2984" s="158"/>
      <c r="J2984" s="159"/>
      <c r="K2984" s="156"/>
      <c r="L2984" s="156"/>
      <c r="M2984" s="202"/>
      <c r="N2984" s="160"/>
      <c r="O2984" s="161"/>
      <c r="P2984" s="161"/>
      <c r="Q2984" s="203"/>
      <c r="R2984" s="162"/>
      <c r="S2984" s="162"/>
      <c r="T2984" s="162"/>
      <c r="U2984" s="163"/>
      <c r="V2984" s="154"/>
      <c r="W2984" s="164"/>
      <c r="X2984" s="164"/>
      <c r="Y2984" s="164"/>
      <c r="Z2984" s="164"/>
      <c r="AA2984" s="164"/>
      <c r="AB2984" s="164"/>
      <c r="AC2984" s="164"/>
      <c r="AD2984" s="164"/>
      <c r="AE2984" s="164"/>
      <c r="AF2984" s="164"/>
      <c r="AG2984" s="164"/>
      <c r="AH2984" s="164"/>
      <c r="AI2984" s="164"/>
    </row>
    <row r="2985">
      <c r="A2985" s="154"/>
      <c r="B2985" s="155"/>
      <c r="C2985" s="156"/>
      <c r="D2985" s="156"/>
      <c r="E2985" s="155"/>
      <c r="F2985" s="156"/>
      <c r="G2985" s="154"/>
      <c r="H2985" s="157"/>
      <c r="I2985" s="158"/>
      <c r="J2985" s="159"/>
      <c r="K2985" s="156"/>
      <c r="L2985" s="156"/>
      <c r="M2985" s="155"/>
      <c r="N2985" s="160"/>
      <c r="O2985" s="161"/>
      <c r="P2985" s="161"/>
      <c r="Q2985" s="159"/>
      <c r="R2985" s="162"/>
      <c r="S2985" s="162"/>
      <c r="T2985" s="162"/>
      <c r="U2985" s="163"/>
      <c r="V2985" s="154"/>
      <c r="W2985" s="164"/>
      <c r="X2985" s="164"/>
      <c r="Y2985" s="164"/>
      <c r="Z2985" s="164"/>
      <c r="AA2985" s="164"/>
      <c r="AB2985" s="164"/>
      <c r="AC2985" s="164"/>
      <c r="AD2985" s="164"/>
      <c r="AE2985" s="164"/>
      <c r="AF2985" s="164"/>
      <c r="AG2985" s="164"/>
      <c r="AH2985" s="164"/>
      <c r="AI2985" s="164"/>
    </row>
    <row r="2986">
      <c r="A2986" s="154"/>
      <c r="B2986" s="155"/>
      <c r="C2986" s="156"/>
      <c r="D2986" s="156"/>
      <c r="E2986" s="155"/>
      <c r="F2986" s="156"/>
      <c r="G2986" s="154"/>
      <c r="H2986" s="157"/>
      <c r="I2986" s="158"/>
      <c r="J2986" s="159"/>
      <c r="K2986" s="156"/>
      <c r="L2986" s="156"/>
      <c r="M2986" s="155"/>
      <c r="N2986" s="160"/>
      <c r="O2986" s="161"/>
      <c r="P2986" s="161"/>
      <c r="Q2986" s="203"/>
      <c r="R2986" s="162"/>
      <c r="S2986" s="162"/>
      <c r="T2986" s="162"/>
      <c r="U2986" s="163"/>
      <c r="V2986" s="154"/>
      <c r="W2986" s="164"/>
      <c r="X2986" s="164"/>
      <c r="Y2986" s="164"/>
      <c r="Z2986" s="164"/>
      <c r="AA2986" s="164"/>
      <c r="AB2986" s="164"/>
      <c r="AC2986" s="164"/>
      <c r="AD2986" s="164"/>
      <c r="AE2986" s="164"/>
      <c r="AF2986" s="164"/>
      <c r="AG2986" s="164"/>
      <c r="AH2986" s="164"/>
      <c r="AI2986" s="164"/>
    </row>
    <row r="2987">
      <c r="A2987" s="154"/>
      <c r="B2987" s="155"/>
      <c r="C2987" s="156"/>
      <c r="D2987" s="156"/>
      <c r="E2987" s="155"/>
      <c r="F2987" s="156"/>
      <c r="G2987" s="154"/>
      <c r="H2987" s="157"/>
      <c r="I2987" s="158"/>
      <c r="J2987" s="159"/>
      <c r="K2987" s="156"/>
      <c r="L2987" s="156"/>
      <c r="M2987" s="202"/>
      <c r="N2987" s="160"/>
      <c r="O2987" s="161"/>
      <c r="P2987" s="161"/>
      <c r="Q2987" s="203"/>
      <c r="R2987" s="162"/>
      <c r="S2987" s="162"/>
      <c r="T2987" s="162"/>
      <c r="U2987" s="163"/>
      <c r="V2987" s="154"/>
      <c r="W2987" s="164"/>
      <c r="X2987" s="164"/>
      <c r="Y2987" s="164"/>
      <c r="Z2987" s="164"/>
      <c r="AA2987" s="164"/>
      <c r="AB2987" s="164"/>
      <c r="AC2987" s="164"/>
      <c r="AD2987" s="164"/>
      <c r="AE2987" s="164"/>
      <c r="AF2987" s="164"/>
      <c r="AG2987" s="164"/>
      <c r="AH2987" s="164"/>
      <c r="AI2987" s="164"/>
    </row>
    <row r="2988">
      <c r="A2988" s="154"/>
      <c r="B2988" s="155"/>
      <c r="C2988" s="156"/>
      <c r="D2988" s="156"/>
      <c r="E2988" s="155"/>
      <c r="F2988" s="156"/>
      <c r="G2988" s="154"/>
      <c r="H2988" s="157"/>
      <c r="I2988" s="158"/>
      <c r="J2988" s="159"/>
      <c r="K2988" s="156"/>
      <c r="L2988" s="156"/>
      <c r="M2988" s="155"/>
      <c r="N2988" s="160"/>
      <c r="O2988" s="161"/>
      <c r="P2988" s="161"/>
      <c r="Q2988" s="203"/>
      <c r="R2988" s="162"/>
      <c r="S2988" s="162"/>
      <c r="T2988" s="162"/>
      <c r="U2988" s="163"/>
      <c r="V2988" s="215"/>
      <c r="W2988" s="164"/>
      <c r="X2988" s="164"/>
      <c r="Y2988" s="164"/>
      <c r="Z2988" s="164"/>
      <c r="AA2988" s="164"/>
      <c r="AB2988" s="164"/>
      <c r="AC2988" s="164"/>
      <c r="AD2988" s="164"/>
      <c r="AE2988" s="164"/>
      <c r="AF2988" s="164"/>
      <c r="AG2988" s="164"/>
      <c r="AH2988" s="164"/>
      <c r="AI2988" s="164"/>
    </row>
    <row r="2989">
      <c r="A2989" s="154"/>
      <c r="B2989" s="155"/>
      <c r="C2989" s="156"/>
      <c r="D2989" s="156"/>
      <c r="E2989" s="155"/>
      <c r="F2989" s="156"/>
      <c r="G2989" s="154"/>
      <c r="H2989" s="157"/>
      <c r="I2989" s="158"/>
      <c r="J2989" s="159"/>
      <c r="K2989" s="156"/>
      <c r="L2989" s="156"/>
      <c r="M2989" s="155"/>
      <c r="N2989" s="160"/>
      <c r="O2989" s="161"/>
      <c r="P2989" s="161"/>
      <c r="Q2989" s="203"/>
      <c r="R2989" s="162"/>
      <c r="S2989" s="162"/>
      <c r="T2989" s="162"/>
      <c r="U2989" s="163"/>
      <c r="V2989" s="154"/>
      <c r="W2989" s="164"/>
      <c r="X2989" s="164"/>
      <c r="Y2989" s="164"/>
      <c r="Z2989" s="164"/>
      <c r="AA2989" s="164"/>
      <c r="AB2989" s="164"/>
      <c r="AC2989" s="164"/>
      <c r="AD2989" s="164"/>
      <c r="AE2989" s="164"/>
      <c r="AF2989" s="164"/>
      <c r="AG2989" s="164"/>
      <c r="AH2989" s="164"/>
      <c r="AI2989" s="164"/>
    </row>
    <row r="2990">
      <c r="A2990" s="154"/>
      <c r="B2990" s="155"/>
      <c r="C2990" s="156"/>
      <c r="D2990" s="156"/>
      <c r="E2990" s="443"/>
      <c r="F2990" s="156"/>
      <c r="G2990" s="154"/>
      <c r="H2990" s="157"/>
      <c r="I2990" s="158"/>
      <c r="J2990" s="159"/>
      <c r="K2990" s="156"/>
      <c r="L2990" s="156"/>
      <c r="M2990" s="155"/>
      <c r="N2990" s="160"/>
      <c r="O2990" s="161"/>
      <c r="P2990" s="161"/>
      <c r="Q2990" s="203"/>
      <c r="R2990" s="162"/>
      <c r="S2990" s="162"/>
      <c r="T2990" s="162"/>
      <c r="U2990" s="163"/>
      <c r="V2990" s="215"/>
      <c r="W2990" s="164"/>
      <c r="X2990" s="164"/>
      <c r="Y2990" s="164"/>
      <c r="Z2990" s="164"/>
      <c r="AA2990" s="164"/>
      <c r="AB2990" s="164"/>
      <c r="AC2990" s="164"/>
      <c r="AD2990" s="164"/>
      <c r="AE2990" s="164"/>
      <c r="AF2990" s="164"/>
      <c r="AG2990" s="164"/>
      <c r="AH2990" s="164"/>
      <c r="AI2990" s="164"/>
    </row>
    <row r="2991">
      <c r="A2991" s="154"/>
      <c r="B2991" s="155"/>
      <c r="C2991" s="156"/>
      <c r="D2991" s="156"/>
      <c r="E2991" s="155"/>
      <c r="F2991" s="156"/>
      <c r="G2991" s="154"/>
      <c r="H2991" s="157"/>
      <c r="I2991" s="158"/>
      <c r="J2991" s="159"/>
      <c r="K2991" s="156"/>
      <c r="L2991" s="156"/>
      <c r="M2991" s="202"/>
      <c r="N2991" s="160"/>
      <c r="O2991" s="161"/>
      <c r="P2991" s="161"/>
      <c r="Q2991" s="203"/>
      <c r="R2991" s="162"/>
      <c r="S2991" s="162"/>
      <c r="T2991" s="162"/>
      <c r="U2991" s="163"/>
      <c r="V2991" s="154"/>
      <c r="W2991" s="164"/>
      <c r="X2991" s="164"/>
      <c r="Y2991" s="164"/>
      <c r="Z2991" s="164"/>
      <c r="AA2991" s="164"/>
      <c r="AB2991" s="164"/>
      <c r="AC2991" s="164"/>
      <c r="AD2991" s="164"/>
      <c r="AE2991" s="164"/>
      <c r="AF2991" s="164"/>
      <c r="AG2991" s="164"/>
      <c r="AH2991" s="164"/>
      <c r="AI2991" s="164"/>
    </row>
    <row r="2992">
      <c r="A2992" s="154"/>
      <c r="B2992" s="155"/>
      <c r="C2992" s="156"/>
      <c r="D2992" s="156"/>
      <c r="E2992" s="155"/>
      <c r="F2992" s="156"/>
      <c r="G2992" s="154"/>
      <c r="H2992" s="157"/>
      <c r="I2992" s="158"/>
      <c r="J2992" s="159"/>
      <c r="K2992" s="156"/>
      <c r="L2992" s="156"/>
      <c r="M2992" s="155"/>
      <c r="N2992" s="160"/>
      <c r="O2992" s="161"/>
      <c r="P2992" s="161"/>
      <c r="Q2992" s="203"/>
      <c r="R2992" s="162"/>
      <c r="S2992" s="162"/>
      <c r="T2992" s="173"/>
      <c r="U2992" s="174"/>
      <c r="V2992" s="165"/>
      <c r="W2992" s="164"/>
      <c r="X2992" s="164"/>
      <c r="Y2992" s="164"/>
      <c r="Z2992" s="164"/>
      <c r="AA2992" s="164"/>
      <c r="AB2992" s="164"/>
      <c r="AC2992" s="164"/>
      <c r="AD2992" s="164"/>
      <c r="AE2992" s="164"/>
      <c r="AF2992" s="164"/>
      <c r="AG2992" s="164"/>
      <c r="AH2992" s="164"/>
      <c r="AI2992" s="164"/>
    </row>
    <row r="2993">
      <c r="A2993" s="154"/>
      <c r="B2993" s="155"/>
      <c r="C2993" s="156"/>
      <c r="D2993" s="156"/>
      <c r="E2993" s="155"/>
      <c r="F2993" s="156"/>
      <c r="G2993" s="154"/>
      <c r="H2993" s="157"/>
      <c r="I2993" s="158"/>
      <c r="J2993" s="159"/>
      <c r="K2993" s="156"/>
      <c r="L2993" s="156"/>
      <c r="M2993" s="155"/>
      <c r="N2993" s="160"/>
      <c r="O2993" s="161"/>
      <c r="P2993" s="161"/>
      <c r="Q2993" s="203"/>
      <c r="R2993" s="162"/>
      <c r="S2993" s="162"/>
      <c r="T2993" s="162"/>
      <c r="U2993" s="163"/>
      <c r="V2993" s="154"/>
      <c r="W2993" s="164"/>
      <c r="X2993" s="164"/>
      <c r="Y2993" s="164"/>
      <c r="Z2993" s="164"/>
      <c r="AA2993" s="164"/>
      <c r="AB2993" s="164"/>
      <c r="AC2993" s="164"/>
      <c r="AD2993" s="164"/>
      <c r="AE2993" s="164"/>
      <c r="AF2993" s="164"/>
      <c r="AG2993" s="164"/>
      <c r="AH2993" s="164"/>
      <c r="AI2993" s="164"/>
    </row>
    <row r="2994">
      <c r="A2994" s="154"/>
      <c r="B2994" s="155"/>
      <c r="C2994" s="156"/>
      <c r="D2994" s="156"/>
      <c r="E2994" s="155"/>
      <c r="F2994" s="156"/>
      <c r="G2994" s="154"/>
      <c r="H2994" s="157"/>
      <c r="I2994" s="158"/>
      <c r="J2994" s="159"/>
      <c r="K2994" s="156"/>
      <c r="L2994" s="156"/>
      <c r="M2994" s="155"/>
      <c r="N2994" s="160"/>
      <c r="O2994" s="161"/>
      <c r="P2994" s="161"/>
      <c r="Q2994" s="203"/>
      <c r="R2994" s="162"/>
      <c r="S2994" s="162"/>
      <c r="T2994" s="162"/>
      <c r="U2994" s="163"/>
      <c r="V2994" s="215"/>
      <c r="W2994" s="164"/>
      <c r="X2994" s="164"/>
      <c r="Y2994" s="164"/>
      <c r="Z2994" s="164"/>
      <c r="AA2994" s="164"/>
      <c r="AB2994" s="164"/>
      <c r="AC2994" s="164"/>
      <c r="AD2994" s="164"/>
      <c r="AE2994" s="164"/>
      <c r="AF2994" s="164"/>
      <c r="AG2994" s="164"/>
      <c r="AH2994" s="164"/>
      <c r="AI2994" s="164"/>
    </row>
    <row r="2995">
      <c r="A2995" s="154"/>
      <c r="B2995" s="155"/>
      <c r="C2995" s="156"/>
      <c r="D2995" s="156"/>
      <c r="E2995" s="155"/>
      <c r="F2995" s="156"/>
      <c r="G2995" s="154"/>
      <c r="H2995" s="157"/>
      <c r="I2995" s="158"/>
      <c r="J2995" s="159"/>
      <c r="K2995" s="156"/>
      <c r="L2995" s="156"/>
      <c r="M2995" s="155"/>
      <c r="N2995" s="160"/>
      <c r="O2995" s="161"/>
      <c r="P2995" s="161"/>
      <c r="Q2995" s="203"/>
      <c r="R2995" s="162"/>
      <c r="S2995" s="162"/>
      <c r="T2995" s="162"/>
      <c r="U2995" s="163"/>
      <c r="V2995" s="154"/>
      <c r="W2995" s="164"/>
      <c r="X2995" s="164"/>
      <c r="Y2995" s="164"/>
      <c r="Z2995" s="164"/>
      <c r="AA2995" s="164"/>
      <c r="AB2995" s="164"/>
      <c r="AC2995" s="164"/>
      <c r="AD2995" s="164"/>
      <c r="AE2995" s="164"/>
      <c r="AF2995" s="164"/>
      <c r="AG2995" s="164"/>
      <c r="AH2995" s="164"/>
      <c r="AI2995" s="164"/>
    </row>
    <row r="2996">
      <c r="A2996" s="154"/>
      <c r="B2996" s="155"/>
      <c r="C2996" s="156"/>
      <c r="D2996" s="156"/>
      <c r="E2996" s="155"/>
      <c r="F2996" s="156"/>
      <c r="G2996" s="154"/>
      <c r="H2996" s="157"/>
      <c r="I2996" s="158"/>
      <c r="J2996" s="159"/>
      <c r="K2996" s="156"/>
      <c r="L2996" s="156"/>
      <c r="M2996" s="155"/>
      <c r="N2996" s="160"/>
      <c r="O2996" s="161"/>
      <c r="P2996" s="161"/>
      <c r="Q2996" s="159"/>
      <c r="R2996" s="162"/>
      <c r="S2996" s="162"/>
      <c r="T2996" s="162"/>
      <c r="U2996" s="163"/>
      <c r="V2996" s="154"/>
      <c r="W2996" s="164"/>
      <c r="X2996" s="164"/>
      <c r="Y2996" s="164"/>
      <c r="Z2996" s="164"/>
      <c r="AA2996" s="164"/>
      <c r="AB2996" s="164"/>
      <c r="AC2996" s="164"/>
      <c r="AD2996" s="164"/>
      <c r="AE2996" s="164"/>
      <c r="AF2996" s="164"/>
      <c r="AG2996" s="164"/>
      <c r="AH2996" s="164"/>
      <c r="AI2996" s="164"/>
    </row>
    <row r="2997">
      <c r="A2997" s="154"/>
      <c r="B2997" s="155"/>
      <c r="C2997" s="156"/>
      <c r="D2997" s="156"/>
      <c r="E2997" s="155"/>
      <c r="F2997" s="156"/>
      <c r="G2997" s="154"/>
      <c r="H2997" s="157"/>
      <c r="I2997" s="158"/>
      <c r="J2997" s="159"/>
      <c r="K2997" s="156"/>
      <c r="L2997" s="156"/>
      <c r="M2997" s="155"/>
      <c r="N2997" s="160"/>
      <c r="O2997" s="161"/>
      <c r="P2997" s="161"/>
      <c r="Q2997" s="203"/>
      <c r="R2997" s="162"/>
      <c r="S2997" s="162"/>
      <c r="T2997" s="162"/>
      <c r="U2997" s="163"/>
      <c r="V2997" s="154"/>
      <c r="W2997" s="164"/>
      <c r="X2997" s="164"/>
      <c r="Y2997" s="164"/>
      <c r="Z2997" s="164"/>
      <c r="AA2997" s="164"/>
      <c r="AB2997" s="164"/>
      <c r="AC2997" s="164"/>
      <c r="AD2997" s="164"/>
      <c r="AE2997" s="164"/>
      <c r="AF2997" s="164"/>
      <c r="AG2997" s="164"/>
      <c r="AH2997" s="164"/>
      <c r="AI2997" s="164"/>
    </row>
    <row r="2998">
      <c r="A2998" s="154"/>
      <c r="B2998" s="155"/>
      <c r="C2998" s="156"/>
      <c r="D2998" s="156"/>
      <c r="E2998" s="155"/>
      <c r="F2998" s="156"/>
      <c r="G2998" s="154"/>
      <c r="H2998" s="157"/>
      <c r="I2998" s="158"/>
      <c r="J2998" s="159"/>
      <c r="K2998" s="156"/>
      <c r="L2998" s="156"/>
      <c r="M2998" s="155"/>
      <c r="N2998" s="160"/>
      <c r="O2998" s="161"/>
      <c r="P2998" s="161"/>
      <c r="Q2998" s="203"/>
      <c r="R2998" s="162"/>
      <c r="S2998" s="162"/>
      <c r="T2998" s="162"/>
      <c r="U2998" s="163"/>
      <c r="V2998" s="154"/>
      <c r="W2998" s="164"/>
      <c r="X2998" s="164"/>
      <c r="Y2998" s="164"/>
      <c r="Z2998" s="164"/>
      <c r="AA2998" s="164"/>
      <c r="AB2998" s="164"/>
      <c r="AC2998" s="164"/>
      <c r="AD2998" s="164"/>
      <c r="AE2998" s="164"/>
      <c r="AF2998" s="164"/>
      <c r="AG2998" s="164"/>
      <c r="AH2998" s="164"/>
      <c r="AI2998" s="164"/>
    </row>
    <row r="2999">
      <c r="A2999" s="154"/>
      <c r="B2999" s="155"/>
      <c r="C2999" s="156"/>
      <c r="D2999" s="156"/>
      <c r="E2999" s="155"/>
      <c r="F2999" s="156"/>
      <c r="G2999" s="154"/>
      <c r="H2999" s="157"/>
      <c r="I2999" s="158"/>
      <c r="J2999" s="159"/>
      <c r="K2999" s="156"/>
      <c r="L2999" s="156"/>
      <c r="M2999" s="155"/>
      <c r="N2999" s="160"/>
      <c r="O2999" s="161"/>
      <c r="P2999" s="161"/>
      <c r="Q2999" s="203"/>
      <c r="R2999" s="162"/>
      <c r="S2999" s="162"/>
      <c r="T2999" s="162"/>
      <c r="U2999" s="163"/>
      <c r="V2999" s="154"/>
      <c r="W2999" s="164"/>
      <c r="X2999" s="164"/>
      <c r="Y2999" s="164"/>
      <c r="Z2999" s="164"/>
      <c r="AA2999" s="164"/>
      <c r="AB2999" s="164"/>
      <c r="AC2999" s="164"/>
      <c r="AD2999" s="164"/>
      <c r="AE2999" s="164"/>
      <c r="AF2999" s="164"/>
      <c r="AG2999" s="164"/>
      <c r="AH2999" s="164"/>
      <c r="AI2999" s="164"/>
    </row>
    <row r="3000">
      <c r="A3000" s="154"/>
      <c r="B3000" s="155"/>
      <c r="C3000" s="156"/>
      <c r="D3000" s="156"/>
      <c r="E3000" s="155"/>
      <c r="F3000" s="156"/>
      <c r="G3000" s="154"/>
      <c r="H3000" s="157"/>
      <c r="I3000" s="158"/>
      <c r="J3000" s="159"/>
      <c r="K3000" s="156"/>
      <c r="L3000" s="156"/>
      <c r="M3000" s="202"/>
      <c r="N3000" s="160"/>
      <c r="O3000" s="161"/>
      <c r="P3000" s="161"/>
      <c r="Q3000" s="203"/>
      <c r="R3000" s="162"/>
      <c r="S3000" s="162"/>
      <c r="T3000" s="162"/>
      <c r="U3000" s="163"/>
      <c r="V3000" s="154"/>
      <c r="W3000" s="164"/>
      <c r="X3000" s="164"/>
      <c r="Y3000" s="164"/>
      <c r="Z3000" s="164"/>
      <c r="AA3000" s="164"/>
      <c r="AB3000" s="164"/>
      <c r="AC3000" s="164"/>
      <c r="AD3000" s="164"/>
      <c r="AE3000" s="164"/>
      <c r="AF3000" s="164"/>
      <c r="AG3000" s="164"/>
      <c r="AH3000" s="164"/>
      <c r="AI3000" s="164"/>
    </row>
    <row r="3001">
      <c r="A3001" s="154"/>
      <c r="B3001" s="155"/>
      <c r="C3001" s="156"/>
      <c r="D3001" s="156"/>
      <c r="E3001" s="155"/>
      <c r="F3001" s="156"/>
      <c r="G3001" s="154"/>
      <c r="H3001" s="157"/>
      <c r="I3001" s="158"/>
      <c r="J3001" s="159"/>
      <c r="K3001" s="156"/>
      <c r="L3001" s="156"/>
      <c r="M3001" s="155"/>
      <c r="N3001" s="160"/>
      <c r="O3001" s="161"/>
      <c r="P3001" s="161"/>
      <c r="Q3001" s="203"/>
      <c r="R3001" s="162"/>
      <c r="S3001" s="162"/>
      <c r="T3001" s="162"/>
      <c r="U3001" s="163"/>
      <c r="V3001" s="154"/>
      <c r="W3001" s="164"/>
      <c r="X3001" s="164"/>
      <c r="Y3001" s="164"/>
      <c r="Z3001" s="164"/>
      <c r="AA3001" s="164"/>
      <c r="AB3001" s="164"/>
      <c r="AC3001" s="164"/>
      <c r="AD3001" s="164"/>
      <c r="AE3001" s="164"/>
      <c r="AF3001" s="164"/>
      <c r="AG3001" s="164"/>
      <c r="AH3001" s="164"/>
      <c r="AI3001" s="164"/>
    </row>
    <row r="3002">
      <c r="A3002" s="154"/>
      <c r="B3002" s="155"/>
      <c r="C3002" s="156"/>
      <c r="D3002" s="156"/>
      <c r="E3002" s="155"/>
      <c r="F3002" s="156"/>
      <c r="G3002" s="154"/>
      <c r="H3002" s="157"/>
      <c r="I3002" s="158"/>
      <c r="J3002" s="159"/>
      <c r="K3002" s="156"/>
      <c r="L3002" s="156"/>
      <c r="M3002" s="155"/>
      <c r="N3002" s="160"/>
      <c r="O3002" s="161"/>
      <c r="P3002" s="161"/>
      <c r="Q3002" s="203"/>
      <c r="R3002" s="162"/>
      <c r="S3002" s="162"/>
      <c r="T3002" s="162"/>
      <c r="U3002" s="163"/>
      <c r="V3002" s="154"/>
      <c r="W3002" s="164"/>
      <c r="X3002" s="164"/>
      <c r="Y3002" s="164"/>
      <c r="Z3002" s="164"/>
      <c r="AA3002" s="164"/>
      <c r="AB3002" s="164"/>
      <c r="AC3002" s="164"/>
      <c r="AD3002" s="164"/>
      <c r="AE3002" s="164"/>
      <c r="AF3002" s="164"/>
      <c r="AG3002" s="164"/>
      <c r="AH3002" s="164"/>
      <c r="AI3002" s="164"/>
    </row>
    <row r="3003">
      <c r="A3003" s="154"/>
      <c r="B3003" s="155"/>
      <c r="C3003" s="156"/>
      <c r="D3003" s="156"/>
      <c r="E3003" s="155"/>
      <c r="F3003" s="156"/>
      <c r="G3003" s="154"/>
      <c r="H3003" s="157"/>
      <c r="I3003" s="158"/>
      <c r="J3003" s="159"/>
      <c r="K3003" s="156"/>
      <c r="L3003" s="156"/>
      <c r="M3003" s="155"/>
      <c r="N3003" s="160"/>
      <c r="O3003" s="161"/>
      <c r="P3003" s="161"/>
      <c r="Q3003" s="203"/>
      <c r="R3003" s="162"/>
      <c r="S3003" s="162"/>
      <c r="T3003" s="162"/>
      <c r="U3003" s="163"/>
      <c r="V3003" s="154"/>
      <c r="W3003" s="164"/>
      <c r="X3003" s="164"/>
      <c r="Y3003" s="164"/>
      <c r="Z3003" s="164"/>
      <c r="AA3003" s="164"/>
      <c r="AB3003" s="164"/>
      <c r="AC3003" s="164"/>
      <c r="AD3003" s="164"/>
      <c r="AE3003" s="164"/>
      <c r="AF3003" s="164"/>
      <c r="AG3003" s="164"/>
      <c r="AH3003" s="164"/>
      <c r="AI3003" s="164"/>
    </row>
    <row r="3004">
      <c r="A3004" s="154"/>
      <c r="B3004" s="155"/>
      <c r="C3004" s="156"/>
      <c r="D3004" s="156"/>
      <c r="E3004" s="155"/>
      <c r="F3004" s="156"/>
      <c r="G3004" s="154"/>
      <c r="H3004" s="157"/>
      <c r="I3004" s="158"/>
      <c r="J3004" s="159"/>
      <c r="K3004" s="156"/>
      <c r="L3004" s="156"/>
      <c r="M3004" s="202"/>
      <c r="N3004" s="160"/>
      <c r="O3004" s="161"/>
      <c r="P3004" s="161"/>
      <c r="Q3004" s="203"/>
      <c r="R3004" s="162"/>
      <c r="S3004" s="162"/>
      <c r="T3004" s="162"/>
      <c r="U3004" s="163"/>
      <c r="V3004" s="216"/>
      <c r="W3004" s="164"/>
      <c r="X3004" s="164"/>
      <c r="Y3004" s="164"/>
      <c r="Z3004" s="164"/>
      <c r="AA3004" s="164"/>
      <c r="AB3004" s="164"/>
      <c r="AC3004" s="164"/>
      <c r="AD3004" s="164"/>
      <c r="AE3004" s="164"/>
      <c r="AF3004" s="164"/>
      <c r="AG3004" s="164"/>
      <c r="AH3004" s="164"/>
      <c r="AI3004" s="164"/>
    </row>
    <row r="3005">
      <c r="A3005" s="154"/>
      <c r="B3005" s="155"/>
      <c r="C3005" s="156"/>
      <c r="D3005" s="156"/>
      <c r="E3005" s="155"/>
      <c r="F3005" s="156"/>
      <c r="G3005" s="154"/>
      <c r="H3005" s="157"/>
      <c r="I3005" s="158"/>
      <c r="J3005" s="159"/>
      <c r="K3005" s="156"/>
      <c r="L3005" s="156"/>
      <c r="M3005" s="155"/>
      <c r="N3005" s="160"/>
      <c r="O3005" s="161"/>
      <c r="P3005" s="161"/>
      <c r="Q3005" s="159"/>
      <c r="R3005" s="162"/>
      <c r="S3005" s="162"/>
      <c r="T3005" s="162"/>
      <c r="U3005" s="163"/>
      <c r="V3005" s="215"/>
      <c r="W3005" s="164"/>
      <c r="X3005" s="164"/>
      <c r="Y3005" s="164"/>
      <c r="Z3005" s="164"/>
      <c r="AA3005" s="164"/>
      <c r="AB3005" s="164"/>
      <c r="AC3005" s="164"/>
      <c r="AD3005" s="164"/>
      <c r="AE3005" s="164"/>
      <c r="AF3005" s="164"/>
      <c r="AG3005" s="164"/>
      <c r="AH3005" s="164"/>
      <c r="AI3005" s="164"/>
    </row>
    <row r="3006">
      <c r="A3006" s="154"/>
      <c r="B3006" s="155"/>
      <c r="C3006" s="156"/>
      <c r="D3006" s="156"/>
      <c r="E3006" s="155"/>
      <c r="F3006" s="156"/>
      <c r="G3006" s="154"/>
      <c r="H3006" s="157"/>
      <c r="I3006" s="158"/>
      <c r="J3006" s="159"/>
      <c r="K3006" s="156"/>
      <c r="L3006" s="156"/>
      <c r="M3006" s="155"/>
      <c r="N3006" s="160"/>
      <c r="O3006" s="161"/>
      <c r="P3006" s="161"/>
      <c r="Q3006" s="159"/>
      <c r="R3006" s="162"/>
      <c r="S3006" s="162"/>
      <c r="T3006" s="162"/>
      <c r="U3006" s="163"/>
      <c r="V3006" s="154"/>
      <c r="W3006" s="164"/>
      <c r="X3006" s="164"/>
      <c r="Y3006" s="164"/>
      <c r="Z3006" s="164"/>
      <c r="AA3006" s="164"/>
      <c r="AB3006" s="164"/>
      <c r="AC3006" s="164"/>
      <c r="AD3006" s="164"/>
      <c r="AE3006" s="164"/>
      <c r="AF3006" s="164"/>
      <c r="AG3006" s="164"/>
      <c r="AH3006" s="164"/>
      <c r="AI3006" s="164"/>
    </row>
    <row r="3007">
      <c r="A3007" s="154"/>
      <c r="B3007" s="155"/>
      <c r="C3007" s="156"/>
      <c r="D3007" s="156"/>
      <c r="E3007" s="155"/>
      <c r="F3007" s="156"/>
      <c r="G3007" s="154"/>
      <c r="H3007" s="157"/>
      <c r="I3007" s="158"/>
      <c r="J3007" s="159"/>
      <c r="K3007" s="156"/>
      <c r="L3007" s="156"/>
      <c r="M3007" s="155"/>
      <c r="N3007" s="160"/>
      <c r="O3007" s="161"/>
      <c r="P3007" s="161"/>
      <c r="Q3007" s="203"/>
      <c r="R3007" s="162"/>
      <c r="S3007" s="162"/>
      <c r="T3007" s="162"/>
      <c r="U3007" s="163"/>
      <c r="V3007" s="215"/>
      <c r="W3007" s="164"/>
      <c r="X3007" s="164"/>
      <c r="Y3007" s="164"/>
      <c r="Z3007" s="164"/>
      <c r="AA3007" s="164"/>
      <c r="AB3007" s="164"/>
      <c r="AC3007" s="164"/>
      <c r="AD3007" s="164"/>
      <c r="AE3007" s="164"/>
      <c r="AF3007" s="164"/>
      <c r="AG3007" s="164"/>
      <c r="AH3007" s="164"/>
      <c r="AI3007" s="164"/>
    </row>
    <row r="3008">
      <c r="A3008" s="154"/>
      <c r="B3008" s="155"/>
      <c r="C3008" s="156"/>
      <c r="D3008" s="156"/>
      <c r="E3008" s="155"/>
      <c r="F3008" s="156"/>
      <c r="G3008" s="154"/>
      <c r="H3008" s="157"/>
      <c r="I3008" s="158"/>
      <c r="J3008" s="159"/>
      <c r="K3008" s="156"/>
      <c r="L3008" s="156"/>
      <c r="M3008" s="155"/>
      <c r="N3008" s="160"/>
      <c r="O3008" s="161"/>
      <c r="P3008" s="161"/>
      <c r="Q3008" s="159"/>
      <c r="R3008" s="162"/>
      <c r="S3008" s="162"/>
      <c r="T3008" s="162"/>
      <c r="U3008" s="163"/>
      <c r="V3008" s="154"/>
      <c r="W3008" s="164"/>
      <c r="X3008" s="164"/>
      <c r="Y3008" s="164"/>
      <c r="Z3008" s="164"/>
      <c r="AA3008" s="164"/>
      <c r="AB3008" s="164"/>
      <c r="AC3008" s="164"/>
      <c r="AD3008" s="164"/>
      <c r="AE3008" s="164"/>
      <c r="AF3008" s="164"/>
      <c r="AG3008" s="164"/>
      <c r="AH3008" s="164"/>
      <c r="AI3008" s="164"/>
    </row>
    <row r="3009">
      <c r="A3009" s="154"/>
      <c r="B3009" s="155"/>
      <c r="C3009" s="156"/>
      <c r="D3009" s="156"/>
      <c r="E3009" s="155"/>
      <c r="F3009" s="156"/>
      <c r="G3009" s="154"/>
      <c r="H3009" s="157"/>
      <c r="I3009" s="158"/>
      <c r="J3009" s="159"/>
      <c r="K3009" s="156"/>
      <c r="L3009" s="156"/>
      <c r="M3009" s="155"/>
      <c r="N3009" s="160"/>
      <c r="O3009" s="161"/>
      <c r="P3009" s="161"/>
      <c r="Q3009" s="203"/>
      <c r="R3009" s="162"/>
      <c r="S3009" s="162"/>
      <c r="T3009" s="162"/>
      <c r="U3009" s="163"/>
      <c r="V3009" s="154"/>
      <c r="W3009" s="164"/>
      <c r="X3009" s="164"/>
      <c r="Y3009" s="164"/>
      <c r="Z3009" s="164"/>
      <c r="AA3009" s="164"/>
      <c r="AB3009" s="164"/>
      <c r="AC3009" s="164"/>
      <c r="AD3009" s="164"/>
      <c r="AE3009" s="164"/>
      <c r="AF3009" s="164"/>
      <c r="AG3009" s="164"/>
      <c r="AH3009" s="164"/>
      <c r="AI3009" s="164"/>
    </row>
    <row r="3010">
      <c r="A3010" s="165"/>
      <c r="B3010" s="166"/>
      <c r="C3010" s="166"/>
      <c r="D3010" s="166"/>
      <c r="E3010" s="166"/>
      <c r="F3010" s="166"/>
      <c r="G3010" s="165"/>
      <c r="H3010" s="167"/>
      <c r="I3010" s="168"/>
      <c r="J3010" s="169"/>
      <c r="K3010" s="166"/>
      <c r="L3010" s="166"/>
      <c r="M3010" s="205"/>
      <c r="N3010" s="170"/>
      <c r="O3010" s="171"/>
      <c r="P3010" s="171"/>
      <c r="Q3010" s="172"/>
      <c r="R3010" s="173"/>
      <c r="S3010" s="173"/>
      <c r="T3010" s="173"/>
      <c r="U3010" s="174"/>
      <c r="V3010" s="165"/>
      <c r="W3010" s="164"/>
      <c r="X3010" s="164"/>
      <c r="Y3010" s="164"/>
      <c r="Z3010" s="164"/>
      <c r="AA3010" s="164"/>
      <c r="AB3010" s="164"/>
      <c r="AC3010" s="164"/>
      <c r="AD3010" s="164"/>
      <c r="AE3010" s="164"/>
      <c r="AF3010" s="164"/>
      <c r="AG3010" s="164"/>
      <c r="AH3010" s="164"/>
      <c r="AI3010" s="164"/>
    </row>
    <row r="3011">
      <c r="A3011" s="154"/>
      <c r="B3011" s="155"/>
      <c r="C3011" s="156"/>
      <c r="D3011" s="156"/>
      <c r="E3011" s="155"/>
      <c r="F3011" s="156"/>
      <c r="G3011" s="154"/>
      <c r="H3011" s="157"/>
      <c r="I3011" s="158"/>
      <c r="J3011" s="159"/>
      <c r="K3011" s="156"/>
      <c r="L3011" s="156"/>
      <c r="M3011" s="155"/>
      <c r="N3011" s="160"/>
      <c r="O3011" s="161"/>
      <c r="P3011" s="161"/>
      <c r="Q3011" s="203"/>
      <c r="R3011" s="162"/>
      <c r="S3011" s="162"/>
      <c r="T3011" s="173"/>
      <c r="U3011" s="174"/>
      <c r="V3011" s="165"/>
      <c r="W3011" s="164"/>
      <c r="X3011" s="164"/>
      <c r="Y3011" s="164"/>
      <c r="Z3011" s="164"/>
      <c r="AA3011" s="164"/>
      <c r="AB3011" s="164"/>
      <c r="AC3011" s="164"/>
      <c r="AD3011" s="164"/>
      <c r="AE3011" s="164"/>
      <c r="AF3011" s="164"/>
      <c r="AG3011" s="164"/>
      <c r="AH3011" s="164"/>
      <c r="AI3011" s="164"/>
    </row>
    <row r="3012">
      <c r="A3012" s="154"/>
      <c r="B3012" s="155"/>
      <c r="C3012" s="156"/>
      <c r="D3012" s="156"/>
      <c r="E3012" s="155"/>
      <c r="F3012" s="156"/>
      <c r="G3012" s="154"/>
      <c r="H3012" s="157"/>
      <c r="I3012" s="158"/>
      <c r="J3012" s="159"/>
      <c r="K3012" s="156"/>
      <c r="L3012" s="156"/>
      <c r="M3012" s="155"/>
      <c r="N3012" s="160"/>
      <c r="O3012" s="161"/>
      <c r="P3012" s="161"/>
      <c r="Q3012" s="159"/>
      <c r="R3012" s="162"/>
      <c r="S3012" s="162"/>
      <c r="T3012" s="162"/>
      <c r="U3012" s="163"/>
      <c r="V3012" s="154"/>
      <c r="W3012" s="164"/>
      <c r="X3012" s="164"/>
      <c r="Y3012" s="164"/>
      <c r="Z3012" s="164"/>
      <c r="AA3012" s="164"/>
      <c r="AB3012" s="164"/>
      <c r="AC3012" s="164"/>
      <c r="AD3012" s="164"/>
      <c r="AE3012" s="164"/>
      <c r="AF3012" s="164"/>
      <c r="AG3012" s="164"/>
      <c r="AH3012" s="164"/>
      <c r="AI3012" s="164"/>
    </row>
    <row r="3013">
      <c r="A3013" s="154"/>
      <c r="B3013" s="155"/>
      <c r="C3013" s="156"/>
      <c r="D3013" s="156"/>
      <c r="E3013" s="155"/>
      <c r="F3013" s="156"/>
      <c r="G3013" s="154"/>
      <c r="H3013" s="157"/>
      <c r="I3013" s="158"/>
      <c r="J3013" s="159"/>
      <c r="K3013" s="156"/>
      <c r="L3013" s="156"/>
      <c r="M3013" s="155"/>
      <c r="N3013" s="160"/>
      <c r="O3013" s="161"/>
      <c r="P3013" s="161"/>
      <c r="Q3013" s="203"/>
      <c r="R3013" s="162"/>
      <c r="S3013" s="162"/>
      <c r="T3013" s="162"/>
      <c r="U3013" s="163"/>
      <c r="V3013" s="154"/>
      <c r="W3013" s="164"/>
      <c r="X3013" s="164"/>
      <c r="Y3013" s="164"/>
      <c r="Z3013" s="164"/>
      <c r="AA3013" s="164"/>
      <c r="AB3013" s="164"/>
      <c r="AC3013" s="164"/>
      <c r="AD3013" s="164"/>
      <c r="AE3013" s="164"/>
      <c r="AF3013" s="164"/>
      <c r="AG3013" s="164"/>
      <c r="AH3013" s="164"/>
      <c r="AI3013" s="164"/>
    </row>
    <row r="3014">
      <c r="A3014" s="154"/>
      <c r="B3014" s="155"/>
      <c r="C3014" s="156"/>
      <c r="D3014" s="156"/>
      <c r="E3014" s="155"/>
      <c r="F3014" s="156"/>
      <c r="G3014" s="154"/>
      <c r="H3014" s="157"/>
      <c r="I3014" s="158"/>
      <c r="J3014" s="159"/>
      <c r="K3014" s="156"/>
      <c r="L3014" s="156"/>
      <c r="M3014" s="155"/>
      <c r="N3014" s="160"/>
      <c r="O3014" s="161"/>
      <c r="P3014" s="161"/>
      <c r="Q3014" s="159"/>
      <c r="R3014" s="162"/>
      <c r="S3014" s="162"/>
      <c r="T3014" s="162"/>
      <c r="U3014" s="163"/>
      <c r="V3014" s="215"/>
      <c r="W3014" s="164"/>
      <c r="X3014" s="164"/>
      <c r="Y3014" s="164"/>
      <c r="Z3014" s="164"/>
      <c r="AA3014" s="164"/>
      <c r="AB3014" s="164"/>
      <c r="AC3014" s="164"/>
      <c r="AD3014" s="164"/>
      <c r="AE3014" s="164"/>
      <c r="AF3014" s="164"/>
      <c r="AG3014" s="164"/>
      <c r="AH3014" s="164"/>
      <c r="AI3014" s="164"/>
    </row>
    <row r="3015">
      <c r="A3015" s="154"/>
      <c r="B3015" s="155"/>
      <c r="C3015" s="156"/>
      <c r="D3015" s="156"/>
      <c r="E3015" s="155"/>
      <c r="F3015" s="156"/>
      <c r="G3015" s="154"/>
      <c r="H3015" s="157"/>
      <c r="I3015" s="158"/>
      <c r="J3015" s="159"/>
      <c r="K3015" s="156"/>
      <c r="L3015" s="156"/>
      <c r="M3015" s="202"/>
      <c r="N3015" s="160"/>
      <c r="O3015" s="161"/>
      <c r="P3015" s="161"/>
      <c r="Q3015" s="203"/>
      <c r="R3015" s="162"/>
      <c r="S3015" s="162"/>
      <c r="T3015" s="162"/>
      <c r="U3015" s="163"/>
      <c r="V3015" s="216"/>
      <c r="W3015" s="164"/>
      <c r="X3015" s="164"/>
      <c r="Y3015" s="164"/>
      <c r="Z3015" s="164"/>
      <c r="AA3015" s="164"/>
      <c r="AB3015" s="164"/>
      <c r="AC3015" s="164"/>
      <c r="AD3015" s="164"/>
      <c r="AE3015" s="164"/>
      <c r="AF3015" s="164"/>
      <c r="AG3015" s="164"/>
      <c r="AH3015" s="164"/>
      <c r="AI3015" s="164"/>
    </row>
    <row r="3016">
      <c r="A3016" s="154"/>
      <c r="B3016" s="155"/>
      <c r="C3016" s="156"/>
      <c r="D3016" s="156"/>
      <c r="E3016" s="155"/>
      <c r="F3016" s="156"/>
      <c r="G3016" s="154"/>
      <c r="H3016" s="157"/>
      <c r="I3016" s="158"/>
      <c r="J3016" s="159"/>
      <c r="K3016" s="156"/>
      <c r="L3016" s="156"/>
      <c r="M3016" s="202"/>
      <c r="N3016" s="160"/>
      <c r="O3016" s="161"/>
      <c r="P3016" s="161"/>
      <c r="Q3016" s="203"/>
      <c r="R3016" s="162"/>
      <c r="S3016" s="162"/>
      <c r="T3016" s="162"/>
      <c r="U3016" s="163"/>
      <c r="V3016" s="154"/>
      <c r="W3016" s="164"/>
      <c r="X3016" s="164"/>
      <c r="Y3016" s="164"/>
      <c r="Z3016" s="164"/>
      <c r="AA3016" s="164"/>
      <c r="AB3016" s="164"/>
      <c r="AC3016" s="164"/>
      <c r="AD3016" s="164"/>
      <c r="AE3016" s="164"/>
      <c r="AF3016" s="164"/>
      <c r="AG3016" s="164"/>
      <c r="AH3016" s="164"/>
      <c r="AI3016" s="164"/>
    </row>
    <row r="3017">
      <c r="A3017" s="154"/>
      <c r="B3017" s="155"/>
      <c r="C3017" s="156"/>
      <c r="D3017" s="156"/>
      <c r="E3017" s="155"/>
      <c r="F3017" s="156"/>
      <c r="G3017" s="154"/>
      <c r="H3017" s="157"/>
      <c r="I3017" s="158"/>
      <c r="J3017" s="159"/>
      <c r="K3017" s="156"/>
      <c r="L3017" s="156"/>
      <c r="M3017" s="155"/>
      <c r="N3017" s="160"/>
      <c r="O3017" s="161"/>
      <c r="P3017" s="161"/>
      <c r="Q3017" s="203"/>
      <c r="R3017" s="162"/>
      <c r="S3017" s="162"/>
      <c r="T3017" s="162"/>
      <c r="U3017" s="163"/>
      <c r="V3017" s="154"/>
      <c r="W3017" s="164"/>
      <c r="X3017" s="164"/>
      <c r="Y3017" s="164"/>
      <c r="Z3017" s="164"/>
      <c r="AA3017" s="164"/>
      <c r="AB3017" s="164"/>
      <c r="AC3017" s="164"/>
      <c r="AD3017" s="164"/>
      <c r="AE3017" s="164"/>
      <c r="AF3017" s="164"/>
      <c r="AG3017" s="164"/>
      <c r="AH3017" s="164"/>
      <c r="AI3017" s="164"/>
    </row>
    <row r="3018">
      <c r="A3018" s="154"/>
      <c r="B3018" s="155"/>
      <c r="C3018" s="156"/>
      <c r="D3018" s="156"/>
      <c r="E3018" s="155"/>
      <c r="F3018" s="156"/>
      <c r="G3018" s="154"/>
      <c r="H3018" s="157"/>
      <c r="I3018" s="158"/>
      <c r="J3018" s="159"/>
      <c r="K3018" s="156"/>
      <c r="L3018" s="156"/>
      <c r="M3018" s="155"/>
      <c r="N3018" s="160"/>
      <c r="O3018" s="161"/>
      <c r="P3018" s="161"/>
      <c r="Q3018" s="159"/>
      <c r="R3018" s="162"/>
      <c r="S3018" s="162"/>
      <c r="T3018" s="162"/>
      <c r="U3018" s="163"/>
      <c r="V3018" s="215"/>
      <c r="W3018" s="164"/>
      <c r="X3018" s="164"/>
      <c r="Y3018" s="164"/>
      <c r="Z3018" s="164"/>
      <c r="AA3018" s="164"/>
      <c r="AB3018" s="164"/>
      <c r="AC3018" s="164"/>
      <c r="AD3018" s="164"/>
      <c r="AE3018" s="164"/>
      <c r="AF3018" s="164"/>
      <c r="AG3018" s="164"/>
      <c r="AH3018" s="164"/>
      <c r="AI3018" s="164"/>
    </row>
    <row r="3019">
      <c r="A3019" s="154"/>
      <c r="B3019" s="155"/>
      <c r="C3019" s="156"/>
      <c r="D3019" s="156"/>
      <c r="E3019" s="155"/>
      <c r="F3019" s="156"/>
      <c r="G3019" s="154"/>
      <c r="H3019" s="157"/>
      <c r="I3019" s="158"/>
      <c r="J3019" s="159"/>
      <c r="K3019" s="156"/>
      <c r="L3019" s="156"/>
      <c r="M3019" s="155"/>
      <c r="N3019" s="160"/>
      <c r="O3019" s="161"/>
      <c r="P3019" s="161"/>
      <c r="Q3019" s="203"/>
      <c r="R3019" s="162"/>
      <c r="S3019" s="162"/>
      <c r="T3019" s="162"/>
      <c r="U3019" s="163"/>
      <c r="V3019" s="154"/>
      <c r="W3019" s="164"/>
      <c r="X3019" s="164"/>
      <c r="Y3019" s="164"/>
      <c r="Z3019" s="164"/>
      <c r="AA3019" s="164"/>
      <c r="AB3019" s="164"/>
      <c r="AC3019" s="164"/>
      <c r="AD3019" s="164"/>
      <c r="AE3019" s="164"/>
      <c r="AF3019" s="164"/>
      <c r="AG3019" s="164"/>
      <c r="AH3019" s="164"/>
      <c r="AI3019" s="164"/>
    </row>
    <row r="3020">
      <c r="A3020" s="154"/>
      <c r="B3020" s="155"/>
      <c r="C3020" s="156"/>
      <c r="D3020" s="156"/>
      <c r="E3020" s="155"/>
      <c r="F3020" s="156"/>
      <c r="G3020" s="154"/>
      <c r="H3020" s="157"/>
      <c r="I3020" s="158"/>
      <c r="J3020" s="159"/>
      <c r="K3020" s="156"/>
      <c r="L3020" s="156"/>
      <c r="M3020" s="155"/>
      <c r="N3020" s="160"/>
      <c r="O3020" s="161"/>
      <c r="P3020" s="161"/>
      <c r="Q3020" s="203"/>
      <c r="R3020" s="162"/>
      <c r="S3020" s="162"/>
      <c r="T3020" s="162"/>
      <c r="U3020" s="163"/>
      <c r="V3020" s="215"/>
      <c r="W3020" s="164"/>
      <c r="X3020" s="164"/>
      <c r="Y3020" s="164"/>
      <c r="Z3020" s="164"/>
      <c r="AA3020" s="164"/>
      <c r="AB3020" s="164"/>
      <c r="AC3020" s="164"/>
      <c r="AD3020" s="164"/>
      <c r="AE3020" s="164"/>
      <c r="AF3020" s="164"/>
      <c r="AG3020" s="164"/>
      <c r="AH3020" s="164"/>
      <c r="AI3020" s="164"/>
    </row>
    <row r="3021">
      <c r="A3021" s="154"/>
      <c r="B3021" s="155"/>
      <c r="C3021" s="156"/>
      <c r="D3021" s="156"/>
      <c r="E3021" s="155"/>
      <c r="F3021" s="156"/>
      <c r="G3021" s="154"/>
      <c r="H3021" s="157"/>
      <c r="I3021" s="158"/>
      <c r="J3021" s="159"/>
      <c r="K3021" s="156"/>
      <c r="L3021" s="156"/>
      <c r="M3021" s="202"/>
      <c r="N3021" s="160"/>
      <c r="O3021" s="161"/>
      <c r="P3021" s="161"/>
      <c r="Q3021" s="203"/>
      <c r="R3021" s="162"/>
      <c r="S3021" s="162"/>
      <c r="T3021" s="162"/>
      <c r="U3021" s="163"/>
      <c r="V3021" s="154"/>
      <c r="W3021" s="164"/>
      <c r="X3021" s="164"/>
      <c r="Y3021" s="164"/>
      <c r="Z3021" s="164"/>
      <c r="AA3021" s="164"/>
      <c r="AB3021" s="164"/>
      <c r="AC3021" s="164"/>
      <c r="AD3021" s="164"/>
      <c r="AE3021" s="164"/>
      <c r="AF3021" s="164"/>
      <c r="AG3021" s="164"/>
      <c r="AH3021" s="164"/>
      <c r="AI3021" s="164"/>
    </row>
    <row r="3022">
      <c r="A3022" s="154"/>
      <c r="B3022" s="155"/>
      <c r="C3022" s="156"/>
      <c r="D3022" s="156"/>
      <c r="E3022" s="155"/>
      <c r="F3022" s="156"/>
      <c r="G3022" s="154"/>
      <c r="H3022" s="157"/>
      <c r="I3022" s="158"/>
      <c r="J3022" s="159"/>
      <c r="K3022" s="156"/>
      <c r="L3022" s="156"/>
      <c r="M3022" s="155"/>
      <c r="N3022" s="160"/>
      <c r="O3022" s="161"/>
      <c r="P3022" s="161"/>
      <c r="Q3022" s="203"/>
      <c r="R3022" s="162"/>
      <c r="S3022" s="162"/>
      <c r="T3022" s="162"/>
      <c r="U3022" s="163"/>
      <c r="V3022" s="216"/>
      <c r="W3022" s="164"/>
      <c r="X3022" s="164"/>
      <c r="Y3022" s="164"/>
      <c r="Z3022" s="164"/>
      <c r="AA3022" s="164"/>
      <c r="AB3022" s="164"/>
      <c r="AC3022" s="164"/>
      <c r="AD3022" s="164"/>
      <c r="AE3022" s="164"/>
      <c r="AF3022" s="164"/>
      <c r="AG3022" s="164"/>
      <c r="AH3022" s="164"/>
      <c r="AI3022" s="164"/>
    </row>
    <row r="3023">
      <c r="A3023" s="154"/>
      <c r="B3023" s="155"/>
      <c r="C3023" s="156"/>
      <c r="D3023" s="156"/>
      <c r="E3023" s="155"/>
      <c r="F3023" s="156"/>
      <c r="G3023" s="154"/>
      <c r="H3023" s="157"/>
      <c r="I3023" s="158"/>
      <c r="J3023" s="159"/>
      <c r="K3023" s="156"/>
      <c r="L3023" s="156"/>
      <c r="M3023" s="155"/>
      <c r="N3023" s="160"/>
      <c r="O3023" s="161"/>
      <c r="P3023" s="161"/>
      <c r="Q3023" s="203"/>
      <c r="R3023" s="162"/>
      <c r="S3023" s="162"/>
      <c r="T3023" s="162"/>
      <c r="U3023" s="163"/>
      <c r="V3023" s="215"/>
      <c r="W3023" s="164"/>
      <c r="X3023" s="164"/>
      <c r="Y3023" s="164"/>
      <c r="Z3023" s="164"/>
      <c r="AA3023" s="164"/>
      <c r="AB3023" s="164"/>
      <c r="AC3023" s="164"/>
      <c r="AD3023" s="164"/>
      <c r="AE3023" s="164"/>
      <c r="AF3023" s="164"/>
      <c r="AG3023" s="164"/>
      <c r="AH3023" s="164"/>
      <c r="AI3023" s="164"/>
    </row>
    <row r="3024">
      <c r="A3024" s="154"/>
      <c r="B3024" s="155"/>
      <c r="C3024" s="156"/>
      <c r="D3024" s="156"/>
      <c r="E3024" s="155"/>
      <c r="F3024" s="156"/>
      <c r="G3024" s="154"/>
      <c r="H3024" s="157"/>
      <c r="I3024" s="158"/>
      <c r="J3024" s="159"/>
      <c r="K3024" s="156"/>
      <c r="L3024" s="156"/>
      <c r="M3024" s="155"/>
      <c r="N3024" s="160"/>
      <c r="O3024" s="161"/>
      <c r="P3024" s="161"/>
      <c r="Q3024" s="203"/>
      <c r="R3024" s="162"/>
      <c r="S3024" s="162"/>
      <c r="T3024" s="162"/>
      <c r="U3024" s="163"/>
      <c r="V3024" s="154"/>
      <c r="W3024" s="164"/>
      <c r="X3024" s="164"/>
      <c r="Y3024" s="164"/>
      <c r="Z3024" s="164"/>
      <c r="AA3024" s="164"/>
      <c r="AB3024" s="164"/>
      <c r="AC3024" s="164"/>
      <c r="AD3024" s="164"/>
      <c r="AE3024" s="164"/>
      <c r="AF3024" s="164"/>
      <c r="AG3024" s="164"/>
      <c r="AH3024" s="164"/>
      <c r="AI3024" s="164"/>
    </row>
    <row r="3025">
      <c r="A3025" s="154"/>
      <c r="B3025" s="155"/>
      <c r="C3025" s="156"/>
      <c r="D3025" s="156"/>
      <c r="E3025" s="155"/>
      <c r="F3025" s="156"/>
      <c r="G3025" s="154"/>
      <c r="H3025" s="157"/>
      <c r="I3025" s="158"/>
      <c r="J3025" s="159"/>
      <c r="K3025" s="156"/>
      <c r="L3025" s="156"/>
      <c r="M3025" s="155"/>
      <c r="N3025" s="160"/>
      <c r="O3025" s="161"/>
      <c r="P3025" s="161"/>
      <c r="Q3025" s="203"/>
      <c r="R3025" s="162"/>
      <c r="S3025" s="162"/>
      <c r="T3025" s="162"/>
      <c r="U3025" s="163"/>
      <c r="V3025" s="154"/>
      <c r="W3025" s="164"/>
      <c r="X3025" s="164"/>
      <c r="Y3025" s="164"/>
      <c r="Z3025" s="164"/>
      <c r="AA3025" s="164"/>
      <c r="AB3025" s="164"/>
      <c r="AC3025" s="164"/>
      <c r="AD3025" s="164"/>
      <c r="AE3025" s="164"/>
      <c r="AF3025" s="164"/>
      <c r="AG3025" s="164"/>
      <c r="AH3025" s="164"/>
      <c r="AI3025" s="164"/>
    </row>
    <row r="3026">
      <c r="A3026" s="154"/>
      <c r="B3026" s="155"/>
      <c r="C3026" s="156"/>
      <c r="D3026" s="156"/>
      <c r="E3026" s="155"/>
      <c r="F3026" s="156"/>
      <c r="G3026" s="154"/>
      <c r="H3026" s="157"/>
      <c r="I3026" s="158"/>
      <c r="J3026" s="159"/>
      <c r="K3026" s="156"/>
      <c r="L3026" s="156"/>
      <c r="M3026" s="155"/>
      <c r="N3026" s="160"/>
      <c r="O3026" s="161"/>
      <c r="P3026" s="161"/>
      <c r="Q3026" s="203"/>
      <c r="R3026" s="162"/>
      <c r="S3026" s="162"/>
      <c r="T3026" s="162"/>
      <c r="U3026" s="163"/>
      <c r="V3026" s="215"/>
      <c r="W3026" s="164"/>
      <c r="X3026" s="164"/>
      <c r="Y3026" s="164"/>
      <c r="Z3026" s="164"/>
      <c r="AA3026" s="164"/>
      <c r="AB3026" s="164"/>
      <c r="AC3026" s="164"/>
      <c r="AD3026" s="164"/>
      <c r="AE3026" s="164"/>
      <c r="AF3026" s="164"/>
      <c r="AG3026" s="164"/>
      <c r="AH3026" s="164"/>
      <c r="AI3026" s="164"/>
    </row>
    <row r="3027">
      <c r="A3027" s="154"/>
      <c r="B3027" s="155"/>
      <c r="C3027" s="156"/>
      <c r="D3027" s="156"/>
      <c r="E3027" s="155"/>
      <c r="F3027" s="156"/>
      <c r="G3027" s="154"/>
      <c r="H3027" s="157"/>
      <c r="I3027" s="158"/>
      <c r="J3027" s="159"/>
      <c r="K3027" s="156"/>
      <c r="L3027" s="156"/>
      <c r="M3027" s="202"/>
      <c r="N3027" s="160"/>
      <c r="O3027" s="161"/>
      <c r="P3027" s="161"/>
      <c r="Q3027" s="203"/>
      <c r="R3027" s="162"/>
      <c r="S3027" s="162"/>
      <c r="T3027" s="162"/>
      <c r="U3027" s="163"/>
      <c r="V3027" s="215"/>
      <c r="W3027" s="164"/>
      <c r="X3027" s="164"/>
      <c r="Y3027" s="164"/>
      <c r="Z3027" s="164"/>
      <c r="AA3027" s="164"/>
      <c r="AB3027" s="164"/>
      <c r="AC3027" s="164"/>
      <c r="AD3027" s="164"/>
      <c r="AE3027" s="164"/>
      <c r="AF3027" s="164"/>
      <c r="AG3027" s="164"/>
      <c r="AH3027" s="164"/>
      <c r="AI3027" s="164"/>
    </row>
    <row r="3028">
      <c r="A3028" s="154"/>
      <c r="B3028" s="155"/>
      <c r="C3028" s="156"/>
      <c r="D3028" s="156"/>
      <c r="E3028" s="155"/>
      <c r="F3028" s="156"/>
      <c r="G3028" s="154"/>
      <c r="H3028" s="157"/>
      <c r="I3028" s="158"/>
      <c r="J3028" s="159"/>
      <c r="K3028" s="156"/>
      <c r="L3028" s="156"/>
      <c r="M3028" s="202"/>
      <c r="N3028" s="160"/>
      <c r="O3028" s="161"/>
      <c r="P3028" s="161"/>
      <c r="Q3028" s="203"/>
      <c r="R3028" s="162"/>
      <c r="S3028" s="162"/>
      <c r="T3028" s="162"/>
      <c r="U3028" s="163"/>
      <c r="V3028" s="215"/>
      <c r="W3028" s="164"/>
      <c r="X3028" s="164"/>
      <c r="Y3028" s="164"/>
      <c r="Z3028" s="164"/>
      <c r="AA3028" s="164"/>
      <c r="AB3028" s="164"/>
      <c r="AC3028" s="164"/>
      <c r="AD3028" s="164"/>
      <c r="AE3028" s="164"/>
      <c r="AF3028" s="164"/>
      <c r="AG3028" s="164"/>
      <c r="AH3028" s="164"/>
      <c r="AI3028" s="164"/>
    </row>
    <row r="3029">
      <c r="A3029" s="154"/>
      <c r="B3029" s="155"/>
      <c r="C3029" s="156"/>
      <c r="D3029" s="156"/>
      <c r="E3029" s="155"/>
      <c r="F3029" s="156"/>
      <c r="G3029" s="154"/>
      <c r="H3029" s="157"/>
      <c r="I3029" s="158"/>
      <c r="J3029" s="159"/>
      <c r="K3029" s="156"/>
      <c r="L3029" s="156"/>
      <c r="M3029" s="155"/>
      <c r="N3029" s="160"/>
      <c r="O3029" s="161"/>
      <c r="P3029" s="161"/>
      <c r="Q3029" s="203"/>
      <c r="R3029" s="162"/>
      <c r="S3029" s="162"/>
      <c r="T3029" s="162"/>
      <c r="U3029" s="163"/>
      <c r="V3029" s="216"/>
      <c r="W3029" s="164"/>
      <c r="X3029" s="164"/>
      <c r="Y3029" s="164"/>
      <c r="Z3029" s="164"/>
      <c r="AA3029" s="164"/>
      <c r="AB3029" s="164"/>
      <c r="AC3029" s="164"/>
      <c r="AD3029" s="164"/>
      <c r="AE3029" s="164"/>
      <c r="AF3029" s="164"/>
      <c r="AG3029" s="164"/>
      <c r="AH3029" s="164"/>
      <c r="AI3029" s="164"/>
    </row>
    <row r="3030">
      <c r="A3030" s="216"/>
      <c r="B3030" s="155"/>
      <c r="C3030" s="156"/>
      <c r="D3030" s="156"/>
      <c r="E3030" s="155"/>
      <c r="F3030" s="156"/>
      <c r="G3030" s="154"/>
      <c r="H3030" s="157"/>
      <c r="I3030" s="158"/>
      <c r="J3030" s="159"/>
      <c r="K3030" s="156"/>
      <c r="L3030" s="156"/>
      <c r="M3030" s="155"/>
      <c r="N3030" s="160"/>
      <c r="O3030" s="161"/>
      <c r="P3030" s="161"/>
      <c r="Q3030" s="159"/>
      <c r="R3030" s="162"/>
      <c r="S3030" s="162"/>
      <c r="T3030" s="162"/>
      <c r="U3030" s="163"/>
      <c r="V3030" s="154"/>
      <c r="W3030" s="164"/>
      <c r="X3030" s="164"/>
      <c r="Y3030" s="164"/>
      <c r="Z3030" s="164"/>
      <c r="AA3030" s="164"/>
      <c r="AB3030" s="164"/>
      <c r="AC3030" s="164"/>
      <c r="AD3030" s="164"/>
      <c r="AE3030" s="164"/>
      <c r="AF3030" s="164"/>
      <c r="AG3030" s="164"/>
      <c r="AH3030" s="164"/>
      <c r="AI3030" s="164"/>
    </row>
    <row r="3031">
      <c r="A3031" s="154"/>
      <c r="B3031" s="155"/>
      <c r="C3031" s="156"/>
      <c r="D3031" s="156"/>
      <c r="E3031" s="155"/>
      <c r="F3031" s="156"/>
      <c r="G3031" s="154"/>
      <c r="H3031" s="157"/>
      <c r="I3031" s="158"/>
      <c r="J3031" s="159"/>
      <c r="K3031" s="156"/>
      <c r="L3031" s="156"/>
      <c r="M3031" s="202"/>
      <c r="N3031" s="160"/>
      <c r="O3031" s="161"/>
      <c r="P3031" s="161"/>
      <c r="Q3031" s="203"/>
      <c r="R3031" s="162"/>
      <c r="S3031" s="162"/>
      <c r="T3031" s="162"/>
      <c r="U3031" s="163"/>
      <c r="V3031" s="216"/>
      <c r="W3031" s="164"/>
      <c r="X3031" s="164"/>
      <c r="Y3031" s="164"/>
      <c r="Z3031" s="164"/>
      <c r="AA3031" s="164"/>
      <c r="AB3031" s="164"/>
      <c r="AC3031" s="164"/>
      <c r="AD3031" s="164"/>
      <c r="AE3031" s="164"/>
      <c r="AF3031" s="164"/>
      <c r="AG3031" s="164"/>
      <c r="AH3031" s="164"/>
      <c r="AI3031" s="164"/>
    </row>
    <row r="3032">
      <c r="A3032" s="154"/>
      <c r="B3032" s="155"/>
      <c r="C3032" s="156"/>
      <c r="D3032" s="156"/>
      <c r="E3032" s="155"/>
      <c r="F3032" s="156"/>
      <c r="G3032" s="154"/>
      <c r="H3032" s="157"/>
      <c r="I3032" s="158"/>
      <c r="J3032" s="159"/>
      <c r="K3032" s="156"/>
      <c r="L3032" s="156"/>
      <c r="M3032" s="155"/>
      <c r="N3032" s="160"/>
      <c r="O3032" s="161"/>
      <c r="P3032" s="161"/>
      <c r="Q3032" s="203"/>
      <c r="R3032" s="162"/>
      <c r="S3032" s="162"/>
      <c r="T3032" s="162"/>
      <c r="U3032" s="163"/>
      <c r="V3032" s="215"/>
      <c r="W3032" s="164"/>
      <c r="X3032" s="164"/>
      <c r="Y3032" s="164"/>
      <c r="Z3032" s="164"/>
      <c r="AA3032" s="164"/>
      <c r="AB3032" s="164"/>
      <c r="AC3032" s="164"/>
      <c r="AD3032" s="164"/>
      <c r="AE3032" s="164"/>
      <c r="AF3032" s="164"/>
      <c r="AG3032" s="164"/>
      <c r="AH3032" s="164"/>
      <c r="AI3032" s="164"/>
    </row>
    <row r="3033">
      <c r="A3033" s="154"/>
      <c r="B3033" s="155"/>
      <c r="C3033" s="156"/>
      <c r="D3033" s="156"/>
      <c r="E3033" s="155"/>
      <c r="F3033" s="156"/>
      <c r="G3033" s="154"/>
      <c r="H3033" s="157"/>
      <c r="I3033" s="158"/>
      <c r="J3033" s="159"/>
      <c r="K3033" s="156"/>
      <c r="L3033" s="156"/>
      <c r="M3033" s="155"/>
      <c r="N3033" s="160"/>
      <c r="O3033" s="161"/>
      <c r="P3033" s="161"/>
      <c r="Q3033" s="203"/>
      <c r="R3033" s="162"/>
      <c r="S3033" s="162"/>
      <c r="T3033" s="162"/>
      <c r="U3033" s="163"/>
      <c r="V3033" s="154"/>
      <c r="W3033" s="164"/>
      <c r="X3033" s="164"/>
      <c r="Y3033" s="164"/>
      <c r="Z3033" s="164"/>
      <c r="AA3033" s="164"/>
      <c r="AB3033" s="164"/>
      <c r="AC3033" s="164"/>
      <c r="AD3033" s="164"/>
      <c r="AE3033" s="164"/>
      <c r="AF3033" s="164"/>
      <c r="AG3033" s="164"/>
      <c r="AH3033" s="164"/>
      <c r="AI3033" s="164"/>
    </row>
    <row r="3034">
      <c r="A3034" s="154"/>
      <c r="B3034" s="155"/>
      <c r="C3034" s="156"/>
      <c r="D3034" s="156"/>
      <c r="E3034" s="155"/>
      <c r="F3034" s="156"/>
      <c r="G3034" s="154"/>
      <c r="H3034" s="157"/>
      <c r="I3034" s="158"/>
      <c r="J3034" s="159"/>
      <c r="K3034" s="156"/>
      <c r="L3034" s="156"/>
      <c r="M3034" s="155"/>
      <c r="N3034" s="160"/>
      <c r="O3034" s="161"/>
      <c r="P3034" s="161"/>
      <c r="Q3034" s="203"/>
      <c r="R3034" s="162"/>
      <c r="S3034" s="162"/>
      <c r="T3034" s="162"/>
      <c r="U3034" s="163"/>
      <c r="V3034" s="215"/>
      <c r="W3034" s="164"/>
      <c r="X3034" s="164"/>
      <c r="Y3034" s="164"/>
      <c r="Z3034" s="164"/>
      <c r="AA3034" s="164"/>
      <c r="AB3034" s="164"/>
      <c r="AC3034" s="164"/>
      <c r="AD3034" s="164"/>
      <c r="AE3034" s="164"/>
      <c r="AF3034" s="164"/>
      <c r="AG3034" s="164"/>
      <c r="AH3034" s="164"/>
      <c r="AI3034" s="164"/>
    </row>
    <row r="3035">
      <c r="A3035" s="154"/>
      <c r="B3035" s="155"/>
      <c r="C3035" s="156"/>
      <c r="D3035" s="156"/>
      <c r="E3035" s="155"/>
      <c r="F3035" s="156"/>
      <c r="G3035" s="154"/>
      <c r="H3035" s="157"/>
      <c r="I3035" s="158"/>
      <c r="J3035" s="159"/>
      <c r="K3035" s="156"/>
      <c r="L3035" s="156"/>
      <c r="M3035" s="202"/>
      <c r="N3035" s="160"/>
      <c r="O3035" s="161"/>
      <c r="P3035" s="161"/>
      <c r="Q3035" s="203"/>
      <c r="R3035" s="162"/>
      <c r="S3035" s="162"/>
      <c r="T3035" s="162"/>
      <c r="U3035" s="163"/>
      <c r="V3035" s="215"/>
      <c r="W3035" s="164"/>
      <c r="X3035" s="164"/>
      <c r="Y3035" s="164"/>
      <c r="Z3035" s="164"/>
      <c r="AA3035" s="164"/>
      <c r="AB3035" s="164"/>
      <c r="AC3035" s="164"/>
      <c r="AD3035" s="164"/>
      <c r="AE3035" s="164"/>
      <c r="AF3035" s="164"/>
      <c r="AG3035" s="164"/>
      <c r="AH3035" s="164"/>
      <c r="AI3035" s="164"/>
    </row>
    <row r="3036">
      <c r="A3036" s="154"/>
      <c r="B3036" s="155"/>
      <c r="C3036" s="156"/>
      <c r="D3036" s="156"/>
      <c r="E3036" s="155"/>
      <c r="F3036" s="156"/>
      <c r="G3036" s="154"/>
      <c r="H3036" s="157"/>
      <c r="I3036" s="158"/>
      <c r="J3036" s="159"/>
      <c r="K3036" s="156"/>
      <c r="L3036" s="156"/>
      <c r="M3036" s="155"/>
      <c r="N3036" s="160"/>
      <c r="O3036" s="161"/>
      <c r="P3036" s="161"/>
      <c r="Q3036" s="159"/>
      <c r="R3036" s="162"/>
      <c r="S3036" s="162"/>
      <c r="T3036" s="173"/>
      <c r="U3036" s="174"/>
      <c r="V3036" s="165"/>
      <c r="W3036" s="164"/>
      <c r="X3036" s="164"/>
      <c r="Y3036" s="164"/>
      <c r="Z3036" s="164"/>
      <c r="AA3036" s="164"/>
      <c r="AB3036" s="164"/>
      <c r="AC3036" s="164"/>
      <c r="AD3036" s="164"/>
      <c r="AE3036" s="164"/>
      <c r="AF3036" s="164"/>
      <c r="AG3036" s="164"/>
      <c r="AH3036" s="164"/>
      <c r="AI3036" s="164"/>
    </row>
    <row r="3037">
      <c r="A3037" s="154"/>
      <c r="B3037" s="155"/>
      <c r="C3037" s="156"/>
      <c r="D3037" s="156"/>
      <c r="E3037" s="155"/>
      <c r="F3037" s="156"/>
      <c r="G3037" s="154"/>
      <c r="H3037" s="157"/>
      <c r="I3037" s="158"/>
      <c r="J3037" s="159"/>
      <c r="K3037" s="156"/>
      <c r="L3037" s="156"/>
      <c r="M3037" s="155"/>
      <c r="N3037" s="160"/>
      <c r="O3037" s="161"/>
      <c r="P3037" s="161"/>
      <c r="Q3037" s="203"/>
      <c r="R3037" s="162"/>
      <c r="S3037" s="162"/>
      <c r="T3037" s="162"/>
      <c r="U3037" s="163"/>
      <c r="V3037" s="215"/>
      <c r="W3037" s="164"/>
      <c r="X3037" s="164"/>
      <c r="Y3037" s="164"/>
      <c r="Z3037" s="164"/>
      <c r="AA3037" s="164"/>
      <c r="AB3037" s="164"/>
      <c r="AC3037" s="164"/>
      <c r="AD3037" s="164"/>
      <c r="AE3037" s="164"/>
      <c r="AF3037" s="164"/>
      <c r="AG3037" s="164"/>
      <c r="AH3037" s="164"/>
      <c r="AI3037" s="164"/>
    </row>
    <row r="3038">
      <c r="A3038" s="154"/>
      <c r="B3038" s="155"/>
      <c r="C3038" s="156"/>
      <c r="D3038" s="156"/>
      <c r="E3038" s="155"/>
      <c r="F3038" s="156"/>
      <c r="G3038" s="154"/>
      <c r="H3038" s="157"/>
      <c r="I3038" s="158"/>
      <c r="J3038" s="159"/>
      <c r="K3038" s="156"/>
      <c r="L3038" s="156"/>
      <c r="M3038" s="155"/>
      <c r="N3038" s="160"/>
      <c r="O3038" s="161"/>
      <c r="P3038" s="161"/>
      <c r="Q3038" s="203"/>
      <c r="R3038" s="162"/>
      <c r="S3038" s="162"/>
      <c r="T3038" s="162"/>
      <c r="U3038" s="163"/>
      <c r="V3038" s="215"/>
      <c r="W3038" s="164"/>
      <c r="X3038" s="164"/>
      <c r="Y3038" s="164"/>
      <c r="Z3038" s="164"/>
      <c r="AA3038" s="164"/>
      <c r="AB3038" s="164"/>
      <c r="AC3038" s="164"/>
      <c r="AD3038" s="164"/>
      <c r="AE3038" s="164"/>
      <c r="AF3038" s="164"/>
      <c r="AG3038" s="164"/>
      <c r="AH3038" s="164"/>
      <c r="AI3038" s="164"/>
    </row>
    <row r="3039">
      <c r="A3039" s="154"/>
      <c r="B3039" s="155"/>
      <c r="C3039" s="156"/>
      <c r="D3039" s="156"/>
      <c r="E3039" s="155"/>
      <c r="F3039" s="156"/>
      <c r="G3039" s="154"/>
      <c r="H3039" s="157"/>
      <c r="I3039" s="158"/>
      <c r="J3039" s="159"/>
      <c r="K3039" s="156"/>
      <c r="L3039" s="156"/>
      <c r="M3039" s="155"/>
      <c r="N3039" s="160"/>
      <c r="O3039" s="161"/>
      <c r="P3039" s="161"/>
      <c r="Q3039" s="159"/>
      <c r="R3039" s="162"/>
      <c r="S3039" s="162"/>
      <c r="T3039" s="162"/>
      <c r="U3039" s="163"/>
      <c r="V3039" s="216"/>
      <c r="W3039" s="164"/>
      <c r="X3039" s="164"/>
      <c r="Y3039" s="164"/>
      <c r="Z3039" s="164"/>
      <c r="AA3039" s="164"/>
      <c r="AB3039" s="164"/>
      <c r="AC3039" s="164"/>
      <c r="AD3039" s="164"/>
      <c r="AE3039" s="164"/>
      <c r="AF3039" s="164"/>
      <c r="AG3039" s="164"/>
      <c r="AH3039" s="164"/>
      <c r="AI3039" s="164"/>
    </row>
    <row r="3040">
      <c r="A3040" s="154"/>
      <c r="B3040" s="155"/>
      <c r="C3040" s="156"/>
      <c r="D3040" s="156"/>
      <c r="E3040" s="155"/>
      <c r="F3040" s="156"/>
      <c r="G3040" s="154"/>
      <c r="H3040" s="157"/>
      <c r="I3040" s="158"/>
      <c r="J3040" s="159"/>
      <c r="K3040" s="156"/>
      <c r="L3040" s="156"/>
      <c r="M3040" s="155"/>
      <c r="N3040" s="160"/>
      <c r="O3040" s="161"/>
      <c r="P3040" s="161"/>
      <c r="Q3040" s="203"/>
      <c r="R3040" s="162"/>
      <c r="S3040" s="162"/>
      <c r="T3040" s="162"/>
      <c r="U3040" s="163"/>
      <c r="V3040" s="216"/>
      <c r="W3040" s="164"/>
      <c r="X3040" s="164"/>
      <c r="Y3040" s="164"/>
      <c r="Z3040" s="164"/>
      <c r="AA3040" s="164"/>
      <c r="AB3040" s="164"/>
      <c r="AC3040" s="164"/>
      <c r="AD3040" s="164"/>
      <c r="AE3040" s="164"/>
      <c r="AF3040" s="164"/>
      <c r="AG3040" s="164"/>
      <c r="AH3040" s="164"/>
      <c r="AI3040" s="164"/>
    </row>
    <row r="3041">
      <c r="A3041" s="154"/>
      <c r="B3041" s="155"/>
      <c r="C3041" s="156"/>
      <c r="D3041" s="156"/>
      <c r="E3041" s="155"/>
      <c r="F3041" s="156"/>
      <c r="G3041" s="154"/>
      <c r="H3041" s="157"/>
      <c r="I3041" s="158"/>
      <c r="J3041" s="159"/>
      <c r="K3041" s="156"/>
      <c r="L3041" s="156"/>
      <c r="M3041" s="202"/>
      <c r="N3041" s="160"/>
      <c r="O3041" s="161"/>
      <c r="P3041" s="161"/>
      <c r="Q3041" s="203"/>
      <c r="R3041" s="162"/>
      <c r="S3041" s="162"/>
      <c r="T3041" s="162"/>
      <c r="U3041" s="163"/>
      <c r="V3041" s="215"/>
      <c r="W3041" s="164"/>
      <c r="X3041" s="164"/>
      <c r="Y3041" s="164"/>
      <c r="Z3041" s="164"/>
      <c r="AA3041" s="164"/>
      <c r="AB3041" s="164"/>
      <c r="AC3041" s="164"/>
      <c r="AD3041" s="164"/>
      <c r="AE3041" s="164"/>
      <c r="AF3041" s="164"/>
      <c r="AG3041" s="164"/>
      <c r="AH3041" s="164"/>
      <c r="AI3041" s="164"/>
    </row>
    <row r="3042">
      <c r="A3042" s="154"/>
      <c r="B3042" s="155"/>
      <c r="C3042" s="156"/>
      <c r="D3042" s="156"/>
      <c r="E3042" s="155"/>
      <c r="F3042" s="156"/>
      <c r="G3042" s="154"/>
      <c r="H3042" s="157"/>
      <c r="I3042" s="158"/>
      <c r="J3042" s="159"/>
      <c r="K3042" s="156"/>
      <c r="L3042" s="156"/>
      <c r="M3042" s="155"/>
      <c r="N3042" s="160"/>
      <c r="O3042" s="161"/>
      <c r="P3042" s="161"/>
      <c r="Q3042" s="203"/>
      <c r="R3042" s="162"/>
      <c r="S3042" s="162"/>
      <c r="T3042" s="162"/>
      <c r="U3042" s="163"/>
      <c r="V3042" s="215"/>
      <c r="W3042" s="164"/>
      <c r="X3042" s="164"/>
      <c r="Y3042" s="164"/>
      <c r="Z3042" s="164"/>
      <c r="AA3042" s="164"/>
      <c r="AB3042" s="164"/>
      <c r="AC3042" s="164"/>
      <c r="AD3042" s="164"/>
      <c r="AE3042" s="164"/>
      <c r="AF3042" s="164"/>
      <c r="AG3042" s="164"/>
      <c r="AH3042" s="164"/>
      <c r="AI3042" s="164"/>
    </row>
    <row r="3043">
      <c r="A3043" s="154"/>
      <c r="B3043" s="155"/>
      <c r="C3043" s="156"/>
      <c r="D3043" s="156"/>
      <c r="E3043" s="155"/>
      <c r="F3043" s="156"/>
      <c r="G3043" s="154"/>
      <c r="H3043" s="157"/>
      <c r="I3043" s="158"/>
      <c r="J3043" s="159"/>
      <c r="K3043" s="156"/>
      <c r="L3043" s="156"/>
      <c r="M3043" s="155"/>
      <c r="N3043" s="160"/>
      <c r="O3043" s="161"/>
      <c r="P3043" s="161"/>
      <c r="Q3043" s="159"/>
      <c r="R3043" s="162"/>
      <c r="S3043" s="162"/>
      <c r="T3043" s="162"/>
      <c r="U3043" s="163"/>
      <c r="V3043" s="154"/>
      <c r="W3043" s="164"/>
      <c r="X3043" s="164"/>
      <c r="Y3043" s="164"/>
      <c r="Z3043" s="164"/>
      <c r="AA3043" s="164"/>
      <c r="AB3043" s="164"/>
      <c r="AC3043" s="164"/>
      <c r="AD3043" s="164"/>
      <c r="AE3043" s="164"/>
      <c r="AF3043" s="164"/>
      <c r="AG3043" s="164"/>
      <c r="AH3043" s="164"/>
      <c r="AI3043" s="164"/>
    </row>
    <row r="3044">
      <c r="A3044" s="154"/>
      <c r="B3044" s="155"/>
      <c r="C3044" s="156"/>
      <c r="D3044" s="156"/>
      <c r="E3044" s="155"/>
      <c r="F3044" s="156"/>
      <c r="G3044" s="154"/>
      <c r="H3044" s="157"/>
      <c r="I3044" s="158"/>
      <c r="J3044" s="159"/>
      <c r="K3044" s="156"/>
      <c r="L3044" s="156"/>
      <c r="M3044" s="155"/>
      <c r="N3044" s="160"/>
      <c r="O3044" s="161"/>
      <c r="P3044" s="161"/>
      <c r="Q3044" s="203"/>
      <c r="R3044" s="162"/>
      <c r="S3044" s="162"/>
      <c r="T3044" s="162"/>
      <c r="U3044" s="163"/>
      <c r="V3044" s="216"/>
      <c r="W3044" s="164"/>
      <c r="X3044" s="164"/>
      <c r="Y3044" s="164"/>
      <c r="Z3044" s="164"/>
      <c r="AA3044" s="164"/>
      <c r="AB3044" s="164"/>
      <c r="AC3044" s="164"/>
      <c r="AD3044" s="164"/>
      <c r="AE3044" s="164"/>
      <c r="AF3044" s="164"/>
      <c r="AG3044" s="164"/>
      <c r="AH3044" s="164"/>
      <c r="AI3044" s="164"/>
    </row>
    <row r="3045">
      <c r="A3045" s="154"/>
      <c r="B3045" s="155"/>
      <c r="C3045" s="156"/>
      <c r="D3045" s="156"/>
      <c r="E3045" s="155"/>
      <c r="F3045" s="156"/>
      <c r="G3045" s="154"/>
      <c r="H3045" s="157"/>
      <c r="I3045" s="158"/>
      <c r="J3045" s="159"/>
      <c r="K3045" s="156"/>
      <c r="L3045" s="156"/>
      <c r="M3045" s="202"/>
      <c r="N3045" s="160"/>
      <c r="O3045" s="161"/>
      <c r="P3045" s="161"/>
      <c r="Q3045" s="203"/>
      <c r="R3045" s="162"/>
      <c r="S3045" s="162"/>
      <c r="T3045" s="162"/>
      <c r="U3045" s="163"/>
      <c r="V3045" s="215"/>
      <c r="W3045" s="164"/>
      <c r="X3045" s="164"/>
      <c r="Y3045" s="164"/>
      <c r="Z3045" s="164"/>
      <c r="AA3045" s="164"/>
      <c r="AB3045" s="164"/>
      <c r="AC3045" s="164"/>
      <c r="AD3045" s="164"/>
      <c r="AE3045" s="164"/>
      <c r="AF3045" s="164"/>
      <c r="AG3045" s="164"/>
      <c r="AH3045" s="164"/>
      <c r="AI3045" s="164"/>
    </row>
    <row r="3046">
      <c r="A3046" s="154"/>
      <c r="B3046" s="155"/>
      <c r="C3046" s="156"/>
      <c r="D3046" s="156"/>
      <c r="E3046" s="155"/>
      <c r="F3046" s="156"/>
      <c r="G3046" s="154"/>
      <c r="H3046" s="157"/>
      <c r="I3046" s="158"/>
      <c r="J3046" s="159"/>
      <c r="K3046" s="156"/>
      <c r="L3046" s="156"/>
      <c r="M3046" s="155"/>
      <c r="N3046" s="160"/>
      <c r="O3046" s="161"/>
      <c r="P3046" s="161"/>
      <c r="Q3046" s="203"/>
      <c r="R3046" s="162"/>
      <c r="S3046" s="162"/>
      <c r="T3046" s="162"/>
      <c r="U3046" s="163"/>
      <c r="V3046" s="216"/>
      <c r="W3046" s="164"/>
      <c r="X3046" s="164"/>
      <c r="Y3046" s="164"/>
      <c r="Z3046" s="164"/>
      <c r="AA3046" s="164"/>
      <c r="AB3046" s="164"/>
      <c r="AC3046" s="164"/>
      <c r="AD3046" s="164"/>
      <c r="AE3046" s="164"/>
      <c r="AF3046" s="164"/>
      <c r="AG3046" s="164"/>
      <c r="AH3046" s="164"/>
      <c r="AI3046" s="164"/>
    </row>
    <row r="3047">
      <c r="A3047" s="154"/>
      <c r="B3047" s="155"/>
      <c r="C3047" s="156"/>
      <c r="D3047" s="156"/>
      <c r="E3047" s="155"/>
      <c r="F3047" s="156"/>
      <c r="G3047" s="154"/>
      <c r="H3047" s="157"/>
      <c r="I3047" s="158"/>
      <c r="J3047" s="159"/>
      <c r="K3047" s="156"/>
      <c r="L3047" s="156"/>
      <c r="M3047" s="202"/>
      <c r="N3047" s="160"/>
      <c r="O3047" s="161"/>
      <c r="P3047" s="161"/>
      <c r="Q3047" s="203"/>
      <c r="R3047" s="162"/>
      <c r="S3047" s="162"/>
      <c r="T3047" s="162"/>
      <c r="U3047" s="163"/>
      <c r="V3047" s="154"/>
      <c r="W3047" s="164"/>
      <c r="X3047" s="164"/>
      <c r="Y3047" s="164"/>
      <c r="Z3047" s="164"/>
      <c r="AA3047" s="164"/>
      <c r="AB3047" s="164"/>
      <c r="AC3047" s="164"/>
      <c r="AD3047" s="164"/>
      <c r="AE3047" s="164"/>
      <c r="AF3047" s="164"/>
      <c r="AG3047" s="164"/>
      <c r="AH3047" s="164"/>
      <c r="AI3047" s="164"/>
    </row>
    <row r="3048">
      <c r="A3048" s="154"/>
      <c r="B3048" s="155"/>
      <c r="C3048" s="156"/>
      <c r="D3048" s="156"/>
      <c r="E3048" s="155"/>
      <c r="F3048" s="156"/>
      <c r="G3048" s="154"/>
      <c r="H3048" s="157"/>
      <c r="I3048" s="158"/>
      <c r="J3048" s="159"/>
      <c r="K3048" s="156"/>
      <c r="L3048" s="156"/>
      <c r="M3048" s="202"/>
      <c r="N3048" s="160"/>
      <c r="O3048" s="161"/>
      <c r="P3048" s="161"/>
      <c r="Q3048" s="203"/>
      <c r="R3048" s="162"/>
      <c r="S3048" s="162"/>
      <c r="T3048" s="162"/>
      <c r="U3048" s="163"/>
      <c r="V3048" s="215"/>
      <c r="W3048" s="164"/>
      <c r="X3048" s="164"/>
      <c r="Y3048" s="164"/>
      <c r="Z3048" s="164"/>
      <c r="AA3048" s="164"/>
      <c r="AB3048" s="164"/>
      <c r="AC3048" s="164"/>
      <c r="AD3048" s="164"/>
      <c r="AE3048" s="164"/>
      <c r="AF3048" s="164"/>
      <c r="AG3048" s="164"/>
      <c r="AH3048" s="164"/>
      <c r="AI3048" s="164"/>
    </row>
    <row r="3049">
      <c r="A3049" s="154"/>
      <c r="B3049" s="155"/>
      <c r="C3049" s="156"/>
      <c r="D3049" s="156"/>
      <c r="E3049" s="155"/>
      <c r="F3049" s="156"/>
      <c r="G3049" s="154"/>
      <c r="H3049" s="157"/>
      <c r="I3049" s="158"/>
      <c r="J3049" s="159"/>
      <c r="K3049" s="156"/>
      <c r="L3049" s="156"/>
      <c r="M3049" s="155"/>
      <c r="N3049" s="160"/>
      <c r="O3049" s="161"/>
      <c r="P3049" s="161"/>
      <c r="Q3049" s="203"/>
      <c r="R3049" s="162"/>
      <c r="S3049" s="162"/>
      <c r="T3049" s="162"/>
      <c r="U3049" s="163"/>
      <c r="V3049" s="154"/>
      <c r="W3049" s="164"/>
      <c r="X3049" s="164"/>
      <c r="Y3049" s="164"/>
      <c r="Z3049" s="164"/>
      <c r="AA3049" s="164"/>
      <c r="AB3049" s="164"/>
      <c r="AC3049" s="164"/>
      <c r="AD3049" s="164"/>
      <c r="AE3049" s="164"/>
      <c r="AF3049" s="164"/>
      <c r="AG3049" s="164"/>
      <c r="AH3049" s="164"/>
      <c r="AI3049" s="164"/>
    </row>
    <row r="3050">
      <c r="A3050" s="154"/>
      <c r="B3050" s="155"/>
      <c r="C3050" s="156"/>
      <c r="D3050" s="156"/>
      <c r="E3050" s="155"/>
      <c r="F3050" s="156"/>
      <c r="G3050" s="154"/>
      <c r="H3050" s="157"/>
      <c r="I3050" s="158"/>
      <c r="J3050" s="159"/>
      <c r="K3050" s="156"/>
      <c r="L3050" s="156"/>
      <c r="M3050" s="155"/>
      <c r="N3050" s="160"/>
      <c r="O3050" s="161"/>
      <c r="P3050" s="161"/>
      <c r="Q3050" s="159"/>
      <c r="R3050" s="162"/>
      <c r="S3050" s="162"/>
      <c r="T3050" s="162"/>
      <c r="U3050" s="163"/>
      <c r="V3050" s="215"/>
      <c r="W3050" s="164"/>
      <c r="X3050" s="164"/>
      <c r="Y3050" s="164"/>
      <c r="Z3050" s="164"/>
      <c r="AA3050" s="164"/>
      <c r="AB3050" s="164"/>
      <c r="AC3050" s="164"/>
      <c r="AD3050" s="164"/>
      <c r="AE3050" s="164"/>
      <c r="AF3050" s="164"/>
      <c r="AG3050" s="164"/>
      <c r="AH3050" s="164"/>
      <c r="AI3050" s="164"/>
    </row>
    <row r="3051">
      <c r="A3051" s="154"/>
      <c r="B3051" s="155"/>
      <c r="C3051" s="156"/>
      <c r="D3051" s="156"/>
      <c r="E3051" s="155"/>
      <c r="F3051" s="156"/>
      <c r="G3051" s="154"/>
      <c r="H3051" s="157"/>
      <c r="I3051" s="158"/>
      <c r="J3051" s="159"/>
      <c r="K3051" s="156"/>
      <c r="L3051" s="156"/>
      <c r="M3051" s="155"/>
      <c r="N3051" s="160"/>
      <c r="O3051" s="161"/>
      <c r="P3051" s="161"/>
      <c r="Q3051" s="203"/>
      <c r="R3051" s="162"/>
      <c r="S3051" s="162"/>
      <c r="T3051" s="162"/>
      <c r="U3051" s="163"/>
      <c r="V3051" s="216"/>
      <c r="W3051" s="164"/>
      <c r="X3051" s="164"/>
      <c r="Y3051" s="164"/>
      <c r="Z3051" s="164"/>
      <c r="AA3051" s="164"/>
      <c r="AB3051" s="164"/>
      <c r="AC3051" s="164"/>
      <c r="AD3051" s="164"/>
      <c r="AE3051" s="164"/>
      <c r="AF3051" s="164"/>
      <c r="AG3051" s="164"/>
      <c r="AH3051" s="164"/>
      <c r="AI3051" s="164"/>
    </row>
    <row r="3052">
      <c r="A3052" s="154"/>
      <c r="B3052" s="155"/>
      <c r="C3052" s="156"/>
      <c r="D3052" s="156"/>
      <c r="E3052" s="155"/>
      <c r="F3052" s="156"/>
      <c r="G3052" s="154"/>
      <c r="H3052" s="157"/>
      <c r="I3052" s="158"/>
      <c r="J3052" s="159"/>
      <c r="K3052" s="156"/>
      <c r="L3052" s="156"/>
      <c r="M3052" s="155"/>
      <c r="N3052" s="160"/>
      <c r="O3052" s="161"/>
      <c r="P3052" s="161"/>
      <c r="Q3052" s="203"/>
      <c r="R3052" s="162"/>
      <c r="S3052" s="162"/>
      <c r="T3052" s="162"/>
      <c r="U3052" s="163"/>
      <c r="V3052" s="215"/>
      <c r="W3052" s="164"/>
      <c r="X3052" s="164"/>
      <c r="Y3052" s="164"/>
      <c r="Z3052" s="164"/>
      <c r="AA3052" s="164"/>
      <c r="AB3052" s="164"/>
      <c r="AC3052" s="164"/>
      <c r="AD3052" s="164"/>
      <c r="AE3052" s="164"/>
      <c r="AF3052" s="164"/>
      <c r="AG3052" s="164"/>
      <c r="AH3052" s="164"/>
      <c r="AI3052" s="164"/>
    </row>
    <row r="3053">
      <c r="A3053" s="154"/>
      <c r="B3053" s="155"/>
      <c r="C3053" s="156"/>
      <c r="D3053" s="156"/>
      <c r="E3053" s="155"/>
      <c r="F3053" s="156"/>
      <c r="G3053" s="154"/>
      <c r="H3053" s="157"/>
      <c r="I3053" s="158"/>
      <c r="J3053" s="159"/>
      <c r="K3053" s="156"/>
      <c r="L3053" s="156"/>
      <c r="M3053" s="155"/>
      <c r="N3053" s="160"/>
      <c r="O3053" s="161"/>
      <c r="P3053" s="161"/>
      <c r="Q3053" s="203"/>
      <c r="R3053" s="162"/>
      <c r="S3053" s="162"/>
      <c r="T3053" s="162"/>
      <c r="U3053" s="163"/>
      <c r="V3053" s="215"/>
      <c r="W3053" s="164"/>
      <c r="X3053" s="164"/>
      <c r="Y3053" s="164"/>
      <c r="Z3053" s="164"/>
      <c r="AA3053" s="164"/>
      <c r="AB3053" s="164"/>
      <c r="AC3053" s="164"/>
      <c r="AD3053" s="164"/>
      <c r="AE3053" s="164"/>
      <c r="AF3053" s="164"/>
      <c r="AG3053" s="164"/>
      <c r="AH3053" s="164"/>
      <c r="AI3053" s="164"/>
    </row>
    <row r="3054">
      <c r="A3054" s="154"/>
      <c r="B3054" s="155"/>
      <c r="C3054" s="156"/>
      <c r="D3054" s="156"/>
      <c r="E3054" s="155"/>
      <c r="F3054" s="156"/>
      <c r="G3054" s="154"/>
      <c r="H3054" s="157"/>
      <c r="I3054" s="158"/>
      <c r="J3054" s="159"/>
      <c r="K3054" s="156"/>
      <c r="L3054" s="156"/>
      <c r="M3054" s="202"/>
      <c r="N3054" s="160"/>
      <c r="O3054" s="161"/>
      <c r="P3054" s="161"/>
      <c r="Q3054" s="203"/>
      <c r="R3054" s="162"/>
      <c r="S3054" s="162"/>
      <c r="T3054" s="162"/>
      <c r="U3054" s="163"/>
      <c r="V3054" s="154"/>
      <c r="W3054" s="164"/>
      <c r="X3054" s="164"/>
      <c r="Y3054" s="164"/>
      <c r="Z3054" s="164"/>
      <c r="AA3054" s="164"/>
      <c r="AB3054" s="164"/>
      <c r="AC3054" s="164"/>
      <c r="AD3054" s="164"/>
      <c r="AE3054" s="164"/>
      <c r="AF3054" s="164"/>
      <c r="AG3054" s="164"/>
      <c r="AH3054" s="164"/>
      <c r="AI3054" s="164"/>
    </row>
    <row r="3055">
      <c r="A3055" s="154"/>
      <c r="B3055" s="155"/>
      <c r="C3055" s="156"/>
      <c r="D3055" s="156"/>
      <c r="E3055" s="155"/>
      <c r="F3055" s="156"/>
      <c r="G3055" s="154"/>
      <c r="H3055" s="157"/>
      <c r="I3055" s="158"/>
      <c r="J3055" s="159"/>
      <c r="K3055" s="156"/>
      <c r="L3055" s="156"/>
      <c r="M3055" s="155"/>
      <c r="N3055" s="160"/>
      <c r="O3055" s="161"/>
      <c r="P3055" s="161"/>
      <c r="Q3055" s="159"/>
      <c r="R3055" s="162"/>
      <c r="S3055" s="162"/>
      <c r="T3055" s="162"/>
      <c r="U3055" s="163"/>
      <c r="V3055" s="154"/>
      <c r="W3055" s="164"/>
      <c r="X3055" s="164"/>
      <c r="Y3055" s="164"/>
      <c r="Z3055" s="164"/>
      <c r="AA3055" s="164"/>
      <c r="AB3055" s="164"/>
      <c r="AC3055" s="164"/>
      <c r="AD3055" s="164"/>
      <c r="AE3055" s="164"/>
      <c r="AF3055" s="164"/>
      <c r="AG3055" s="164"/>
      <c r="AH3055" s="164"/>
      <c r="AI3055" s="164"/>
    </row>
    <row r="3056">
      <c r="A3056" s="154"/>
      <c r="B3056" s="155"/>
      <c r="C3056" s="156"/>
      <c r="D3056" s="156"/>
      <c r="E3056" s="155"/>
      <c r="F3056" s="156"/>
      <c r="G3056" s="154"/>
      <c r="H3056" s="157"/>
      <c r="I3056" s="158"/>
      <c r="J3056" s="159"/>
      <c r="K3056" s="156"/>
      <c r="L3056" s="156"/>
      <c r="M3056" s="155"/>
      <c r="N3056" s="160"/>
      <c r="O3056" s="161"/>
      <c r="P3056" s="161"/>
      <c r="Q3056" s="203"/>
      <c r="R3056" s="162"/>
      <c r="S3056" s="162"/>
      <c r="T3056" s="162"/>
      <c r="U3056" s="163"/>
      <c r="V3056" s="215"/>
      <c r="W3056" s="164"/>
      <c r="X3056" s="164"/>
      <c r="Y3056" s="164"/>
      <c r="Z3056" s="164"/>
      <c r="AA3056" s="164"/>
      <c r="AB3056" s="164"/>
      <c r="AC3056" s="164"/>
      <c r="AD3056" s="164"/>
      <c r="AE3056" s="164"/>
      <c r="AF3056" s="164"/>
      <c r="AG3056" s="164"/>
      <c r="AH3056" s="164"/>
      <c r="AI3056" s="164"/>
    </row>
    <row r="3057">
      <c r="A3057" s="154"/>
      <c r="B3057" s="155"/>
      <c r="C3057" s="156"/>
      <c r="D3057" s="156"/>
      <c r="E3057" s="155"/>
      <c r="F3057" s="156"/>
      <c r="G3057" s="154"/>
      <c r="H3057" s="157"/>
      <c r="I3057" s="158"/>
      <c r="J3057" s="159"/>
      <c r="K3057" s="156"/>
      <c r="L3057" s="156"/>
      <c r="M3057" s="155"/>
      <c r="N3057" s="160"/>
      <c r="O3057" s="161"/>
      <c r="P3057" s="161"/>
      <c r="Q3057" s="159"/>
      <c r="R3057" s="162"/>
      <c r="S3057" s="162"/>
      <c r="T3057" s="162"/>
      <c r="U3057" s="163"/>
      <c r="V3057" s="215"/>
      <c r="W3057" s="164"/>
      <c r="X3057" s="164"/>
      <c r="Y3057" s="164"/>
      <c r="Z3057" s="164"/>
      <c r="AA3057" s="164"/>
      <c r="AB3057" s="164"/>
      <c r="AC3057" s="164"/>
      <c r="AD3057" s="164"/>
      <c r="AE3057" s="164"/>
      <c r="AF3057" s="164"/>
      <c r="AG3057" s="164"/>
      <c r="AH3057" s="164"/>
      <c r="AI3057" s="164"/>
    </row>
    <row r="3058">
      <c r="A3058" s="154"/>
      <c r="B3058" s="155"/>
      <c r="C3058" s="156"/>
      <c r="D3058" s="156"/>
      <c r="E3058" s="155"/>
      <c r="F3058" s="156"/>
      <c r="G3058" s="154"/>
      <c r="H3058" s="157"/>
      <c r="I3058" s="158"/>
      <c r="J3058" s="159"/>
      <c r="K3058" s="156"/>
      <c r="L3058" s="156"/>
      <c r="M3058" s="155"/>
      <c r="N3058" s="160"/>
      <c r="O3058" s="161"/>
      <c r="P3058" s="161"/>
      <c r="Q3058" s="159"/>
      <c r="R3058" s="162"/>
      <c r="S3058" s="162"/>
      <c r="T3058" s="162"/>
      <c r="U3058" s="163"/>
      <c r="V3058" s="154"/>
      <c r="W3058" s="164"/>
      <c r="X3058" s="164"/>
      <c r="Y3058" s="164"/>
      <c r="Z3058" s="164"/>
      <c r="AA3058" s="164"/>
      <c r="AB3058" s="164"/>
      <c r="AC3058" s="164"/>
      <c r="AD3058" s="164"/>
      <c r="AE3058" s="164"/>
      <c r="AF3058" s="164"/>
      <c r="AG3058" s="164"/>
      <c r="AH3058" s="164"/>
      <c r="AI3058" s="164"/>
    </row>
    <row r="3059">
      <c r="A3059" s="154"/>
      <c r="B3059" s="155"/>
      <c r="C3059" s="156"/>
      <c r="D3059" s="156"/>
      <c r="E3059" s="155"/>
      <c r="F3059" s="156"/>
      <c r="G3059" s="154"/>
      <c r="H3059" s="157"/>
      <c r="I3059" s="158"/>
      <c r="J3059" s="159"/>
      <c r="K3059" s="156"/>
      <c r="L3059" s="156"/>
      <c r="M3059" s="202"/>
      <c r="N3059" s="160"/>
      <c r="O3059" s="161"/>
      <c r="P3059" s="161"/>
      <c r="Q3059" s="203"/>
      <c r="R3059" s="162"/>
      <c r="S3059" s="162"/>
      <c r="T3059" s="162"/>
      <c r="U3059" s="163"/>
      <c r="V3059" s="215"/>
      <c r="W3059" s="164"/>
      <c r="X3059" s="164"/>
      <c r="Y3059" s="164"/>
      <c r="Z3059" s="164"/>
      <c r="AA3059" s="164"/>
      <c r="AB3059" s="164"/>
      <c r="AC3059" s="164"/>
      <c r="AD3059" s="164"/>
      <c r="AE3059" s="164"/>
      <c r="AF3059" s="164"/>
      <c r="AG3059" s="164"/>
      <c r="AH3059" s="164"/>
      <c r="AI3059" s="164"/>
    </row>
    <row r="3060">
      <c r="A3060" s="154"/>
      <c r="B3060" s="155"/>
      <c r="C3060" s="156"/>
      <c r="D3060" s="156"/>
      <c r="E3060" s="155"/>
      <c r="F3060" s="156"/>
      <c r="G3060" s="154"/>
      <c r="H3060" s="157"/>
      <c r="I3060" s="158"/>
      <c r="J3060" s="159"/>
      <c r="K3060" s="156"/>
      <c r="L3060" s="156"/>
      <c r="M3060" s="155"/>
      <c r="N3060" s="160"/>
      <c r="O3060" s="161"/>
      <c r="P3060" s="161"/>
      <c r="Q3060" s="203"/>
      <c r="R3060" s="162"/>
      <c r="S3060" s="162"/>
      <c r="T3060" s="162"/>
      <c r="U3060" s="163"/>
      <c r="V3060" s="215"/>
      <c r="W3060" s="164"/>
      <c r="X3060" s="164"/>
      <c r="Y3060" s="164"/>
      <c r="Z3060" s="164"/>
      <c r="AA3060" s="164"/>
      <c r="AB3060" s="164"/>
      <c r="AC3060" s="164"/>
      <c r="AD3060" s="164"/>
      <c r="AE3060" s="164"/>
      <c r="AF3060" s="164"/>
      <c r="AG3060" s="164"/>
      <c r="AH3060" s="164"/>
      <c r="AI3060" s="164"/>
    </row>
    <row r="3061">
      <c r="A3061" s="154"/>
      <c r="B3061" s="155"/>
      <c r="C3061" s="156"/>
      <c r="D3061" s="156"/>
      <c r="E3061" s="155"/>
      <c r="F3061" s="156"/>
      <c r="G3061" s="154"/>
      <c r="H3061" s="157"/>
      <c r="I3061" s="158"/>
      <c r="J3061" s="159"/>
      <c r="K3061" s="156"/>
      <c r="L3061" s="156"/>
      <c r="M3061" s="155"/>
      <c r="N3061" s="160"/>
      <c r="O3061" s="161"/>
      <c r="P3061" s="161"/>
      <c r="Q3061" s="203"/>
      <c r="R3061" s="162"/>
      <c r="S3061" s="162"/>
      <c r="T3061" s="162"/>
      <c r="U3061" s="163"/>
      <c r="V3061" s="216"/>
      <c r="W3061" s="164"/>
      <c r="X3061" s="164"/>
      <c r="Y3061" s="164"/>
      <c r="Z3061" s="164"/>
      <c r="AA3061" s="164"/>
      <c r="AB3061" s="164"/>
      <c r="AC3061" s="164"/>
      <c r="AD3061" s="164"/>
      <c r="AE3061" s="164"/>
      <c r="AF3061" s="164"/>
      <c r="AG3061" s="164"/>
      <c r="AH3061" s="164"/>
      <c r="AI3061" s="164"/>
    </row>
    <row r="3062">
      <c r="A3062" s="154"/>
      <c r="B3062" s="155"/>
      <c r="C3062" s="156"/>
      <c r="D3062" s="156"/>
      <c r="E3062" s="155"/>
      <c r="F3062" s="156"/>
      <c r="G3062" s="154"/>
      <c r="H3062" s="157"/>
      <c r="I3062" s="158"/>
      <c r="J3062" s="159"/>
      <c r="K3062" s="156"/>
      <c r="L3062" s="156"/>
      <c r="M3062" s="202"/>
      <c r="N3062" s="160"/>
      <c r="O3062" s="161"/>
      <c r="P3062" s="161"/>
      <c r="Q3062" s="203"/>
      <c r="R3062" s="162"/>
      <c r="S3062" s="162"/>
      <c r="T3062" s="162"/>
      <c r="U3062" s="163"/>
      <c r="V3062" s="215"/>
      <c r="W3062" s="164"/>
      <c r="X3062" s="164"/>
      <c r="Y3062" s="164"/>
      <c r="Z3062" s="164"/>
      <c r="AA3062" s="164"/>
      <c r="AB3062" s="164"/>
      <c r="AC3062" s="164"/>
      <c r="AD3062" s="164"/>
      <c r="AE3062" s="164"/>
      <c r="AF3062" s="164"/>
      <c r="AG3062" s="164"/>
      <c r="AH3062" s="164"/>
      <c r="AI3062" s="164"/>
    </row>
    <row r="3063">
      <c r="A3063" s="154"/>
      <c r="B3063" s="155"/>
      <c r="C3063" s="156"/>
      <c r="D3063" s="156"/>
      <c r="E3063" s="155"/>
      <c r="F3063" s="156"/>
      <c r="G3063" s="154"/>
      <c r="H3063" s="157"/>
      <c r="I3063" s="158"/>
      <c r="J3063" s="159"/>
      <c r="K3063" s="156"/>
      <c r="L3063" s="156"/>
      <c r="M3063" s="155"/>
      <c r="N3063" s="160"/>
      <c r="O3063" s="161"/>
      <c r="P3063" s="161"/>
      <c r="Q3063" s="203"/>
      <c r="R3063" s="162"/>
      <c r="S3063" s="162"/>
      <c r="T3063" s="162"/>
      <c r="U3063" s="163"/>
      <c r="V3063" s="154"/>
      <c r="W3063" s="164"/>
      <c r="X3063" s="164"/>
      <c r="Y3063" s="164"/>
      <c r="Z3063" s="164"/>
      <c r="AA3063" s="164"/>
      <c r="AB3063" s="164"/>
      <c r="AC3063" s="164"/>
      <c r="AD3063" s="164"/>
      <c r="AE3063" s="164"/>
      <c r="AF3063" s="164"/>
      <c r="AG3063" s="164"/>
      <c r="AH3063" s="164"/>
      <c r="AI3063" s="164"/>
    </row>
    <row r="3064">
      <c r="A3064" s="154"/>
      <c r="B3064" s="155"/>
      <c r="C3064" s="156"/>
      <c r="D3064" s="156"/>
      <c r="E3064" s="155"/>
      <c r="F3064" s="156"/>
      <c r="G3064" s="154"/>
      <c r="H3064" s="157"/>
      <c r="I3064" s="158"/>
      <c r="J3064" s="159"/>
      <c r="K3064" s="156"/>
      <c r="L3064" s="156"/>
      <c r="M3064" s="155"/>
      <c r="N3064" s="160"/>
      <c r="O3064" s="161"/>
      <c r="P3064" s="161"/>
      <c r="Q3064" s="159"/>
      <c r="R3064" s="162"/>
      <c r="S3064" s="162"/>
      <c r="T3064" s="162"/>
      <c r="U3064" s="163"/>
      <c r="V3064" s="154"/>
      <c r="W3064" s="164"/>
      <c r="X3064" s="164"/>
      <c r="Y3064" s="164"/>
      <c r="Z3064" s="164"/>
      <c r="AA3064" s="164"/>
      <c r="AB3064" s="164"/>
      <c r="AC3064" s="164"/>
      <c r="AD3064" s="164"/>
      <c r="AE3064" s="164"/>
      <c r="AF3064" s="164"/>
      <c r="AG3064" s="164"/>
      <c r="AH3064" s="164"/>
      <c r="AI3064" s="164"/>
    </row>
    <row r="3065">
      <c r="A3065" s="154"/>
      <c r="B3065" s="155"/>
      <c r="C3065" s="156"/>
      <c r="D3065" s="156"/>
      <c r="E3065" s="155"/>
      <c r="F3065" s="156"/>
      <c r="G3065" s="154"/>
      <c r="H3065" s="157"/>
      <c r="I3065" s="158"/>
      <c r="J3065" s="159"/>
      <c r="K3065" s="156"/>
      <c r="L3065" s="156"/>
      <c r="M3065" s="155"/>
      <c r="N3065" s="160"/>
      <c r="O3065" s="161"/>
      <c r="P3065" s="161"/>
      <c r="Q3065" s="159"/>
      <c r="R3065" s="162"/>
      <c r="S3065" s="162"/>
      <c r="T3065" s="162"/>
      <c r="U3065" s="163"/>
      <c r="V3065" s="154"/>
      <c r="W3065" s="164"/>
      <c r="X3065" s="164"/>
      <c r="Y3065" s="164"/>
      <c r="Z3065" s="164"/>
      <c r="AA3065" s="164"/>
      <c r="AB3065" s="164"/>
      <c r="AC3065" s="164"/>
      <c r="AD3065" s="164"/>
      <c r="AE3065" s="164"/>
      <c r="AF3065" s="164"/>
      <c r="AG3065" s="164"/>
      <c r="AH3065" s="164"/>
      <c r="AI3065" s="164"/>
    </row>
    <row r="3066">
      <c r="A3066" s="154"/>
      <c r="B3066" s="155"/>
      <c r="C3066" s="156"/>
      <c r="D3066" s="156"/>
      <c r="E3066" s="155"/>
      <c r="F3066" s="156"/>
      <c r="G3066" s="154"/>
      <c r="H3066" s="157"/>
      <c r="I3066" s="158"/>
      <c r="J3066" s="159"/>
      <c r="K3066" s="156"/>
      <c r="L3066" s="156"/>
      <c r="M3066" s="155"/>
      <c r="N3066" s="160"/>
      <c r="O3066" s="161"/>
      <c r="P3066" s="161"/>
      <c r="Q3066" s="203"/>
      <c r="R3066" s="162"/>
      <c r="S3066" s="162"/>
      <c r="T3066" s="162"/>
      <c r="U3066" s="163"/>
      <c r="V3066" s="215"/>
      <c r="W3066" s="164"/>
      <c r="X3066" s="164"/>
      <c r="Y3066" s="164"/>
      <c r="Z3066" s="164"/>
      <c r="AA3066" s="164"/>
      <c r="AB3066" s="164"/>
      <c r="AC3066" s="164"/>
      <c r="AD3066" s="164"/>
      <c r="AE3066" s="164"/>
      <c r="AF3066" s="164"/>
      <c r="AG3066" s="164"/>
      <c r="AH3066" s="164"/>
      <c r="AI3066" s="164"/>
    </row>
    <row r="3067">
      <c r="A3067" s="154"/>
      <c r="B3067" s="155"/>
      <c r="C3067" s="156"/>
      <c r="D3067" s="156"/>
      <c r="E3067" s="155"/>
      <c r="F3067" s="156"/>
      <c r="G3067" s="154"/>
      <c r="H3067" s="157"/>
      <c r="I3067" s="158"/>
      <c r="J3067" s="159"/>
      <c r="K3067" s="156"/>
      <c r="L3067" s="156"/>
      <c r="M3067" s="155"/>
      <c r="N3067" s="160"/>
      <c r="O3067" s="161"/>
      <c r="P3067" s="161"/>
      <c r="Q3067" s="159"/>
      <c r="R3067" s="162"/>
      <c r="S3067" s="162"/>
      <c r="T3067" s="162"/>
      <c r="U3067" s="163"/>
      <c r="V3067" s="154"/>
      <c r="W3067" s="164"/>
      <c r="X3067" s="164"/>
      <c r="Y3067" s="164"/>
      <c r="Z3067" s="164"/>
      <c r="AA3067" s="164"/>
      <c r="AB3067" s="164"/>
      <c r="AC3067" s="164"/>
      <c r="AD3067" s="164"/>
      <c r="AE3067" s="164"/>
      <c r="AF3067" s="164"/>
      <c r="AG3067" s="164"/>
      <c r="AH3067" s="164"/>
      <c r="AI3067" s="164"/>
    </row>
    <row r="3068">
      <c r="A3068" s="154"/>
      <c r="B3068" s="155"/>
      <c r="C3068" s="156"/>
      <c r="D3068" s="156"/>
      <c r="E3068" s="155"/>
      <c r="F3068" s="156"/>
      <c r="G3068" s="154"/>
      <c r="H3068" s="157"/>
      <c r="I3068" s="158"/>
      <c r="J3068" s="159"/>
      <c r="K3068" s="156"/>
      <c r="L3068" s="156"/>
      <c r="M3068" s="155"/>
      <c r="N3068" s="160"/>
      <c r="O3068" s="161"/>
      <c r="P3068" s="161"/>
      <c r="Q3068" s="159"/>
      <c r="R3068" s="162"/>
      <c r="S3068" s="162"/>
      <c r="T3068" s="162"/>
      <c r="U3068" s="163"/>
      <c r="V3068" s="215"/>
      <c r="W3068" s="164"/>
      <c r="X3068" s="164"/>
      <c r="Y3068" s="164"/>
      <c r="Z3068" s="164"/>
      <c r="AA3068" s="164"/>
      <c r="AB3068" s="164"/>
      <c r="AC3068" s="164"/>
      <c r="AD3068" s="164"/>
      <c r="AE3068" s="164"/>
      <c r="AF3068" s="164"/>
      <c r="AG3068" s="164"/>
      <c r="AH3068" s="164"/>
      <c r="AI3068" s="164"/>
    </row>
    <row r="3069">
      <c r="A3069" s="154"/>
      <c r="B3069" s="155"/>
      <c r="C3069" s="156"/>
      <c r="D3069" s="156"/>
      <c r="E3069" s="155"/>
      <c r="F3069" s="156"/>
      <c r="G3069" s="154"/>
      <c r="H3069" s="157"/>
      <c r="I3069" s="158"/>
      <c r="J3069" s="159"/>
      <c r="K3069" s="156"/>
      <c r="L3069" s="156"/>
      <c r="M3069" s="155"/>
      <c r="N3069" s="160"/>
      <c r="O3069" s="161"/>
      <c r="P3069" s="161"/>
      <c r="Q3069" s="203"/>
      <c r="R3069" s="162"/>
      <c r="S3069" s="162"/>
      <c r="T3069" s="162"/>
      <c r="U3069" s="163"/>
      <c r="V3069" s="154"/>
      <c r="W3069" s="164"/>
      <c r="X3069" s="164"/>
      <c r="Y3069" s="164"/>
      <c r="Z3069" s="164"/>
      <c r="AA3069" s="164"/>
      <c r="AB3069" s="164"/>
      <c r="AC3069" s="164"/>
      <c r="AD3069" s="164"/>
      <c r="AE3069" s="164"/>
      <c r="AF3069" s="164"/>
      <c r="AG3069" s="164"/>
      <c r="AH3069" s="164"/>
      <c r="AI3069" s="164"/>
    </row>
    <row r="3070">
      <c r="A3070" s="154"/>
      <c r="B3070" s="155"/>
      <c r="C3070" s="156"/>
      <c r="D3070" s="156"/>
      <c r="E3070" s="155"/>
      <c r="F3070" s="156"/>
      <c r="G3070" s="154"/>
      <c r="H3070" s="157"/>
      <c r="I3070" s="158"/>
      <c r="J3070" s="159"/>
      <c r="K3070" s="156"/>
      <c r="L3070" s="156"/>
      <c r="M3070" s="202"/>
      <c r="N3070" s="160"/>
      <c r="O3070" s="161"/>
      <c r="P3070" s="161"/>
      <c r="Q3070" s="203"/>
      <c r="R3070" s="162"/>
      <c r="S3070" s="162"/>
      <c r="T3070" s="162"/>
      <c r="U3070" s="163"/>
      <c r="V3070" s="154"/>
      <c r="W3070" s="164"/>
      <c r="X3070" s="164"/>
      <c r="Y3070" s="164"/>
      <c r="Z3070" s="164"/>
      <c r="AA3070" s="164"/>
      <c r="AB3070" s="164"/>
      <c r="AC3070" s="164"/>
      <c r="AD3070" s="164"/>
      <c r="AE3070" s="164"/>
      <c r="AF3070" s="164"/>
      <c r="AG3070" s="164"/>
      <c r="AH3070" s="164"/>
      <c r="AI3070" s="164"/>
    </row>
    <row r="3071">
      <c r="A3071" s="154"/>
      <c r="B3071" s="155"/>
      <c r="C3071" s="156"/>
      <c r="D3071" s="156"/>
      <c r="E3071" s="155"/>
      <c r="F3071" s="156"/>
      <c r="G3071" s="154"/>
      <c r="H3071" s="157"/>
      <c r="I3071" s="158"/>
      <c r="J3071" s="159"/>
      <c r="K3071" s="156"/>
      <c r="L3071" s="156"/>
      <c r="M3071" s="155"/>
      <c r="N3071" s="160"/>
      <c r="O3071" s="161"/>
      <c r="P3071" s="161"/>
      <c r="Q3071" s="203"/>
      <c r="R3071" s="162"/>
      <c r="S3071" s="162"/>
      <c r="T3071" s="162"/>
      <c r="U3071" s="163"/>
      <c r="V3071" s="243"/>
      <c r="W3071" s="164"/>
      <c r="X3071" s="164"/>
      <c r="Y3071" s="164"/>
      <c r="Z3071" s="164"/>
      <c r="AA3071" s="164"/>
      <c r="AB3071" s="164"/>
      <c r="AC3071" s="164"/>
      <c r="AD3071" s="164"/>
      <c r="AE3071" s="164"/>
      <c r="AF3071" s="164"/>
      <c r="AG3071" s="164"/>
      <c r="AH3071" s="164"/>
      <c r="AI3071" s="164"/>
    </row>
    <row r="3072">
      <c r="A3072" s="154"/>
      <c r="B3072" s="155"/>
      <c r="C3072" s="156"/>
      <c r="D3072" s="156"/>
      <c r="E3072" s="155"/>
      <c r="F3072" s="156"/>
      <c r="G3072" s="154"/>
      <c r="H3072" s="157"/>
      <c r="I3072" s="158"/>
      <c r="J3072" s="159"/>
      <c r="K3072" s="156"/>
      <c r="L3072" s="156"/>
      <c r="M3072" s="202"/>
      <c r="N3072" s="160"/>
      <c r="O3072" s="161"/>
      <c r="P3072" s="161"/>
      <c r="Q3072" s="203"/>
      <c r="R3072" s="162"/>
      <c r="S3072" s="162"/>
      <c r="T3072" s="162"/>
      <c r="U3072" s="163"/>
      <c r="V3072" s="215"/>
      <c r="W3072" s="164"/>
      <c r="X3072" s="164"/>
      <c r="Y3072" s="164"/>
      <c r="Z3072" s="164"/>
      <c r="AA3072" s="164"/>
      <c r="AB3072" s="164"/>
      <c r="AC3072" s="164"/>
      <c r="AD3072" s="164"/>
      <c r="AE3072" s="164"/>
      <c r="AF3072" s="164"/>
      <c r="AG3072" s="164"/>
      <c r="AH3072" s="164"/>
      <c r="AI3072" s="164"/>
    </row>
    <row r="3073">
      <c r="A3073" s="154"/>
      <c r="B3073" s="155"/>
      <c r="C3073" s="156"/>
      <c r="D3073" s="156"/>
      <c r="E3073" s="155"/>
      <c r="F3073" s="156"/>
      <c r="G3073" s="154"/>
      <c r="H3073" s="157"/>
      <c r="I3073" s="158"/>
      <c r="J3073" s="159"/>
      <c r="K3073" s="156"/>
      <c r="L3073" s="156"/>
      <c r="M3073" s="155"/>
      <c r="N3073" s="160"/>
      <c r="O3073" s="161"/>
      <c r="P3073" s="161"/>
      <c r="Q3073" s="203"/>
      <c r="R3073" s="162"/>
      <c r="S3073" s="162"/>
      <c r="T3073" s="162"/>
      <c r="U3073" s="163"/>
      <c r="V3073" s="154"/>
      <c r="W3073" s="164"/>
      <c r="X3073" s="164"/>
      <c r="Y3073" s="164"/>
      <c r="Z3073" s="164"/>
      <c r="AA3073" s="164"/>
      <c r="AB3073" s="164"/>
      <c r="AC3073" s="164"/>
      <c r="AD3073" s="164"/>
      <c r="AE3073" s="164"/>
      <c r="AF3073" s="164"/>
      <c r="AG3073" s="164"/>
      <c r="AH3073" s="164"/>
      <c r="AI3073" s="164"/>
    </row>
    <row r="3074">
      <c r="A3074" s="154"/>
      <c r="B3074" s="155"/>
      <c r="C3074" s="156"/>
      <c r="D3074" s="156"/>
      <c r="E3074" s="155"/>
      <c r="F3074" s="156"/>
      <c r="G3074" s="154"/>
      <c r="H3074" s="157"/>
      <c r="I3074" s="158"/>
      <c r="J3074" s="159"/>
      <c r="K3074" s="156"/>
      <c r="L3074" s="156"/>
      <c r="M3074" s="155"/>
      <c r="N3074" s="160"/>
      <c r="O3074" s="161"/>
      <c r="P3074" s="161"/>
      <c r="Q3074" s="203"/>
      <c r="R3074" s="162"/>
      <c r="S3074" s="162"/>
      <c r="T3074" s="162"/>
      <c r="U3074" s="163"/>
      <c r="V3074" s="154"/>
      <c r="W3074" s="164"/>
      <c r="X3074" s="164"/>
      <c r="Y3074" s="164"/>
      <c r="Z3074" s="164"/>
      <c r="AA3074" s="164"/>
      <c r="AB3074" s="164"/>
      <c r="AC3074" s="164"/>
      <c r="AD3074" s="164"/>
      <c r="AE3074" s="164"/>
      <c r="AF3074" s="164"/>
      <c r="AG3074" s="164"/>
      <c r="AH3074" s="164"/>
      <c r="AI3074" s="164"/>
    </row>
    <row r="3075">
      <c r="A3075" s="154"/>
      <c r="B3075" s="155"/>
      <c r="C3075" s="156"/>
      <c r="D3075" s="156"/>
      <c r="E3075" s="155"/>
      <c r="F3075" s="156"/>
      <c r="G3075" s="154"/>
      <c r="H3075" s="157"/>
      <c r="I3075" s="158"/>
      <c r="J3075" s="159"/>
      <c r="K3075" s="156"/>
      <c r="L3075" s="156"/>
      <c r="M3075" s="155"/>
      <c r="N3075" s="160"/>
      <c r="O3075" s="161"/>
      <c r="P3075" s="161"/>
      <c r="Q3075" s="203"/>
      <c r="R3075" s="162"/>
      <c r="S3075" s="162"/>
      <c r="T3075" s="162"/>
      <c r="U3075" s="163"/>
      <c r="V3075" s="154"/>
      <c r="W3075" s="164"/>
      <c r="X3075" s="164"/>
      <c r="Y3075" s="164"/>
      <c r="Z3075" s="164"/>
      <c r="AA3075" s="164"/>
      <c r="AB3075" s="164"/>
      <c r="AC3075" s="164"/>
      <c r="AD3075" s="164"/>
      <c r="AE3075" s="164"/>
      <c r="AF3075" s="164"/>
      <c r="AG3075" s="164"/>
      <c r="AH3075" s="164"/>
      <c r="AI3075" s="164"/>
    </row>
    <row r="3076">
      <c r="A3076" s="154"/>
      <c r="B3076" s="155"/>
      <c r="C3076" s="156"/>
      <c r="D3076" s="156"/>
      <c r="E3076" s="155"/>
      <c r="F3076" s="156"/>
      <c r="G3076" s="154"/>
      <c r="H3076" s="157"/>
      <c r="I3076" s="158"/>
      <c r="J3076" s="159"/>
      <c r="K3076" s="156"/>
      <c r="L3076" s="156"/>
      <c r="M3076" s="155"/>
      <c r="N3076" s="160"/>
      <c r="O3076" s="161"/>
      <c r="P3076" s="161"/>
      <c r="Q3076" s="203"/>
      <c r="R3076" s="162"/>
      <c r="S3076" s="162"/>
      <c r="T3076" s="162"/>
      <c r="U3076" s="163"/>
      <c r="V3076" s="154"/>
      <c r="W3076" s="164"/>
      <c r="X3076" s="164"/>
      <c r="Y3076" s="164"/>
      <c r="Z3076" s="164"/>
      <c r="AA3076" s="164"/>
      <c r="AB3076" s="164"/>
      <c r="AC3076" s="164"/>
      <c r="AD3076" s="164"/>
      <c r="AE3076" s="164"/>
      <c r="AF3076" s="164"/>
      <c r="AG3076" s="164"/>
      <c r="AH3076" s="164"/>
      <c r="AI3076" s="164"/>
    </row>
    <row r="3077">
      <c r="A3077" s="154"/>
      <c r="B3077" s="155"/>
      <c r="C3077" s="156"/>
      <c r="D3077" s="156"/>
      <c r="E3077" s="155"/>
      <c r="F3077" s="156"/>
      <c r="G3077" s="154"/>
      <c r="H3077" s="157"/>
      <c r="I3077" s="158"/>
      <c r="J3077" s="159"/>
      <c r="K3077" s="156"/>
      <c r="L3077" s="156"/>
      <c r="M3077" s="155"/>
      <c r="N3077" s="160"/>
      <c r="O3077" s="161"/>
      <c r="P3077" s="161"/>
      <c r="Q3077" s="203"/>
      <c r="R3077" s="162"/>
      <c r="S3077" s="162"/>
      <c r="T3077" s="162"/>
      <c r="U3077" s="163"/>
      <c r="V3077" s="154"/>
      <c r="W3077" s="164"/>
      <c r="X3077" s="164"/>
      <c r="Y3077" s="164"/>
      <c r="Z3077" s="164"/>
      <c r="AA3077" s="164"/>
      <c r="AB3077" s="164"/>
      <c r="AC3077" s="164"/>
      <c r="AD3077" s="164"/>
      <c r="AE3077" s="164"/>
      <c r="AF3077" s="164"/>
      <c r="AG3077" s="164"/>
      <c r="AH3077" s="164"/>
      <c r="AI3077" s="164"/>
    </row>
    <row r="3078">
      <c r="A3078" s="154"/>
      <c r="B3078" s="155"/>
      <c r="C3078" s="156"/>
      <c r="D3078" s="156"/>
      <c r="E3078" s="155"/>
      <c r="F3078" s="156"/>
      <c r="G3078" s="154"/>
      <c r="H3078" s="157"/>
      <c r="I3078" s="158"/>
      <c r="J3078" s="159"/>
      <c r="K3078" s="156"/>
      <c r="L3078" s="156"/>
      <c r="M3078" s="155"/>
      <c r="N3078" s="160"/>
      <c r="O3078" s="161"/>
      <c r="P3078" s="161"/>
      <c r="Q3078" s="159"/>
      <c r="R3078" s="162"/>
      <c r="S3078" s="162"/>
      <c r="T3078" s="162"/>
      <c r="U3078" s="163"/>
      <c r="V3078" s="215"/>
      <c r="W3078" s="164"/>
      <c r="X3078" s="164"/>
      <c r="Y3078" s="164"/>
      <c r="Z3078" s="164"/>
      <c r="AA3078" s="164"/>
      <c r="AB3078" s="164"/>
      <c r="AC3078" s="164"/>
      <c r="AD3078" s="164"/>
      <c r="AE3078" s="164"/>
      <c r="AF3078" s="164"/>
      <c r="AG3078" s="164"/>
      <c r="AH3078" s="164"/>
      <c r="AI3078" s="164"/>
    </row>
    <row r="3079">
      <c r="A3079" s="154"/>
      <c r="B3079" s="155"/>
      <c r="C3079" s="156"/>
      <c r="D3079" s="156"/>
      <c r="E3079" s="155"/>
      <c r="F3079" s="156"/>
      <c r="G3079" s="154"/>
      <c r="H3079" s="157"/>
      <c r="I3079" s="158"/>
      <c r="J3079" s="159"/>
      <c r="K3079" s="156"/>
      <c r="L3079" s="156"/>
      <c r="M3079" s="202"/>
      <c r="N3079" s="160"/>
      <c r="O3079" s="161"/>
      <c r="P3079" s="161"/>
      <c r="Q3079" s="203"/>
      <c r="R3079" s="162"/>
      <c r="S3079" s="162"/>
      <c r="T3079" s="162"/>
      <c r="U3079" s="163"/>
      <c r="V3079" s="154"/>
      <c r="W3079" s="164"/>
      <c r="X3079" s="164"/>
      <c r="Y3079" s="164"/>
      <c r="Z3079" s="164"/>
      <c r="AA3079" s="164"/>
      <c r="AB3079" s="164"/>
      <c r="AC3079" s="164"/>
      <c r="AD3079" s="164"/>
      <c r="AE3079" s="164"/>
      <c r="AF3079" s="164"/>
      <c r="AG3079" s="164"/>
      <c r="AH3079" s="164"/>
      <c r="AI3079" s="164"/>
    </row>
    <row r="3080">
      <c r="A3080" s="154"/>
      <c r="B3080" s="155"/>
      <c r="C3080" s="156"/>
      <c r="D3080" s="156"/>
      <c r="E3080" s="155"/>
      <c r="F3080" s="156"/>
      <c r="G3080" s="154"/>
      <c r="H3080" s="157"/>
      <c r="I3080" s="158"/>
      <c r="J3080" s="159"/>
      <c r="K3080" s="156"/>
      <c r="L3080" s="156"/>
      <c r="M3080" s="155"/>
      <c r="N3080" s="160"/>
      <c r="O3080" s="161"/>
      <c r="P3080" s="161"/>
      <c r="Q3080" s="203"/>
      <c r="R3080" s="162"/>
      <c r="S3080" s="162"/>
      <c r="T3080" s="162"/>
      <c r="U3080" s="163"/>
      <c r="V3080" s="154"/>
      <c r="W3080" s="164"/>
      <c r="X3080" s="164"/>
      <c r="Y3080" s="164"/>
      <c r="Z3080" s="164"/>
      <c r="AA3080" s="164"/>
      <c r="AB3080" s="164"/>
      <c r="AC3080" s="164"/>
      <c r="AD3080" s="164"/>
      <c r="AE3080" s="164"/>
      <c r="AF3080" s="164"/>
      <c r="AG3080" s="164"/>
      <c r="AH3080" s="164"/>
      <c r="AI3080" s="164"/>
    </row>
    <row r="3081">
      <c r="A3081" s="154"/>
      <c r="B3081" s="155"/>
      <c r="C3081" s="156"/>
      <c r="D3081" s="156"/>
      <c r="E3081" s="155"/>
      <c r="F3081" s="156"/>
      <c r="G3081" s="154"/>
      <c r="H3081" s="157"/>
      <c r="I3081" s="158"/>
      <c r="J3081" s="159"/>
      <c r="K3081" s="156"/>
      <c r="L3081" s="156"/>
      <c r="M3081" s="155"/>
      <c r="N3081" s="160"/>
      <c r="O3081" s="161"/>
      <c r="P3081" s="161"/>
      <c r="Q3081" s="203"/>
      <c r="R3081" s="162"/>
      <c r="S3081" s="162"/>
      <c r="T3081" s="162"/>
      <c r="U3081" s="163"/>
      <c r="V3081" s="216"/>
      <c r="W3081" s="164"/>
      <c r="X3081" s="164"/>
      <c r="Y3081" s="164"/>
      <c r="Z3081" s="164"/>
      <c r="AA3081" s="164"/>
      <c r="AB3081" s="164"/>
      <c r="AC3081" s="164"/>
      <c r="AD3081" s="164"/>
      <c r="AE3081" s="164"/>
      <c r="AF3081" s="164"/>
      <c r="AG3081" s="164"/>
      <c r="AH3081" s="164"/>
      <c r="AI3081" s="164"/>
    </row>
    <row r="3082">
      <c r="A3082" s="154"/>
      <c r="B3082" s="155"/>
      <c r="C3082" s="156"/>
      <c r="D3082" s="156"/>
      <c r="E3082" s="155"/>
      <c r="F3082" s="156"/>
      <c r="G3082" s="154"/>
      <c r="H3082" s="157"/>
      <c r="I3082" s="158"/>
      <c r="J3082" s="159"/>
      <c r="K3082" s="156"/>
      <c r="L3082" s="156"/>
      <c r="M3082" s="202"/>
      <c r="N3082" s="160"/>
      <c r="O3082" s="161"/>
      <c r="P3082" s="161"/>
      <c r="Q3082" s="203"/>
      <c r="R3082" s="162"/>
      <c r="S3082" s="162"/>
      <c r="T3082" s="162"/>
      <c r="U3082" s="163"/>
      <c r="V3082" s="215"/>
      <c r="W3082" s="164"/>
      <c r="X3082" s="164"/>
      <c r="Y3082" s="164"/>
      <c r="Z3082" s="164"/>
      <c r="AA3082" s="164"/>
      <c r="AB3082" s="164"/>
      <c r="AC3082" s="164"/>
      <c r="AD3082" s="164"/>
      <c r="AE3082" s="164"/>
      <c r="AF3082" s="164"/>
      <c r="AG3082" s="164"/>
      <c r="AH3082" s="164"/>
      <c r="AI3082" s="164"/>
    </row>
    <row r="3083">
      <c r="A3083" s="154"/>
      <c r="B3083" s="155"/>
      <c r="C3083" s="156"/>
      <c r="D3083" s="156"/>
      <c r="E3083" s="155"/>
      <c r="F3083" s="156"/>
      <c r="G3083" s="154"/>
      <c r="H3083" s="157"/>
      <c r="I3083" s="158"/>
      <c r="J3083" s="159"/>
      <c r="K3083" s="156"/>
      <c r="L3083" s="156"/>
      <c r="M3083" s="202"/>
      <c r="N3083" s="160"/>
      <c r="O3083" s="161"/>
      <c r="P3083" s="161"/>
      <c r="Q3083" s="203"/>
      <c r="R3083" s="162"/>
      <c r="S3083" s="162"/>
      <c r="T3083" s="162"/>
      <c r="U3083" s="163"/>
      <c r="V3083" s="215"/>
      <c r="W3083" s="164"/>
      <c r="X3083" s="164"/>
      <c r="Y3083" s="164"/>
      <c r="Z3083" s="164"/>
      <c r="AA3083" s="164"/>
      <c r="AB3083" s="164"/>
      <c r="AC3083" s="164"/>
      <c r="AD3083" s="164"/>
      <c r="AE3083" s="164"/>
      <c r="AF3083" s="164"/>
      <c r="AG3083" s="164"/>
      <c r="AH3083" s="164"/>
      <c r="AI3083" s="164"/>
    </row>
    <row r="3084">
      <c r="A3084" s="154"/>
      <c r="B3084" s="155"/>
      <c r="C3084" s="156"/>
      <c r="D3084" s="156"/>
      <c r="E3084" s="155"/>
      <c r="F3084" s="156"/>
      <c r="G3084" s="154"/>
      <c r="H3084" s="157"/>
      <c r="I3084" s="158"/>
      <c r="J3084" s="159"/>
      <c r="K3084" s="156"/>
      <c r="L3084" s="156"/>
      <c r="M3084" s="155"/>
      <c r="N3084" s="160"/>
      <c r="O3084" s="161"/>
      <c r="P3084" s="161"/>
      <c r="Q3084" s="203"/>
      <c r="R3084" s="162"/>
      <c r="S3084" s="162"/>
      <c r="T3084" s="162"/>
      <c r="U3084" s="163"/>
      <c r="V3084" s="154"/>
      <c r="W3084" s="164"/>
      <c r="X3084" s="164"/>
      <c r="Y3084" s="164"/>
      <c r="Z3084" s="164"/>
      <c r="AA3084" s="164"/>
      <c r="AB3084" s="164"/>
      <c r="AC3084" s="164"/>
      <c r="AD3084" s="164"/>
      <c r="AE3084" s="164"/>
      <c r="AF3084" s="164"/>
      <c r="AG3084" s="164"/>
      <c r="AH3084" s="164"/>
      <c r="AI3084" s="164"/>
    </row>
    <row r="3085">
      <c r="A3085" s="154"/>
      <c r="B3085" s="155"/>
      <c r="C3085" s="156"/>
      <c r="D3085" s="156"/>
      <c r="E3085" s="155"/>
      <c r="F3085" s="156"/>
      <c r="G3085" s="154"/>
      <c r="H3085" s="157"/>
      <c r="I3085" s="158"/>
      <c r="J3085" s="159"/>
      <c r="K3085" s="156"/>
      <c r="L3085" s="156"/>
      <c r="M3085" s="155"/>
      <c r="N3085" s="160"/>
      <c r="O3085" s="161"/>
      <c r="P3085" s="161"/>
      <c r="Q3085" s="159"/>
      <c r="R3085" s="162"/>
      <c r="S3085" s="162"/>
      <c r="T3085" s="162"/>
      <c r="U3085" s="163"/>
      <c r="V3085" s="215"/>
      <c r="W3085" s="164"/>
      <c r="X3085" s="164"/>
      <c r="Y3085" s="164"/>
      <c r="Z3085" s="164"/>
      <c r="AA3085" s="164"/>
      <c r="AB3085" s="164"/>
      <c r="AC3085" s="164"/>
      <c r="AD3085" s="164"/>
      <c r="AE3085" s="164"/>
      <c r="AF3085" s="164"/>
      <c r="AG3085" s="164"/>
      <c r="AH3085" s="164"/>
      <c r="AI3085" s="164"/>
    </row>
    <row r="3086">
      <c r="A3086" s="154"/>
      <c r="B3086" s="155"/>
      <c r="C3086" s="156"/>
      <c r="D3086" s="156"/>
      <c r="E3086" s="155"/>
      <c r="F3086" s="156"/>
      <c r="G3086" s="154"/>
      <c r="H3086" s="157"/>
      <c r="I3086" s="158"/>
      <c r="J3086" s="159"/>
      <c r="K3086" s="156"/>
      <c r="L3086" s="156"/>
      <c r="M3086" s="155"/>
      <c r="N3086" s="160"/>
      <c r="O3086" s="161"/>
      <c r="P3086" s="161"/>
      <c r="Q3086" s="203"/>
      <c r="R3086" s="162"/>
      <c r="S3086" s="162"/>
      <c r="T3086" s="162"/>
      <c r="U3086" s="163"/>
      <c r="V3086" s="216"/>
      <c r="W3086" s="164"/>
      <c r="X3086" s="164"/>
      <c r="Y3086" s="164"/>
      <c r="Z3086" s="164"/>
      <c r="AA3086" s="164"/>
      <c r="AB3086" s="164"/>
      <c r="AC3086" s="164"/>
      <c r="AD3086" s="164"/>
      <c r="AE3086" s="164"/>
      <c r="AF3086" s="164"/>
      <c r="AG3086" s="164"/>
      <c r="AH3086" s="164"/>
      <c r="AI3086" s="164"/>
    </row>
    <row r="3087">
      <c r="A3087" s="154"/>
      <c r="B3087" s="155"/>
      <c r="C3087" s="156"/>
      <c r="D3087" s="156"/>
      <c r="E3087" s="155"/>
      <c r="F3087" s="156"/>
      <c r="G3087" s="154"/>
      <c r="H3087" s="157"/>
      <c r="I3087" s="158"/>
      <c r="J3087" s="159"/>
      <c r="K3087" s="156"/>
      <c r="L3087" s="156"/>
      <c r="M3087" s="202"/>
      <c r="N3087" s="160"/>
      <c r="O3087" s="161"/>
      <c r="P3087" s="161"/>
      <c r="Q3087" s="203"/>
      <c r="R3087" s="162"/>
      <c r="S3087" s="162"/>
      <c r="T3087" s="162"/>
      <c r="U3087" s="163"/>
      <c r="V3087" s="154"/>
      <c r="W3087" s="164"/>
      <c r="X3087" s="164"/>
      <c r="Y3087" s="164"/>
      <c r="Z3087" s="164"/>
      <c r="AA3087" s="164"/>
      <c r="AB3087" s="164"/>
      <c r="AC3087" s="164"/>
      <c r="AD3087" s="164"/>
      <c r="AE3087" s="164"/>
      <c r="AF3087" s="164"/>
      <c r="AG3087" s="164"/>
      <c r="AH3087" s="164"/>
      <c r="AI3087" s="164"/>
    </row>
    <row r="3088">
      <c r="A3088" s="154"/>
      <c r="B3088" s="155"/>
      <c r="C3088" s="156"/>
      <c r="D3088" s="156"/>
      <c r="E3088" s="155"/>
      <c r="F3088" s="156"/>
      <c r="G3088" s="154"/>
      <c r="H3088" s="157"/>
      <c r="I3088" s="158"/>
      <c r="J3088" s="159"/>
      <c r="K3088" s="156"/>
      <c r="L3088" s="156"/>
      <c r="M3088" s="155"/>
      <c r="N3088" s="160"/>
      <c r="O3088" s="161"/>
      <c r="P3088" s="161"/>
      <c r="Q3088" s="203"/>
      <c r="R3088" s="162"/>
      <c r="S3088" s="162"/>
      <c r="T3088" s="162"/>
      <c r="U3088" s="163"/>
      <c r="V3088" s="215"/>
      <c r="W3088" s="164"/>
      <c r="X3088" s="164"/>
      <c r="Y3088" s="164"/>
      <c r="Z3088" s="164"/>
      <c r="AA3088" s="164"/>
      <c r="AB3088" s="164"/>
      <c r="AC3088" s="164"/>
      <c r="AD3088" s="164"/>
      <c r="AE3088" s="164"/>
      <c r="AF3088" s="164"/>
      <c r="AG3088" s="164"/>
      <c r="AH3088" s="164"/>
      <c r="AI3088" s="164"/>
    </row>
    <row r="3089">
      <c r="A3089" s="154"/>
      <c r="B3089" s="155"/>
      <c r="C3089" s="156"/>
      <c r="D3089" s="156"/>
      <c r="E3089" s="155"/>
      <c r="F3089" s="156"/>
      <c r="G3089" s="154"/>
      <c r="H3089" s="157"/>
      <c r="I3089" s="158"/>
      <c r="J3089" s="159"/>
      <c r="K3089" s="156"/>
      <c r="L3089" s="156"/>
      <c r="M3089" s="155"/>
      <c r="N3089" s="160"/>
      <c r="O3089" s="161"/>
      <c r="P3089" s="161"/>
      <c r="Q3089" s="203"/>
      <c r="R3089" s="162"/>
      <c r="S3089" s="162"/>
      <c r="T3089" s="162"/>
      <c r="U3089" s="163"/>
      <c r="V3089" s="154"/>
      <c r="W3089" s="164"/>
      <c r="X3089" s="164"/>
      <c r="Y3089" s="164"/>
      <c r="Z3089" s="164"/>
      <c r="AA3089" s="164"/>
      <c r="AB3089" s="164"/>
      <c r="AC3089" s="164"/>
      <c r="AD3089" s="164"/>
      <c r="AE3089" s="164"/>
      <c r="AF3089" s="164"/>
      <c r="AG3089" s="164"/>
      <c r="AH3089" s="164"/>
      <c r="AI3089" s="164"/>
    </row>
    <row r="3090">
      <c r="A3090" s="154"/>
      <c r="B3090" s="155"/>
      <c r="C3090" s="156"/>
      <c r="D3090" s="156"/>
      <c r="E3090" s="155"/>
      <c r="F3090" s="156"/>
      <c r="G3090" s="154"/>
      <c r="H3090" s="157"/>
      <c r="I3090" s="158"/>
      <c r="J3090" s="159"/>
      <c r="K3090" s="156"/>
      <c r="L3090" s="156"/>
      <c r="M3090" s="202"/>
      <c r="N3090" s="160"/>
      <c r="O3090" s="161"/>
      <c r="P3090" s="161"/>
      <c r="Q3090" s="203"/>
      <c r="R3090" s="162"/>
      <c r="S3090" s="162"/>
      <c r="T3090" s="162"/>
      <c r="U3090" s="163"/>
      <c r="V3090" s="154"/>
      <c r="W3090" s="164"/>
      <c r="X3090" s="164"/>
      <c r="Y3090" s="164"/>
      <c r="Z3090" s="164"/>
      <c r="AA3090" s="164"/>
      <c r="AB3090" s="164"/>
      <c r="AC3090" s="164"/>
      <c r="AD3090" s="164"/>
      <c r="AE3090" s="164"/>
      <c r="AF3090" s="164"/>
      <c r="AG3090" s="164"/>
      <c r="AH3090" s="164"/>
      <c r="AI3090" s="164"/>
    </row>
    <row r="3091">
      <c r="A3091" s="154"/>
      <c r="B3091" s="155"/>
      <c r="C3091" s="156"/>
      <c r="D3091" s="156"/>
      <c r="E3091" s="155"/>
      <c r="F3091" s="156"/>
      <c r="G3091" s="154"/>
      <c r="H3091" s="157"/>
      <c r="I3091" s="158"/>
      <c r="J3091" s="159"/>
      <c r="K3091" s="156"/>
      <c r="L3091" s="156"/>
      <c r="M3091" s="155"/>
      <c r="N3091" s="160"/>
      <c r="O3091" s="161"/>
      <c r="P3091" s="161"/>
      <c r="Q3091" s="159"/>
      <c r="R3091" s="162"/>
      <c r="S3091" s="162"/>
      <c r="T3091" s="162"/>
      <c r="U3091" s="163"/>
      <c r="V3091" s="154"/>
      <c r="W3091" s="164"/>
      <c r="X3091" s="164"/>
      <c r="Y3091" s="164"/>
      <c r="Z3091" s="164"/>
      <c r="AA3091" s="164"/>
      <c r="AB3091" s="164"/>
      <c r="AC3091" s="164"/>
      <c r="AD3091" s="164"/>
      <c r="AE3091" s="164"/>
      <c r="AF3091" s="164"/>
      <c r="AG3091" s="164"/>
      <c r="AH3091" s="164"/>
      <c r="AI3091" s="164"/>
    </row>
    <row r="3092">
      <c r="A3092" s="154"/>
      <c r="B3092" s="155"/>
      <c r="C3092" s="156"/>
      <c r="D3092" s="156"/>
      <c r="E3092" s="155"/>
      <c r="F3092" s="156"/>
      <c r="G3092" s="154"/>
      <c r="H3092" s="157"/>
      <c r="I3092" s="158"/>
      <c r="J3092" s="159"/>
      <c r="K3092" s="156"/>
      <c r="L3092" s="156"/>
      <c r="M3092" s="155"/>
      <c r="N3092" s="160"/>
      <c r="O3092" s="161"/>
      <c r="P3092" s="161"/>
      <c r="Q3092" s="203"/>
      <c r="R3092" s="162"/>
      <c r="S3092" s="162"/>
      <c r="T3092" s="162"/>
      <c r="U3092" s="163"/>
      <c r="V3092" s="154"/>
      <c r="W3092" s="164"/>
      <c r="X3092" s="164"/>
      <c r="Y3092" s="164"/>
      <c r="Z3092" s="164"/>
      <c r="AA3092" s="164"/>
      <c r="AB3092" s="164"/>
      <c r="AC3092" s="164"/>
      <c r="AD3092" s="164"/>
      <c r="AE3092" s="164"/>
      <c r="AF3092" s="164"/>
      <c r="AG3092" s="164"/>
      <c r="AH3092" s="164"/>
      <c r="AI3092" s="164"/>
    </row>
    <row r="3093">
      <c r="A3093" s="154"/>
      <c r="B3093" s="155"/>
      <c r="C3093" s="156"/>
      <c r="D3093" s="156"/>
      <c r="E3093" s="155"/>
      <c r="F3093" s="156"/>
      <c r="G3093" s="154"/>
      <c r="H3093" s="157"/>
      <c r="I3093" s="158"/>
      <c r="J3093" s="159"/>
      <c r="K3093" s="156"/>
      <c r="L3093" s="156"/>
      <c r="M3093" s="155"/>
      <c r="N3093" s="160"/>
      <c r="O3093" s="161"/>
      <c r="P3093" s="161"/>
      <c r="Q3093" s="159"/>
      <c r="R3093" s="162"/>
      <c r="S3093" s="162"/>
      <c r="T3093" s="162"/>
      <c r="U3093" s="163"/>
      <c r="V3093" s="215"/>
      <c r="W3093" s="164"/>
      <c r="X3093" s="164"/>
      <c r="Y3093" s="164"/>
      <c r="Z3093" s="164"/>
      <c r="AA3093" s="164"/>
      <c r="AB3093" s="164"/>
      <c r="AC3093" s="164"/>
      <c r="AD3093" s="164"/>
      <c r="AE3093" s="164"/>
      <c r="AF3093" s="164"/>
      <c r="AG3093" s="164"/>
      <c r="AH3093" s="164"/>
      <c r="AI3093" s="164"/>
    </row>
    <row r="3094">
      <c r="A3094" s="154"/>
      <c r="B3094" s="155"/>
      <c r="C3094" s="156"/>
      <c r="D3094" s="156"/>
      <c r="E3094" s="155"/>
      <c r="F3094" s="156"/>
      <c r="G3094" s="154"/>
      <c r="H3094" s="157"/>
      <c r="I3094" s="158"/>
      <c r="J3094" s="159"/>
      <c r="K3094" s="156"/>
      <c r="L3094" s="156"/>
      <c r="M3094" s="155"/>
      <c r="N3094" s="160"/>
      <c r="O3094" s="161"/>
      <c r="P3094" s="161"/>
      <c r="Q3094" s="159"/>
      <c r="R3094" s="162"/>
      <c r="S3094" s="162"/>
      <c r="T3094" s="162"/>
      <c r="U3094" s="163"/>
      <c r="V3094" s="154"/>
      <c r="W3094" s="164"/>
      <c r="X3094" s="164"/>
      <c r="Y3094" s="164"/>
      <c r="Z3094" s="164"/>
      <c r="AA3094" s="164"/>
      <c r="AB3094" s="164"/>
      <c r="AC3094" s="164"/>
      <c r="AD3094" s="164"/>
      <c r="AE3094" s="164"/>
      <c r="AF3094" s="164"/>
      <c r="AG3094" s="164"/>
      <c r="AH3094" s="164"/>
      <c r="AI3094" s="164"/>
    </row>
    <row r="3095">
      <c r="A3095" s="154"/>
      <c r="B3095" s="155"/>
      <c r="C3095" s="156"/>
      <c r="D3095" s="156"/>
      <c r="E3095" s="155"/>
      <c r="F3095" s="156"/>
      <c r="G3095" s="154"/>
      <c r="H3095" s="157"/>
      <c r="I3095" s="158"/>
      <c r="J3095" s="159"/>
      <c r="K3095" s="156"/>
      <c r="L3095" s="156"/>
      <c r="M3095" s="202"/>
      <c r="N3095" s="160"/>
      <c r="O3095" s="161"/>
      <c r="P3095" s="161"/>
      <c r="Q3095" s="203"/>
      <c r="R3095" s="162"/>
      <c r="S3095" s="162"/>
      <c r="T3095" s="162"/>
      <c r="U3095" s="163"/>
      <c r="V3095" s="154"/>
      <c r="W3095" s="164"/>
      <c r="X3095" s="164"/>
      <c r="Y3095" s="164"/>
      <c r="Z3095" s="164"/>
      <c r="AA3095" s="164"/>
      <c r="AB3095" s="164"/>
      <c r="AC3095" s="164"/>
      <c r="AD3095" s="164"/>
      <c r="AE3095" s="164"/>
      <c r="AF3095" s="164"/>
      <c r="AG3095" s="164"/>
      <c r="AH3095" s="164"/>
      <c r="AI3095" s="164"/>
    </row>
    <row r="3096">
      <c r="A3096" s="154"/>
      <c r="B3096" s="155"/>
      <c r="C3096" s="156"/>
      <c r="D3096" s="156"/>
      <c r="E3096" s="155"/>
      <c r="F3096" s="156"/>
      <c r="G3096" s="154"/>
      <c r="H3096" s="157"/>
      <c r="I3096" s="158"/>
      <c r="J3096" s="159"/>
      <c r="K3096" s="156"/>
      <c r="L3096" s="156"/>
      <c r="M3096" s="202"/>
      <c r="N3096" s="160"/>
      <c r="O3096" s="161"/>
      <c r="P3096" s="161"/>
      <c r="Q3096" s="203"/>
      <c r="R3096" s="162"/>
      <c r="S3096" s="162"/>
      <c r="T3096" s="173"/>
      <c r="U3096" s="201"/>
      <c r="V3096" s="207"/>
      <c r="W3096" s="164"/>
      <c r="X3096" s="164"/>
      <c r="Y3096" s="164"/>
      <c r="Z3096" s="164"/>
      <c r="AA3096" s="164"/>
      <c r="AB3096" s="164"/>
      <c r="AC3096" s="164"/>
      <c r="AD3096" s="164"/>
      <c r="AE3096" s="164"/>
      <c r="AF3096" s="164"/>
      <c r="AG3096" s="164"/>
      <c r="AH3096" s="164"/>
      <c r="AI3096" s="164"/>
    </row>
    <row r="3097">
      <c r="A3097" s="154"/>
      <c r="B3097" s="155"/>
      <c r="C3097" s="156"/>
      <c r="D3097" s="156"/>
      <c r="E3097" s="155"/>
      <c r="F3097" s="156"/>
      <c r="G3097" s="154"/>
      <c r="H3097" s="157"/>
      <c r="I3097" s="158"/>
      <c r="J3097" s="159"/>
      <c r="K3097" s="156"/>
      <c r="L3097" s="156"/>
      <c r="M3097" s="155"/>
      <c r="N3097" s="160"/>
      <c r="O3097" s="161"/>
      <c r="P3097" s="161"/>
      <c r="Q3097" s="203"/>
      <c r="R3097" s="162"/>
      <c r="S3097" s="162"/>
      <c r="T3097" s="162"/>
      <c r="U3097" s="163"/>
      <c r="V3097" s="215"/>
      <c r="W3097" s="164"/>
      <c r="X3097" s="164"/>
      <c r="Y3097" s="164"/>
      <c r="Z3097" s="164"/>
      <c r="AA3097" s="164"/>
      <c r="AB3097" s="164"/>
      <c r="AC3097" s="164"/>
      <c r="AD3097" s="164"/>
      <c r="AE3097" s="164"/>
      <c r="AF3097" s="164"/>
      <c r="AG3097" s="164"/>
      <c r="AH3097" s="164"/>
      <c r="AI3097" s="164"/>
    </row>
    <row r="3098">
      <c r="A3098" s="154"/>
      <c r="B3098" s="155"/>
      <c r="C3098" s="156"/>
      <c r="D3098" s="156"/>
      <c r="E3098" s="155"/>
      <c r="F3098" s="156"/>
      <c r="G3098" s="154"/>
      <c r="H3098" s="157"/>
      <c r="I3098" s="158"/>
      <c r="J3098" s="159"/>
      <c r="K3098" s="156"/>
      <c r="L3098" s="156"/>
      <c r="M3098" s="202"/>
      <c r="N3098" s="160"/>
      <c r="O3098" s="161"/>
      <c r="P3098" s="161"/>
      <c r="Q3098" s="203"/>
      <c r="R3098" s="162"/>
      <c r="S3098" s="162"/>
      <c r="T3098" s="162"/>
      <c r="U3098" s="163"/>
      <c r="V3098" s="154"/>
      <c r="W3098" s="164"/>
      <c r="X3098" s="164"/>
      <c r="Y3098" s="164"/>
      <c r="Z3098" s="164"/>
      <c r="AA3098" s="164"/>
      <c r="AB3098" s="164"/>
      <c r="AC3098" s="164"/>
      <c r="AD3098" s="164"/>
      <c r="AE3098" s="164"/>
      <c r="AF3098" s="164"/>
      <c r="AG3098" s="164"/>
      <c r="AH3098" s="164"/>
      <c r="AI3098" s="164"/>
    </row>
    <row r="3099">
      <c r="A3099" s="154"/>
      <c r="B3099" s="155"/>
      <c r="C3099" s="156"/>
      <c r="D3099" s="156"/>
      <c r="E3099" s="155"/>
      <c r="F3099" s="156"/>
      <c r="G3099" s="154"/>
      <c r="H3099" s="157"/>
      <c r="I3099" s="158"/>
      <c r="J3099" s="159"/>
      <c r="K3099" s="156"/>
      <c r="L3099" s="156"/>
      <c r="M3099" s="155"/>
      <c r="N3099" s="160"/>
      <c r="O3099" s="161"/>
      <c r="P3099" s="161"/>
      <c r="Q3099" s="203"/>
      <c r="R3099" s="162"/>
      <c r="S3099" s="162"/>
      <c r="T3099" s="162"/>
      <c r="U3099" s="163"/>
      <c r="V3099" s="154"/>
      <c r="W3099" s="164"/>
      <c r="X3099" s="164"/>
      <c r="Y3099" s="164"/>
      <c r="Z3099" s="164"/>
      <c r="AA3099" s="164"/>
      <c r="AB3099" s="164"/>
      <c r="AC3099" s="164"/>
      <c r="AD3099" s="164"/>
      <c r="AE3099" s="164"/>
      <c r="AF3099" s="164"/>
      <c r="AG3099" s="164"/>
      <c r="AH3099" s="164"/>
      <c r="AI3099" s="164"/>
    </row>
    <row r="3100">
      <c r="A3100" s="154"/>
      <c r="B3100" s="155"/>
      <c r="C3100" s="156"/>
      <c r="D3100" s="156"/>
      <c r="E3100" s="155"/>
      <c r="F3100" s="156"/>
      <c r="G3100" s="154"/>
      <c r="H3100" s="157"/>
      <c r="I3100" s="158"/>
      <c r="J3100" s="159"/>
      <c r="K3100" s="156"/>
      <c r="L3100" s="156"/>
      <c r="M3100" s="202"/>
      <c r="N3100" s="160"/>
      <c r="O3100" s="161"/>
      <c r="P3100" s="161"/>
      <c r="Q3100" s="203"/>
      <c r="R3100" s="162"/>
      <c r="S3100" s="162"/>
      <c r="T3100" s="162"/>
      <c r="U3100" s="163"/>
      <c r="V3100" s="154"/>
      <c r="W3100" s="164"/>
      <c r="X3100" s="164"/>
      <c r="Y3100" s="164"/>
      <c r="Z3100" s="164"/>
      <c r="AA3100" s="164"/>
      <c r="AB3100" s="164"/>
      <c r="AC3100" s="164"/>
      <c r="AD3100" s="164"/>
      <c r="AE3100" s="164"/>
      <c r="AF3100" s="164"/>
      <c r="AG3100" s="164"/>
      <c r="AH3100" s="164"/>
      <c r="AI3100" s="164"/>
    </row>
    <row r="3101">
      <c r="A3101" s="154"/>
      <c r="B3101" s="155"/>
      <c r="C3101" s="156"/>
      <c r="D3101" s="156"/>
      <c r="E3101" s="155"/>
      <c r="F3101" s="156"/>
      <c r="G3101" s="154"/>
      <c r="H3101" s="157"/>
      <c r="I3101" s="158"/>
      <c r="J3101" s="159"/>
      <c r="K3101" s="156"/>
      <c r="L3101" s="156"/>
      <c r="M3101" s="155"/>
      <c r="N3101" s="160"/>
      <c r="O3101" s="161"/>
      <c r="P3101" s="161"/>
      <c r="Q3101" s="159"/>
      <c r="R3101" s="162"/>
      <c r="S3101" s="162"/>
      <c r="T3101" s="162"/>
      <c r="U3101" s="163"/>
      <c r="V3101" s="154"/>
      <c r="W3101" s="164"/>
      <c r="X3101" s="164"/>
      <c r="Y3101" s="164"/>
      <c r="Z3101" s="164"/>
      <c r="AA3101" s="164"/>
      <c r="AB3101" s="164"/>
      <c r="AC3101" s="164"/>
      <c r="AD3101" s="164"/>
      <c r="AE3101" s="164"/>
      <c r="AF3101" s="164"/>
      <c r="AG3101" s="164"/>
      <c r="AH3101" s="164"/>
      <c r="AI3101" s="164"/>
    </row>
    <row r="3102">
      <c r="A3102" s="154"/>
      <c r="B3102" s="155"/>
      <c r="C3102" s="156"/>
      <c r="D3102" s="156"/>
      <c r="E3102" s="155"/>
      <c r="F3102" s="156"/>
      <c r="G3102" s="154"/>
      <c r="H3102" s="157"/>
      <c r="I3102" s="158"/>
      <c r="J3102" s="159"/>
      <c r="K3102" s="156"/>
      <c r="L3102" s="156"/>
      <c r="M3102" s="155"/>
      <c r="N3102" s="160"/>
      <c r="O3102" s="161"/>
      <c r="P3102" s="161"/>
      <c r="Q3102" s="203"/>
      <c r="R3102" s="162"/>
      <c r="S3102" s="162"/>
      <c r="T3102" s="173"/>
      <c r="U3102" s="201"/>
      <c r="V3102" s="165"/>
      <c r="W3102" s="164"/>
      <c r="X3102" s="164"/>
      <c r="Y3102" s="164"/>
      <c r="Z3102" s="164"/>
      <c r="AA3102" s="164"/>
      <c r="AB3102" s="164"/>
      <c r="AC3102" s="164"/>
      <c r="AD3102" s="164"/>
      <c r="AE3102" s="164"/>
      <c r="AF3102" s="164"/>
      <c r="AG3102" s="164"/>
      <c r="AH3102" s="164"/>
      <c r="AI3102" s="164"/>
    </row>
    <row r="3103">
      <c r="A3103" s="154"/>
      <c r="B3103" s="155"/>
      <c r="C3103" s="156"/>
      <c r="D3103" s="156"/>
      <c r="E3103" s="155"/>
      <c r="F3103" s="156"/>
      <c r="G3103" s="154"/>
      <c r="H3103" s="157"/>
      <c r="I3103" s="158"/>
      <c r="J3103" s="159"/>
      <c r="K3103" s="156"/>
      <c r="L3103" s="156"/>
      <c r="M3103" s="155"/>
      <c r="N3103" s="160"/>
      <c r="O3103" s="161"/>
      <c r="P3103" s="161"/>
      <c r="Q3103" s="159"/>
      <c r="R3103" s="162"/>
      <c r="S3103" s="162"/>
      <c r="T3103" s="162"/>
      <c r="U3103" s="163"/>
      <c r="V3103" s="154"/>
      <c r="W3103" s="164"/>
      <c r="X3103" s="164"/>
      <c r="Y3103" s="164"/>
      <c r="Z3103" s="164"/>
      <c r="AA3103" s="164"/>
      <c r="AB3103" s="164"/>
      <c r="AC3103" s="164"/>
      <c r="AD3103" s="164"/>
      <c r="AE3103" s="164"/>
      <c r="AF3103" s="164"/>
      <c r="AG3103" s="164"/>
      <c r="AH3103" s="164"/>
      <c r="AI3103" s="164"/>
    </row>
    <row r="3104">
      <c r="A3104" s="154"/>
      <c r="B3104" s="155"/>
      <c r="C3104" s="156"/>
      <c r="D3104" s="156"/>
      <c r="E3104" s="155"/>
      <c r="F3104" s="156"/>
      <c r="G3104" s="154"/>
      <c r="H3104" s="157"/>
      <c r="I3104" s="158"/>
      <c r="J3104" s="159"/>
      <c r="K3104" s="156"/>
      <c r="L3104" s="156"/>
      <c r="M3104" s="202"/>
      <c r="N3104" s="160"/>
      <c r="O3104" s="161"/>
      <c r="P3104" s="161"/>
      <c r="Q3104" s="203"/>
      <c r="R3104" s="162"/>
      <c r="S3104" s="162"/>
      <c r="T3104" s="162"/>
      <c r="U3104" s="163"/>
      <c r="V3104" s="154"/>
      <c r="W3104" s="164"/>
      <c r="X3104" s="164"/>
      <c r="Y3104" s="164"/>
      <c r="Z3104" s="164"/>
      <c r="AA3104" s="164"/>
      <c r="AB3104" s="164"/>
      <c r="AC3104" s="164"/>
      <c r="AD3104" s="164"/>
      <c r="AE3104" s="164"/>
      <c r="AF3104" s="164"/>
      <c r="AG3104" s="164"/>
      <c r="AH3104" s="164"/>
      <c r="AI3104" s="164"/>
    </row>
    <row r="3105">
      <c r="A3105" s="154"/>
      <c r="B3105" s="155"/>
      <c r="C3105" s="156"/>
      <c r="D3105" s="156"/>
      <c r="E3105" s="155"/>
      <c r="F3105" s="156"/>
      <c r="G3105" s="154"/>
      <c r="H3105" s="157"/>
      <c r="I3105" s="158"/>
      <c r="J3105" s="159"/>
      <c r="K3105" s="156"/>
      <c r="L3105" s="156"/>
      <c r="M3105" s="202"/>
      <c r="N3105" s="160"/>
      <c r="O3105" s="161"/>
      <c r="P3105" s="161"/>
      <c r="Q3105" s="203"/>
      <c r="R3105" s="162"/>
      <c r="S3105" s="162"/>
      <c r="T3105" s="162"/>
      <c r="U3105" s="163"/>
      <c r="V3105" s="215"/>
      <c r="W3105" s="164"/>
      <c r="X3105" s="164"/>
      <c r="Y3105" s="164"/>
      <c r="Z3105" s="164"/>
      <c r="AA3105" s="164"/>
      <c r="AB3105" s="164"/>
      <c r="AC3105" s="164"/>
      <c r="AD3105" s="164"/>
      <c r="AE3105" s="164"/>
      <c r="AF3105" s="164"/>
      <c r="AG3105" s="164"/>
      <c r="AH3105" s="164"/>
      <c r="AI3105" s="164"/>
    </row>
    <row r="3106">
      <c r="A3106" s="176"/>
      <c r="B3106" s="177"/>
      <c r="C3106" s="178"/>
      <c r="D3106" s="178"/>
      <c r="E3106" s="177"/>
      <c r="F3106" s="178"/>
      <c r="G3106" s="176"/>
      <c r="H3106" s="179"/>
      <c r="I3106" s="180"/>
      <c r="J3106" s="181"/>
      <c r="K3106" s="178"/>
      <c r="L3106" s="178"/>
      <c r="M3106" s="182"/>
      <c r="N3106" s="183"/>
      <c r="O3106" s="184"/>
      <c r="P3106" s="184"/>
      <c r="Q3106" s="185"/>
      <c r="R3106" s="186"/>
      <c r="S3106" s="186"/>
      <c r="T3106" s="186"/>
      <c r="U3106" s="187"/>
      <c r="V3106" s="176"/>
      <c r="W3106" s="164"/>
      <c r="X3106" s="164"/>
      <c r="Y3106" s="164"/>
      <c r="Z3106" s="164"/>
      <c r="AA3106" s="164"/>
      <c r="AB3106" s="164"/>
      <c r="AC3106" s="164"/>
      <c r="AD3106" s="164"/>
      <c r="AE3106" s="164"/>
      <c r="AF3106" s="164"/>
      <c r="AG3106" s="164"/>
      <c r="AH3106" s="164"/>
      <c r="AI3106" s="164"/>
    </row>
    <row r="3107">
      <c r="A3107" s="154"/>
      <c r="B3107" s="155"/>
      <c r="C3107" s="156"/>
      <c r="D3107" s="156"/>
      <c r="E3107" s="155"/>
      <c r="F3107" s="156"/>
      <c r="G3107" s="154"/>
      <c r="H3107" s="157"/>
      <c r="I3107" s="158"/>
      <c r="J3107" s="159"/>
      <c r="K3107" s="156"/>
      <c r="L3107" s="156"/>
      <c r="M3107" s="155"/>
      <c r="N3107" s="160"/>
      <c r="O3107" s="161"/>
      <c r="P3107" s="161"/>
      <c r="Q3107" s="203"/>
      <c r="R3107" s="162"/>
      <c r="S3107" s="162"/>
      <c r="T3107" s="162"/>
      <c r="U3107" s="163"/>
      <c r="V3107" s="215"/>
      <c r="W3107" s="164"/>
      <c r="X3107" s="164"/>
      <c r="Y3107" s="164"/>
      <c r="Z3107" s="164"/>
      <c r="AA3107" s="164"/>
      <c r="AB3107" s="164"/>
      <c r="AC3107" s="164"/>
      <c r="AD3107" s="164"/>
      <c r="AE3107" s="164"/>
      <c r="AF3107" s="164"/>
      <c r="AG3107" s="164"/>
      <c r="AH3107" s="164"/>
      <c r="AI3107" s="164"/>
    </row>
    <row r="3108">
      <c r="A3108" s="154"/>
      <c r="B3108" s="155"/>
      <c r="C3108" s="156"/>
      <c r="D3108" s="156"/>
      <c r="E3108" s="155"/>
      <c r="F3108" s="156"/>
      <c r="G3108" s="154"/>
      <c r="H3108" s="157"/>
      <c r="I3108" s="158"/>
      <c r="J3108" s="159"/>
      <c r="K3108" s="156"/>
      <c r="L3108" s="156"/>
      <c r="M3108" s="202"/>
      <c r="N3108" s="160"/>
      <c r="O3108" s="161"/>
      <c r="P3108" s="161"/>
      <c r="Q3108" s="203"/>
      <c r="R3108" s="162"/>
      <c r="S3108" s="162"/>
      <c r="T3108" s="162"/>
      <c r="U3108" s="163"/>
      <c r="V3108" s="154"/>
      <c r="W3108" s="164"/>
      <c r="X3108" s="164"/>
      <c r="Y3108" s="164"/>
      <c r="Z3108" s="164"/>
      <c r="AA3108" s="164"/>
      <c r="AB3108" s="164"/>
      <c r="AC3108" s="164"/>
      <c r="AD3108" s="164"/>
      <c r="AE3108" s="164"/>
      <c r="AF3108" s="164"/>
      <c r="AG3108" s="164"/>
      <c r="AH3108" s="164"/>
      <c r="AI3108" s="164"/>
    </row>
    <row r="3109">
      <c r="A3109" s="154"/>
      <c r="B3109" s="155"/>
      <c r="C3109" s="156"/>
      <c r="D3109" s="156"/>
      <c r="E3109" s="155"/>
      <c r="F3109" s="156"/>
      <c r="G3109" s="154"/>
      <c r="H3109" s="157"/>
      <c r="I3109" s="158"/>
      <c r="J3109" s="159"/>
      <c r="K3109" s="156"/>
      <c r="L3109" s="156"/>
      <c r="M3109" s="155"/>
      <c r="N3109" s="160"/>
      <c r="O3109" s="161"/>
      <c r="P3109" s="161"/>
      <c r="Q3109" s="203"/>
      <c r="R3109" s="162"/>
      <c r="S3109" s="162"/>
      <c r="T3109" s="162"/>
      <c r="U3109" s="163"/>
      <c r="V3109" s="216"/>
      <c r="W3109" s="164"/>
      <c r="X3109" s="164"/>
      <c r="Y3109" s="164"/>
      <c r="Z3109" s="164"/>
      <c r="AA3109" s="164"/>
      <c r="AB3109" s="164"/>
      <c r="AC3109" s="164"/>
      <c r="AD3109" s="164"/>
      <c r="AE3109" s="164"/>
      <c r="AF3109" s="164"/>
      <c r="AG3109" s="164"/>
      <c r="AH3109" s="164"/>
      <c r="AI3109" s="164"/>
    </row>
    <row r="3110">
      <c r="A3110" s="154"/>
      <c r="B3110" s="155"/>
      <c r="C3110" s="156"/>
      <c r="D3110" s="230"/>
      <c r="E3110" s="155"/>
      <c r="F3110" s="156"/>
      <c r="G3110" s="154"/>
      <c r="H3110" s="157"/>
      <c r="I3110" s="158"/>
      <c r="J3110" s="159"/>
      <c r="K3110" s="156"/>
      <c r="L3110" s="156"/>
      <c r="M3110" s="155"/>
      <c r="N3110" s="160"/>
      <c r="O3110" s="161"/>
      <c r="P3110" s="161"/>
      <c r="Q3110" s="203"/>
      <c r="R3110" s="162"/>
      <c r="S3110" s="162"/>
      <c r="T3110" s="162"/>
      <c r="U3110" s="163"/>
      <c r="V3110" s="215"/>
      <c r="W3110" s="164"/>
      <c r="X3110" s="164"/>
      <c r="Y3110" s="164"/>
      <c r="Z3110" s="164"/>
      <c r="AA3110" s="164"/>
      <c r="AB3110" s="164"/>
      <c r="AC3110" s="164"/>
      <c r="AD3110" s="164"/>
      <c r="AE3110" s="164"/>
      <c r="AF3110" s="164"/>
      <c r="AG3110" s="164"/>
      <c r="AH3110" s="164"/>
      <c r="AI3110" s="164"/>
    </row>
    <row r="3111">
      <c r="A3111" s="154"/>
      <c r="B3111" s="155"/>
      <c r="C3111" s="156"/>
      <c r="D3111" s="156"/>
      <c r="E3111" s="155"/>
      <c r="F3111" s="156"/>
      <c r="G3111" s="154"/>
      <c r="H3111" s="157"/>
      <c r="I3111" s="158"/>
      <c r="J3111" s="159"/>
      <c r="K3111" s="156"/>
      <c r="L3111" s="156"/>
      <c r="M3111" s="155"/>
      <c r="N3111" s="160"/>
      <c r="O3111" s="161"/>
      <c r="P3111" s="161"/>
      <c r="Q3111" s="203"/>
      <c r="R3111" s="162"/>
      <c r="S3111" s="162"/>
      <c r="T3111" s="162"/>
      <c r="U3111" s="163"/>
      <c r="V3111" s="215"/>
      <c r="W3111" s="164"/>
      <c r="X3111" s="164"/>
      <c r="Y3111" s="164"/>
      <c r="Z3111" s="164"/>
      <c r="AA3111" s="164"/>
      <c r="AB3111" s="164"/>
      <c r="AC3111" s="164"/>
      <c r="AD3111" s="164"/>
      <c r="AE3111" s="164"/>
      <c r="AF3111" s="164"/>
      <c r="AG3111" s="164"/>
      <c r="AH3111" s="164"/>
      <c r="AI3111" s="164"/>
    </row>
    <row r="3112">
      <c r="A3112" s="154"/>
      <c r="B3112" s="155"/>
      <c r="C3112" s="156"/>
      <c r="D3112" s="156"/>
      <c r="E3112" s="155"/>
      <c r="F3112" s="156"/>
      <c r="G3112" s="154"/>
      <c r="H3112" s="157"/>
      <c r="I3112" s="158"/>
      <c r="J3112" s="159"/>
      <c r="K3112" s="156"/>
      <c r="L3112" s="156"/>
      <c r="M3112" s="155"/>
      <c r="N3112" s="160"/>
      <c r="O3112" s="161"/>
      <c r="P3112" s="161"/>
      <c r="Q3112" s="203"/>
      <c r="R3112" s="162"/>
      <c r="S3112" s="162"/>
      <c r="T3112" s="162"/>
      <c r="U3112" s="163"/>
      <c r="V3112" s="154"/>
      <c r="W3112" s="164"/>
      <c r="X3112" s="164"/>
      <c r="Y3112" s="164"/>
      <c r="Z3112" s="164"/>
      <c r="AA3112" s="164"/>
      <c r="AB3112" s="164"/>
      <c r="AC3112" s="164"/>
      <c r="AD3112" s="164"/>
      <c r="AE3112" s="164"/>
      <c r="AF3112" s="164"/>
      <c r="AG3112" s="164"/>
      <c r="AH3112" s="164"/>
      <c r="AI3112" s="164"/>
    </row>
    <row r="3113">
      <c r="A3113" s="154"/>
      <c r="B3113" s="155"/>
      <c r="C3113" s="156"/>
      <c r="D3113" s="156"/>
      <c r="E3113" s="155"/>
      <c r="F3113" s="156"/>
      <c r="G3113" s="154"/>
      <c r="H3113" s="157"/>
      <c r="I3113" s="158"/>
      <c r="J3113" s="159"/>
      <c r="K3113" s="156"/>
      <c r="L3113" s="156"/>
      <c r="M3113" s="155"/>
      <c r="N3113" s="160"/>
      <c r="O3113" s="161"/>
      <c r="P3113" s="161"/>
      <c r="Q3113" s="159"/>
      <c r="R3113" s="162"/>
      <c r="S3113" s="162"/>
      <c r="T3113" s="162"/>
      <c r="U3113" s="163"/>
      <c r="V3113" s="154"/>
      <c r="W3113" s="164"/>
      <c r="X3113" s="164"/>
      <c r="Y3113" s="164"/>
      <c r="Z3113" s="164"/>
      <c r="AA3113" s="164"/>
      <c r="AB3113" s="164"/>
      <c r="AC3113" s="164"/>
      <c r="AD3113" s="164"/>
      <c r="AE3113" s="164"/>
      <c r="AF3113" s="164"/>
      <c r="AG3113" s="164"/>
      <c r="AH3113" s="164"/>
      <c r="AI3113" s="164"/>
    </row>
    <row r="3114">
      <c r="A3114" s="154"/>
      <c r="B3114" s="155"/>
      <c r="C3114" s="156"/>
      <c r="D3114" s="156"/>
      <c r="E3114" s="155"/>
      <c r="F3114" s="156"/>
      <c r="G3114" s="154"/>
      <c r="H3114" s="157"/>
      <c r="I3114" s="158"/>
      <c r="J3114" s="159"/>
      <c r="K3114" s="156"/>
      <c r="L3114" s="156"/>
      <c r="M3114" s="155"/>
      <c r="N3114" s="160"/>
      <c r="O3114" s="161"/>
      <c r="P3114" s="161"/>
      <c r="Q3114" s="203"/>
      <c r="R3114" s="162"/>
      <c r="S3114" s="162"/>
      <c r="T3114" s="162"/>
      <c r="U3114" s="163"/>
      <c r="V3114" s="154"/>
      <c r="W3114" s="164"/>
      <c r="X3114" s="164"/>
      <c r="Y3114" s="164"/>
      <c r="Z3114" s="164"/>
      <c r="AA3114" s="164"/>
      <c r="AB3114" s="164"/>
      <c r="AC3114" s="164"/>
      <c r="AD3114" s="164"/>
      <c r="AE3114" s="164"/>
      <c r="AF3114" s="164"/>
      <c r="AG3114" s="164"/>
      <c r="AH3114" s="164"/>
      <c r="AI3114" s="164"/>
    </row>
    <row r="3115">
      <c r="A3115" s="154"/>
      <c r="B3115" s="155"/>
      <c r="C3115" s="156"/>
      <c r="D3115" s="156"/>
      <c r="E3115" s="155"/>
      <c r="F3115" s="156"/>
      <c r="G3115" s="154"/>
      <c r="H3115" s="157"/>
      <c r="I3115" s="158"/>
      <c r="J3115" s="159"/>
      <c r="K3115" s="156"/>
      <c r="L3115" s="156"/>
      <c r="M3115" s="155"/>
      <c r="N3115" s="160"/>
      <c r="O3115" s="161"/>
      <c r="P3115" s="161"/>
      <c r="Q3115" s="159"/>
      <c r="R3115" s="162"/>
      <c r="S3115" s="162"/>
      <c r="T3115" s="162"/>
      <c r="U3115" s="163"/>
      <c r="V3115" s="154"/>
      <c r="W3115" s="164"/>
      <c r="X3115" s="164"/>
      <c r="Y3115" s="164"/>
      <c r="Z3115" s="164"/>
      <c r="AA3115" s="164"/>
      <c r="AB3115" s="164"/>
      <c r="AC3115" s="164"/>
      <c r="AD3115" s="164"/>
      <c r="AE3115" s="164"/>
      <c r="AF3115" s="164"/>
      <c r="AG3115" s="164"/>
      <c r="AH3115" s="164"/>
      <c r="AI3115" s="164"/>
    </row>
    <row r="3116">
      <c r="A3116" s="154"/>
      <c r="B3116" s="155"/>
      <c r="C3116" s="156"/>
      <c r="D3116" s="156"/>
      <c r="E3116" s="155"/>
      <c r="F3116" s="156"/>
      <c r="G3116" s="154"/>
      <c r="H3116" s="157"/>
      <c r="I3116" s="158"/>
      <c r="J3116" s="159"/>
      <c r="K3116" s="156"/>
      <c r="L3116" s="156"/>
      <c r="M3116" s="202"/>
      <c r="N3116" s="160"/>
      <c r="O3116" s="161"/>
      <c r="P3116" s="161"/>
      <c r="Q3116" s="203"/>
      <c r="R3116" s="162"/>
      <c r="S3116" s="162"/>
      <c r="T3116" s="162"/>
      <c r="U3116" s="163"/>
      <c r="V3116" s="154"/>
      <c r="W3116" s="164"/>
      <c r="X3116" s="164"/>
      <c r="Y3116" s="164"/>
      <c r="Z3116" s="164"/>
      <c r="AA3116" s="164"/>
      <c r="AB3116" s="164"/>
      <c r="AC3116" s="164"/>
      <c r="AD3116" s="164"/>
      <c r="AE3116" s="164"/>
      <c r="AF3116" s="164"/>
      <c r="AG3116" s="164"/>
      <c r="AH3116" s="164"/>
      <c r="AI3116" s="164"/>
    </row>
    <row r="3117">
      <c r="A3117" s="154"/>
      <c r="B3117" s="155"/>
      <c r="C3117" s="156"/>
      <c r="D3117" s="156"/>
      <c r="E3117" s="155"/>
      <c r="F3117" s="156"/>
      <c r="G3117" s="154"/>
      <c r="H3117" s="157"/>
      <c r="I3117" s="158"/>
      <c r="J3117" s="159"/>
      <c r="K3117" s="156"/>
      <c r="L3117" s="156"/>
      <c r="M3117" s="155"/>
      <c r="N3117" s="160"/>
      <c r="O3117" s="161"/>
      <c r="P3117" s="161"/>
      <c r="Q3117" s="203"/>
      <c r="R3117" s="162"/>
      <c r="S3117" s="162"/>
      <c r="T3117" s="162"/>
      <c r="U3117" s="163"/>
      <c r="V3117" s="215"/>
      <c r="W3117" s="164"/>
      <c r="X3117" s="164"/>
      <c r="Y3117" s="164"/>
      <c r="Z3117" s="164"/>
      <c r="AA3117" s="164"/>
      <c r="AB3117" s="164"/>
      <c r="AC3117" s="164"/>
      <c r="AD3117" s="164"/>
      <c r="AE3117" s="164"/>
      <c r="AF3117" s="164"/>
      <c r="AG3117" s="164"/>
      <c r="AH3117" s="164"/>
      <c r="AI3117" s="164"/>
    </row>
    <row r="3118">
      <c r="A3118" s="154"/>
      <c r="B3118" s="155"/>
      <c r="C3118" s="156"/>
      <c r="D3118" s="156"/>
      <c r="E3118" s="155"/>
      <c r="F3118" s="156"/>
      <c r="G3118" s="154"/>
      <c r="H3118" s="157"/>
      <c r="I3118" s="158"/>
      <c r="J3118" s="159"/>
      <c r="K3118" s="156"/>
      <c r="L3118" s="156"/>
      <c r="M3118" s="155"/>
      <c r="N3118" s="160"/>
      <c r="O3118" s="161"/>
      <c r="P3118" s="161"/>
      <c r="Q3118" s="203"/>
      <c r="R3118" s="162"/>
      <c r="S3118" s="162"/>
      <c r="T3118" s="162"/>
      <c r="U3118" s="163"/>
      <c r="V3118" s="154"/>
      <c r="W3118" s="164"/>
      <c r="X3118" s="164"/>
      <c r="Y3118" s="164"/>
      <c r="Z3118" s="164"/>
      <c r="AA3118" s="164"/>
      <c r="AB3118" s="164"/>
      <c r="AC3118" s="164"/>
      <c r="AD3118" s="164"/>
      <c r="AE3118" s="164"/>
      <c r="AF3118" s="164"/>
      <c r="AG3118" s="164"/>
      <c r="AH3118" s="164"/>
      <c r="AI3118" s="164"/>
    </row>
    <row r="3119">
      <c r="A3119" s="154"/>
      <c r="B3119" s="155"/>
      <c r="C3119" s="156"/>
      <c r="D3119" s="156"/>
      <c r="E3119" s="155"/>
      <c r="F3119" s="156"/>
      <c r="G3119" s="154"/>
      <c r="H3119" s="157"/>
      <c r="I3119" s="158"/>
      <c r="J3119" s="159"/>
      <c r="K3119" s="156"/>
      <c r="L3119" s="156"/>
      <c r="M3119" s="155"/>
      <c r="N3119" s="160"/>
      <c r="O3119" s="161"/>
      <c r="P3119" s="161"/>
      <c r="Q3119" s="203"/>
      <c r="R3119" s="162"/>
      <c r="S3119" s="162"/>
      <c r="T3119" s="162"/>
      <c r="U3119" s="163"/>
      <c r="V3119" s="154"/>
      <c r="W3119" s="164"/>
      <c r="X3119" s="164"/>
      <c r="Y3119" s="164"/>
      <c r="Z3119" s="164"/>
      <c r="AA3119" s="164"/>
      <c r="AB3119" s="164"/>
      <c r="AC3119" s="164"/>
      <c r="AD3119" s="164"/>
      <c r="AE3119" s="164"/>
      <c r="AF3119" s="164"/>
      <c r="AG3119" s="164"/>
      <c r="AH3119" s="164"/>
      <c r="AI3119" s="164"/>
    </row>
    <row r="3120">
      <c r="A3120" s="154"/>
      <c r="B3120" s="155"/>
      <c r="C3120" s="156"/>
      <c r="D3120" s="156"/>
      <c r="E3120" s="155"/>
      <c r="F3120" s="156"/>
      <c r="G3120" s="154"/>
      <c r="H3120" s="157"/>
      <c r="I3120" s="158"/>
      <c r="J3120" s="159"/>
      <c r="K3120" s="156"/>
      <c r="L3120" s="156"/>
      <c r="M3120" s="202"/>
      <c r="N3120" s="160"/>
      <c r="O3120" s="161"/>
      <c r="P3120" s="161"/>
      <c r="Q3120" s="203"/>
      <c r="R3120" s="162"/>
      <c r="S3120" s="162"/>
      <c r="T3120" s="162"/>
      <c r="U3120" s="163"/>
      <c r="V3120" s="216"/>
      <c r="W3120" s="164"/>
      <c r="X3120" s="164"/>
      <c r="Y3120" s="164"/>
      <c r="Z3120" s="164"/>
      <c r="AA3120" s="164"/>
      <c r="AB3120" s="164"/>
      <c r="AC3120" s="164"/>
      <c r="AD3120" s="164"/>
      <c r="AE3120" s="164"/>
      <c r="AF3120" s="164"/>
      <c r="AG3120" s="164"/>
      <c r="AH3120" s="164"/>
      <c r="AI3120" s="164"/>
    </row>
    <row r="3121">
      <c r="A3121" s="154"/>
      <c r="B3121" s="155"/>
      <c r="C3121" s="156"/>
      <c r="D3121" s="156"/>
      <c r="E3121" s="155"/>
      <c r="F3121" s="156"/>
      <c r="G3121" s="154"/>
      <c r="H3121" s="157"/>
      <c r="I3121" s="158"/>
      <c r="J3121" s="159"/>
      <c r="K3121" s="156"/>
      <c r="L3121" s="156"/>
      <c r="M3121" s="155"/>
      <c r="N3121" s="160"/>
      <c r="O3121" s="161"/>
      <c r="P3121" s="161"/>
      <c r="Q3121" s="203"/>
      <c r="R3121" s="162"/>
      <c r="S3121" s="162"/>
      <c r="T3121" s="162"/>
      <c r="U3121" s="163"/>
      <c r="V3121" s="216"/>
      <c r="W3121" s="164"/>
      <c r="X3121" s="164"/>
      <c r="Y3121" s="164"/>
      <c r="Z3121" s="164"/>
      <c r="AA3121" s="164"/>
      <c r="AB3121" s="164"/>
      <c r="AC3121" s="164"/>
      <c r="AD3121" s="164"/>
      <c r="AE3121" s="164"/>
      <c r="AF3121" s="164"/>
      <c r="AG3121" s="164"/>
      <c r="AH3121" s="164"/>
      <c r="AI3121" s="164"/>
    </row>
    <row r="3122">
      <c r="A3122" s="154"/>
      <c r="B3122" s="155"/>
      <c r="C3122" s="156"/>
      <c r="D3122" s="156"/>
      <c r="E3122" s="155"/>
      <c r="F3122" s="156"/>
      <c r="G3122" s="154"/>
      <c r="H3122" s="157"/>
      <c r="I3122" s="158"/>
      <c r="J3122" s="159"/>
      <c r="K3122" s="156"/>
      <c r="L3122" s="156"/>
      <c r="M3122" s="155"/>
      <c r="N3122" s="160"/>
      <c r="O3122" s="161"/>
      <c r="P3122" s="161"/>
      <c r="Q3122" s="159"/>
      <c r="R3122" s="162"/>
      <c r="S3122" s="162"/>
      <c r="T3122" s="162"/>
      <c r="U3122" s="163"/>
      <c r="V3122" s="154"/>
      <c r="W3122" s="164"/>
      <c r="X3122" s="164"/>
      <c r="Y3122" s="164"/>
      <c r="Z3122" s="164"/>
      <c r="AA3122" s="164"/>
      <c r="AB3122" s="164"/>
      <c r="AC3122" s="164"/>
      <c r="AD3122" s="164"/>
      <c r="AE3122" s="164"/>
      <c r="AF3122" s="164"/>
      <c r="AG3122" s="164"/>
      <c r="AH3122" s="164"/>
      <c r="AI3122" s="164"/>
    </row>
    <row r="3123">
      <c r="A3123" s="154"/>
      <c r="B3123" s="155"/>
      <c r="C3123" s="156"/>
      <c r="D3123" s="156"/>
      <c r="E3123" s="155"/>
      <c r="F3123" s="156"/>
      <c r="G3123" s="154"/>
      <c r="H3123" s="157"/>
      <c r="I3123" s="158"/>
      <c r="J3123" s="159"/>
      <c r="K3123" s="156"/>
      <c r="L3123" s="156"/>
      <c r="M3123" s="202"/>
      <c r="N3123" s="160"/>
      <c r="O3123" s="161"/>
      <c r="P3123" s="161"/>
      <c r="Q3123" s="203"/>
      <c r="R3123" s="162"/>
      <c r="S3123" s="162"/>
      <c r="T3123" s="162"/>
      <c r="U3123" s="163"/>
      <c r="V3123" s="154"/>
      <c r="W3123" s="164"/>
      <c r="X3123" s="164"/>
      <c r="Y3123" s="164"/>
      <c r="Z3123" s="164"/>
      <c r="AA3123" s="164"/>
      <c r="AB3123" s="164"/>
      <c r="AC3123" s="164"/>
      <c r="AD3123" s="164"/>
      <c r="AE3123" s="164"/>
      <c r="AF3123" s="164"/>
      <c r="AG3123" s="164"/>
      <c r="AH3123" s="164"/>
      <c r="AI3123" s="164"/>
    </row>
    <row r="3124">
      <c r="A3124" s="154"/>
      <c r="B3124" s="155"/>
      <c r="C3124" s="156"/>
      <c r="D3124" s="156"/>
      <c r="E3124" s="155"/>
      <c r="F3124" s="156"/>
      <c r="G3124" s="154"/>
      <c r="H3124" s="157"/>
      <c r="I3124" s="158"/>
      <c r="J3124" s="159"/>
      <c r="K3124" s="156"/>
      <c r="L3124" s="156"/>
      <c r="M3124" s="155"/>
      <c r="N3124" s="160"/>
      <c r="O3124" s="161"/>
      <c r="P3124" s="161"/>
      <c r="Q3124" s="159"/>
      <c r="R3124" s="162"/>
      <c r="S3124" s="162"/>
      <c r="T3124" s="162"/>
      <c r="U3124" s="163"/>
      <c r="V3124" s="154"/>
      <c r="W3124" s="164"/>
      <c r="X3124" s="164"/>
      <c r="Y3124" s="164"/>
      <c r="Z3124" s="164"/>
      <c r="AA3124" s="164"/>
      <c r="AB3124" s="164"/>
      <c r="AC3124" s="164"/>
      <c r="AD3124" s="164"/>
      <c r="AE3124" s="164"/>
      <c r="AF3124" s="164"/>
      <c r="AG3124" s="164"/>
      <c r="AH3124" s="164"/>
      <c r="AI3124" s="164"/>
    </row>
    <row r="3125">
      <c r="A3125" s="154"/>
      <c r="B3125" s="155"/>
      <c r="C3125" s="156"/>
      <c r="D3125" s="156"/>
      <c r="E3125" s="155"/>
      <c r="F3125" s="156"/>
      <c r="G3125" s="154"/>
      <c r="H3125" s="157"/>
      <c r="I3125" s="158"/>
      <c r="J3125" s="159"/>
      <c r="K3125" s="156"/>
      <c r="L3125" s="156"/>
      <c r="M3125" s="202"/>
      <c r="N3125" s="160"/>
      <c r="O3125" s="161"/>
      <c r="P3125" s="161"/>
      <c r="Q3125" s="203"/>
      <c r="R3125" s="162"/>
      <c r="S3125" s="162"/>
      <c r="T3125" s="162"/>
      <c r="U3125" s="163"/>
      <c r="V3125" s="154"/>
      <c r="W3125" s="164"/>
      <c r="X3125" s="164"/>
      <c r="Y3125" s="164"/>
      <c r="Z3125" s="164"/>
      <c r="AA3125" s="164"/>
      <c r="AB3125" s="164"/>
      <c r="AC3125" s="164"/>
      <c r="AD3125" s="164"/>
      <c r="AE3125" s="164"/>
      <c r="AF3125" s="164"/>
      <c r="AG3125" s="164"/>
      <c r="AH3125" s="164"/>
      <c r="AI3125" s="164"/>
    </row>
    <row r="3126">
      <c r="A3126" s="154"/>
      <c r="B3126" s="155"/>
      <c r="C3126" s="156"/>
      <c r="D3126" s="156"/>
      <c r="E3126" s="155"/>
      <c r="F3126" s="156"/>
      <c r="G3126" s="154"/>
      <c r="H3126" s="157"/>
      <c r="I3126" s="158"/>
      <c r="J3126" s="159"/>
      <c r="K3126" s="156"/>
      <c r="L3126" s="156"/>
      <c r="M3126" s="155"/>
      <c r="N3126" s="160"/>
      <c r="O3126" s="161"/>
      <c r="P3126" s="161"/>
      <c r="Q3126" s="203"/>
      <c r="R3126" s="162"/>
      <c r="S3126" s="162"/>
      <c r="T3126" s="162"/>
      <c r="U3126" s="163"/>
      <c r="V3126" s="216"/>
      <c r="W3126" s="164"/>
      <c r="X3126" s="164"/>
      <c r="Y3126" s="164"/>
      <c r="Z3126" s="164"/>
      <c r="AA3126" s="164"/>
      <c r="AB3126" s="164"/>
      <c r="AC3126" s="164"/>
      <c r="AD3126" s="164"/>
      <c r="AE3126" s="164"/>
      <c r="AF3126" s="164"/>
      <c r="AG3126" s="164"/>
      <c r="AH3126" s="164"/>
      <c r="AI3126" s="164"/>
    </row>
    <row r="3127">
      <c r="A3127" s="154"/>
      <c r="B3127" s="155"/>
      <c r="C3127" s="156"/>
      <c r="D3127" s="156"/>
      <c r="E3127" s="155"/>
      <c r="F3127" s="156"/>
      <c r="G3127" s="154"/>
      <c r="H3127" s="157"/>
      <c r="I3127" s="158"/>
      <c r="J3127" s="159"/>
      <c r="K3127" s="156"/>
      <c r="L3127" s="156"/>
      <c r="M3127" s="155"/>
      <c r="N3127" s="160"/>
      <c r="O3127" s="161"/>
      <c r="P3127" s="161"/>
      <c r="Q3127" s="203"/>
      <c r="R3127" s="162"/>
      <c r="S3127" s="162"/>
      <c r="T3127" s="162"/>
      <c r="U3127" s="163"/>
      <c r="V3127" s="154"/>
      <c r="W3127" s="164"/>
      <c r="X3127" s="164"/>
      <c r="Y3127" s="164"/>
      <c r="Z3127" s="164"/>
      <c r="AA3127" s="164"/>
      <c r="AB3127" s="164"/>
      <c r="AC3127" s="164"/>
      <c r="AD3127" s="164"/>
      <c r="AE3127" s="164"/>
      <c r="AF3127" s="164"/>
      <c r="AG3127" s="164"/>
      <c r="AH3127" s="164"/>
      <c r="AI3127" s="164"/>
    </row>
    <row r="3128">
      <c r="A3128" s="154"/>
      <c r="B3128" s="155"/>
      <c r="C3128" s="156"/>
      <c r="D3128" s="156"/>
      <c r="E3128" s="155"/>
      <c r="F3128" s="156"/>
      <c r="G3128" s="154"/>
      <c r="H3128" s="157"/>
      <c r="I3128" s="158"/>
      <c r="J3128" s="159"/>
      <c r="K3128" s="156"/>
      <c r="L3128" s="156"/>
      <c r="M3128" s="155"/>
      <c r="N3128" s="160"/>
      <c r="O3128" s="161"/>
      <c r="P3128" s="161"/>
      <c r="Q3128" s="203"/>
      <c r="R3128" s="162"/>
      <c r="S3128" s="162"/>
      <c r="T3128" s="162"/>
      <c r="U3128" s="163"/>
      <c r="V3128" s="154"/>
      <c r="W3128" s="164"/>
      <c r="X3128" s="164"/>
      <c r="Y3128" s="164"/>
      <c r="Z3128" s="164"/>
      <c r="AA3128" s="164"/>
      <c r="AB3128" s="164"/>
      <c r="AC3128" s="164"/>
      <c r="AD3128" s="164"/>
      <c r="AE3128" s="164"/>
      <c r="AF3128" s="164"/>
      <c r="AG3128" s="164"/>
      <c r="AH3128" s="164"/>
      <c r="AI3128" s="164"/>
    </row>
    <row r="3129">
      <c r="A3129" s="154"/>
      <c r="B3129" s="155"/>
      <c r="C3129" s="156"/>
      <c r="D3129" s="156"/>
      <c r="E3129" s="155"/>
      <c r="F3129" s="156"/>
      <c r="G3129" s="154"/>
      <c r="H3129" s="157"/>
      <c r="I3129" s="158"/>
      <c r="J3129" s="159"/>
      <c r="K3129" s="156"/>
      <c r="L3129" s="156"/>
      <c r="M3129" s="155"/>
      <c r="N3129" s="160"/>
      <c r="O3129" s="161"/>
      <c r="P3129" s="161"/>
      <c r="Q3129" s="203"/>
      <c r="R3129" s="162"/>
      <c r="S3129" s="162"/>
      <c r="T3129" s="162"/>
      <c r="U3129" s="163"/>
      <c r="V3129" s="215"/>
      <c r="W3129" s="164"/>
      <c r="X3129" s="164"/>
      <c r="Y3129" s="164"/>
      <c r="Z3129" s="164"/>
      <c r="AA3129" s="164"/>
      <c r="AB3129" s="164"/>
      <c r="AC3129" s="164"/>
      <c r="AD3129" s="164"/>
      <c r="AE3129" s="164"/>
      <c r="AF3129" s="164"/>
      <c r="AG3129" s="164"/>
      <c r="AH3129" s="164"/>
      <c r="AI3129" s="164"/>
    </row>
    <row r="3130">
      <c r="A3130" s="154"/>
      <c r="B3130" s="155"/>
      <c r="C3130" s="156"/>
      <c r="D3130" s="156"/>
      <c r="E3130" s="155"/>
      <c r="F3130" s="156"/>
      <c r="G3130" s="154"/>
      <c r="H3130" s="157"/>
      <c r="I3130" s="158"/>
      <c r="J3130" s="159"/>
      <c r="K3130" s="156"/>
      <c r="L3130" s="156"/>
      <c r="M3130" s="155"/>
      <c r="N3130" s="160"/>
      <c r="O3130" s="161"/>
      <c r="P3130" s="161"/>
      <c r="Q3130" s="203"/>
      <c r="R3130" s="162"/>
      <c r="S3130" s="162"/>
      <c r="T3130" s="162"/>
      <c r="U3130" s="163"/>
      <c r="V3130" s="154"/>
      <c r="W3130" s="164"/>
      <c r="X3130" s="164"/>
      <c r="Y3130" s="164"/>
      <c r="Z3130" s="164"/>
      <c r="AA3130" s="164"/>
      <c r="AB3130" s="164"/>
      <c r="AC3130" s="164"/>
      <c r="AD3130" s="164"/>
      <c r="AE3130" s="164"/>
      <c r="AF3130" s="164"/>
      <c r="AG3130" s="164"/>
      <c r="AH3130" s="164"/>
      <c r="AI3130" s="164"/>
    </row>
    <row r="3131">
      <c r="A3131" s="154"/>
      <c r="B3131" s="155"/>
      <c r="C3131" s="156"/>
      <c r="D3131" s="156"/>
      <c r="E3131" s="155"/>
      <c r="F3131" s="156"/>
      <c r="G3131" s="154"/>
      <c r="H3131" s="157"/>
      <c r="I3131" s="158"/>
      <c r="J3131" s="159"/>
      <c r="K3131" s="156"/>
      <c r="L3131" s="156"/>
      <c r="M3131" s="155"/>
      <c r="N3131" s="160"/>
      <c r="O3131" s="161"/>
      <c r="P3131" s="161"/>
      <c r="Q3131" s="203"/>
      <c r="R3131" s="162"/>
      <c r="S3131" s="162"/>
      <c r="T3131" s="162"/>
      <c r="U3131" s="163"/>
      <c r="V3131" s="154"/>
      <c r="W3131" s="164"/>
      <c r="X3131" s="164"/>
      <c r="Y3131" s="164"/>
      <c r="Z3131" s="164"/>
      <c r="AA3131" s="164"/>
      <c r="AB3131" s="164"/>
      <c r="AC3131" s="164"/>
      <c r="AD3131" s="164"/>
      <c r="AE3131" s="164"/>
      <c r="AF3131" s="164"/>
      <c r="AG3131" s="164"/>
      <c r="AH3131" s="164"/>
      <c r="AI3131" s="164"/>
    </row>
    <row r="3132">
      <c r="A3132" s="154"/>
      <c r="B3132" s="155"/>
      <c r="C3132" s="156"/>
      <c r="D3132" s="156"/>
      <c r="E3132" s="155"/>
      <c r="F3132" s="156"/>
      <c r="G3132" s="154"/>
      <c r="H3132" s="157"/>
      <c r="I3132" s="158"/>
      <c r="J3132" s="159"/>
      <c r="K3132" s="156"/>
      <c r="L3132" s="156"/>
      <c r="M3132" s="155"/>
      <c r="N3132" s="160"/>
      <c r="O3132" s="161"/>
      <c r="P3132" s="161"/>
      <c r="Q3132" s="159"/>
      <c r="R3132" s="162"/>
      <c r="S3132" s="162"/>
      <c r="T3132" s="162"/>
      <c r="U3132" s="163"/>
      <c r="V3132" s="154"/>
      <c r="W3132" s="164"/>
      <c r="X3132" s="164"/>
      <c r="Y3132" s="164"/>
      <c r="Z3132" s="164"/>
      <c r="AA3132" s="164"/>
      <c r="AB3132" s="164"/>
      <c r="AC3132" s="164"/>
      <c r="AD3132" s="164"/>
      <c r="AE3132" s="164"/>
      <c r="AF3132" s="164"/>
      <c r="AG3132" s="164"/>
      <c r="AH3132" s="164"/>
      <c r="AI3132" s="164"/>
    </row>
    <row r="3133">
      <c r="A3133" s="154"/>
      <c r="B3133" s="155"/>
      <c r="C3133" s="156"/>
      <c r="D3133" s="156"/>
      <c r="E3133" s="155"/>
      <c r="F3133" s="156"/>
      <c r="G3133" s="154"/>
      <c r="H3133" s="157"/>
      <c r="I3133" s="158"/>
      <c r="J3133" s="159"/>
      <c r="K3133" s="156"/>
      <c r="L3133" s="156"/>
      <c r="M3133" s="202"/>
      <c r="N3133" s="160"/>
      <c r="O3133" s="161"/>
      <c r="P3133" s="161"/>
      <c r="Q3133" s="203"/>
      <c r="R3133" s="162"/>
      <c r="S3133" s="162"/>
      <c r="T3133" s="162"/>
      <c r="U3133" s="163"/>
      <c r="V3133" s="154"/>
      <c r="W3133" s="164"/>
      <c r="X3133" s="164"/>
      <c r="Y3133" s="164"/>
      <c r="Z3133" s="164"/>
      <c r="AA3133" s="164"/>
      <c r="AB3133" s="164"/>
      <c r="AC3133" s="164"/>
      <c r="AD3133" s="164"/>
      <c r="AE3133" s="164"/>
      <c r="AF3133" s="164"/>
      <c r="AG3133" s="164"/>
      <c r="AH3133" s="164"/>
      <c r="AI3133" s="164"/>
    </row>
    <row r="3134">
      <c r="A3134" s="154"/>
      <c r="B3134" s="155"/>
      <c r="C3134" s="156"/>
      <c r="D3134" s="156"/>
      <c r="E3134" s="155"/>
      <c r="F3134" s="156"/>
      <c r="G3134" s="154"/>
      <c r="H3134" s="157"/>
      <c r="I3134" s="158"/>
      <c r="J3134" s="159"/>
      <c r="K3134" s="156"/>
      <c r="L3134" s="156"/>
      <c r="M3134" s="155"/>
      <c r="N3134" s="160"/>
      <c r="O3134" s="161"/>
      <c r="P3134" s="161"/>
      <c r="Q3134" s="203"/>
      <c r="R3134" s="162"/>
      <c r="S3134" s="162"/>
      <c r="T3134" s="162"/>
      <c r="U3134" s="163"/>
      <c r="V3134" s="154"/>
      <c r="W3134" s="164"/>
      <c r="X3134" s="164"/>
      <c r="Y3134" s="164"/>
      <c r="Z3134" s="164"/>
      <c r="AA3134" s="164"/>
      <c r="AB3134" s="164"/>
      <c r="AC3134" s="164"/>
      <c r="AD3134" s="164"/>
      <c r="AE3134" s="164"/>
      <c r="AF3134" s="164"/>
      <c r="AG3134" s="164"/>
      <c r="AH3134" s="164"/>
      <c r="AI3134" s="164"/>
    </row>
    <row r="3135">
      <c r="A3135" s="154"/>
      <c r="B3135" s="155"/>
      <c r="C3135" s="156"/>
      <c r="D3135" s="156"/>
      <c r="E3135" s="155"/>
      <c r="F3135" s="156"/>
      <c r="G3135" s="154"/>
      <c r="H3135" s="157"/>
      <c r="I3135" s="158"/>
      <c r="J3135" s="159"/>
      <c r="K3135" s="156"/>
      <c r="L3135" s="156"/>
      <c r="M3135" s="155"/>
      <c r="N3135" s="160"/>
      <c r="O3135" s="161"/>
      <c r="P3135" s="161"/>
      <c r="Q3135" s="203"/>
      <c r="R3135" s="162"/>
      <c r="S3135" s="162"/>
      <c r="T3135" s="162"/>
      <c r="U3135" s="163"/>
      <c r="V3135" s="154"/>
      <c r="W3135" s="164"/>
      <c r="X3135" s="164"/>
      <c r="Y3135" s="164"/>
      <c r="Z3135" s="164"/>
      <c r="AA3135" s="164"/>
      <c r="AB3135" s="164"/>
      <c r="AC3135" s="164"/>
      <c r="AD3135" s="164"/>
      <c r="AE3135" s="164"/>
      <c r="AF3135" s="164"/>
      <c r="AG3135" s="164"/>
      <c r="AH3135" s="164"/>
      <c r="AI3135" s="164"/>
    </row>
    <row r="3136">
      <c r="A3136" s="154"/>
      <c r="B3136" s="155"/>
      <c r="C3136" s="156"/>
      <c r="D3136" s="156"/>
      <c r="E3136" s="155"/>
      <c r="F3136" s="156"/>
      <c r="G3136" s="154"/>
      <c r="H3136" s="157"/>
      <c r="I3136" s="158"/>
      <c r="J3136" s="159"/>
      <c r="K3136" s="156"/>
      <c r="L3136" s="156"/>
      <c r="M3136" s="155"/>
      <c r="N3136" s="160"/>
      <c r="O3136" s="161"/>
      <c r="P3136" s="161"/>
      <c r="Q3136" s="159"/>
      <c r="R3136" s="162"/>
      <c r="S3136" s="162"/>
      <c r="T3136" s="162"/>
      <c r="U3136" s="163"/>
      <c r="V3136" s="215"/>
      <c r="W3136" s="164"/>
      <c r="X3136" s="164"/>
      <c r="Y3136" s="164"/>
      <c r="Z3136" s="164"/>
      <c r="AA3136" s="164"/>
      <c r="AB3136" s="164"/>
      <c r="AC3136" s="164"/>
      <c r="AD3136" s="164"/>
      <c r="AE3136" s="164"/>
      <c r="AF3136" s="164"/>
      <c r="AG3136" s="164"/>
      <c r="AH3136" s="164"/>
      <c r="AI3136" s="164"/>
    </row>
    <row r="3137">
      <c r="A3137" s="154"/>
      <c r="B3137" s="155"/>
      <c r="C3137" s="156"/>
      <c r="D3137" s="156"/>
      <c r="E3137" s="155"/>
      <c r="F3137" s="156"/>
      <c r="G3137" s="154"/>
      <c r="H3137" s="157"/>
      <c r="I3137" s="158"/>
      <c r="J3137" s="159"/>
      <c r="K3137" s="156"/>
      <c r="L3137" s="156"/>
      <c r="M3137" s="155"/>
      <c r="N3137" s="160"/>
      <c r="O3137" s="161"/>
      <c r="P3137" s="161"/>
      <c r="Q3137" s="159"/>
      <c r="R3137" s="162"/>
      <c r="S3137" s="162"/>
      <c r="T3137" s="162"/>
      <c r="U3137" s="163"/>
      <c r="V3137" s="215"/>
      <c r="W3137" s="164"/>
      <c r="X3137" s="164"/>
      <c r="Y3137" s="164"/>
      <c r="Z3137" s="164"/>
      <c r="AA3137" s="164"/>
      <c r="AB3137" s="164"/>
      <c r="AC3137" s="164"/>
      <c r="AD3137" s="164"/>
      <c r="AE3137" s="164"/>
      <c r="AF3137" s="164"/>
      <c r="AG3137" s="164"/>
      <c r="AH3137" s="164"/>
      <c r="AI3137" s="164"/>
    </row>
    <row r="3138">
      <c r="A3138" s="154"/>
      <c r="B3138" s="155"/>
      <c r="C3138" s="156"/>
      <c r="D3138" s="156"/>
      <c r="E3138" s="155"/>
      <c r="F3138" s="156"/>
      <c r="G3138" s="154"/>
      <c r="H3138" s="157"/>
      <c r="I3138" s="158"/>
      <c r="J3138" s="159"/>
      <c r="K3138" s="156"/>
      <c r="L3138" s="156"/>
      <c r="M3138" s="155"/>
      <c r="N3138" s="160"/>
      <c r="O3138" s="161"/>
      <c r="P3138" s="161"/>
      <c r="Q3138" s="203"/>
      <c r="R3138" s="162"/>
      <c r="S3138" s="162"/>
      <c r="T3138" s="162"/>
      <c r="U3138" s="163"/>
      <c r="V3138" s="216"/>
      <c r="W3138" s="164"/>
      <c r="X3138" s="164"/>
      <c r="Y3138" s="164"/>
      <c r="Z3138" s="164"/>
      <c r="AA3138" s="164"/>
      <c r="AB3138" s="164"/>
      <c r="AC3138" s="164"/>
      <c r="AD3138" s="164"/>
      <c r="AE3138" s="164"/>
      <c r="AF3138" s="164"/>
      <c r="AG3138" s="164"/>
      <c r="AH3138" s="164"/>
      <c r="AI3138" s="164"/>
    </row>
    <row r="3139">
      <c r="A3139" s="154"/>
      <c r="B3139" s="155"/>
      <c r="C3139" s="156"/>
      <c r="D3139" s="156"/>
      <c r="E3139" s="155"/>
      <c r="F3139" s="156"/>
      <c r="G3139" s="154"/>
      <c r="H3139" s="157"/>
      <c r="I3139" s="158"/>
      <c r="J3139" s="159"/>
      <c r="K3139" s="156"/>
      <c r="L3139" s="156"/>
      <c r="M3139" s="155"/>
      <c r="N3139" s="160"/>
      <c r="O3139" s="161"/>
      <c r="P3139" s="161"/>
      <c r="Q3139" s="203"/>
      <c r="R3139" s="162"/>
      <c r="S3139" s="162"/>
      <c r="T3139" s="162"/>
      <c r="U3139" s="163"/>
      <c r="V3139" s="154"/>
      <c r="W3139" s="164"/>
      <c r="X3139" s="164"/>
      <c r="Y3139" s="164"/>
      <c r="Z3139" s="164"/>
      <c r="AA3139" s="164"/>
      <c r="AB3139" s="164"/>
      <c r="AC3139" s="164"/>
      <c r="AD3139" s="164"/>
      <c r="AE3139" s="164"/>
      <c r="AF3139" s="164"/>
      <c r="AG3139" s="164"/>
      <c r="AH3139" s="164"/>
      <c r="AI3139" s="164"/>
    </row>
    <row r="3140">
      <c r="A3140" s="154"/>
      <c r="B3140" s="155"/>
      <c r="C3140" s="156"/>
      <c r="D3140" s="156"/>
      <c r="E3140" s="155"/>
      <c r="F3140" s="156"/>
      <c r="G3140" s="154"/>
      <c r="H3140" s="157"/>
      <c r="I3140" s="158"/>
      <c r="J3140" s="159"/>
      <c r="K3140" s="156"/>
      <c r="L3140" s="156"/>
      <c r="M3140" s="155"/>
      <c r="N3140" s="160"/>
      <c r="O3140" s="161"/>
      <c r="P3140" s="161"/>
      <c r="Q3140" s="203"/>
      <c r="R3140" s="162"/>
      <c r="S3140" s="162"/>
      <c r="T3140" s="162"/>
      <c r="U3140" s="163"/>
      <c r="V3140" s="154"/>
      <c r="W3140" s="164"/>
      <c r="X3140" s="164"/>
      <c r="Y3140" s="164"/>
      <c r="Z3140" s="164"/>
      <c r="AA3140" s="164"/>
      <c r="AB3140" s="164"/>
      <c r="AC3140" s="164"/>
      <c r="AD3140" s="164"/>
      <c r="AE3140" s="164"/>
      <c r="AF3140" s="164"/>
      <c r="AG3140" s="164"/>
      <c r="AH3140" s="164"/>
      <c r="AI3140" s="164"/>
    </row>
    <row r="3141">
      <c r="A3141" s="154"/>
      <c r="B3141" s="155"/>
      <c r="C3141" s="156"/>
      <c r="D3141" s="156"/>
      <c r="E3141" s="155"/>
      <c r="F3141" s="156"/>
      <c r="G3141" s="154"/>
      <c r="H3141" s="157"/>
      <c r="I3141" s="158"/>
      <c r="J3141" s="159"/>
      <c r="K3141" s="156"/>
      <c r="L3141" s="156"/>
      <c r="M3141" s="155"/>
      <c r="N3141" s="160"/>
      <c r="O3141" s="161"/>
      <c r="P3141" s="161"/>
      <c r="Q3141" s="203"/>
      <c r="R3141" s="162"/>
      <c r="S3141" s="162"/>
      <c r="T3141" s="162"/>
      <c r="U3141" s="163"/>
      <c r="V3141" s="154"/>
      <c r="W3141" s="164"/>
      <c r="X3141" s="164"/>
      <c r="Y3141" s="164"/>
      <c r="Z3141" s="164"/>
      <c r="AA3141" s="164"/>
      <c r="AB3141" s="164"/>
      <c r="AC3141" s="164"/>
      <c r="AD3141" s="164"/>
      <c r="AE3141" s="164"/>
      <c r="AF3141" s="164"/>
      <c r="AG3141" s="164"/>
      <c r="AH3141" s="164"/>
      <c r="AI3141" s="164"/>
    </row>
    <row r="3142">
      <c r="A3142" s="154"/>
      <c r="B3142" s="155"/>
      <c r="C3142" s="156"/>
      <c r="D3142" s="156"/>
      <c r="E3142" s="155"/>
      <c r="F3142" s="156"/>
      <c r="G3142" s="154"/>
      <c r="H3142" s="157"/>
      <c r="I3142" s="158"/>
      <c r="J3142" s="159"/>
      <c r="K3142" s="156"/>
      <c r="L3142" s="156"/>
      <c r="M3142" s="155"/>
      <c r="N3142" s="160"/>
      <c r="O3142" s="161"/>
      <c r="P3142" s="161"/>
      <c r="Q3142" s="203"/>
      <c r="R3142" s="162"/>
      <c r="S3142" s="162"/>
      <c r="T3142" s="162"/>
      <c r="U3142" s="163"/>
      <c r="V3142" s="216"/>
      <c r="W3142" s="164"/>
      <c r="X3142" s="164"/>
      <c r="Y3142" s="164"/>
      <c r="Z3142" s="164"/>
      <c r="AA3142" s="164"/>
      <c r="AB3142" s="164"/>
      <c r="AC3142" s="164"/>
      <c r="AD3142" s="164"/>
      <c r="AE3142" s="164"/>
      <c r="AF3142" s="164"/>
      <c r="AG3142" s="164"/>
      <c r="AH3142" s="164"/>
      <c r="AI3142" s="164"/>
    </row>
    <row r="3143">
      <c r="A3143" s="154"/>
      <c r="B3143" s="155"/>
      <c r="C3143" s="156"/>
      <c r="D3143" s="156"/>
      <c r="E3143" s="155"/>
      <c r="F3143" s="156"/>
      <c r="G3143" s="154"/>
      <c r="H3143" s="157"/>
      <c r="I3143" s="158"/>
      <c r="J3143" s="159"/>
      <c r="K3143" s="156"/>
      <c r="L3143" s="156"/>
      <c r="M3143" s="202"/>
      <c r="N3143" s="160"/>
      <c r="O3143" s="161"/>
      <c r="P3143" s="161"/>
      <c r="Q3143" s="203"/>
      <c r="R3143" s="162"/>
      <c r="S3143" s="162"/>
      <c r="T3143" s="162"/>
      <c r="U3143" s="163"/>
      <c r="V3143" s="154"/>
      <c r="W3143" s="164"/>
      <c r="X3143" s="164"/>
      <c r="Y3143" s="164"/>
      <c r="Z3143" s="164"/>
      <c r="AA3143" s="164"/>
      <c r="AB3143" s="164"/>
      <c r="AC3143" s="164"/>
      <c r="AD3143" s="164"/>
      <c r="AE3143" s="164"/>
      <c r="AF3143" s="164"/>
      <c r="AG3143" s="164"/>
      <c r="AH3143" s="164"/>
      <c r="AI3143" s="164"/>
    </row>
    <row r="3144">
      <c r="A3144" s="154"/>
      <c r="B3144" s="155"/>
      <c r="C3144" s="156"/>
      <c r="D3144" s="156"/>
      <c r="E3144" s="155"/>
      <c r="F3144" s="156"/>
      <c r="G3144" s="154"/>
      <c r="H3144" s="157"/>
      <c r="I3144" s="158"/>
      <c r="J3144" s="159"/>
      <c r="K3144" s="156"/>
      <c r="L3144" s="156"/>
      <c r="M3144" s="155"/>
      <c r="N3144" s="160"/>
      <c r="O3144" s="161"/>
      <c r="P3144" s="161"/>
      <c r="Q3144" s="159"/>
      <c r="R3144" s="162"/>
      <c r="S3144" s="162"/>
      <c r="T3144" s="162"/>
      <c r="U3144" s="163"/>
      <c r="V3144" s="154"/>
      <c r="W3144" s="164"/>
      <c r="X3144" s="164"/>
      <c r="Y3144" s="164"/>
      <c r="Z3144" s="164"/>
      <c r="AA3144" s="164"/>
      <c r="AB3144" s="164"/>
      <c r="AC3144" s="164"/>
      <c r="AD3144" s="164"/>
      <c r="AE3144" s="164"/>
      <c r="AF3144" s="164"/>
      <c r="AG3144" s="164"/>
      <c r="AH3144" s="164"/>
      <c r="AI3144" s="164"/>
    </row>
    <row r="3145">
      <c r="A3145" s="154"/>
      <c r="B3145" s="155"/>
      <c r="C3145" s="156"/>
      <c r="D3145" s="156"/>
      <c r="E3145" s="155"/>
      <c r="F3145" s="156"/>
      <c r="G3145" s="154"/>
      <c r="H3145" s="157"/>
      <c r="I3145" s="158"/>
      <c r="J3145" s="159"/>
      <c r="K3145" s="156"/>
      <c r="L3145" s="156"/>
      <c r="M3145" s="155"/>
      <c r="N3145" s="160"/>
      <c r="O3145" s="161"/>
      <c r="P3145" s="161"/>
      <c r="Q3145" s="203"/>
      <c r="R3145" s="162"/>
      <c r="S3145" s="162"/>
      <c r="T3145" s="162"/>
      <c r="U3145" s="163"/>
      <c r="V3145" s="154"/>
      <c r="W3145" s="164"/>
      <c r="X3145" s="164"/>
      <c r="Y3145" s="164"/>
      <c r="Z3145" s="164"/>
      <c r="AA3145" s="164"/>
      <c r="AB3145" s="164"/>
      <c r="AC3145" s="164"/>
      <c r="AD3145" s="164"/>
      <c r="AE3145" s="164"/>
      <c r="AF3145" s="164"/>
      <c r="AG3145" s="164"/>
      <c r="AH3145" s="164"/>
      <c r="AI3145" s="164"/>
    </row>
    <row r="3146">
      <c r="A3146" s="154"/>
      <c r="B3146" s="155"/>
      <c r="C3146" s="156"/>
      <c r="D3146" s="156"/>
      <c r="E3146" s="155"/>
      <c r="F3146" s="156"/>
      <c r="G3146" s="154"/>
      <c r="H3146" s="157"/>
      <c r="I3146" s="158"/>
      <c r="J3146" s="159"/>
      <c r="K3146" s="156"/>
      <c r="L3146" s="156"/>
      <c r="M3146" s="202"/>
      <c r="N3146" s="160"/>
      <c r="O3146" s="161"/>
      <c r="P3146" s="161"/>
      <c r="Q3146" s="203"/>
      <c r="R3146" s="162"/>
      <c r="S3146" s="162"/>
      <c r="T3146" s="162"/>
      <c r="U3146" s="163"/>
      <c r="V3146" s="216"/>
      <c r="W3146" s="164"/>
      <c r="X3146" s="164"/>
      <c r="Y3146" s="164"/>
      <c r="Z3146" s="164"/>
      <c r="AA3146" s="164"/>
      <c r="AB3146" s="164"/>
      <c r="AC3146" s="164"/>
      <c r="AD3146" s="164"/>
      <c r="AE3146" s="164"/>
      <c r="AF3146" s="164"/>
      <c r="AG3146" s="164"/>
      <c r="AH3146" s="164"/>
      <c r="AI3146" s="164"/>
    </row>
    <row r="3147">
      <c r="A3147" s="154"/>
      <c r="B3147" s="155"/>
      <c r="C3147" s="156"/>
      <c r="D3147" s="156"/>
      <c r="E3147" s="155"/>
      <c r="F3147" s="156"/>
      <c r="G3147" s="154"/>
      <c r="H3147" s="157"/>
      <c r="I3147" s="158"/>
      <c r="J3147" s="159"/>
      <c r="K3147" s="156"/>
      <c r="L3147" s="156"/>
      <c r="M3147" s="155"/>
      <c r="N3147" s="160"/>
      <c r="O3147" s="161"/>
      <c r="P3147" s="161"/>
      <c r="Q3147" s="203"/>
      <c r="R3147" s="162"/>
      <c r="S3147" s="162"/>
      <c r="T3147" s="162"/>
      <c r="U3147" s="163"/>
      <c r="V3147" s="216"/>
      <c r="W3147" s="164"/>
      <c r="X3147" s="164"/>
      <c r="Y3147" s="164"/>
      <c r="Z3147" s="164"/>
      <c r="AA3147" s="164"/>
      <c r="AB3147" s="164"/>
      <c r="AC3147" s="164"/>
      <c r="AD3147" s="164"/>
      <c r="AE3147" s="164"/>
      <c r="AF3147" s="164"/>
      <c r="AG3147" s="164"/>
      <c r="AH3147" s="164"/>
      <c r="AI3147" s="164"/>
    </row>
    <row r="3148">
      <c r="A3148" s="154"/>
      <c r="B3148" s="155"/>
      <c r="C3148" s="156"/>
      <c r="D3148" s="156"/>
      <c r="E3148" s="155"/>
      <c r="F3148" s="156"/>
      <c r="G3148" s="154"/>
      <c r="H3148" s="157"/>
      <c r="I3148" s="158"/>
      <c r="J3148" s="159"/>
      <c r="K3148" s="156"/>
      <c r="L3148" s="156"/>
      <c r="M3148" s="155"/>
      <c r="N3148" s="160"/>
      <c r="O3148" s="161"/>
      <c r="P3148" s="161"/>
      <c r="Q3148" s="203"/>
      <c r="R3148" s="162"/>
      <c r="S3148" s="162"/>
      <c r="T3148" s="162"/>
      <c r="U3148" s="163"/>
      <c r="V3148" s="216"/>
      <c r="W3148" s="164"/>
      <c r="X3148" s="164"/>
      <c r="Y3148" s="164"/>
      <c r="Z3148" s="164"/>
      <c r="AA3148" s="164"/>
      <c r="AB3148" s="164"/>
      <c r="AC3148" s="164"/>
      <c r="AD3148" s="164"/>
      <c r="AE3148" s="164"/>
      <c r="AF3148" s="164"/>
      <c r="AG3148" s="164"/>
      <c r="AH3148" s="164"/>
      <c r="AI3148" s="164"/>
    </row>
    <row r="3149">
      <c r="A3149" s="154"/>
      <c r="B3149" s="155"/>
      <c r="C3149" s="156"/>
      <c r="D3149" s="156"/>
      <c r="E3149" s="155"/>
      <c r="F3149" s="156"/>
      <c r="G3149" s="154"/>
      <c r="H3149" s="157"/>
      <c r="I3149" s="158"/>
      <c r="J3149" s="159"/>
      <c r="K3149" s="156"/>
      <c r="L3149" s="156"/>
      <c r="M3149" s="155"/>
      <c r="N3149" s="160"/>
      <c r="O3149" s="161"/>
      <c r="P3149" s="161"/>
      <c r="Q3149" s="159"/>
      <c r="R3149" s="162"/>
      <c r="S3149" s="162"/>
      <c r="T3149" s="162"/>
      <c r="U3149" s="163"/>
      <c r="V3149" s="154"/>
      <c r="W3149" s="164"/>
      <c r="X3149" s="164"/>
      <c r="Y3149" s="164"/>
      <c r="Z3149" s="164"/>
      <c r="AA3149" s="164"/>
      <c r="AB3149" s="164"/>
      <c r="AC3149" s="164"/>
      <c r="AD3149" s="164"/>
      <c r="AE3149" s="164"/>
      <c r="AF3149" s="164"/>
      <c r="AG3149" s="164"/>
      <c r="AH3149" s="164"/>
      <c r="AI3149" s="164"/>
    </row>
    <row r="3150">
      <c r="A3150" s="154"/>
      <c r="B3150" s="155"/>
      <c r="C3150" s="156"/>
      <c r="D3150" s="156"/>
      <c r="E3150" s="155"/>
      <c r="F3150" s="156"/>
      <c r="G3150" s="154"/>
      <c r="H3150" s="157"/>
      <c r="I3150" s="158"/>
      <c r="J3150" s="159"/>
      <c r="K3150" s="156"/>
      <c r="L3150" s="156"/>
      <c r="M3150" s="202"/>
      <c r="N3150" s="160"/>
      <c r="O3150" s="161"/>
      <c r="P3150" s="161"/>
      <c r="Q3150" s="203"/>
      <c r="R3150" s="162"/>
      <c r="S3150" s="162"/>
      <c r="T3150" s="162"/>
      <c r="U3150" s="163"/>
      <c r="V3150" s="154"/>
      <c r="W3150" s="164"/>
      <c r="X3150" s="164"/>
      <c r="Y3150" s="164"/>
      <c r="Z3150" s="164"/>
      <c r="AA3150" s="164"/>
      <c r="AB3150" s="164"/>
      <c r="AC3150" s="164"/>
      <c r="AD3150" s="164"/>
      <c r="AE3150" s="164"/>
      <c r="AF3150" s="164"/>
      <c r="AG3150" s="164"/>
      <c r="AH3150" s="164"/>
      <c r="AI3150" s="164"/>
    </row>
    <row r="3151">
      <c r="A3151" s="154"/>
      <c r="B3151" s="155"/>
      <c r="C3151" s="156"/>
      <c r="D3151" s="156"/>
      <c r="E3151" s="155"/>
      <c r="F3151" s="156"/>
      <c r="G3151" s="154"/>
      <c r="H3151" s="157"/>
      <c r="I3151" s="158"/>
      <c r="J3151" s="159"/>
      <c r="K3151" s="156"/>
      <c r="L3151" s="156"/>
      <c r="M3151" s="202"/>
      <c r="N3151" s="160"/>
      <c r="O3151" s="161"/>
      <c r="P3151" s="161"/>
      <c r="Q3151" s="203"/>
      <c r="R3151" s="162"/>
      <c r="S3151" s="162"/>
      <c r="T3151" s="162"/>
      <c r="U3151" s="163"/>
      <c r="V3151" s="154"/>
      <c r="W3151" s="164"/>
      <c r="X3151" s="164"/>
      <c r="Y3151" s="164"/>
      <c r="Z3151" s="164"/>
      <c r="AA3151" s="164"/>
      <c r="AB3151" s="164"/>
      <c r="AC3151" s="164"/>
      <c r="AD3151" s="164"/>
      <c r="AE3151" s="164"/>
      <c r="AF3151" s="164"/>
      <c r="AG3151" s="164"/>
      <c r="AH3151" s="164"/>
      <c r="AI3151" s="164"/>
    </row>
    <row r="3152">
      <c r="A3152" s="154"/>
      <c r="B3152" s="155"/>
      <c r="C3152" s="156"/>
      <c r="D3152" s="156"/>
      <c r="E3152" s="155"/>
      <c r="F3152" s="156"/>
      <c r="G3152" s="154"/>
      <c r="H3152" s="157"/>
      <c r="I3152" s="158"/>
      <c r="J3152" s="159"/>
      <c r="K3152" s="156"/>
      <c r="L3152" s="156"/>
      <c r="M3152" s="155"/>
      <c r="N3152" s="160"/>
      <c r="O3152" s="161"/>
      <c r="P3152" s="161"/>
      <c r="Q3152" s="203"/>
      <c r="R3152" s="162"/>
      <c r="S3152" s="162"/>
      <c r="T3152" s="162"/>
      <c r="U3152" s="163"/>
      <c r="V3152" s="154"/>
      <c r="W3152" s="164"/>
      <c r="X3152" s="164"/>
      <c r="Y3152" s="164"/>
      <c r="Z3152" s="164"/>
      <c r="AA3152" s="164"/>
      <c r="AB3152" s="164"/>
      <c r="AC3152" s="164"/>
      <c r="AD3152" s="164"/>
      <c r="AE3152" s="164"/>
      <c r="AF3152" s="164"/>
      <c r="AG3152" s="164"/>
      <c r="AH3152" s="164"/>
      <c r="AI3152" s="164"/>
    </row>
    <row r="3153">
      <c r="A3153" s="154"/>
      <c r="B3153" s="155"/>
      <c r="C3153" s="156"/>
      <c r="D3153" s="156"/>
      <c r="E3153" s="155"/>
      <c r="F3153" s="156"/>
      <c r="G3153" s="154"/>
      <c r="H3153" s="157"/>
      <c r="I3153" s="158"/>
      <c r="J3153" s="159"/>
      <c r="K3153" s="156"/>
      <c r="L3153" s="156"/>
      <c r="M3153" s="155"/>
      <c r="N3153" s="160"/>
      <c r="O3153" s="161"/>
      <c r="P3153" s="161"/>
      <c r="Q3153" s="203"/>
      <c r="R3153" s="162"/>
      <c r="S3153" s="162"/>
      <c r="T3153" s="162"/>
      <c r="U3153" s="163"/>
      <c r="V3153" s="154"/>
      <c r="W3153" s="164"/>
      <c r="X3153" s="164"/>
      <c r="Y3153" s="164"/>
      <c r="Z3153" s="164"/>
      <c r="AA3153" s="164"/>
      <c r="AB3153" s="164"/>
      <c r="AC3153" s="164"/>
      <c r="AD3153" s="164"/>
      <c r="AE3153" s="164"/>
      <c r="AF3153" s="164"/>
      <c r="AG3153" s="164"/>
      <c r="AH3153" s="164"/>
      <c r="AI3153" s="164"/>
    </row>
    <row r="3154">
      <c r="A3154" s="154"/>
      <c r="B3154" s="155"/>
      <c r="C3154" s="156"/>
      <c r="D3154" s="156"/>
      <c r="E3154" s="155"/>
      <c r="F3154" s="156"/>
      <c r="G3154" s="154"/>
      <c r="H3154" s="157"/>
      <c r="I3154" s="158"/>
      <c r="J3154" s="159"/>
      <c r="K3154" s="156"/>
      <c r="L3154" s="156"/>
      <c r="M3154" s="155"/>
      <c r="N3154" s="160"/>
      <c r="O3154" s="161"/>
      <c r="P3154" s="161"/>
      <c r="Q3154" s="203"/>
      <c r="R3154" s="162"/>
      <c r="S3154" s="162"/>
      <c r="T3154" s="162"/>
      <c r="U3154" s="163"/>
      <c r="V3154" s="154"/>
      <c r="W3154" s="164"/>
      <c r="X3154" s="164"/>
      <c r="Y3154" s="164"/>
      <c r="Z3154" s="164"/>
      <c r="AA3154" s="164"/>
      <c r="AB3154" s="164"/>
      <c r="AC3154" s="164"/>
      <c r="AD3154" s="164"/>
      <c r="AE3154" s="164"/>
      <c r="AF3154" s="164"/>
      <c r="AG3154" s="164"/>
      <c r="AH3154" s="164"/>
      <c r="AI3154" s="164"/>
    </row>
    <row r="3155">
      <c r="A3155" s="154"/>
      <c r="B3155" s="155"/>
      <c r="C3155" s="156"/>
      <c r="D3155" s="156"/>
      <c r="E3155" s="155"/>
      <c r="F3155" s="156"/>
      <c r="G3155" s="154"/>
      <c r="H3155" s="157"/>
      <c r="I3155" s="158"/>
      <c r="J3155" s="159"/>
      <c r="K3155" s="156"/>
      <c r="L3155" s="156"/>
      <c r="M3155" s="155"/>
      <c r="N3155" s="160"/>
      <c r="O3155" s="161"/>
      <c r="P3155" s="161"/>
      <c r="Q3155" s="159"/>
      <c r="R3155" s="162"/>
      <c r="S3155" s="162"/>
      <c r="T3155" s="162"/>
      <c r="U3155" s="163"/>
      <c r="V3155" s="216"/>
      <c r="W3155" s="164"/>
      <c r="X3155" s="164"/>
      <c r="Y3155" s="164"/>
      <c r="Z3155" s="164"/>
      <c r="AA3155" s="164"/>
      <c r="AB3155" s="164"/>
      <c r="AC3155" s="164"/>
      <c r="AD3155" s="164"/>
      <c r="AE3155" s="164"/>
      <c r="AF3155" s="164"/>
      <c r="AG3155" s="164"/>
      <c r="AH3155" s="164"/>
      <c r="AI3155" s="164"/>
    </row>
    <row r="3156">
      <c r="A3156" s="154"/>
      <c r="B3156" s="155"/>
      <c r="C3156" s="156"/>
      <c r="D3156" s="156"/>
      <c r="E3156" s="155"/>
      <c r="F3156" s="156"/>
      <c r="G3156" s="154"/>
      <c r="H3156" s="157"/>
      <c r="I3156" s="158"/>
      <c r="J3156" s="159"/>
      <c r="K3156" s="156"/>
      <c r="L3156" s="156"/>
      <c r="M3156" s="155"/>
      <c r="N3156" s="160"/>
      <c r="O3156" s="161"/>
      <c r="P3156" s="161"/>
      <c r="Q3156" s="159"/>
      <c r="R3156" s="162"/>
      <c r="S3156" s="162"/>
      <c r="T3156" s="162"/>
      <c r="U3156" s="163"/>
      <c r="V3156" s="154"/>
      <c r="W3156" s="164"/>
      <c r="X3156" s="164"/>
      <c r="Y3156" s="164"/>
      <c r="Z3156" s="164"/>
      <c r="AA3156" s="164"/>
      <c r="AB3156" s="164"/>
      <c r="AC3156" s="164"/>
      <c r="AD3156" s="164"/>
      <c r="AE3156" s="164"/>
      <c r="AF3156" s="164"/>
      <c r="AG3156" s="164"/>
      <c r="AH3156" s="164"/>
      <c r="AI3156" s="164"/>
    </row>
    <row r="3157">
      <c r="A3157" s="154"/>
      <c r="B3157" s="155"/>
      <c r="C3157" s="156"/>
      <c r="D3157" s="156"/>
      <c r="E3157" s="155"/>
      <c r="F3157" s="156"/>
      <c r="G3157" s="154"/>
      <c r="H3157" s="157"/>
      <c r="I3157" s="158"/>
      <c r="J3157" s="159"/>
      <c r="K3157" s="156"/>
      <c r="L3157" s="156"/>
      <c r="M3157" s="155"/>
      <c r="N3157" s="160"/>
      <c r="O3157" s="161"/>
      <c r="P3157" s="161"/>
      <c r="Q3157" s="159"/>
      <c r="R3157" s="162"/>
      <c r="S3157" s="162"/>
      <c r="T3157" s="162"/>
      <c r="U3157" s="163"/>
      <c r="V3157" s="215"/>
      <c r="W3157" s="164"/>
      <c r="X3157" s="164"/>
      <c r="Y3157" s="164"/>
      <c r="Z3157" s="164"/>
      <c r="AA3157" s="164"/>
      <c r="AB3157" s="164"/>
      <c r="AC3157" s="164"/>
      <c r="AD3157" s="164"/>
      <c r="AE3157" s="164"/>
      <c r="AF3157" s="164"/>
      <c r="AG3157" s="164"/>
      <c r="AH3157" s="164"/>
      <c r="AI3157" s="164"/>
    </row>
    <row r="3158">
      <c r="A3158" s="154"/>
      <c r="B3158" s="155"/>
      <c r="C3158" s="156"/>
      <c r="D3158" s="156"/>
      <c r="E3158" s="155"/>
      <c r="F3158" s="156"/>
      <c r="G3158" s="154"/>
      <c r="H3158" s="157"/>
      <c r="I3158" s="158"/>
      <c r="J3158" s="159"/>
      <c r="K3158" s="156"/>
      <c r="L3158" s="156"/>
      <c r="M3158" s="155"/>
      <c r="N3158" s="160"/>
      <c r="O3158" s="161"/>
      <c r="P3158" s="161"/>
      <c r="Q3158" s="203"/>
      <c r="R3158" s="162"/>
      <c r="S3158" s="162"/>
      <c r="T3158" s="162"/>
      <c r="U3158" s="163"/>
      <c r="V3158" s="154"/>
      <c r="W3158" s="164"/>
      <c r="X3158" s="164"/>
      <c r="Y3158" s="164"/>
      <c r="Z3158" s="164"/>
      <c r="AA3158" s="164"/>
      <c r="AB3158" s="164"/>
      <c r="AC3158" s="164"/>
      <c r="AD3158" s="164"/>
      <c r="AE3158" s="164"/>
      <c r="AF3158" s="164"/>
      <c r="AG3158" s="164"/>
      <c r="AH3158" s="164"/>
      <c r="AI3158" s="164"/>
    </row>
    <row r="3159">
      <c r="A3159" s="154"/>
      <c r="B3159" s="155"/>
      <c r="C3159" s="156"/>
      <c r="D3159" s="156"/>
      <c r="E3159" s="155"/>
      <c r="F3159" s="156"/>
      <c r="G3159" s="154"/>
      <c r="H3159" s="157"/>
      <c r="I3159" s="158"/>
      <c r="J3159" s="159"/>
      <c r="K3159" s="156"/>
      <c r="L3159" s="156"/>
      <c r="M3159" s="155"/>
      <c r="N3159" s="160"/>
      <c r="O3159" s="161"/>
      <c r="P3159" s="161"/>
      <c r="Q3159" s="159"/>
      <c r="R3159" s="162"/>
      <c r="S3159" s="162"/>
      <c r="T3159" s="162"/>
      <c r="U3159" s="163"/>
      <c r="V3159" s="215"/>
      <c r="W3159" s="164"/>
      <c r="X3159" s="164"/>
      <c r="Y3159" s="164"/>
      <c r="Z3159" s="164"/>
      <c r="AA3159" s="164"/>
      <c r="AB3159" s="164"/>
      <c r="AC3159" s="164"/>
      <c r="AD3159" s="164"/>
      <c r="AE3159" s="164"/>
      <c r="AF3159" s="164"/>
      <c r="AG3159" s="164"/>
      <c r="AH3159" s="164"/>
      <c r="AI3159" s="164"/>
    </row>
    <row r="3160">
      <c r="A3160" s="154"/>
      <c r="B3160" s="155"/>
      <c r="C3160" s="156"/>
      <c r="D3160" s="156"/>
      <c r="E3160" s="155"/>
      <c r="F3160" s="156"/>
      <c r="G3160" s="154"/>
      <c r="H3160" s="157"/>
      <c r="I3160" s="158"/>
      <c r="J3160" s="159"/>
      <c r="K3160" s="156"/>
      <c r="L3160" s="156"/>
      <c r="M3160" s="155"/>
      <c r="N3160" s="160"/>
      <c r="O3160" s="161"/>
      <c r="P3160" s="161"/>
      <c r="Q3160" s="159"/>
      <c r="R3160" s="162"/>
      <c r="S3160" s="162"/>
      <c r="T3160" s="162"/>
      <c r="U3160" s="163"/>
      <c r="V3160" s="154"/>
      <c r="W3160" s="164"/>
      <c r="X3160" s="164"/>
      <c r="Y3160" s="164"/>
      <c r="Z3160" s="164"/>
      <c r="AA3160" s="164"/>
      <c r="AB3160" s="164"/>
      <c r="AC3160" s="164"/>
      <c r="AD3160" s="164"/>
      <c r="AE3160" s="164"/>
      <c r="AF3160" s="164"/>
      <c r="AG3160" s="164"/>
      <c r="AH3160" s="164"/>
      <c r="AI3160" s="164"/>
    </row>
    <row r="3161">
      <c r="A3161" s="154"/>
      <c r="B3161" s="155"/>
      <c r="C3161" s="156"/>
      <c r="D3161" s="156"/>
      <c r="E3161" s="155"/>
      <c r="F3161" s="156"/>
      <c r="G3161" s="154"/>
      <c r="H3161" s="157"/>
      <c r="I3161" s="158"/>
      <c r="J3161" s="159"/>
      <c r="K3161" s="156"/>
      <c r="L3161" s="156"/>
      <c r="M3161" s="155"/>
      <c r="N3161" s="160"/>
      <c r="O3161" s="161"/>
      <c r="P3161" s="161"/>
      <c r="Q3161" s="159"/>
      <c r="R3161" s="162"/>
      <c r="S3161" s="162"/>
      <c r="T3161" s="162"/>
      <c r="U3161" s="163"/>
      <c r="V3161" s="154"/>
      <c r="W3161" s="164"/>
      <c r="X3161" s="164"/>
      <c r="Y3161" s="164"/>
      <c r="Z3161" s="164"/>
      <c r="AA3161" s="164"/>
      <c r="AB3161" s="164"/>
      <c r="AC3161" s="164"/>
      <c r="AD3161" s="164"/>
      <c r="AE3161" s="164"/>
      <c r="AF3161" s="164"/>
      <c r="AG3161" s="164"/>
      <c r="AH3161" s="164"/>
      <c r="AI3161" s="164"/>
    </row>
    <row r="3162">
      <c r="A3162" s="154"/>
      <c r="B3162" s="155"/>
      <c r="C3162" s="156"/>
      <c r="D3162" s="156"/>
      <c r="E3162" s="155"/>
      <c r="F3162" s="156"/>
      <c r="G3162" s="154"/>
      <c r="H3162" s="157"/>
      <c r="I3162" s="158"/>
      <c r="J3162" s="159"/>
      <c r="K3162" s="156"/>
      <c r="L3162" s="156"/>
      <c r="M3162" s="155"/>
      <c r="N3162" s="160"/>
      <c r="O3162" s="161"/>
      <c r="P3162" s="161"/>
      <c r="Q3162" s="159"/>
      <c r="R3162" s="162"/>
      <c r="S3162" s="162"/>
      <c r="T3162" s="162"/>
      <c r="U3162" s="163"/>
      <c r="V3162" s="154"/>
      <c r="W3162" s="164"/>
      <c r="X3162" s="164"/>
      <c r="Y3162" s="164"/>
      <c r="Z3162" s="164"/>
      <c r="AA3162" s="164"/>
      <c r="AB3162" s="164"/>
      <c r="AC3162" s="164"/>
      <c r="AD3162" s="164"/>
      <c r="AE3162" s="164"/>
      <c r="AF3162" s="164"/>
      <c r="AG3162" s="164"/>
      <c r="AH3162" s="164"/>
      <c r="AI3162" s="164"/>
    </row>
    <row r="3163">
      <c r="A3163" s="154"/>
      <c r="B3163" s="155"/>
      <c r="C3163" s="156"/>
      <c r="D3163" s="156"/>
      <c r="E3163" s="155"/>
      <c r="F3163" s="156"/>
      <c r="G3163" s="154"/>
      <c r="H3163" s="157"/>
      <c r="I3163" s="158"/>
      <c r="J3163" s="159"/>
      <c r="K3163" s="156"/>
      <c r="L3163" s="156"/>
      <c r="M3163" s="202"/>
      <c r="N3163" s="160"/>
      <c r="O3163" s="161"/>
      <c r="P3163" s="161"/>
      <c r="Q3163" s="203"/>
      <c r="R3163" s="162"/>
      <c r="S3163" s="162"/>
      <c r="T3163" s="162"/>
      <c r="U3163" s="163"/>
      <c r="V3163" s="154"/>
      <c r="W3163" s="164"/>
      <c r="X3163" s="164"/>
      <c r="Y3163" s="164"/>
      <c r="Z3163" s="164"/>
      <c r="AA3163" s="164"/>
      <c r="AB3163" s="164"/>
      <c r="AC3163" s="164"/>
      <c r="AD3163" s="164"/>
      <c r="AE3163" s="164"/>
      <c r="AF3163" s="164"/>
      <c r="AG3163" s="164"/>
      <c r="AH3163" s="164"/>
      <c r="AI3163" s="164"/>
    </row>
    <row r="3164">
      <c r="A3164" s="154"/>
      <c r="B3164" s="155"/>
      <c r="C3164" s="156"/>
      <c r="D3164" s="156"/>
      <c r="E3164" s="155"/>
      <c r="F3164" s="156"/>
      <c r="G3164" s="154"/>
      <c r="H3164" s="157"/>
      <c r="I3164" s="158"/>
      <c r="J3164" s="159"/>
      <c r="K3164" s="156"/>
      <c r="L3164" s="156"/>
      <c r="M3164" s="155"/>
      <c r="N3164" s="160"/>
      <c r="O3164" s="161"/>
      <c r="P3164" s="161"/>
      <c r="Q3164" s="203"/>
      <c r="R3164" s="162"/>
      <c r="S3164" s="162"/>
      <c r="T3164" s="162"/>
      <c r="U3164" s="163"/>
      <c r="V3164" s="154"/>
      <c r="W3164" s="164"/>
      <c r="X3164" s="164"/>
      <c r="Y3164" s="164"/>
      <c r="Z3164" s="164"/>
      <c r="AA3164" s="164"/>
      <c r="AB3164" s="164"/>
      <c r="AC3164" s="164"/>
      <c r="AD3164" s="164"/>
      <c r="AE3164" s="164"/>
      <c r="AF3164" s="164"/>
      <c r="AG3164" s="164"/>
      <c r="AH3164" s="164"/>
      <c r="AI3164" s="164"/>
    </row>
    <row r="3165">
      <c r="A3165" s="154"/>
      <c r="B3165" s="155"/>
      <c r="C3165" s="156"/>
      <c r="D3165" s="156"/>
      <c r="E3165" s="155"/>
      <c r="F3165" s="156"/>
      <c r="G3165" s="154"/>
      <c r="H3165" s="157"/>
      <c r="I3165" s="158"/>
      <c r="J3165" s="159"/>
      <c r="K3165" s="156"/>
      <c r="L3165" s="156"/>
      <c r="M3165" s="202"/>
      <c r="N3165" s="160"/>
      <c r="O3165" s="161"/>
      <c r="P3165" s="161"/>
      <c r="Q3165" s="203"/>
      <c r="R3165" s="162"/>
      <c r="S3165" s="162"/>
      <c r="T3165" s="162"/>
      <c r="U3165" s="163"/>
      <c r="V3165" s="154"/>
      <c r="W3165" s="164"/>
      <c r="X3165" s="164"/>
      <c r="Y3165" s="164"/>
      <c r="Z3165" s="164"/>
      <c r="AA3165" s="164"/>
      <c r="AB3165" s="164"/>
      <c r="AC3165" s="164"/>
      <c r="AD3165" s="164"/>
      <c r="AE3165" s="164"/>
      <c r="AF3165" s="164"/>
      <c r="AG3165" s="164"/>
      <c r="AH3165" s="164"/>
      <c r="AI3165" s="164"/>
    </row>
    <row r="3166">
      <c r="A3166" s="154"/>
      <c r="B3166" s="155"/>
      <c r="C3166" s="156"/>
      <c r="D3166" s="156"/>
      <c r="E3166" s="155"/>
      <c r="F3166" s="156"/>
      <c r="G3166" s="154"/>
      <c r="H3166" s="157"/>
      <c r="I3166" s="158"/>
      <c r="J3166" s="159"/>
      <c r="K3166" s="156"/>
      <c r="L3166" s="156"/>
      <c r="M3166" s="155"/>
      <c r="N3166" s="160"/>
      <c r="O3166" s="161"/>
      <c r="P3166" s="161"/>
      <c r="Q3166" s="203"/>
      <c r="R3166" s="162"/>
      <c r="S3166" s="162"/>
      <c r="T3166" s="162"/>
      <c r="U3166" s="163"/>
      <c r="V3166" s="215"/>
      <c r="W3166" s="164"/>
      <c r="X3166" s="164"/>
      <c r="Y3166" s="164"/>
      <c r="Z3166" s="164"/>
      <c r="AA3166" s="164"/>
      <c r="AB3166" s="164"/>
      <c r="AC3166" s="164"/>
      <c r="AD3166" s="164"/>
      <c r="AE3166" s="164"/>
      <c r="AF3166" s="164"/>
      <c r="AG3166" s="164"/>
      <c r="AH3166" s="164"/>
      <c r="AI3166" s="164"/>
    </row>
    <row r="3167">
      <c r="A3167" s="154"/>
      <c r="B3167" s="155"/>
      <c r="C3167" s="156"/>
      <c r="D3167" s="156"/>
      <c r="E3167" s="155"/>
      <c r="F3167" s="156"/>
      <c r="G3167" s="154"/>
      <c r="H3167" s="157"/>
      <c r="I3167" s="158"/>
      <c r="J3167" s="159"/>
      <c r="K3167" s="156"/>
      <c r="L3167" s="156"/>
      <c r="M3167" s="155"/>
      <c r="N3167" s="160"/>
      <c r="O3167" s="161"/>
      <c r="P3167" s="161"/>
      <c r="Q3167" s="203"/>
      <c r="R3167" s="162"/>
      <c r="S3167" s="162"/>
      <c r="T3167" s="162"/>
      <c r="U3167" s="163"/>
      <c r="V3167" s="154"/>
      <c r="W3167" s="164"/>
      <c r="X3167" s="164"/>
      <c r="Y3167" s="164"/>
      <c r="Z3167" s="164"/>
      <c r="AA3167" s="164"/>
      <c r="AB3167" s="164"/>
      <c r="AC3167" s="164"/>
      <c r="AD3167" s="164"/>
      <c r="AE3167" s="164"/>
      <c r="AF3167" s="164"/>
      <c r="AG3167" s="164"/>
      <c r="AH3167" s="164"/>
      <c r="AI3167" s="164"/>
    </row>
    <row r="3168">
      <c r="A3168" s="154"/>
      <c r="B3168" s="155"/>
      <c r="C3168" s="156"/>
      <c r="D3168" s="156"/>
      <c r="E3168" s="155"/>
      <c r="F3168" s="156"/>
      <c r="G3168" s="154"/>
      <c r="H3168" s="157"/>
      <c r="I3168" s="158"/>
      <c r="J3168" s="159"/>
      <c r="K3168" s="156"/>
      <c r="L3168" s="156"/>
      <c r="M3168" s="155"/>
      <c r="N3168" s="160"/>
      <c r="O3168" s="161"/>
      <c r="P3168" s="161"/>
      <c r="Q3168" s="203"/>
      <c r="R3168" s="162"/>
      <c r="S3168" s="162"/>
      <c r="T3168" s="162"/>
      <c r="U3168" s="163"/>
      <c r="V3168" s="154"/>
      <c r="W3168" s="164"/>
      <c r="X3168" s="164"/>
      <c r="Y3168" s="164"/>
      <c r="Z3168" s="164"/>
      <c r="AA3168" s="164"/>
      <c r="AB3168" s="164"/>
      <c r="AC3168" s="164"/>
      <c r="AD3168" s="164"/>
      <c r="AE3168" s="164"/>
      <c r="AF3168" s="164"/>
      <c r="AG3168" s="164"/>
      <c r="AH3168" s="164"/>
      <c r="AI3168" s="164"/>
    </row>
    <row r="3169">
      <c r="A3169" s="154"/>
      <c r="B3169" s="155"/>
      <c r="C3169" s="156"/>
      <c r="D3169" s="156"/>
      <c r="E3169" s="155"/>
      <c r="F3169" s="156"/>
      <c r="G3169" s="154"/>
      <c r="H3169" s="157"/>
      <c r="I3169" s="158"/>
      <c r="J3169" s="159"/>
      <c r="K3169" s="156"/>
      <c r="L3169" s="156"/>
      <c r="M3169" s="155"/>
      <c r="N3169" s="160"/>
      <c r="O3169" s="161"/>
      <c r="P3169" s="161"/>
      <c r="Q3169" s="159"/>
      <c r="R3169" s="162"/>
      <c r="S3169" s="162"/>
      <c r="T3169" s="162"/>
      <c r="U3169" s="163"/>
      <c r="V3169" s="215"/>
      <c r="W3169" s="164"/>
      <c r="X3169" s="164"/>
      <c r="Y3169" s="164"/>
      <c r="Z3169" s="164"/>
      <c r="AA3169" s="164"/>
      <c r="AB3169" s="164"/>
      <c r="AC3169" s="164"/>
      <c r="AD3169" s="164"/>
      <c r="AE3169" s="164"/>
      <c r="AF3169" s="164"/>
      <c r="AG3169" s="164"/>
      <c r="AH3169" s="164"/>
      <c r="AI3169" s="164"/>
    </row>
    <row r="3170">
      <c r="A3170" s="154"/>
      <c r="B3170" s="155"/>
      <c r="C3170" s="156"/>
      <c r="D3170" s="156"/>
      <c r="E3170" s="155"/>
      <c r="F3170" s="156"/>
      <c r="G3170" s="154"/>
      <c r="H3170" s="157"/>
      <c r="I3170" s="158"/>
      <c r="J3170" s="159"/>
      <c r="K3170" s="156"/>
      <c r="L3170" s="156"/>
      <c r="M3170" s="155"/>
      <c r="N3170" s="160"/>
      <c r="O3170" s="161"/>
      <c r="P3170" s="161"/>
      <c r="Q3170" s="203"/>
      <c r="R3170" s="162"/>
      <c r="S3170" s="162"/>
      <c r="T3170" s="162"/>
      <c r="U3170" s="163"/>
      <c r="V3170" s="154"/>
      <c r="W3170" s="164"/>
      <c r="X3170" s="164"/>
      <c r="Y3170" s="164"/>
      <c r="Z3170" s="164"/>
      <c r="AA3170" s="164"/>
      <c r="AB3170" s="164"/>
      <c r="AC3170" s="164"/>
      <c r="AD3170" s="164"/>
      <c r="AE3170" s="164"/>
      <c r="AF3170" s="164"/>
      <c r="AG3170" s="164"/>
      <c r="AH3170" s="164"/>
      <c r="AI3170" s="164"/>
    </row>
    <row r="3171">
      <c r="A3171" s="154"/>
      <c r="B3171" s="155"/>
      <c r="C3171" s="156"/>
      <c r="D3171" s="156"/>
      <c r="E3171" s="155"/>
      <c r="F3171" s="156"/>
      <c r="G3171" s="154"/>
      <c r="H3171" s="157"/>
      <c r="I3171" s="158"/>
      <c r="J3171" s="159"/>
      <c r="K3171" s="156"/>
      <c r="L3171" s="156"/>
      <c r="M3171" s="202"/>
      <c r="N3171" s="160"/>
      <c r="O3171" s="161"/>
      <c r="P3171" s="161"/>
      <c r="Q3171" s="203"/>
      <c r="R3171" s="162"/>
      <c r="S3171" s="162"/>
      <c r="T3171" s="162"/>
      <c r="U3171" s="163"/>
      <c r="V3171" s="154"/>
      <c r="W3171" s="164"/>
      <c r="X3171" s="164"/>
      <c r="Y3171" s="164"/>
      <c r="Z3171" s="164"/>
      <c r="AA3171" s="164"/>
      <c r="AB3171" s="164"/>
      <c r="AC3171" s="164"/>
      <c r="AD3171" s="164"/>
      <c r="AE3171" s="164"/>
      <c r="AF3171" s="164"/>
      <c r="AG3171" s="164"/>
      <c r="AH3171" s="164"/>
      <c r="AI3171" s="164"/>
    </row>
    <row r="3172">
      <c r="A3172" s="154"/>
      <c r="B3172" s="155"/>
      <c r="C3172" s="156"/>
      <c r="D3172" s="156"/>
      <c r="E3172" s="155"/>
      <c r="F3172" s="156"/>
      <c r="G3172" s="154"/>
      <c r="H3172" s="157"/>
      <c r="I3172" s="158"/>
      <c r="J3172" s="159"/>
      <c r="K3172" s="156"/>
      <c r="L3172" s="156"/>
      <c r="M3172" s="155"/>
      <c r="N3172" s="160"/>
      <c r="O3172" s="161"/>
      <c r="P3172" s="161"/>
      <c r="Q3172" s="203"/>
      <c r="R3172" s="162"/>
      <c r="S3172" s="162"/>
      <c r="T3172" s="162"/>
      <c r="U3172" s="163"/>
      <c r="V3172" s="154"/>
      <c r="W3172" s="164"/>
      <c r="X3172" s="164"/>
      <c r="Y3172" s="164"/>
      <c r="Z3172" s="164"/>
      <c r="AA3172" s="164"/>
      <c r="AB3172" s="164"/>
      <c r="AC3172" s="164"/>
      <c r="AD3172" s="164"/>
      <c r="AE3172" s="164"/>
      <c r="AF3172" s="164"/>
      <c r="AG3172" s="164"/>
      <c r="AH3172" s="164"/>
      <c r="AI3172" s="164"/>
    </row>
    <row r="3173">
      <c r="A3173" s="154"/>
      <c r="B3173" s="155"/>
      <c r="C3173" s="156"/>
      <c r="D3173" s="156"/>
      <c r="E3173" s="155"/>
      <c r="F3173" s="156"/>
      <c r="G3173" s="154"/>
      <c r="H3173" s="157"/>
      <c r="I3173" s="158"/>
      <c r="J3173" s="159"/>
      <c r="K3173" s="156"/>
      <c r="L3173" s="156"/>
      <c r="M3173" s="202"/>
      <c r="N3173" s="160"/>
      <c r="O3173" s="161"/>
      <c r="P3173" s="161"/>
      <c r="Q3173" s="203"/>
      <c r="R3173" s="162"/>
      <c r="S3173" s="162"/>
      <c r="T3173" s="162"/>
      <c r="U3173" s="163"/>
      <c r="V3173" s="154"/>
      <c r="W3173" s="164"/>
      <c r="X3173" s="164"/>
      <c r="Y3173" s="164"/>
      <c r="Z3173" s="164"/>
      <c r="AA3173" s="164"/>
      <c r="AB3173" s="164"/>
      <c r="AC3173" s="164"/>
      <c r="AD3173" s="164"/>
      <c r="AE3173" s="164"/>
      <c r="AF3173" s="164"/>
      <c r="AG3173" s="164"/>
      <c r="AH3173" s="164"/>
      <c r="AI3173" s="164"/>
    </row>
    <row r="3174">
      <c r="A3174" s="154"/>
      <c r="B3174" s="155"/>
      <c r="C3174" s="156"/>
      <c r="D3174" s="156"/>
      <c r="E3174" s="155"/>
      <c r="F3174" s="156"/>
      <c r="G3174" s="154"/>
      <c r="H3174" s="157"/>
      <c r="I3174" s="158"/>
      <c r="J3174" s="159"/>
      <c r="K3174" s="156"/>
      <c r="L3174" s="156"/>
      <c r="M3174" s="155"/>
      <c r="N3174" s="160"/>
      <c r="O3174" s="161"/>
      <c r="P3174" s="161"/>
      <c r="Q3174" s="203"/>
      <c r="R3174" s="162"/>
      <c r="S3174" s="162"/>
      <c r="T3174" s="162"/>
      <c r="U3174" s="163"/>
      <c r="V3174" s="154"/>
      <c r="W3174" s="164"/>
      <c r="X3174" s="164"/>
      <c r="Y3174" s="164"/>
      <c r="Z3174" s="164"/>
      <c r="AA3174" s="164"/>
      <c r="AB3174" s="164"/>
      <c r="AC3174" s="164"/>
      <c r="AD3174" s="164"/>
      <c r="AE3174" s="164"/>
      <c r="AF3174" s="164"/>
      <c r="AG3174" s="164"/>
      <c r="AH3174" s="164"/>
      <c r="AI3174" s="164"/>
    </row>
    <row r="3175">
      <c r="A3175" s="154"/>
      <c r="B3175" s="155"/>
      <c r="C3175" s="156"/>
      <c r="D3175" s="156"/>
      <c r="E3175" s="155"/>
      <c r="F3175" s="156"/>
      <c r="G3175" s="154"/>
      <c r="H3175" s="157"/>
      <c r="I3175" s="158"/>
      <c r="J3175" s="159"/>
      <c r="K3175" s="156"/>
      <c r="L3175" s="156"/>
      <c r="M3175" s="155"/>
      <c r="N3175" s="160"/>
      <c r="O3175" s="161"/>
      <c r="P3175" s="161"/>
      <c r="Q3175" s="203"/>
      <c r="R3175" s="162"/>
      <c r="S3175" s="162"/>
      <c r="T3175" s="162"/>
      <c r="U3175" s="163"/>
      <c r="V3175" s="154"/>
      <c r="W3175" s="164"/>
      <c r="X3175" s="164"/>
      <c r="Y3175" s="164"/>
      <c r="Z3175" s="164"/>
      <c r="AA3175" s="164"/>
      <c r="AB3175" s="164"/>
      <c r="AC3175" s="164"/>
      <c r="AD3175" s="164"/>
      <c r="AE3175" s="164"/>
      <c r="AF3175" s="164"/>
      <c r="AG3175" s="164"/>
      <c r="AH3175" s="164"/>
      <c r="AI3175" s="164"/>
    </row>
    <row r="3176">
      <c r="A3176" s="154"/>
      <c r="B3176" s="155"/>
      <c r="C3176" s="156"/>
      <c r="D3176" s="156"/>
      <c r="E3176" s="155"/>
      <c r="F3176" s="156"/>
      <c r="G3176" s="154"/>
      <c r="H3176" s="157"/>
      <c r="I3176" s="158"/>
      <c r="J3176" s="159"/>
      <c r="K3176" s="156"/>
      <c r="L3176" s="156"/>
      <c r="M3176" s="155"/>
      <c r="N3176" s="160"/>
      <c r="O3176" s="161"/>
      <c r="P3176" s="161"/>
      <c r="Q3176" s="203"/>
      <c r="R3176" s="162"/>
      <c r="S3176" s="162"/>
      <c r="T3176" s="162"/>
      <c r="U3176" s="163"/>
      <c r="V3176" s="154"/>
      <c r="W3176" s="164"/>
      <c r="X3176" s="164"/>
      <c r="Y3176" s="164"/>
      <c r="Z3176" s="164"/>
      <c r="AA3176" s="164"/>
      <c r="AB3176" s="164"/>
      <c r="AC3176" s="164"/>
      <c r="AD3176" s="164"/>
      <c r="AE3176" s="164"/>
      <c r="AF3176" s="164"/>
      <c r="AG3176" s="164"/>
      <c r="AH3176" s="164"/>
      <c r="AI3176" s="164"/>
    </row>
    <row r="3177">
      <c r="A3177" s="154"/>
      <c r="B3177" s="155"/>
      <c r="C3177" s="156"/>
      <c r="D3177" s="156"/>
      <c r="E3177" s="155"/>
      <c r="F3177" s="156"/>
      <c r="G3177" s="154"/>
      <c r="H3177" s="157"/>
      <c r="I3177" s="158"/>
      <c r="J3177" s="159"/>
      <c r="K3177" s="156"/>
      <c r="L3177" s="156"/>
      <c r="M3177" s="155"/>
      <c r="N3177" s="160"/>
      <c r="O3177" s="161"/>
      <c r="P3177" s="161"/>
      <c r="Q3177" s="203"/>
      <c r="R3177" s="162"/>
      <c r="S3177" s="162"/>
      <c r="T3177" s="162"/>
      <c r="U3177" s="163"/>
      <c r="V3177" s="154"/>
      <c r="W3177" s="164"/>
      <c r="X3177" s="164"/>
      <c r="Y3177" s="164"/>
      <c r="Z3177" s="164"/>
      <c r="AA3177" s="164"/>
      <c r="AB3177" s="164"/>
      <c r="AC3177" s="164"/>
      <c r="AD3177" s="164"/>
      <c r="AE3177" s="164"/>
      <c r="AF3177" s="164"/>
      <c r="AG3177" s="164"/>
      <c r="AH3177" s="164"/>
      <c r="AI3177" s="164"/>
    </row>
    <row r="3178">
      <c r="A3178" s="154"/>
      <c r="B3178" s="155"/>
      <c r="C3178" s="156"/>
      <c r="D3178" s="156"/>
      <c r="E3178" s="155"/>
      <c r="F3178" s="156"/>
      <c r="G3178" s="154"/>
      <c r="H3178" s="157"/>
      <c r="I3178" s="158"/>
      <c r="J3178" s="159"/>
      <c r="K3178" s="156"/>
      <c r="L3178" s="156"/>
      <c r="M3178" s="155"/>
      <c r="N3178" s="160"/>
      <c r="O3178" s="161"/>
      <c r="P3178" s="161"/>
      <c r="Q3178" s="159"/>
      <c r="R3178" s="162"/>
      <c r="S3178" s="162"/>
      <c r="T3178" s="162"/>
      <c r="U3178" s="163"/>
      <c r="V3178" s="154"/>
      <c r="W3178" s="164"/>
      <c r="X3178" s="164"/>
      <c r="Y3178" s="164"/>
      <c r="Z3178" s="164"/>
      <c r="AA3178" s="164"/>
      <c r="AB3178" s="164"/>
      <c r="AC3178" s="164"/>
      <c r="AD3178" s="164"/>
      <c r="AE3178" s="164"/>
      <c r="AF3178" s="164"/>
      <c r="AG3178" s="164"/>
      <c r="AH3178" s="164"/>
      <c r="AI3178" s="164"/>
    </row>
    <row r="3179">
      <c r="A3179" s="154"/>
      <c r="B3179" s="155"/>
      <c r="C3179" s="156"/>
      <c r="D3179" s="156"/>
      <c r="E3179" s="155"/>
      <c r="F3179" s="156"/>
      <c r="G3179" s="154"/>
      <c r="H3179" s="157"/>
      <c r="I3179" s="158"/>
      <c r="J3179" s="159"/>
      <c r="K3179" s="156"/>
      <c r="L3179" s="156"/>
      <c r="M3179" s="202"/>
      <c r="N3179" s="160"/>
      <c r="O3179" s="161"/>
      <c r="P3179" s="161"/>
      <c r="Q3179" s="203"/>
      <c r="R3179" s="162"/>
      <c r="S3179" s="162"/>
      <c r="T3179" s="162"/>
      <c r="U3179" s="163"/>
      <c r="V3179" s="215"/>
      <c r="W3179" s="164"/>
      <c r="X3179" s="164"/>
      <c r="Y3179" s="164"/>
      <c r="Z3179" s="164"/>
      <c r="AA3179" s="164"/>
      <c r="AB3179" s="164"/>
      <c r="AC3179" s="164"/>
      <c r="AD3179" s="164"/>
      <c r="AE3179" s="164"/>
      <c r="AF3179" s="164"/>
      <c r="AG3179" s="164"/>
      <c r="AH3179" s="164"/>
      <c r="AI3179" s="164"/>
    </row>
    <row r="3180">
      <c r="A3180" s="176"/>
      <c r="B3180" s="177"/>
      <c r="C3180" s="178"/>
      <c r="D3180" s="178"/>
      <c r="E3180" s="177"/>
      <c r="F3180" s="178"/>
      <c r="G3180" s="176"/>
      <c r="H3180" s="179"/>
      <c r="I3180" s="180"/>
      <c r="J3180" s="181"/>
      <c r="K3180" s="178"/>
      <c r="L3180" s="178"/>
      <c r="M3180" s="182"/>
      <c r="N3180" s="183"/>
      <c r="O3180" s="184"/>
      <c r="P3180" s="184"/>
      <c r="Q3180" s="185"/>
      <c r="R3180" s="186"/>
      <c r="S3180" s="186"/>
      <c r="T3180" s="186"/>
      <c r="U3180" s="187"/>
      <c r="V3180" s="176"/>
      <c r="W3180" s="164"/>
      <c r="X3180" s="164"/>
      <c r="Y3180" s="164"/>
      <c r="Z3180" s="164"/>
      <c r="AA3180" s="164"/>
      <c r="AB3180" s="164"/>
      <c r="AC3180" s="164"/>
      <c r="AD3180" s="164"/>
      <c r="AE3180" s="164"/>
      <c r="AF3180" s="164"/>
      <c r="AG3180" s="164"/>
      <c r="AH3180" s="164"/>
      <c r="AI3180" s="164"/>
    </row>
    <row r="3181">
      <c r="A3181" s="154"/>
      <c r="B3181" s="155"/>
      <c r="C3181" s="156"/>
      <c r="D3181" s="156"/>
      <c r="E3181" s="155"/>
      <c r="F3181" s="156"/>
      <c r="G3181" s="154"/>
      <c r="H3181" s="157"/>
      <c r="I3181" s="158"/>
      <c r="J3181" s="159"/>
      <c r="K3181" s="156"/>
      <c r="L3181" s="156"/>
      <c r="M3181" s="202"/>
      <c r="N3181" s="160"/>
      <c r="O3181" s="161"/>
      <c r="P3181" s="161"/>
      <c r="Q3181" s="203"/>
      <c r="R3181" s="162"/>
      <c r="S3181" s="162"/>
      <c r="T3181" s="162"/>
      <c r="U3181" s="163"/>
      <c r="V3181" s="154"/>
      <c r="W3181" s="164"/>
      <c r="X3181" s="164"/>
      <c r="Y3181" s="164"/>
      <c r="Z3181" s="164"/>
      <c r="AA3181" s="164"/>
      <c r="AB3181" s="164"/>
      <c r="AC3181" s="164"/>
      <c r="AD3181" s="164"/>
      <c r="AE3181" s="164"/>
      <c r="AF3181" s="164"/>
      <c r="AG3181" s="164"/>
      <c r="AH3181" s="164"/>
      <c r="AI3181" s="164"/>
    </row>
    <row r="3182">
      <c r="A3182" s="154"/>
      <c r="B3182" s="155"/>
      <c r="C3182" s="156"/>
      <c r="D3182" s="156"/>
      <c r="E3182" s="155"/>
      <c r="F3182" s="156"/>
      <c r="G3182" s="154"/>
      <c r="H3182" s="157"/>
      <c r="I3182" s="158"/>
      <c r="J3182" s="159"/>
      <c r="K3182" s="156"/>
      <c r="L3182" s="156"/>
      <c r="M3182" s="202"/>
      <c r="N3182" s="160"/>
      <c r="O3182" s="161"/>
      <c r="P3182" s="161"/>
      <c r="Q3182" s="203"/>
      <c r="R3182" s="162"/>
      <c r="S3182" s="162"/>
      <c r="T3182" s="162"/>
      <c r="U3182" s="163"/>
      <c r="V3182" s="154"/>
      <c r="W3182" s="164"/>
      <c r="X3182" s="164"/>
      <c r="Y3182" s="164"/>
      <c r="Z3182" s="164"/>
      <c r="AA3182" s="164"/>
      <c r="AB3182" s="164"/>
      <c r="AC3182" s="164"/>
      <c r="AD3182" s="164"/>
      <c r="AE3182" s="164"/>
      <c r="AF3182" s="164"/>
      <c r="AG3182" s="164"/>
      <c r="AH3182" s="164"/>
      <c r="AI3182" s="164"/>
    </row>
    <row r="3183">
      <c r="A3183" s="154"/>
      <c r="B3183" s="155"/>
      <c r="C3183" s="156"/>
      <c r="D3183" s="156"/>
      <c r="E3183" s="155"/>
      <c r="F3183" s="156"/>
      <c r="G3183" s="154"/>
      <c r="H3183" s="157"/>
      <c r="I3183" s="158"/>
      <c r="J3183" s="159"/>
      <c r="K3183" s="156"/>
      <c r="L3183" s="156"/>
      <c r="M3183" s="155"/>
      <c r="N3183" s="160"/>
      <c r="O3183" s="161"/>
      <c r="P3183" s="161"/>
      <c r="Q3183" s="159"/>
      <c r="R3183" s="162"/>
      <c r="S3183" s="162"/>
      <c r="T3183" s="162"/>
      <c r="U3183" s="163"/>
      <c r="V3183" s="154"/>
      <c r="W3183" s="164"/>
      <c r="X3183" s="164"/>
      <c r="Y3183" s="164"/>
      <c r="Z3183" s="164"/>
      <c r="AA3183" s="164"/>
      <c r="AB3183" s="164"/>
      <c r="AC3183" s="164"/>
      <c r="AD3183" s="164"/>
      <c r="AE3183" s="164"/>
      <c r="AF3183" s="164"/>
      <c r="AG3183" s="164"/>
      <c r="AH3183" s="164"/>
      <c r="AI3183" s="164"/>
    </row>
    <row r="3184">
      <c r="A3184" s="154"/>
      <c r="B3184" s="155"/>
      <c r="C3184" s="156"/>
      <c r="D3184" s="156"/>
      <c r="E3184" s="155"/>
      <c r="F3184" s="156"/>
      <c r="G3184" s="154"/>
      <c r="H3184" s="157"/>
      <c r="I3184" s="158"/>
      <c r="J3184" s="159"/>
      <c r="K3184" s="156"/>
      <c r="L3184" s="156"/>
      <c r="M3184" s="155"/>
      <c r="N3184" s="160"/>
      <c r="O3184" s="161"/>
      <c r="P3184" s="161"/>
      <c r="Q3184" s="203"/>
      <c r="R3184" s="162"/>
      <c r="S3184" s="162"/>
      <c r="T3184" s="162"/>
      <c r="U3184" s="163"/>
      <c r="V3184" s="154"/>
      <c r="W3184" s="164"/>
      <c r="X3184" s="164"/>
      <c r="Y3184" s="164"/>
      <c r="Z3184" s="164"/>
      <c r="AA3184" s="164"/>
      <c r="AB3184" s="164"/>
      <c r="AC3184" s="164"/>
      <c r="AD3184" s="164"/>
      <c r="AE3184" s="164"/>
      <c r="AF3184" s="164"/>
      <c r="AG3184" s="164"/>
      <c r="AH3184" s="164"/>
      <c r="AI3184" s="164"/>
    </row>
    <row r="3185">
      <c r="A3185" s="154"/>
      <c r="B3185" s="155"/>
      <c r="C3185" s="156"/>
      <c r="D3185" s="156"/>
      <c r="E3185" s="155"/>
      <c r="F3185" s="156"/>
      <c r="G3185" s="154"/>
      <c r="H3185" s="157"/>
      <c r="I3185" s="158"/>
      <c r="J3185" s="159"/>
      <c r="K3185" s="156"/>
      <c r="L3185" s="156"/>
      <c r="M3185" s="155"/>
      <c r="N3185" s="160"/>
      <c r="O3185" s="161"/>
      <c r="P3185" s="161"/>
      <c r="Q3185" s="159"/>
      <c r="R3185" s="162"/>
      <c r="S3185" s="162"/>
      <c r="T3185" s="162"/>
      <c r="U3185" s="163"/>
      <c r="V3185" s="154"/>
      <c r="W3185" s="164"/>
      <c r="X3185" s="164"/>
      <c r="Y3185" s="164"/>
      <c r="Z3185" s="164"/>
      <c r="AA3185" s="164"/>
      <c r="AB3185" s="164"/>
      <c r="AC3185" s="164"/>
      <c r="AD3185" s="164"/>
      <c r="AE3185" s="164"/>
      <c r="AF3185" s="164"/>
      <c r="AG3185" s="164"/>
      <c r="AH3185" s="164"/>
      <c r="AI3185" s="164"/>
    </row>
    <row r="3186">
      <c r="A3186" s="154"/>
      <c r="B3186" s="155"/>
      <c r="C3186" s="156"/>
      <c r="D3186" s="156"/>
      <c r="E3186" s="155"/>
      <c r="F3186" s="156"/>
      <c r="G3186" s="154"/>
      <c r="H3186" s="157"/>
      <c r="I3186" s="158"/>
      <c r="J3186" s="159"/>
      <c r="K3186" s="156"/>
      <c r="L3186" s="156"/>
      <c r="M3186" s="155"/>
      <c r="N3186" s="160"/>
      <c r="O3186" s="161"/>
      <c r="P3186" s="161"/>
      <c r="Q3186" s="203"/>
      <c r="R3186" s="162"/>
      <c r="S3186" s="162"/>
      <c r="T3186" s="162"/>
      <c r="U3186" s="163"/>
      <c r="V3186" s="154"/>
      <c r="W3186" s="164"/>
      <c r="X3186" s="164"/>
      <c r="Y3186" s="164"/>
      <c r="Z3186" s="164"/>
      <c r="AA3186" s="164"/>
      <c r="AB3186" s="164"/>
      <c r="AC3186" s="164"/>
      <c r="AD3186" s="164"/>
      <c r="AE3186" s="164"/>
      <c r="AF3186" s="164"/>
      <c r="AG3186" s="164"/>
      <c r="AH3186" s="164"/>
      <c r="AI3186" s="164"/>
    </row>
    <row r="3187">
      <c r="A3187" s="154"/>
      <c r="B3187" s="155"/>
      <c r="C3187" s="156"/>
      <c r="D3187" s="156"/>
      <c r="E3187" s="155"/>
      <c r="F3187" s="156"/>
      <c r="G3187" s="154"/>
      <c r="H3187" s="157"/>
      <c r="I3187" s="158"/>
      <c r="J3187" s="159"/>
      <c r="K3187" s="156"/>
      <c r="L3187" s="156"/>
      <c r="M3187" s="155"/>
      <c r="N3187" s="160"/>
      <c r="O3187" s="161"/>
      <c r="P3187" s="161"/>
      <c r="Q3187" s="159"/>
      <c r="R3187" s="162"/>
      <c r="S3187" s="162"/>
      <c r="T3187" s="162"/>
      <c r="U3187" s="163"/>
      <c r="V3187" s="154"/>
      <c r="W3187" s="164"/>
      <c r="X3187" s="164"/>
      <c r="Y3187" s="164"/>
      <c r="Z3187" s="164"/>
      <c r="AA3187" s="164"/>
      <c r="AB3187" s="164"/>
      <c r="AC3187" s="164"/>
      <c r="AD3187" s="164"/>
      <c r="AE3187" s="164"/>
      <c r="AF3187" s="164"/>
      <c r="AG3187" s="164"/>
      <c r="AH3187" s="164"/>
      <c r="AI3187" s="164"/>
    </row>
    <row r="3188">
      <c r="A3188" s="154"/>
      <c r="B3188" s="155"/>
      <c r="C3188" s="156"/>
      <c r="D3188" s="156"/>
      <c r="E3188" s="155"/>
      <c r="F3188" s="156"/>
      <c r="G3188" s="154"/>
      <c r="H3188" s="157"/>
      <c r="I3188" s="158"/>
      <c r="J3188" s="159"/>
      <c r="K3188" s="156"/>
      <c r="L3188" s="156"/>
      <c r="M3188" s="155"/>
      <c r="N3188" s="160"/>
      <c r="O3188" s="161"/>
      <c r="P3188" s="161"/>
      <c r="Q3188" s="203"/>
      <c r="R3188" s="162"/>
      <c r="S3188" s="162"/>
      <c r="T3188" s="162"/>
      <c r="U3188" s="163"/>
      <c r="V3188" s="216"/>
      <c r="W3188" s="164"/>
      <c r="X3188" s="164"/>
      <c r="Y3188" s="164"/>
      <c r="Z3188" s="164"/>
      <c r="AA3188" s="164"/>
      <c r="AB3188" s="164"/>
      <c r="AC3188" s="164"/>
      <c r="AD3188" s="164"/>
      <c r="AE3188" s="164"/>
      <c r="AF3188" s="164"/>
      <c r="AG3188" s="164"/>
      <c r="AH3188" s="164"/>
      <c r="AI3188" s="164"/>
    </row>
    <row r="3189">
      <c r="A3189" s="154"/>
      <c r="B3189" s="155"/>
      <c r="C3189" s="156"/>
      <c r="D3189" s="156"/>
      <c r="E3189" s="155"/>
      <c r="F3189" s="156"/>
      <c r="G3189" s="154"/>
      <c r="H3189" s="157"/>
      <c r="I3189" s="158"/>
      <c r="J3189" s="159"/>
      <c r="K3189" s="156"/>
      <c r="L3189" s="156"/>
      <c r="M3189" s="202"/>
      <c r="N3189" s="160"/>
      <c r="O3189" s="161"/>
      <c r="P3189" s="161"/>
      <c r="Q3189" s="203"/>
      <c r="R3189" s="162"/>
      <c r="S3189" s="162"/>
      <c r="T3189" s="162"/>
      <c r="U3189" s="163"/>
      <c r="V3189" s="154"/>
      <c r="W3189" s="164"/>
      <c r="X3189" s="164"/>
      <c r="Y3189" s="164"/>
      <c r="Z3189" s="164"/>
      <c r="AA3189" s="164"/>
      <c r="AB3189" s="164"/>
      <c r="AC3189" s="164"/>
      <c r="AD3189" s="164"/>
      <c r="AE3189" s="164"/>
      <c r="AF3189" s="164"/>
      <c r="AG3189" s="164"/>
      <c r="AH3189" s="164"/>
      <c r="AI3189" s="164"/>
    </row>
    <row r="3190">
      <c r="A3190" s="154"/>
      <c r="B3190" s="155"/>
      <c r="C3190" s="156"/>
      <c r="D3190" s="156"/>
      <c r="E3190" s="155"/>
      <c r="F3190" s="156"/>
      <c r="G3190" s="154"/>
      <c r="H3190" s="157"/>
      <c r="I3190" s="158"/>
      <c r="J3190" s="159"/>
      <c r="K3190" s="156"/>
      <c r="L3190" s="156"/>
      <c r="M3190" s="155"/>
      <c r="N3190" s="160"/>
      <c r="O3190" s="161"/>
      <c r="P3190" s="161"/>
      <c r="Q3190" s="159"/>
      <c r="R3190" s="162"/>
      <c r="S3190" s="162"/>
      <c r="T3190" s="162"/>
      <c r="U3190" s="163"/>
      <c r="V3190" s="154"/>
      <c r="W3190" s="164"/>
      <c r="X3190" s="164"/>
      <c r="Y3190" s="164"/>
      <c r="Z3190" s="164"/>
      <c r="AA3190" s="164"/>
      <c r="AB3190" s="164"/>
      <c r="AC3190" s="164"/>
      <c r="AD3190" s="164"/>
      <c r="AE3190" s="164"/>
      <c r="AF3190" s="164"/>
      <c r="AG3190" s="164"/>
      <c r="AH3190" s="164"/>
      <c r="AI3190" s="164"/>
    </row>
    <row r="3191">
      <c r="A3191" s="154"/>
      <c r="B3191" s="155"/>
      <c r="C3191" s="156"/>
      <c r="D3191" s="156"/>
      <c r="E3191" s="155"/>
      <c r="F3191" s="156"/>
      <c r="G3191" s="154"/>
      <c r="H3191" s="157"/>
      <c r="I3191" s="158"/>
      <c r="J3191" s="159"/>
      <c r="K3191" s="156"/>
      <c r="L3191" s="156"/>
      <c r="M3191" s="155"/>
      <c r="N3191" s="160"/>
      <c r="O3191" s="161"/>
      <c r="P3191" s="161"/>
      <c r="Q3191" s="203"/>
      <c r="R3191" s="162"/>
      <c r="S3191" s="162"/>
      <c r="T3191" s="162"/>
      <c r="U3191" s="163"/>
      <c r="V3191" s="154"/>
      <c r="W3191" s="164"/>
      <c r="X3191" s="164"/>
      <c r="Y3191" s="164"/>
      <c r="Z3191" s="164"/>
      <c r="AA3191" s="164"/>
      <c r="AB3191" s="164"/>
      <c r="AC3191" s="164"/>
      <c r="AD3191" s="164"/>
      <c r="AE3191" s="164"/>
      <c r="AF3191" s="164"/>
      <c r="AG3191" s="164"/>
      <c r="AH3191" s="164"/>
      <c r="AI3191" s="164"/>
    </row>
    <row r="3192">
      <c r="A3192" s="154"/>
      <c r="B3192" s="155"/>
      <c r="C3192" s="156"/>
      <c r="D3192" s="156"/>
      <c r="E3192" s="155"/>
      <c r="F3192" s="156"/>
      <c r="G3192" s="154"/>
      <c r="H3192" s="157"/>
      <c r="I3192" s="158"/>
      <c r="J3192" s="159"/>
      <c r="K3192" s="156"/>
      <c r="L3192" s="156"/>
      <c r="M3192" s="155"/>
      <c r="N3192" s="160"/>
      <c r="O3192" s="161"/>
      <c r="P3192" s="161"/>
      <c r="Q3192" s="203"/>
      <c r="R3192" s="162"/>
      <c r="S3192" s="162"/>
      <c r="T3192" s="173"/>
      <c r="U3192" s="174"/>
      <c r="V3192" s="165"/>
      <c r="W3192" s="164"/>
      <c r="X3192" s="164"/>
      <c r="Y3192" s="164"/>
      <c r="Z3192" s="164"/>
      <c r="AA3192" s="164"/>
      <c r="AB3192" s="164"/>
      <c r="AC3192" s="164"/>
      <c r="AD3192" s="164"/>
      <c r="AE3192" s="164"/>
      <c r="AF3192" s="164"/>
      <c r="AG3192" s="164"/>
      <c r="AH3192" s="164"/>
      <c r="AI3192" s="164"/>
    </row>
    <row r="3193">
      <c r="A3193" s="154"/>
      <c r="B3193" s="155"/>
      <c r="C3193" s="156"/>
      <c r="D3193" s="156"/>
      <c r="E3193" s="155"/>
      <c r="F3193" s="156"/>
      <c r="G3193" s="154"/>
      <c r="H3193" s="157"/>
      <c r="I3193" s="158"/>
      <c r="J3193" s="159"/>
      <c r="K3193" s="156"/>
      <c r="L3193" s="156"/>
      <c r="M3193" s="155"/>
      <c r="N3193" s="160"/>
      <c r="O3193" s="161"/>
      <c r="P3193" s="161"/>
      <c r="Q3193" s="203"/>
      <c r="R3193" s="162"/>
      <c r="S3193" s="162"/>
      <c r="T3193" s="186"/>
      <c r="U3193" s="187"/>
      <c r="V3193" s="189"/>
      <c r="W3193" s="164"/>
      <c r="X3193" s="164"/>
      <c r="Y3193" s="164"/>
      <c r="Z3193" s="164"/>
      <c r="AA3193" s="164"/>
      <c r="AB3193" s="164"/>
      <c r="AC3193" s="164"/>
      <c r="AD3193" s="164"/>
      <c r="AE3193" s="164"/>
      <c r="AF3193" s="164"/>
      <c r="AG3193" s="164"/>
      <c r="AH3193" s="164"/>
      <c r="AI3193" s="164"/>
    </row>
    <row r="3194">
      <c r="A3194" s="154"/>
      <c r="B3194" s="155"/>
      <c r="C3194" s="156"/>
      <c r="D3194" s="156"/>
      <c r="E3194" s="155"/>
      <c r="F3194" s="156"/>
      <c r="G3194" s="154"/>
      <c r="H3194" s="157"/>
      <c r="I3194" s="158"/>
      <c r="J3194" s="159"/>
      <c r="K3194" s="156"/>
      <c r="L3194" s="156"/>
      <c r="M3194" s="155"/>
      <c r="N3194" s="160"/>
      <c r="O3194" s="161"/>
      <c r="P3194" s="161"/>
      <c r="Q3194" s="203"/>
      <c r="R3194" s="162"/>
      <c r="S3194" s="162"/>
      <c r="T3194" s="162"/>
      <c r="U3194" s="163"/>
      <c r="V3194" s="154"/>
      <c r="W3194" s="164"/>
      <c r="X3194" s="164"/>
      <c r="Y3194" s="164"/>
      <c r="Z3194" s="164"/>
      <c r="AA3194" s="164"/>
      <c r="AB3194" s="164"/>
      <c r="AC3194" s="164"/>
      <c r="AD3194" s="164"/>
      <c r="AE3194" s="164"/>
      <c r="AF3194" s="164"/>
      <c r="AG3194" s="164"/>
      <c r="AH3194" s="164"/>
      <c r="AI3194" s="164"/>
    </row>
    <row r="3195">
      <c r="A3195" s="154"/>
      <c r="B3195" s="155"/>
      <c r="C3195" s="156"/>
      <c r="D3195" s="156"/>
      <c r="E3195" s="155"/>
      <c r="F3195" s="156"/>
      <c r="G3195" s="154"/>
      <c r="H3195" s="157"/>
      <c r="I3195" s="158"/>
      <c r="J3195" s="159"/>
      <c r="K3195" s="156"/>
      <c r="L3195" s="156"/>
      <c r="M3195" s="155"/>
      <c r="N3195" s="160"/>
      <c r="O3195" s="161"/>
      <c r="P3195" s="161"/>
      <c r="Q3195" s="203"/>
      <c r="R3195" s="162"/>
      <c r="S3195" s="162"/>
      <c r="T3195" s="162"/>
      <c r="U3195" s="163"/>
      <c r="V3195" s="154"/>
      <c r="W3195" s="164"/>
      <c r="X3195" s="164"/>
      <c r="Y3195" s="164"/>
      <c r="Z3195" s="164"/>
      <c r="AA3195" s="164"/>
      <c r="AB3195" s="164"/>
      <c r="AC3195" s="164"/>
      <c r="AD3195" s="164"/>
      <c r="AE3195" s="164"/>
      <c r="AF3195" s="164"/>
      <c r="AG3195" s="164"/>
      <c r="AH3195" s="164"/>
      <c r="AI3195" s="164"/>
    </row>
    <row r="3196">
      <c r="A3196" s="154"/>
      <c r="B3196" s="155"/>
      <c r="C3196" s="156"/>
      <c r="D3196" s="156"/>
      <c r="E3196" s="155"/>
      <c r="F3196" s="156"/>
      <c r="G3196" s="154"/>
      <c r="H3196" s="157"/>
      <c r="I3196" s="158"/>
      <c r="J3196" s="159"/>
      <c r="K3196" s="156"/>
      <c r="L3196" s="156"/>
      <c r="M3196" s="155"/>
      <c r="N3196" s="160"/>
      <c r="O3196" s="161"/>
      <c r="P3196" s="161"/>
      <c r="Q3196" s="159"/>
      <c r="R3196" s="162"/>
      <c r="S3196" s="162"/>
      <c r="T3196" s="162"/>
      <c r="U3196" s="163"/>
      <c r="V3196" s="154"/>
      <c r="W3196" s="164"/>
      <c r="X3196" s="164"/>
      <c r="Y3196" s="164"/>
      <c r="Z3196" s="164"/>
      <c r="AA3196" s="164"/>
      <c r="AB3196" s="164"/>
      <c r="AC3196" s="164"/>
      <c r="AD3196" s="164"/>
      <c r="AE3196" s="164"/>
      <c r="AF3196" s="164"/>
      <c r="AG3196" s="164"/>
      <c r="AH3196" s="164"/>
      <c r="AI3196" s="164"/>
    </row>
    <row r="3197">
      <c r="A3197" s="154"/>
      <c r="B3197" s="155"/>
      <c r="C3197" s="156"/>
      <c r="D3197" s="156"/>
      <c r="E3197" s="155"/>
      <c r="F3197" s="156"/>
      <c r="G3197" s="154"/>
      <c r="H3197" s="157"/>
      <c r="I3197" s="158"/>
      <c r="J3197" s="159"/>
      <c r="K3197" s="156"/>
      <c r="L3197" s="156"/>
      <c r="M3197" s="155"/>
      <c r="N3197" s="160"/>
      <c r="O3197" s="161"/>
      <c r="P3197" s="161"/>
      <c r="Q3197" s="203"/>
      <c r="R3197" s="162"/>
      <c r="S3197" s="162"/>
      <c r="T3197" s="162"/>
      <c r="U3197" s="163"/>
      <c r="V3197" s="154"/>
      <c r="W3197" s="164"/>
      <c r="X3197" s="164"/>
      <c r="Y3197" s="164"/>
      <c r="Z3197" s="164"/>
      <c r="AA3197" s="164"/>
      <c r="AB3197" s="164"/>
      <c r="AC3197" s="164"/>
      <c r="AD3197" s="164"/>
      <c r="AE3197" s="164"/>
      <c r="AF3197" s="164"/>
      <c r="AG3197" s="164"/>
      <c r="AH3197" s="164"/>
      <c r="AI3197" s="164"/>
    </row>
    <row r="3198">
      <c r="A3198" s="154"/>
      <c r="B3198" s="155"/>
      <c r="C3198" s="156"/>
      <c r="D3198" s="156"/>
      <c r="E3198" s="155"/>
      <c r="F3198" s="156"/>
      <c r="G3198" s="154"/>
      <c r="H3198" s="157"/>
      <c r="I3198" s="158"/>
      <c r="J3198" s="159"/>
      <c r="K3198" s="156"/>
      <c r="L3198" s="156"/>
      <c r="M3198" s="155"/>
      <c r="N3198" s="160"/>
      <c r="O3198" s="161"/>
      <c r="P3198" s="161"/>
      <c r="Q3198" s="203"/>
      <c r="R3198" s="162"/>
      <c r="S3198" s="162"/>
      <c r="T3198" s="162"/>
      <c r="U3198" s="163"/>
      <c r="V3198" s="154"/>
      <c r="W3198" s="164"/>
      <c r="X3198" s="164"/>
      <c r="Y3198" s="164"/>
      <c r="Z3198" s="164"/>
      <c r="AA3198" s="164"/>
      <c r="AB3198" s="164"/>
      <c r="AC3198" s="164"/>
      <c r="AD3198" s="164"/>
      <c r="AE3198" s="164"/>
      <c r="AF3198" s="164"/>
      <c r="AG3198" s="164"/>
      <c r="AH3198" s="164"/>
      <c r="AI3198" s="164"/>
    </row>
    <row r="3199">
      <c r="A3199" s="154"/>
      <c r="B3199" s="155"/>
      <c r="C3199" s="156"/>
      <c r="D3199" s="156"/>
      <c r="E3199" s="155"/>
      <c r="F3199" s="156"/>
      <c r="G3199" s="154"/>
      <c r="H3199" s="157"/>
      <c r="I3199" s="158"/>
      <c r="J3199" s="159"/>
      <c r="K3199" s="156"/>
      <c r="L3199" s="156"/>
      <c r="M3199" s="155"/>
      <c r="N3199" s="160"/>
      <c r="O3199" s="161"/>
      <c r="P3199" s="161"/>
      <c r="Q3199" s="159"/>
      <c r="R3199" s="162"/>
      <c r="S3199" s="162"/>
      <c r="T3199" s="162"/>
      <c r="U3199" s="163"/>
      <c r="V3199" s="154"/>
      <c r="W3199" s="164"/>
      <c r="X3199" s="164"/>
      <c r="Y3199" s="164"/>
      <c r="Z3199" s="164"/>
      <c r="AA3199" s="164"/>
      <c r="AB3199" s="164"/>
      <c r="AC3199" s="164"/>
      <c r="AD3199" s="164"/>
      <c r="AE3199" s="164"/>
      <c r="AF3199" s="164"/>
      <c r="AG3199" s="164"/>
      <c r="AH3199" s="164"/>
      <c r="AI3199" s="164"/>
    </row>
    <row r="3200">
      <c r="A3200" s="154"/>
      <c r="B3200" s="155"/>
      <c r="C3200" s="156"/>
      <c r="D3200" s="156"/>
      <c r="E3200" s="155"/>
      <c r="F3200" s="156"/>
      <c r="G3200" s="154"/>
      <c r="H3200" s="157"/>
      <c r="I3200" s="158"/>
      <c r="J3200" s="159"/>
      <c r="K3200" s="156"/>
      <c r="L3200" s="156"/>
      <c r="M3200" s="155"/>
      <c r="N3200" s="160"/>
      <c r="O3200" s="161"/>
      <c r="P3200" s="161"/>
      <c r="Q3200" s="203"/>
      <c r="R3200" s="162"/>
      <c r="S3200" s="162"/>
      <c r="T3200" s="162"/>
      <c r="U3200" s="163"/>
      <c r="V3200" s="154"/>
      <c r="W3200" s="164"/>
      <c r="X3200" s="164"/>
      <c r="Y3200" s="164"/>
      <c r="Z3200" s="164"/>
      <c r="AA3200" s="164"/>
      <c r="AB3200" s="164"/>
      <c r="AC3200" s="164"/>
      <c r="AD3200" s="164"/>
      <c r="AE3200" s="164"/>
      <c r="AF3200" s="164"/>
      <c r="AG3200" s="164"/>
      <c r="AH3200" s="164"/>
      <c r="AI3200" s="164"/>
    </row>
    <row r="3201">
      <c r="A3201" s="154"/>
      <c r="B3201" s="155"/>
      <c r="C3201" s="156"/>
      <c r="D3201" s="156"/>
      <c r="E3201" s="155"/>
      <c r="F3201" s="156"/>
      <c r="G3201" s="154"/>
      <c r="H3201" s="157"/>
      <c r="I3201" s="158"/>
      <c r="J3201" s="159"/>
      <c r="K3201" s="156"/>
      <c r="L3201" s="156"/>
      <c r="M3201" s="155"/>
      <c r="N3201" s="160"/>
      <c r="O3201" s="161"/>
      <c r="P3201" s="161"/>
      <c r="Q3201" s="203"/>
      <c r="R3201" s="162"/>
      <c r="S3201" s="162"/>
      <c r="T3201" s="162"/>
      <c r="U3201" s="163"/>
      <c r="V3201" s="154"/>
      <c r="W3201" s="164"/>
      <c r="X3201" s="164"/>
      <c r="Y3201" s="164"/>
      <c r="Z3201" s="164"/>
      <c r="AA3201" s="164"/>
      <c r="AB3201" s="164"/>
      <c r="AC3201" s="164"/>
      <c r="AD3201" s="164"/>
      <c r="AE3201" s="164"/>
      <c r="AF3201" s="164"/>
      <c r="AG3201" s="164"/>
      <c r="AH3201" s="164"/>
      <c r="AI3201" s="164"/>
    </row>
    <row r="3202">
      <c r="A3202" s="154"/>
      <c r="B3202" s="155"/>
      <c r="C3202" s="156"/>
      <c r="D3202" s="156"/>
      <c r="E3202" s="155"/>
      <c r="F3202" s="156"/>
      <c r="G3202" s="154"/>
      <c r="H3202" s="157"/>
      <c r="I3202" s="158"/>
      <c r="J3202" s="159"/>
      <c r="K3202" s="156"/>
      <c r="L3202" s="156"/>
      <c r="M3202" s="155"/>
      <c r="N3202" s="160"/>
      <c r="O3202" s="161"/>
      <c r="P3202" s="161"/>
      <c r="Q3202" s="203"/>
      <c r="R3202" s="162"/>
      <c r="S3202" s="162"/>
      <c r="T3202" s="162"/>
      <c r="U3202" s="163"/>
      <c r="V3202" s="154"/>
      <c r="W3202" s="164"/>
      <c r="X3202" s="164"/>
      <c r="Y3202" s="164"/>
      <c r="Z3202" s="164"/>
      <c r="AA3202" s="164"/>
      <c r="AB3202" s="164"/>
      <c r="AC3202" s="164"/>
      <c r="AD3202" s="164"/>
      <c r="AE3202" s="164"/>
      <c r="AF3202" s="164"/>
      <c r="AG3202" s="164"/>
      <c r="AH3202" s="164"/>
      <c r="AI3202" s="164"/>
    </row>
    <row r="3203">
      <c r="A3203" s="154"/>
      <c r="B3203" s="155"/>
      <c r="C3203" s="156"/>
      <c r="D3203" s="156"/>
      <c r="E3203" s="155"/>
      <c r="F3203" s="156"/>
      <c r="G3203" s="154"/>
      <c r="H3203" s="157"/>
      <c r="I3203" s="158"/>
      <c r="J3203" s="159"/>
      <c r="K3203" s="156"/>
      <c r="L3203" s="156"/>
      <c r="M3203" s="155"/>
      <c r="N3203" s="160"/>
      <c r="O3203" s="161"/>
      <c r="P3203" s="161"/>
      <c r="Q3203" s="203"/>
      <c r="R3203" s="162"/>
      <c r="S3203" s="162"/>
      <c r="T3203" s="162"/>
      <c r="U3203" s="163"/>
      <c r="V3203" s="154"/>
      <c r="W3203" s="164"/>
      <c r="X3203" s="164"/>
      <c r="Y3203" s="164"/>
      <c r="Z3203" s="164"/>
      <c r="AA3203" s="164"/>
      <c r="AB3203" s="164"/>
      <c r="AC3203" s="164"/>
      <c r="AD3203" s="164"/>
      <c r="AE3203" s="164"/>
      <c r="AF3203" s="164"/>
      <c r="AG3203" s="164"/>
      <c r="AH3203" s="164"/>
      <c r="AI3203" s="164"/>
    </row>
    <row r="3204">
      <c r="A3204" s="154"/>
      <c r="B3204" s="155"/>
      <c r="C3204" s="156"/>
      <c r="D3204" s="156"/>
      <c r="E3204" s="155"/>
      <c r="F3204" s="156"/>
      <c r="G3204" s="154"/>
      <c r="H3204" s="157"/>
      <c r="I3204" s="158"/>
      <c r="J3204" s="159"/>
      <c r="K3204" s="156"/>
      <c r="L3204" s="156"/>
      <c r="M3204" s="155"/>
      <c r="N3204" s="160"/>
      <c r="O3204" s="161"/>
      <c r="P3204" s="161"/>
      <c r="Q3204" s="203"/>
      <c r="R3204" s="162"/>
      <c r="S3204" s="162"/>
      <c r="T3204" s="162"/>
      <c r="U3204" s="163"/>
      <c r="V3204" s="154"/>
      <c r="W3204" s="164"/>
      <c r="X3204" s="164"/>
      <c r="Y3204" s="164"/>
      <c r="Z3204" s="164"/>
      <c r="AA3204" s="164"/>
      <c r="AB3204" s="164"/>
      <c r="AC3204" s="164"/>
      <c r="AD3204" s="164"/>
      <c r="AE3204" s="164"/>
      <c r="AF3204" s="164"/>
      <c r="AG3204" s="164"/>
      <c r="AH3204" s="164"/>
      <c r="AI3204" s="164"/>
    </row>
    <row r="3205">
      <c r="A3205" s="154"/>
      <c r="B3205" s="155"/>
      <c r="C3205" s="156"/>
      <c r="D3205" s="156"/>
      <c r="E3205" s="155"/>
      <c r="F3205" s="156"/>
      <c r="G3205" s="154"/>
      <c r="H3205" s="157"/>
      <c r="I3205" s="158"/>
      <c r="J3205" s="159"/>
      <c r="K3205" s="156"/>
      <c r="L3205" s="156"/>
      <c r="M3205" s="155"/>
      <c r="N3205" s="160"/>
      <c r="O3205" s="161"/>
      <c r="P3205" s="161"/>
      <c r="Q3205" s="203"/>
      <c r="R3205" s="162"/>
      <c r="S3205" s="162"/>
      <c r="T3205" s="162"/>
      <c r="U3205" s="163"/>
      <c r="V3205" s="154"/>
      <c r="W3205" s="164"/>
      <c r="X3205" s="164"/>
      <c r="Y3205" s="164"/>
      <c r="Z3205" s="164"/>
      <c r="AA3205" s="164"/>
      <c r="AB3205" s="164"/>
      <c r="AC3205" s="164"/>
      <c r="AD3205" s="164"/>
      <c r="AE3205" s="164"/>
      <c r="AF3205" s="164"/>
      <c r="AG3205" s="164"/>
      <c r="AH3205" s="164"/>
      <c r="AI3205" s="164"/>
    </row>
    <row r="3206">
      <c r="A3206" s="154"/>
      <c r="B3206" s="155"/>
      <c r="C3206" s="156"/>
      <c r="D3206" s="156"/>
      <c r="E3206" s="155"/>
      <c r="F3206" s="156"/>
      <c r="G3206" s="154"/>
      <c r="H3206" s="157"/>
      <c r="I3206" s="158"/>
      <c r="J3206" s="159"/>
      <c r="K3206" s="156"/>
      <c r="L3206" s="156"/>
      <c r="M3206" s="155"/>
      <c r="N3206" s="160"/>
      <c r="O3206" s="161"/>
      <c r="P3206" s="161"/>
      <c r="Q3206" s="159"/>
      <c r="R3206" s="162"/>
      <c r="S3206" s="162"/>
      <c r="T3206" s="162"/>
      <c r="U3206" s="163"/>
      <c r="V3206" s="154"/>
      <c r="W3206" s="164"/>
      <c r="X3206" s="164"/>
      <c r="Y3206" s="164"/>
      <c r="Z3206" s="164"/>
      <c r="AA3206" s="164"/>
      <c r="AB3206" s="164"/>
      <c r="AC3206" s="164"/>
      <c r="AD3206" s="164"/>
      <c r="AE3206" s="164"/>
      <c r="AF3206" s="164"/>
      <c r="AG3206" s="164"/>
      <c r="AH3206" s="164"/>
      <c r="AI3206" s="164"/>
    </row>
    <row r="3207">
      <c r="A3207" s="154"/>
      <c r="B3207" s="155"/>
      <c r="C3207" s="156"/>
      <c r="D3207" s="156"/>
      <c r="E3207" s="155"/>
      <c r="F3207" s="156"/>
      <c r="G3207" s="154"/>
      <c r="H3207" s="157"/>
      <c r="I3207" s="158"/>
      <c r="J3207" s="159"/>
      <c r="K3207" s="156"/>
      <c r="L3207" s="156"/>
      <c r="M3207" s="202"/>
      <c r="N3207" s="160"/>
      <c r="O3207" s="161"/>
      <c r="P3207" s="161"/>
      <c r="Q3207" s="203"/>
      <c r="R3207" s="162"/>
      <c r="S3207" s="162"/>
      <c r="T3207" s="162"/>
      <c r="U3207" s="163"/>
      <c r="V3207" s="154"/>
      <c r="W3207" s="164"/>
      <c r="X3207" s="164"/>
      <c r="Y3207" s="164"/>
      <c r="Z3207" s="164"/>
      <c r="AA3207" s="164"/>
      <c r="AB3207" s="164"/>
      <c r="AC3207" s="164"/>
      <c r="AD3207" s="164"/>
      <c r="AE3207" s="164"/>
      <c r="AF3207" s="164"/>
      <c r="AG3207" s="164"/>
      <c r="AH3207" s="164"/>
      <c r="AI3207" s="164"/>
    </row>
    <row r="3208">
      <c r="A3208" s="154"/>
      <c r="B3208" s="155"/>
      <c r="C3208" s="156"/>
      <c r="D3208" s="156"/>
      <c r="E3208" s="155"/>
      <c r="F3208" s="156"/>
      <c r="G3208" s="154"/>
      <c r="H3208" s="157"/>
      <c r="I3208" s="158"/>
      <c r="J3208" s="159"/>
      <c r="K3208" s="156"/>
      <c r="L3208" s="156"/>
      <c r="M3208" s="155"/>
      <c r="N3208" s="160"/>
      <c r="O3208" s="161"/>
      <c r="P3208" s="161"/>
      <c r="Q3208" s="203"/>
      <c r="R3208" s="162"/>
      <c r="S3208" s="162"/>
      <c r="T3208" s="162"/>
      <c r="U3208" s="163"/>
      <c r="V3208" s="154"/>
      <c r="W3208" s="164"/>
      <c r="X3208" s="164"/>
      <c r="Y3208" s="164"/>
      <c r="Z3208" s="164"/>
      <c r="AA3208" s="164"/>
      <c r="AB3208" s="164"/>
      <c r="AC3208" s="164"/>
      <c r="AD3208" s="164"/>
      <c r="AE3208" s="164"/>
      <c r="AF3208" s="164"/>
      <c r="AG3208" s="164"/>
      <c r="AH3208" s="164"/>
      <c r="AI3208" s="164"/>
    </row>
    <row r="3209">
      <c r="A3209" s="154"/>
      <c r="B3209" s="155"/>
      <c r="C3209" s="156"/>
      <c r="D3209" s="156"/>
      <c r="E3209" s="155"/>
      <c r="F3209" s="156"/>
      <c r="G3209" s="154"/>
      <c r="H3209" s="157"/>
      <c r="I3209" s="158"/>
      <c r="J3209" s="159"/>
      <c r="K3209" s="156"/>
      <c r="L3209" s="156"/>
      <c r="M3209" s="202"/>
      <c r="N3209" s="160"/>
      <c r="O3209" s="161"/>
      <c r="P3209" s="161"/>
      <c r="Q3209" s="203"/>
      <c r="R3209" s="162"/>
      <c r="S3209" s="162"/>
      <c r="T3209" s="162"/>
      <c r="U3209" s="163"/>
      <c r="V3209" s="154"/>
      <c r="W3209" s="164"/>
      <c r="X3209" s="164"/>
      <c r="Y3209" s="164"/>
      <c r="Z3209" s="164"/>
      <c r="AA3209" s="164"/>
      <c r="AB3209" s="164"/>
      <c r="AC3209" s="164"/>
      <c r="AD3209" s="164"/>
      <c r="AE3209" s="164"/>
      <c r="AF3209" s="164"/>
      <c r="AG3209" s="164"/>
      <c r="AH3209" s="164"/>
      <c r="AI3209" s="164"/>
    </row>
    <row r="3210">
      <c r="A3210" s="154"/>
      <c r="B3210" s="155"/>
      <c r="C3210" s="156"/>
      <c r="D3210" s="156"/>
      <c r="E3210" s="155"/>
      <c r="F3210" s="156"/>
      <c r="G3210" s="154"/>
      <c r="H3210" s="157"/>
      <c r="I3210" s="158"/>
      <c r="J3210" s="159"/>
      <c r="K3210" s="156"/>
      <c r="L3210" s="156"/>
      <c r="M3210" s="155"/>
      <c r="N3210" s="160"/>
      <c r="O3210" s="161"/>
      <c r="P3210" s="161"/>
      <c r="Q3210" s="203"/>
      <c r="R3210" s="162"/>
      <c r="S3210" s="162"/>
      <c r="T3210" s="162"/>
      <c r="U3210" s="163"/>
      <c r="V3210" s="154"/>
      <c r="W3210" s="164"/>
      <c r="X3210" s="164"/>
      <c r="Y3210" s="164"/>
      <c r="Z3210" s="164"/>
      <c r="AA3210" s="164"/>
      <c r="AB3210" s="164"/>
      <c r="AC3210" s="164"/>
      <c r="AD3210" s="164"/>
      <c r="AE3210" s="164"/>
      <c r="AF3210" s="164"/>
      <c r="AG3210" s="164"/>
      <c r="AH3210" s="164"/>
      <c r="AI3210" s="164"/>
    </row>
    <row r="3211">
      <c r="A3211" s="154"/>
      <c r="B3211" s="155"/>
      <c r="C3211" s="156"/>
      <c r="D3211" s="156"/>
      <c r="E3211" s="155"/>
      <c r="F3211" s="156"/>
      <c r="G3211" s="154"/>
      <c r="H3211" s="157"/>
      <c r="I3211" s="158"/>
      <c r="J3211" s="159"/>
      <c r="K3211" s="156"/>
      <c r="L3211" s="156"/>
      <c r="M3211" s="155"/>
      <c r="N3211" s="160"/>
      <c r="O3211" s="161"/>
      <c r="P3211" s="161"/>
      <c r="Q3211" s="203"/>
      <c r="R3211" s="162"/>
      <c r="S3211" s="162"/>
      <c r="T3211" s="162"/>
      <c r="U3211" s="163"/>
      <c r="V3211" s="154"/>
      <c r="W3211" s="164"/>
      <c r="X3211" s="164"/>
      <c r="Y3211" s="164"/>
      <c r="Z3211" s="164"/>
      <c r="AA3211" s="164"/>
      <c r="AB3211" s="164"/>
      <c r="AC3211" s="164"/>
      <c r="AD3211" s="164"/>
      <c r="AE3211" s="164"/>
      <c r="AF3211" s="164"/>
      <c r="AG3211" s="164"/>
      <c r="AH3211" s="164"/>
      <c r="AI3211" s="164"/>
    </row>
    <row r="3212">
      <c r="A3212" s="154"/>
      <c r="B3212" s="155"/>
      <c r="C3212" s="156"/>
      <c r="D3212" s="156"/>
      <c r="E3212" s="155"/>
      <c r="F3212" s="156"/>
      <c r="G3212" s="154"/>
      <c r="H3212" s="157"/>
      <c r="I3212" s="158"/>
      <c r="J3212" s="159"/>
      <c r="K3212" s="156"/>
      <c r="L3212" s="156"/>
      <c r="M3212" s="155"/>
      <c r="N3212" s="160"/>
      <c r="O3212" s="161"/>
      <c r="P3212" s="161"/>
      <c r="Q3212" s="203"/>
      <c r="R3212" s="162"/>
      <c r="S3212" s="162"/>
      <c r="T3212" s="162"/>
      <c r="U3212" s="163"/>
      <c r="V3212" s="154"/>
      <c r="W3212" s="164"/>
      <c r="X3212" s="164"/>
      <c r="Y3212" s="164"/>
      <c r="Z3212" s="164"/>
      <c r="AA3212" s="164"/>
      <c r="AB3212" s="164"/>
      <c r="AC3212" s="164"/>
      <c r="AD3212" s="164"/>
      <c r="AE3212" s="164"/>
      <c r="AF3212" s="164"/>
      <c r="AG3212" s="164"/>
      <c r="AH3212" s="164"/>
      <c r="AI3212" s="164"/>
    </row>
    <row r="3213">
      <c r="A3213" s="154"/>
      <c r="B3213" s="155"/>
      <c r="C3213" s="156"/>
      <c r="D3213" s="156"/>
      <c r="E3213" s="155"/>
      <c r="F3213" s="156"/>
      <c r="G3213" s="154"/>
      <c r="H3213" s="157"/>
      <c r="I3213" s="158"/>
      <c r="J3213" s="159"/>
      <c r="K3213" s="156"/>
      <c r="L3213" s="156"/>
      <c r="M3213" s="155"/>
      <c r="N3213" s="160"/>
      <c r="O3213" s="161"/>
      <c r="P3213" s="161"/>
      <c r="Q3213" s="203"/>
      <c r="R3213" s="162"/>
      <c r="S3213" s="162"/>
      <c r="T3213" s="162"/>
      <c r="U3213" s="163"/>
      <c r="V3213" s="154"/>
      <c r="W3213" s="164"/>
      <c r="X3213" s="164"/>
      <c r="Y3213" s="164"/>
      <c r="Z3213" s="164"/>
      <c r="AA3213" s="164"/>
      <c r="AB3213" s="164"/>
      <c r="AC3213" s="164"/>
      <c r="AD3213" s="164"/>
      <c r="AE3213" s="164"/>
      <c r="AF3213" s="164"/>
      <c r="AG3213" s="164"/>
      <c r="AH3213" s="164"/>
      <c r="AI3213" s="164"/>
    </row>
    <row r="3214">
      <c r="A3214" s="154"/>
      <c r="B3214" s="155"/>
      <c r="C3214" s="156"/>
      <c r="D3214" s="156"/>
      <c r="E3214" s="155"/>
      <c r="F3214" s="156"/>
      <c r="G3214" s="154"/>
      <c r="H3214" s="157"/>
      <c r="I3214" s="158"/>
      <c r="J3214" s="159"/>
      <c r="K3214" s="156"/>
      <c r="L3214" s="156"/>
      <c r="M3214" s="155"/>
      <c r="N3214" s="160"/>
      <c r="O3214" s="161"/>
      <c r="P3214" s="161"/>
      <c r="Q3214" s="203"/>
      <c r="R3214" s="162"/>
      <c r="S3214" s="162"/>
      <c r="T3214" s="162"/>
      <c r="U3214" s="163"/>
      <c r="V3214" s="154"/>
      <c r="W3214" s="164"/>
      <c r="X3214" s="164"/>
      <c r="Y3214" s="164"/>
      <c r="Z3214" s="164"/>
      <c r="AA3214" s="164"/>
      <c r="AB3214" s="164"/>
      <c r="AC3214" s="164"/>
      <c r="AD3214" s="164"/>
      <c r="AE3214" s="164"/>
      <c r="AF3214" s="164"/>
      <c r="AG3214" s="164"/>
      <c r="AH3214" s="164"/>
      <c r="AI3214" s="164"/>
    </row>
    <row r="3215">
      <c r="A3215" s="154"/>
      <c r="B3215" s="155"/>
      <c r="C3215" s="156"/>
      <c r="D3215" s="156"/>
      <c r="E3215" s="155"/>
      <c r="F3215" s="156"/>
      <c r="G3215" s="154"/>
      <c r="H3215" s="157"/>
      <c r="I3215" s="158"/>
      <c r="J3215" s="159"/>
      <c r="K3215" s="156"/>
      <c r="L3215" s="156"/>
      <c r="M3215" s="155"/>
      <c r="N3215" s="160"/>
      <c r="O3215" s="161"/>
      <c r="P3215" s="161"/>
      <c r="Q3215" s="203"/>
      <c r="R3215" s="162"/>
      <c r="S3215" s="162"/>
      <c r="T3215" s="162"/>
      <c r="U3215" s="163"/>
      <c r="V3215" s="154"/>
      <c r="W3215" s="164"/>
      <c r="X3215" s="164"/>
      <c r="Y3215" s="164"/>
      <c r="Z3215" s="164"/>
      <c r="AA3215" s="164"/>
      <c r="AB3215" s="164"/>
      <c r="AC3215" s="164"/>
      <c r="AD3215" s="164"/>
      <c r="AE3215" s="164"/>
      <c r="AF3215" s="164"/>
      <c r="AG3215" s="164"/>
      <c r="AH3215" s="164"/>
      <c r="AI3215" s="164"/>
    </row>
    <row r="3216">
      <c r="A3216" s="154"/>
      <c r="B3216" s="155"/>
      <c r="C3216" s="156"/>
      <c r="D3216" s="156"/>
      <c r="E3216" s="155"/>
      <c r="F3216" s="156"/>
      <c r="G3216" s="154"/>
      <c r="H3216" s="157"/>
      <c r="I3216" s="158"/>
      <c r="J3216" s="159"/>
      <c r="K3216" s="156"/>
      <c r="L3216" s="156"/>
      <c r="M3216" s="202"/>
      <c r="N3216" s="160"/>
      <c r="O3216" s="161"/>
      <c r="P3216" s="161"/>
      <c r="Q3216" s="203"/>
      <c r="R3216" s="162"/>
      <c r="S3216" s="162"/>
      <c r="T3216" s="162"/>
      <c r="U3216" s="163"/>
      <c r="V3216" s="154"/>
      <c r="W3216" s="164"/>
      <c r="X3216" s="164"/>
      <c r="Y3216" s="164"/>
      <c r="Z3216" s="164"/>
      <c r="AA3216" s="164"/>
      <c r="AB3216" s="164"/>
      <c r="AC3216" s="164"/>
      <c r="AD3216" s="164"/>
      <c r="AE3216" s="164"/>
      <c r="AF3216" s="164"/>
      <c r="AG3216" s="164"/>
      <c r="AH3216" s="164"/>
      <c r="AI3216" s="164"/>
    </row>
    <row r="3217">
      <c r="A3217" s="154"/>
      <c r="B3217" s="155"/>
      <c r="C3217" s="156"/>
      <c r="D3217" s="156"/>
      <c r="E3217" s="155"/>
      <c r="F3217" s="156"/>
      <c r="G3217" s="154"/>
      <c r="H3217" s="157"/>
      <c r="I3217" s="158"/>
      <c r="J3217" s="159"/>
      <c r="K3217" s="156"/>
      <c r="L3217" s="156"/>
      <c r="M3217" s="202"/>
      <c r="N3217" s="160"/>
      <c r="O3217" s="161"/>
      <c r="P3217" s="161"/>
      <c r="Q3217" s="203"/>
      <c r="R3217" s="162"/>
      <c r="S3217" s="162"/>
      <c r="T3217" s="162"/>
      <c r="U3217" s="163"/>
      <c r="V3217" s="154"/>
      <c r="W3217" s="164"/>
      <c r="X3217" s="164"/>
      <c r="Y3217" s="164"/>
      <c r="Z3217" s="164"/>
      <c r="AA3217" s="164"/>
      <c r="AB3217" s="164"/>
      <c r="AC3217" s="164"/>
      <c r="AD3217" s="164"/>
      <c r="AE3217" s="164"/>
      <c r="AF3217" s="164"/>
      <c r="AG3217" s="164"/>
      <c r="AH3217" s="164"/>
      <c r="AI3217" s="164"/>
    </row>
    <row r="3218">
      <c r="A3218" s="154"/>
      <c r="B3218" s="155"/>
      <c r="C3218" s="156"/>
      <c r="D3218" s="156"/>
      <c r="E3218" s="155"/>
      <c r="F3218" s="156"/>
      <c r="G3218" s="154"/>
      <c r="H3218" s="157"/>
      <c r="I3218" s="158"/>
      <c r="J3218" s="159"/>
      <c r="K3218" s="156"/>
      <c r="L3218" s="156"/>
      <c r="M3218" s="202"/>
      <c r="N3218" s="160"/>
      <c r="O3218" s="161"/>
      <c r="P3218" s="161"/>
      <c r="Q3218" s="203"/>
      <c r="R3218" s="162"/>
      <c r="S3218" s="162"/>
      <c r="T3218" s="162"/>
      <c r="U3218" s="163"/>
      <c r="V3218" s="154"/>
      <c r="W3218" s="164"/>
      <c r="X3218" s="164"/>
      <c r="Y3218" s="164"/>
      <c r="Z3218" s="164"/>
      <c r="AA3218" s="164"/>
      <c r="AB3218" s="164"/>
      <c r="AC3218" s="164"/>
      <c r="AD3218" s="164"/>
      <c r="AE3218" s="164"/>
      <c r="AF3218" s="164"/>
      <c r="AG3218" s="164"/>
      <c r="AH3218" s="164"/>
      <c r="AI3218" s="164"/>
    </row>
    <row r="3219">
      <c r="A3219" s="154"/>
      <c r="B3219" s="155"/>
      <c r="C3219" s="156"/>
      <c r="D3219" s="156"/>
      <c r="E3219" s="155"/>
      <c r="F3219" s="156"/>
      <c r="G3219" s="154"/>
      <c r="H3219" s="157"/>
      <c r="I3219" s="158"/>
      <c r="J3219" s="159"/>
      <c r="K3219" s="156"/>
      <c r="L3219" s="156"/>
      <c r="M3219" s="155"/>
      <c r="N3219" s="160"/>
      <c r="O3219" s="161"/>
      <c r="P3219" s="161"/>
      <c r="Q3219" s="203"/>
      <c r="R3219" s="162"/>
      <c r="S3219" s="162"/>
      <c r="T3219" s="162"/>
      <c r="U3219" s="163"/>
      <c r="V3219" s="154"/>
      <c r="W3219" s="164"/>
      <c r="X3219" s="164"/>
      <c r="Y3219" s="164"/>
      <c r="Z3219" s="164"/>
      <c r="AA3219" s="164"/>
      <c r="AB3219" s="164"/>
      <c r="AC3219" s="164"/>
      <c r="AD3219" s="164"/>
      <c r="AE3219" s="164"/>
      <c r="AF3219" s="164"/>
      <c r="AG3219" s="164"/>
      <c r="AH3219" s="164"/>
      <c r="AI3219" s="164"/>
    </row>
    <row r="3220">
      <c r="A3220" s="154"/>
      <c r="B3220" s="155"/>
      <c r="C3220" s="156"/>
      <c r="D3220" s="156"/>
      <c r="E3220" s="155"/>
      <c r="F3220" s="156"/>
      <c r="G3220" s="154"/>
      <c r="H3220" s="157"/>
      <c r="I3220" s="158"/>
      <c r="J3220" s="159"/>
      <c r="K3220" s="156"/>
      <c r="L3220" s="156"/>
      <c r="M3220" s="155"/>
      <c r="N3220" s="160"/>
      <c r="O3220" s="161"/>
      <c r="P3220" s="161"/>
      <c r="Q3220" s="203"/>
      <c r="R3220" s="162"/>
      <c r="S3220" s="162"/>
      <c r="T3220" s="162"/>
      <c r="U3220" s="163"/>
      <c r="V3220" s="154"/>
      <c r="W3220" s="164"/>
      <c r="X3220" s="164"/>
      <c r="Y3220" s="164"/>
      <c r="Z3220" s="164"/>
      <c r="AA3220" s="164"/>
      <c r="AB3220" s="164"/>
      <c r="AC3220" s="164"/>
      <c r="AD3220" s="164"/>
      <c r="AE3220" s="164"/>
      <c r="AF3220" s="164"/>
      <c r="AG3220" s="164"/>
      <c r="AH3220" s="164"/>
      <c r="AI3220" s="164"/>
    </row>
    <row r="3221">
      <c r="A3221" s="154"/>
      <c r="B3221" s="155"/>
      <c r="C3221" s="156"/>
      <c r="D3221" s="156"/>
      <c r="E3221" s="155"/>
      <c r="F3221" s="156"/>
      <c r="G3221" s="154"/>
      <c r="H3221" s="157"/>
      <c r="I3221" s="158"/>
      <c r="J3221" s="159"/>
      <c r="K3221" s="156"/>
      <c r="L3221" s="156"/>
      <c r="M3221" s="155"/>
      <c r="N3221" s="160"/>
      <c r="O3221" s="161"/>
      <c r="P3221" s="161"/>
      <c r="Q3221" s="203"/>
      <c r="R3221" s="162"/>
      <c r="S3221" s="162"/>
      <c r="T3221" s="162"/>
      <c r="U3221" s="163"/>
      <c r="V3221" s="154"/>
      <c r="W3221" s="164"/>
      <c r="X3221" s="164"/>
      <c r="Y3221" s="164"/>
      <c r="Z3221" s="164"/>
      <c r="AA3221" s="164"/>
      <c r="AB3221" s="164"/>
      <c r="AC3221" s="164"/>
      <c r="AD3221" s="164"/>
      <c r="AE3221" s="164"/>
      <c r="AF3221" s="164"/>
      <c r="AG3221" s="164"/>
      <c r="AH3221" s="164"/>
      <c r="AI3221" s="164"/>
    </row>
    <row r="3222">
      <c r="A3222" s="154"/>
      <c r="B3222" s="155"/>
      <c r="C3222" s="156"/>
      <c r="D3222" s="156"/>
      <c r="E3222" s="155"/>
      <c r="F3222" s="156"/>
      <c r="G3222" s="154"/>
      <c r="H3222" s="157"/>
      <c r="I3222" s="158"/>
      <c r="J3222" s="159"/>
      <c r="K3222" s="156"/>
      <c r="L3222" s="156"/>
      <c r="M3222" s="155"/>
      <c r="N3222" s="160"/>
      <c r="O3222" s="161"/>
      <c r="P3222" s="161"/>
      <c r="Q3222" s="203"/>
      <c r="R3222" s="162"/>
      <c r="S3222" s="162"/>
      <c r="T3222" s="162"/>
      <c r="U3222" s="163"/>
      <c r="V3222" s="154"/>
      <c r="W3222" s="164"/>
      <c r="X3222" s="164"/>
      <c r="Y3222" s="164"/>
      <c r="Z3222" s="164"/>
      <c r="AA3222" s="164"/>
      <c r="AB3222" s="164"/>
      <c r="AC3222" s="164"/>
      <c r="AD3222" s="164"/>
      <c r="AE3222" s="164"/>
      <c r="AF3222" s="164"/>
      <c r="AG3222" s="164"/>
      <c r="AH3222" s="164"/>
      <c r="AI3222" s="164"/>
    </row>
    <row r="3223">
      <c r="A3223" s="154"/>
      <c r="B3223" s="155"/>
      <c r="C3223" s="156"/>
      <c r="D3223" s="156"/>
      <c r="E3223" s="155"/>
      <c r="F3223" s="156"/>
      <c r="G3223" s="154"/>
      <c r="H3223" s="157"/>
      <c r="I3223" s="158"/>
      <c r="J3223" s="159"/>
      <c r="K3223" s="156"/>
      <c r="L3223" s="156"/>
      <c r="M3223" s="155"/>
      <c r="N3223" s="160"/>
      <c r="O3223" s="161"/>
      <c r="P3223" s="161"/>
      <c r="Q3223" s="203"/>
      <c r="R3223" s="162"/>
      <c r="S3223" s="162"/>
      <c r="T3223" s="162"/>
      <c r="U3223" s="163"/>
      <c r="V3223" s="154"/>
      <c r="W3223" s="164"/>
      <c r="X3223" s="164"/>
      <c r="Y3223" s="164"/>
      <c r="Z3223" s="164"/>
      <c r="AA3223" s="164"/>
      <c r="AB3223" s="164"/>
      <c r="AC3223" s="164"/>
      <c r="AD3223" s="164"/>
      <c r="AE3223" s="164"/>
      <c r="AF3223" s="164"/>
      <c r="AG3223" s="164"/>
      <c r="AH3223" s="164"/>
      <c r="AI3223" s="164"/>
    </row>
    <row r="3224">
      <c r="A3224" s="154"/>
      <c r="B3224" s="155"/>
      <c r="C3224" s="156"/>
      <c r="D3224" s="156"/>
      <c r="E3224" s="155"/>
      <c r="F3224" s="156"/>
      <c r="G3224" s="154"/>
      <c r="H3224" s="157"/>
      <c r="I3224" s="158"/>
      <c r="J3224" s="159"/>
      <c r="K3224" s="156"/>
      <c r="L3224" s="156"/>
      <c r="M3224" s="155"/>
      <c r="N3224" s="160"/>
      <c r="O3224" s="161"/>
      <c r="P3224" s="161"/>
      <c r="Q3224" s="203"/>
      <c r="R3224" s="162"/>
      <c r="S3224" s="162"/>
      <c r="T3224" s="162"/>
      <c r="U3224" s="163"/>
      <c r="V3224" s="154"/>
      <c r="W3224" s="164"/>
      <c r="X3224" s="164"/>
      <c r="Y3224" s="164"/>
      <c r="Z3224" s="164"/>
      <c r="AA3224" s="164"/>
      <c r="AB3224" s="164"/>
      <c r="AC3224" s="164"/>
      <c r="AD3224" s="164"/>
      <c r="AE3224" s="164"/>
      <c r="AF3224" s="164"/>
      <c r="AG3224" s="164"/>
      <c r="AH3224" s="164"/>
      <c r="AI3224" s="164"/>
    </row>
    <row r="3225">
      <c r="A3225" s="154"/>
      <c r="B3225" s="155"/>
      <c r="C3225" s="156"/>
      <c r="D3225" s="156"/>
      <c r="E3225" s="155"/>
      <c r="F3225" s="156"/>
      <c r="G3225" s="154"/>
      <c r="H3225" s="157"/>
      <c r="I3225" s="158"/>
      <c r="J3225" s="159"/>
      <c r="K3225" s="156"/>
      <c r="L3225" s="156"/>
      <c r="M3225" s="202"/>
      <c r="N3225" s="160"/>
      <c r="O3225" s="161"/>
      <c r="P3225" s="161"/>
      <c r="Q3225" s="159"/>
      <c r="R3225" s="162"/>
      <c r="S3225" s="162"/>
      <c r="T3225" s="162"/>
      <c r="U3225" s="163"/>
      <c r="V3225" s="154"/>
      <c r="W3225" s="164"/>
      <c r="X3225" s="164"/>
      <c r="Y3225" s="164"/>
      <c r="Z3225" s="164"/>
      <c r="AA3225" s="164"/>
      <c r="AB3225" s="164"/>
      <c r="AC3225" s="164"/>
      <c r="AD3225" s="164"/>
      <c r="AE3225" s="164"/>
      <c r="AF3225" s="164"/>
      <c r="AG3225" s="164"/>
      <c r="AH3225" s="164"/>
      <c r="AI3225" s="164"/>
    </row>
    <row r="3226">
      <c r="A3226" s="154"/>
      <c r="B3226" s="155"/>
      <c r="C3226" s="156"/>
      <c r="D3226" s="156"/>
      <c r="E3226" s="155"/>
      <c r="F3226" s="156"/>
      <c r="G3226" s="154"/>
      <c r="H3226" s="157"/>
      <c r="I3226" s="158"/>
      <c r="J3226" s="159"/>
      <c r="K3226" s="156"/>
      <c r="L3226" s="156"/>
      <c r="M3226" s="202"/>
      <c r="N3226" s="160"/>
      <c r="O3226" s="161"/>
      <c r="P3226" s="161"/>
      <c r="Q3226" s="203"/>
      <c r="R3226" s="162"/>
      <c r="S3226" s="162"/>
      <c r="T3226" s="162"/>
      <c r="U3226" s="163"/>
      <c r="V3226" s="154"/>
      <c r="W3226" s="164"/>
      <c r="X3226" s="164"/>
      <c r="Y3226" s="164"/>
      <c r="Z3226" s="164"/>
      <c r="AA3226" s="164"/>
      <c r="AB3226" s="164"/>
      <c r="AC3226" s="164"/>
      <c r="AD3226" s="164"/>
      <c r="AE3226" s="164"/>
      <c r="AF3226" s="164"/>
      <c r="AG3226" s="164"/>
      <c r="AH3226" s="164"/>
      <c r="AI3226" s="164"/>
    </row>
    <row r="3227">
      <c r="A3227" s="154"/>
      <c r="B3227" s="155"/>
      <c r="C3227" s="156"/>
      <c r="D3227" s="156"/>
      <c r="E3227" s="155"/>
      <c r="F3227" s="156"/>
      <c r="G3227" s="154"/>
      <c r="H3227" s="157"/>
      <c r="I3227" s="158"/>
      <c r="J3227" s="159"/>
      <c r="K3227" s="156"/>
      <c r="L3227" s="156"/>
      <c r="M3227" s="155"/>
      <c r="N3227" s="160"/>
      <c r="O3227" s="161"/>
      <c r="P3227" s="161"/>
      <c r="Q3227" s="203"/>
      <c r="R3227" s="162"/>
      <c r="S3227" s="162"/>
      <c r="T3227" s="162"/>
      <c r="U3227" s="163"/>
      <c r="V3227" s="154"/>
      <c r="W3227" s="164"/>
      <c r="X3227" s="164"/>
      <c r="Y3227" s="164"/>
      <c r="Z3227" s="164"/>
      <c r="AA3227" s="164"/>
      <c r="AB3227" s="164"/>
      <c r="AC3227" s="164"/>
      <c r="AD3227" s="164"/>
      <c r="AE3227" s="164"/>
      <c r="AF3227" s="164"/>
      <c r="AG3227" s="164"/>
      <c r="AH3227" s="164"/>
      <c r="AI3227" s="164"/>
    </row>
    <row r="3228">
      <c r="A3228" s="154"/>
      <c r="B3228" s="155"/>
      <c r="C3228" s="156"/>
      <c r="D3228" s="156"/>
      <c r="E3228" s="155"/>
      <c r="F3228" s="156"/>
      <c r="G3228" s="154"/>
      <c r="H3228" s="157"/>
      <c r="I3228" s="158"/>
      <c r="J3228" s="159"/>
      <c r="K3228" s="156"/>
      <c r="L3228" s="156"/>
      <c r="M3228" s="155"/>
      <c r="N3228" s="160"/>
      <c r="O3228" s="161"/>
      <c r="P3228" s="161"/>
      <c r="Q3228" s="159"/>
      <c r="R3228" s="162"/>
      <c r="S3228" s="162"/>
      <c r="T3228" s="162"/>
      <c r="U3228" s="163"/>
      <c r="V3228" s="154"/>
      <c r="W3228" s="164"/>
      <c r="X3228" s="164"/>
      <c r="Y3228" s="164"/>
      <c r="Z3228" s="164"/>
      <c r="AA3228" s="164"/>
      <c r="AB3228" s="164"/>
      <c r="AC3228" s="164"/>
      <c r="AD3228" s="164"/>
      <c r="AE3228" s="164"/>
      <c r="AF3228" s="164"/>
      <c r="AG3228" s="164"/>
      <c r="AH3228" s="164"/>
      <c r="AI3228" s="164"/>
    </row>
    <row r="3229">
      <c r="A3229" s="154"/>
      <c r="B3229" s="155"/>
      <c r="C3229" s="156"/>
      <c r="D3229" s="156"/>
      <c r="E3229" s="155"/>
      <c r="F3229" s="156"/>
      <c r="G3229" s="154"/>
      <c r="H3229" s="157"/>
      <c r="I3229" s="158"/>
      <c r="J3229" s="159"/>
      <c r="K3229" s="156"/>
      <c r="L3229" s="156"/>
      <c r="M3229" s="155"/>
      <c r="N3229" s="160"/>
      <c r="O3229" s="161"/>
      <c r="P3229" s="161"/>
      <c r="Q3229" s="203"/>
      <c r="R3229" s="162"/>
      <c r="S3229" s="162"/>
      <c r="T3229" s="162"/>
      <c r="U3229" s="163"/>
      <c r="V3229" s="154"/>
      <c r="W3229" s="164"/>
      <c r="X3229" s="164"/>
      <c r="Y3229" s="164"/>
      <c r="Z3229" s="164"/>
      <c r="AA3229" s="164"/>
      <c r="AB3229" s="164"/>
      <c r="AC3229" s="164"/>
      <c r="AD3229" s="164"/>
      <c r="AE3229" s="164"/>
      <c r="AF3229" s="164"/>
      <c r="AG3229" s="164"/>
      <c r="AH3229" s="164"/>
      <c r="AI3229" s="164"/>
    </row>
    <row r="3230">
      <c r="A3230" s="154"/>
      <c r="B3230" s="155"/>
      <c r="C3230" s="156"/>
      <c r="D3230" s="156"/>
      <c r="E3230" s="155"/>
      <c r="F3230" s="156"/>
      <c r="G3230" s="154"/>
      <c r="H3230" s="157"/>
      <c r="I3230" s="158"/>
      <c r="J3230" s="159"/>
      <c r="K3230" s="156"/>
      <c r="L3230" s="156"/>
      <c r="M3230" s="155"/>
      <c r="N3230" s="160"/>
      <c r="O3230" s="161"/>
      <c r="P3230" s="161"/>
      <c r="Q3230" s="203"/>
      <c r="R3230" s="162"/>
      <c r="S3230" s="162"/>
      <c r="T3230" s="162"/>
      <c r="U3230" s="163"/>
      <c r="V3230" s="154"/>
      <c r="W3230" s="164"/>
      <c r="X3230" s="164"/>
      <c r="Y3230" s="164"/>
      <c r="Z3230" s="164"/>
      <c r="AA3230" s="164"/>
      <c r="AB3230" s="164"/>
      <c r="AC3230" s="164"/>
      <c r="AD3230" s="164"/>
      <c r="AE3230" s="164"/>
      <c r="AF3230" s="164"/>
      <c r="AG3230" s="164"/>
      <c r="AH3230" s="164"/>
      <c r="AI3230" s="164"/>
    </row>
    <row r="3231">
      <c r="A3231" s="154"/>
      <c r="B3231" s="155"/>
      <c r="C3231" s="156"/>
      <c r="D3231" s="156"/>
      <c r="E3231" s="155"/>
      <c r="F3231" s="156"/>
      <c r="G3231" s="154"/>
      <c r="H3231" s="157"/>
      <c r="I3231" s="158"/>
      <c r="J3231" s="159"/>
      <c r="K3231" s="156"/>
      <c r="L3231" s="156"/>
      <c r="M3231" s="155"/>
      <c r="N3231" s="160"/>
      <c r="O3231" s="161"/>
      <c r="P3231" s="161"/>
      <c r="Q3231" s="203"/>
      <c r="R3231" s="162"/>
      <c r="S3231" s="162"/>
      <c r="T3231" s="162"/>
      <c r="U3231" s="163"/>
      <c r="V3231" s="154"/>
      <c r="W3231" s="164"/>
      <c r="X3231" s="164"/>
      <c r="Y3231" s="164"/>
      <c r="Z3231" s="164"/>
      <c r="AA3231" s="164"/>
      <c r="AB3231" s="164"/>
      <c r="AC3231" s="164"/>
      <c r="AD3231" s="164"/>
      <c r="AE3231" s="164"/>
      <c r="AF3231" s="164"/>
      <c r="AG3231" s="164"/>
      <c r="AH3231" s="164"/>
      <c r="AI3231" s="164"/>
    </row>
    <row r="3232">
      <c r="A3232" s="154"/>
      <c r="B3232" s="155"/>
      <c r="C3232" s="156"/>
      <c r="D3232" s="156"/>
      <c r="E3232" s="155"/>
      <c r="F3232" s="156"/>
      <c r="G3232" s="154"/>
      <c r="H3232" s="157"/>
      <c r="I3232" s="158"/>
      <c r="J3232" s="159"/>
      <c r="K3232" s="156"/>
      <c r="L3232" s="156"/>
      <c r="M3232" s="155"/>
      <c r="N3232" s="160"/>
      <c r="O3232" s="161"/>
      <c r="P3232" s="161"/>
      <c r="Q3232" s="203"/>
      <c r="R3232" s="162"/>
      <c r="S3232" s="162"/>
      <c r="T3232" s="162"/>
      <c r="U3232" s="163"/>
      <c r="V3232" s="154"/>
      <c r="W3232" s="164"/>
      <c r="X3232" s="164"/>
      <c r="Y3232" s="164"/>
      <c r="Z3232" s="164"/>
      <c r="AA3232" s="164"/>
      <c r="AB3232" s="164"/>
      <c r="AC3232" s="164"/>
      <c r="AD3232" s="164"/>
      <c r="AE3232" s="164"/>
      <c r="AF3232" s="164"/>
      <c r="AG3232" s="164"/>
      <c r="AH3232" s="164"/>
      <c r="AI3232" s="164"/>
    </row>
    <row r="3233">
      <c r="A3233" s="154"/>
      <c r="B3233" s="155"/>
      <c r="C3233" s="156"/>
      <c r="D3233" s="156"/>
      <c r="E3233" s="155"/>
      <c r="F3233" s="156"/>
      <c r="G3233" s="154"/>
      <c r="H3233" s="157"/>
      <c r="I3233" s="158"/>
      <c r="J3233" s="159"/>
      <c r="K3233" s="156"/>
      <c r="L3233" s="156"/>
      <c r="M3233" s="155"/>
      <c r="N3233" s="160"/>
      <c r="O3233" s="161"/>
      <c r="P3233" s="161"/>
      <c r="Q3233" s="203"/>
      <c r="R3233" s="162"/>
      <c r="S3233" s="162"/>
      <c r="T3233" s="162"/>
      <c r="U3233" s="163"/>
      <c r="V3233" s="154"/>
      <c r="W3233" s="164"/>
      <c r="X3233" s="164"/>
      <c r="Y3233" s="164"/>
      <c r="Z3233" s="164"/>
      <c r="AA3233" s="164"/>
      <c r="AB3233" s="164"/>
      <c r="AC3233" s="164"/>
      <c r="AD3233" s="164"/>
      <c r="AE3233" s="164"/>
      <c r="AF3233" s="164"/>
      <c r="AG3233" s="164"/>
      <c r="AH3233" s="164"/>
      <c r="AI3233" s="164"/>
    </row>
    <row r="3234">
      <c r="A3234" s="154"/>
      <c r="B3234" s="155"/>
      <c r="C3234" s="156"/>
      <c r="D3234" s="156"/>
      <c r="E3234" s="155"/>
      <c r="F3234" s="156"/>
      <c r="G3234" s="154"/>
      <c r="H3234" s="157"/>
      <c r="I3234" s="158"/>
      <c r="J3234" s="159"/>
      <c r="K3234" s="156"/>
      <c r="L3234" s="156"/>
      <c r="M3234" s="155"/>
      <c r="N3234" s="160"/>
      <c r="O3234" s="161"/>
      <c r="P3234" s="161"/>
      <c r="Q3234" s="203"/>
      <c r="R3234" s="162"/>
      <c r="S3234" s="162"/>
      <c r="T3234" s="162"/>
      <c r="U3234" s="163"/>
      <c r="V3234" s="154"/>
      <c r="W3234" s="164"/>
      <c r="X3234" s="164"/>
      <c r="Y3234" s="164"/>
      <c r="Z3234" s="164"/>
      <c r="AA3234" s="164"/>
      <c r="AB3234" s="164"/>
      <c r="AC3234" s="164"/>
      <c r="AD3234" s="164"/>
      <c r="AE3234" s="164"/>
      <c r="AF3234" s="164"/>
      <c r="AG3234" s="164"/>
      <c r="AH3234" s="164"/>
      <c r="AI3234" s="164"/>
    </row>
    <row r="3235">
      <c r="A3235" s="154"/>
      <c r="B3235" s="155"/>
      <c r="C3235" s="156"/>
      <c r="D3235" s="156"/>
      <c r="E3235" s="155"/>
      <c r="F3235" s="156"/>
      <c r="G3235" s="154"/>
      <c r="H3235" s="157"/>
      <c r="I3235" s="158"/>
      <c r="J3235" s="159"/>
      <c r="K3235" s="156"/>
      <c r="L3235" s="156"/>
      <c r="M3235" s="202"/>
      <c r="N3235" s="160"/>
      <c r="O3235" s="161"/>
      <c r="P3235" s="161"/>
      <c r="Q3235" s="203"/>
      <c r="R3235" s="162"/>
      <c r="S3235" s="162"/>
      <c r="T3235" s="162"/>
      <c r="U3235" s="163"/>
      <c r="V3235" s="154"/>
      <c r="W3235" s="164"/>
      <c r="X3235" s="164"/>
      <c r="Y3235" s="164"/>
      <c r="Z3235" s="164"/>
      <c r="AA3235" s="164"/>
      <c r="AB3235" s="164"/>
      <c r="AC3235" s="164"/>
      <c r="AD3235" s="164"/>
      <c r="AE3235" s="164"/>
      <c r="AF3235" s="164"/>
      <c r="AG3235" s="164"/>
      <c r="AH3235" s="164"/>
      <c r="AI3235" s="164"/>
    </row>
    <row r="3236">
      <c r="A3236" s="154"/>
      <c r="B3236" s="155"/>
      <c r="C3236" s="156"/>
      <c r="D3236" s="156"/>
      <c r="E3236" s="155"/>
      <c r="F3236" s="156"/>
      <c r="G3236" s="154"/>
      <c r="H3236" s="157"/>
      <c r="I3236" s="158"/>
      <c r="J3236" s="159"/>
      <c r="K3236" s="156"/>
      <c r="L3236" s="156"/>
      <c r="M3236" s="202"/>
      <c r="N3236" s="160"/>
      <c r="O3236" s="161"/>
      <c r="P3236" s="161"/>
      <c r="Q3236" s="203"/>
      <c r="R3236" s="162"/>
      <c r="S3236" s="162"/>
      <c r="T3236" s="162"/>
      <c r="U3236" s="163"/>
      <c r="V3236" s="154"/>
      <c r="W3236" s="164"/>
      <c r="X3236" s="164"/>
      <c r="Y3236" s="164"/>
      <c r="Z3236" s="164"/>
      <c r="AA3236" s="164"/>
      <c r="AB3236" s="164"/>
      <c r="AC3236" s="164"/>
      <c r="AD3236" s="164"/>
      <c r="AE3236" s="164"/>
      <c r="AF3236" s="164"/>
      <c r="AG3236" s="164"/>
      <c r="AH3236" s="164"/>
      <c r="AI3236" s="164"/>
    </row>
    <row r="3237">
      <c r="A3237" s="154"/>
      <c r="B3237" s="155"/>
      <c r="C3237" s="156"/>
      <c r="D3237" s="156"/>
      <c r="E3237" s="155"/>
      <c r="F3237" s="156"/>
      <c r="G3237" s="154"/>
      <c r="H3237" s="157"/>
      <c r="I3237" s="158"/>
      <c r="J3237" s="159"/>
      <c r="K3237" s="156"/>
      <c r="L3237" s="156"/>
      <c r="M3237" s="155"/>
      <c r="N3237" s="160"/>
      <c r="O3237" s="161"/>
      <c r="P3237" s="161"/>
      <c r="Q3237" s="159"/>
      <c r="R3237" s="162"/>
      <c r="S3237" s="162"/>
      <c r="T3237" s="162"/>
      <c r="U3237" s="163"/>
      <c r="V3237" s="154"/>
      <c r="W3237" s="164"/>
      <c r="X3237" s="164"/>
      <c r="Y3237" s="164"/>
      <c r="Z3237" s="164"/>
      <c r="AA3237" s="164"/>
      <c r="AB3237" s="164"/>
      <c r="AC3237" s="164"/>
      <c r="AD3237" s="164"/>
      <c r="AE3237" s="164"/>
      <c r="AF3237" s="164"/>
      <c r="AG3237" s="164"/>
      <c r="AH3237" s="164"/>
      <c r="AI3237" s="164"/>
    </row>
    <row r="3238">
      <c r="A3238" s="154"/>
      <c r="B3238" s="155"/>
      <c r="C3238" s="156"/>
      <c r="D3238" s="156"/>
      <c r="E3238" s="155"/>
      <c r="F3238" s="156"/>
      <c r="G3238" s="154"/>
      <c r="H3238" s="157"/>
      <c r="I3238" s="158"/>
      <c r="J3238" s="159"/>
      <c r="K3238" s="156"/>
      <c r="L3238" s="156"/>
      <c r="M3238" s="155"/>
      <c r="N3238" s="160"/>
      <c r="O3238" s="161"/>
      <c r="P3238" s="161"/>
      <c r="Q3238" s="203"/>
      <c r="R3238" s="162"/>
      <c r="S3238" s="162"/>
      <c r="T3238" s="162"/>
      <c r="U3238" s="163"/>
      <c r="V3238" s="154"/>
      <c r="W3238" s="164"/>
      <c r="X3238" s="164"/>
      <c r="Y3238" s="164"/>
      <c r="Z3238" s="164"/>
      <c r="AA3238" s="164"/>
      <c r="AB3238" s="164"/>
      <c r="AC3238" s="164"/>
      <c r="AD3238" s="164"/>
      <c r="AE3238" s="164"/>
      <c r="AF3238" s="164"/>
      <c r="AG3238" s="164"/>
      <c r="AH3238" s="164"/>
      <c r="AI3238" s="164"/>
    </row>
    <row r="3239">
      <c r="A3239" s="216"/>
      <c r="B3239" s="155"/>
      <c r="C3239" s="156"/>
      <c r="D3239" s="156"/>
      <c r="E3239" s="155"/>
      <c r="F3239" s="156"/>
      <c r="G3239" s="154"/>
      <c r="H3239" s="157"/>
      <c r="I3239" s="158"/>
      <c r="J3239" s="159"/>
      <c r="K3239" s="156"/>
      <c r="L3239" s="156"/>
      <c r="M3239" s="155"/>
      <c r="N3239" s="160"/>
      <c r="O3239" s="161"/>
      <c r="P3239" s="161"/>
      <c r="Q3239" s="159"/>
      <c r="R3239" s="162"/>
      <c r="S3239" s="162"/>
      <c r="T3239" s="162"/>
      <c r="U3239" s="163"/>
      <c r="V3239" s="154"/>
      <c r="W3239" s="164"/>
      <c r="X3239" s="164"/>
      <c r="Y3239" s="164"/>
      <c r="Z3239" s="164"/>
      <c r="AA3239" s="164"/>
      <c r="AB3239" s="164"/>
      <c r="AC3239" s="164"/>
      <c r="AD3239" s="164"/>
      <c r="AE3239" s="164"/>
      <c r="AF3239" s="164"/>
      <c r="AG3239" s="164"/>
      <c r="AH3239" s="164"/>
      <c r="AI3239" s="164"/>
    </row>
    <row r="3240">
      <c r="A3240" s="154"/>
      <c r="B3240" s="155"/>
      <c r="C3240" s="156"/>
      <c r="D3240" s="156"/>
      <c r="E3240" s="155"/>
      <c r="F3240" s="156"/>
      <c r="G3240" s="154"/>
      <c r="H3240" s="157"/>
      <c r="I3240" s="158"/>
      <c r="J3240" s="159"/>
      <c r="K3240" s="156"/>
      <c r="L3240" s="156"/>
      <c r="M3240" s="155"/>
      <c r="N3240" s="160"/>
      <c r="O3240" s="161"/>
      <c r="P3240" s="161"/>
      <c r="Q3240" s="203"/>
      <c r="R3240" s="162"/>
      <c r="S3240" s="162"/>
      <c r="T3240" s="162"/>
      <c r="U3240" s="163"/>
      <c r="V3240" s="154"/>
      <c r="W3240" s="164"/>
      <c r="X3240" s="164"/>
      <c r="Y3240" s="164"/>
      <c r="Z3240" s="164"/>
      <c r="AA3240" s="164"/>
      <c r="AB3240" s="164"/>
      <c r="AC3240" s="164"/>
      <c r="AD3240" s="164"/>
      <c r="AE3240" s="164"/>
      <c r="AF3240" s="164"/>
      <c r="AG3240" s="164"/>
      <c r="AH3240" s="164"/>
      <c r="AI3240" s="164"/>
    </row>
    <row r="3241">
      <c r="A3241" s="154"/>
      <c r="B3241" s="155"/>
      <c r="C3241" s="156"/>
      <c r="D3241" s="156"/>
      <c r="E3241" s="155"/>
      <c r="F3241" s="156"/>
      <c r="G3241" s="154"/>
      <c r="H3241" s="157"/>
      <c r="I3241" s="158"/>
      <c r="J3241" s="159"/>
      <c r="K3241" s="156"/>
      <c r="L3241" s="156"/>
      <c r="M3241" s="155"/>
      <c r="N3241" s="160"/>
      <c r="O3241" s="161"/>
      <c r="P3241" s="161"/>
      <c r="Q3241" s="203"/>
      <c r="R3241" s="162"/>
      <c r="S3241" s="162"/>
      <c r="T3241" s="162"/>
      <c r="U3241" s="163"/>
      <c r="V3241" s="154"/>
      <c r="W3241" s="164"/>
      <c r="X3241" s="164"/>
      <c r="Y3241" s="164"/>
      <c r="Z3241" s="164"/>
      <c r="AA3241" s="164"/>
      <c r="AB3241" s="164"/>
      <c r="AC3241" s="164"/>
      <c r="AD3241" s="164"/>
      <c r="AE3241" s="164"/>
      <c r="AF3241" s="164"/>
      <c r="AG3241" s="164"/>
      <c r="AH3241" s="164"/>
      <c r="AI3241" s="164"/>
    </row>
    <row r="3242">
      <c r="A3242" s="154"/>
      <c r="B3242" s="155"/>
      <c r="C3242" s="156"/>
      <c r="D3242" s="156"/>
      <c r="E3242" s="155"/>
      <c r="F3242" s="156"/>
      <c r="G3242" s="154"/>
      <c r="H3242" s="157"/>
      <c r="I3242" s="158"/>
      <c r="J3242" s="159"/>
      <c r="K3242" s="156"/>
      <c r="L3242" s="156"/>
      <c r="M3242" s="155"/>
      <c r="N3242" s="160"/>
      <c r="O3242" s="161"/>
      <c r="P3242" s="161"/>
      <c r="Q3242" s="159"/>
      <c r="R3242" s="162"/>
      <c r="S3242" s="162"/>
      <c r="T3242" s="162"/>
      <c r="U3242" s="163"/>
      <c r="V3242" s="154"/>
      <c r="W3242" s="164"/>
      <c r="X3242" s="164"/>
      <c r="Y3242" s="164"/>
      <c r="Z3242" s="164"/>
      <c r="AA3242" s="164"/>
      <c r="AB3242" s="164"/>
      <c r="AC3242" s="164"/>
      <c r="AD3242" s="164"/>
      <c r="AE3242" s="164"/>
      <c r="AF3242" s="164"/>
      <c r="AG3242" s="164"/>
      <c r="AH3242" s="164"/>
      <c r="AI3242" s="164"/>
    </row>
    <row r="3243">
      <c r="A3243" s="154"/>
      <c r="B3243" s="155"/>
      <c r="C3243" s="156"/>
      <c r="D3243" s="156"/>
      <c r="E3243" s="155"/>
      <c r="F3243" s="156"/>
      <c r="G3243" s="154"/>
      <c r="H3243" s="157"/>
      <c r="I3243" s="158"/>
      <c r="J3243" s="159"/>
      <c r="K3243" s="156"/>
      <c r="L3243" s="156"/>
      <c r="M3243" s="202"/>
      <c r="N3243" s="160"/>
      <c r="O3243" s="161"/>
      <c r="P3243" s="161"/>
      <c r="Q3243" s="203"/>
      <c r="R3243" s="162"/>
      <c r="S3243" s="162"/>
      <c r="T3243" s="162"/>
      <c r="U3243" s="163"/>
      <c r="V3243" s="154"/>
      <c r="W3243" s="164"/>
      <c r="X3243" s="164"/>
      <c r="Y3243" s="164"/>
      <c r="Z3243" s="164"/>
      <c r="AA3243" s="164"/>
      <c r="AB3243" s="164"/>
      <c r="AC3243" s="164"/>
      <c r="AD3243" s="164"/>
      <c r="AE3243" s="164"/>
      <c r="AF3243" s="164"/>
      <c r="AG3243" s="164"/>
      <c r="AH3243" s="164"/>
      <c r="AI3243" s="164"/>
    </row>
    <row r="3244">
      <c r="A3244" s="154"/>
      <c r="B3244" s="155"/>
      <c r="C3244" s="156"/>
      <c r="D3244" s="156"/>
      <c r="E3244" s="155"/>
      <c r="F3244" s="156"/>
      <c r="G3244" s="154"/>
      <c r="H3244" s="157"/>
      <c r="I3244" s="158"/>
      <c r="J3244" s="159"/>
      <c r="K3244" s="156"/>
      <c r="L3244" s="156"/>
      <c r="M3244" s="155"/>
      <c r="N3244" s="160"/>
      <c r="O3244" s="161"/>
      <c r="P3244" s="161"/>
      <c r="Q3244" s="159"/>
      <c r="R3244" s="162"/>
      <c r="S3244" s="162"/>
      <c r="T3244" s="162"/>
      <c r="U3244" s="163"/>
      <c r="V3244" s="154"/>
      <c r="W3244" s="164"/>
      <c r="X3244" s="164"/>
      <c r="Y3244" s="164"/>
      <c r="Z3244" s="164"/>
      <c r="AA3244" s="164"/>
      <c r="AB3244" s="164"/>
      <c r="AC3244" s="164"/>
      <c r="AD3244" s="164"/>
      <c r="AE3244" s="164"/>
      <c r="AF3244" s="164"/>
      <c r="AG3244" s="164"/>
      <c r="AH3244" s="164"/>
      <c r="AI3244" s="164"/>
    </row>
    <row r="3245">
      <c r="A3245" s="176"/>
      <c r="B3245" s="177"/>
      <c r="C3245" s="178"/>
      <c r="D3245" s="178"/>
      <c r="E3245" s="177"/>
      <c r="F3245" s="178"/>
      <c r="G3245" s="176"/>
      <c r="H3245" s="179"/>
      <c r="I3245" s="180"/>
      <c r="J3245" s="181"/>
      <c r="K3245" s="178"/>
      <c r="L3245" s="178"/>
      <c r="M3245" s="182"/>
      <c r="N3245" s="183"/>
      <c r="O3245" s="184"/>
      <c r="P3245" s="184"/>
      <c r="Q3245" s="185"/>
      <c r="R3245" s="186"/>
      <c r="S3245" s="186"/>
      <c r="T3245" s="186"/>
      <c r="U3245" s="187"/>
      <c r="V3245" s="176"/>
      <c r="W3245" s="164"/>
      <c r="X3245" s="164"/>
      <c r="Y3245" s="164"/>
      <c r="Z3245" s="164"/>
      <c r="AA3245" s="164"/>
      <c r="AB3245" s="164"/>
      <c r="AC3245" s="164"/>
      <c r="AD3245" s="164"/>
      <c r="AE3245" s="164"/>
      <c r="AF3245" s="164"/>
      <c r="AG3245" s="164"/>
      <c r="AH3245" s="164"/>
      <c r="AI3245" s="164"/>
    </row>
    <row r="3246">
      <c r="A3246" s="154"/>
      <c r="B3246" s="155"/>
      <c r="C3246" s="156"/>
      <c r="D3246" s="156"/>
      <c r="E3246" s="155"/>
      <c r="F3246" s="156"/>
      <c r="G3246" s="154"/>
      <c r="H3246" s="157"/>
      <c r="I3246" s="158"/>
      <c r="J3246" s="159"/>
      <c r="K3246" s="156"/>
      <c r="L3246" s="156"/>
      <c r="M3246" s="155"/>
      <c r="N3246" s="160"/>
      <c r="O3246" s="161"/>
      <c r="P3246" s="161"/>
      <c r="Q3246" s="203"/>
      <c r="R3246" s="162"/>
      <c r="S3246" s="162"/>
      <c r="T3246" s="162"/>
      <c r="U3246" s="163"/>
      <c r="V3246" s="154"/>
      <c r="W3246" s="164"/>
      <c r="X3246" s="164"/>
      <c r="Y3246" s="164"/>
      <c r="Z3246" s="164"/>
      <c r="AA3246" s="164"/>
      <c r="AB3246" s="164"/>
      <c r="AC3246" s="164"/>
      <c r="AD3246" s="164"/>
      <c r="AE3246" s="164"/>
      <c r="AF3246" s="164"/>
      <c r="AG3246" s="164"/>
      <c r="AH3246" s="164"/>
      <c r="AI3246" s="164"/>
    </row>
    <row r="3247">
      <c r="A3247" s="165"/>
      <c r="B3247" s="166"/>
      <c r="C3247" s="166"/>
      <c r="D3247" s="166"/>
      <c r="E3247" s="166"/>
      <c r="F3247" s="166"/>
      <c r="G3247" s="165"/>
      <c r="H3247" s="167"/>
      <c r="I3247" s="168"/>
      <c r="J3247" s="169"/>
      <c r="K3247" s="166"/>
      <c r="L3247" s="166"/>
      <c r="M3247" s="166"/>
      <c r="N3247" s="170"/>
      <c r="O3247" s="171"/>
      <c r="P3247" s="171"/>
      <c r="Q3247" s="172"/>
      <c r="R3247" s="173"/>
      <c r="S3247" s="173"/>
      <c r="T3247" s="173"/>
      <c r="U3247" s="201"/>
      <c r="V3247" s="165"/>
      <c r="W3247" s="164"/>
      <c r="X3247" s="164"/>
      <c r="Y3247" s="164"/>
      <c r="Z3247" s="164"/>
      <c r="AA3247" s="164"/>
      <c r="AB3247" s="164"/>
      <c r="AC3247" s="164"/>
      <c r="AD3247" s="164"/>
      <c r="AE3247" s="164"/>
      <c r="AF3247" s="164"/>
      <c r="AG3247" s="164"/>
      <c r="AH3247" s="164"/>
      <c r="AI3247" s="164"/>
    </row>
    <row r="3248">
      <c r="A3248" s="154"/>
      <c r="B3248" s="155"/>
      <c r="C3248" s="156"/>
      <c r="D3248" s="156"/>
      <c r="E3248" s="155"/>
      <c r="F3248" s="156"/>
      <c r="G3248" s="154"/>
      <c r="H3248" s="157"/>
      <c r="I3248" s="158"/>
      <c r="J3248" s="159"/>
      <c r="K3248" s="156"/>
      <c r="L3248" s="156"/>
      <c r="M3248" s="155"/>
      <c r="N3248" s="160"/>
      <c r="O3248" s="161"/>
      <c r="P3248" s="161"/>
      <c r="Q3248" s="159"/>
      <c r="R3248" s="162"/>
      <c r="S3248" s="162"/>
      <c r="T3248" s="162"/>
      <c r="U3248" s="163"/>
      <c r="V3248" s="154"/>
      <c r="W3248" s="164"/>
      <c r="X3248" s="164"/>
      <c r="Y3248" s="164"/>
      <c r="Z3248" s="164"/>
      <c r="AA3248" s="164"/>
      <c r="AB3248" s="164"/>
      <c r="AC3248" s="164"/>
      <c r="AD3248" s="164"/>
      <c r="AE3248" s="164"/>
      <c r="AF3248" s="164"/>
      <c r="AG3248" s="164"/>
      <c r="AH3248" s="164"/>
      <c r="AI3248" s="164"/>
    </row>
    <row r="3249">
      <c r="A3249" s="154"/>
      <c r="B3249" s="155"/>
      <c r="C3249" s="156"/>
      <c r="D3249" s="156"/>
      <c r="E3249" s="155"/>
      <c r="F3249" s="156"/>
      <c r="G3249" s="154"/>
      <c r="H3249" s="157"/>
      <c r="I3249" s="158"/>
      <c r="J3249" s="159"/>
      <c r="K3249" s="156"/>
      <c r="L3249" s="156"/>
      <c r="M3249" s="155"/>
      <c r="N3249" s="160"/>
      <c r="O3249" s="161"/>
      <c r="P3249" s="161"/>
      <c r="Q3249" s="203"/>
      <c r="R3249" s="162"/>
      <c r="S3249" s="162"/>
      <c r="T3249" s="162"/>
      <c r="U3249" s="163"/>
      <c r="V3249" s="154"/>
      <c r="W3249" s="164"/>
      <c r="X3249" s="164"/>
      <c r="Y3249" s="164"/>
      <c r="Z3249" s="164"/>
      <c r="AA3249" s="164"/>
      <c r="AB3249" s="164"/>
      <c r="AC3249" s="164"/>
      <c r="AD3249" s="164"/>
      <c r="AE3249" s="164"/>
      <c r="AF3249" s="164"/>
      <c r="AG3249" s="164"/>
      <c r="AH3249" s="164"/>
      <c r="AI3249" s="164"/>
    </row>
    <row r="3250">
      <c r="A3250" s="154"/>
      <c r="B3250" s="155"/>
      <c r="C3250" s="156"/>
      <c r="D3250" s="156"/>
      <c r="E3250" s="155"/>
      <c r="F3250" s="156"/>
      <c r="G3250" s="154"/>
      <c r="H3250" s="157"/>
      <c r="I3250" s="158"/>
      <c r="J3250" s="159"/>
      <c r="K3250" s="156"/>
      <c r="L3250" s="156"/>
      <c r="M3250" s="155"/>
      <c r="N3250" s="160"/>
      <c r="O3250" s="161"/>
      <c r="P3250" s="161"/>
      <c r="Q3250" s="203"/>
      <c r="R3250" s="162"/>
      <c r="S3250" s="162"/>
      <c r="T3250" s="162"/>
      <c r="U3250" s="163"/>
      <c r="V3250" s="154"/>
      <c r="W3250" s="164"/>
      <c r="X3250" s="164"/>
      <c r="Y3250" s="164"/>
      <c r="Z3250" s="164"/>
      <c r="AA3250" s="164"/>
      <c r="AB3250" s="164"/>
      <c r="AC3250" s="164"/>
      <c r="AD3250" s="164"/>
      <c r="AE3250" s="164"/>
      <c r="AF3250" s="164"/>
      <c r="AG3250" s="164"/>
      <c r="AH3250" s="164"/>
      <c r="AI3250" s="164"/>
    </row>
    <row r="3251">
      <c r="A3251" s="154"/>
      <c r="B3251" s="155"/>
      <c r="C3251" s="156"/>
      <c r="D3251" s="156"/>
      <c r="E3251" s="155"/>
      <c r="F3251" s="156"/>
      <c r="G3251" s="154"/>
      <c r="H3251" s="157"/>
      <c r="I3251" s="158"/>
      <c r="J3251" s="159"/>
      <c r="K3251" s="156"/>
      <c r="L3251" s="156"/>
      <c r="M3251" s="155"/>
      <c r="N3251" s="160"/>
      <c r="O3251" s="161"/>
      <c r="P3251" s="161"/>
      <c r="Q3251" s="203"/>
      <c r="R3251" s="162"/>
      <c r="S3251" s="162"/>
      <c r="T3251" s="162"/>
      <c r="U3251" s="163"/>
      <c r="V3251" s="154"/>
      <c r="W3251" s="164"/>
      <c r="X3251" s="164"/>
      <c r="Y3251" s="164"/>
      <c r="Z3251" s="164"/>
      <c r="AA3251" s="164"/>
      <c r="AB3251" s="164"/>
      <c r="AC3251" s="164"/>
      <c r="AD3251" s="164"/>
      <c r="AE3251" s="164"/>
      <c r="AF3251" s="164"/>
      <c r="AG3251" s="164"/>
      <c r="AH3251" s="164"/>
      <c r="AI3251" s="164"/>
    </row>
    <row r="3252">
      <c r="A3252" s="154"/>
      <c r="B3252" s="155"/>
      <c r="C3252" s="156"/>
      <c r="D3252" s="156"/>
      <c r="E3252" s="155"/>
      <c r="F3252" s="156"/>
      <c r="G3252" s="154"/>
      <c r="H3252" s="157"/>
      <c r="I3252" s="158"/>
      <c r="J3252" s="159"/>
      <c r="K3252" s="156"/>
      <c r="L3252" s="156"/>
      <c r="M3252" s="155"/>
      <c r="N3252" s="160"/>
      <c r="O3252" s="161"/>
      <c r="P3252" s="161"/>
      <c r="Q3252" s="203"/>
      <c r="R3252" s="162"/>
      <c r="S3252" s="162"/>
      <c r="T3252" s="162"/>
      <c r="U3252" s="163"/>
      <c r="V3252" s="154"/>
      <c r="W3252" s="164"/>
      <c r="X3252" s="164"/>
      <c r="Y3252" s="164"/>
      <c r="Z3252" s="164"/>
      <c r="AA3252" s="164"/>
      <c r="AB3252" s="164"/>
      <c r="AC3252" s="164"/>
      <c r="AD3252" s="164"/>
      <c r="AE3252" s="164"/>
      <c r="AF3252" s="164"/>
      <c r="AG3252" s="164"/>
      <c r="AH3252" s="164"/>
      <c r="AI3252" s="164"/>
    </row>
    <row r="3253">
      <c r="A3253" s="154"/>
      <c r="B3253" s="155"/>
      <c r="C3253" s="156"/>
      <c r="D3253" s="156"/>
      <c r="E3253" s="155"/>
      <c r="F3253" s="156"/>
      <c r="G3253" s="154"/>
      <c r="H3253" s="157"/>
      <c r="I3253" s="158"/>
      <c r="J3253" s="159"/>
      <c r="K3253" s="156"/>
      <c r="L3253" s="156"/>
      <c r="M3253" s="155"/>
      <c r="N3253" s="160"/>
      <c r="O3253" s="161"/>
      <c r="P3253" s="161"/>
      <c r="Q3253" s="203"/>
      <c r="R3253" s="162"/>
      <c r="S3253" s="162"/>
      <c r="T3253" s="162"/>
      <c r="U3253" s="163"/>
      <c r="V3253" s="154"/>
      <c r="W3253" s="164"/>
      <c r="X3253" s="164"/>
      <c r="Y3253" s="164"/>
      <c r="Z3253" s="164"/>
      <c r="AA3253" s="164"/>
      <c r="AB3253" s="164"/>
      <c r="AC3253" s="164"/>
      <c r="AD3253" s="164"/>
      <c r="AE3253" s="164"/>
      <c r="AF3253" s="164"/>
      <c r="AG3253" s="164"/>
      <c r="AH3253" s="164"/>
      <c r="AI3253" s="164"/>
    </row>
    <row r="3254">
      <c r="A3254" s="154"/>
      <c r="B3254" s="155"/>
      <c r="C3254" s="156"/>
      <c r="D3254" s="156"/>
      <c r="E3254" s="155"/>
      <c r="F3254" s="156"/>
      <c r="G3254" s="154"/>
      <c r="H3254" s="157"/>
      <c r="I3254" s="158"/>
      <c r="J3254" s="159"/>
      <c r="K3254" s="156"/>
      <c r="L3254" s="156"/>
      <c r="M3254" s="155"/>
      <c r="N3254" s="160"/>
      <c r="O3254" s="161"/>
      <c r="P3254" s="161"/>
      <c r="Q3254" s="203"/>
      <c r="R3254" s="162"/>
      <c r="S3254" s="162"/>
      <c r="T3254" s="162"/>
      <c r="U3254" s="163"/>
      <c r="V3254" s="154"/>
      <c r="W3254" s="164"/>
      <c r="X3254" s="164"/>
      <c r="Y3254" s="164"/>
      <c r="Z3254" s="164"/>
      <c r="AA3254" s="164"/>
      <c r="AB3254" s="164"/>
      <c r="AC3254" s="164"/>
      <c r="AD3254" s="164"/>
      <c r="AE3254" s="164"/>
      <c r="AF3254" s="164"/>
      <c r="AG3254" s="164"/>
      <c r="AH3254" s="164"/>
      <c r="AI3254" s="164"/>
    </row>
    <row r="3255">
      <c r="A3255" s="154"/>
      <c r="B3255" s="155"/>
      <c r="C3255" s="156"/>
      <c r="D3255" s="156"/>
      <c r="E3255" s="155"/>
      <c r="F3255" s="156"/>
      <c r="G3255" s="154"/>
      <c r="H3255" s="157"/>
      <c r="I3255" s="158"/>
      <c r="J3255" s="159"/>
      <c r="K3255" s="156"/>
      <c r="L3255" s="156"/>
      <c r="M3255" s="155"/>
      <c r="N3255" s="160"/>
      <c r="O3255" s="161"/>
      <c r="P3255" s="161"/>
      <c r="Q3255" s="203"/>
      <c r="R3255" s="162"/>
      <c r="S3255" s="162"/>
      <c r="T3255" s="162"/>
      <c r="U3255" s="163"/>
      <c r="V3255" s="154"/>
      <c r="W3255" s="164"/>
      <c r="X3255" s="164"/>
      <c r="Y3255" s="164"/>
      <c r="Z3255" s="164"/>
      <c r="AA3255" s="164"/>
      <c r="AB3255" s="164"/>
      <c r="AC3255" s="164"/>
      <c r="AD3255" s="164"/>
      <c r="AE3255" s="164"/>
      <c r="AF3255" s="164"/>
      <c r="AG3255" s="164"/>
      <c r="AH3255" s="164"/>
      <c r="AI3255" s="164"/>
    </row>
    <row r="3256">
      <c r="A3256" s="154"/>
      <c r="B3256" s="155"/>
      <c r="C3256" s="156"/>
      <c r="D3256" s="156"/>
      <c r="E3256" s="155"/>
      <c r="F3256" s="156"/>
      <c r="G3256" s="154"/>
      <c r="H3256" s="157"/>
      <c r="I3256" s="158"/>
      <c r="J3256" s="159"/>
      <c r="K3256" s="156"/>
      <c r="L3256" s="156"/>
      <c r="M3256" s="155"/>
      <c r="N3256" s="160"/>
      <c r="O3256" s="161"/>
      <c r="P3256" s="161"/>
      <c r="Q3256" s="159"/>
      <c r="R3256" s="162"/>
      <c r="S3256" s="162"/>
      <c r="T3256" s="162"/>
      <c r="U3256" s="163"/>
      <c r="V3256" s="154"/>
      <c r="W3256" s="164"/>
      <c r="X3256" s="164"/>
      <c r="Y3256" s="164"/>
      <c r="Z3256" s="164"/>
      <c r="AA3256" s="164"/>
      <c r="AB3256" s="164"/>
      <c r="AC3256" s="164"/>
      <c r="AD3256" s="164"/>
      <c r="AE3256" s="164"/>
      <c r="AF3256" s="164"/>
      <c r="AG3256" s="164"/>
      <c r="AH3256" s="164"/>
      <c r="AI3256" s="164"/>
    </row>
    <row r="3257">
      <c r="A3257" s="154"/>
      <c r="B3257" s="155"/>
      <c r="C3257" s="156"/>
      <c r="D3257" s="156"/>
      <c r="E3257" s="155"/>
      <c r="F3257" s="156"/>
      <c r="G3257" s="154"/>
      <c r="H3257" s="157"/>
      <c r="I3257" s="158"/>
      <c r="J3257" s="159"/>
      <c r="K3257" s="156"/>
      <c r="L3257" s="156"/>
      <c r="M3257" s="155"/>
      <c r="N3257" s="160"/>
      <c r="O3257" s="161"/>
      <c r="P3257" s="161"/>
      <c r="Q3257" s="159"/>
      <c r="R3257" s="162"/>
      <c r="S3257" s="162"/>
      <c r="T3257" s="186"/>
      <c r="U3257" s="187"/>
      <c r="V3257" s="189"/>
      <c r="W3257" s="164"/>
      <c r="X3257" s="164"/>
      <c r="Y3257" s="164"/>
      <c r="Z3257" s="164"/>
      <c r="AA3257" s="164"/>
      <c r="AB3257" s="164"/>
      <c r="AC3257" s="164"/>
      <c r="AD3257" s="164"/>
      <c r="AE3257" s="164"/>
      <c r="AF3257" s="164"/>
      <c r="AG3257" s="164"/>
      <c r="AH3257" s="164"/>
      <c r="AI3257" s="164"/>
    </row>
    <row r="3258">
      <c r="A3258" s="154"/>
      <c r="B3258" s="155"/>
      <c r="C3258" s="156"/>
      <c r="D3258" s="156"/>
      <c r="E3258" s="155"/>
      <c r="F3258" s="156"/>
      <c r="G3258" s="154"/>
      <c r="H3258" s="157"/>
      <c r="I3258" s="158"/>
      <c r="J3258" s="159"/>
      <c r="K3258" s="156"/>
      <c r="L3258" s="156"/>
      <c r="M3258" s="155"/>
      <c r="N3258" s="160"/>
      <c r="O3258" s="161"/>
      <c r="P3258" s="161"/>
      <c r="Q3258" s="159"/>
      <c r="R3258" s="162"/>
      <c r="S3258" s="162"/>
      <c r="T3258" s="162"/>
      <c r="U3258" s="163"/>
      <c r="V3258" s="154"/>
      <c r="W3258" s="164"/>
      <c r="X3258" s="164"/>
      <c r="Y3258" s="164"/>
      <c r="Z3258" s="164"/>
      <c r="AA3258" s="164"/>
      <c r="AB3258" s="164"/>
      <c r="AC3258" s="164"/>
      <c r="AD3258" s="164"/>
      <c r="AE3258" s="164"/>
      <c r="AF3258" s="164"/>
      <c r="AG3258" s="164"/>
      <c r="AH3258" s="164"/>
      <c r="AI3258" s="164"/>
    </row>
    <row r="3259">
      <c r="A3259" s="216"/>
      <c r="B3259" s="155"/>
      <c r="C3259" s="156"/>
      <c r="D3259" s="156"/>
      <c r="E3259" s="155"/>
      <c r="F3259" s="156"/>
      <c r="G3259" s="154"/>
      <c r="H3259" s="157"/>
      <c r="I3259" s="158"/>
      <c r="J3259" s="159"/>
      <c r="K3259" s="156"/>
      <c r="L3259" s="156"/>
      <c r="M3259" s="155"/>
      <c r="N3259" s="160"/>
      <c r="O3259" s="161"/>
      <c r="P3259" s="161"/>
      <c r="Q3259" s="203"/>
      <c r="R3259" s="162"/>
      <c r="S3259" s="162"/>
      <c r="T3259" s="162"/>
      <c r="U3259" s="163"/>
      <c r="V3259" s="154"/>
      <c r="W3259" s="164"/>
      <c r="X3259" s="164"/>
      <c r="Y3259" s="164"/>
      <c r="Z3259" s="164"/>
      <c r="AA3259" s="164"/>
      <c r="AB3259" s="164"/>
      <c r="AC3259" s="164"/>
      <c r="AD3259" s="164"/>
      <c r="AE3259" s="164"/>
      <c r="AF3259" s="164"/>
      <c r="AG3259" s="164"/>
      <c r="AH3259" s="164"/>
      <c r="AI3259" s="164"/>
    </row>
    <row r="3260">
      <c r="A3260" s="154"/>
      <c r="B3260" s="155"/>
      <c r="C3260" s="156"/>
      <c r="D3260" s="156"/>
      <c r="E3260" s="155"/>
      <c r="F3260" s="156"/>
      <c r="G3260" s="154"/>
      <c r="H3260" s="157"/>
      <c r="I3260" s="158"/>
      <c r="J3260" s="159"/>
      <c r="K3260" s="156"/>
      <c r="L3260" s="156"/>
      <c r="M3260" s="155"/>
      <c r="N3260" s="160"/>
      <c r="O3260" s="161"/>
      <c r="P3260" s="161"/>
      <c r="Q3260" s="159"/>
      <c r="R3260" s="162"/>
      <c r="S3260" s="162"/>
      <c r="T3260" s="162"/>
      <c r="U3260" s="163"/>
      <c r="V3260" s="154"/>
      <c r="W3260" s="164"/>
      <c r="X3260" s="164"/>
      <c r="Y3260" s="164"/>
      <c r="Z3260" s="164"/>
      <c r="AA3260" s="164"/>
      <c r="AB3260" s="164"/>
      <c r="AC3260" s="164"/>
      <c r="AD3260" s="164"/>
      <c r="AE3260" s="164"/>
      <c r="AF3260" s="164"/>
      <c r="AG3260" s="164"/>
      <c r="AH3260" s="164"/>
      <c r="AI3260" s="164"/>
    </row>
    <row r="3261">
      <c r="A3261" s="154"/>
      <c r="B3261" s="155"/>
      <c r="C3261" s="156"/>
      <c r="D3261" s="156"/>
      <c r="E3261" s="155"/>
      <c r="F3261" s="156"/>
      <c r="G3261" s="154"/>
      <c r="H3261" s="157"/>
      <c r="I3261" s="158"/>
      <c r="J3261" s="159"/>
      <c r="K3261" s="156"/>
      <c r="L3261" s="156"/>
      <c r="M3261" s="155"/>
      <c r="N3261" s="160"/>
      <c r="O3261" s="161"/>
      <c r="P3261" s="161"/>
      <c r="Q3261" s="203"/>
      <c r="R3261" s="162"/>
      <c r="S3261" s="162"/>
      <c r="T3261" s="162"/>
      <c r="U3261" s="163"/>
      <c r="V3261" s="154"/>
      <c r="W3261" s="164"/>
      <c r="X3261" s="164"/>
      <c r="Y3261" s="164"/>
      <c r="Z3261" s="164"/>
      <c r="AA3261" s="164"/>
      <c r="AB3261" s="164"/>
      <c r="AC3261" s="164"/>
      <c r="AD3261" s="164"/>
      <c r="AE3261" s="164"/>
      <c r="AF3261" s="164"/>
      <c r="AG3261" s="164"/>
      <c r="AH3261" s="164"/>
      <c r="AI3261" s="164"/>
    </row>
    <row r="3262">
      <c r="A3262" s="154"/>
      <c r="B3262" s="155"/>
      <c r="C3262" s="156"/>
      <c r="D3262" s="156"/>
      <c r="E3262" s="155"/>
      <c r="F3262" s="156"/>
      <c r="G3262" s="154"/>
      <c r="H3262" s="157"/>
      <c r="I3262" s="158"/>
      <c r="J3262" s="159"/>
      <c r="K3262" s="156"/>
      <c r="L3262" s="156"/>
      <c r="M3262" s="155"/>
      <c r="N3262" s="160"/>
      <c r="O3262" s="161"/>
      <c r="P3262" s="161"/>
      <c r="Q3262" s="203"/>
      <c r="R3262" s="162"/>
      <c r="S3262" s="162"/>
      <c r="T3262" s="162"/>
      <c r="U3262" s="163"/>
      <c r="V3262" s="154"/>
      <c r="W3262" s="164"/>
      <c r="X3262" s="164"/>
      <c r="Y3262" s="164"/>
      <c r="Z3262" s="164"/>
      <c r="AA3262" s="164"/>
      <c r="AB3262" s="164"/>
      <c r="AC3262" s="164"/>
      <c r="AD3262" s="164"/>
      <c r="AE3262" s="164"/>
      <c r="AF3262" s="164"/>
      <c r="AG3262" s="164"/>
      <c r="AH3262" s="164"/>
      <c r="AI3262" s="164"/>
    </row>
    <row r="3263">
      <c r="A3263" s="154"/>
      <c r="B3263" s="155"/>
      <c r="C3263" s="156"/>
      <c r="D3263" s="156"/>
      <c r="E3263" s="155"/>
      <c r="F3263" s="156"/>
      <c r="G3263" s="154"/>
      <c r="H3263" s="157"/>
      <c r="I3263" s="158"/>
      <c r="J3263" s="159"/>
      <c r="K3263" s="156"/>
      <c r="L3263" s="156"/>
      <c r="M3263" s="155"/>
      <c r="N3263" s="160"/>
      <c r="O3263" s="161"/>
      <c r="P3263" s="161"/>
      <c r="Q3263" s="203"/>
      <c r="R3263" s="162"/>
      <c r="S3263" s="162"/>
      <c r="T3263" s="162"/>
      <c r="U3263" s="163"/>
      <c r="V3263" s="154"/>
      <c r="W3263" s="164"/>
      <c r="X3263" s="164"/>
      <c r="Y3263" s="164"/>
      <c r="Z3263" s="164"/>
      <c r="AA3263" s="164"/>
      <c r="AB3263" s="164"/>
      <c r="AC3263" s="164"/>
      <c r="AD3263" s="164"/>
      <c r="AE3263" s="164"/>
      <c r="AF3263" s="164"/>
      <c r="AG3263" s="164"/>
      <c r="AH3263" s="164"/>
      <c r="AI3263" s="164"/>
    </row>
    <row r="3264">
      <c r="A3264" s="154"/>
      <c r="B3264" s="155"/>
      <c r="C3264" s="156"/>
      <c r="D3264" s="156"/>
      <c r="E3264" s="155"/>
      <c r="F3264" s="156"/>
      <c r="G3264" s="154"/>
      <c r="H3264" s="157"/>
      <c r="I3264" s="158"/>
      <c r="J3264" s="159"/>
      <c r="K3264" s="156"/>
      <c r="L3264" s="156"/>
      <c r="M3264" s="155"/>
      <c r="N3264" s="160"/>
      <c r="O3264" s="161"/>
      <c r="P3264" s="161"/>
      <c r="Q3264" s="203"/>
      <c r="R3264" s="162"/>
      <c r="S3264" s="162"/>
      <c r="T3264" s="162"/>
      <c r="U3264" s="163"/>
      <c r="V3264" s="154"/>
      <c r="W3264" s="164"/>
      <c r="X3264" s="164"/>
      <c r="Y3264" s="164"/>
      <c r="Z3264" s="164"/>
      <c r="AA3264" s="164"/>
      <c r="AB3264" s="164"/>
      <c r="AC3264" s="164"/>
      <c r="AD3264" s="164"/>
      <c r="AE3264" s="164"/>
      <c r="AF3264" s="164"/>
      <c r="AG3264" s="164"/>
      <c r="AH3264" s="164"/>
      <c r="AI3264" s="164"/>
    </row>
    <row r="3265">
      <c r="A3265" s="154"/>
      <c r="B3265" s="155"/>
      <c r="C3265" s="156"/>
      <c r="D3265" s="156"/>
      <c r="E3265" s="155"/>
      <c r="F3265" s="156"/>
      <c r="G3265" s="154"/>
      <c r="H3265" s="157"/>
      <c r="I3265" s="158"/>
      <c r="J3265" s="159"/>
      <c r="K3265" s="156"/>
      <c r="L3265" s="156"/>
      <c r="M3265" s="155"/>
      <c r="N3265" s="160"/>
      <c r="O3265" s="161"/>
      <c r="P3265" s="161"/>
      <c r="Q3265" s="159"/>
      <c r="R3265" s="162"/>
      <c r="S3265" s="162"/>
      <c r="T3265" s="162"/>
      <c r="U3265" s="163"/>
      <c r="V3265" s="154"/>
      <c r="W3265" s="164"/>
      <c r="X3265" s="164"/>
      <c r="Y3265" s="164"/>
      <c r="Z3265" s="164"/>
      <c r="AA3265" s="164"/>
      <c r="AB3265" s="164"/>
      <c r="AC3265" s="164"/>
      <c r="AD3265" s="164"/>
      <c r="AE3265" s="164"/>
      <c r="AF3265" s="164"/>
      <c r="AG3265" s="164"/>
      <c r="AH3265" s="164"/>
      <c r="AI3265" s="164"/>
    </row>
    <row r="3266">
      <c r="A3266" s="154"/>
      <c r="B3266" s="155"/>
      <c r="C3266" s="156"/>
      <c r="D3266" s="156"/>
      <c r="E3266" s="155"/>
      <c r="F3266" s="156"/>
      <c r="G3266" s="154"/>
      <c r="H3266" s="157"/>
      <c r="I3266" s="158"/>
      <c r="J3266" s="159"/>
      <c r="K3266" s="156"/>
      <c r="L3266" s="156"/>
      <c r="M3266" s="202"/>
      <c r="N3266" s="160"/>
      <c r="O3266" s="161"/>
      <c r="P3266" s="161"/>
      <c r="Q3266" s="203"/>
      <c r="R3266" s="162"/>
      <c r="S3266" s="162"/>
      <c r="T3266" s="162"/>
      <c r="U3266" s="163"/>
      <c r="V3266" s="154"/>
      <c r="W3266" s="164"/>
      <c r="X3266" s="164"/>
      <c r="Y3266" s="164"/>
      <c r="Z3266" s="164"/>
      <c r="AA3266" s="164"/>
      <c r="AB3266" s="164"/>
      <c r="AC3266" s="164"/>
      <c r="AD3266" s="164"/>
      <c r="AE3266" s="164"/>
      <c r="AF3266" s="164"/>
      <c r="AG3266" s="164"/>
      <c r="AH3266" s="164"/>
      <c r="AI3266" s="164"/>
    </row>
    <row r="3267">
      <c r="A3267" s="154"/>
      <c r="B3267" s="155"/>
      <c r="C3267" s="156"/>
      <c r="D3267" s="156"/>
      <c r="E3267" s="155"/>
      <c r="F3267" s="156"/>
      <c r="G3267" s="154"/>
      <c r="H3267" s="157"/>
      <c r="I3267" s="158"/>
      <c r="J3267" s="159"/>
      <c r="K3267" s="156"/>
      <c r="L3267" s="156"/>
      <c r="M3267" s="155"/>
      <c r="N3267" s="160"/>
      <c r="O3267" s="161"/>
      <c r="P3267" s="161"/>
      <c r="Q3267" s="203"/>
      <c r="R3267" s="162"/>
      <c r="S3267" s="162"/>
      <c r="T3267" s="162"/>
      <c r="U3267" s="163"/>
      <c r="V3267" s="154"/>
      <c r="W3267" s="164"/>
      <c r="X3267" s="164"/>
      <c r="Y3267" s="164"/>
      <c r="Z3267" s="164"/>
      <c r="AA3267" s="164"/>
      <c r="AB3267" s="164"/>
      <c r="AC3267" s="164"/>
      <c r="AD3267" s="164"/>
      <c r="AE3267" s="164"/>
      <c r="AF3267" s="164"/>
      <c r="AG3267" s="164"/>
      <c r="AH3267" s="164"/>
      <c r="AI3267" s="164"/>
    </row>
    <row r="3268">
      <c r="A3268" s="154"/>
      <c r="B3268" s="155"/>
      <c r="C3268" s="156"/>
      <c r="D3268" s="156"/>
      <c r="E3268" s="155"/>
      <c r="F3268" s="156"/>
      <c r="G3268" s="154"/>
      <c r="H3268" s="157"/>
      <c r="I3268" s="158"/>
      <c r="J3268" s="159"/>
      <c r="K3268" s="156"/>
      <c r="L3268" s="156"/>
      <c r="M3268" s="155"/>
      <c r="N3268" s="160"/>
      <c r="O3268" s="161"/>
      <c r="P3268" s="161"/>
      <c r="Q3268" s="159"/>
      <c r="R3268" s="162"/>
      <c r="S3268" s="162"/>
      <c r="T3268" s="162"/>
      <c r="U3268" s="163"/>
      <c r="V3268" s="154"/>
      <c r="W3268" s="164"/>
      <c r="X3268" s="164"/>
      <c r="Y3268" s="164"/>
      <c r="Z3268" s="164"/>
      <c r="AA3268" s="164"/>
      <c r="AB3268" s="164"/>
      <c r="AC3268" s="164"/>
      <c r="AD3268" s="164"/>
      <c r="AE3268" s="164"/>
      <c r="AF3268" s="164"/>
      <c r="AG3268" s="164"/>
      <c r="AH3268" s="164"/>
      <c r="AI3268" s="164"/>
    </row>
    <row r="3269">
      <c r="A3269" s="154"/>
      <c r="B3269" s="155"/>
      <c r="C3269" s="156"/>
      <c r="D3269" s="156"/>
      <c r="E3269" s="155"/>
      <c r="F3269" s="156"/>
      <c r="G3269" s="154"/>
      <c r="H3269" s="157"/>
      <c r="I3269" s="158"/>
      <c r="J3269" s="159"/>
      <c r="K3269" s="156"/>
      <c r="L3269" s="156"/>
      <c r="M3269" s="155"/>
      <c r="N3269" s="160"/>
      <c r="O3269" s="161"/>
      <c r="P3269" s="161"/>
      <c r="Q3269" s="203"/>
      <c r="R3269" s="162"/>
      <c r="S3269" s="162"/>
      <c r="T3269" s="162"/>
      <c r="U3269" s="163"/>
      <c r="V3269" s="154"/>
      <c r="W3269" s="164"/>
      <c r="X3269" s="164"/>
      <c r="Y3269" s="164"/>
      <c r="Z3269" s="164"/>
      <c r="AA3269" s="164"/>
      <c r="AB3269" s="164"/>
      <c r="AC3269" s="164"/>
      <c r="AD3269" s="164"/>
      <c r="AE3269" s="164"/>
      <c r="AF3269" s="164"/>
      <c r="AG3269" s="164"/>
      <c r="AH3269" s="164"/>
      <c r="AI3269" s="164"/>
    </row>
    <row r="3270">
      <c r="A3270" s="154"/>
      <c r="B3270" s="155"/>
      <c r="C3270" s="156"/>
      <c r="D3270" s="156"/>
      <c r="E3270" s="155"/>
      <c r="F3270" s="156"/>
      <c r="G3270" s="154"/>
      <c r="H3270" s="157"/>
      <c r="I3270" s="158"/>
      <c r="J3270" s="159"/>
      <c r="K3270" s="156"/>
      <c r="L3270" s="156"/>
      <c r="M3270" s="155"/>
      <c r="N3270" s="160"/>
      <c r="O3270" s="161"/>
      <c r="P3270" s="161"/>
      <c r="Q3270" s="203"/>
      <c r="R3270" s="162"/>
      <c r="S3270" s="162"/>
      <c r="T3270" s="162"/>
      <c r="U3270" s="163"/>
      <c r="V3270" s="154"/>
      <c r="W3270" s="164"/>
      <c r="X3270" s="164"/>
      <c r="Y3270" s="164"/>
      <c r="Z3270" s="164"/>
      <c r="AA3270" s="164"/>
      <c r="AB3270" s="164"/>
      <c r="AC3270" s="164"/>
      <c r="AD3270" s="164"/>
      <c r="AE3270" s="164"/>
      <c r="AF3270" s="164"/>
      <c r="AG3270" s="164"/>
      <c r="AH3270" s="164"/>
      <c r="AI3270" s="164"/>
    </row>
    <row r="3271">
      <c r="A3271" s="154"/>
      <c r="B3271" s="155"/>
      <c r="C3271" s="156"/>
      <c r="D3271" s="156"/>
      <c r="E3271" s="155"/>
      <c r="F3271" s="156"/>
      <c r="G3271" s="154"/>
      <c r="H3271" s="157"/>
      <c r="I3271" s="158"/>
      <c r="J3271" s="159"/>
      <c r="K3271" s="156"/>
      <c r="L3271" s="156"/>
      <c r="M3271" s="202"/>
      <c r="N3271" s="160"/>
      <c r="O3271" s="161"/>
      <c r="P3271" s="161"/>
      <c r="Q3271" s="203"/>
      <c r="R3271" s="162"/>
      <c r="S3271" s="162"/>
      <c r="T3271" s="162"/>
      <c r="U3271" s="163"/>
      <c r="V3271" s="154"/>
      <c r="W3271" s="164"/>
      <c r="X3271" s="164"/>
      <c r="Y3271" s="164"/>
      <c r="Z3271" s="164"/>
      <c r="AA3271" s="164"/>
      <c r="AB3271" s="164"/>
      <c r="AC3271" s="164"/>
      <c r="AD3271" s="164"/>
      <c r="AE3271" s="164"/>
      <c r="AF3271" s="164"/>
      <c r="AG3271" s="164"/>
      <c r="AH3271" s="164"/>
      <c r="AI3271" s="164"/>
    </row>
    <row r="3272">
      <c r="A3272" s="154"/>
      <c r="B3272" s="155"/>
      <c r="C3272" s="156"/>
      <c r="D3272" s="156"/>
      <c r="E3272" s="155"/>
      <c r="F3272" s="156"/>
      <c r="G3272" s="154"/>
      <c r="H3272" s="157"/>
      <c r="I3272" s="158"/>
      <c r="J3272" s="159"/>
      <c r="K3272" s="156"/>
      <c r="L3272" s="156"/>
      <c r="M3272" s="155"/>
      <c r="N3272" s="160"/>
      <c r="O3272" s="161"/>
      <c r="P3272" s="161"/>
      <c r="Q3272" s="203"/>
      <c r="R3272" s="162"/>
      <c r="S3272" s="162"/>
      <c r="T3272" s="162"/>
      <c r="U3272" s="163"/>
      <c r="V3272" s="154"/>
      <c r="W3272" s="164"/>
      <c r="X3272" s="164"/>
      <c r="Y3272" s="164"/>
      <c r="Z3272" s="164"/>
      <c r="AA3272" s="164"/>
      <c r="AB3272" s="164"/>
      <c r="AC3272" s="164"/>
      <c r="AD3272" s="164"/>
      <c r="AE3272" s="164"/>
      <c r="AF3272" s="164"/>
      <c r="AG3272" s="164"/>
      <c r="AH3272" s="164"/>
      <c r="AI3272" s="164"/>
    </row>
    <row r="3273">
      <c r="A3273" s="154"/>
      <c r="B3273" s="155"/>
      <c r="C3273" s="156"/>
      <c r="D3273" s="156"/>
      <c r="E3273" s="155"/>
      <c r="F3273" s="156"/>
      <c r="G3273" s="154"/>
      <c r="H3273" s="157"/>
      <c r="I3273" s="158"/>
      <c r="J3273" s="159"/>
      <c r="K3273" s="156"/>
      <c r="L3273" s="156"/>
      <c r="M3273" s="155"/>
      <c r="N3273" s="160"/>
      <c r="O3273" s="161"/>
      <c r="P3273" s="161"/>
      <c r="Q3273" s="203"/>
      <c r="R3273" s="162"/>
      <c r="S3273" s="162"/>
      <c r="T3273" s="162"/>
      <c r="U3273" s="163"/>
      <c r="V3273" s="154"/>
      <c r="W3273" s="164"/>
      <c r="X3273" s="164"/>
      <c r="Y3273" s="164"/>
      <c r="Z3273" s="164"/>
      <c r="AA3273" s="164"/>
      <c r="AB3273" s="164"/>
      <c r="AC3273" s="164"/>
      <c r="AD3273" s="164"/>
      <c r="AE3273" s="164"/>
      <c r="AF3273" s="164"/>
      <c r="AG3273" s="164"/>
      <c r="AH3273" s="164"/>
      <c r="AI3273" s="164"/>
    </row>
    <row r="3274">
      <c r="A3274" s="154"/>
      <c r="B3274" s="155"/>
      <c r="C3274" s="156"/>
      <c r="D3274" s="156"/>
      <c r="E3274" s="155"/>
      <c r="F3274" s="156"/>
      <c r="G3274" s="154"/>
      <c r="H3274" s="157"/>
      <c r="I3274" s="158"/>
      <c r="J3274" s="159"/>
      <c r="K3274" s="156"/>
      <c r="L3274" s="156"/>
      <c r="M3274" s="155"/>
      <c r="N3274" s="160"/>
      <c r="O3274" s="161"/>
      <c r="P3274" s="161"/>
      <c r="Q3274" s="159"/>
      <c r="R3274" s="162"/>
      <c r="S3274" s="162"/>
      <c r="T3274" s="162"/>
      <c r="U3274" s="163"/>
      <c r="V3274" s="154"/>
      <c r="W3274" s="164"/>
      <c r="X3274" s="164"/>
      <c r="Y3274" s="164"/>
      <c r="Z3274" s="164"/>
      <c r="AA3274" s="164"/>
      <c r="AB3274" s="164"/>
      <c r="AC3274" s="164"/>
      <c r="AD3274" s="164"/>
      <c r="AE3274" s="164"/>
      <c r="AF3274" s="164"/>
      <c r="AG3274" s="164"/>
      <c r="AH3274" s="164"/>
      <c r="AI3274" s="164"/>
    </row>
    <row r="3275">
      <c r="A3275" s="154"/>
      <c r="B3275" s="155"/>
      <c r="C3275" s="156"/>
      <c r="D3275" s="156"/>
      <c r="E3275" s="155"/>
      <c r="F3275" s="156"/>
      <c r="G3275" s="154"/>
      <c r="H3275" s="157"/>
      <c r="I3275" s="158"/>
      <c r="J3275" s="159"/>
      <c r="K3275" s="156"/>
      <c r="L3275" s="156"/>
      <c r="M3275" s="155"/>
      <c r="N3275" s="160"/>
      <c r="O3275" s="161"/>
      <c r="P3275" s="161"/>
      <c r="Q3275" s="203"/>
      <c r="R3275" s="162"/>
      <c r="S3275" s="162"/>
      <c r="T3275" s="173"/>
      <c r="U3275" s="174"/>
      <c r="V3275" s="165"/>
      <c r="W3275" s="164"/>
      <c r="X3275" s="164"/>
      <c r="Y3275" s="164"/>
      <c r="Z3275" s="164"/>
      <c r="AA3275" s="164"/>
      <c r="AB3275" s="164"/>
      <c r="AC3275" s="164"/>
      <c r="AD3275" s="164"/>
      <c r="AE3275" s="164"/>
      <c r="AF3275" s="164"/>
      <c r="AG3275" s="164"/>
      <c r="AH3275" s="164"/>
      <c r="AI3275" s="164"/>
    </row>
    <row r="3276">
      <c r="A3276" s="154"/>
      <c r="B3276" s="155"/>
      <c r="C3276" s="156"/>
      <c r="D3276" s="156"/>
      <c r="E3276" s="155"/>
      <c r="F3276" s="156"/>
      <c r="G3276" s="154"/>
      <c r="H3276" s="157"/>
      <c r="I3276" s="158"/>
      <c r="J3276" s="159"/>
      <c r="K3276" s="156"/>
      <c r="L3276" s="156"/>
      <c r="M3276" s="155"/>
      <c r="N3276" s="160"/>
      <c r="O3276" s="161"/>
      <c r="P3276" s="161"/>
      <c r="Q3276" s="203"/>
      <c r="R3276" s="162"/>
      <c r="S3276" s="162"/>
      <c r="T3276" s="162"/>
      <c r="U3276" s="163"/>
      <c r="V3276" s="154"/>
      <c r="W3276" s="164"/>
      <c r="X3276" s="164"/>
      <c r="Y3276" s="164"/>
      <c r="Z3276" s="164"/>
      <c r="AA3276" s="164"/>
      <c r="AB3276" s="164"/>
      <c r="AC3276" s="164"/>
      <c r="AD3276" s="164"/>
      <c r="AE3276" s="164"/>
      <c r="AF3276" s="164"/>
      <c r="AG3276" s="164"/>
      <c r="AH3276" s="164"/>
      <c r="AI3276" s="164"/>
    </row>
    <row r="3277">
      <c r="A3277" s="154"/>
      <c r="B3277" s="155"/>
      <c r="C3277" s="156"/>
      <c r="D3277" s="156"/>
      <c r="E3277" s="155"/>
      <c r="F3277" s="156"/>
      <c r="G3277" s="154"/>
      <c r="H3277" s="157"/>
      <c r="I3277" s="158"/>
      <c r="J3277" s="159"/>
      <c r="K3277" s="156"/>
      <c r="L3277" s="156"/>
      <c r="M3277" s="155"/>
      <c r="N3277" s="160"/>
      <c r="O3277" s="161"/>
      <c r="P3277" s="161"/>
      <c r="Q3277" s="203"/>
      <c r="R3277" s="162"/>
      <c r="S3277" s="162"/>
      <c r="T3277" s="162"/>
      <c r="U3277" s="163"/>
      <c r="V3277" s="154"/>
      <c r="W3277" s="164"/>
      <c r="X3277" s="164"/>
      <c r="Y3277" s="164"/>
      <c r="Z3277" s="164"/>
      <c r="AA3277" s="164"/>
      <c r="AB3277" s="164"/>
      <c r="AC3277" s="164"/>
      <c r="AD3277" s="164"/>
      <c r="AE3277" s="164"/>
      <c r="AF3277" s="164"/>
      <c r="AG3277" s="164"/>
      <c r="AH3277" s="164"/>
      <c r="AI3277" s="164"/>
    </row>
    <row r="3278">
      <c r="A3278" s="154"/>
      <c r="B3278" s="155"/>
      <c r="C3278" s="156"/>
      <c r="D3278" s="156"/>
      <c r="E3278" s="155"/>
      <c r="F3278" s="156"/>
      <c r="G3278" s="154"/>
      <c r="H3278" s="157"/>
      <c r="I3278" s="158"/>
      <c r="J3278" s="159"/>
      <c r="K3278" s="156"/>
      <c r="L3278" s="156"/>
      <c r="M3278" s="155"/>
      <c r="N3278" s="160"/>
      <c r="O3278" s="161"/>
      <c r="P3278" s="161"/>
      <c r="Q3278" s="203"/>
      <c r="R3278" s="162"/>
      <c r="S3278" s="162"/>
      <c r="T3278" s="162"/>
      <c r="U3278" s="163"/>
      <c r="V3278" s="154"/>
      <c r="W3278" s="164"/>
      <c r="X3278" s="164"/>
      <c r="Y3278" s="164"/>
      <c r="Z3278" s="164"/>
      <c r="AA3278" s="164"/>
      <c r="AB3278" s="164"/>
      <c r="AC3278" s="164"/>
      <c r="AD3278" s="164"/>
      <c r="AE3278" s="164"/>
      <c r="AF3278" s="164"/>
      <c r="AG3278" s="164"/>
      <c r="AH3278" s="164"/>
      <c r="AI3278" s="164"/>
    </row>
    <row r="3279">
      <c r="A3279" s="154"/>
      <c r="B3279" s="155"/>
      <c r="C3279" s="156"/>
      <c r="D3279" s="156"/>
      <c r="E3279" s="155"/>
      <c r="F3279" s="156"/>
      <c r="G3279" s="154"/>
      <c r="H3279" s="157"/>
      <c r="I3279" s="158"/>
      <c r="J3279" s="159"/>
      <c r="K3279" s="156"/>
      <c r="L3279" s="156"/>
      <c r="M3279" s="155"/>
      <c r="N3279" s="160"/>
      <c r="O3279" s="161"/>
      <c r="P3279" s="161"/>
      <c r="Q3279" s="159"/>
      <c r="R3279" s="162"/>
      <c r="S3279" s="162"/>
      <c r="T3279" s="162"/>
      <c r="U3279" s="163"/>
      <c r="V3279" s="154"/>
      <c r="W3279" s="164"/>
      <c r="X3279" s="164"/>
      <c r="Y3279" s="164"/>
      <c r="Z3279" s="164"/>
      <c r="AA3279" s="164"/>
      <c r="AB3279" s="164"/>
      <c r="AC3279" s="164"/>
      <c r="AD3279" s="164"/>
      <c r="AE3279" s="164"/>
      <c r="AF3279" s="164"/>
      <c r="AG3279" s="164"/>
      <c r="AH3279" s="164"/>
      <c r="AI3279" s="164"/>
    </row>
    <row r="3280">
      <c r="A3280" s="154"/>
      <c r="B3280" s="155"/>
      <c r="C3280" s="156"/>
      <c r="D3280" s="156"/>
      <c r="E3280" s="155"/>
      <c r="F3280" s="156"/>
      <c r="G3280" s="154"/>
      <c r="H3280" s="157"/>
      <c r="I3280" s="158"/>
      <c r="J3280" s="159"/>
      <c r="K3280" s="156"/>
      <c r="L3280" s="156"/>
      <c r="M3280" s="155"/>
      <c r="N3280" s="160"/>
      <c r="O3280" s="161"/>
      <c r="P3280" s="161"/>
      <c r="Q3280" s="203"/>
      <c r="R3280" s="162"/>
      <c r="S3280" s="162"/>
      <c r="T3280" s="162"/>
      <c r="U3280" s="163"/>
      <c r="V3280" s="154"/>
      <c r="W3280" s="164"/>
      <c r="X3280" s="164"/>
      <c r="Y3280" s="164"/>
      <c r="Z3280" s="164"/>
      <c r="AA3280" s="164"/>
      <c r="AB3280" s="164"/>
      <c r="AC3280" s="164"/>
      <c r="AD3280" s="164"/>
      <c r="AE3280" s="164"/>
      <c r="AF3280" s="164"/>
      <c r="AG3280" s="164"/>
      <c r="AH3280" s="164"/>
      <c r="AI3280" s="164"/>
    </row>
    <row r="3281">
      <c r="A3281" s="154"/>
      <c r="B3281" s="155"/>
      <c r="C3281" s="156"/>
      <c r="D3281" s="156"/>
      <c r="E3281" s="155"/>
      <c r="F3281" s="156"/>
      <c r="G3281" s="154"/>
      <c r="H3281" s="157"/>
      <c r="I3281" s="158"/>
      <c r="J3281" s="159"/>
      <c r="K3281" s="156"/>
      <c r="L3281" s="156"/>
      <c r="M3281" s="155"/>
      <c r="N3281" s="160"/>
      <c r="O3281" s="161"/>
      <c r="P3281" s="161"/>
      <c r="Q3281" s="203"/>
      <c r="R3281" s="162"/>
      <c r="S3281" s="162"/>
      <c r="T3281" s="162"/>
      <c r="U3281" s="163"/>
      <c r="V3281" s="154"/>
      <c r="W3281" s="164"/>
      <c r="X3281" s="164"/>
      <c r="Y3281" s="164"/>
      <c r="Z3281" s="164"/>
      <c r="AA3281" s="164"/>
      <c r="AB3281" s="164"/>
      <c r="AC3281" s="164"/>
      <c r="AD3281" s="164"/>
      <c r="AE3281" s="164"/>
      <c r="AF3281" s="164"/>
      <c r="AG3281" s="164"/>
      <c r="AH3281" s="164"/>
      <c r="AI3281" s="164"/>
    </row>
    <row r="3282">
      <c r="A3282" s="154"/>
      <c r="B3282" s="155"/>
      <c r="C3282" s="156"/>
      <c r="D3282" s="156"/>
      <c r="E3282" s="155"/>
      <c r="F3282" s="156"/>
      <c r="G3282" s="154"/>
      <c r="H3282" s="157"/>
      <c r="I3282" s="158"/>
      <c r="J3282" s="159"/>
      <c r="K3282" s="156"/>
      <c r="L3282" s="156"/>
      <c r="M3282" s="202"/>
      <c r="N3282" s="160"/>
      <c r="O3282" s="161"/>
      <c r="P3282" s="161"/>
      <c r="Q3282" s="203"/>
      <c r="R3282" s="162"/>
      <c r="S3282" s="162"/>
      <c r="T3282" s="162"/>
      <c r="U3282" s="163"/>
      <c r="V3282" s="154"/>
      <c r="W3282" s="164"/>
      <c r="X3282" s="164"/>
      <c r="Y3282" s="164"/>
      <c r="Z3282" s="164"/>
      <c r="AA3282" s="164"/>
      <c r="AB3282" s="164"/>
      <c r="AC3282" s="164"/>
      <c r="AD3282" s="164"/>
      <c r="AE3282" s="164"/>
      <c r="AF3282" s="164"/>
      <c r="AG3282" s="164"/>
      <c r="AH3282" s="164"/>
      <c r="AI3282" s="164"/>
    </row>
    <row r="3283">
      <c r="A3283" s="154"/>
      <c r="B3283" s="155"/>
      <c r="C3283" s="156"/>
      <c r="D3283" s="156"/>
      <c r="E3283" s="155"/>
      <c r="F3283" s="156"/>
      <c r="G3283" s="154"/>
      <c r="H3283" s="157"/>
      <c r="I3283" s="158"/>
      <c r="J3283" s="159"/>
      <c r="K3283" s="156"/>
      <c r="L3283" s="156"/>
      <c r="M3283" s="155"/>
      <c r="N3283" s="160"/>
      <c r="O3283" s="161"/>
      <c r="P3283" s="161"/>
      <c r="Q3283" s="203"/>
      <c r="R3283" s="162"/>
      <c r="S3283" s="162"/>
      <c r="T3283" s="162"/>
      <c r="U3283" s="163"/>
      <c r="V3283" s="154"/>
      <c r="W3283" s="164"/>
      <c r="X3283" s="164"/>
      <c r="Y3283" s="164"/>
      <c r="Z3283" s="164"/>
      <c r="AA3283" s="164"/>
      <c r="AB3283" s="164"/>
      <c r="AC3283" s="164"/>
      <c r="AD3283" s="164"/>
      <c r="AE3283" s="164"/>
      <c r="AF3283" s="164"/>
      <c r="AG3283" s="164"/>
      <c r="AH3283" s="164"/>
      <c r="AI3283" s="164"/>
    </row>
    <row r="3284">
      <c r="A3284" s="154"/>
      <c r="B3284" s="155"/>
      <c r="C3284" s="156"/>
      <c r="D3284" s="156"/>
      <c r="E3284" s="155"/>
      <c r="F3284" s="156"/>
      <c r="G3284" s="154"/>
      <c r="H3284" s="157"/>
      <c r="I3284" s="158"/>
      <c r="J3284" s="159"/>
      <c r="K3284" s="156"/>
      <c r="L3284" s="156"/>
      <c r="M3284" s="155"/>
      <c r="N3284" s="160"/>
      <c r="O3284" s="161"/>
      <c r="P3284" s="161"/>
      <c r="Q3284" s="159"/>
      <c r="R3284" s="162"/>
      <c r="S3284" s="162"/>
      <c r="T3284" s="162"/>
      <c r="U3284" s="163"/>
      <c r="V3284" s="154"/>
      <c r="W3284" s="164"/>
      <c r="X3284" s="164"/>
      <c r="Y3284" s="164"/>
      <c r="Z3284" s="164"/>
      <c r="AA3284" s="164"/>
      <c r="AB3284" s="164"/>
      <c r="AC3284" s="164"/>
      <c r="AD3284" s="164"/>
      <c r="AE3284" s="164"/>
      <c r="AF3284" s="164"/>
      <c r="AG3284" s="164"/>
      <c r="AH3284" s="164"/>
      <c r="AI3284" s="164"/>
    </row>
    <row r="3285">
      <c r="A3285" s="154"/>
      <c r="B3285" s="155"/>
      <c r="C3285" s="156"/>
      <c r="D3285" s="156"/>
      <c r="E3285" s="155"/>
      <c r="F3285" s="156"/>
      <c r="G3285" s="154"/>
      <c r="H3285" s="157"/>
      <c r="I3285" s="158"/>
      <c r="J3285" s="159"/>
      <c r="K3285" s="156"/>
      <c r="L3285" s="156"/>
      <c r="M3285" s="155"/>
      <c r="N3285" s="160"/>
      <c r="O3285" s="161"/>
      <c r="P3285" s="161"/>
      <c r="Q3285" s="203"/>
      <c r="R3285" s="162"/>
      <c r="S3285" s="162"/>
      <c r="T3285" s="162"/>
      <c r="U3285" s="163"/>
      <c r="V3285" s="154"/>
      <c r="W3285" s="164"/>
      <c r="X3285" s="164"/>
      <c r="Y3285" s="164"/>
      <c r="Z3285" s="164"/>
      <c r="AA3285" s="164"/>
      <c r="AB3285" s="164"/>
      <c r="AC3285" s="164"/>
      <c r="AD3285" s="164"/>
      <c r="AE3285" s="164"/>
      <c r="AF3285" s="164"/>
      <c r="AG3285" s="164"/>
      <c r="AH3285" s="164"/>
      <c r="AI3285" s="164"/>
    </row>
    <row r="3286">
      <c r="A3286" s="154"/>
      <c r="B3286" s="155"/>
      <c r="C3286" s="156"/>
      <c r="D3286" s="156"/>
      <c r="E3286" s="155"/>
      <c r="F3286" s="156"/>
      <c r="G3286" s="154"/>
      <c r="H3286" s="157"/>
      <c r="I3286" s="158"/>
      <c r="J3286" s="159"/>
      <c r="K3286" s="156"/>
      <c r="L3286" s="156"/>
      <c r="M3286" s="155"/>
      <c r="N3286" s="160"/>
      <c r="O3286" s="161"/>
      <c r="P3286" s="161"/>
      <c r="Q3286" s="203"/>
      <c r="R3286" s="162"/>
      <c r="S3286" s="162"/>
      <c r="T3286" s="162"/>
      <c r="U3286" s="163"/>
      <c r="V3286" s="154"/>
      <c r="W3286" s="164"/>
      <c r="X3286" s="164"/>
      <c r="Y3286" s="164"/>
      <c r="Z3286" s="164"/>
      <c r="AA3286" s="164"/>
      <c r="AB3286" s="164"/>
      <c r="AC3286" s="164"/>
      <c r="AD3286" s="164"/>
      <c r="AE3286" s="164"/>
      <c r="AF3286" s="164"/>
      <c r="AG3286" s="164"/>
      <c r="AH3286" s="164"/>
      <c r="AI3286" s="164"/>
    </row>
    <row r="3287">
      <c r="A3287" s="154"/>
      <c r="B3287" s="155"/>
      <c r="C3287" s="156"/>
      <c r="D3287" s="156"/>
      <c r="E3287" s="155"/>
      <c r="F3287" s="156"/>
      <c r="G3287" s="154"/>
      <c r="H3287" s="157"/>
      <c r="I3287" s="158"/>
      <c r="J3287" s="159"/>
      <c r="K3287" s="156"/>
      <c r="L3287" s="156"/>
      <c r="M3287" s="155"/>
      <c r="N3287" s="160"/>
      <c r="O3287" s="161"/>
      <c r="P3287" s="161"/>
      <c r="Q3287" s="203"/>
      <c r="R3287" s="162"/>
      <c r="S3287" s="162"/>
      <c r="T3287" s="162"/>
      <c r="U3287" s="163"/>
      <c r="V3287" s="154"/>
      <c r="W3287" s="164"/>
      <c r="X3287" s="164"/>
      <c r="Y3287" s="164"/>
      <c r="Z3287" s="164"/>
      <c r="AA3287" s="164"/>
      <c r="AB3287" s="164"/>
      <c r="AC3287" s="164"/>
      <c r="AD3287" s="164"/>
      <c r="AE3287" s="164"/>
      <c r="AF3287" s="164"/>
      <c r="AG3287" s="164"/>
      <c r="AH3287" s="164"/>
      <c r="AI3287" s="164"/>
    </row>
    <row r="3288">
      <c r="A3288" s="154"/>
      <c r="B3288" s="155"/>
      <c r="C3288" s="156"/>
      <c r="D3288" s="156"/>
      <c r="E3288" s="155"/>
      <c r="F3288" s="156"/>
      <c r="G3288" s="154"/>
      <c r="H3288" s="157"/>
      <c r="I3288" s="158"/>
      <c r="J3288" s="159"/>
      <c r="K3288" s="156"/>
      <c r="L3288" s="156"/>
      <c r="M3288" s="155"/>
      <c r="N3288" s="160"/>
      <c r="O3288" s="161"/>
      <c r="P3288" s="161"/>
      <c r="Q3288" s="159"/>
      <c r="R3288" s="162"/>
      <c r="S3288" s="162"/>
      <c r="T3288" s="162"/>
      <c r="U3288" s="163"/>
      <c r="V3288" s="154"/>
      <c r="W3288" s="164"/>
      <c r="X3288" s="164"/>
      <c r="Y3288" s="164"/>
      <c r="Z3288" s="164"/>
      <c r="AA3288" s="164"/>
      <c r="AB3288" s="164"/>
      <c r="AC3288" s="164"/>
      <c r="AD3288" s="164"/>
      <c r="AE3288" s="164"/>
      <c r="AF3288" s="164"/>
      <c r="AG3288" s="164"/>
      <c r="AH3288" s="164"/>
      <c r="AI3288" s="164"/>
    </row>
    <row r="3289">
      <c r="A3289" s="154"/>
      <c r="B3289" s="155"/>
      <c r="C3289" s="156"/>
      <c r="D3289" s="156"/>
      <c r="E3289" s="155"/>
      <c r="F3289" s="156"/>
      <c r="G3289" s="154"/>
      <c r="H3289" s="157"/>
      <c r="I3289" s="158"/>
      <c r="J3289" s="159"/>
      <c r="K3289" s="156"/>
      <c r="L3289" s="156"/>
      <c r="M3289" s="155"/>
      <c r="N3289" s="160"/>
      <c r="O3289" s="161"/>
      <c r="P3289" s="161"/>
      <c r="Q3289" s="159"/>
      <c r="R3289" s="162"/>
      <c r="S3289" s="162"/>
      <c r="T3289" s="162"/>
      <c r="U3289" s="163"/>
      <c r="V3289" s="154"/>
      <c r="W3289" s="164"/>
      <c r="X3289" s="164"/>
      <c r="Y3289" s="164"/>
      <c r="Z3289" s="164"/>
      <c r="AA3289" s="164"/>
      <c r="AB3289" s="164"/>
      <c r="AC3289" s="164"/>
      <c r="AD3289" s="164"/>
      <c r="AE3289" s="164"/>
      <c r="AF3289" s="164"/>
      <c r="AG3289" s="164"/>
      <c r="AH3289" s="164"/>
      <c r="AI3289" s="164"/>
    </row>
  </sheetData>
  <hyperlinks>
    <hyperlink r:id="rId1" ref="D391"/>
    <hyperlink r:id="rId2" ref="D791"/>
    <hyperlink r:id="rId3" ref="D910"/>
    <hyperlink r:id="rId4" ref="D911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56.75"/>
  </cols>
  <sheetData>
    <row r="1">
      <c r="A1" s="245">
        <v>45932.461151979165</v>
      </c>
      <c r="B1" s="41">
        <v>7622559.0</v>
      </c>
      <c r="C1" s="41" t="s">
        <v>1223</v>
      </c>
    </row>
    <row r="2">
      <c r="A2" s="245">
        <v>45932.49832508102</v>
      </c>
      <c r="B2" s="41">
        <v>7622559.0</v>
      </c>
      <c r="C2" s="41" t="s">
        <v>1223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1.13"/>
    <col customWidth="1" min="3" max="3" width="31.88"/>
    <col customWidth="1" min="4" max="4" width="20.63"/>
    <col customWidth="1" min="5" max="5" width="11.88"/>
    <col customWidth="1" min="6" max="6" width="9.25"/>
    <col customWidth="1" min="7" max="7" width="6.5"/>
    <col customWidth="1" min="8" max="8" width="8.63"/>
    <col customWidth="1" min="9" max="9" width="9.0"/>
    <col customWidth="1" min="10" max="10" width="12.63"/>
    <col customWidth="1" min="11" max="11" width="9.25"/>
    <col customWidth="1" min="12" max="12" width="11.13"/>
    <col customWidth="1" min="13" max="13" width="7.75"/>
    <col customWidth="1" min="14" max="16" width="10.5"/>
    <col customWidth="1" min="17" max="17" width="12.0"/>
    <col customWidth="1" min="18" max="18" width="8.88"/>
    <col customWidth="1" min="19" max="19" width="8.75"/>
    <col customWidth="1" min="20" max="20" width="16.0"/>
    <col customWidth="1" min="21" max="21" width="67.75"/>
    <col customWidth="1" min="22" max="22" width="15.38"/>
  </cols>
  <sheetData>
    <row r="1">
      <c r="A1" s="246" t="str">
        <f>IFERROR(__xludf.DUMMYFUNCTION("QUERY(dataMail!A:Z,""Select B,D,F,G,H,I,M,O,R where C&lt;&gt;'Annulation'"")"),"ref Res")</f>
        <v>ref Res</v>
      </c>
      <c r="B1" s="1" t="str">
        <f>IFERROR(__xludf.DUMMYFUNCTION("""COMPUTED_VALUE"""),"Source")</f>
        <v>Source</v>
      </c>
      <c r="C1" s="1" t="str">
        <f>IFERROR(__xludf.DUMMYFUNCTION("""COMPUTED_VALUE"""),"Nom")</f>
        <v>Nom</v>
      </c>
      <c r="D1" s="1" t="str">
        <f>IFERROR(__xludf.DUMMYFUNCTION("""COMPUTED_VALUE"""),"Arrivée")</f>
        <v>Arrivée</v>
      </c>
      <c r="E1" s="1" t="str">
        <f>IFERROR(__xludf.DUMMYFUNCTION("""COMPUTED_VALUE"""),"Fin")</f>
        <v>Fin</v>
      </c>
      <c r="F1" s="1" t="str">
        <f>IFERROR(__xludf.DUMMYFUNCTION("""COMPUTED_VALUE"""),"nb Nuit")</f>
        <v>nb Nuit</v>
      </c>
      <c r="G1" s="1" t="str">
        <f>IFERROR(__xludf.DUMMYFUNCTION("""COMPUTED_VALUE"""),"Pax")</f>
        <v>Pax</v>
      </c>
      <c r="H1" s="247" t="str">
        <f>IFERROR(__xludf.DUMMYFUNCTION("""COMPUTED_VALUE"""),"Nuitée")</f>
        <v>Nuitée</v>
      </c>
      <c r="I1" s="247" t="str">
        <f>IFERROR(__xludf.DUMMYFUNCTION("""COMPUTED_VALUE"""),"Total N")</f>
        <v>Total N</v>
      </c>
      <c r="J1" s="1" t="s">
        <v>1241</v>
      </c>
      <c r="K1" s="1"/>
      <c r="L1" s="1"/>
      <c r="M1" s="1"/>
      <c r="N1" s="148"/>
      <c r="O1" s="248"/>
      <c r="P1" s="248"/>
      <c r="Q1" s="1"/>
      <c r="R1" s="249"/>
      <c r="S1" s="249"/>
      <c r="T1" s="249"/>
      <c r="U1" s="250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53"/>
    </row>
    <row r="2">
      <c r="A2" s="251">
        <f>IFERROR(__xludf.DUMMYFUNCTION("""COMPUTED_VALUE"""),7496325.0)</f>
        <v>7496325</v>
      </c>
      <c r="B2" s="252" t="str">
        <f>IFERROR(__xludf.DUMMYFUNCTION("""COMPUTED_VALUE"""),"BookingCom")</f>
        <v>BookingCom</v>
      </c>
      <c r="C2" s="253" t="str">
        <f>IFERROR(__xludf.DUMMYFUNCTION("""COMPUTED_VALUE"""),"Nathalie LANGLET ")</f>
        <v>Nathalie LANGLET </v>
      </c>
      <c r="D2" s="254">
        <f>IFERROR(__xludf.DUMMYFUNCTION("""COMPUTED_VALUE"""),46022.0)</f>
        <v>46022</v>
      </c>
      <c r="E2" s="251">
        <f>IFERROR(__xludf.DUMMYFUNCTION("""COMPUTED_VALUE"""),46023.0)</f>
        <v>46023</v>
      </c>
      <c r="F2" s="255">
        <f>IFERROR(__xludf.DUMMYFUNCTION("""COMPUTED_VALUE"""),1.0)</f>
        <v>1</v>
      </c>
      <c r="G2" s="255">
        <f>IFERROR(__xludf.DUMMYFUNCTION("""COMPUTED_VALUE"""),2.0)</f>
        <v>2</v>
      </c>
      <c r="H2" s="256">
        <f>IFERROR(__xludf.DUMMYFUNCTION("""COMPUTED_VALUE"""),183.97)</f>
        <v>183.97</v>
      </c>
      <c r="I2" s="256">
        <f>IFERROR(__xludf.DUMMYFUNCTION("""COMPUTED_VALUE"""),147.17600000000002)</f>
        <v>147.176</v>
      </c>
      <c r="J2" s="257">
        <f t="shared" ref="J2:J945" si="1">G2*F2</f>
        <v>2</v>
      </c>
      <c r="K2" s="253"/>
      <c r="L2" s="253"/>
      <c r="M2" s="252"/>
      <c r="N2" s="258"/>
      <c r="O2" s="259"/>
      <c r="P2" s="259"/>
      <c r="Q2" s="257"/>
      <c r="R2" s="260"/>
      <c r="S2" s="260"/>
      <c r="T2" s="260"/>
      <c r="U2" s="261"/>
      <c r="V2" s="251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>
      <c r="A3" s="251">
        <f>IFERROR(__xludf.DUMMYFUNCTION("""COMPUTED_VALUE"""),7099280.0)</f>
        <v>7099280</v>
      </c>
      <c r="B3" s="252" t="str">
        <f>IFERROR(__xludf.DUMMYFUNCTION("""COMPUTED_VALUE"""),"BookingCom")</f>
        <v>BookingCom</v>
      </c>
      <c r="C3" s="253" t="str">
        <f>IFERROR(__xludf.DUMMYFUNCTION("""COMPUTED_VALUE"""),"Lorena Baroni ")</f>
        <v>Lorena Baroni </v>
      </c>
      <c r="D3" s="254">
        <f>IFERROR(__xludf.DUMMYFUNCTION("""COMPUTED_VALUE"""),46022.0)</f>
        <v>46022</v>
      </c>
      <c r="E3" s="251">
        <f>IFERROR(__xludf.DUMMYFUNCTION("""COMPUTED_VALUE"""),46024.0)</f>
        <v>46024</v>
      </c>
      <c r="F3" s="255">
        <f>IFERROR(__xludf.DUMMYFUNCTION("""COMPUTED_VALUE"""),2.0)</f>
        <v>2</v>
      </c>
      <c r="G3" s="255">
        <f>IFERROR(__xludf.DUMMYFUNCTION("""COMPUTED_VALUE"""),2.0)</f>
        <v>2</v>
      </c>
      <c r="H3" s="256">
        <f>IFERROR(__xludf.DUMMYFUNCTION("""COMPUTED_VALUE"""),206.94)</f>
        <v>206.94</v>
      </c>
      <c r="I3" s="256">
        <f>IFERROR(__xludf.DUMMYFUNCTION("""COMPUTED_VALUE"""),331.10400000000004)</f>
        <v>331.104</v>
      </c>
      <c r="J3" s="257">
        <f t="shared" si="1"/>
        <v>4</v>
      </c>
      <c r="K3" s="253"/>
      <c r="L3" s="253"/>
      <c r="M3" s="252"/>
      <c r="N3" s="258"/>
      <c r="O3" s="259"/>
      <c r="P3" s="259"/>
      <c r="Q3" s="262"/>
      <c r="R3" s="260"/>
      <c r="S3" s="260"/>
      <c r="T3" s="260"/>
      <c r="U3" s="261"/>
      <c r="V3" s="251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>
      <c r="A4" s="251">
        <f>IFERROR(__xludf.DUMMYFUNCTION("""COMPUTED_VALUE"""),7554269.0)</f>
        <v>7554269</v>
      </c>
      <c r="B4" s="252" t="str">
        <f>IFERROR(__xludf.DUMMYFUNCTION("""COMPUTED_VALUE"""),"BookingCom")</f>
        <v>BookingCom</v>
      </c>
      <c r="C4" s="253" t="str">
        <f>IFERROR(__xludf.DUMMYFUNCTION("""COMPUTED_VALUE"""),"Mandy Wright ")</f>
        <v>Mandy Wright </v>
      </c>
      <c r="D4" s="254">
        <f>IFERROR(__xludf.DUMMYFUNCTION("""COMPUTED_VALUE"""),46022.0)</f>
        <v>46022</v>
      </c>
      <c r="E4" s="251">
        <f>IFERROR(__xludf.DUMMYFUNCTION("""COMPUTED_VALUE"""),46026.0)</f>
        <v>46026</v>
      </c>
      <c r="F4" s="255">
        <f>IFERROR(__xludf.DUMMYFUNCTION("""COMPUTED_VALUE"""),4.0)</f>
        <v>4</v>
      </c>
      <c r="G4" s="255">
        <f>IFERROR(__xludf.DUMMYFUNCTION("""COMPUTED_VALUE"""),2.0)</f>
        <v>2</v>
      </c>
      <c r="H4" s="256">
        <f>IFERROR(__xludf.DUMMYFUNCTION("""COMPUTED_VALUE"""),176.11)</f>
        <v>176.11</v>
      </c>
      <c r="I4" s="256">
        <f>IFERROR(__xludf.DUMMYFUNCTION("""COMPUTED_VALUE"""),563.552)</f>
        <v>563.552</v>
      </c>
      <c r="J4" s="257">
        <f t="shared" si="1"/>
        <v>8</v>
      </c>
      <c r="K4" s="253"/>
      <c r="L4" s="253"/>
      <c r="M4" s="252"/>
      <c r="N4" s="258"/>
      <c r="O4" s="259"/>
      <c r="P4" s="259"/>
      <c r="Q4" s="262"/>
      <c r="R4" s="260"/>
      <c r="S4" s="260"/>
      <c r="T4" s="260"/>
      <c r="U4" s="261"/>
      <c r="V4" s="251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>
      <c r="A5" s="251">
        <f>IFERROR(__xludf.DUMMYFUNCTION("""COMPUTED_VALUE"""),7976038.0)</f>
        <v>7976038</v>
      </c>
      <c r="B5" s="252" t="str">
        <f>IFERROR(__xludf.DUMMYFUNCTION("""COMPUTED_VALUE"""),"Reseliva Pannel")</f>
        <v>Reseliva Pannel</v>
      </c>
      <c r="C5" s="253" t="str">
        <f>IFERROR(__xludf.DUMMYFUNCTION("""COMPUTED_VALUE"""),"Bouderbala Ahmed Alaa ")</f>
        <v>Bouderbala Ahmed Alaa </v>
      </c>
      <c r="D5" s="254">
        <f>IFERROR(__xludf.DUMMYFUNCTION("""COMPUTED_VALUE"""),46022.0)</f>
        <v>46022</v>
      </c>
      <c r="E5" s="251">
        <f>IFERROR(__xludf.DUMMYFUNCTION("""COMPUTED_VALUE"""),46023.0)</f>
        <v>46023</v>
      </c>
      <c r="F5" s="255">
        <f>IFERROR(__xludf.DUMMYFUNCTION("""COMPUTED_VALUE"""),1.0)</f>
        <v>1</v>
      </c>
      <c r="G5" s="255">
        <f>IFERROR(__xludf.DUMMYFUNCTION("""COMPUTED_VALUE"""),2.0)</f>
        <v>2</v>
      </c>
      <c r="H5" s="256">
        <f>IFERROR(__xludf.DUMMYFUNCTION("""COMPUTED_VALUE"""),599.76)</f>
        <v>599.76</v>
      </c>
      <c r="I5" s="256">
        <f>IFERROR(__xludf.DUMMYFUNCTION("""COMPUTED_VALUE"""),599.76)</f>
        <v>599.76</v>
      </c>
      <c r="J5" s="257">
        <f t="shared" si="1"/>
        <v>2</v>
      </c>
      <c r="K5" s="253"/>
      <c r="L5" s="253"/>
      <c r="M5" s="252"/>
      <c r="N5" s="258"/>
      <c r="O5" s="259"/>
      <c r="P5" s="259"/>
      <c r="Q5" s="257"/>
      <c r="R5" s="260"/>
      <c r="S5" s="260"/>
      <c r="T5" s="260"/>
      <c r="U5" s="261"/>
      <c r="V5" s="251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>
      <c r="A6" s="263">
        <f>IFERROR(__xludf.DUMMYFUNCTION("""COMPUTED_VALUE"""),7976762.0)</f>
        <v>7976762</v>
      </c>
      <c r="B6" s="264" t="str">
        <f>IFERROR(__xludf.DUMMYFUNCTION("""COMPUTED_VALUE"""),"Reseliva")</f>
        <v>Reseliva</v>
      </c>
      <c r="C6" s="265" t="str">
        <f>IFERROR(__xludf.DUMMYFUNCTION("""COMPUTED_VALUE"""),"Stefano Grini ")</f>
        <v>Stefano Grini </v>
      </c>
      <c r="D6" s="266">
        <f>IFERROR(__xludf.DUMMYFUNCTION("""COMPUTED_VALUE"""),46022.0)</f>
        <v>46022</v>
      </c>
      <c r="E6" s="263">
        <f>IFERROR(__xludf.DUMMYFUNCTION("""COMPUTED_VALUE"""),46024.0)</f>
        <v>46024</v>
      </c>
      <c r="F6" s="267">
        <f>IFERROR(__xludf.DUMMYFUNCTION("""COMPUTED_VALUE"""),2.0)</f>
        <v>2</v>
      </c>
      <c r="G6" s="267">
        <f>IFERROR(__xludf.DUMMYFUNCTION("""COMPUTED_VALUE"""),2.0)</f>
        <v>2</v>
      </c>
      <c r="H6" s="268">
        <f>IFERROR(__xludf.DUMMYFUNCTION("""COMPUTED_VALUE"""),249.84)</f>
        <v>249.84</v>
      </c>
      <c r="I6" s="268">
        <f>IFERROR(__xludf.DUMMYFUNCTION("""COMPUTED_VALUE"""),494.6832)</f>
        <v>494.6832</v>
      </c>
      <c r="J6" s="257">
        <f t="shared" si="1"/>
        <v>4</v>
      </c>
      <c r="K6" s="265"/>
      <c r="L6" s="265"/>
      <c r="M6" s="269"/>
      <c r="N6" s="270"/>
      <c r="O6" s="271"/>
      <c r="P6" s="271"/>
      <c r="Q6" s="272"/>
      <c r="R6" s="273"/>
      <c r="S6" s="273"/>
      <c r="T6" s="273"/>
      <c r="U6" s="274"/>
      <c r="V6" s="26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>
      <c r="A7" s="251">
        <f>IFERROR(__xludf.DUMMYFUNCTION("""COMPUTED_VALUE"""),7060224.0)</f>
        <v>7060224</v>
      </c>
      <c r="B7" s="252" t="str">
        <f>IFERROR(__xludf.DUMMYFUNCTION("""COMPUTED_VALUE"""),"Expedia Affiliate Network")</f>
        <v>Expedia Affiliate Network</v>
      </c>
      <c r="C7" s="253" t="str">
        <f>IFERROR(__xludf.DUMMYFUNCTION("""COMPUTED_VALUE"""),"MARIA DEL CARMEN RUBIO HIDALGO ")</f>
        <v>MARIA DEL CARMEN RUBIO HIDALGO </v>
      </c>
      <c r="D7" s="254">
        <f>IFERROR(__xludf.DUMMYFUNCTION("""COMPUTED_VALUE"""),46023.0)</f>
        <v>46023</v>
      </c>
      <c r="E7" s="251">
        <f>IFERROR(__xludf.DUMMYFUNCTION("""COMPUTED_VALUE"""),46024.0)</f>
        <v>46024</v>
      </c>
      <c r="F7" s="255">
        <f>IFERROR(__xludf.DUMMYFUNCTION("""COMPUTED_VALUE"""),1.0)</f>
        <v>1</v>
      </c>
      <c r="G7" s="255">
        <f>IFERROR(__xludf.DUMMYFUNCTION("""COMPUTED_VALUE"""),4.0)</f>
        <v>4</v>
      </c>
      <c r="H7" s="256">
        <f>IFERROR(__xludf.DUMMYFUNCTION("""COMPUTED_VALUE"""),547.57)</f>
        <v>547.57</v>
      </c>
      <c r="I7" s="256">
        <f>IFERROR(__xludf.DUMMYFUNCTION("""COMPUTED_VALUE"""),438.05600000000004)</f>
        <v>438.056</v>
      </c>
      <c r="J7" s="257">
        <f t="shared" si="1"/>
        <v>4</v>
      </c>
      <c r="K7" s="253"/>
      <c r="L7" s="253"/>
      <c r="M7" s="252"/>
      <c r="N7" s="258"/>
      <c r="O7" s="259"/>
      <c r="P7" s="259"/>
      <c r="Q7" s="257"/>
      <c r="R7" s="260"/>
      <c r="S7" s="260"/>
      <c r="T7" s="260"/>
      <c r="U7" s="261"/>
      <c r="V7" s="251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>
      <c r="A8" s="251">
        <f>IFERROR(__xludf.DUMMYFUNCTION("""COMPUTED_VALUE"""),7645947.0)</f>
        <v>7645947</v>
      </c>
      <c r="B8" s="252" t="str">
        <f>IFERROR(__xludf.DUMMYFUNCTION("""COMPUTED_VALUE"""),"BookingCom")</f>
        <v>BookingCom</v>
      </c>
      <c r="C8" s="253" t="str">
        <f>IFERROR(__xludf.DUMMYFUNCTION("""COMPUTED_VALUE"""),"francesca renna ")</f>
        <v>francesca renna </v>
      </c>
      <c r="D8" s="254">
        <f>IFERROR(__xludf.DUMMYFUNCTION("""COMPUTED_VALUE"""),46023.0)</f>
        <v>46023</v>
      </c>
      <c r="E8" s="251">
        <f>IFERROR(__xludf.DUMMYFUNCTION("""COMPUTED_VALUE"""),46025.0)</f>
        <v>46025</v>
      </c>
      <c r="F8" s="255">
        <f>IFERROR(__xludf.DUMMYFUNCTION("""COMPUTED_VALUE"""),2.0)</f>
        <v>2</v>
      </c>
      <c r="G8" s="255">
        <f>IFERROR(__xludf.DUMMYFUNCTION("""COMPUTED_VALUE"""),2.0)</f>
        <v>2</v>
      </c>
      <c r="H8" s="256">
        <f>IFERROR(__xludf.DUMMYFUNCTION("""COMPUTED_VALUE"""),182.31)</f>
        <v>182.31</v>
      </c>
      <c r="I8" s="256">
        <f>IFERROR(__xludf.DUMMYFUNCTION("""COMPUTED_VALUE"""),291.696)</f>
        <v>291.696</v>
      </c>
      <c r="J8" s="257">
        <f t="shared" si="1"/>
        <v>4</v>
      </c>
      <c r="K8" s="253"/>
      <c r="L8" s="253"/>
      <c r="M8" s="252"/>
      <c r="N8" s="258"/>
      <c r="O8" s="259"/>
      <c r="P8" s="259"/>
      <c r="Q8" s="262"/>
      <c r="R8" s="260"/>
      <c r="S8" s="260"/>
      <c r="T8" s="260"/>
      <c r="U8" s="261"/>
      <c r="V8" s="251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>
      <c r="A9" s="251">
        <f>IFERROR(__xludf.DUMMYFUNCTION("""COMPUTED_VALUE"""),7777362.0)</f>
        <v>7777362</v>
      </c>
      <c r="B9" s="252" t="str">
        <f>IFERROR(__xludf.DUMMYFUNCTION("""COMPUTED_VALUE"""),"BookingCom")</f>
        <v>BookingCom</v>
      </c>
      <c r="C9" s="253" t="str">
        <f>IFERROR(__xludf.DUMMYFUNCTION("""COMPUTED_VALUE"""),"Pierre Verdickt ")</f>
        <v>Pierre Verdickt </v>
      </c>
      <c r="D9" s="254">
        <f>IFERROR(__xludf.DUMMYFUNCTION("""COMPUTED_VALUE"""),46023.0)</f>
        <v>46023</v>
      </c>
      <c r="E9" s="251">
        <f>IFERROR(__xludf.DUMMYFUNCTION("""COMPUTED_VALUE"""),46024.0)</f>
        <v>46024</v>
      </c>
      <c r="F9" s="255">
        <f>IFERROR(__xludf.DUMMYFUNCTION("""COMPUTED_VALUE"""),1.0)</f>
        <v>1</v>
      </c>
      <c r="G9" s="255">
        <f>IFERROR(__xludf.DUMMYFUNCTION("""COMPUTED_VALUE"""),2.0)</f>
        <v>2</v>
      </c>
      <c r="H9" s="256">
        <f>IFERROR(__xludf.DUMMYFUNCTION("""COMPUTED_VALUE"""),191.05)</f>
        <v>191.05</v>
      </c>
      <c r="I9" s="256">
        <f>IFERROR(__xludf.DUMMYFUNCTION("""COMPUTED_VALUE"""),152.84)</f>
        <v>152.84</v>
      </c>
      <c r="J9" s="257">
        <f t="shared" si="1"/>
        <v>2</v>
      </c>
      <c r="K9" s="253"/>
      <c r="L9" s="253"/>
      <c r="M9" s="252"/>
      <c r="N9" s="258"/>
      <c r="O9" s="259"/>
      <c r="P9" s="259"/>
      <c r="Q9" s="262"/>
      <c r="R9" s="260"/>
      <c r="S9" s="260"/>
      <c r="T9" s="260"/>
      <c r="U9" s="261"/>
      <c r="V9" s="251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>
      <c r="A10" s="251">
        <f>IFERROR(__xludf.DUMMYFUNCTION("""COMPUTED_VALUE"""),7649484.0)</f>
        <v>7649484</v>
      </c>
      <c r="B10" s="252" t="str">
        <f>IFERROR(__xludf.DUMMYFUNCTION("""COMPUTED_VALUE"""),"Agoda2")</f>
        <v>Agoda2</v>
      </c>
      <c r="C10" s="253" t="str">
        <f>IFERROR(__xludf.DUMMYFUNCTION("""COMPUTED_VALUE"""),"ALBERTO BONETTI ")</f>
        <v>ALBERTO BONETTI </v>
      </c>
      <c r="D10" s="254">
        <f>IFERROR(__xludf.DUMMYFUNCTION("""COMPUTED_VALUE"""),46023.0)</f>
        <v>46023</v>
      </c>
      <c r="E10" s="251">
        <f>IFERROR(__xludf.DUMMYFUNCTION("""COMPUTED_VALUE"""),46027.0)</f>
        <v>46027</v>
      </c>
      <c r="F10" s="255">
        <f>IFERROR(__xludf.DUMMYFUNCTION("""COMPUTED_VALUE"""),4.0)</f>
        <v>4</v>
      </c>
      <c r="G10" s="255">
        <f>IFERROR(__xludf.DUMMYFUNCTION("""COMPUTED_VALUE"""),2.0)</f>
        <v>2</v>
      </c>
      <c r="H10" s="256">
        <f>IFERROR(__xludf.DUMMYFUNCTION("""COMPUTED_VALUE"""),265.84)</f>
        <v>265.84</v>
      </c>
      <c r="I10" s="256">
        <f>IFERROR(__xludf.DUMMYFUNCTION("""COMPUTED_VALUE"""),850.688)</f>
        <v>850.688</v>
      </c>
      <c r="J10" s="257">
        <f t="shared" si="1"/>
        <v>8</v>
      </c>
      <c r="K10" s="253"/>
      <c r="L10" s="253"/>
      <c r="M10" s="275"/>
      <c r="N10" s="258"/>
      <c r="O10" s="259"/>
      <c r="P10" s="259"/>
      <c r="Q10" s="262"/>
      <c r="R10" s="260"/>
      <c r="S10" s="260"/>
      <c r="T10" s="260"/>
      <c r="U10" s="261"/>
      <c r="V10" s="251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>
      <c r="A11" s="251">
        <f>IFERROR(__xludf.DUMMYFUNCTION("""COMPUTED_VALUE"""),7979294.0)</f>
        <v>7979294</v>
      </c>
      <c r="B11" s="252" t="str">
        <f>IFERROR(__xludf.DUMMYFUNCTION("""COMPUTED_VALUE"""),"Reseliva Pannel")</f>
        <v>Reseliva Pannel</v>
      </c>
      <c r="C11" s="253" t="str">
        <f>IFERROR(__xludf.DUMMYFUNCTION("""COMPUTED_VALUE"""),"PINI Marlene ")</f>
        <v>PINI Marlene </v>
      </c>
      <c r="D11" s="254">
        <f>IFERROR(__xludf.DUMMYFUNCTION("""COMPUTED_VALUE"""),46023.0)</f>
        <v>46023</v>
      </c>
      <c r="E11" s="251">
        <f>IFERROR(__xludf.DUMMYFUNCTION("""COMPUTED_VALUE"""),46025.0)</f>
        <v>46025</v>
      </c>
      <c r="F11" s="255">
        <f>IFERROR(__xludf.DUMMYFUNCTION("""COMPUTED_VALUE"""),2.0)</f>
        <v>2</v>
      </c>
      <c r="G11" s="255">
        <f>IFERROR(__xludf.DUMMYFUNCTION("""COMPUTED_VALUE"""),2.0)</f>
        <v>2</v>
      </c>
      <c r="H11" s="256">
        <f>IFERROR(__xludf.DUMMYFUNCTION("""COMPUTED_VALUE"""),275.04)</f>
        <v>275.04</v>
      </c>
      <c r="I11" s="256">
        <f>IFERROR(__xludf.DUMMYFUNCTION("""COMPUTED_VALUE"""),550.08)</f>
        <v>550.08</v>
      </c>
      <c r="J11" s="257">
        <f t="shared" si="1"/>
        <v>4</v>
      </c>
      <c r="K11" s="253"/>
      <c r="L11" s="253"/>
      <c r="M11" s="252"/>
      <c r="N11" s="258"/>
      <c r="O11" s="259"/>
      <c r="P11" s="259"/>
      <c r="Q11" s="262"/>
      <c r="R11" s="260"/>
      <c r="S11" s="260"/>
      <c r="T11" s="260"/>
      <c r="U11" s="261"/>
      <c r="V11" s="251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>
      <c r="A12" s="251">
        <f>IFERROR(__xludf.DUMMYFUNCTION("""COMPUTED_VALUE"""),7350805.0)</f>
        <v>7350805</v>
      </c>
      <c r="B12" s="252" t="str">
        <f>IFERROR(__xludf.DUMMYFUNCTION("""COMPUTED_VALUE"""),"Reseliva")</f>
        <v>Reseliva</v>
      </c>
      <c r="C12" s="253" t="str">
        <f>IFERROR(__xludf.DUMMYFUNCTION("""COMPUTED_VALUE"""),"Meryem x Nancy ")</f>
        <v>Meryem x Nancy </v>
      </c>
      <c r="D12" s="254">
        <f>IFERROR(__xludf.DUMMYFUNCTION("""COMPUTED_VALUE"""),46024.0)</f>
        <v>46024</v>
      </c>
      <c r="E12" s="251">
        <f>IFERROR(__xludf.DUMMYFUNCTION("""COMPUTED_VALUE"""),46025.0)</f>
        <v>46025</v>
      </c>
      <c r="F12" s="255">
        <f>IFERROR(__xludf.DUMMYFUNCTION("""COMPUTED_VALUE"""),1.0)</f>
        <v>1</v>
      </c>
      <c r="G12" s="255">
        <f>IFERROR(__xludf.DUMMYFUNCTION("""COMPUTED_VALUE"""),2.0)</f>
        <v>2</v>
      </c>
      <c r="H12" s="256">
        <f>IFERROR(__xludf.DUMMYFUNCTION("""COMPUTED_VALUE"""),249.84)</f>
        <v>249.84</v>
      </c>
      <c r="I12" s="256">
        <f>IFERROR(__xludf.DUMMYFUNCTION("""COMPUTED_VALUE"""),247.3416)</f>
        <v>247.3416</v>
      </c>
      <c r="J12" s="257">
        <f t="shared" si="1"/>
        <v>2</v>
      </c>
      <c r="K12" s="253"/>
      <c r="L12" s="253"/>
      <c r="M12" s="252"/>
      <c r="N12" s="258"/>
      <c r="O12" s="259"/>
      <c r="P12" s="259"/>
      <c r="Q12" s="262"/>
      <c r="R12" s="260"/>
      <c r="S12" s="260"/>
      <c r="T12" s="273"/>
      <c r="U12" s="274"/>
      <c r="V12" s="263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>
      <c r="A13" s="251">
        <f>IFERROR(__xludf.DUMMYFUNCTION("""COMPUTED_VALUE"""),7350819.0)</f>
        <v>7350819</v>
      </c>
      <c r="B13" s="252" t="str">
        <f>IFERROR(__xludf.DUMMYFUNCTION("""COMPUTED_VALUE"""),"Reseliva")</f>
        <v>Reseliva</v>
      </c>
      <c r="C13" s="253" t="str">
        <f>IFERROR(__xludf.DUMMYFUNCTION("""COMPUTED_VALUE"""),"Meryem x Nancy ")</f>
        <v>Meryem x Nancy </v>
      </c>
      <c r="D13" s="254">
        <f>IFERROR(__xludf.DUMMYFUNCTION("""COMPUTED_VALUE"""),46024.0)</f>
        <v>46024</v>
      </c>
      <c r="E13" s="251">
        <f>IFERROR(__xludf.DUMMYFUNCTION("""COMPUTED_VALUE"""),46025.0)</f>
        <v>46025</v>
      </c>
      <c r="F13" s="255">
        <f>IFERROR(__xludf.DUMMYFUNCTION("""COMPUTED_VALUE"""),1.0)</f>
        <v>1</v>
      </c>
      <c r="G13" s="255">
        <f>IFERROR(__xludf.DUMMYFUNCTION("""COMPUTED_VALUE"""),2.0)</f>
        <v>2</v>
      </c>
      <c r="H13" s="256">
        <f>IFERROR(__xludf.DUMMYFUNCTION("""COMPUTED_VALUE"""),249.84)</f>
        <v>249.84</v>
      </c>
      <c r="I13" s="256">
        <f>IFERROR(__xludf.DUMMYFUNCTION("""COMPUTED_VALUE"""),247.3416)</f>
        <v>247.3416</v>
      </c>
      <c r="J13" s="257">
        <f t="shared" si="1"/>
        <v>2</v>
      </c>
      <c r="K13" s="253"/>
      <c r="L13" s="253"/>
      <c r="M13" s="252"/>
      <c r="N13" s="258"/>
      <c r="O13" s="259"/>
      <c r="P13" s="259"/>
      <c r="Q13" s="262"/>
      <c r="R13" s="260"/>
      <c r="S13" s="260"/>
      <c r="T13" s="260"/>
      <c r="U13" s="261"/>
      <c r="V13" s="251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>
      <c r="A14" s="251">
        <f>IFERROR(__xludf.DUMMYFUNCTION("""COMPUTED_VALUE"""),7269798.0)</f>
        <v>7269798</v>
      </c>
      <c r="B14" s="252" t="str">
        <f>IFERROR(__xludf.DUMMYFUNCTION("""COMPUTED_VALUE"""),"Reseliva")</f>
        <v>Reseliva</v>
      </c>
      <c r="C14" s="253" t="str">
        <f>IFERROR(__xludf.DUMMYFUNCTION("""COMPUTED_VALUE"""),"Jens Dressler ")</f>
        <v>Jens Dressler </v>
      </c>
      <c r="D14" s="254">
        <f>IFERROR(__xludf.DUMMYFUNCTION("""COMPUTED_VALUE"""),46024.0)</f>
        <v>46024</v>
      </c>
      <c r="E14" s="251">
        <f>IFERROR(__xludf.DUMMYFUNCTION("""COMPUTED_VALUE"""),46027.0)</f>
        <v>46027</v>
      </c>
      <c r="F14" s="255">
        <f>IFERROR(__xludf.DUMMYFUNCTION("""COMPUTED_VALUE"""),3.0)</f>
        <v>3</v>
      </c>
      <c r="G14" s="255">
        <f>IFERROR(__xludf.DUMMYFUNCTION("""COMPUTED_VALUE"""),2.0)</f>
        <v>2</v>
      </c>
      <c r="H14" s="256">
        <f>IFERROR(__xludf.DUMMYFUNCTION("""COMPUTED_VALUE"""),178.60666666666668)</f>
        <v>178.6066667</v>
      </c>
      <c r="I14" s="256">
        <f>IFERROR(__xludf.DUMMYFUNCTION("""COMPUTED_VALUE"""),530.4618)</f>
        <v>530.4618</v>
      </c>
      <c r="J14" s="257">
        <f t="shared" si="1"/>
        <v>6</v>
      </c>
      <c r="K14" s="253"/>
      <c r="L14" s="253"/>
      <c r="M14" s="275"/>
      <c r="N14" s="258"/>
      <c r="O14" s="259"/>
      <c r="P14" s="259"/>
      <c r="Q14" s="262"/>
      <c r="R14" s="260"/>
      <c r="S14" s="260"/>
      <c r="T14" s="260"/>
      <c r="U14" s="261"/>
      <c r="V14" s="251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>
      <c r="A15" s="251">
        <f>IFERROR(__xludf.DUMMYFUNCTION("""COMPUTED_VALUE"""),7695383.0)</f>
        <v>7695383</v>
      </c>
      <c r="B15" s="252" t="str">
        <f>IFERROR(__xludf.DUMMYFUNCTION("""COMPUTED_VALUE"""),"Reseliva Pannel")</f>
        <v>Reseliva Pannel</v>
      </c>
      <c r="C15" s="253" t="str">
        <f>IFERROR(__xludf.DUMMYFUNCTION("""COMPUTED_VALUE"""),"No Limited Travel ")</f>
        <v>No Limited Travel </v>
      </c>
      <c r="D15" s="254">
        <f>IFERROR(__xludf.DUMMYFUNCTION("""COMPUTED_VALUE"""),46024.0)</f>
        <v>46024</v>
      </c>
      <c r="E15" s="251">
        <f>IFERROR(__xludf.DUMMYFUNCTION("""COMPUTED_VALUE"""),46025.0)</f>
        <v>46025</v>
      </c>
      <c r="F15" s="255">
        <f>IFERROR(__xludf.DUMMYFUNCTION("""COMPUTED_VALUE"""),1.0)</f>
        <v>1</v>
      </c>
      <c r="G15" s="255">
        <f>IFERROR(__xludf.DUMMYFUNCTION("""COMPUTED_VALUE"""),2.0)</f>
        <v>2</v>
      </c>
      <c r="H15" s="256">
        <f>IFERROR(__xludf.DUMMYFUNCTION("""COMPUTED_VALUE"""),575.28)</f>
        <v>575.28</v>
      </c>
      <c r="I15" s="256">
        <f>IFERROR(__xludf.DUMMYFUNCTION("""COMPUTED_VALUE"""),575.28)</f>
        <v>575.28</v>
      </c>
      <c r="J15" s="257">
        <f t="shared" si="1"/>
        <v>2</v>
      </c>
      <c r="K15" s="253"/>
      <c r="L15" s="253"/>
      <c r="M15" s="252"/>
      <c r="N15" s="258"/>
      <c r="O15" s="259"/>
      <c r="P15" s="259"/>
      <c r="Q15" s="257"/>
      <c r="R15" s="260"/>
      <c r="S15" s="260"/>
      <c r="T15" s="260"/>
      <c r="U15" s="261"/>
      <c r="V15" s="251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>
      <c r="A16" s="251">
        <f>IFERROR(__xludf.DUMMYFUNCTION("""COMPUTED_VALUE"""),7607847.0)</f>
        <v>7607847</v>
      </c>
      <c r="B16" s="252" t="str">
        <f>IFERROR(__xludf.DUMMYFUNCTION("""COMPUTED_VALUE"""),"HotelBeds")</f>
        <v>HotelBeds</v>
      </c>
      <c r="C16" s="253" t="str">
        <f>IFERROR(__xludf.DUMMYFUNCTION("""COMPUTED_VALUE"""),"MANUELA BATALONI ")</f>
        <v>MANUELA BATALONI </v>
      </c>
      <c r="D16" s="254">
        <f>IFERROR(__xludf.DUMMYFUNCTION("""COMPUTED_VALUE"""),46024.0)</f>
        <v>46024</v>
      </c>
      <c r="E16" s="251">
        <f>IFERROR(__xludf.DUMMYFUNCTION("""COMPUTED_VALUE"""),46025.0)</f>
        <v>46025</v>
      </c>
      <c r="F16" s="255">
        <f>IFERROR(__xludf.DUMMYFUNCTION("""COMPUTED_VALUE"""),1.0)</f>
        <v>1</v>
      </c>
      <c r="G16" s="255">
        <f>IFERROR(__xludf.DUMMYFUNCTION("""COMPUTED_VALUE"""),3.0)</f>
        <v>3</v>
      </c>
      <c r="H16" s="256">
        <f>IFERROR(__xludf.DUMMYFUNCTION("""COMPUTED_VALUE"""),365.6)</f>
        <v>365.6</v>
      </c>
      <c r="I16" s="256">
        <f>IFERROR(__xludf.DUMMYFUNCTION("""COMPUTED_VALUE"""),292.48)</f>
        <v>292.48</v>
      </c>
      <c r="J16" s="257">
        <f t="shared" si="1"/>
        <v>3</v>
      </c>
      <c r="K16" s="253"/>
      <c r="L16" s="253"/>
      <c r="M16" s="252"/>
      <c r="N16" s="258"/>
      <c r="O16" s="259"/>
      <c r="P16" s="259"/>
      <c r="Q16" s="262"/>
      <c r="R16" s="260"/>
      <c r="S16" s="260"/>
      <c r="T16" s="273"/>
      <c r="U16" s="274"/>
      <c r="V16" s="263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>
      <c r="A17" s="251">
        <f>IFERROR(__xludf.DUMMYFUNCTION("""COMPUTED_VALUE"""),7976737.0)</f>
        <v>7976737</v>
      </c>
      <c r="B17" s="252" t="str">
        <f>IFERROR(__xludf.DUMMYFUNCTION("""COMPUTED_VALUE"""),"Reseliva Pannel")</f>
        <v>Reseliva Pannel</v>
      </c>
      <c r="C17" s="253" t="str">
        <f>IFERROR(__xludf.DUMMYFUNCTION("""COMPUTED_VALUE"""),"Stefano Grini ")</f>
        <v>Stefano Grini </v>
      </c>
      <c r="D17" s="254">
        <f>IFERROR(__xludf.DUMMYFUNCTION("""COMPUTED_VALUE"""),46024.0)</f>
        <v>46024</v>
      </c>
      <c r="E17" s="251">
        <f>IFERROR(__xludf.DUMMYFUNCTION("""COMPUTED_VALUE"""),46025.0)</f>
        <v>46025</v>
      </c>
      <c r="F17" s="255">
        <f>IFERROR(__xludf.DUMMYFUNCTION("""COMPUTED_VALUE"""),1.0)</f>
        <v>1</v>
      </c>
      <c r="G17" s="255">
        <f>IFERROR(__xludf.DUMMYFUNCTION("""COMPUTED_VALUE"""),2.0)</f>
        <v>2</v>
      </c>
      <c r="H17" s="256">
        <f>IFERROR(__xludf.DUMMYFUNCTION("""COMPUTED_VALUE"""),249.84)</f>
        <v>249.84</v>
      </c>
      <c r="I17" s="256">
        <f>IFERROR(__xludf.DUMMYFUNCTION("""COMPUTED_VALUE"""),249.84)</f>
        <v>249.84</v>
      </c>
      <c r="J17" s="257">
        <f t="shared" si="1"/>
        <v>2</v>
      </c>
      <c r="K17" s="253"/>
      <c r="L17" s="253"/>
      <c r="M17" s="275"/>
      <c r="N17" s="258"/>
      <c r="O17" s="259"/>
      <c r="P17" s="259"/>
      <c r="Q17" s="262"/>
      <c r="R17" s="260"/>
      <c r="S17" s="260"/>
      <c r="T17" s="260"/>
      <c r="U17" s="261"/>
      <c r="V17" s="251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>
      <c r="A18" s="251">
        <f>IFERROR(__xludf.DUMMYFUNCTION("""COMPUTED_VALUE"""),7112016.0)</f>
        <v>7112016</v>
      </c>
      <c r="B18" s="252" t="str">
        <f>IFERROR(__xludf.DUMMYFUNCTION("""COMPUTED_VALUE"""),"A-Expedia Affiliate Network")</f>
        <v>A-Expedia Affiliate Network</v>
      </c>
      <c r="C18" s="253" t="str">
        <f>IFERROR(__xludf.DUMMYFUNCTION("""COMPUTED_VALUE"""),"Simonetta Colavizza ")</f>
        <v>Simonetta Colavizza </v>
      </c>
      <c r="D18" s="254">
        <f>IFERROR(__xludf.DUMMYFUNCTION("""COMPUTED_VALUE"""),46025.0)</f>
        <v>46025</v>
      </c>
      <c r="E18" s="251">
        <f>IFERROR(__xludf.DUMMYFUNCTION("""COMPUTED_VALUE"""),46030.0)</f>
        <v>46030</v>
      </c>
      <c r="F18" s="255">
        <f>IFERROR(__xludf.DUMMYFUNCTION("""COMPUTED_VALUE"""),5.0)</f>
        <v>5</v>
      </c>
      <c r="G18" s="255">
        <f>IFERROR(__xludf.DUMMYFUNCTION("""COMPUTED_VALUE"""),2.0)</f>
        <v>2</v>
      </c>
      <c r="H18" s="256">
        <f>IFERROR(__xludf.DUMMYFUNCTION("""COMPUTED_VALUE"""),0.0)</f>
        <v>0</v>
      </c>
      <c r="I18" s="256">
        <f>IFERROR(__xludf.DUMMYFUNCTION("""COMPUTED_VALUE"""),0.0)</f>
        <v>0</v>
      </c>
      <c r="J18" s="257">
        <f t="shared" si="1"/>
        <v>10</v>
      </c>
      <c r="K18" s="253"/>
      <c r="L18" s="253"/>
      <c r="M18" s="252"/>
      <c r="N18" s="258"/>
      <c r="O18" s="259"/>
      <c r="P18" s="259"/>
      <c r="Q18" s="262"/>
      <c r="R18" s="260"/>
      <c r="S18" s="260"/>
      <c r="T18" s="260"/>
      <c r="U18" s="261"/>
      <c r="V18" s="251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>
      <c r="A19" s="251">
        <f>IFERROR(__xludf.DUMMYFUNCTION("""COMPUTED_VALUE"""),7674402.0)</f>
        <v>7674402</v>
      </c>
      <c r="B19" s="252" t="str">
        <f>IFERROR(__xludf.DUMMYFUNCTION("""COMPUTED_VALUE"""),"BookingCom")</f>
        <v>BookingCom</v>
      </c>
      <c r="C19" s="253" t="str">
        <f>IFERROR(__xludf.DUMMYFUNCTION("""COMPUTED_VALUE"""),"Meekai Johnson ")</f>
        <v>Meekai Johnson </v>
      </c>
      <c r="D19" s="254">
        <f>IFERROR(__xludf.DUMMYFUNCTION("""COMPUTED_VALUE"""),46025.0)</f>
        <v>46025</v>
      </c>
      <c r="E19" s="251">
        <f>IFERROR(__xludf.DUMMYFUNCTION("""COMPUTED_VALUE"""),46026.0)</f>
        <v>46026</v>
      </c>
      <c r="F19" s="255">
        <f>IFERROR(__xludf.DUMMYFUNCTION("""COMPUTED_VALUE"""),1.0)</f>
        <v>1</v>
      </c>
      <c r="G19" s="255">
        <f>IFERROR(__xludf.DUMMYFUNCTION("""COMPUTED_VALUE"""),2.0)</f>
        <v>2</v>
      </c>
      <c r="H19" s="256">
        <f>IFERROR(__xludf.DUMMYFUNCTION("""COMPUTED_VALUE"""),186.81)</f>
        <v>186.81</v>
      </c>
      <c r="I19" s="256">
        <f>IFERROR(__xludf.DUMMYFUNCTION("""COMPUTED_VALUE"""),149.448)</f>
        <v>149.448</v>
      </c>
      <c r="J19" s="257">
        <f t="shared" si="1"/>
        <v>2</v>
      </c>
      <c r="K19" s="253"/>
      <c r="L19" s="253"/>
      <c r="M19" s="252"/>
      <c r="N19" s="258"/>
      <c r="O19" s="259"/>
      <c r="P19" s="259"/>
      <c r="Q19" s="257"/>
      <c r="R19" s="260"/>
      <c r="S19" s="260"/>
      <c r="T19" s="260"/>
      <c r="U19" s="261"/>
      <c r="V19" s="251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>
      <c r="A20" s="251">
        <f>IFERROR(__xludf.DUMMYFUNCTION("""COMPUTED_VALUE"""),7695386.0)</f>
        <v>7695386</v>
      </c>
      <c r="B20" s="252" t="str">
        <f>IFERROR(__xludf.DUMMYFUNCTION("""COMPUTED_VALUE"""),"Reseliva Pannel")</f>
        <v>Reseliva Pannel</v>
      </c>
      <c r="C20" s="253" t="str">
        <f>IFERROR(__xludf.DUMMYFUNCTION("""COMPUTED_VALUE"""),"No limited Travel ")</f>
        <v>No limited Travel </v>
      </c>
      <c r="D20" s="254">
        <f>IFERROR(__xludf.DUMMYFUNCTION("""COMPUTED_VALUE"""),46025.0)</f>
        <v>46025</v>
      </c>
      <c r="E20" s="251">
        <f>IFERROR(__xludf.DUMMYFUNCTION("""COMPUTED_VALUE"""),46027.0)</f>
        <v>46027</v>
      </c>
      <c r="F20" s="255">
        <f>IFERROR(__xludf.DUMMYFUNCTION("""COMPUTED_VALUE"""),2.0)</f>
        <v>2</v>
      </c>
      <c r="G20" s="255">
        <f>IFERROR(__xludf.DUMMYFUNCTION("""COMPUTED_VALUE"""),2.0)</f>
        <v>2</v>
      </c>
      <c r="H20" s="256">
        <f>IFERROR(__xludf.DUMMYFUNCTION("""COMPUTED_VALUE"""),249.84)</f>
        <v>249.84</v>
      </c>
      <c r="I20" s="256">
        <f>IFERROR(__xludf.DUMMYFUNCTION("""COMPUTED_VALUE"""),499.68)</f>
        <v>499.68</v>
      </c>
      <c r="J20" s="257">
        <f t="shared" si="1"/>
        <v>4</v>
      </c>
      <c r="K20" s="253"/>
      <c r="L20" s="253"/>
      <c r="M20" s="252"/>
      <c r="N20" s="258"/>
      <c r="O20" s="259"/>
      <c r="P20" s="259"/>
      <c r="Q20" s="262"/>
      <c r="R20" s="260"/>
      <c r="S20" s="260"/>
      <c r="T20" s="260"/>
      <c r="U20" s="261"/>
      <c r="V20" s="251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>
      <c r="A21" s="251">
        <f>IFERROR(__xludf.DUMMYFUNCTION("""COMPUTED_VALUE"""),7717090.0)</f>
        <v>7717090</v>
      </c>
      <c r="B21" s="252" t="str">
        <f>IFERROR(__xludf.DUMMYFUNCTION("""COMPUTED_VALUE"""),"BookingCom")</f>
        <v>BookingCom</v>
      </c>
      <c r="C21" s="253" t="str">
        <f>IFERROR(__xludf.DUMMYFUNCTION("""COMPUTED_VALUE"""),"FRANCESCO MURGANTE ")</f>
        <v>FRANCESCO MURGANTE </v>
      </c>
      <c r="D21" s="254">
        <f>IFERROR(__xludf.DUMMYFUNCTION("""COMPUTED_VALUE"""),46025.0)</f>
        <v>46025</v>
      </c>
      <c r="E21" s="251">
        <f>IFERROR(__xludf.DUMMYFUNCTION("""COMPUTED_VALUE"""),46030.0)</f>
        <v>46030</v>
      </c>
      <c r="F21" s="255">
        <f>IFERROR(__xludf.DUMMYFUNCTION("""COMPUTED_VALUE"""),5.0)</f>
        <v>5</v>
      </c>
      <c r="G21" s="255">
        <f>IFERROR(__xludf.DUMMYFUNCTION("""COMPUTED_VALUE"""),4.0)</f>
        <v>4</v>
      </c>
      <c r="H21" s="256">
        <f>IFERROR(__xludf.DUMMYFUNCTION("""COMPUTED_VALUE"""),419.62)</f>
        <v>419.62</v>
      </c>
      <c r="I21" s="256">
        <f>IFERROR(__xludf.DUMMYFUNCTION("""COMPUTED_VALUE"""),1678.48)</f>
        <v>1678.48</v>
      </c>
      <c r="J21" s="257">
        <f t="shared" si="1"/>
        <v>20</v>
      </c>
      <c r="K21" s="253"/>
      <c r="L21" s="253"/>
      <c r="M21" s="275"/>
      <c r="N21" s="258"/>
      <c r="O21" s="259"/>
      <c r="P21" s="259"/>
      <c r="Q21" s="262"/>
      <c r="R21" s="260"/>
      <c r="S21" s="260"/>
      <c r="T21" s="260"/>
      <c r="U21" s="261"/>
      <c r="V21" s="251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>
      <c r="A22" s="251">
        <f>IFERROR(__xludf.DUMMYFUNCTION("""COMPUTED_VALUE"""),7729764.0)</f>
        <v>7729764</v>
      </c>
      <c r="B22" s="252" t="str">
        <f>IFERROR(__xludf.DUMMYFUNCTION("""COMPUTED_VALUE"""),"BookingCom")</f>
        <v>BookingCom</v>
      </c>
      <c r="C22" s="253" t="str">
        <f>IFERROR(__xludf.DUMMYFUNCTION("""COMPUTED_VALUE"""),"Tiffany Bernard ")</f>
        <v>Tiffany Bernard </v>
      </c>
      <c r="D22" s="254">
        <f>IFERROR(__xludf.DUMMYFUNCTION("""COMPUTED_VALUE"""),46025.0)</f>
        <v>46025</v>
      </c>
      <c r="E22" s="251">
        <f>IFERROR(__xludf.DUMMYFUNCTION("""COMPUTED_VALUE"""),46031.0)</f>
        <v>46031</v>
      </c>
      <c r="F22" s="255">
        <f>IFERROR(__xludf.DUMMYFUNCTION("""COMPUTED_VALUE"""),6.0)</f>
        <v>6</v>
      </c>
      <c r="G22" s="255">
        <f>IFERROR(__xludf.DUMMYFUNCTION("""COMPUTED_VALUE"""),3.0)</f>
        <v>3</v>
      </c>
      <c r="H22" s="256">
        <f>IFERROR(__xludf.DUMMYFUNCTION("""COMPUTED_VALUE"""),210.57)</f>
        <v>210.57</v>
      </c>
      <c r="I22" s="256">
        <f>IFERROR(__xludf.DUMMYFUNCTION("""COMPUTED_VALUE"""),1010.7360000000001)</f>
        <v>1010.736</v>
      </c>
      <c r="J22" s="257">
        <f t="shared" si="1"/>
        <v>18</v>
      </c>
      <c r="K22" s="253"/>
      <c r="L22" s="253"/>
      <c r="M22" s="252"/>
      <c r="N22" s="258"/>
      <c r="O22" s="259"/>
      <c r="P22" s="259"/>
      <c r="Q22" s="262"/>
      <c r="R22" s="260"/>
      <c r="S22" s="260"/>
      <c r="T22" s="260"/>
      <c r="U22" s="261"/>
      <c r="V22" s="251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>
      <c r="A23" s="251">
        <f>IFERROR(__xludf.DUMMYFUNCTION("""COMPUTED_VALUE"""),7757070.0)</f>
        <v>7757070</v>
      </c>
      <c r="B23" s="252" t="str">
        <f>IFERROR(__xludf.DUMMYFUNCTION("""COMPUTED_VALUE"""),"BookingCom")</f>
        <v>BookingCom</v>
      </c>
      <c r="C23" s="253" t="str">
        <f>IFERROR(__xludf.DUMMYFUNCTION("""COMPUTED_VALUE"""),"Emanuela Moraes ")</f>
        <v>Emanuela Moraes </v>
      </c>
      <c r="D23" s="254">
        <f>IFERROR(__xludf.DUMMYFUNCTION("""COMPUTED_VALUE"""),46025.0)</f>
        <v>46025</v>
      </c>
      <c r="E23" s="251">
        <f>IFERROR(__xludf.DUMMYFUNCTION("""COMPUTED_VALUE"""),46026.0)</f>
        <v>46026</v>
      </c>
      <c r="F23" s="255">
        <f>IFERROR(__xludf.DUMMYFUNCTION("""COMPUTED_VALUE"""),1.0)</f>
        <v>1</v>
      </c>
      <c r="G23" s="255">
        <f>IFERROR(__xludf.DUMMYFUNCTION("""COMPUTED_VALUE"""),3.0)</f>
        <v>3</v>
      </c>
      <c r="H23" s="256">
        <f>IFERROR(__xludf.DUMMYFUNCTION("""COMPUTED_VALUE"""),165.81)</f>
        <v>165.81</v>
      </c>
      <c r="I23" s="256">
        <f>IFERROR(__xludf.DUMMYFUNCTION("""COMPUTED_VALUE"""),132.648)</f>
        <v>132.648</v>
      </c>
      <c r="J23" s="257">
        <f t="shared" si="1"/>
        <v>3</v>
      </c>
      <c r="K23" s="253"/>
      <c r="L23" s="253"/>
      <c r="M23" s="252"/>
      <c r="N23" s="258"/>
      <c r="O23" s="259"/>
      <c r="P23" s="259"/>
      <c r="Q23" s="257"/>
      <c r="R23" s="260"/>
      <c r="S23" s="260"/>
      <c r="T23" s="260"/>
      <c r="U23" s="261"/>
      <c r="V23" s="251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>
      <c r="A24" s="251">
        <f>IFERROR(__xludf.DUMMYFUNCTION("""COMPUTED_VALUE"""),7855729.0)</f>
        <v>7855729</v>
      </c>
      <c r="B24" s="252" t="str">
        <f>IFERROR(__xludf.DUMMYFUNCTION("""COMPUTED_VALUE"""),"BookingCom")</f>
        <v>BookingCom</v>
      </c>
      <c r="C24" s="253" t="str">
        <f>IFERROR(__xludf.DUMMYFUNCTION("""COMPUTED_VALUE"""),"Ruud Koole ")</f>
        <v>Ruud Koole </v>
      </c>
      <c r="D24" s="254">
        <f>IFERROR(__xludf.DUMMYFUNCTION("""COMPUTED_VALUE"""),46025.0)</f>
        <v>46025</v>
      </c>
      <c r="E24" s="251">
        <f>IFERROR(__xludf.DUMMYFUNCTION("""COMPUTED_VALUE"""),46026.0)</f>
        <v>46026</v>
      </c>
      <c r="F24" s="255">
        <f>IFERROR(__xludf.DUMMYFUNCTION("""COMPUTED_VALUE"""),1.0)</f>
        <v>1</v>
      </c>
      <c r="G24" s="255">
        <f>IFERROR(__xludf.DUMMYFUNCTION("""COMPUTED_VALUE"""),2.0)</f>
        <v>2</v>
      </c>
      <c r="H24" s="256">
        <f>IFERROR(__xludf.DUMMYFUNCTION("""COMPUTED_VALUE"""),197.82)</f>
        <v>197.82</v>
      </c>
      <c r="I24" s="256">
        <f>IFERROR(__xludf.DUMMYFUNCTION("""COMPUTED_VALUE"""),158.256)</f>
        <v>158.256</v>
      </c>
      <c r="J24" s="257">
        <f t="shared" si="1"/>
        <v>2</v>
      </c>
      <c r="K24" s="253"/>
      <c r="L24" s="253"/>
      <c r="M24" s="252"/>
      <c r="N24" s="258"/>
      <c r="O24" s="259"/>
      <c r="P24" s="259"/>
      <c r="Q24" s="257"/>
      <c r="R24" s="260"/>
      <c r="S24" s="260"/>
      <c r="T24" s="260"/>
      <c r="U24" s="261"/>
      <c r="V24" s="251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>
      <c r="A25" s="251">
        <f>IFERROR(__xludf.DUMMYFUNCTION("""COMPUTED_VALUE"""),7666779.0)</f>
        <v>7666779</v>
      </c>
      <c r="B25" s="252" t="str">
        <f>IFERROR(__xludf.DUMMYFUNCTION("""COMPUTED_VALUE"""),"BookingCom")</f>
        <v>BookingCom</v>
      </c>
      <c r="C25" s="253" t="str">
        <f>IFERROR(__xludf.DUMMYFUNCTION("""COMPUTED_VALUE"""),"Heike Siewert ")</f>
        <v>Heike Siewert </v>
      </c>
      <c r="D25" s="254">
        <f>IFERROR(__xludf.DUMMYFUNCTION("""COMPUTED_VALUE"""),46026.0)</f>
        <v>46026</v>
      </c>
      <c r="E25" s="251">
        <f>IFERROR(__xludf.DUMMYFUNCTION("""COMPUTED_VALUE"""),46033.0)</f>
        <v>46033</v>
      </c>
      <c r="F25" s="255">
        <f>IFERROR(__xludf.DUMMYFUNCTION("""COMPUTED_VALUE"""),7.0)</f>
        <v>7</v>
      </c>
      <c r="G25" s="255">
        <f>IFERROR(__xludf.DUMMYFUNCTION("""COMPUTED_VALUE"""),2.0)</f>
        <v>2</v>
      </c>
      <c r="H25" s="256">
        <f>IFERROR(__xludf.DUMMYFUNCTION("""COMPUTED_VALUE"""),195.82999999999998)</f>
        <v>195.83</v>
      </c>
      <c r="I25" s="256">
        <f>IFERROR(__xludf.DUMMYFUNCTION("""COMPUTED_VALUE"""),1096.648)</f>
        <v>1096.648</v>
      </c>
      <c r="J25" s="257">
        <f t="shared" si="1"/>
        <v>14</v>
      </c>
      <c r="K25" s="253"/>
      <c r="L25" s="253"/>
      <c r="M25" s="252"/>
      <c r="N25" s="258"/>
      <c r="O25" s="259"/>
      <c r="P25" s="259"/>
      <c r="Q25" s="262"/>
      <c r="R25" s="260"/>
      <c r="S25" s="260"/>
      <c r="T25" s="273"/>
      <c r="U25" s="274"/>
      <c r="V25" s="263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>
      <c r="A26" s="251">
        <f>IFERROR(__xludf.DUMMYFUNCTION("""COMPUTED_VALUE"""),7717168.0)</f>
        <v>7717168</v>
      </c>
      <c r="B26" s="252" t="str">
        <f>IFERROR(__xludf.DUMMYFUNCTION("""COMPUTED_VALUE"""),"BookingCom")</f>
        <v>BookingCom</v>
      </c>
      <c r="C26" s="253" t="str">
        <f>IFERROR(__xludf.DUMMYFUNCTION("""COMPUTED_VALUE"""),"Katrin Ott ")</f>
        <v>Katrin Ott </v>
      </c>
      <c r="D26" s="254">
        <f>IFERROR(__xludf.DUMMYFUNCTION("""COMPUTED_VALUE"""),46026.0)</f>
        <v>46026</v>
      </c>
      <c r="E26" s="251">
        <f>IFERROR(__xludf.DUMMYFUNCTION("""COMPUTED_VALUE"""),46033.0)</f>
        <v>46033</v>
      </c>
      <c r="F26" s="255">
        <f>IFERROR(__xludf.DUMMYFUNCTION("""COMPUTED_VALUE"""),7.0)</f>
        <v>7</v>
      </c>
      <c r="G26" s="255">
        <f>IFERROR(__xludf.DUMMYFUNCTION("""COMPUTED_VALUE"""),2.0)</f>
        <v>2</v>
      </c>
      <c r="H26" s="256">
        <f>IFERROR(__xludf.DUMMYFUNCTION("""COMPUTED_VALUE"""),168.07999999999998)</f>
        <v>168.08</v>
      </c>
      <c r="I26" s="256">
        <f>IFERROR(__xludf.DUMMYFUNCTION("""COMPUTED_VALUE"""),941.248)</f>
        <v>941.248</v>
      </c>
      <c r="J26" s="257">
        <f t="shared" si="1"/>
        <v>14</v>
      </c>
      <c r="K26" s="253"/>
      <c r="L26" s="253"/>
      <c r="M26" s="252"/>
      <c r="N26" s="258"/>
      <c r="O26" s="259"/>
      <c r="P26" s="259"/>
      <c r="Q26" s="257"/>
      <c r="R26" s="260"/>
      <c r="S26" s="260"/>
      <c r="T26" s="260"/>
      <c r="U26" s="261"/>
      <c r="V26" s="251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>
      <c r="A27" s="251">
        <f>IFERROR(__xludf.DUMMYFUNCTION("""COMPUTED_VALUE"""),7729232.0)</f>
        <v>7729232</v>
      </c>
      <c r="B27" s="252" t="str">
        <f>IFERROR(__xludf.DUMMYFUNCTION("""COMPUTED_VALUE"""),"BookingCom")</f>
        <v>BookingCom</v>
      </c>
      <c r="C27" s="253" t="str">
        <f>IFERROR(__xludf.DUMMYFUNCTION("""COMPUTED_VALUE"""),"Maria Edeltraud Boxleitner ")</f>
        <v>Maria Edeltraud Boxleitner </v>
      </c>
      <c r="D27" s="254">
        <f>IFERROR(__xludf.DUMMYFUNCTION("""COMPUTED_VALUE"""),46026.0)</f>
        <v>46026</v>
      </c>
      <c r="E27" s="251">
        <f>IFERROR(__xludf.DUMMYFUNCTION("""COMPUTED_VALUE"""),46033.0)</f>
        <v>46033</v>
      </c>
      <c r="F27" s="255">
        <f>IFERROR(__xludf.DUMMYFUNCTION("""COMPUTED_VALUE"""),7.0)</f>
        <v>7</v>
      </c>
      <c r="G27" s="255">
        <f>IFERROR(__xludf.DUMMYFUNCTION("""COMPUTED_VALUE"""),1.0)</f>
        <v>1</v>
      </c>
      <c r="H27" s="256">
        <f>IFERROR(__xludf.DUMMYFUNCTION("""COMPUTED_VALUE"""),168.24)</f>
        <v>168.24</v>
      </c>
      <c r="I27" s="256">
        <f>IFERROR(__xludf.DUMMYFUNCTION("""COMPUTED_VALUE"""),942.1440000000001)</f>
        <v>942.144</v>
      </c>
      <c r="J27" s="257">
        <f t="shared" si="1"/>
        <v>7</v>
      </c>
      <c r="K27" s="253"/>
      <c r="L27" s="253"/>
      <c r="M27" s="252"/>
      <c r="N27" s="258"/>
      <c r="O27" s="259"/>
      <c r="P27" s="259"/>
      <c r="Q27" s="262"/>
      <c r="R27" s="260"/>
      <c r="S27" s="260"/>
      <c r="T27" s="260"/>
      <c r="U27" s="261"/>
      <c r="V27" s="251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>
      <c r="A28" s="251">
        <f>IFERROR(__xludf.DUMMYFUNCTION("""COMPUTED_VALUE"""),7735462.0)</f>
        <v>7735462</v>
      </c>
      <c r="B28" s="252" t="str">
        <f>IFERROR(__xludf.DUMMYFUNCTION("""COMPUTED_VALUE"""),"BookingCom")</f>
        <v>BookingCom</v>
      </c>
      <c r="C28" s="253" t="str">
        <f>IFERROR(__xludf.DUMMYFUNCTION("""COMPUTED_VALUE"""),"Thomas Birner ")</f>
        <v>Thomas Birner </v>
      </c>
      <c r="D28" s="254">
        <f>IFERROR(__xludf.DUMMYFUNCTION("""COMPUTED_VALUE"""),46026.0)</f>
        <v>46026</v>
      </c>
      <c r="E28" s="251">
        <f>IFERROR(__xludf.DUMMYFUNCTION("""COMPUTED_VALUE"""),46027.0)</f>
        <v>46027</v>
      </c>
      <c r="F28" s="255">
        <f>IFERROR(__xludf.DUMMYFUNCTION("""COMPUTED_VALUE"""),1.0)</f>
        <v>1</v>
      </c>
      <c r="G28" s="255">
        <f>IFERROR(__xludf.DUMMYFUNCTION("""COMPUTED_VALUE"""),2.0)</f>
        <v>2</v>
      </c>
      <c r="H28" s="256">
        <f>IFERROR(__xludf.DUMMYFUNCTION("""COMPUTED_VALUE"""),192.3)</f>
        <v>192.3</v>
      </c>
      <c r="I28" s="256">
        <f>IFERROR(__xludf.DUMMYFUNCTION("""COMPUTED_VALUE"""),153.84000000000003)</f>
        <v>153.84</v>
      </c>
      <c r="J28" s="257">
        <f t="shared" si="1"/>
        <v>2</v>
      </c>
      <c r="K28" s="253"/>
      <c r="L28" s="253"/>
      <c r="M28" s="252"/>
      <c r="N28" s="258"/>
      <c r="O28" s="259"/>
      <c r="P28" s="259"/>
      <c r="Q28" s="257"/>
      <c r="R28" s="260"/>
      <c r="S28" s="260"/>
      <c r="T28" s="260"/>
      <c r="U28" s="261"/>
      <c r="V28" s="251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>
      <c r="A29" s="251">
        <f>IFERROR(__xludf.DUMMYFUNCTION("""COMPUTED_VALUE"""),7735820.0)</f>
        <v>7735820</v>
      </c>
      <c r="B29" s="252" t="str">
        <f>IFERROR(__xludf.DUMMYFUNCTION("""COMPUTED_VALUE"""),"BookingCom")</f>
        <v>BookingCom</v>
      </c>
      <c r="C29" s="253" t="str">
        <f>IFERROR(__xludf.DUMMYFUNCTION("""COMPUTED_VALUE"""),"Alin Cozma ")</f>
        <v>Alin Cozma </v>
      </c>
      <c r="D29" s="254">
        <f>IFERROR(__xludf.DUMMYFUNCTION("""COMPUTED_VALUE"""),46026.0)</f>
        <v>46026</v>
      </c>
      <c r="E29" s="251">
        <f>IFERROR(__xludf.DUMMYFUNCTION("""COMPUTED_VALUE"""),46029.0)</f>
        <v>46029</v>
      </c>
      <c r="F29" s="255">
        <f>IFERROR(__xludf.DUMMYFUNCTION("""COMPUTED_VALUE"""),3.0)</f>
        <v>3</v>
      </c>
      <c r="G29" s="255">
        <f>IFERROR(__xludf.DUMMYFUNCTION("""COMPUTED_VALUE"""),2.0)</f>
        <v>2</v>
      </c>
      <c r="H29" s="256">
        <f>IFERROR(__xludf.DUMMYFUNCTION("""COMPUTED_VALUE"""),174.55999999999997)</f>
        <v>174.56</v>
      </c>
      <c r="I29" s="256">
        <f>IFERROR(__xludf.DUMMYFUNCTION("""COMPUTED_VALUE"""),418.94399999999996)</f>
        <v>418.944</v>
      </c>
      <c r="J29" s="257">
        <f t="shared" si="1"/>
        <v>6</v>
      </c>
      <c r="K29" s="253"/>
      <c r="L29" s="253"/>
      <c r="M29" s="275"/>
      <c r="N29" s="258"/>
      <c r="O29" s="259"/>
      <c r="P29" s="259"/>
      <c r="Q29" s="262"/>
      <c r="R29" s="260"/>
      <c r="S29" s="260"/>
      <c r="T29" s="260"/>
      <c r="U29" s="261"/>
      <c r="V29" s="251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>
      <c r="A30" s="251">
        <f>IFERROR(__xludf.DUMMYFUNCTION("""COMPUTED_VALUE"""),7986963.0)</f>
        <v>7986963</v>
      </c>
      <c r="B30" s="252" t="str">
        <f>IFERROR(__xludf.DUMMYFUNCTION("""COMPUTED_VALUE"""),"Reseliva")</f>
        <v>Reseliva</v>
      </c>
      <c r="C30" s="253" t="str">
        <f>IFERROR(__xludf.DUMMYFUNCTION("""COMPUTED_VALUE"""),"Sandra Rizzi ")</f>
        <v>Sandra Rizzi </v>
      </c>
      <c r="D30" s="254">
        <f>IFERROR(__xludf.DUMMYFUNCTION("""COMPUTED_VALUE"""),46026.0)</f>
        <v>46026</v>
      </c>
      <c r="E30" s="251">
        <f>IFERROR(__xludf.DUMMYFUNCTION("""COMPUTED_VALUE"""),46027.0)</f>
        <v>46027</v>
      </c>
      <c r="F30" s="255">
        <f>IFERROR(__xludf.DUMMYFUNCTION("""COMPUTED_VALUE"""),1.0)</f>
        <v>1</v>
      </c>
      <c r="G30" s="255">
        <f>IFERROR(__xludf.DUMMYFUNCTION("""COMPUTED_VALUE"""),2.0)</f>
        <v>2</v>
      </c>
      <c r="H30" s="256">
        <f>IFERROR(__xludf.DUMMYFUNCTION("""COMPUTED_VALUE"""),275.04)</f>
        <v>275.04</v>
      </c>
      <c r="I30" s="256">
        <f>IFERROR(__xludf.DUMMYFUNCTION("""COMPUTED_VALUE"""),272.2896)</f>
        <v>272.2896</v>
      </c>
      <c r="J30" s="257">
        <f t="shared" si="1"/>
        <v>2</v>
      </c>
      <c r="K30" s="253"/>
      <c r="L30" s="253"/>
      <c r="M30" s="252"/>
      <c r="N30" s="258"/>
      <c r="O30" s="259"/>
      <c r="P30" s="259"/>
      <c r="Q30" s="262"/>
      <c r="R30" s="260"/>
      <c r="S30" s="260"/>
      <c r="T30" s="260"/>
      <c r="U30" s="261"/>
      <c r="V30" s="251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>
      <c r="A31" s="251">
        <f>IFERROR(__xludf.DUMMYFUNCTION("""COMPUTED_VALUE"""),7735472.0)</f>
        <v>7735472</v>
      </c>
      <c r="B31" s="252" t="str">
        <f>IFERROR(__xludf.DUMMYFUNCTION("""COMPUTED_VALUE"""),"BookingCom")</f>
        <v>BookingCom</v>
      </c>
      <c r="C31" s="253" t="str">
        <f>IFERROR(__xludf.DUMMYFUNCTION("""COMPUTED_VALUE"""),"Thomas Birner ")</f>
        <v>Thomas Birner </v>
      </c>
      <c r="D31" s="254">
        <f>IFERROR(__xludf.DUMMYFUNCTION("""COMPUTED_VALUE"""),46027.0)</f>
        <v>46027</v>
      </c>
      <c r="E31" s="251">
        <f>IFERROR(__xludf.DUMMYFUNCTION("""COMPUTED_VALUE"""),46029.0)</f>
        <v>46029</v>
      </c>
      <c r="F31" s="255">
        <f>IFERROR(__xludf.DUMMYFUNCTION("""COMPUTED_VALUE"""),2.0)</f>
        <v>2</v>
      </c>
      <c r="G31" s="255">
        <f>IFERROR(__xludf.DUMMYFUNCTION("""COMPUTED_VALUE"""),2.0)</f>
        <v>2</v>
      </c>
      <c r="H31" s="256">
        <f>IFERROR(__xludf.DUMMYFUNCTION("""COMPUTED_VALUE"""),212.85)</f>
        <v>212.85</v>
      </c>
      <c r="I31" s="256">
        <f>IFERROR(__xludf.DUMMYFUNCTION("""COMPUTED_VALUE"""),340.56)</f>
        <v>340.56</v>
      </c>
      <c r="J31" s="257">
        <f t="shared" si="1"/>
        <v>4</v>
      </c>
      <c r="K31" s="253"/>
      <c r="L31" s="253"/>
      <c r="M31" s="252"/>
      <c r="N31" s="258"/>
      <c r="O31" s="259"/>
      <c r="P31" s="259"/>
      <c r="Q31" s="262"/>
      <c r="R31" s="260"/>
      <c r="S31" s="260"/>
      <c r="T31" s="260"/>
      <c r="U31" s="261"/>
      <c r="V31" s="251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>
      <c r="A32" s="251">
        <f>IFERROR(__xludf.DUMMYFUNCTION("""COMPUTED_VALUE"""),7791318.0)</f>
        <v>7791318</v>
      </c>
      <c r="B32" s="252" t="str">
        <f>IFERROR(__xludf.DUMMYFUNCTION("""COMPUTED_VALUE"""),"BookingCom")</f>
        <v>BookingCom</v>
      </c>
      <c r="C32" s="253" t="str">
        <f>IFERROR(__xludf.DUMMYFUNCTION("""COMPUTED_VALUE"""),"Sandra Rizzi ")</f>
        <v>Sandra Rizzi </v>
      </c>
      <c r="D32" s="254">
        <f>IFERROR(__xludf.DUMMYFUNCTION("""COMPUTED_VALUE"""),46027.0)</f>
        <v>46027</v>
      </c>
      <c r="E32" s="251">
        <f>IFERROR(__xludf.DUMMYFUNCTION("""COMPUTED_VALUE"""),46028.0)</f>
        <v>46028</v>
      </c>
      <c r="F32" s="255">
        <f>IFERROR(__xludf.DUMMYFUNCTION("""COMPUTED_VALUE"""),1.0)</f>
        <v>1</v>
      </c>
      <c r="G32" s="255">
        <f>IFERROR(__xludf.DUMMYFUNCTION("""COMPUTED_VALUE"""),2.0)</f>
        <v>2</v>
      </c>
      <c r="H32" s="256">
        <f>IFERROR(__xludf.DUMMYFUNCTION("""COMPUTED_VALUE"""),150.95)</f>
        <v>150.95</v>
      </c>
      <c r="I32" s="256">
        <f>IFERROR(__xludf.DUMMYFUNCTION("""COMPUTED_VALUE"""),120.75999999999999)</f>
        <v>120.76</v>
      </c>
      <c r="J32" s="257">
        <f t="shared" si="1"/>
        <v>2</v>
      </c>
      <c r="K32" s="253"/>
      <c r="L32" s="253"/>
      <c r="M32" s="252"/>
      <c r="N32" s="258"/>
      <c r="O32" s="259"/>
      <c r="P32" s="259"/>
      <c r="Q32" s="257"/>
      <c r="R32" s="260"/>
      <c r="S32" s="260"/>
      <c r="T32" s="260"/>
      <c r="U32" s="261"/>
      <c r="V32" s="251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>
      <c r="A33" s="251">
        <f>IFERROR(__xludf.DUMMYFUNCTION("""COMPUTED_VALUE"""),7820179.0)</f>
        <v>7820179</v>
      </c>
      <c r="B33" s="252" t="str">
        <f>IFERROR(__xludf.DUMMYFUNCTION("""COMPUTED_VALUE"""),"Reseliva")</f>
        <v>Reseliva</v>
      </c>
      <c r="C33" s="253" t="str">
        <f>IFERROR(__xludf.DUMMYFUNCTION("""COMPUTED_VALUE"""),"lejla salkic ")</f>
        <v>lejla salkic </v>
      </c>
      <c r="D33" s="254">
        <f>IFERROR(__xludf.DUMMYFUNCTION("""COMPUTED_VALUE"""),46027.0)</f>
        <v>46027</v>
      </c>
      <c r="E33" s="251">
        <f>IFERROR(__xludf.DUMMYFUNCTION("""COMPUTED_VALUE"""),46031.0)</f>
        <v>46031</v>
      </c>
      <c r="F33" s="255">
        <f>IFERROR(__xludf.DUMMYFUNCTION("""COMPUTED_VALUE"""),4.0)</f>
        <v>4</v>
      </c>
      <c r="G33" s="255">
        <f>IFERROR(__xludf.DUMMYFUNCTION("""COMPUTED_VALUE"""),2.0)</f>
        <v>2</v>
      </c>
      <c r="H33" s="256">
        <f>IFERROR(__xludf.DUMMYFUNCTION("""COMPUTED_VALUE"""),249.84)</f>
        <v>249.84</v>
      </c>
      <c r="I33" s="256">
        <f>IFERROR(__xludf.DUMMYFUNCTION("""COMPUTED_VALUE"""),989.3664)</f>
        <v>989.3664</v>
      </c>
      <c r="J33" s="257">
        <f t="shared" si="1"/>
        <v>8</v>
      </c>
      <c r="K33" s="253"/>
      <c r="L33" s="253"/>
      <c r="M33" s="252"/>
      <c r="N33" s="258"/>
      <c r="O33" s="259"/>
      <c r="P33" s="259"/>
      <c r="Q33" s="262"/>
      <c r="R33" s="260"/>
      <c r="S33" s="260"/>
      <c r="T33" s="260"/>
      <c r="U33" s="261"/>
      <c r="V33" s="251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>
      <c r="A34" s="251">
        <f>IFERROR(__xludf.DUMMYFUNCTION("""COMPUTED_VALUE"""),7688474.0)</f>
        <v>7688474</v>
      </c>
      <c r="B34" s="252" t="str">
        <f>IFERROR(__xludf.DUMMYFUNCTION("""COMPUTED_VALUE"""),"BookingCom")</f>
        <v>BookingCom</v>
      </c>
      <c r="C34" s="253" t="str">
        <f>IFERROR(__xludf.DUMMYFUNCTION("""COMPUTED_VALUE"""),"Matteo Sottana ")</f>
        <v>Matteo Sottana </v>
      </c>
      <c r="D34" s="254">
        <f>IFERROR(__xludf.DUMMYFUNCTION("""COMPUTED_VALUE"""),46029.0)</f>
        <v>46029</v>
      </c>
      <c r="E34" s="251">
        <f>IFERROR(__xludf.DUMMYFUNCTION("""COMPUTED_VALUE"""),46032.0)</f>
        <v>46032</v>
      </c>
      <c r="F34" s="255">
        <f>IFERROR(__xludf.DUMMYFUNCTION("""COMPUTED_VALUE"""),3.0)</f>
        <v>3</v>
      </c>
      <c r="G34" s="255">
        <f>IFERROR(__xludf.DUMMYFUNCTION("""COMPUTED_VALUE"""),2.0)</f>
        <v>2</v>
      </c>
      <c r="H34" s="256">
        <f>IFERROR(__xludf.DUMMYFUNCTION("""COMPUTED_VALUE"""),156.83)</f>
        <v>156.83</v>
      </c>
      <c r="I34" s="256">
        <f>IFERROR(__xludf.DUMMYFUNCTION("""COMPUTED_VALUE"""),376.39200000000005)</f>
        <v>376.392</v>
      </c>
      <c r="J34" s="257">
        <f t="shared" si="1"/>
        <v>6</v>
      </c>
      <c r="K34" s="253"/>
      <c r="L34" s="253"/>
      <c r="M34" s="252"/>
      <c r="N34" s="258"/>
      <c r="O34" s="259"/>
      <c r="P34" s="259"/>
      <c r="Q34" s="262"/>
      <c r="R34" s="260"/>
      <c r="S34" s="260"/>
      <c r="T34" s="260"/>
      <c r="U34" s="261"/>
      <c r="V34" s="251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>
      <c r="A35" s="251">
        <f>IFERROR(__xludf.DUMMYFUNCTION("""COMPUTED_VALUE"""),7853656.0)</f>
        <v>7853656</v>
      </c>
      <c r="B35" s="252" t="str">
        <f>IFERROR(__xludf.DUMMYFUNCTION("""COMPUTED_VALUE"""),"BookingCom")</f>
        <v>BookingCom</v>
      </c>
      <c r="C35" s="253" t="str">
        <f>IFERROR(__xludf.DUMMYFUNCTION("""COMPUTED_VALUE"""),"Daan van Zon ")</f>
        <v>Daan van Zon </v>
      </c>
      <c r="D35" s="254">
        <f>IFERROR(__xludf.DUMMYFUNCTION("""COMPUTED_VALUE"""),46029.0)</f>
        <v>46029</v>
      </c>
      <c r="E35" s="251">
        <f>IFERROR(__xludf.DUMMYFUNCTION("""COMPUTED_VALUE"""),46031.0)</f>
        <v>46031</v>
      </c>
      <c r="F35" s="255">
        <f>IFERROR(__xludf.DUMMYFUNCTION("""COMPUTED_VALUE"""),2.0)</f>
        <v>2</v>
      </c>
      <c r="G35" s="255">
        <f>IFERROR(__xludf.DUMMYFUNCTION("""COMPUTED_VALUE"""),2.0)</f>
        <v>2</v>
      </c>
      <c r="H35" s="256">
        <f>IFERROR(__xludf.DUMMYFUNCTION("""COMPUTED_VALUE"""),156.26)</f>
        <v>156.26</v>
      </c>
      <c r="I35" s="256">
        <f>IFERROR(__xludf.DUMMYFUNCTION("""COMPUTED_VALUE"""),250.016)</f>
        <v>250.016</v>
      </c>
      <c r="J35" s="257">
        <f t="shared" si="1"/>
        <v>4</v>
      </c>
      <c r="K35" s="253"/>
      <c r="L35" s="253"/>
      <c r="M35" s="252"/>
      <c r="N35" s="258"/>
      <c r="O35" s="259"/>
      <c r="P35" s="259"/>
      <c r="Q35" s="262"/>
      <c r="R35" s="260"/>
      <c r="S35" s="260"/>
      <c r="T35" s="260"/>
      <c r="U35" s="261"/>
      <c r="V35" s="251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>
      <c r="A36" s="251">
        <f>IFERROR(__xludf.DUMMYFUNCTION("""COMPUTED_VALUE"""),7860704.0)</f>
        <v>7860704</v>
      </c>
      <c r="B36" s="252" t="str">
        <f>IFERROR(__xludf.DUMMYFUNCTION("""COMPUTED_VALUE"""),"BookingCom")</f>
        <v>BookingCom</v>
      </c>
      <c r="C36" s="253" t="str">
        <f>IFERROR(__xludf.DUMMYFUNCTION("""COMPUTED_VALUE"""),"Shaif Ahmed ")</f>
        <v>Shaif Ahmed </v>
      </c>
      <c r="D36" s="254">
        <f>IFERROR(__xludf.DUMMYFUNCTION("""COMPUTED_VALUE"""),46029.0)</f>
        <v>46029</v>
      </c>
      <c r="E36" s="251">
        <f>IFERROR(__xludf.DUMMYFUNCTION("""COMPUTED_VALUE"""),46033.0)</f>
        <v>46033</v>
      </c>
      <c r="F36" s="255">
        <f>IFERROR(__xludf.DUMMYFUNCTION("""COMPUTED_VALUE"""),4.0)</f>
        <v>4</v>
      </c>
      <c r="G36" s="255">
        <f>IFERROR(__xludf.DUMMYFUNCTION("""COMPUTED_VALUE"""),2.0)</f>
        <v>2</v>
      </c>
      <c r="H36" s="256">
        <f>IFERROR(__xludf.DUMMYFUNCTION("""COMPUTED_VALUE"""),210.23)</f>
        <v>210.23</v>
      </c>
      <c r="I36" s="256">
        <f>IFERROR(__xludf.DUMMYFUNCTION("""COMPUTED_VALUE"""),672.736)</f>
        <v>672.736</v>
      </c>
      <c r="J36" s="257">
        <f t="shared" si="1"/>
        <v>8</v>
      </c>
      <c r="K36" s="253"/>
      <c r="L36" s="253"/>
      <c r="M36" s="275"/>
      <c r="N36" s="258"/>
      <c r="O36" s="259"/>
      <c r="P36" s="259"/>
      <c r="Q36" s="262"/>
      <c r="R36" s="260"/>
      <c r="S36" s="260"/>
      <c r="T36" s="260"/>
      <c r="U36" s="261"/>
      <c r="V36" s="251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>
      <c r="A37" s="251">
        <f>IFERROR(__xludf.DUMMYFUNCTION("""COMPUTED_VALUE"""),7874589.0)</f>
        <v>7874589</v>
      </c>
      <c r="B37" s="252" t="str">
        <f>IFERROR(__xludf.DUMMYFUNCTION("""COMPUTED_VALUE"""),"BookingCom")</f>
        <v>BookingCom</v>
      </c>
      <c r="C37" s="253" t="str">
        <f>IFERROR(__xludf.DUMMYFUNCTION("""COMPUTED_VALUE"""),"Mirjam Blasing ")</f>
        <v>Mirjam Blasing </v>
      </c>
      <c r="D37" s="254">
        <f>IFERROR(__xludf.DUMMYFUNCTION("""COMPUTED_VALUE"""),46029.0)</f>
        <v>46029</v>
      </c>
      <c r="E37" s="251">
        <f>IFERROR(__xludf.DUMMYFUNCTION("""COMPUTED_VALUE"""),46031.0)</f>
        <v>46031</v>
      </c>
      <c r="F37" s="255">
        <f>IFERROR(__xludf.DUMMYFUNCTION("""COMPUTED_VALUE"""),2.0)</f>
        <v>2</v>
      </c>
      <c r="G37" s="255">
        <f>IFERROR(__xludf.DUMMYFUNCTION("""COMPUTED_VALUE"""),2.0)</f>
        <v>2</v>
      </c>
      <c r="H37" s="256">
        <f>IFERROR(__xludf.DUMMYFUNCTION("""COMPUTED_VALUE"""),183.6)</f>
        <v>183.6</v>
      </c>
      <c r="I37" s="256">
        <f>IFERROR(__xludf.DUMMYFUNCTION("""COMPUTED_VALUE"""),293.76)</f>
        <v>293.76</v>
      </c>
      <c r="J37" s="257">
        <f t="shared" si="1"/>
        <v>4</v>
      </c>
      <c r="K37" s="253"/>
      <c r="L37" s="253"/>
      <c r="M37" s="252"/>
      <c r="N37" s="258"/>
      <c r="O37" s="259"/>
      <c r="P37" s="259"/>
      <c r="Q37" s="262"/>
      <c r="R37" s="260"/>
      <c r="S37" s="260"/>
      <c r="T37" s="260"/>
      <c r="U37" s="261"/>
      <c r="V37" s="251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>
      <c r="A38" s="251">
        <f>IFERROR(__xludf.DUMMYFUNCTION("""COMPUTED_VALUE"""),7874546.0)</f>
        <v>7874546</v>
      </c>
      <c r="B38" s="252" t="str">
        <f>IFERROR(__xludf.DUMMYFUNCTION("""COMPUTED_VALUE"""),"A-Expedia Affiliate Network")</f>
        <v>A-Expedia Affiliate Network</v>
      </c>
      <c r="C38" s="253" t="str">
        <f>IFERROR(__xludf.DUMMYFUNCTION("""COMPUTED_VALUE"""),"Guillaume PASSARD ")</f>
        <v>Guillaume PASSARD </v>
      </c>
      <c r="D38" s="254">
        <f>IFERROR(__xludf.DUMMYFUNCTION("""COMPUTED_VALUE"""),46030.0)</f>
        <v>46030</v>
      </c>
      <c r="E38" s="251">
        <f>IFERROR(__xludf.DUMMYFUNCTION("""COMPUTED_VALUE"""),46031.0)</f>
        <v>46031</v>
      </c>
      <c r="F38" s="255">
        <f>IFERROR(__xludf.DUMMYFUNCTION("""COMPUTED_VALUE"""),1.0)</f>
        <v>1</v>
      </c>
      <c r="G38" s="255">
        <f>IFERROR(__xludf.DUMMYFUNCTION("""COMPUTED_VALUE"""),1.0)</f>
        <v>1</v>
      </c>
      <c r="H38" s="256">
        <f>IFERROR(__xludf.DUMMYFUNCTION("""COMPUTED_VALUE"""),277.6)</f>
        <v>277.6</v>
      </c>
      <c r="I38" s="256">
        <f>IFERROR(__xludf.DUMMYFUNCTION("""COMPUTED_VALUE"""),222.08000000000004)</f>
        <v>222.08</v>
      </c>
      <c r="J38" s="257">
        <f t="shared" si="1"/>
        <v>1</v>
      </c>
      <c r="K38" s="253"/>
      <c r="L38" s="253"/>
      <c r="M38" s="252"/>
      <c r="N38" s="258"/>
      <c r="O38" s="259"/>
      <c r="P38" s="259"/>
      <c r="Q38" s="262"/>
      <c r="R38" s="260"/>
      <c r="S38" s="260"/>
      <c r="T38" s="260"/>
      <c r="U38" s="261"/>
      <c r="V38" s="251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>
      <c r="A39" s="251">
        <f>IFERROR(__xludf.DUMMYFUNCTION("""COMPUTED_VALUE"""),7760905.0)</f>
        <v>7760905</v>
      </c>
      <c r="B39" s="252" t="str">
        <f>IFERROR(__xludf.DUMMYFUNCTION("""COMPUTED_VALUE"""),"Reseliva")</f>
        <v>Reseliva</v>
      </c>
      <c r="C39" s="253" t="str">
        <f>IFERROR(__xludf.DUMMYFUNCTION("""COMPUTED_VALUE"""),"Richard Chute ")</f>
        <v>Richard Chute </v>
      </c>
      <c r="D39" s="254">
        <f>IFERROR(__xludf.DUMMYFUNCTION("""COMPUTED_VALUE"""),46031.0)</f>
        <v>46031</v>
      </c>
      <c r="E39" s="251">
        <f>IFERROR(__xludf.DUMMYFUNCTION("""COMPUTED_VALUE"""),46032.0)</f>
        <v>46032</v>
      </c>
      <c r="F39" s="255">
        <f>IFERROR(__xludf.DUMMYFUNCTION("""COMPUTED_VALUE"""),1.0)</f>
        <v>1</v>
      </c>
      <c r="G39" s="255">
        <f>IFERROR(__xludf.DUMMYFUNCTION("""COMPUTED_VALUE"""),2.0)</f>
        <v>2</v>
      </c>
      <c r="H39" s="256">
        <f>IFERROR(__xludf.DUMMYFUNCTION("""COMPUTED_VALUE"""),203.0)</f>
        <v>203</v>
      </c>
      <c r="I39" s="256">
        <f>IFERROR(__xludf.DUMMYFUNCTION("""COMPUTED_VALUE"""),200.97)</f>
        <v>200.97</v>
      </c>
      <c r="J39" s="257">
        <f t="shared" si="1"/>
        <v>2</v>
      </c>
      <c r="K39" s="253"/>
      <c r="L39" s="253"/>
      <c r="M39" s="275"/>
      <c r="N39" s="258"/>
      <c r="O39" s="259"/>
      <c r="P39" s="259"/>
      <c r="Q39" s="257"/>
      <c r="R39" s="260"/>
      <c r="S39" s="260"/>
      <c r="T39" s="260"/>
      <c r="U39" s="261"/>
      <c r="V39" s="251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>
      <c r="A40" s="251">
        <f>IFERROR(__xludf.DUMMYFUNCTION("""COMPUTED_VALUE"""),7855883.0)</f>
        <v>7855883</v>
      </c>
      <c r="B40" s="252" t="str">
        <f>IFERROR(__xludf.DUMMYFUNCTION("""COMPUTED_VALUE"""),"BookingCom")</f>
        <v>BookingCom</v>
      </c>
      <c r="C40" s="253" t="str">
        <f>IFERROR(__xludf.DUMMYFUNCTION("""COMPUTED_VALUE"""),"Ka Ho Yip ")</f>
        <v>Ka Ho Yip </v>
      </c>
      <c r="D40" s="254">
        <f>IFERROR(__xludf.DUMMYFUNCTION("""COMPUTED_VALUE"""),46031.0)</f>
        <v>46031</v>
      </c>
      <c r="E40" s="251">
        <f>IFERROR(__xludf.DUMMYFUNCTION("""COMPUTED_VALUE"""),46032.0)</f>
        <v>46032</v>
      </c>
      <c r="F40" s="255">
        <f>IFERROR(__xludf.DUMMYFUNCTION("""COMPUTED_VALUE"""),1.0)</f>
        <v>1</v>
      </c>
      <c r="G40" s="255">
        <f>IFERROR(__xludf.DUMMYFUNCTION("""COMPUTED_VALUE"""),2.0)</f>
        <v>2</v>
      </c>
      <c r="H40" s="256">
        <f>IFERROR(__xludf.DUMMYFUNCTION("""COMPUTED_VALUE"""),190.81)</f>
        <v>190.81</v>
      </c>
      <c r="I40" s="256">
        <f>IFERROR(__xludf.DUMMYFUNCTION("""COMPUTED_VALUE"""),152.648)</f>
        <v>152.648</v>
      </c>
      <c r="J40" s="257">
        <f t="shared" si="1"/>
        <v>2</v>
      </c>
      <c r="K40" s="253"/>
      <c r="L40" s="253"/>
      <c r="M40" s="252"/>
      <c r="N40" s="258"/>
      <c r="O40" s="259"/>
      <c r="P40" s="259"/>
      <c r="Q40" s="262"/>
      <c r="R40" s="260"/>
      <c r="S40" s="260"/>
      <c r="T40" s="260"/>
      <c r="U40" s="261"/>
      <c r="V40" s="251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>
      <c r="A41" s="251">
        <f>IFERROR(__xludf.DUMMYFUNCTION("""COMPUTED_VALUE"""),7750399.0)</f>
        <v>7750399</v>
      </c>
      <c r="B41" s="252" t="str">
        <f>IFERROR(__xludf.DUMMYFUNCTION("""COMPUTED_VALUE"""),"BookingCom")</f>
        <v>BookingCom</v>
      </c>
      <c r="C41" s="253" t="str">
        <f>IFERROR(__xludf.DUMMYFUNCTION("""COMPUTED_VALUE"""),"Marilyn Moreau ")</f>
        <v>Marilyn Moreau </v>
      </c>
      <c r="D41" s="254">
        <f>IFERROR(__xludf.DUMMYFUNCTION("""COMPUTED_VALUE"""),46032.0)</f>
        <v>46032</v>
      </c>
      <c r="E41" s="251">
        <f>IFERROR(__xludf.DUMMYFUNCTION("""COMPUTED_VALUE"""),46039.0)</f>
        <v>46039</v>
      </c>
      <c r="F41" s="255">
        <f>IFERROR(__xludf.DUMMYFUNCTION("""COMPUTED_VALUE"""),7.0)</f>
        <v>7</v>
      </c>
      <c r="G41" s="255">
        <f>IFERROR(__xludf.DUMMYFUNCTION("""COMPUTED_VALUE"""),2.0)</f>
        <v>2</v>
      </c>
      <c r="H41" s="256">
        <f>IFERROR(__xludf.DUMMYFUNCTION("""COMPUTED_VALUE"""),145.34)</f>
        <v>145.34</v>
      </c>
      <c r="I41" s="256">
        <f>IFERROR(__xludf.DUMMYFUNCTION("""COMPUTED_VALUE"""),813.904)</f>
        <v>813.904</v>
      </c>
      <c r="J41" s="257">
        <f t="shared" si="1"/>
        <v>14</v>
      </c>
      <c r="K41" s="253"/>
      <c r="L41" s="253"/>
      <c r="M41" s="275"/>
      <c r="N41" s="258"/>
      <c r="O41" s="259"/>
      <c r="P41" s="259"/>
      <c r="Q41" s="262"/>
      <c r="R41" s="260"/>
      <c r="S41" s="260"/>
      <c r="T41" s="260"/>
      <c r="U41" s="261"/>
      <c r="V41" s="251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>
      <c r="A42" s="251">
        <f>IFERROR(__xludf.DUMMYFUNCTION("""COMPUTED_VALUE"""),7805732.0)</f>
        <v>7805732</v>
      </c>
      <c r="B42" s="252" t="str">
        <f>IFERROR(__xludf.DUMMYFUNCTION("""COMPUTED_VALUE"""),"Reseliva")</f>
        <v>Reseliva</v>
      </c>
      <c r="C42" s="253" t="str">
        <f>IFERROR(__xludf.DUMMYFUNCTION("""COMPUTED_VALUE"""),"Naima PLMAROC ")</f>
        <v>Naima PLMAROC </v>
      </c>
      <c r="D42" s="254">
        <f>IFERROR(__xludf.DUMMYFUNCTION("""COMPUTED_VALUE"""),46032.0)</f>
        <v>46032</v>
      </c>
      <c r="E42" s="251">
        <f>IFERROR(__xludf.DUMMYFUNCTION("""COMPUTED_VALUE"""),46034.0)</f>
        <v>46034</v>
      </c>
      <c r="F42" s="255">
        <f>IFERROR(__xludf.DUMMYFUNCTION("""COMPUTED_VALUE"""),2.0)</f>
        <v>2</v>
      </c>
      <c r="G42" s="255">
        <f>IFERROR(__xludf.DUMMYFUNCTION("""COMPUTED_VALUE"""),2.0)</f>
        <v>2</v>
      </c>
      <c r="H42" s="256">
        <f>IFERROR(__xludf.DUMMYFUNCTION("""COMPUTED_VALUE"""),202.995)</f>
        <v>202.995</v>
      </c>
      <c r="I42" s="256">
        <f>IFERROR(__xludf.DUMMYFUNCTION("""COMPUTED_VALUE"""),401.9301)</f>
        <v>401.9301</v>
      </c>
      <c r="J42" s="257">
        <f t="shared" si="1"/>
        <v>4</v>
      </c>
      <c r="K42" s="253"/>
      <c r="L42" s="253"/>
      <c r="M42" s="275"/>
      <c r="N42" s="258"/>
      <c r="O42" s="259"/>
      <c r="P42" s="259"/>
      <c r="Q42" s="262"/>
      <c r="R42" s="260"/>
      <c r="S42" s="260"/>
      <c r="T42" s="260"/>
      <c r="U42" s="261"/>
      <c r="V42" s="251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>
      <c r="A43" s="251">
        <f>IFERROR(__xludf.DUMMYFUNCTION("""COMPUTED_VALUE"""),7827096.0)</f>
        <v>7827096</v>
      </c>
      <c r="B43" s="252" t="str">
        <f>IFERROR(__xludf.DUMMYFUNCTION("""COMPUTED_VALUE"""),"Reseliva")</f>
        <v>Reseliva</v>
      </c>
      <c r="C43" s="253" t="str">
        <f>IFERROR(__xludf.DUMMYFUNCTION("""COMPUTED_VALUE"""),"Naima PLMAROC ")</f>
        <v>Naima PLMAROC </v>
      </c>
      <c r="D43" s="254">
        <f>IFERROR(__xludf.DUMMYFUNCTION("""COMPUTED_VALUE"""),46032.0)</f>
        <v>46032</v>
      </c>
      <c r="E43" s="251">
        <f>IFERROR(__xludf.DUMMYFUNCTION("""COMPUTED_VALUE"""),46034.0)</f>
        <v>46034</v>
      </c>
      <c r="F43" s="255">
        <f>IFERROR(__xludf.DUMMYFUNCTION("""COMPUTED_VALUE"""),2.0)</f>
        <v>2</v>
      </c>
      <c r="G43" s="255">
        <f>IFERROR(__xludf.DUMMYFUNCTION("""COMPUTED_VALUE"""),2.0)</f>
        <v>2</v>
      </c>
      <c r="H43" s="256">
        <f>IFERROR(__xludf.DUMMYFUNCTION("""COMPUTED_VALUE"""),202.995)</f>
        <v>202.995</v>
      </c>
      <c r="I43" s="256">
        <f>IFERROR(__xludf.DUMMYFUNCTION("""COMPUTED_VALUE"""),401.9301)</f>
        <v>401.9301</v>
      </c>
      <c r="J43" s="257">
        <f t="shared" si="1"/>
        <v>4</v>
      </c>
      <c r="K43" s="253"/>
      <c r="L43" s="253"/>
      <c r="M43" s="275"/>
      <c r="N43" s="258"/>
      <c r="O43" s="259"/>
      <c r="P43" s="259"/>
      <c r="Q43" s="262"/>
      <c r="R43" s="260"/>
      <c r="S43" s="260"/>
      <c r="T43" s="260"/>
      <c r="U43" s="261"/>
      <c r="V43" s="251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>
      <c r="A44" s="251">
        <f>IFERROR(__xludf.DUMMYFUNCTION("""COMPUTED_VALUE"""),7827096.0)</f>
        <v>7827096</v>
      </c>
      <c r="B44" s="252" t="str">
        <f>IFERROR(__xludf.DUMMYFUNCTION("""COMPUTED_VALUE"""),"Reseliva")</f>
        <v>Reseliva</v>
      </c>
      <c r="C44" s="253" t="str">
        <f>IFERROR(__xludf.DUMMYFUNCTION("""COMPUTED_VALUE"""),"Naima PLMAROC ")</f>
        <v>Naima PLMAROC </v>
      </c>
      <c r="D44" s="254">
        <f>IFERROR(__xludf.DUMMYFUNCTION("""COMPUTED_VALUE"""),46032.0)</f>
        <v>46032</v>
      </c>
      <c r="E44" s="251">
        <f>IFERROR(__xludf.DUMMYFUNCTION("""COMPUTED_VALUE"""),46034.0)</f>
        <v>46034</v>
      </c>
      <c r="F44" s="255">
        <f>IFERROR(__xludf.DUMMYFUNCTION("""COMPUTED_VALUE"""),2.0)</f>
        <v>2</v>
      </c>
      <c r="G44" s="255">
        <f>IFERROR(__xludf.DUMMYFUNCTION("""COMPUTED_VALUE"""),2.0)</f>
        <v>2</v>
      </c>
      <c r="H44" s="256">
        <f>IFERROR(__xludf.DUMMYFUNCTION("""COMPUTED_VALUE"""),202.995)</f>
        <v>202.995</v>
      </c>
      <c r="I44" s="256">
        <f>IFERROR(__xludf.DUMMYFUNCTION("""COMPUTED_VALUE"""),401.9301)</f>
        <v>401.9301</v>
      </c>
      <c r="J44" s="257">
        <f t="shared" si="1"/>
        <v>4</v>
      </c>
      <c r="K44" s="253"/>
      <c r="L44" s="253"/>
      <c r="M44" s="275"/>
      <c r="N44" s="258"/>
      <c r="O44" s="259"/>
      <c r="P44" s="259"/>
      <c r="Q44" s="262"/>
      <c r="R44" s="260"/>
      <c r="S44" s="260"/>
      <c r="T44" s="260"/>
      <c r="U44" s="261"/>
      <c r="V44" s="251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>
      <c r="A45" s="251">
        <f>IFERROR(__xludf.DUMMYFUNCTION("""COMPUTED_VALUE"""),7827096.0)</f>
        <v>7827096</v>
      </c>
      <c r="B45" s="252" t="str">
        <f>IFERROR(__xludf.DUMMYFUNCTION("""COMPUTED_VALUE"""),"Reseliva")</f>
        <v>Reseliva</v>
      </c>
      <c r="C45" s="253" t="str">
        <f>IFERROR(__xludf.DUMMYFUNCTION("""COMPUTED_VALUE"""),"Naima PLMAROC ")</f>
        <v>Naima PLMAROC </v>
      </c>
      <c r="D45" s="254">
        <f>IFERROR(__xludf.DUMMYFUNCTION("""COMPUTED_VALUE"""),46032.0)</f>
        <v>46032</v>
      </c>
      <c r="E45" s="251">
        <f>IFERROR(__xludf.DUMMYFUNCTION("""COMPUTED_VALUE"""),46034.0)</f>
        <v>46034</v>
      </c>
      <c r="F45" s="255">
        <f>IFERROR(__xludf.DUMMYFUNCTION("""COMPUTED_VALUE"""),2.0)</f>
        <v>2</v>
      </c>
      <c r="G45" s="255">
        <f>IFERROR(__xludf.DUMMYFUNCTION("""COMPUTED_VALUE"""),2.0)</f>
        <v>2</v>
      </c>
      <c r="H45" s="256">
        <f>IFERROR(__xludf.DUMMYFUNCTION("""COMPUTED_VALUE"""),243.945)</f>
        <v>243.945</v>
      </c>
      <c r="I45" s="256">
        <f>IFERROR(__xludf.DUMMYFUNCTION("""COMPUTED_VALUE"""),483.0111)</f>
        <v>483.0111</v>
      </c>
      <c r="J45" s="257">
        <f t="shared" si="1"/>
        <v>4</v>
      </c>
      <c r="K45" s="253"/>
      <c r="L45" s="253"/>
      <c r="M45" s="252"/>
      <c r="N45" s="258"/>
      <c r="O45" s="259"/>
      <c r="P45" s="259"/>
      <c r="Q45" s="262"/>
      <c r="R45" s="260"/>
      <c r="S45" s="260"/>
      <c r="T45" s="260"/>
      <c r="U45" s="261"/>
      <c r="V45" s="251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>
      <c r="A46" s="251">
        <f>IFERROR(__xludf.DUMMYFUNCTION("""COMPUTED_VALUE"""),8012380.0)</f>
        <v>8012380</v>
      </c>
      <c r="B46" s="252" t="str">
        <f>IFERROR(__xludf.DUMMYFUNCTION("""COMPUTED_VALUE"""),"Reseliva Pannel")</f>
        <v>Reseliva Pannel</v>
      </c>
      <c r="C46" s="253" t="str">
        <f>IFERROR(__xludf.DUMMYFUNCTION("""COMPUTED_VALUE"""),"Maryem visite marrakech ")</f>
        <v>Maryem visite marrakech </v>
      </c>
      <c r="D46" s="254">
        <f>IFERROR(__xludf.DUMMYFUNCTION("""COMPUTED_VALUE"""),46032.0)</f>
        <v>46032</v>
      </c>
      <c r="E46" s="251">
        <f>IFERROR(__xludf.DUMMYFUNCTION("""COMPUTED_VALUE"""),46034.0)</f>
        <v>46034</v>
      </c>
      <c r="F46" s="255">
        <f>IFERROR(__xludf.DUMMYFUNCTION("""COMPUTED_VALUE"""),2.0)</f>
        <v>2</v>
      </c>
      <c r="G46" s="255">
        <f>IFERROR(__xludf.DUMMYFUNCTION("""COMPUTED_VALUE"""),2.0)</f>
        <v>2</v>
      </c>
      <c r="H46" s="256">
        <f>IFERROR(__xludf.DUMMYFUNCTION("""COMPUTED_VALUE"""),599.76)</f>
        <v>599.76</v>
      </c>
      <c r="I46" s="256">
        <f>IFERROR(__xludf.DUMMYFUNCTION("""COMPUTED_VALUE"""),1199.52)</f>
        <v>1199.52</v>
      </c>
      <c r="J46" s="257">
        <f t="shared" si="1"/>
        <v>4</v>
      </c>
      <c r="K46" s="253"/>
      <c r="L46" s="253"/>
      <c r="M46" s="275"/>
      <c r="N46" s="258"/>
      <c r="O46" s="259"/>
      <c r="P46" s="259"/>
      <c r="Q46" s="262"/>
      <c r="R46" s="260"/>
      <c r="S46" s="260"/>
      <c r="T46" s="260"/>
      <c r="U46" s="261"/>
      <c r="V46" s="251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>
      <c r="A47" s="251">
        <f>IFERROR(__xludf.DUMMYFUNCTION("""COMPUTED_VALUE"""),7796000.0)</f>
        <v>7796000</v>
      </c>
      <c r="B47" s="252" t="str">
        <f>IFERROR(__xludf.DUMMYFUNCTION("""COMPUTED_VALUE"""),"BookingCom")</f>
        <v>BookingCom</v>
      </c>
      <c r="C47" s="253" t="str">
        <f>IFERROR(__xludf.DUMMYFUNCTION("""COMPUTED_VALUE"""),"CALIN POPA ")</f>
        <v>CALIN POPA </v>
      </c>
      <c r="D47" s="254">
        <f>IFERROR(__xludf.DUMMYFUNCTION("""COMPUTED_VALUE"""),46033.0)</f>
        <v>46033</v>
      </c>
      <c r="E47" s="251">
        <f>IFERROR(__xludf.DUMMYFUNCTION("""COMPUTED_VALUE"""),46037.0)</f>
        <v>46037</v>
      </c>
      <c r="F47" s="255">
        <f>IFERROR(__xludf.DUMMYFUNCTION("""COMPUTED_VALUE"""),4.0)</f>
        <v>4</v>
      </c>
      <c r="G47" s="255">
        <f>IFERROR(__xludf.DUMMYFUNCTION("""COMPUTED_VALUE"""),2.0)</f>
        <v>2</v>
      </c>
      <c r="H47" s="256">
        <f>IFERROR(__xludf.DUMMYFUNCTION("""COMPUTED_VALUE"""),181.19)</f>
        <v>181.19</v>
      </c>
      <c r="I47" s="256">
        <f>IFERROR(__xludf.DUMMYFUNCTION("""COMPUTED_VALUE"""),579.808)</f>
        <v>579.808</v>
      </c>
      <c r="J47" s="257">
        <f t="shared" si="1"/>
        <v>8</v>
      </c>
      <c r="K47" s="253"/>
      <c r="L47" s="253"/>
      <c r="M47" s="252"/>
      <c r="N47" s="258"/>
      <c r="O47" s="259"/>
      <c r="P47" s="259"/>
      <c r="Q47" s="262"/>
      <c r="R47" s="260"/>
      <c r="S47" s="260"/>
      <c r="T47" s="260"/>
      <c r="U47" s="261"/>
      <c r="V47" s="251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>
      <c r="A48" s="251">
        <f>IFERROR(__xludf.DUMMYFUNCTION("""COMPUTED_VALUE"""),7846789.0)</f>
        <v>7846789</v>
      </c>
      <c r="B48" s="252" t="str">
        <f>IFERROR(__xludf.DUMMYFUNCTION("""COMPUTED_VALUE"""),"Expedia Affiliate Network")</f>
        <v>Expedia Affiliate Network</v>
      </c>
      <c r="C48" s="253" t="str">
        <f>IFERROR(__xludf.DUMMYFUNCTION("""COMPUTED_VALUE"""),"Wilhelmus Claessens ")</f>
        <v>Wilhelmus Claessens </v>
      </c>
      <c r="D48" s="254">
        <f>IFERROR(__xludf.DUMMYFUNCTION("""COMPUTED_VALUE"""),46033.0)</f>
        <v>46033</v>
      </c>
      <c r="E48" s="251">
        <f>IFERROR(__xludf.DUMMYFUNCTION("""COMPUTED_VALUE"""),46038.0)</f>
        <v>46038</v>
      </c>
      <c r="F48" s="255">
        <f>IFERROR(__xludf.DUMMYFUNCTION("""COMPUTED_VALUE"""),5.0)</f>
        <v>5</v>
      </c>
      <c r="G48" s="255">
        <f>IFERROR(__xludf.DUMMYFUNCTION("""COMPUTED_VALUE"""),2.0)</f>
        <v>2</v>
      </c>
      <c r="H48" s="256">
        <f>IFERROR(__xludf.DUMMYFUNCTION("""COMPUTED_VALUE"""),0.0)</f>
        <v>0</v>
      </c>
      <c r="I48" s="256">
        <f>IFERROR(__xludf.DUMMYFUNCTION("""COMPUTED_VALUE"""),0.0)</f>
        <v>0</v>
      </c>
      <c r="J48" s="257">
        <f t="shared" si="1"/>
        <v>10</v>
      </c>
      <c r="K48" s="253"/>
      <c r="L48" s="253"/>
      <c r="M48" s="252"/>
      <c r="N48" s="258"/>
      <c r="O48" s="259"/>
      <c r="P48" s="259"/>
      <c r="Q48" s="262"/>
      <c r="R48" s="260"/>
      <c r="S48" s="260"/>
      <c r="T48" s="260"/>
      <c r="U48" s="261"/>
      <c r="V48" s="251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>
      <c r="A49" s="251">
        <f>IFERROR(__xludf.DUMMYFUNCTION("""COMPUTED_VALUE"""),7896236.0)</f>
        <v>7896236</v>
      </c>
      <c r="B49" s="252" t="str">
        <f>IFERROR(__xludf.DUMMYFUNCTION("""COMPUTED_VALUE"""),"BookingCom")</f>
        <v>BookingCom</v>
      </c>
      <c r="C49" s="253" t="str">
        <f>IFERROR(__xludf.DUMMYFUNCTION("""COMPUTED_VALUE"""),"Daniel Schreuder ")</f>
        <v>Daniel Schreuder </v>
      </c>
      <c r="D49" s="254">
        <f>IFERROR(__xludf.DUMMYFUNCTION("""COMPUTED_VALUE"""),46033.0)</f>
        <v>46033</v>
      </c>
      <c r="E49" s="251">
        <f>IFERROR(__xludf.DUMMYFUNCTION("""COMPUTED_VALUE"""),46044.0)</f>
        <v>46044</v>
      </c>
      <c r="F49" s="255">
        <f>IFERROR(__xludf.DUMMYFUNCTION("""COMPUTED_VALUE"""),11.0)</f>
        <v>11</v>
      </c>
      <c r="G49" s="255">
        <f>IFERROR(__xludf.DUMMYFUNCTION("""COMPUTED_VALUE"""),2.0)</f>
        <v>2</v>
      </c>
      <c r="H49" s="256">
        <f>IFERROR(__xludf.DUMMYFUNCTION("""COMPUTED_VALUE"""),172.1118181818182)</f>
        <v>172.1118182</v>
      </c>
      <c r="I49" s="256">
        <f>IFERROR(__xludf.DUMMYFUNCTION("""COMPUTED_VALUE"""),1514.5840000000003)</f>
        <v>1514.584</v>
      </c>
      <c r="J49" s="257">
        <f t="shared" si="1"/>
        <v>22</v>
      </c>
      <c r="K49" s="253"/>
      <c r="L49" s="253"/>
      <c r="M49" s="252"/>
      <c r="N49" s="258"/>
      <c r="O49" s="259"/>
      <c r="P49" s="259"/>
      <c r="Q49" s="262"/>
      <c r="R49" s="260"/>
      <c r="S49" s="260"/>
      <c r="T49" s="260"/>
      <c r="U49" s="261"/>
      <c r="V49" s="251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>
      <c r="A50" s="251">
        <f>IFERROR(__xludf.DUMMYFUNCTION("""COMPUTED_VALUE"""),7975374.0)</f>
        <v>7975374</v>
      </c>
      <c r="B50" s="252" t="str">
        <f>IFERROR(__xludf.DUMMYFUNCTION("""COMPUTED_VALUE"""),"BookingCom")</f>
        <v>BookingCom</v>
      </c>
      <c r="C50" s="253" t="str">
        <f>IFERROR(__xludf.DUMMYFUNCTION("""COMPUTED_VALUE"""),"cristina puscas ")</f>
        <v>cristina puscas </v>
      </c>
      <c r="D50" s="254">
        <f>IFERROR(__xludf.DUMMYFUNCTION("""COMPUTED_VALUE"""),46033.0)</f>
        <v>46033</v>
      </c>
      <c r="E50" s="251">
        <f>IFERROR(__xludf.DUMMYFUNCTION("""COMPUTED_VALUE"""),46037.0)</f>
        <v>46037</v>
      </c>
      <c r="F50" s="255">
        <f>IFERROR(__xludf.DUMMYFUNCTION("""COMPUTED_VALUE"""),4.0)</f>
        <v>4</v>
      </c>
      <c r="G50" s="255">
        <f>IFERROR(__xludf.DUMMYFUNCTION("""COMPUTED_VALUE"""),2.0)</f>
        <v>2</v>
      </c>
      <c r="H50" s="256">
        <f>IFERROR(__xludf.DUMMYFUNCTION("""COMPUTED_VALUE"""),185.51)</f>
        <v>185.51</v>
      </c>
      <c r="I50" s="256">
        <f>IFERROR(__xludf.DUMMYFUNCTION("""COMPUTED_VALUE"""),593.632)</f>
        <v>593.632</v>
      </c>
      <c r="J50" s="257">
        <f t="shared" si="1"/>
        <v>8</v>
      </c>
      <c r="K50" s="253"/>
      <c r="L50" s="253"/>
      <c r="M50" s="252"/>
      <c r="N50" s="258"/>
      <c r="O50" s="259"/>
      <c r="P50" s="259"/>
      <c r="Q50" s="262"/>
      <c r="R50" s="260"/>
      <c r="S50" s="260"/>
      <c r="T50" s="260"/>
      <c r="U50" s="261"/>
      <c r="V50" s="251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>
      <c r="A51" s="251">
        <f>IFERROR(__xludf.DUMMYFUNCTION("""COMPUTED_VALUE"""),7871669.0)</f>
        <v>7871669</v>
      </c>
      <c r="B51" s="252" t="str">
        <f>IFERROR(__xludf.DUMMYFUNCTION("""COMPUTED_VALUE"""),"BookingCom")</f>
        <v>BookingCom</v>
      </c>
      <c r="C51" s="253" t="str">
        <f>IFERROR(__xludf.DUMMYFUNCTION("""COMPUTED_VALUE"""),"Jacqueline Woodford ")</f>
        <v>Jacqueline Woodford </v>
      </c>
      <c r="D51" s="254">
        <f>IFERROR(__xludf.DUMMYFUNCTION("""COMPUTED_VALUE"""),46034.0)</f>
        <v>46034</v>
      </c>
      <c r="E51" s="251">
        <f>IFERROR(__xludf.DUMMYFUNCTION("""COMPUTED_VALUE"""),46036.0)</f>
        <v>46036</v>
      </c>
      <c r="F51" s="255">
        <f>IFERROR(__xludf.DUMMYFUNCTION("""COMPUTED_VALUE"""),2.0)</f>
        <v>2</v>
      </c>
      <c r="G51" s="255">
        <f>IFERROR(__xludf.DUMMYFUNCTION("""COMPUTED_VALUE"""),2.0)</f>
        <v>2</v>
      </c>
      <c r="H51" s="256">
        <f>IFERROR(__xludf.DUMMYFUNCTION("""COMPUTED_VALUE"""),170.06)</f>
        <v>170.06</v>
      </c>
      <c r="I51" s="256">
        <f>IFERROR(__xludf.DUMMYFUNCTION("""COMPUTED_VALUE"""),272.096)</f>
        <v>272.096</v>
      </c>
      <c r="J51" s="257">
        <f t="shared" si="1"/>
        <v>4</v>
      </c>
      <c r="K51" s="253"/>
      <c r="L51" s="253"/>
      <c r="M51" s="252"/>
      <c r="N51" s="258"/>
      <c r="O51" s="259"/>
      <c r="P51" s="259"/>
      <c r="Q51" s="262"/>
      <c r="R51" s="260"/>
      <c r="S51" s="260"/>
      <c r="T51" s="260"/>
      <c r="U51" s="261"/>
      <c r="V51" s="251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>
      <c r="A52" s="251">
        <f>IFERROR(__xludf.DUMMYFUNCTION("""COMPUTED_VALUE"""),7949146.0)</f>
        <v>7949146</v>
      </c>
      <c r="B52" s="252" t="str">
        <f>IFERROR(__xludf.DUMMYFUNCTION("""COMPUTED_VALUE"""),"BookingCom")</f>
        <v>BookingCom</v>
      </c>
      <c r="C52" s="253" t="str">
        <f>IFERROR(__xludf.DUMMYFUNCTION("""COMPUTED_VALUE"""),"Jeremy Herant ")</f>
        <v>Jeremy Herant </v>
      </c>
      <c r="D52" s="254">
        <f>IFERROR(__xludf.DUMMYFUNCTION("""COMPUTED_VALUE"""),46034.0)</f>
        <v>46034</v>
      </c>
      <c r="E52" s="251">
        <f>IFERROR(__xludf.DUMMYFUNCTION("""COMPUTED_VALUE"""),46038.0)</f>
        <v>46038</v>
      </c>
      <c r="F52" s="255">
        <f>IFERROR(__xludf.DUMMYFUNCTION("""COMPUTED_VALUE"""),4.0)</f>
        <v>4</v>
      </c>
      <c r="G52" s="255">
        <f>IFERROR(__xludf.DUMMYFUNCTION("""COMPUTED_VALUE"""),2.0)</f>
        <v>2</v>
      </c>
      <c r="H52" s="256">
        <f>IFERROR(__xludf.DUMMYFUNCTION("""COMPUTED_VALUE"""),210.41)</f>
        <v>210.41</v>
      </c>
      <c r="I52" s="256">
        <f>IFERROR(__xludf.DUMMYFUNCTION("""COMPUTED_VALUE"""),673.312)</f>
        <v>673.312</v>
      </c>
      <c r="J52" s="257">
        <f t="shared" si="1"/>
        <v>8</v>
      </c>
      <c r="K52" s="253"/>
      <c r="L52" s="253"/>
      <c r="M52" s="252"/>
      <c r="N52" s="258"/>
      <c r="O52" s="259"/>
      <c r="P52" s="259"/>
      <c r="Q52" s="262"/>
      <c r="R52" s="260"/>
      <c r="S52" s="260"/>
      <c r="T52" s="260"/>
      <c r="U52" s="261"/>
      <c r="V52" s="251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>
      <c r="A53" s="251">
        <f>IFERROR(__xludf.DUMMYFUNCTION("""COMPUTED_VALUE"""),8019431.0)</f>
        <v>8019431</v>
      </c>
      <c r="B53" s="252" t="str">
        <f>IFERROR(__xludf.DUMMYFUNCTION("""COMPUTED_VALUE"""),"BookingCom")</f>
        <v>BookingCom</v>
      </c>
      <c r="C53" s="253" t="str">
        <f>IFERROR(__xludf.DUMMYFUNCTION("""COMPUTED_VALUE"""),"Barry Fell ")</f>
        <v>Barry Fell </v>
      </c>
      <c r="D53" s="254">
        <f>IFERROR(__xludf.DUMMYFUNCTION("""COMPUTED_VALUE"""),46034.0)</f>
        <v>46034</v>
      </c>
      <c r="E53" s="251">
        <f>IFERROR(__xludf.DUMMYFUNCTION("""COMPUTED_VALUE"""),46038.0)</f>
        <v>46038</v>
      </c>
      <c r="F53" s="255">
        <f>IFERROR(__xludf.DUMMYFUNCTION("""COMPUTED_VALUE"""),4.0)</f>
        <v>4</v>
      </c>
      <c r="G53" s="255">
        <f>IFERROR(__xludf.DUMMYFUNCTION("""COMPUTED_VALUE"""),2.0)</f>
        <v>2</v>
      </c>
      <c r="H53" s="256">
        <f>IFERROR(__xludf.DUMMYFUNCTION("""COMPUTED_VALUE"""),183.63)</f>
        <v>183.63</v>
      </c>
      <c r="I53" s="256">
        <f>IFERROR(__xludf.DUMMYFUNCTION("""COMPUTED_VALUE"""),587.616)</f>
        <v>587.616</v>
      </c>
      <c r="J53" s="257">
        <f t="shared" si="1"/>
        <v>8</v>
      </c>
      <c r="K53" s="253"/>
      <c r="L53" s="253"/>
      <c r="M53" s="252"/>
      <c r="N53" s="258"/>
      <c r="O53" s="259"/>
      <c r="P53" s="259"/>
      <c r="Q53" s="257"/>
      <c r="R53" s="260"/>
      <c r="S53" s="260"/>
      <c r="T53" s="260"/>
      <c r="U53" s="261"/>
      <c r="V53" s="251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>
      <c r="A54" s="251">
        <f>IFERROR(__xludf.DUMMYFUNCTION("""COMPUTED_VALUE"""),7945050.0)</f>
        <v>7945050</v>
      </c>
      <c r="B54" s="252" t="str">
        <f>IFERROR(__xludf.DUMMYFUNCTION("""COMPUTED_VALUE"""),"BookingCom")</f>
        <v>BookingCom</v>
      </c>
      <c r="C54" s="253" t="str">
        <f>IFERROR(__xludf.DUMMYFUNCTION("""COMPUTED_VALUE"""),"Josef Laggner ")</f>
        <v>Josef Laggner </v>
      </c>
      <c r="D54" s="254">
        <f>IFERROR(__xludf.DUMMYFUNCTION("""COMPUTED_VALUE"""),46037.0)</f>
        <v>46037</v>
      </c>
      <c r="E54" s="251">
        <f>IFERROR(__xludf.DUMMYFUNCTION("""COMPUTED_VALUE"""),46042.0)</f>
        <v>46042</v>
      </c>
      <c r="F54" s="255">
        <f>IFERROR(__xludf.DUMMYFUNCTION("""COMPUTED_VALUE"""),5.0)</f>
        <v>5</v>
      </c>
      <c r="G54" s="255">
        <f>IFERROR(__xludf.DUMMYFUNCTION("""COMPUTED_VALUE"""),2.0)</f>
        <v>2</v>
      </c>
      <c r="H54" s="256">
        <f>IFERROR(__xludf.DUMMYFUNCTION("""COMPUTED_VALUE"""),210.8)</f>
        <v>210.8</v>
      </c>
      <c r="I54" s="256">
        <f>IFERROR(__xludf.DUMMYFUNCTION("""COMPUTED_VALUE"""),843.2)</f>
        <v>843.2</v>
      </c>
      <c r="J54" s="257">
        <f t="shared" si="1"/>
        <v>10</v>
      </c>
      <c r="K54" s="253"/>
      <c r="L54" s="253"/>
      <c r="M54" s="275"/>
      <c r="N54" s="258"/>
      <c r="O54" s="259"/>
      <c r="P54" s="259"/>
      <c r="Q54" s="262"/>
      <c r="R54" s="260"/>
      <c r="S54" s="260"/>
      <c r="T54" s="260"/>
      <c r="U54" s="261"/>
      <c r="V54" s="251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>
      <c r="A55" s="251">
        <f>IFERROR(__xludf.DUMMYFUNCTION("""COMPUTED_VALUE"""),7977675.0)</f>
        <v>7977675</v>
      </c>
      <c r="B55" s="252" t="str">
        <f>IFERROR(__xludf.DUMMYFUNCTION("""COMPUTED_VALUE"""),"BookingCom")</f>
        <v>BookingCom</v>
      </c>
      <c r="C55" s="253" t="str">
        <f>IFERROR(__xludf.DUMMYFUNCTION("""COMPUTED_VALUE"""),"Michael Ellis ")</f>
        <v>Michael Ellis </v>
      </c>
      <c r="D55" s="254">
        <f>IFERROR(__xludf.DUMMYFUNCTION("""COMPUTED_VALUE"""),46037.0)</f>
        <v>46037</v>
      </c>
      <c r="E55" s="251">
        <f>IFERROR(__xludf.DUMMYFUNCTION("""COMPUTED_VALUE"""),46041.0)</f>
        <v>46041</v>
      </c>
      <c r="F55" s="255">
        <f>IFERROR(__xludf.DUMMYFUNCTION("""COMPUTED_VALUE"""),4.0)</f>
        <v>4</v>
      </c>
      <c r="G55" s="255">
        <f>IFERROR(__xludf.DUMMYFUNCTION("""COMPUTED_VALUE"""),2.0)</f>
        <v>2</v>
      </c>
      <c r="H55" s="256">
        <f>IFERROR(__xludf.DUMMYFUNCTION("""COMPUTED_VALUE"""),133.84)</f>
        <v>133.84</v>
      </c>
      <c r="I55" s="256">
        <f>IFERROR(__xludf.DUMMYFUNCTION("""COMPUTED_VALUE"""),428.288)</f>
        <v>428.288</v>
      </c>
      <c r="J55" s="257">
        <f t="shared" si="1"/>
        <v>8</v>
      </c>
      <c r="K55" s="253"/>
      <c r="L55" s="253"/>
      <c r="M55" s="252"/>
      <c r="N55" s="258"/>
      <c r="O55" s="259"/>
      <c r="P55" s="259"/>
      <c r="Q55" s="262"/>
      <c r="R55" s="260"/>
      <c r="S55" s="260"/>
      <c r="T55" s="260"/>
      <c r="U55" s="261"/>
      <c r="V55" s="251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>
      <c r="A56" s="251">
        <f>IFERROR(__xludf.DUMMYFUNCTION("""COMPUTED_VALUE"""),7926828.0)</f>
        <v>7926828</v>
      </c>
      <c r="B56" s="252" t="str">
        <f>IFERROR(__xludf.DUMMYFUNCTION("""COMPUTED_VALUE"""),"BookingCom")</f>
        <v>BookingCom</v>
      </c>
      <c r="C56" s="253" t="str">
        <f>IFERROR(__xludf.DUMMYFUNCTION("""COMPUTED_VALUE"""),"Maria Fernandez ")</f>
        <v>Maria Fernandez </v>
      </c>
      <c r="D56" s="254">
        <f>IFERROR(__xludf.DUMMYFUNCTION("""COMPUTED_VALUE"""),46038.0)</f>
        <v>46038</v>
      </c>
      <c r="E56" s="251">
        <f>IFERROR(__xludf.DUMMYFUNCTION("""COMPUTED_VALUE"""),46041.0)</f>
        <v>46041</v>
      </c>
      <c r="F56" s="255">
        <f>IFERROR(__xludf.DUMMYFUNCTION("""COMPUTED_VALUE"""),3.0)</f>
        <v>3</v>
      </c>
      <c r="G56" s="255">
        <f>IFERROR(__xludf.DUMMYFUNCTION("""COMPUTED_VALUE"""),2.0)</f>
        <v>2</v>
      </c>
      <c r="H56" s="256">
        <f>IFERROR(__xludf.DUMMYFUNCTION("""COMPUTED_VALUE"""),189.0)</f>
        <v>189</v>
      </c>
      <c r="I56" s="256">
        <f>IFERROR(__xludf.DUMMYFUNCTION("""COMPUTED_VALUE"""),453.6)</f>
        <v>453.6</v>
      </c>
      <c r="J56" s="257">
        <f t="shared" si="1"/>
        <v>6</v>
      </c>
      <c r="K56" s="253"/>
      <c r="L56" s="253"/>
      <c r="M56" s="252"/>
      <c r="N56" s="258"/>
      <c r="O56" s="259"/>
      <c r="P56" s="259"/>
      <c r="Q56" s="262"/>
      <c r="R56" s="260"/>
      <c r="S56" s="260"/>
      <c r="T56" s="260"/>
      <c r="U56" s="261"/>
      <c r="V56" s="251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>
      <c r="A57" s="251">
        <f>IFERROR(__xludf.DUMMYFUNCTION("""COMPUTED_VALUE"""),7961044.0)</f>
        <v>7961044</v>
      </c>
      <c r="B57" s="252" t="str">
        <f>IFERROR(__xludf.DUMMYFUNCTION("""COMPUTED_VALUE"""),"BookingCom")</f>
        <v>BookingCom</v>
      </c>
      <c r="C57" s="253" t="str">
        <f>IFERROR(__xludf.DUMMYFUNCTION("""COMPUTED_VALUE"""),"Laurent Perrin ")</f>
        <v>Laurent Perrin </v>
      </c>
      <c r="D57" s="254">
        <f>IFERROR(__xludf.DUMMYFUNCTION("""COMPUTED_VALUE"""),46038.0)</f>
        <v>46038</v>
      </c>
      <c r="E57" s="251">
        <f>IFERROR(__xludf.DUMMYFUNCTION("""COMPUTED_VALUE"""),46040.0)</f>
        <v>46040</v>
      </c>
      <c r="F57" s="255">
        <f>IFERROR(__xludf.DUMMYFUNCTION("""COMPUTED_VALUE"""),2.0)</f>
        <v>2</v>
      </c>
      <c r="G57" s="255">
        <f>IFERROR(__xludf.DUMMYFUNCTION("""COMPUTED_VALUE"""),2.0)</f>
        <v>2</v>
      </c>
      <c r="H57" s="256">
        <f>IFERROR(__xludf.DUMMYFUNCTION("""COMPUTED_VALUE"""),205.29)</f>
        <v>205.29</v>
      </c>
      <c r="I57" s="256">
        <f>IFERROR(__xludf.DUMMYFUNCTION("""COMPUTED_VALUE"""),328.464)</f>
        <v>328.464</v>
      </c>
      <c r="J57" s="257">
        <f t="shared" si="1"/>
        <v>4</v>
      </c>
      <c r="K57" s="253"/>
      <c r="L57" s="253"/>
      <c r="M57" s="252"/>
      <c r="N57" s="258"/>
      <c r="O57" s="259"/>
      <c r="P57" s="259"/>
      <c r="Q57" s="262"/>
      <c r="R57" s="260"/>
      <c r="S57" s="260"/>
      <c r="T57" s="260"/>
      <c r="U57" s="261"/>
      <c r="V57" s="251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>
      <c r="A58" s="251">
        <f>IFERROR(__xludf.DUMMYFUNCTION("""COMPUTED_VALUE"""),7988254.0)</f>
        <v>7988254</v>
      </c>
      <c r="B58" s="252" t="str">
        <f>IFERROR(__xludf.DUMMYFUNCTION("""COMPUTED_VALUE"""),"BookingCom")</f>
        <v>BookingCom</v>
      </c>
      <c r="C58" s="253" t="str">
        <f>IFERROR(__xludf.DUMMYFUNCTION("""COMPUTED_VALUE"""),"Alessandra Meroni ")</f>
        <v>Alessandra Meroni </v>
      </c>
      <c r="D58" s="254">
        <f>IFERROR(__xludf.DUMMYFUNCTION("""COMPUTED_VALUE"""),46038.0)</f>
        <v>46038</v>
      </c>
      <c r="E58" s="251">
        <f>IFERROR(__xludf.DUMMYFUNCTION("""COMPUTED_VALUE"""),46040.0)</f>
        <v>46040</v>
      </c>
      <c r="F58" s="255">
        <f>IFERROR(__xludf.DUMMYFUNCTION("""COMPUTED_VALUE"""),2.0)</f>
        <v>2</v>
      </c>
      <c r="G58" s="255">
        <f>IFERROR(__xludf.DUMMYFUNCTION("""COMPUTED_VALUE"""),2.0)</f>
        <v>2</v>
      </c>
      <c r="H58" s="256">
        <f>IFERROR(__xludf.DUMMYFUNCTION("""COMPUTED_VALUE"""),261.21)</f>
        <v>261.21</v>
      </c>
      <c r="I58" s="256">
        <f>IFERROR(__xludf.DUMMYFUNCTION("""COMPUTED_VALUE"""),417.936)</f>
        <v>417.936</v>
      </c>
      <c r="J58" s="257">
        <f t="shared" si="1"/>
        <v>4</v>
      </c>
      <c r="K58" s="253"/>
      <c r="L58" s="253"/>
      <c r="M58" s="252"/>
      <c r="N58" s="258"/>
      <c r="O58" s="259"/>
      <c r="P58" s="259"/>
      <c r="Q58" s="262"/>
      <c r="R58" s="260"/>
      <c r="S58" s="260"/>
      <c r="T58" s="260"/>
      <c r="U58" s="261"/>
      <c r="V58" s="251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>
      <c r="A59" s="251">
        <f>IFERROR(__xludf.DUMMYFUNCTION("""COMPUTED_VALUE"""),7988254.0)</f>
        <v>7988254</v>
      </c>
      <c r="B59" s="252" t="str">
        <f>IFERROR(__xludf.DUMMYFUNCTION("""COMPUTED_VALUE"""),"BookingCom")</f>
        <v>BookingCom</v>
      </c>
      <c r="C59" s="253" t="str">
        <f>IFERROR(__xludf.DUMMYFUNCTION("""COMPUTED_VALUE"""),"Alessandra Meroni ")</f>
        <v>Alessandra Meroni </v>
      </c>
      <c r="D59" s="254">
        <f>IFERROR(__xludf.DUMMYFUNCTION("""COMPUTED_VALUE"""),46038.0)</f>
        <v>46038</v>
      </c>
      <c r="E59" s="251">
        <f>IFERROR(__xludf.DUMMYFUNCTION("""COMPUTED_VALUE"""),46040.0)</f>
        <v>46040</v>
      </c>
      <c r="F59" s="255">
        <f>IFERROR(__xludf.DUMMYFUNCTION("""COMPUTED_VALUE"""),2.0)</f>
        <v>2</v>
      </c>
      <c r="G59" s="255">
        <f>IFERROR(__xludf.DUMMYFUNCTION("""COMPUTED_VALUE"""),3.0)</f>
        <v>3</v>
      </c>
      <c r="H59" s="256">
        <f>IFERROR(__xludf.DUMMYFUNCTION("""COMPUTED_VALUE"""),239.28)</f>
        <v>239.28</v>
      </c>
      <c r="I59" s="256">
        <f>IFERROR(__xludf.DUMMYFUNCTION("""COMPUTED_VALUE"""),382.848)</f>
        <v>382.848</v>
      </c>
      <c r="J59" s="257">
        <f t="shared" si="1"/>
        <v>6</v>
      </c>
      <c r="K59" s="253"/>
      <c r="L59" s="253"/>
      <c r="M59" s="252"/>
      <c r="N59" s="258"/>
      <c r="O59" s="259"/>
      <c r="P59" s="259"/>
      <c r="Q59" s="262"/>
      <c r="R59" s="260"/>
      <c r="S59" s="260"/>
      <c r="T59" s="260"/>
      <c r="U59" s="261"/>
      <c r="V59" s="251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>
      <c r="A60" s="251">
        <f>IFERROR(__xludf.DUMMYFUNCTION("""COMPUTED_VALUE"""),7699436.0)</f>
        <v>7699436</v>
      </c>
      <c r="B60" s="252" t="str">
        <f>IFERROR(__xludf.DUMMYFUNCTION("""COMPUTED_VALUE"""),"BookingCom")</f>
        <v>BookingCom</v>
      </c>
      <c r="C60" s="253" t="str">
        <f>IFERROR(__xludf.DUMMYFUNCTION("""COMPUTED_VALUE"""),"Julian Nacke ")</f>
        <v>Julian Nacke </v>
      </c>
      <c r="D60" s="254">
        <f>IFERROR(__xludf.DUMMYFUNCTION("""COMPUTED_VALUE"""),46039.0)</f>
        <v>46039</v>
      </c>
      <c r="E60" s="251">
        <f>IFERROR(__xludf.DUMMYFUNCTION("""COMPUTED_VALUE"""),46041.0)</f>
        <v>46041</v>
      </c>
      <c r="F60" s="255">
        <f>IFERROR(__xludf.DUMMYFUNCTION("""COMPUTED_VALUE"""),2.0)</f>
        <v>2</v>
      </c>
      <c r="G60" s="255">
        <f>IFERROR(__xludf.DUMMYFUNCTION("""COMPUTED_VALUE"""),2.0)</f>
        <v>2</v>
      </c>
      <c r="H60" s="256">
        <f>IFERROR(__xludf.DUMMYFUNCTION("""COMPUTED_VALUE"""),194.98)</f>
        <v>194.98</v>
      </c>
      <c r="I60" s="256">
        <f>IFERROR(__xludf.DUMMYFUNCTION("""COMPUTED_VALUE"""),311.968)</f>
        <v>311.968</v>
      </c>
      <c r="J60" s="257">
        <f t="shared" si="1"/>
        <v>4</v>
      </c>
      <c r="K60" s="253"/>
      <c r="L60" s="253"/>
      <c r="M60" s="275"/>
      <c r="N60" s="258"/>
      <c r="O60" s="259"/>
      <c r="P60" s="259"/>
      <c r="Q60" s="262"/>
      <c r="R60" s="260"/>
      <c r="S60" s="260"/>
      <c r="T60" s="260"/>
      <c r="U60" s="261"/>
      <c r="V60" s="251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>
      <c r="A61" s="251">
        <f>IFERROR(__xludf.DUMMYFUNCTION("""COMPUTED_VALUE"""),7936661.0)</f>
        <v>7936661</v>
      </c>
      <c r="B61" s="252" t="str">
        <f>IFERROR(__xludf.DUMMYFUNCTION("""COMPUTED_VALUE"""),"Reseliva")</f>
        <v>Reseliva</v>
      </c>
      <c r="C61" s="253" t="str">
        <f>IFERROR(__xludf.DUMMYFUNCTION("""COMPUTED_VALUE"""),"Martin Lindstrom ")</f>
        <v>Martin Lindstrom </v>
      </c>
      <c r="D61" s="254">
        <f>IFERROR(__xludf.DUMMYFUNCTION("""COMPUTED_VALUE"""),46039.0)</f>
        <v>46039</v>
      </c>
      <c r="E61" s="251">
        <f>IFERROR(__xludf.DUMMYFUNCTION("""COMPUTED_VALUE"""),46040.0)</f>
        <v>46040</v>
      </c>
      <c r="F61" s="255">
        <f>IFERROR(__xludf.DUMMYFUNCTION("""COMPUTED_VALUE"""),1.0)</f>
        <v>1</v>
      </c>
      <c r="G61" s="255">
        <f>IFERROR(__xludf.DUMMYFUNCTION("""COMPUTED_VALUE"""),1.0)</f>
        <v>1</v>
      </c>
      <c r="H61" s="256">
        <f>IFERROR(__xludf.DUMMYFUNCTION("""COMPUTED_VALUE"""),183.11)</f>
        <v>183.11</v>
      </c>
      <c r="I61" s="256">
        <f>IFERROR(__xludf.DUMMYFUNCTION("""COMPUTED_VALUE"""),181.27890000000002)</f>
        <v>181.2789</v>
      </c>
      <c r="J61" s="257">
        <f t="shared" si="1"/>
        <v>1</v>
      </c>
      <c r="K61" s="253"/>
      <c r="L61" s="253"/>
      <c r="M61" s="252"/>
      <c r="N61" s="258"/>
      <c r="O61" s="259"/>
      <c r="P61" s="259"/>
      <c r="Q61" s="257"/>
      <c r="R61" s="260"/>
      <c r="S61" s="260"/>
      <c r="T61" s="260"/>
      <c r="U61" s="261"/>
      <c r="V61" s="251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>
      <c r="A62" s="251">
        <f>IFERROR(__xludf.DUMMYFUNCTION("""COMPUTED_VALUE"""),7936661.0)</f>
        <v>7936661</v>
      </c>
      <c r="B62" s="252" t="str">
        <f>IFERROR(__xludf.DUMMYFUNCTION("""COMPUTED_VALUE"""),"Reseliva")</f>
        <v>Reseliva</v>
      </c>
      <c r="C62" s="253" t="str">
        <f>IFERROR(__xludf.DUMMYFUNCTION("""COMPUTED_VALUE"""),"Martin Lindstrom ")</f>
        <v>Martin Lindstrom </v>
      </c>
      <c r="D62" s="254">
        <f>IFERROR(__xludf.DUMMYFUNCTION("""COMPUTED_VALUE"""),46039.0)</f>
        <v>46039</v>
      </c>
      <c r="E62" s="251">
        <f>IFERROR(__xludf.DUMMYFUNCTION("""COMPUTED_VALUE"""),46040.0)</f>
        <v>46040</v>
      </c>
      <c r="F62" s="255">
        <f>IFERROR(__xludf.DUMMYFUNCTION("""COMPUTED_VALUE"""),1.0)</f>
        <v>1</v>
      </c>
      <c r="G62" s="255">
        <f>IFERROR(__xludf.DUMMYFUNCTION("""COMPUTED_VALUE"""),1.0)</f>
        <v>1</v>
      </c>
      <c r="H62" s="256">
        <f>IFERROR(__xludf.DUMMYFUNCTION("""COMPUTED_VALUE"""),203.0)</f>
        <v>203</v>
      </c>
      <c r="I62" s="256">
        <f>IFERROR(__xludf.DUMMYFUNCTION("""COMPUTED_VALUE"""),200.97)</f>
        <v>200.97</v>
      </c>
      <c r="J62" s="257">
        <f t="shared" si="1"/>
        <v>1</v>
      </c>
      <c r="K62" s="253"/>
      <c r="L62" s="253"/>
      <c r="M62" s="252"/>
      <c r="N62" s="258"/>
      <c r="O62" s="259"/>
      <c r="P62" s="259"/>
      <c r="Q62" s="262"/>
      <c r="R62" s="260"/>
      <c r="S62" s="260"/>
      <c r="T62" s="260"/>
      <c r="U62" s="261"/>
      <c r="V62" s="251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>
      <c r="A63" s="251">
        <f>IFERROR(__xludf.DUMMYFUNCTION("""COMPUTED_VALUE"""),7945078.0)</f>
        <v>7945078</v>
      </c>
      <c r="B63" s="252" t="str">
        <f>IFERROR(__xludf.DUMMYFUNCTION("""COMPUTED_VALUE"""),"BookingCom")</f>
        <v>BookingCom</v>
      </c>
      <c r="C63" s="253" t="str">
        <f>IFERROR(__xludf.DUMMYFUNCTION("""COMPUTED_VALUE"""),"Aruzhan Ibragimova ")</f>
        <v>Aruzhan Ibragimova </v>
      </c>
      <c r="D63" s="254">
        <f>IFERROR(__xludf.DUMMYFUNCTION("""COMPUTED_VALUE"""),46039.0)</f>
        <v>46039</v>
      </c>
      <c r="E63" s="251">
        <f>IFERROR(__xludf.DUMMYFUNCTION("""COMPUTED_VALUE"""),46040.0)</f>
        <v>46040</v>
      </c>
      <c r="F63" s="255">
        <f>IFERROR(__xludf.DUMMYFUNCTION("""COMPUTED_VALUE"""),1.0)</f>
        <v>1</v>
      </c>
      <c r="G63" s="255">
        <f>IFERROR(__xludf.DUMMYFUNCTION("""COMPUTED_VALUE"""),2.0)</f>
        <v>2</v>
      </c>
      <c r="H63" s="256">
        <f>IFERROR(__xludf.DUMMYFUNCTION("""COMPUTED_VALUE"""),198.21)</f>
        <v>198.21</v>
      </c>
      <c r="I63" s="256">
        <f>IFERROR(__xludf.DUMMYFUNCTION("""COMPUTED_VALUE"""),158.568)</f>
        <v>158.568</v>
      </c>
      <c r="J63" s="257">
        <f t="shared" si="1"/>
        <v>2</v>
      </c>
      <c r="K63" s="253"/>
      <c r="L63" s="253"/>
      <c r="M63" s="252"/>
      <c r="N63" s="258"/>
      <c r="O63" s="259"/>
      <c r="P63" s="259"/>
      <c r="Q63" s="262"/>
      <c r="R63" s="260"/>
      <c r="S63" s="260"/>
      <c r="T63" s="260"/>
      <c r="U63" s="261"/>
      <c r="V63" s="251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>
      <c r="A64" s="251">
        <f>IFERROR(__xludf.DUMMYFUNCTION("""COMPUTED_VALUE"""),7766201.0)</f>
        <v>7766201</v>
      </c>
      <c r="B64" s="252" t="str">
        <f>IFERROR(__xludf.DUMMYFUNCTION("""COMPUTED_VALUE"""),"BookingCom")</f>
        <v>BookingCom</v>
      </c>
      <c r="C64" s="253" t="str">
        <f>IFERROR(__xludf.DUMMYFUNCTION("""COMPUTED_VALUE"""),"Cathy Piquemal Baron ")</f>
        <v>Cathy Piquemal Baron </v>
      </c>
      <c r="D64" s="254">
        <f>IFERROR(__xludf.DUMMYFUNCTION("""COMPUTED_VALUE"""),46040.0)</f>
        <v>46040</v>
      </c>
      <c r="E64" s="251">
        <f>IFERROR(__xludf.DUMMYFUNCTION("""COMPUTED_VALUE"""),46044.0)</f>
        <v>46044</v>
      </c>
      <c r="F64" s="255">
        <f>IFERROR(__xludf.DUMMYFUNCTION("""COMPUTED_VALUE"""),4.0)</f>
        <v>4</v>
      </c>
      <c r="G64" s="255">
        <f>IFERROR(__xludf.DUMMYFUNCTION("""COMPUTED_VALUE"""),2.0)</f>
        <v>2</v>
      </c>
      <c r="H64" s="256">
        <f>IFERROR(__xludf.DUMMYFUNCTION("""COMPUTED_VALUE"""),170.9275)</f>
        <v>170.9275</v>
      </c>
      <c r="I64" s="256">
        <f>IFERROR(__xludf.DUMMYFUNCTION("""COMPUTED_VALUE"""),546.9680000000001)</f>
        <v>546.968</v>
      </c>
      <c r="J64" s="257">
        <f t="shared" si="1"/>
        <v>8</v>
      </c>
      <c r="K64" s="253"/>
      <c r="L64" s="253"/>
      <c r="M64" s="275"/>
      <c r="N64" s="258"/>
      <c r="O64" s="259"/>
      <c r="P64" s="259"/>
      <c r="Q64" s="262"/>
      <c r="R64" s="260"/>
      <c r="S64" s="260"/>
      <c r="T64" s="260"/>
      <c r="U64" s="261"/>
      <c r="V64" s="251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>
      <c r="A65" s="251">
        <f>IFERROR(__xludf.DUMMYFUNCTION("""COMPUTED_VALUE"""),7766201.0)</f>
        <v>7766201</v>
      </c>
      <c r="B65" s="252" t="str">
        <f>IFERROR(__xludf.DUMMYFUNCTION("""COMPUTED_VALUE"""),"BookingCom")</f>
        <v>BookingCom</v>
      </c>
      <c r="C65" s="253" t="str">
        <f>IFERROR(__xludf.DUMMYFUNCTION("""COMPUTED_VALUE"""),"Cathy Piquemal Baron ")</f>
        <v>Cathy Piquemal Baron </v>
      </c>
      <c r="D65" s="254">
        <f>IFERROR(__xludf.DUMMYFUNCTION("""COMPUTED_VALUE"""),46040.0)</f>
        <v>46040</v>
      </c>
      <c r="E65" s="251">
        <f>IFERROR(__xludf.DUMMYFUNCTION("""COMPUTED_VALUE"""),46044.0)</f>
        <v>46044</v>
      </c>
      <c r="F65" s="255">
        <f>IFERROR(__xludf.DUMMYFUNCTION("""COMPUTED_VALUE"""),4.0)</f>
        <v>4</v>
      </c>
      <c r="G65" s="255">
        <f>IFERROR(__xludf.DUMMYFUNCTION("""COMPUTED_VALUE"""),2.0)</f>
        <v>2</v>
      </c>
      <c r="H65" s="256">
        <f>IFERROR(__xludf.DUMMYFUNCTION("""COMPUTED_VALUE"""),152.715)</f>
        <v>152.715</v>
      </c>
      <c r="I65" s="256">
        <f>IFERROR(__xludf.DUMMYFUNCTION("""COMPUTED_VALUE"""),488.68800000000005)</f>
        <v>488.688</v>
      </c>
      <c r="J65" s="257">
        <f t="shared" si="1"/>
        <v>8</v>
      </c>
      <c r="K65" s="253"/>
      <c r="L65" s="253"/>
      <c r="M65" s="252"/>
      <c r="N65" s="258"/>
      <c r="O65" s="259"/>
      <c r="P65" s="259"/>
      <c r="Q65" s="262"/>
      <c r="R65" s="260"/>
      <c r="S65" s="260"/>
      <c r="T65" s="260"/>
      <c r="U65" s="261"/>
      <c r="V65" s="251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>
      <c r="A66" s="251">
        <f>IFERROR(__xludf.DUMMYFUNCTION("""COMPUTED_VALUE"""),7766201.0)</f>
        <v>7766201</v>
      </c>
      <c r="B66" s="252" t="str">
        <f>IFERROR(__xludf.DUMMYFUNCTION("""COMPUTED_VALUE"""),"BookingCom")</f>
        <v>BookingCom</v>
      </c>
      <c r="C66" s="253" t="str">
        <f>IFERROR(__xludf.DUMMYFUNCTION("""COMPUTED_VALUE"""),"Cathy Piquemal Baron ")</f>
        <v>Cathy Piquemal Baron </v>
      </c>
      <c r="D66" s="254">
        <f>IFERROR(__xludf.DUMMYFUNCTION("""COMPUTED_VALUE"""),46040.0)</f>
        <v>46040</v>
      </c>
      <c r="E66" s="251">
        <f>IFERROR(__xludf.DUMMYFUNCTION("""COMPUTED_VALUE"""),46044.0)</f>
        <v>46044</v>
      </c>
      <c r="F66" s="255">
        <f>IFERROR(__xludf.DUMMYFUNCTION("""COMPUTED_VALUE"""),4.0)</f>
        <v>4</v>
      </c>
      <c r="G66" s="255">
        <f>IFERROR(__xludf.DUMMYFUNCTION("""COMPUTED_VALUE"""),2.0)</f>
        <v>2</v>
      </c>
      <c r="H66" s="256">
        <f>IFERROR(__xludf.DUMMYFUNCTION("""COMPUTED_VALUE"""),170.9275)</f>
        <v>170.9275</v>
      </c>
      <c r="I66" s="256">
        <f>IFERROR(__xludf.DUMMYFUNCTION("""COMPUTED_VALUE"""),546.9680000000001)</f>
        <v>546.968</v>
      </c>
      <c r="J66" s="257">
        <f t="shared" si="1"/>
        <v>8</v>
      </c>
      <c r="K66" s="253"/>
      <c r="L66" s="253"/>
      <c r="M66" s="252"/>
      <c r="N66" s="258"/>
      <c r="O66" s="259"/>
      <c r="P66" s="259"/>
      <c r="Q66" s="262"/>
      <c r="R66" s="260"/>
      <c r="S66" s="260"/>
      <c r="T66" s="260"/>
      <c r="U66" s="261"/>
      <c r="V66" s="251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>
      <c r="A67" s="251">
        <f>IFERROR(__xludf.DUMMYFUNCTION("""COMPUTED_VALUE"""),7766201.0)</f>
        <v>7766201</v>
      </c>
      <c r="B67" s="252" t="str">
        <f>IFERROR(__xludf.DUMMYFUNCTION("""COMPUTED_VALUE"""),"BookingCom")</f>
        <v>BookingCom</v>
      </c>
      <c r="C67" s="253" t="str">
        <f>IFERROR(__xludf.DUMMYFUNCTION("""COMPUTED_VALUE"""),"Cathy Piquemal Baron ")</f>
        <v>Cathy Piquemal Baron </v>
      </c>
      <c r="D67" s="254">
        <f>IFERROR(__xludf.DUMMYFUNCTION("""COMPUTED_VALUE"""),46040.0)</f>
        <v>46040</v>
      </c>
      <c r="E67" s="251">
        <f>IFERROR(__xludf.DUMMYFUNCTION("""COMPUTED_VALUE"""),46044.0)</f>
        <v>46044</v>
      </c>
      <c r="F67" s="255">
        <f>IFERROR(__xludf.DUMMYFUNCTION("""COMPUTED_VALUE"""),4.0)</f>
        <v>4</v>
      </c>
      <c r="G67" s="255">
        <f>IFERROR(__xludf.DUMMYFUNCTION("""COMPUTED_VALUE"""),2.0)</f>
        <v>2</v>
      </c>
      <c r="H67" s="256">
        <f>IFERROR(__xludf.DUMMYFUNCTION("""COMPUTED_VALUE"""),170.9275)</f>
        <v>170.9275</v>
      </c>
      <c r="I67" s="256">
        <f>IFERROR(__xludf.DUMMYFUNCTION("""COMPUTED_VALUE"""),546.9680000000001)</f>
        <v>546.968</v>
      </c>
      <c r="J67" s="257">
        <f t="shared" si="1"/>
        <v>8</v>
      </c>
      <c r="K67" s="253"/>
      <c r="L67" s="253"/>
      <c r="M67" s="275"/>
      <c r="N67" s="258"/>
      <c r="O67" s="259"/>
      <c r="P67" s="259"/>
      <c r="Q67" s="262"/>
      <c r="R67" s="260"/>
      <c r="S67" s="260"/>
      <c r="T67" s="260"/>
      <c r="U67" s="261"/>
      <c r="V67" s="251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>
      <c r="A68" s="251">
        <f>IFERROR(__xludf.DUMMYFUNCTION("""COMPUTED_VALUE"""),7803553.0)</f>
        <v>7803553</v>
      </c>
      <c r="B68" s="252" t="str">
        <f>IFERROR(__xludf.DUMMYFUNCTION("""COMPUTED_VALUE"""),"BookingCom")</f>
        <v>BookingCom</v>
      </c>
      <c r="C68" s="253" t="str">
        <f>IFERROR(__xludf.DUMMYFUNCTION("""COMPUTED_VALUE"""),"Melania Cruz Oran ")</f>
        <v>Melania Cruz Oran </v>
      </c>
      <c r="D68" s="254">
        <f>IFERROR(__xludf.DUMMYFUNCTION("""COMPUTED_VALUE"""),46041.0)</f>
        <v>46041</v>
      </c>
      <c r="E68" s="251">
        <f>IFERROR(__xludf.DUMMYFUNCTION("""COMPUTED_VALUE"""),46044.0)</f>
        <v>46044</v>
      </c>
      <c r="F68" s="255">
        <f>IFERROR(__xludf.DUMMYFUNCTION("""COMPUTED_VALUE"""),3.0)</f>
        <v>3</v>
      </c>
      <c r="G68" s="255">
        <f>IFERROR(__xludf.DUMMYFUNCTION("""COMPUTED_VALUE"""),2.0)</f>
        <v>2</v>
      </c>
      <c r="H68" s="256">
        <f>IFERROR(__xludf.DUMMYFUNCTION("""COMPUTED_VALUE"""),193.42666666666665)</f>
        <v>193.4266667</v>
      </c>
      <c r="I68" s="256">
        <f>IFERROR(__xludf.DUMMYFUNCTION("""COMPUTED_VALUE"""),464.224)</f>
        <v>464.224</v>
      </c>
      <c r="J68" s="257">
        <f t="shared" si="1"/>
        <v>6</v>
      </c>
      <c r="K68" s="253"/>
      <c r="L68" s="253"/>
      <c r="M68" s="252"/>
      <c r="N68" s="258"/>
      <c r="O68" s="259"/>
      <c r="P68" s="259"/>
      <c r="Q68" s="262"/>
      <c r="R68" s="260"/>
      <c r="S68" s="260"/>
      <c r="T68" s="260"/>
      <c r="U68" s="261"/>
      <c r="V68" s="251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>
      <c r="A69" s="251">
        <f>IFERROR(__xludf.DUMMYFUNCTION("""COMPUTED_VALUE"""),7709772.0)</f>
        <v>7709772</v>
      </c>
      <c r="B69" s="252" t="str">
        <f>IFERROR(__xludf.DUMMYFUNCTION("""COMPUTED_VALUE"""),"BookingCom")</f>
        <v>BookingCom</v>
      </c>
      <c r="C69" s="253" t="str">
        <f>IFERROR(__xludf.DUMMYFUNCTION("""COMPUTED_VALUE"""),"louis sannier ")</f>
        <v>louis sannier </v>
      </c>
      <c r="D69" s="254">
        <f>IFERROR(__xludf.DUMMYFUNCTION("""COMPUTED_VALUE"""),46042.0)</f>
        <v>46042</v>
      </c>
      <c r="E69" s="251">
        <f>IFERROR(__xludf.DUMMYFUNCTION("""COMPUTED_VALUE"""),46044.0)</f>
        <v>46044</v>
      </c>
      <c r="F69" s="255">
        <f>IFERROR(__xludf.DUMMYFUNCTION("""COMPUTED_VALUE"""),2.0)</f>
        <v>2</v>
      </c>
      <c r="G69" s="255">
        <f>IFERROR(__xludf.DUMMYFUNCTION("""COMPUTED_VALUE"""),2.0)</f>
        <v>2</v>
      </c>
      <c r="H69" s="256">
        <f>IFERROR(__xludf.DUMMYFUNCTION("""COMPUTED_VALUE"""),176.32)</f>
        <v>176.32</v>
      </c>
      <c r="I69" s="256">
        <f>IFERROR(__xludf.DUMMYFUNCTION("""COMPUTED_VALUE"""),282.112)</f>
        <v>282.112</v>
      </c>
      <c r="J69" s="257">
        <f t="shared" si="1"/>
        <v>4</v>
      </c>
      <c r="K69" s="253"/>
      <c r="L69" s="253"/>
      <c r="M69" s="252"/>
      <c r="N69" s="258"/>
      <c r="O69" s="259"/>
      <c r="P69" s="259"/>
      <c r="Q69" s="262"/>
      <c r="R69" s="260"/>
      <c r="S69" s="260"/>
      <c r="T69" s="260"/>
      <c r="U69" s="261"/>
      <c r="V69" s="251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>
      <c r="A70" s="251">
        <f>IFERROR(__xludf.DUMMYFUNCTION("""COMPUTED_VALUE"""),7684903.0)</f>
        <v>7684903</v>
      </c>
      <c r="B70" s="252" t="str">
        <f>IFERROR(__xludf.DUMMYFUNCTION("""COMPUTED_VALUE"""),"BookingCom")</f>
        <v>BookingCom</v>
      </c>
      <c r="C70" s="253" t="str">
        <f>IFERROR(__xludf.DUMMYFUNCTION("""COMPUTED_VALUE"""),"Samuel Terence Patterson ")</f>
        <v>Samuel Terence Patterson </v>
      </c>
      <c r="D70" s="254">
        <f>IFERROR(__xludf.DUMMYFUNCTION("""COMPUTED_VALUE"""),46043.0)</f>
        <v>46043</v>
      </c>
      <c r="E70" s="251">
        <f>IFERROR(__xludf.DUMMYFUNCTION("""COMPUTED_VALUE"""),46047.0)</f>
        <v>46047</v>
      </c>
      <c r="F70" s="255">
        <f>IFERROR(__xludf.DUMMYFUNCTION("""COMPUTED_VALUE"""),4.0)</f>
        <v>4</v>
      </c>
      <c r="G70" s="255">
        <f>IFERROR(__xludf.DUMMYFUNCTION("""COMPUTED_VALUE"""),2.0)</f>
        <v>2</v>
      </c>
      <c r="H70" s="256">
        <f>IFERROR(__xludf.DUMMYFUNCTION("""COMPUTED_VALUE"""),146.1)</f>
        <v>146.1</v>
      </c>
      <c r="I70" s="256">
        <f>IFERROR(__xludf.DUMMYFUNCTION("""COMPUTED_VALUE"""),467.52)</f>
        <v>467.52</v>
      </c>
      <c r="J70" s="257">
        <f t="shared" si="1"/>
        <v>8</v>
      </c>
      <c r="K70" s="253"/>
      <c r="L70" s="253"/>
      <c r="M70" s="275"/>
      <c r="N70" s="258"/>
      <c r="O70" s="259"/>
      <c r="P70" s="259"/>
      <c r="Q70" s="262"/>
      <c r="R70" s="260"/>
      <c r="S70" s="260"/>
      <c r="T70" s="260"/>
      <c r="U70" s="261"/>
      <c r="V70" s="251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>
      <c r="A71" s="251">
        <f>IFERROR(__xludf.DUMMYFUNCTION("""COMPUTED_VALUE"""),8024616.0)</f>
        <v>8024616</v>
      </c>
      <c r="B71" s="252" t="str">
        <f>IFERROR(__xludf.DUMMYFUNCTION("""COMPUTED_VALUE"""),"Agoda2")</f>
        <v>Agoda2</v>
      </c>
      <c r="C71" s="253" t="str">
        <f>IFERROR(__xludf.DUMMYFUNCTION("""COMPUTED_VALUE"""),"Yochen Patti ")</f>
        <v>Yochen Patti </v>
      </c>
      <c r="D71" s="254">
        <f>IFERROR(__xludf.DUMMYFUNCTION("""COMPUTED_VALUE"""),46043.0)</f>
        <v>46043</v>
      </c>
      <c r="E71" s="251">
        <f>IFERROR(__xludf.DUMMYFUNCTION("""COMPUTED_VALUE"""),46046.0)</f>
        <v>46046</v>
      </c>
      <c r="F71" s="255">
        <f>IFERROR(__xludf.DUMMYFUNCTION("""COMPUTED_VALUE"""),3.0)</f>
        <v>3</v>
      </c>
      <c r="G71" s="255">
        <f>IFERROR(__xludf.DUMMYFUNCTION("""COMPUTED_VALUE"""),2.0)</f>
        <v>2</v>
      </c>
      <c r="H71" s="256">
        <f>IFERROR(__xludf.DUMMYFUNCTION("""COMPUTED_VALUE"""),265.84)</f>
        <v>265.84</v>
      </c>
      <c r="I71" s="256">
        <f>IFERROR(__xludf.DUMMYFUNCTION("""COMPUTED_VALUE"""),638.016)</f>
        <v>638.016</v>
      </c>
      <c r="J71" s="257">
        <f t="shared" si="1"/>
        <v>6</v>
      </c>
      <c r="K71" s="253"/>
      <c r="L71" s="253"/>
      <c r="M71" s="252"/>
      <c r="N71" s="258"/>
      <c r="O71" s="259"/>
      <c r="P71" s="259"/>
      <c r="Q71" s="262"/>
      <c r="R71" s="260"/>
      <c r="S71" s="260"/>
      <c r="T71" s="260"/>
      <c r="U71" s="261"/>
      <c r="V71" s="251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>
      <c r="A72" s="251">
        <f>IFERROR(__xludf.DUMMYFUNCTION("""COMPUTED_VALUE"""),7408954.0)</f>
        <v>7408954</v>
      </c>
      <c r="B72" s="252" t="str">
        <f>IFERROR(__xludf.DUMMYFUNCTION("""COMPUTED_VALUE"""),"Expedia Affiliate Network")</f>
        <v>Expedia Affiliate Network</v>
      </c>
      <c r="C72" s="253" t="str">
        <f>IFERROR(__xludf.DUMMYFUNCTION("""COMPUTED_VALUE"""),"Carol Gagnon ")</f>
        <v>Carol Gagnon </v>
      </c>
      <c r="D72" s="254">
        <f>IFERROR(__xludf.DUMMYFUNCTION("""COMPUTED_VALUE"""),46044.0)</f>
        <v>46044</v>
      </c>
      <c r="E72" s="251">
        <f>IFERROR(__xludf.DUMMYFUNCTION("""COMPUTED_VALUE"""),46045.0)</f>
        <v>46045</v>
      </c>
      <c r="F72" s="255">
        <f>IFERROR(__xludf.DUMMYFUNCTION("""COMPUTED_VALUE"""),1.0)</f>
        <v>1</v>
      </c>
      <c r="G72" s="255">
        <f>IFERROR(__xludf.DUMMYFUNCTION("""COMPUTED_VALUE"""),2.0)</f>
        <v>2</v>
      </c>
      <c r="H72" s="256">
        <f>IFERROR(__xludf.DUMMYFUNCTION("""COMPUTED_VALUE"""),0.0)</f>
        <v>0</v>
      </c>
      <c r="I72" s="256">
        <f>IFERROR(__xludf.DUMMYFUNCTION("""COMPUTED_VALUE"""),0.0)</f>
        <v>0</v>
      </c>
      <c r="J72" s="257">
        <f t="shared" si="1"/>
        <v>2</v>
      </c>
      <c r="K72" s="253"/>
      <c r="L72" s="253"/>
      <c r="M72" s="252"/>
      <c r="N72" s="258"/>
      <c r="O72" s="259"/>
      <c r="P72" s="259"/>
      <c r="Q72" s="262"/>
      <c r="R72" s="260"/>
      <c r="S72" s="260"/>
      <c r="T72" s="260"/>
      <c r="U72" s="261"/>
      <c r="V72" s="251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>
      <c r="A73" s="251">
        <f>IFERROR(__xludf.DUMMYFUNCTION("""COMPUTED_VALUE"""),7779224.0)</f>
        <v>7779224</v>
      </c>
      <c r="B73" s="252" t="str">
        <f>IFERROR(__xludf.DUMMYFUNCTION("""COMPUTED_VALUE"""),"Reseliva Pannel")</f>
        <v>Reseliva Pannel</v>
      </c>
      <c r="C73" s="253" t="str">
        <f>IFERROR(__xludf.DUMMYFUNCTION("""COMPUTED_VALUE"""),"Jean philipe dolmain ")</f>
        <v>Jean philipe dolmain </v>
      </c>
      <c r="D73" s="254">
        <f>IFERROR(__xludf.DUMMYFUNCTION("""COMPUTED_VALUE"""),46044.0)</f>
        <v>46044</v>
      </c>
      <c r="E73" s="251">
        <f>IFERROR(__xludf.DUMMYFUNCTION("""COMPUTED_VALUE"""),46045.0)</f>
        <v>46045</v>
      </c>
      <c r="F73" s="255">
        <f>IFERROR(__xludf.DUMMYFUNCTION("""COMPUTED_VALUE"""),1.0)</f>
        <v>1</v>
      </c>
      <c r="G73" s="255">
        <f>IFERROR(__xludf.DUMMYFUNCTION("""COMPUTED_VALUE"""),2.0)</f>
        <v>2</v>
      </c>
      <c r="H73" s="256">
        <f>IFERROR(__xludf.DUMMYFUNCTION("""COMPUTED_VALUE"""),239.76)</f>
        <v>239.76</v>
      </c>
      <c r="I73" s="256">
        <f>IFERROR(__xludf.DUMMYFUNCTION("""COMPUTED_VALUE"""),239.76)</f>
        <v>239.76</v>
      </c>
      <c r="J73" s="257">
        <f t="shared" si="1"/>
        <v>2</v>
      </c>
      <c r="K73" s="253"/>
      <c r="L73" s="253"/>
      <c r="M73" s="252"/>
      <c r="N73" s="258"/>
      <c r="O73" s="259"/>
      <c r="P73" s="259"/>
      <c r="Q73" s="262"/>
      <c r="R73" s="260"/>
      <c r="S73" s="260"/>
      <c r="T73" s="260"/>
      <c r="U73" s="261"/>
      <c r="V73" s="251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>
      <c r="A74" s="251">
        <f>IFERROR(__xludf.DUMMYFUNCTION("""COMPUTED_VALUE"""),7779260.0)</f>
        <v>7779260</v>
      </c>
      <c r="B74" s="252" t="str">
        <f>IFERROR(__xludf.DUMMYFUNCTION("""COMPUTED_VALUE"""),"Reseliva Pannel")</f>
        <v>Reseliva Pannel</v>
      </c>
      <c r="C74" s="253" t="str">
        <f>IFERROR(__xludf.DUMMYFUNCTION("""COMPUTED_VALUE"""),"Pascal Payraudau ")</f>
        <v>Pascal Payraudau </v>
      </c>
      <c r="D74" s="254">
        <f>IFERROR(__xludf.DUMMYFUNCTION("""COMPUTED_VALUE"""),46044.0)</f>
        <v>46044</v>
      </c>
      <c r="E74" s="251">
        <f>IFERROR(__xludf.DUMMYFUNCTION("""COMPUTED_VALUE"""),46045.0)</f>
        <v>46045</v>
      </c>
      <c r="F74" s="255">
        <f>IFERROR(__xludf.DUMMYFUNCTION("""COMPUTED_VALUE"""),1.0)</f>
        <v>1</v>
      </c>
      <c r="G74" s="255">
        <f>IFERROR(__xludf.DUMMYFUNCTION("""COMPUTED_VALUE"""),2.0)</f>
        <v>2</v>
      </c>
      <c r="H74" s="256">
        <f>IFERROR(__xludf.DUMMYFUNCTION("""COMPUTED_VALUE"""),239.76)</f>
        <v>239.76</v>
      </c>
      <c r="I74" s="256">
        <f>IFERROR(__xludf.DUMMYFUNCTION("""COMPUTED_VALUE"""),239.76)</f>
        <v>239.76</v>
      </c>
      <c r="J74" s="257">
        <f t="shared" si="1"/>
        <v>2</v>
      </c>
      <c r="K74" s="253"/>
      <c r="L74" s="253"/>
      <c r="M74" s="252"/>
      <c r="N74" s="258"/>
      <c r="O74" s="259"/>
      <c r="P74" s="259"/>
      <c r="Q74" s="257"/>
      <c r="R74" s="260"/>
      <c r="S74" s="260"/>
      <c r="T74" s="260"/>
      <c r="U74" s="261"/>
      <c r="V74" s="251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>
      <c r="A75" s="251">
        <f>IFERROR(__xludf.DUMMYFUNCTION("""COMPUTED_VALUE"""),7864220.0)</f>
        <v>7864220</v>
      </c>
      <c r="B75" s="252" t="str">
        <f>IFERROR(__xludf.DUMMYFUNCTION("""COMPUTED_VALUE"""),"BookingCom")</f>
        <v>BookingCom</v>
      </c>
      <c r="C75" s="253" t="str">
        <f>IFERROR(__xludf.DUMMYFUNCTION("""COMPUTED_VALUE"""),"Lidia Martinez Gutierrez ")</f>
        <v>Lidia Martinez Gutierrez </v>
      </c>
      <c r="D75" s="254">
        <f>IFERROR(__xludf.DUMMYFUNCTION("""COMPUTED_VALUE"""),46044.0)</f>
        <v>46044</v>
      </c>
      <c r="E75" s="251">
        <f>IFERROR(__xludf.DUMMYFUNCTION("""COMPUTED_VALUE"""),46047.0)</f>
        <v>46047</v>
      </c>
      <c r="F75" s="255">
        <f>IFERROR(__xludf.DUMMYFUNCTION("""COMPUTED_VALUE"""),3.0)</f>
        <v>3</v>
      </c>
      <c r="G75" s="255">
        <f>IFERROR(__xludf.DUMMYFUNCTION("""COMPUTED_VALUE"""),2.0)</f>
        <v>2</v>
      </c>
      <c r="H75" s="256">
        <f>IFERROR(__xludf.DUMMYFUNCTION("""COMPUTED_VALUE"""),181.38)</f>
        <v>181.38</v>
      </c>
      <c r="I75" s="256">
        <f>IFERROR(__xludf.DUMMYFUNCTION("""COMPUTED_VALUE"""),435.312)</f>
        <v>435.312</v>
      </c>
      <c r="J75" s="257">
        <f t="shared" si="1"/>
        <v>6</v>
      </c>
      <c r="K75" s="253"/>
      <c r="L75" s="253"/>
      <c r="M75" s="275"/>
      <c r="N75" s="258"/>
      <c r="O75" s="259"/>
      <c r="P75" s="259"/>
      <c r="Q75" s="262"/>
      <c r="R75" s="260"/>
      <c r="S75" s="260"/>
      <c r="T75" s="260"/>
      <c r="U75" s="261"/>
      <c r="V75" s="251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>
      <c r="A76" s="251">
        <f>IFERROR(__xludf.DUMMYFUNCTION("""COMPUTED_VALUE"""),7966317.0)</f>
        <v>7966317</v>
      </c>
      <c r="B76" s="252" t="str">
        <f>IFERROR(__xludf.DUMMYFUNCTION("""COMPUTED_VALUE"""),"BookingCom")</f>
        <v>BookingCom</v>
      </c>
      <c r="C76" s="253" t="str">
        <f>IFERROR(__xludf.DUMMYFUNCTION("""COMPUTED_VALUE"""),"Marcus Howden-Olsbunes ")</f>
        <v>Marcus Howden-Olsbunes </v>
      </c>
      <c r="D76" s="254">
        <f>IFERROR(__xludf.DUMMYFUNCTION("""COMPUTED_VALUE"""),46044.0)</f>
        <v>46044</v>
      </c>
      <c r="E76" s="251">
        <f>IFERROR(__xludf.DUMMYFUNCTION("""COMPUTED_VALUE"""),46047.0)</f>
        <v>46047</v>
      </c>
      <c r="F76" s="255">
        <f>IFERROR(__xludf.DUMMYFUNCTION("""COMPUTED_VALUE"""),3.0)</f>
        <v>3</v>
      </c>
      <c r="G76" s="255">
        <f>IFERROR(__xludf.DUMMYFUNCTION("""COMPUTED_VALUE"""),2.0)</f>
        <v>2</v>
      </c>
      <c r="H76" s="256">
        <f>IFERROR(__xludf.DUMMYFUNCTION("""COMPUTED_VALUE"""),237.25)</f>
        <v>237.25</v>
      </c>
      <c r="I76" s="256">
        <f>IFERROR(__xludf.DUMMYFUNCTION("""COMPUTED_VALUE"""),569.4000000000001)</f>
        <v>569.4</v>
      </c>
      <c r="J76" s="257">
        <f t="shared" si="1"/>
        <v>6</v>
      </c>
      <c r="K76" s="253"/>
      <c r="L76" s="253"/>
      <c r="M76" s="252"/>
      <c r="N76" s="258"/>
      <c r="O76" s="259"/>
      <c r="P76" s="259"/>
      <c r="Q76" s="257"/>
      <c r="R76" s="260"/>
      <c r="S76" s="260"/>
      <c r="T76" s="260"/>
      <c r="U76" s="261"/>
      <c r="V76" s="251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>
      <c r="A77" s="251">
        <f>IFERROR(__xludf.DUMMYFUNCTION("""COMPUTED_VALUE"""),8016029.0)</f>
        <v>8016029</v>
      </c>
      <c r="B77" s="252" t="str">
        <f>IFERROR(__xludf.DUMMYFUNCTION("""COMPUTED_VALUE"""),"Reseliva Pannel")</f>
        <v>Reseliva Pannel</v>
      </c>
      <c r="C77" s="253" t="str">
        <f>IFERROR(__xludf.DUMMYFUNCTION("""COMPUTED_VALUE"""),"Inês Praça ")</f>
        <v>Inês Praça </v>
      </c>
      <c r="D77" s="254">
        <f>IFERROR(__xludf.DUMMYFUNCTION("""COMPUTED_VALUE"""),46044.0)</f>
        <v>46044</v>
      </c>
      <c r="E77" s="251">
        <f>IFERROR(__xludf.DUMMYFUNCTION("""COMPUTED_VALUE"""),46045.0)</f>
        <v>46045</v>
      </c>
      <c r="F77" s="255">
        <f>IFERROR(__xludf.DUMMYFUNCTION("""COMPUTED_VALUE"""),1.0)</f>
        <v>1</v>
      </c>
      <c r="G77" s="255">
        <f>IFERROR(__xludf.DUMMYFUNCTION("""COMPUTED_VALUE"""),2.0)</f>
        <v>2</v>
      </c>
      <c r="H77" s="256">
        <f>IFERROR(__xludf.DUMMYFUNCTION("""COMPUTED_VALUE"""),239.76)</f>
        <v>239.76</v>
      </c>
      <c r="I77" s="256">
        <f>IFERROR(__xludf.DUMMYFUNCTION("""COMPUTED_VALUE"""),239.76)</f>
        <v>239.76</v>
      </c>
      <c r="J77" s="257">
        <f t="shared" si="1"/>
        <v>2</v>
      </c>
      <c r="K77" s="253"/>
      <c r="L77" s="253"/>
      <c r="M77" s="252"/>
      <c r="N77" s="258"/>
      <c r="O77" s="259"/>
      <c r="P77" s="259"/>
      <c r="Q77" s="262"/>
      <c r="R77" s="260"/>
      <c r="S77" s="260"/>
      <c r="T77" s="260"/>
      <c r="U77" s="261"/>
      <c r="V77" s="251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>
      <c r="A78" s="251">
        <f>IFERROR(__xludf.DUMMYFUNCTION("""COMPUTED_VALUE"""),7945780.0)</f>
        <v>7945780</v>
      </c>
      <c r="B78" s="252" t="str">
        <f>IFERROR(__xludf.DUMMYFUNCTION("""COMPUTED_VALUE"""),"BookingCom")</f>
        <v>BookingCom</v>
      </c>
      <c r="C78" s="253" t="str">
        <f>IFERROR(__xludf.DUMMYFUNCTION("""COMPUTED_VALUE"""),"Sonia Monteiro ")</f>
        <v>Sonia Monteiro </v>
      </c>
      <c r="D78" s="254">
        <f>IFERROR(__xludf.DUMMYFUNCTION("""COMPUTED_VALUE"""),46045.0)</f>
        <v>46045</v>
      </c>
      <c r="E78" s="251">
        <f>IFERROR(__xludf.DUMMYFUNCTION("""COMPUTED_VALUE"""),46047.0)</f>
        <v>46047</v>
      </c>
      <c r="F78" s="255">
        <f>IFERROR(__xludf.DUMMYFUNCTION("""COMPUTED_VALUE"""),2.0)</f>
        <v>2</v>
      </c>
      <c r="G78" s="255">
        <f>IFERROR(__xludf.DUMMYFUNCTION("""COMPUTED_VALUE"""),2.0)</f>
        <v>2</v>
      </c>
      <c r="H78" s="256">
        <f>IFERROR(__xludf.DUMMYFUNCTION("""COMPUTED_VALUE"""),170.17)</f>
        <v>170.17</v>
      </c>
      <c r="I78" s="256">
        <f>IFERROR(__xludf.DUMMYFUNCTION("""COMPUTED_VALUE"""),272.272)</f>
        <v>272.272</v>
      </c>
      <c r="J78" s="257">
        <f t="shared" si="1"/>
        <v>4</v>
      </c>
      <c r="K78" s="253"/>
      <c r="L78" s="253"/>
      <c r="M78" s="275"/>
      <c r="N78" s="258"/>
      <c r="O78" s="259"/>
      <c r="P78" s="259"/>
      <c r="Q78" s="262"/>
      <c r="R78" s="260"/>
      <c r="S78" s="260"/>
      <c r="T78" s="260"/>
      <c r="U78" s="261"/>
      <c r="V78" s="251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>
      <c r="A79" s="251">
        <f>IFERROR(__xludf.DUMMYFUNCTION("""COMPUTED_VALUE"""),7960958.0)</f>
        <v>7960958</v>
      </c>
      <c r="B79" s="252" t="str">
        <f>IFERROR(__xludf.DUMMYFUNCTION("""COMPUTED_VALUE"""),"Reseliva")</f>
        <v>Reseliva</v>
      </c>
      <c r="C79" s="253" t="str">
        <f>IFERROR(__xludf.DUMMYFUNCTION("""COMPUTED_VALUE"""),"Ravjot Virdi ")</f>
        <v>Ravjot Virdi </v>
      </c>
      <c r="D79" s="254">
        <f>IFERROR(__xludf.DUMMYFUNCTION("""COMPUTED_VALUE"""),46045.0)</f>
        <v>46045</v>
      </c>
      <c r="E79" s="251">
        <f>IFERROR(__xludf.DUMMYFUNCTION("""COMPUTED_VALUE"""),46047.0)</f>
        <v>46047</v>
      </c>
      <c r="F79" s="255">
        <f>IFERROR(__xludf.DUMMYFUNCTION("""COMPUTED_VALUE"""),2.0)</f>
        <v>2</v>
      </c>
      <c r="G79" s="255">
        <f>IFERROR(__xludf.DUMMYFUNCTION("""COMPUTED_VALUE"""),2.0)</f>
        <v>2</v>
      </c>
      <c r="H79" s="256">
        <f>IFERROR(__xludf.DUMMYFUNCTION("""COMPUTED_VALUE"""),170.82)</f>
        <v>170.82</v>
      </c>
      <c r="I79" s="256">
        <f>IFERROR(__xludf.DUMMYFUNCTION("""COMPUTED_VALUE"""),338.2236)</f>
        <v>338.2236</v>
      </c>
      <c r="J79" s="257">
        <f t="shared" si="1"/>
        <v>4</v>
      </c>
      <c r="K79" s="253"/>
      <c r="L79" s="253"/>
      <c r="M79" s="252"/>
      <c r="N79" s="258"/>
      <c r="O79" s="259"/>
      <c r="P79" s="259"/>
      <c r="Q79" s="262"/>
      <c r="R79" s="260"/>
      <c r="S79" s="260"/>
      <c r="T79" s="260"/>
      <c r="U79" s="261"/>
      <c r="V79" s="251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>
      <c r="A80" s="251">
        <f>IFERROR(__xludf.DUMMYFUNCTION("""COMPUTED_VALUE"""),8013067.0)</f>
        <v>8013067</v>
      </c>
      <c r="B80" s="252" t="str">
        <f>IFERROR(__xludf.DUMMYFUNCTION("""COMPUTED_VALUE"""),"BookingCom")</f>
        <v>BookingCom</v>
      </c>
      <c r="C80" s="253" t="str">
        <f>IFERROR(__xludf.DUMMYFUNCTION("""COMPUTED_VALUE"""),"Razvan Lica ")</f>
        <v>Razvan Lica </v>
      </c>
      <c r="D80" s="254">
        <f>IFERROR(__xludf.DUMMYFUNCTION("""COMPUTED_VALUE"""),46045.0)</f>
        <v>46045</v>
      </c>
      <c r="E80" s="251">
        <f>IFERROR(__xludf.DUMMYFUNCTION("""COMPUTED_VALUE"""),46048.0)</f>
        <v>46048</v>
      </c>
      <c r="F80" s="255">
        <f>IFERROR(__xludf.DUMMYFUNCTION("""COMPUTED_VALUE"""),3.0)</f>
        <v>3</v>
      </c>
      <c r="G80" s="255">
        <f>IFERROR(__xludf.DUMMYFUNCTION("""COMPUTED_VALUE"""),2.0)</f>
        <v>2</v>
      </c>
      <c r="H80" s="256">
        <f>IFERROR(__xludf.DUMMYFUNCTION("""COMPUTED_VALUE"""),208.5)</f>
        <v>208.5</v>
      </c>
      <c r="I80" s="256">
        <f>IFERROR(__xludf.DUMMYFUNCTION("""COMPUTED_VALUE"""),500.40000000000003)</f>
        <v>500.4</v>
      </c>
      <c r="J80" s="257">
        <f t="shared" si="1"/>
        <v>6</v>
      </c>
      <c r="K80" s="253"/>
      <c r="L80" s="253"/>
      <c r="M80" s="252"/>
      <c r="N80" s="258"/>
      <c r="O80" s="259"/>
      <c r="P80" s="259"/>
      <c r="Q80" s="262"/>
      <c r="R80" s="260"/>
      <c r="S80" s="260"/>
      <c r="T80" s="260"/>
      <c r="U80" s="261"/>
      <c r="V80" s="251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>
      <c r="A81" s="251">
        <f>IFERROR(__xludf.DUMMYFUNCTION("""COMPUTED_VALUE"""),7939917.0)</f>
        <v>7939917</v>
      </c>
      <c r="B81" s="252" t="str">
        <f>IFERROR(__xludf.DUMMYFUNCTION("""COMPUTED_VALUE"""),"BookingCom")</f>
        <v>BookingCom</v>
      </c>
      <c r="C81" s="253" t="str">
        <f>IFERROR(__xludf.DUMMYFUNCTION("""COMPUTED_VALUE"""),"Sarah Zaman ")</f>
        <v>Sarah Zaman </v>
      </c>
      <c r="D81" s="254">
        <f>IFERROR(__xludf.DUMMYFUNCTION("""COMPUTED_VALUE"""),46046.0)</f>
        <v>46046</v>
      </c>
      <c r="E81" s="251">
        <f>IFERROR(__xludf.DUMMYFUNCTION("""COMPUTED_VALUE"""),46047.0)</f>
        <v>46047</v>
      </c>
      <c r="F81" s="255">
        <f>IFERROR(__xludf.DUMMYFUNCTION("""COMPUTED_VALUE"""),1.0)</f>
        <v>1</v>
      </c>
      <c r="G81" s="255">
        <f>IFERROR(__xludf.DUMMYFUNCTION("""COMPUTED_VALUE"""),2.0)</f>
        <v>2</v>
      </c>
      <c r="H81" s="256">
        <f>IFERROR(__xludf.DUMMYFUNCTION("""COMPUTED_VALUE"""),156.92)</f>
        <v>156.92</v>
      </c>
      <c r="I81" s="256">
        <f>IFERROR(__xludf.DUMMYFUNCTION("""COMPUTED_VALUE"""),125.536)</f>
        <v>125.536</v>
      </c>
      <c r="J81" s="257">
        <f t="shared" si="1"/>
        <v>2</v>
      </c>
      <c r="K81" s="253"/>
      <c r="L81" s="253"/>
      <c r="M81" s="252"/>
      <c r="N81" s="258"/>
      <c r="O81" s="259"/>
      <c r="P81" s="259"/>
      <c r="Q81" s="257"/>
      <c r="R81" s="260"/>
      <c r="S81" s="260"/>
      <c r="T81" s="260"/>
      <c r="U81" s="261"/>
      <c r="V81" s="251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>
      <c r="A82" s="251">
        <f>IFERROR(__xludf.DUMMYFUNCTION("""COMPUTED_VALUE"""),8009671.0)</f>
        <v>8009671</v>
      </c>
      <c r="B82" s="252" t="str">
        <f>IFERROR(__xludf.DUMMYFUNCTION("""COMPUTED_VALUE"""),"BookingCom")</f>
        <v>BookingCom</v>
      </c>
      <c r="C82" s="253" t="str">
        <f>IFERROR(__xludf.DUMMYFUNCTION("""COMPUTED_VALUE"""),"Axel Duval ")</f>
        <v>Axel Duval </v>
      </c>
      <c r="D82" s="254">
        <f>IFERROR(__xludf.DUMMYFUNCTION("""COMPUTED_VALUE"""),46046.0)</f>
        <v>46046</v>
      </c>
      <c r="E82" s="251">
        <f>IFERROR(__xludf.DUMMYFUNCTION("""COMPUTED_VALUE"""),46049.0)</f>
        <v>46049</v>
      </c>
      <c r="F82" s="255">
        <f>IFERROR(__xludf.DUMMYFUNCTION("""COMPUTED_VALUE"""),3.0)</f>
        <v>3</v>
      </c>
      <c r="G82" s="255">
        <f>IFERROR(__xludf.DUMMYFUNCTION("""COMPUTED_VALUE"""),2.0)</f>
        <v>2</v>
      </c>
      <c r="H82" s="256">
        <f>IFERROR(__xludf.DUMMYFUNCTION("""COMPUTED_VALUE"""),174.09)</f>
        <v>174.09</v>
      </c>
      <c r="I82" s="256">
        <f>IFERROR(__xludf.DUMMYFUNCTION("""COMPUTED_VALUE"""),417.81600000000003)</f>
        <v>417.816</v>
      </c>
      <c r="J82" s="257">
        <f t="shared" si="1"/>
        <v>6</v>
      </c>
      <c r="K82" s="253"/>
      <c r="L82" s="253"/>
      <c r="M82" s="252"/>
      <c r="N82" s="258"/>
      <c r="O82" s="259"/>
      <c r="P82" s="259"/>
      <c r="Q82" s="262"/>
      <c r="R82" s="260"/>
      <c r="S82" s="260"/>
      <c r="T82" s="260"/>
      <c r="U82" s="261"/>
      <c r="V82" s="251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>
      <c r="A83" s="251">
        <f>IFERROR(__xludf.DUMMYFUNCTION("""COMPUTED_VALUE"""),7226530.0)</f>
        <v>7226530</v>
      </c>
      <c r="B83" s="252" t="str">
        <f>IFERROR(__xludf.DUMMYFUNCTION("""COMPUTED_VALUE"""),"BookingCom")</f>
        <v>BookingCom</v>
      </c>
      <c r="C83" s="253" t="str">
        <f>IFERROR(__xludf.DUMMYFUNCTION("""COMPUTED_VALUE"""),"Rosana Nilsson ")</f>
        <v>Rosana Nilsson </v>
      </c>
      <c r="D83" s="254">
        <f>IFERROR(__xludf.DUMMYFUNCTION("""COMPUTED_VALUE"""),46047.0)</f>
        <v>46047</v>
      </c>
      <c r="E83" s="251">
        <f>IFERROR(__xludf.DUMMYFUNCTION("""COMPUTED_VALUE"""),46050.0)</f>
        <v>46050</v>
      </c>
      <c r="F83" s="255">
        <f>IFERROR(__xludf.DUMMYFUNCTION("""COMPUTED_VALUE"""),3.0)</f>
        <v>3</v>
      </c>
      <c r="G83" s="255">
        <f>IFERROR(__xludf.DUMMYFUNCTION("""COMPUTED_VALUE"""),2.0)</f>
        <v>2</v>
      </c>
      <c r="H83" s="256">
        <f>IFERROR(__xludf.DUMMYFUNCTION("""COMPUTED_VALUE"""),172.16)</f>
        <v>172.16</v>
      </c>
      <c r="I83" s="256">
        <f>IFERROR(__xludf.DUMMYFUNCTION("""COMPUTED_VALUE"""),413.184)</f>
        <v>413.184</v>
      </c>
      <c r="J83" s="257">
        <f t="shared" si="1"/>
        <v>6</v>
      </c>
      <c r="K83" s="253"/>
      <c r="L83" s="253"/>
      <c r="M83" s="252"/>
      <c r="N83" s="258"/>
      <c r="O83" s="259"/>
      <c r="P83" s="259"/>
      <c r="Q83" s="257"/>
      <c r="R83" s="260"/>
      <c r="S83" s="260"/>
      <c r="T83" s="260"/>
      <c r="U83" s="261"/>
      <c r="V83" s="251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>
      <c r="A84" s="251">
        <f>IFERROR(__xludf.DUMMYFUNCTION("""COMPUTED_VALUE"""),7662370.0)</f>
        <v>7662370</v>
      </c>
      <c r="B84" s="252" t="str">
        <f>IFERROR(__xludf.DUMMYFUNCTION("""COMPUTED_VALUE"""),"BookingCom")</f>
        <v>BookingCom</v>
      </c>
      <c r="C84" s="253" t="str">
        <f>IFERROR(__xludf.DUMMYFUNCTION("""COMPUTED_VALUE"""),"Michele Vincini ")</f>
        <v>Michele Vincini </v>
      </c>
      <c r="D84" s="254">
        <f>IFERROR(__xludf.DUMMYFUNCTION("""COMPUTED_VALUE"""),46047.0)</f>
        <v>46047</v>
      </c>
      <c r="E84" s="251">
        <f>IFERROR(__xludf.DUMMYFUNCTION("""COMPUTED_VALUE"""),46048.0)</f>
        <v>46048</v>
      </c>
      <c r="F84" s="255">
        <f>IFERROR(__xludf.DUMMYFUNCTION("""COMPUTED_VALUE"""),1.0)</f>
        <v>1</v>
      </c>
      <c r="G84" s="255">
        <f>IFERROR(__xludf.DUMMYFUNCTION("""COMPUTED_VALUE"""),2.0)</f>
        <v>2</v>
      </c>
      <c r="H84" s="256">
        <f>IFERROR(__xludf.DUMMYFUNCTION("""COMPUTED_VALUE"""),136.2)</f>
        <v>136.2</v>
      </c>
      <c r="I84" s="256">
        <f>IFERROR(__xludf.DUMMYFUNCTION("""COMPUTED_VALUE"""),108.96)</f>
        <v>108.96</v>
      </c>
      <c r="J84" s="257">
        <f t="shared" si="1"/>
        <v>2</v>
      </c>
      <c r="K84" s="253"/>
      <c r="L84" s="253"/>
      <c r="M84" s="252"/>
      <c r="N84" s="258"/>
      <c r="O84" s="259"/>
      <c r="P84" s="259"/>
      <c r="Q84" s="262"/>
      <c r="R84" s="260"/>
      <c r="S84" s="260"/>
      <c r="T84" s="260"/>
      <c r="U84" s="261"/>
      <c r="V84" s="251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>
      <c r="A85" s="251">
        <f>IFERROR(__xludf.DUMMYFUNCTION("""COMPUTED_VALUE"""),7856013.0)</f>
        <v>7856013</v>
      </c>
      <c r="B85" s="252" t="str">
        <f>IFERROR(__xludf.DUMMYFUNCTION("""COMPUTED_VALUE"""),"BookingCom")</f>
        <v>BookingCom</v>
      </c>
      <c r="C85" s="253" t="str">
        <f>IFERROR(__xludf.DUMMYFUNCTION("""COMPUTED_VALUE"""),"Jessica Gouzot ")</f>
        <v>Jessica Gouzot </v>
      </c>
      <c r="D85" s="254">
        <f>IFERROR(__xludf.DUMMYFUNCTION("""COMPUTED_VALUE"""),46047.0)</f>
        <v>46047</v>
      </c>
      <c r="E85" s="251">
        <f>IFERROR(__xludf.DUMMYFUNCTION("""COMPUTED_VALUE"""),46052.0)</f>
        <v>46052</v>
      </c>
      <c r="F85" s="255">
        <f>IFERROR(__xludf.DUMMYFUNCTION("""COMPUTED_VALUE"""),5.0)</f>
        <v>5</v>
      </c>
      <c r="G85" s="255">
        <f>IFERROR(__xludf.DUMMYFUNCTION("""COMPUTED_VALUE"""),2.0)</f>
        <v>2</v>
      </c>
      <c r="H85" s="256">
        <f>IFERROR(__xludf.DUMMYFUNCTION("""COMPUTED_VALUE"""),188.19)</f>
        <v>188.19</v>
      </c>
      <c r="I85" s="256">
        <f>IFERROR(__xludf.DUMMYFUNCTION("""COMPUTED_VALUE"""),752.76)</f>
        <v>752.76</v>
      </c>
      <c r="J85" s="257">
        <f t="shared" si="1"/>
        <v>10</v>
      </c>
      <c r="K85" s="253"/>
      <c r="L85" s="253"/>
      <c r="M85" s="252"/>
      <c r="N85" s="258"/>
      <c r="O85" s="259"/>
      <c r="P85" s="259"/>
      <c r="Q85" s="262"/>
      <c r="R85" s="260"/>
      <c r="S85" s="260"/>
      <c r="T85" s="260"/>
      <c r="U85" s="261"/>
      <c r="V85" s="251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>
      <c r="A86" s="251">
        <f>IFERROR(__xludf.DUMMYFUNCTION("""COMPUTED_VALUE"""),7953429.0)</f>
        <v>7953429</v>
      </c>
      <c r="B86" s="252" t="str">
        <f>IFERROR(__xludf.DUMMYFUNCTION("""COMPUTED_VALUE"""),"Reseliva Pannel")</f>
        <v>Reseliva Pannel</v>
      </c>
      <c r="C86" s="253" t="str">
        <f>IFERROR(__xludf.DUMMYFUNCTION("""COMPUTED_VALUE"""),"Christelle morel ")</f>
        <v>Christelle morel </v>
      </c>
      <c r="D86" s="254">
        <f>IFERROR(__xludf.DUMMYFUNCTION("""COMPUTED_VALUE"""),46047.0)</f>
        <v>46047</v>
      </c>
      <c r="E86" s="251">
        <f>IFERROR(__xludf.DUMMYFUNCTION("""COMPUTED_VALUE"""),46052.0)</f>
        <v>46052</v>
      </c>
      <c r="F86" s="255">
        <f>IFERROR(__xludf.DUMMYFUNCTION("""COMPUTED_VALUE"""),5.0)</f>
        <v>5</v>
      </c>
      <c r="G86" s="255">
        <f>IFERROR(__xludf.DUMMYFUNCTION("""COMPUTED_VALUE"""),2.0)</f>
        <v>2</v>
      </c>
      <c r="H86" s="256">
        <f>IFERROR(__xludf.DUMMYFUNCTION("""COMPUTED_VALUE"""),239.76)</f>
        <v>239.76</v>
      </c>
      <c r="I86" s="256">
        <f>IFERROR(__xludf.DUMMYFUNCTION("""COMPUTED_VALUE"""),1198.8)</f>
        <v>1198.8</v>
      </c>
      <c r="J86" s="257">
        <f t="shared" si="1"/>
        <v>10</v>
      </c>
      <c r="K86" s="253"/>
      <c r="L86" s="253"/>
      <c r="M86" s="252"/>
      <c r="N86" s="258"/>
      <c r="O86" s="259"/>
      <c r="P86" s="259"/>
      <c r="Q86" s="257"/>
      <c r="R86" s="260"/>
      <c r="S86" s="260"/>
      <c r="T86" s="260"/>
      <c r="U86" s="261"/>
      <c r="V86" s="251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>
      <c r="A87" s="251">
        <f>IFERROR(__xludf.DUMMYFUNCTION("""COMPUTED_VALUE"""),7953429.0)</f>
        <v>7953429</v>
      </c>
      <c r="B87" s="252" t="str">
        <f>IFERROR(__xludf.DUMMYFUNCTION("""COMPUTED_VALUE"""),"Reseliva Pannel")</f>
        <v>Reseliva Pannel</v>
      </c>
      <c r="C87" s="253" t="str">
        <f>IFERROR(__xludf.DUMMYFUNCTION("""COMPUTED_VALUE"""),"Christelle morel ")</f>
        <v>Christelle morel </v>
      </c>
      <c r="D87" s="254">
        <f>IFERROR(__xludf.DUMMYFUNCTION("""COMPUTED_VALUE"""),46047.0)</f>
        <v>46047</v>
      </c>
      <c r="E87" s="251">
        <f>IFERROR(__xludf.DUMMYFUNCTION("""COMPUTED_VALUE"""),46052.0)</f>
        <v>46052</v>
      </c>
      <c r="F87" s="255">
        <f>IFERROR(__xludf.DUMMYFUNCTION("""COMPUTED_VALUE"""),5.0)</f>
        <v>5</v>
      </c>
      <c r="G87" s="255">
        <f>IFERROR(__xludf.DUMMYFUNCTION("""COMPUTED_VALUE"""),2.0)</f>
        <v>2</v>
      </c>
      <c r="H87" s="256">
        <f>IFERROR(__xludf.DUMMYFUNCTION("""COMPUTED_VALUE"""),239.76)</f>
        <v>239.76</v>
      </c>
      <c r="I87" s="256">
        <f>IFERROR(__xludf.DUMMYFUNCTION("""COMPUTED_VALUE"""),1198.8)</f>
        <v>1198.8</v>
      </c>
      <c r="J87" s="257">
        <f t="shared" si="1"/>
        <v>10</v>
      </c>
      <c r="K87" s="253"/>
      <c r="L87" s="253"/>
      <c r="M87" s="252"/>
      <c r="N87" s="258"/>
      <c r="O87" s="259"/>
      <c r="P87" s="259"/>
      <c r="Q87" s="262"/>
      <c r="R87" s="260"/>
      <c r="S87" s="260"/>
      <c r="T87" s="260"/>
      <c r="U87" s="261"/>
      <c r="V87" s="251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>
      <c r="A88" s="251">
        <f>IFERROR(__xludf.DUMMYFUNCTION("""COMPUTED_VALUE"""),8016022.0)</f>
        <v>8016022</v>
      </c>
      <c r="B88" s="252" t="str">
        <f>IFERROR(__xludf.DUMMYFUNCTION("""COMPUTED_VALUE"""),"Reseliva")</f>
        <v>Reseliva</v>
      </c>
      <c r="C88" s="253" t="str">
        <f>IFERROR(__xludf.DUMMYFUNCTION("""COMPUTED_VALUE"""),"Inês Praça ")</f>
        <v>Inês Praça </v>
      </c>
      <c r="D88" s="254">
        <f>IFERROR(__xludf.DUMMYFUNCTION("""COMPUTED_VALUE"""),46047.0)</f>
        <v>46047</v>
      </c>
      <c r="E88" s="251">
        <f>IFERROR(__xludf.DUMMYFUNCTION("""COMPUTED_VALUE"""),46048.0)</f>
        <v>46048</v>
      </c>
      <c r="F88" s="255">
        <f>IFERROR(__xludf.DUMMYFUNCTION("""COMPUTED_VALUE"""),1.0)</f>
        <v>1</v>
      </c>
      <c r="G88" s="255">
        <f>IFERROR(__xludf.DUMMYFUNCTION("""COMPUTED_VALUE"""),1.0)</f>
        <v>1</v>
      </c>
      <c r="H88" s="256">
        <f>IFERROR(__xludf.DUMMYFUNCTION("""COMPUTED_VALUE"""),239.76)</f>
        <v>239.76</v>
      </c>
      <c r="I88" s="256">
        <f>IFERROR(__xludf.DUMMYFUNCTION("""COMPUTED_VALUE"""),237.36239999999998)</f>
        <v>237.3624</v>
      </c>
      <c r="J88" s="257">
        <f t="shared" si="1"/>
        <v>1</v>
      </c>
      <c r="K88" s="253"/>
      <c r="L88" s="253"/>
      <c r="M88" s="252"/>
      <c r="N88" s="258"/>
      <c r="O88" s="259"/>
      <c r="P88" s="259"/>
      <c r="Q88" s="262"/>
      <c r="R88" s="260"/>
      <c r="S88" s="260"/>
      <c r="T88" s="260"/>
      <c r="U88" s="261"/>
      <c r="V88" s="251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>
      <c r="A89" s="251">
        <f>IFERROR(__xludf.DUMMYFUNCTION("""COMPUTED_VALUE"""),8078274.0)</f>
        <v>8078274</v>
      </c>
      <c r="B89" s="252" t="str">
        <f>IFERROR(__xludf.DUMMYFUNCTION("""COMPUTED_VALUE"""),"Reseliva")</f>
        <v>Reseliva</v>
      </c>
      <c r="C89" s="253" t="str">
        <f>IFERROR(__xludf.DUMMYFUNCTION("""COMPUTED_VALUE"""),"Ravjot Virdi ")</f>
        <v>Ravjot Virdi </v>
      </c>
      <c r="D89" s="254">
        <f>IFERROR(__xludf.DUMMYFUNCTION("""COMPUTED_VALUE"""),46047.0)</f>
        <v>46047</v>
      </c>
      <c r="E89" s="251">
        <f>IFERROR(__xludf.DUMMYFUNCTION("""COMPUTED_VALUE"""),46048.0)</f>
        <v>46048</v>
      </c>
      <c r="F89" s="255">
        <f>IFERROR(__xludf.DUMMYFUNCTION("""COMPUTED_VALUE"""),1.0)</f>
        <v>1</v>
      </c>
      <c r="G89" s="255">
        <f>IFERROR(__xludf.DUMMYFUNCTION("""COMPUTED_VALUE"""),2.0)</f>
        <v>2</v>
      </c>
      <c r="H89" s="256">
        <f>IFERROR(__xludf.DUMMYFUNCTION("""COMPUTED_VALUE"""),239.76)</f>
        <v>239.76</v>
      </c>
      <c r="I89" s="256">
        <f>IFERROR(__xludf.DUMMYFUNCTION("""COMPUTED_VALUE"""),237.36239999999998)</f>
        <v>237.3624</v>
      </c>
      <c r="J89" s="257">
        <f t="shared" si="1"/>
        <v>2</v>
      </c>
      <c r="K89" s="253"/>
      <c r="L89" s="253"/>
      <c r="M89" s="252"/>
      <c r="N89" s="258"/>
      <c r="O89" s="259"/>
      <c r="P89" s="259"/>
      <c r="Q89" s="262"/>
      <c r="R89" s="260"/>
      <c r="S89" s="260"/>
      <c r="T89" s="260"/>
      <c r="U89" s="261"/>
      <c r="V89" s="251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>
      <c r="A90" s="251">
        <f>IFERROR(__xludf.DUMMYFUNCTION("""COMPUTED_VALUE"""),7651364.0)</f>
        <v>7651364</v>
      </c>
      <c r="B90" s="252" t="str">
        <f>IFERROR(__xludf.DUMMYFUNCTION("""COMPUTED_VALUE"""),"BookingCom")</f>
        <v>BookingCom</v>
      </c>
      <c r="C90" s="253" t="str">
        <f>IFERROR(__xludf.DUMMYFUNCTION("""COMPUTED_VALUE"""),"Jurgen De Baets ")</f>
        <v>Jurgen De Baets </v>
      </c>
      <c r="D90" s="254">
        <f>IFERROR(__xludf.DUMMYFUNCTION("""COMPUTED_VALUE"""),46048.0)</f>
        <v>46048</v>
      </c>
      <c r="E90" s="251">
        <f>IFERROR(__xludf.DUMMYFUNCTION("""COMPUTED_VALUE"""),46051.0)</f>
        <v>46051</v>
      </c>
      <c r="F90" s="255">
        <f>IFERROR(__xludf.DUMMYFUNCTION("""COMPUTED_VALUE"""),3.0)</f>
        <v>3</v>
      </c>
      <c r="G90" s="255">
        <f>IFERROR(__xludf.DUMMYFUNCTION("""COMPUTED_VALUE"""),2.0)</f>
        <v>2</v>
      </c>
      <c r="H90" s="256">
        <f>IFERROR(__xludf.DUMMYFUNCTION("""COMPUTED_VALUE"""),175.29999999999998)</f>
        <v>175.3</v>
      </c>
      <c r="I90" s="256">
        <f>IFERROR(__xludf.DUMMYFUNCTION("""COMPUTED_VALUE"""),420.7199999999999)</f>
        <v>420.72</v>
      </c>
      <c r="J90" s="257">
        <f t="shared" si="1"/>
        <v>6</v>
      </c>
      <c r="K90" s="253"/>
      <c r="L90" s="253"/>
      <c r="M90" s="275"/>
      <c r="N90" s="258"/>
      <c r="O90" s="259"/>
      <c r="P90" s="259"/>
      <c r="Q90" s="257"/>
      <c r="R90" s="260"/>
      <c r="S90" s="260"/>
      <c r="T90" s="260"/>
      <c r="U90" s="261"/>
      <c r="V90" s="251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>
      <c r="A91" s="251">
        <f>IFERROR(__xludf.DUMMYFUNCTION("""COMPUTED_VALUE"""),7899552.0)</f>
        <v>7899552</v>
      </c>
      <c r="B91" s="252" t="str">
        <f>IFERROR(__xludf.DUMMYFUNCTION("""COMPUTED_VALUE"""),"BookingCom")</f>
        <v>BookingCom</v>
      </c>
      <c r="C91" s="253" t="str">
        <f>IFERROR(__xludf.DUMMYFUNCTION("""COMPUTED_VALUE"""),"Michele Vincini ")</f>
        <v>Michele Vincini </v>
      </c>
      <c r="D91" s="254">
        <f>IFERROR(__xludf.DUMMYFUNCTION("""COMPUTED_VALUE"""),46048.0)</f>
        <v>46048</v>
      </c>
      <c r="E91" s="251">
        <f>IFERROR(__xludf.DUMMYFUNCTION("""COMPUTED_VALUE"""),46049.0)</f>
        <v>46049</v>
      </c>
      <c r="F91" s="255">
        <f>IFERROR(__xludf.DUMMYFUNCTION("""COMPUTED_VALUE"""),1.0)</f>
        <v>1</v>
      </c>
      <c r="G91" s="255">
        <f>IFERROR(__xludf.DUMMYFUNCTION("""COMPUTED_VALUE"""),2.0)</f>
        <v>2</v>
      </c>
      <c r="H91" s="256">
        <f>IFERROR(__xludf.DUMMYFUNCTION("""COMPUTED_VALUE"""),172.63)</f>
        <v>172.63</v>
      </c>
      <c r="I91" s="256">
        <f>IFERROR(__xludf.DUMMYFUNCTION("""COMPUTED_VALUE"""),138.104)</f>
        <v>138.104</v>
      </c>
      <c r="J91" s="257">
        <f t="shared" si="1"/>
        <v>2</v>
      </c>
      <c r="K91" s="253"/>
      <c r="L91" s="253"/>
      <c r="M91" s="252"/>
      <c r="N91" s="258"/>
      <c r="O91" s="259"/>
      <c r="P91" s="259"/>
      <c r="Q91" s="262"/>
      <c r="R91" s="260"/>
      <c r="S91" s="260"/>
      <c r="T91" s="260"/>
      <c r="U91" s="261"/>
      <c r="V91" s="251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>
      <c r="A92" s="251">
        <f>IFERROR(__xludf.DUMMYFUNCTION("""COMPUTED_VALUE"""),7901305.0)</f>
        <v>7901305</v>
      </c>
      <c r="B92" s="252" t="str">
        <f>IFERROR(__xludf.DUMMYFUNCTION("""COMPUTED_VALUE"""),"BookingCom")</f>
        <v>BookingCom</v>
      </c>
      <c r="C92" s="253" t="str">
        <f>IFERROR(__xludf.DUMMYFUNCTION("""COMPUTED_VALUE"""),"Iman El Makhoukhi ")</f>
        <v>Iman El Makhoukhi </v>
      </c>
      <c r="D92" s="254">
        <f>IFERROR(__xludf.DUMMYFUNCTION("""COMPUTED_VALUE"""),46048.0)</f>
        <v>46048</v>
      </c>
      <c r="E92" s="251">
        <f>IFERROR(__xludf.DUMMYFUNCTION("""COMPUTED_VALUE"""),46052.0)</f>
        <v>46052</v>
      </c>
      <c r="F92" s="255">
        <f>IFERROR(__xludf.DUMMYFUNCTION("""COMPUTED_VALUE"""),4.0)</f>
        <v>4</v>
      </c>
      <c r="G92" s="255">
        <f>IFERROR(__xludf.DUMMYFUNCTION("""COMPUTED_VALUE"""),2.0)</f>
        <v>2</v>
      </c>
      <c r="H92" s="256">
        <f>IFERROR(__xludf.DUMMYFUNCTION("""COMPUTED_VALUE"""),150.8)</f>
        <v>150.8</v>
      </c>
      <c r="I92" s="256">
        <f>IFERROR(__xludf.DUMMYFUNCTION("""COMPUTED_VALUE"""),482.56000000000006)</f>
        <v>482.56</v>
      </c>
      <c r="J92" s="257">
        <f t="shared" si="1"/>
        <v>8</v>
      </c>
      <c r="K92" s="253"/>
      <c r="L92" s="253"/>
      <c r="M92" s="252"/>
      <c r="N92" s="258"/>
      <c r="O92" s="259"/>
      <c r="P92" s="259"/>
      <c r="Q92" s="262"/>
      <c r="R92" s="260"/>
      <c r="S92" s="260"/>
      <c r="T92" s="260"/>
      <c r="U92" s="261"/>
      <c r="V92" s="251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>
      <c r="A93" s="251">
        <f>IFERROR(__xludf.DUMMYFUNCTION("""COMPUTED_VALUE"""),7908754.0)</f>
        <v>7908754</v>
      </c>
      <c r="B93" s="252" t="str">
        <f>IFERROR(__xludf.DUMMYFUNCTION("""COMPUTED_VALUE"""),"BookingCom")</f>
        <v>BookingCom</v>
      </c>
      <c r="C93" s="253" t="str">
        <f>IFERROR(__xludf.DUMMYFUNCTION("""COMPUTED_VALUE"""),"Hugo Moura Goncalves ")</f>
        <v>Hugo Moura Goncalves </v>
      </c>
      <c r="D93" s="254">
        <f>IFERROR(__xludf.DUMMYFUNCTION("""COMPUTED_VALUE"""),46048.0)</f>
        <v>46048</v>
      </c>
      <c r="E93" s="251">
        <f>IFERROR(__xludf.DUMMYFUNCTION("""COMPUTED_VALUE"""),46051.0)</f>
        <v>46051</v>
      </c>
      <c r="F93" s="255">
        <f>IFERROR(__xludf.DUMMYFUNCTION("""COMPUTED_VALUE"""),3.0)</f>
        <v>3</v>
      </c>
      <c r="G93" s="255">
        <f>IFERROR(__xludf.DUMMYFUNCTION("""COMPUTED_VALUE"""),2.0)</f>
        <v>2</v>
      </c>
      <c r="H93" s="256">
        <f>IFERROR(__xludf.DUMMYFUNCTION("""COMPUTED_VALUE"""),206.89)</f>
        <v>206.89</v>
      </c>
      <c r="I93" s="256">
        <f>IFERROR(__xludf.DUMMYFUNCTION("""COMPUTED_VALUE"""),496.536)</f>
        <v>496.536</v>
      </c>
      <c r="J93" s="257">
        <f t="shared" si="1"/>
        <v>6</v>
      </c>
      <c r="K93" s="253"/>
      <c r="L93" s="253"/>
      <c r="M93" s="252"/>
      <c r="N93" s="258"/>
      <c r="O93" s="259"/>
      <c r="P93" s="259"/>
      <c r="Q93" s="262"/>
      <c r="R93" s="260"/>
      <c r="S93" s="260"/>
      <c r="T93" s="260"/>
      <c r="U93" s="261"/>
      <c r="V93" s="251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>
      <c r="A94" s="251">
        <f>IFERROR(__xludf.DUMMYFUNCTION("""COMPUTED_VALUE"""),7986722.0)</f>
        <v>7986722</v>
      </c>
      <c r="B94" s="252" t="str">
        <f>IFERROR(__xludf.DUMMYFUNCTION("""COMPUTED_VALUE"""),"Reseliva Pannel")</f>
        <v>Reseliva Pannel</v>
      </c>
      <c r="C94" s="253" t="str">
        <f>IFERROR(__xludf.DUMMYFUNCTION("""COMPUTED_VALUE"""),"Anne demols ")</f>
        <v>Anne demols </v>
      </c>
      <c r="D94" s="254">
        <f>IFERROR(__xludf.DUMMYFUNCTION("""COMPUTED_VALUE"""),46050.0)</f>
        <v>46050</v>
      </c>
      <c r="E94" s="251">
        <f>IFERROR(__xludf.DUMMYFUNCTION("""COMPUTED_VALUE"""),46051.0)</f>
        <v>46051</v>
      </c>
      <c r="F94" s="255">
        <f>IFERROR(__xludf.DUMMYFUNCTION("""COMPUTED_VALUE"""),1.0)</f>
        <v>1</v>
      </c>
      <c r="G94" s="255">
        <f>IFERROR(__xludf.DUMMYFUNCTION("""COMPUTED_VALUE"""),2.0)</f>
        <v>2</v>
      </c>
      <c r="H94" s="256">
        <f>IFERROR(__xludf.DUMMYFUNCTION("""COMPUTED_VALUE"""),239.76)</f>
        <v>239.76</v>
      </c>
      <c r="I94" s="256">
        <f>IFERROR(__xludf.DUMMYFUNCTION("""COMPUTED_VALUE"""),239.76)</f>
        <v>239.76</v>
      </c>
      <c r="J94" s="257">
        <f t="shared" si="1"/>
        <v>2</v>
      </c>
      <c r="K94" s="253"/>
      <c r="L94" s="253"/>
      <c r="M94" s="275"/>
      <c r="N94" s="258"/>
      <c r="O94" s="259"/>
      <c r="P94" s="259"/>
      <c r="Q94" s="262"/>
      <c r="R94" s="260"/>
      <c r="S94" s="260"/>
      <c r="T94" s="260"/>
      <c r="U94" s="261"/>
      <c r="V94" s="251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>
      <c r="A95" s="251">
        <f>IFERROR(__xludf.DUMMYFUNCTION("""COMPUTED_VALUE"""),7986722.0)</f>
        <v>7986722</v>
      </c>
      <c r="B95" s="252" t="str">
        <f>IFERROR(__xludf.DUMMYFUNCTION("""COMPUTED_VALUE"""),"Reseliva Pannel")</f>
        <v>Reseliva Pannel</v>
      </c>
      <c r="C95" s="253" t="str">
        <f>IFERROR(__xludf.DUMMYFUNCTION("""COMPUTED_VALUE"""),"Anne demols ")</f>
        <v>Anne demols </v>
      </c>
      <c r="D95" s="254">
        <f>IFERROR(__xludf.DUMMYFUNCTION("""COMPUTED_VALUE"""),46050.0)</f>
        <v>46050</v>
      </c>
      <c r="E95" s="251">
        <f>IFERROR(__xludf.DUMMYFUNCTION("""COMPUTED_VALUE"""),46051.0)</f>
        <v>46051</v>
      </c>
      <c r="F95" s="255">
        <f>IFERROR(__xludf.DUMMYFUNCTION("""COMPUTED_VALUE"""),1.0)</f>
        <v>1</v>
      </c>
      <c r="G95" s="255">
        <f>IFERROR(__xludf.DUMMYFUNCTION("""COMPUTED_VALUE"""),2.0)</f>
        <v>2</v>
      </c>
      <c r="H95" s="256">
        <f>IFERROR(__xludf.DUMMYFUNCTION("""COMPUTED_VALUE"""),239.76)</f>
        <v>239.76</v>
      </c>
      <c r="I95" s="256">
        <f>IFERROR(__xludf.DUMMYFUNCTION("""COMPUTED_VALUE"""),239.76)</f>
        <v>239.76</v>
      </c>
      <c r="J95" s="257">
        <f t="shared" si="1"/>
        <v>2</v>
      </c>
      <c r="K95" s="253"/>
      <c r="L95" s="253"/>
      <c r="M95" s="252"/>
      <c r="N95" s="258"/>
      <c r="O95" s="259"/>
      <c r="P95" s="259"/>
      <c r="Q95" s="262"/>
      <c r="R95" s="260"/>
      <c r="S95" s="260"/>
      <c r="T95" s="260"/>
      <c r="U95" s="261"/>
      <c r="V95" s="251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>
      <c r="A96" s="251">
        <f>IFERROR(__xludf.DUMMYFUNCTION("""COMPUTED_VALUE"""),8085008.0)</f>
        <v>8085008</v>
      </c>
      <c r="B96" s="252" t="str">
        <f>IFERROR(__xludf.DUMMYFUNCTION("""COMPUTED_VALUE"""),"Reseliva Pannel")</f>
        <v>Reseliva Pannel</v>
      </c>
      <c r="C96" s="253" t="str">
        <f>IFERROR(__xludf.DUMMYFUNCTION("""COMPUTED_VALUE"""),"Michelle Vincini ")</f>
        <v>Michelle Vincini </v>
      </c>
      <c r="D96" s="254">
        <f>IFERROR(__xludf.DUMMYFUNCTION("""COMPUTED_VALUE"""),46050.0)</f>
        <v>46050</v>
      </c>
      <c r="E96" s="251">
        <f>IFERROR(__xludf.DUMMYFUNCTION("""COMPUTED_VALUE"""),46051.0)</f>
        <v>46051</v>
      </c>
      <c r="F96" s="255">
        <f>IFERROR(__xludf.DUMMYFUNCTION("""COMPUTED_VALUE"""),1.0)</f>
        <v>1</v>
      </c>
      <c r="G96" s="255">
        <f>IFERROR(__xludf.DUMMYFUNCTION("""COMPUTED_VALUE"""),2.0)</f>
        <v>2</v>
      </c>
      <c r="H96" s="256">
        <f>IFERROR(__xludf.DUMMYFUNCTION("""COMPUTED_VALUE"""),300.24)</f>
        <v>300.24</v>
      </c>
      <c r="I96" s="256">
        <f>IFERROR(__xludf.DUMMYFUNCTION("""COMPUTED_VALUE"""),300.24)</f>
        <v>300.24</v>
      </c>
      <c r="J96" s="257">
        <f t="shared" si="1"/>
        <v>2</v>
      </c>
      <c r="K96" s="253"/>
      <c r="L96" s="253"/>
      <c r="M96" s="252"/>
      <c r="N96" s="258"/>
      <c r="O96" s="259"/>
      <c r="P96" s="259"/>
      <c r="Q96" s="257"/>
      <c r="R96" s="260"/>
      <c r="S96" s="260"/>
      <c r="T96" s="260"/>
      <c r="U96" s="261"/>
      <c r="V96" s="251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</row>
    <row r="97">
      <c r="A97" s="251">
        <f>IFERROR(__xludf.DUMMYFUNCTION("""COMPUTED_VALUE"""),8092678.0)</f>
        <v>8092678</v>
      </c>
      <c r="B97" s="252" t="str">
        <f>IFERROR(__xludf.DUMMYFUNCTION("""COMPUTED_VALUE"""),"BookingCom")</f>
        <v>BookingCom</v>
      </c>
      <c r="C97" s="253" t="str">
        <f>IFERROR(__xludf.DUMMYFUNCTION("""COMPUTED_VALUE"""),"CLEMENT CIGU ")</f>
        <v>CLEMENT CIGU </v>
      </c>
      <c r="D97" s="254">
        <f>IFERROR(__xludf.DUMMYFUNCTION("""COMPUTED_VALUE"""),46050.0)</f>
        <v>46050</v>
      </c>
      <c r="E97" s="251">
        <f>IFERROR(__xludf.DUMMYFUNCTION("""COMPUTED_VALUE"""),46052.0)</f>
        <v>46052</v>
      </c>
      <c r="F97" s="255">
        <f>IFERROR(__xludf.DUMMYFUNCTION("""COMPUTED_VALUE"""),2.0)</f>
        <v>2</v>
      </c>
      <c r="G97" s="255">
        <f>IFERROR(__xludf.DUMMYFUNCTION("""COMPUTED_VALUE"""),2.0)</f>
        <v>2</v>
      </c>
      <c r="H97" s="256">
        <f>IFERROR(__xludf.DUMMYFUNCTION("""COMPUTED_VALUE"""),150.78)</f>
        <v>150.78</v>
      </c>
      <c r="I97" s="256">
        <f>IFERROR(__xludf.DUMMYFUNCTION("""COMPUTED_VALUE"""),241.24800000000002)</f>
        <v>241.248</v>
      </c>
      <c r="J97" s="257">
        <f t="shared" si="1"/>
        <v>4</v>
      </c>
      <c r="K97" s="253"/>
      <c r="L97" s="253"/>
      <c r="M97" s="252"/>
      <c r="N97" s="258"/>
      <c r="O97" s="259"/>
      <c r="P97" s="259"/>
      <c r="Q97" s="262"/>
      <c r="R97" s="260"/>
      <c r="S97" s="260"/>
      <c r="T97" s="260"/>
      <c r="U97" s="261"/>
      <c r="V97" s="251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</row>
    <row r="98">
      <c r="A98" s="251">
        <f>IFERROR(__xludf.DUMMYFUNCTION("""COMPUTED_VALUE"""),8094028.0)</f>
        <v>8094028</v>
      </c>
      <c r="B98" s="252" t="str">
        <f>IFERROR(__xludf.DUMMYFUNCTION("""COMPUTED_VALUE"""),"Reseliva Pannel")</f>
        <v>Reseliva Pannel</v>
      </c>
      <c r="C98" s="253" t="str">
        <f>IFERROR(__xludf.DUMMYFUNCTION("""COMPUTED_VALUE"""),"karim karim ")</f>
        <v>karim karim </v>
      </c>
      <c r="D98" s="254">
        <f>IFERROR(__xludf.DUMMYFUNCTION("""COMPUTED_VALUE"""),46050.0)</f>
        <v>46050</v>
      </c>
      <c r="E98" s="251">
        <f>IFERROR(__xludf.DUMMYFUNCTION("""COMPUTED_VALUE"""),46052.0)</f>
        <v>46052</v>
      </c>
      <c r="F98" s="255">
        <f>IFERROR(__xludf.DUMMYFUNCTION("""COMPUTED_VALUE"""),2.0)</f>
        <v>2</v>
      </c>
      <c r="G98" s="255">
        <f>IFERROR(__xludf.DUMMYFUNCTION("""COMPUTED_VALUE"""),2.0)</f>
        <v>2</v>
      </c>
      <c r="H98" s="256">
        <f>IFERROR(__xludf.DUMMYFUNCTION("""COMPUTED_VALUE"""),210.24)</f>
        <v>210.24</v>
      </c>
      <c r="I98" s="256">
        <f>IFERROR(__xludf.DUMMYFUNCTION("""COMPUTED_VALUE"""),420.48)</f>
        <v>420.48</v>
      </c>
      <c r="J98" s="257">
        <f t="shared" si="1"/>
        <v>4</v>
      </c>
      <c r="K98" s="253"/>
      <c r="L98" s="253"/>
      <c r="M98" s="252"/>
      <c r="N98" s="258"/>
      <c r="O98" s="259"/>
      <c r="P98" s="259"/>
      <c r="Q98" s="262"/>
      <c r="R98" s="260"/>
      <c r="S98" s="260"/>
      <c r="T98" s="260"/>
      <c r="U98" s="261"/>
      <c r="V98" s="251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</row>
    <row r="99">
      <c r="A99" s="251">
        <f>IFERROR(__xludf.DUMMYFUNCTION("""COMPUTED_VALUE"""),7723145.0)</f>
        <v>7723145</v>
      </c>
      <c r="B99" s="252" t="str">
        <f>IFERROR(__xludf.DUMMYFUNCTION("""COMPUTED_VALUE"""),"Reseliva Pannel")</f>
        <v>Reseliva Pannel</v>
      </c>
      <c r="C99" s="253" t="str">
        <f>IFERROR(__xludf.DUMMYFUNCTION("""COMPUTED_VALUE"""),"Maryem Murielle ")</f>
        <v>Maryem Murielle </v>
      </c>
      <c r="D99" s="254">
        <f>IFERROR(__xludf.DUMMYFUNCTION("""COMPUTED_VALUE"""),46052.0)</f>
        <v>46052</v>
      </c>
      <c r="E99" s="251">
        <f>IFERROR(__xludf.DUMMYFUNCTION("""COMPUTED_VALUE"""),46054.0)</f>
        <v>46054</v>
      </c>
      <c r="F99" s="255">
        <f>IFERROR(__xludf.DUMMYFUNCTION("""COMPUTED_VALUE"""),2.0)</f>
        <v>2</v>
      </c>
      <c r="G99" s="255">
        <f>IFERROR(__xludf.DUMMYFUNCTION("""COMPUTED_VALUE"""),2.0)</f>
        <v>2</v>
      </c>
      <c r="H99" s="256">
        <f>IFERROR(__xludf.DUMMYFUNCTION("""COMPUTED_VALUE"""),174.96)</f>
        <v>174.96</v>
      </c>
      <c r="I99" s="256">
        <f>IFERROR(__xludf.DUMMYFUNCTION("""COMPUTED_VALUE"""),349.92)</f>
        <v>349.92</v>
      </c>
      <c r="J99" s="257">
        <f t="shared" si="1"/>
        <v>4</v>
      </c>
      <c r="K99" s="253"/>
      <c r="L99" s="253"/>
      <c r="M99" s="252"/>
      <c r="N99" s="258"/>
      <c r="O99" s="259"/>
      <c r="P99" s="259"/>
      <c r="Q99" s="257"/>
      <c r="R99" s="260"/>
      <c r="S99" s="260"/>
      <c r="T99" s="260"/>
      <c r="U99" s="261"/>
      <c r="V99" s="251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</row>
    <row r="100">
      <c r="A100" s="251">
        <f>IFERROR(__xludf.DUMMYFUNCTION("""COMPUTED_VALUE"""),7723145.0)</f>
        <v>7723145</v>
      </c>
      <c r="B100" s="252" t="str">
        <f>IFERROR(__xludf.DUMMYFUNCTION("""COMPUTED_VALUE"""),"Reseliva Pannel")</f>
        <v>Reseliva Pannel</v>
      </c>
      <c r="C100" s="253" t="str">
        <f>IFERROR(__xludf.DUMMYFUNCTION("""COMPUTED_VALUE"""),"Maryem Murielle ")</f>
        <v>Maryem Murielle </v>
      </c>
      <c r="D100" s="254">
        <f>IFERROR(__xludf.DUMMYFUNCTION("""COMPUTED_VALUE"""),46052.0)</f>
        <v>46052</v>
      </c>
      <c r="E100" s="251">
        <f>IFERROR(__xludf.DUMMYFUNCTION("""COMPUTED_VALUE"""),46054.0)</f>
        <v>46054</v>
      </c>
      <c r="F100" s="255">
        <f>IFERROR(__xludf.DUMMYFUNCTION("""COMPUTED_VALUE"""),2.0)</f>
        <v>2</v>
      </c>
      <c r="G100" s="255">
        <f>IFERROR(__xludf.DUMMYFUNCTION("""COMPUTED_VALUE"""),2.0)</f>
        <v>2</v>
      </c>
      <c r="H100" s="256">
        <f>IFERROR(__xludf.DUMMYFUNCTION("""COMPUTED_VALUE"""),200.16)</f>
        <v>200.16</v>
      </c>
      <c r="I100" s="256">
        <f>IFERROR(__xludf.DUMMYFUNCTION("""COMPUTED_VALUE"""),400.32)</f>
        <v>400.32</v>
      </c>
      <c r="J100" s="257">
        <f t="shared" si="1"/>
        <v>4</v>
      </c>
      <c r="K100" s="253"/>
      <c r="L100" s="253"/>
      <c r="M100" s="252"/>
      <c r="N100" s="258"/>
      <c r="O100" s="259"/>
      <c r="P100" s="259"/>
      <c r="Q100" s="257"/>
      <c r="R100" s="260"/>
      <c r="S100" s="260"/>
      <c r="T100" s="260"/>
      <c r="U100" s="261"/>
      <c r="V100" s="251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</row>
    <row r="101">
      <c r="A101" s="251">
        <f>IFERROR(__xludf.DUMMYFUNCTION("""COMPUTED_VALUE"""),7723145.0)</f>
        <v>7723145</v>
      </c>
      <c r="B101" s="252" t="str">
        <f>IFERROR(__xludf.DUMMYFUNCTION("""COMPUTED_VALUE"""),"Reseliva Pannel")</f>
        <v>Reseliva Pannel</v>
      </c>
      <c r="C101" s="253" t="str">
        <f>IFERROR(__xludf.DUMMYFUNCTION("""COMPUTED_VALUE"""),"Maryem Murielle ")</f>
        <v>Maryem Murielle </v>
      </c>
      <c r="D101" s="254">
        <f>IFERROR(__xludf.DUMMYFUNCTION("""COMPUTED_VALUE"""),46052.0)</f>
        <v>46052</v>
      </c>
      <c r="E101" s="251">
        <f>IFERROR(__xludf.DUMMYFUNCTION("""COMPUTED_VALUE"""),46054.0)</f>
        <v>46054</v>
      </c>
      <c r="F101" s="255">
        <f>IFERROR(__xludf.DUMMYFUNCTION("""COMPUTED_VALUE"""),2.0)</f>
        <v>2</v>
      </c>
      <c r="G101" s="255">
        <f>IFERROR(__xludf.DUMMYFUNCTION("""COMPUTED_VALUE"""),2.0)</f>
        <v>2</v>
      </c>
      <c r="H101" s="256">
        <f>IFERROR(__xludf.DUMMYFUNCTION("""COMPUTED_VALUE"""),249.84)</f>
        <v>249.84</v>
      </c>
      <c r="I101" s="256">
        <f>IFERROR(__xludf.DUMMYFUNCTION("""COMPUTED_VALUE"""),499.68)</f>
        <v>499.68</v>
      </c>
      <c r="J101" s="257">
        <f t="shared" si="1"/>
        <v>4</v>
      </c>
      <c r="K101" s="253"/>
      <c r="L101" s="253"/>
      <c r="M101" s="275"/>
      <c r="N101" s="258"/>
      <c r="O101" s="259"/>
      <c r="P101" s="259"/>
      <c r="Q101" s="257"/>
      <c r="R101" s="260"/>
      <c r="S101" s="260"/>
      <c r="T101" s="260"/>
      <c r="U101" s="261"/>
      <c r="V101" s="251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</row>
    <row r="102">
      <c r="A102" s="251">
        <f>IFERROR(__xludf.DUMMYFUNCTION("""COMPUTED_VALUE"""),7723145.0)</f>
        <v>7723145</v>
      </c>
      <c r="B102" s="252" t="str">
        <f>IFERROR(__xludf.DUMMYFUNCTION("""COMPUTED_VALUE"""),"Reseliva Pannel")</f>
        <v>Reseliva Pannel</v>
      </c>
      <c r="C102" s="253" t="str">
        <f>IFERROR(__xludf.DUMMYFUNCTION("""COMPUTED_VALUE"""),"Maryem Murielle ")</f>
        <v>Maryem Murielle </v>
      </c>
      <c r="D102" s="254">
        <f>IFERROR(__xludf.DUMMYFUNCTION("""COMPUTED_VALUE"""),46052.0)</f>
        <v>46052</v>
      </c>
      <c r="E102" s="251">
        <f>IFERROR(__xludf.DUMMYFUNCTION("""COMPUTED_VALUE"""),46054.0)</f>
        <v>46054</v>
      </c>
      <c r="F102" s="255">
        <f>IFERROR(__xludf.DUMMYFUNCTION("""COMPUTED_VALUE"""),2.0)</f>
        <v>2</v>
      </c>
      <c r="G102" s="255">
        <f>IFERROR(__xludf.DUMMYFUNCTION("""COMPUTED_VALUE"""),2.0)</f>
        <v>2</v>
      </c>
      <c r="H102" s="256">
        <f>IFERROR(__xludf.DUMMYFUNCTION("""COMPUTED_VALUE"""),499.68)</f>
        <v>499.68</v>
      </c>
      <c r="I102" s="256">
        <f>IFERROR(__xludf.DUMMYFUNCTION("""COMPUTED_VALUE"""),999.36)</f>
        <v>999.36</v>
      </c>
      <c r="J102" s="257">
        <f t="shared" si="1"/>
        <v>4</v>
      </c>
      <c r="K102" s="253"/>
      <c r="L102" s="253"/>
      <c r="M102" s="252"/>
      <c r="N102" s="258"/>
      <c r="O102" s="259"/>
      <c r="P102" s="259"/>
      <c r="Q102" s="262"/>
      <c r="R102" s="260"/>
      <c r="S102" s="260"/>
      <c r="T102" s="260"/>
      <c r="U102" s="261"/>
      <c r="V102" s="251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</row>
    <row r="103">
      <c r="A103" s="251">
        <f>IFERROR(__xludf.DUMMYFUNCTION("""COMPUTED_VALUE"""),7723145.0)</f>
        <v>7723145</v>
      </c>
      <c r="B103" s="252" t="str">
        <f>IFERROR(__xludf.DUMMYFUNCTION("""COMPUTED_VALUE"""),"Reseliva Pannel")</f>
        <v>Reseliva Pannel</v>
      </c>
      <c r="C103" s="253" t="str">
        <f>IFERROR(__xludf.DUMMYFUNCTION("""COMPUTED_VALUE"""),"Maryem Murielle ")</f>
        <v>Maryem Murielle </v>
      </c>
      <c r="D103" s="254">
        <f>IFERROR(__xludf.DUMMYFUNCTION("""COMPUTED_VALUE"""),46052.0)</f>
        <v>46052</v>
      </c>
      <c r="E103" s="251">
        <f>IFERROR(__xludf.DUMMYFUNCTION("""COMPUTED_VALUE"""),46054.0)</f>
        <v>46054</v>
      </c>
      <c r="F103" s="255">
        <f>IFERROR(__xludf.DUMMYFUNCTION("""COMPUTED_VALUE"""),2.0)</f>
        <v>2</v>
      </c>
      <c r="G103" s="255">
        <f>IFERROR(__xludf.DUMMYFUNCTION("""COMPUTED_VALUE"""),2.0)</f>
        <v>2</v>
      </c>
      <c r="H103" s="256">
        <f>IFERROR(__xludf.DUMMYFUNCTION("""COMPUTED_VALUE"""),200.16)</f>
        <v>200.16</v>
      </c>
      <c r="I103" s="256">
        <f>IFERROR(__xludf.DUMMYFUNCTION("""COMPUTED_VALUE"""),400.32)</f>
        <v>400.32</v>
      </c>
      <c r="J103" s="257">
        <f t="shared" si="1"/>
        <v>4</v>
      </c>
      <c r="K103" s="253"/>
      <c r="L103" s="253"/>
      <c r="M103" s="252"/>
      <c r="N103" s="258"/>
      <c r="O103" s="259"/>
      <c r="P103" s="259"/>
      <c r="Q103" s="262"/>
      <c r="R103" s="260"/>
      <c r="S103" s="260"/>
      <c r="T103" s="260"/>
      <c r="U103" s="261"/>
      <c r="V103" s="251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</row>
    <row r="104">
      <c r="A104" s="251">
        <f>IFERROR(__xludf.DUMMYFUNCTION("""COMPUTED_VALUE"""),7723145.0)</f>
        <v>7723145</v>
      </c>
      <c r="B104" s="252" t="str">
        <f>IFERROR(__xludf.DUMMYFUNCTION("""COMPUTED_VALUE"""),"Reseliva Pannel")</f>
        <v>Reseliva Pannel</v>
      </c>
      <c r="C104" s="253" t="str">
        <f>IFERROR(__xludf.DUMMYFUNCTION("""COMPUTED_VALUE"""),"Maryem Murielle ")</f>
        <v>Maryem Murielle </v>
      </c>
      <c r="D104" s="254">
        <f>IFERROR(__xludf.DUMMYFUNCTION("""COMPUTED_VALUE"""),46052.0)</f>
        <v>46052</v>
      </c>
      <c r="E104" s="251">
        <f>IFERROR(__xludf.DUMMYFUNCTION("""COMPUTED_VALUE"""),46054.0)</f>
        <v>46054</v>
      </c>
      <c r="F104" s="255">
        <f>IFERROR(__xludf.DUMMYFUNCTION("""COMPUTED_VALUE"""),2.0)</f>
        <v>2</v>
      </c>
      <c r="G104" s="255">
        <f>IFERROR(__xludf.DUMMYFUNCTION("""COMPUTED_VALUE"""),2.0)</f>
        <v>2</v>
      </c>
      <c r="H104" s="256">
        <f>IFERROR(__xludf.DUMMYFUNCTION("""COMPUTED_VALUE"""),200.16)</f>
        <v>200.16</v>
      </c>
      <c r="I104" s="256">
        <f>IFERROR(__xludf.DUMMYFUNCTION("""COMPUTED_VALUE"""),400.32)</f>
        <v>400.32</v>
      </c>
      <c r="J104" s="257">
        <f t="shared" si="1"/>
        <v>4</v>
      </c>
      <c r="K104" s="253"/>
      <c r="L104" s="253"/>
      <c r="M104" s="252"/>
      <c r="N104" s="258"/>
      <c r="O104" s="259"/>
      <c r="P104" s="259"/>
      <c r="Q104" s="262"/>
      <c r="R104" s="260"/>
      <c r="S104" s="260"/>
      <c r="T104" s="273"/>
      <c r="U104" s="274"/>
      <c r="V104" s="263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</row>
    <row r="105">
      <c r="A105" s="251">
        <f>IFERROR(__xludf.DUMMYFUNCTION("""COMPUTED_VALUE"""),7723145.0)</f>
        <v>7723145</v>
      </c>
      <c r="B105" s="252" t="str">
        <f>IFERROR(__xludf.DUMMYFUNCTION("""COMPUTED_VALUE"""),"Reseliva Pannel")</f>
        <v>Reseliva Pannel</v>
      </c>
      <c r="C105" s="253" t="str">
        <f>IFERROR(__xludf.DUMMYFUNCTION("""COMPUTED_VALUE"""),"Maryem Murielle ")</f>
        <v>Maryem Murielle </v>
      </c>
      <c r="D105" s="254">
        <f>IFERROR(__xludf.DUMMYFUNCTION("""COMPUTED_VALUE"""),46052.0)</f>
        <v>46052</v>
      </c>
      <c r="E105" s="251">
        <f>IFERROR(__xludf.DUMMYFUNCTION("""COMPUTED_VALUE"""),46054.0)</f>
        <v>46054</v>
      </c>
      <c r="F105" s="255">
        <f>IFERROR(__xludf.DUMMYFUNCTION("""COMPUTED_VALUE"""),2.0)</f>
        <v>2</v>
      </c>
      <c r="G105" s="255">
        <f>IFERROR(__xludf.DUMMYFUNCTION("""COMPUTED_VALUE"""),2.0)</f>
        <v>2</v>
      </c>
      <c r="H105" s="256">
        <f>IFERROR(__xludf.DUMMYFUNCTION("""COMPUTED_VALUE"""),200.16)</f>
        <v>200.16</v>
      </c>
      <c r="I105" s="256">
        <f>IFERROR(__xludf.DUMMYFUNCTION("""COMPUTED_VALUE"""),400.32)</f>
        <v>400.32</v>
      </c>
      <c r="J105" s="257">
        <f t="shared" si="1"/>
        <v>4</v>
      </c>
      <c r="K105" s="253"/>
      <c r="L105" s="253"/>
      <c r="M105" s="252"/>
      <c r="N105" s="258"/>
      <c r="O105" s="259"/>
      <c r="P105" s="259"/>
      <c r="Q105" s="257"/>
      <c r="R105" s="260"/>
      <c r="S105" s="260"/>
      <c r="T105" s="260"/>
      <c r="U105" s="261"/>
      <c r="V105" s="251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</row>
    <row r="106">
      <c r="A106" s="251">
        <f>IFERROR(__xludf.DUMMYFUNCTION("""COMPUTED_VALUE"""),7723145.0)</f>
        <v>7723145</v>
      </c>
      <c r="B106" s="252" t="str">
        <f>IFERROR(__xludf.DUMMYFUNCTION("""COMPUTED_VALUE"""),"Reseliva Pannel")</f>
        <v>Reseliva Pannel</v>
      </c>
      <c r="C106" s="253" t="str">
        <f>IFERROR(__xludf.DUMMYFUNCTION("""COMPUTED_VALUE"""),"Maryem Murielle ")</f>
        <v>Maryem Murielle </v>
      </c>
      <c r="D106" s="254">
        <f>IFERROR(__xludf.DUMMYFUNCTION("""COMPUTED_VALUE"""),46052.0)</f>
        <v>46052</v>
      </c>
      <c r="E106" s="251">
        <f>IFERROR(__xludf.DUMMYFUNCTION("""COMPUTED_VALUE"""),46054.0)</f>
        <v>46054</v>
      </c>
      <c r="F106" s="255">
        <f>IFERROR(__xludf.DUMMYFUNCTION("""COMPUTED_VALUE"""),2.0)</f>
        <v>2</v>
      </c>
      <c r="G106" s="255">
        <f>IFERROR(__xludf.DUMMYFUNCTION("""COMPUTED_VALUE"""),2.0)</f>
        <v>2</v>
      </c>
      <c r="H106" s="256">
        <f>IFERROR(__xludf.DUMMYFUNCTION("""COMPUTED_VALUE"""),200.16)</f>
        <v>200.16</v>
      </c>
      <c r="I106" s="256">
        <f>IFERROR(__xludf.DUMMYFUNCTION("""COMPUTED_VALUE"""),400.32)</f>
        <v>400.32</v>
      </c>
      <c r="J106" s="257">
        <f t="shared" si="1"/>
        <v>4</v>
      </c>
      <c r="K106" s="253"/>
      <c r="L106" s="253"/>
      <c r="M106" s="252"/>
      <c r="N106" s="258"/>
      <c r="O106" s="259"/>
      <c r="P106" s="259"/>
      <c r="Q106" s="257"/>
      <c r="R106" s="260"/>
      <c r="S106" s="260"/>
      <c r="T106" s="260"/>
      <c r="U106" s="261"/>
      <c r="V106" s="251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</row>
    <row r="107">
      <c r="A107" s="251">
        <f>IFERROR(__xludf.DUMMYFUNCTION("""COMPUTED_VALUE"""),7723145.0)</f>
        <v>7723145</v>
      </c>
      <c r="B107" s="252" t="str">
        <f>IFERROR(__xludf.DUMMYFUNCTION("""COMPUTED_VALUE"""),"Reseliva Pannel")</f>
        <v>Reseliva Pannel</v>
      </c>
      <c r="C107" s="253" t="str">
        <f>IFERROR(__xludf.DUMMYFUNCTION("""COMPUTED_VALUE"""),"Maryem Murielle ")</f>
        <v>Maryem Murielle </v>
      </c>
      <c r="D107" s="254">
        <f>IFERROR(__xludf.DUMMYFUNCTION("""COMPUTED_VALUE"""),46052.0)</f>
        <v>46052</v>
      </c>
      <c r="E107" s="251">
        <f>IFERROR(__xludf.DUMMYFUNCTION("""COMPUTED_VALUE"""),46054.0)</f>
        <v>46054</v>
      </c>
      <c r="F107" s="255">
        <f>IFERROR(__xludf.DUMMYFUNCTION("""COMPUTED_VALUE"""),2.0)</f>
        <v>2</v>
      </c>
      <c r="G107" s="255">
        <f>IFERROR(__xludf.DUMMYFUNCTION("""COMPUTED_VALUE"""),2.0)</f>
        <v>2</v>
      </c>
      <c r="H107" s="256">
        <f>IFERROR(__xludf.DUMMYFUNCTION("""COMPUTED_VALUE"""),249.84)</f>
        <v>249.84</v>
      </c>
      <c r="I107" s="256">
        <f>IFERROR(__xludf.DUMMYFUNCTION("""COMPUTED_VALUE"""),499.68)</f>
        <v>499.68</v>
      </c>
      <c r="J107" s="257">
        <f t="shared" si="1"/>
        <v>4</v>
      </c>
      <c r="K107" s="253"/>
      <c r="L107" s="253"/>
      <c r="M107" s="252"/>
      <c r="N107" s="258"/>
      <c r="O107" s="259"/>
      <c r="P107" s="259"/>
      <c r="Q107" s="257"/>
      <c r="R107" s="260"/>
      <c r="S107" s="260"/>
      <c r="T107" s="260"/>
      <c r="U107" s="261"/>
      <c r="V107" s="251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</row>
    <row r="108">
      <c r="A108" s="251">
        <f>IFERROR(__xludf.DUMMYFUNCTION("""COMPUTED_VALUE"""),7896422.0)</f>
        <v>7896422</v>
      </c>
      <c r="B108" s="252" t="str">
        <f>IFERROR(__xludf.DUMMYFUNCTION("""COMPUTED_VALUE"""),"Reseliva Pannel")</f>
        <v>Reseliva Pannel</v>
      </c>
      <c r="C108" s="253" t="str">
        <f>IFERROR(__xludf.DUMMYFUNCTION("""COMPUTED_VALUE"""),"Maryem Murielle ")</f>
        <v>Maryem Murielle </v>
      </c>
      <c r="D108" s="254">
        <f>IFERROR(__xludf.DUMMYFUNCTION("""COMPUTED_VALUE"""),46052.0)</f>
        <v>46052</v>
      </c>
      <c r="E108" s="251">
        <f>IFERROR(__xludf.DUMMYFUNCTION("""COMPUTED_VALUE"""),46054.0)</f>
        <v>46054</v>
      </c>
      <c r="F108" s="255">
        <f>IFERROR(__xludf.DUMMYFUNCTION("""COMPUTED_VALUE"""),2.0)</f>
        <v>2</v>
      </c>
      <c r="G108" s="255">
        <f>IFERROR(__xludf.DUMMYFUNCTION("""COMPUTED_VALUE"""),2.0)</f>
        <v>2</v>
      </c>
      <c r="H108" s="256">
        <f>IFERROR(__xludf.DUMMYFUNCTION("""COMPUTED_VALUE"""),270.0)</f>
        <v>270</v>
      </c>
      <c r="I108" s="256">
        <f>IFERROR(__xludf.DUMMYFUNCTION("""COMPUTED_VALUE"""),540.0)</f>
        <v>540</v>
      </c>
      <c r="J108" s="257">
        <f t="shared" si="1"/>
        <v>4</v>
      </c>
      <c r="K108" s="253"/>
      <c r="L108" s="253"/>
      <c r="M108" s="252"/>
      <c r="N108" s="258"/>
      <c r="O108" s="259"/>
      <c r="P108" s="259"/>
      <c r="Q108" s="262"/>
      <c r="R108" s="260"/>
      <c r="S108" s="260"/>
      <c r="T108" s="260"/>
      <c r="U108" s="261"/>
      <c r="V108" s="251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</row>
    <row r="109">
      <c r="A109" s="251">
        <f>IFERROR(__xludf.DUMMYFUNCTION("""COMPUTED_VALUE"""),8063136.0)</f>
        <v>8063136</v>
      </c>
      <c r="B109" s="252" t="str">
        <f>IFERROR(__xludf.DUMMYFUNCTION("""COMPUTED_VALUE"""),"Reseliva Pannel")</f>
        <v>Reseliva Pannel</v>
      </c>
      <c r="C109" s="253" t="str">
        <f>IFERROR(__xludf.DUMMYFUNCTION("""COMPUTED_VALUE"""),"Maria Verena Cosar ")</f>
        <v>Maria Verena Cosar </v>
      </c>
      <c r="D109" s="254">
        <f>IFERROR(__xludf.DUMMYFUNCTION("""COMPUTED_VALUE"""),46052.0)</f>
        <v>46052</v>
      </c>
      <c r="E109" s="251">
        <f>IFERROR(__xludf.DUMMYFUNCTION("""COMPUTED_VALUE"""),46068.0)</f>
        <v>46068</v>
      </c>
      <c r="F109" s="255">
        <f>IFERROR(__xludf.DUMMYFUNCTION("""COMPUTED_VALUE"""),16.0)</f>
        <v>16</v>
      </c>
      <c r="G109" s="255">
        <f>IFERROR(__xludf.DUMMYFUNCTION("""COMPUTED_VALUE"""),2.0)</f>
        <v>2</v>
      </c>
      <c r="H109" s="256">
        <f>IFERROR(__xludf.DUMMYFUNCTION("""COMPUTED_VALUE"""),270.0)</f>
        <v>270</v>
      </c>
      <c r="I109" s="256">
        <f>IFERROR(__xludf.DUMMYFUNCTION("""COMPUTED_VALUE"""),4320.0)</f>
        <v>4320</v>
      </c>
      <c r="J109" s="257">
        <f t="shared" si="1"/>
        <v>32</v>
      </c>
      <c r="K109" s="253"/>
      <c r="L109" s="253"/>
      <c r="M109" s="252"/>
      <c r="N109" s="258"/>
      <c r="O109" s="259"/>
      <c r="P109" s="259"/>
      <c r="Q109" s="262"/>
      <c r="R109" s="260"/>
      <c r="S109" s="260"/>
      <c r="T109" s="260"/>
      <c r="U109" s="261"/>
      <c r="V109" s="251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</row>
    <row r="110">
      <c r="A110" s="251">
        <f>IFERROR(__xludf.DUMMYFUNCTION("""COMPUTED_VALUE"""),7689581.0)</f>
        <v>7689581</v>
      </c>
      <c r="B110" s="252" t="str">
        <f>IFERROR(__xludf.DUMMYFUNCTION("""COMPUTED_VALUE"""),"BookingCom")</f>
        <v>BookingCom</v>
      </c>
      <c r="C110" s="253" t="str">
        <f>IFERROR(__xludf.DUMMYFUNCTION("""COMPUTED_VALUE"""),"Hardeep Kaur ")</f>
        <v>Hardeep Kaur </v>
      </c>
      <c r="D110" s="254">
        <f>IFERROR(__xludf.DUMMYFUNCTION("""COMPUTED_VALUE"""),46054.0)</f>
        <v>46054</v>
      </c>
      <c r="E110" s="251">
        <f>IFERROR(__xludf.DUMMYFUNCTION("""COMPUTED_VALUE"""),46059.0)</f>
        <v>46059</v>
      </c>
      <c r="F110" s="255">
        <f>IFERROR(__xludf.DUMMYFUNCTION("""COMPUTED_VALUE"""),5.0)</f>
        <v>5</v>
      </c>
      <c r="G110" s="255">
        <f>IFERROR(__xludf.DUMMYFUNCTION("""COMPUTED_VALUE"""),2.0)</f>
        <v>2</v>
      </c>
      <c r="H110" s="256">
        <f>IFERROR(__xludf.DUMMYFUNCTION("""COMPUTED_VALUE"""),156.07999999999998)</f>
        <v>156.08</v>
      </c>
      <c r="I110" s="256">
        <f>IFERROR(__xludf.DUMMYFUNCTION("""COMPUTED_VALUE"""),624.3199999999999)</f>
        <v>624.32</v>
      </c>
      <c r="J110" s="257">
        <f t="shared" si="1"/>
        <v>10</v>
      </c>
      <c r="K110" s="253"/>
      <c r="L110" s="253"/>
      <c r="M110" s="252"/>
      <c r="N110" s="258"/>
      <c r="O110" s="259"/>
      <c r="P110" s="259"/>
      <c r="Q110" s="257"/>
      <c r="R110" s="260"/>
      <c r="S110" s="260"/>
      <c r="T110" s="260"/>
      <c r="U110" s="261"/>
      <c r="V110" s="251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</row>
    <row r="111">
      <c r="A111" s="251">
        <f>IFERROR(__xludf.DUMMYFUNCTION("""COMPUTED_VALUE"""),7856498.0)</f>
        <v>7856498</v>
      </c>
      <c r="B111" s="252" t="str">
        <f>IFERROR(__xludf.DUMMYFUNCTION("""COMPUTED_VALUE"""),"BookingCom")</f>
        <v>BookingCom</v>
      </c>
      <c r="C111" s="253" t="str">
        <f>IFERROR(__xludf.DUMMYFUNCTION("""COMPUTED_VALUE"""),"Ioannis Papadopoulos ")</f>
        <v>Ioannis Papadopoulos </v>
      </c>
      <c r="D111" s="254">
        <f>IFERROR(__xludf.DUMMYFUNCTION("""COMPUTED_VALUE"""),46054.0)</f>
        <v>46054</v>
      </c>
      <c r="E111" s="251">
        <f>IFERROR(__xludf.DUMMYFUNCTION("""COMPUTED_VALUE"""),46057.0)</f>
        <v>46057</v>
      </c>
      <c r="F111" s="255">
        <f>IFERROR(__xludf.DUMMYFUNCTION("""COMPUTED_VALUE"""),3.0)</f>
        <v>3</v>
      </c>
      <c r="G111" s="255">
        <f>IFERROR(__xludf.DUMMYFUNCTION("""COMPUTED_VALUE"""),2.0)</f>
        <v>2</v>
      </c>
      <c r="H111" s="256">
        <f>IFERROR(__xludf.DUMMYFUNCTION("""COMPUTED_VALUE"""),214.54)</f>
        <v>214.54</v>
      </c>
      <c r="I111" s="256">
        <f>IFERROR(__xludf.DUMMYFUNCTION("""COMPUTED_VALUE"""),514.896)</f>
        <v>514.896</v>
      </c>
      <c r="J111" s="257">
        <f t="shared" si="1"/>
        <v>6</v>
      </c>
      <c r="K111" s="253"/>
      <c r="L111" s="253"/>
      <c r="M111" s="252"/>
      <c r="N111" s="258"/>
      <c r="O111" s="259"/>
      <c r="P111" s="259"/>
      <c r="Q111" s="262"/>
      <c r="R111" s="260"/>
      <c r="S111" s="260"/>
      <c r="T111" s="260"/>
      <c r="U111" s="261"/>
      <c r="V111" s="251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</row>
    <row r="112">
      <c r="A112" s="251">
        <f>IFERROR(__xludf.DUMMYFUNCTION("""COMPUTED_VALUE"""),7977030.0)</f>
        <v>7977030</v>
      </c>
      <c r="B112" s="252" t="str">
        <f>IFERROR(__xludf.DUMMYFUNCTION("""COMPUTED_VALUE"""),"Reseliva Pannel")</f>
        <v>Reseliva Pannel</v>
      </c>
      <c r="C112" s="253" t="str">
        <f>IFERROR(__xludf.DUMMYFUNCTION("""COMPUTED_VALUE"""),"Client Karim ")</f>
        <v>Client Karim </v>
      </c>
      <c r="D112" s="254">
        <f>IFERROR(__xludf.DUMMYFUNCTION("""COMPUTED_VALUE"""),46054.0)</f>
        <v>46054</v>
      </c>
      <c r="E112" s="251">
        <f>IFERROR(__xludf.DUMMYFUNCTION("""COMPUTED_VALUE"""),46056.0)</f>
        <v>46056</v>
      </c>
      <c r="F112" s="255">
        <f>IFERROR(__xludf.DUMMYFUNCTION("""COMPUTED_VALUE"""),2.0)</f>
        <v>2</v>
      </c>
      <c r="G112" s="255">
        <f>IFERROR(__xludf.DUMMYFUNCTION("""COMPUTED_VALUE"""),2.0)</f>
        <v>2</v>
      </c>
      <c r="H112" s="256">
        <f>IFERROR(__xludf.DUMMYFUNCTION("""COMPUTED_VALUE"""),239.76)</f>
        <v>239.76</v>
      </c>
      <c r="I112" s="256">
        <f>IFERROR(__xludf.DUMMYFUNCTION("""COMPUTED_VALUE"""),479.52)</f>
        <v>479.52</v>
      </c>
      <c r="J112" s="257">
        <f t="shared" si="1"/>
        <v>4</v>
      </c>
      <c r="K112" s="253"/>
      <c r="L112" s="253"/>
      <c r="M112" s="252"/>
      <c r="N112" s="258"/>
      <c r="O112" s="259"/>
      <c r="P112" s="259"/>
      <c r="Q112" s="262"/>
      <c r="R112" s="260"/>
      <c r="S112" s="260"/>
      <c r="T112" s="260"/>
      <c r="U112" s="261"/>
      <c r="V112" s="251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</row>
    <row r="113">
      <c r="A113" s="251">
        <f>IFERROR(__xludf.DUMMYFUNCTION("""COMPUTED_VALUE"""),8018346.0)</f>
        <v>8018346</v>
      </c>
      <c r="B113" s="252" t="str">
        <f>IFERROR(__xludf.DUMMYFUNCTION("""COMPUTED_VALUE"""),"American Express Travel")</f>
        <v>American Express Travel</v>
      </c>
      <c r="C113" s="253" t="str">
        <f>IFERROR(__xludf.DUMMYFUNCTION("""COMPUTED_VALUE"""),"Jesse Schwartz ")</f>
        <v>Jesse Schwartz </v>
      </c>
      <c r="D113" s="254">
        <f>IFERROR(__xludf.DUMMYFUNCTION("""COMPUTED_VALUE"""),46054.0)</f>
        <v>46054</v>
      </c>
      <c r="E113" s="251">
        <f>IFERROR(__xludf.DUMMYFUNCTION("""COMPUTED_VALUE"""),46057.0)</f>
        <v>46057</v>
      </c>
      <c r="F113" s="255">
        <f>IFERROR(__xludf.DUMMYFUNCTION("""COMPUTED_VALUE"""),3.0)</f>
        <v>3</v>
      </c>
      <c r="G113" s="255">
        <f>IFERROR(__xludf.DUMMYFUNCTION("""COMPUTED_VALUE"""),2.0)</f>
        <v>2</v>
      </c>
      <c r="H113" s="256">
        <f>IFERROR(__xludf.DUMMYFUNCTION("""COMPUTED_VALUE"""),236.51999999999998)</f>
        <v>236.52</v>
      </c>
      <c r="I113" s="256">
        <f>IFERROR(__xludf.DUMMYFUNCTION("""COMPUTED_VALUE"""),567.648)</f>
        <v>567.648</v>
      </c>
      <c r="J113" s="257">
        <f t="shared" si="1"/>
        <v>6</v>
      </c>
      <c r="K113" s="253"/>
      <c r="L113" s="253"/>
      <c r="M113" s="252"/>
      <c r="N113" s="258"/>
      <c r="O113" s="259"/>
      <c r="P113" s="259"/>
      <c r="Q113" s="262"/>
      <c r="R113" s="260"/>
      <c r="S113" s="260"/>
      <c r="T113" s="260"/>
      <c r="U113" s="261"/>
      <c r="V113" s="251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</row>
    <row r="114">
      <c r="A114" s="251">
        <f>IFERROR(__xludf.DUMMYFUNCTION("""COMPUTED_VALUE"""),8039731.0)</f>
        <v>8039731</v>
      </c>
      <c r="B114" s="252" t="str">
        <f>IFERROR(__xludf.DUMMYFUNCTION("""COMPUTED_VALUE"""),"BookingCom")</f>
        <v>BookingCom</v>
      </c>
      <c r="C114" s="253" t="str">
        <f>IFERROR(__xludf.DUMMYFUNCTION("""COMPUTED_VALUE"""),"Helen Turner ")</f>
        <v>Helen Turner </v>
      </c>
      <c r="D114" s="254">
        <f>IFERROR(__xludf.DUMMYFUNCTION("""COMPUTED_VALUE"""),46054.0)</f>
        <v>46054</v>
      </c>
      <c r="E114" s="251">
        <f>IFERROR(__xludf.DUMMYFUNCTION("""COMPUTED_VALUE"""),46056.0)</f>
        <v>46056</v>
      </c>
      <c r="F114" s="255">
        <f>IFERROR(__xludf.DUMMYFUNCTION("""COMPUTED_VALUE"""),2.0)</f>
        <v>2</v>
      </c>
      <c r="G114" s="255">
        <f>IFERROR(__xludf.DUMMYFUNCTION("""COMPUTED_VALUE"""),2.0)</f>
        <v>2</v>
      </c>
      <c r="H114" s="256">
        <f>IFERROR(__xludf.DUMMYFUNCTION("""COMPUTED_VALUE"""),198.14)</f>
        <v>198.14</v>
      </c>
      <c r="I114" s="256">
        <f>IFERROR(__xludf.DUMMYFUNCTION("""COMPUTED_VALUE"""),317.024)</f>
        <v>317.024</v>
      </c>
      <c r="J114" s="257">
        <f t="shared" si="1"/>
        <v>4</v>
      </c>
      <c r="K114" s="253"/>
      <c r="L114" s="253"/>
      <c r="M114" s="252"/>
      <c r="N114" s="258"/>
      <c r="O114" s="259"/>
      <c r="P114" s="259"/>
      <c r="Q114" s="262"/>
      <c r="R114" s="260"/>
      <c r="S114" s="260"/>
      <c r="T114" s="260"/>
      <c r="U114" s="261"/>
      <c r="V114" s="251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</row>
    <row r="115">
      <c r="A115" s="251">
        <f>IFERROR(__xludf.DUMMYFUNCTION("""COMPUTED_VALUE"""),7947241.0)</f>
        <v>7947241</v>
      </c>
      <c r="B115" s="252" t="str">
        <f>IFERROR(__xludf.DUMMYFUNCTION("""COMPUTED_VALUE"""),"BookingCom")</f>
        <v>BookingCom</v>
      </c>
      <c r="C115" s="253" t="str">
        <f>IFERROR(__xludf.DUMMYFUNCTION("""COMPUTED_VALUE"""),"Bronte Scharff ")</f>
        <v>Bronte Scharff </v>
      </c>
      <c r="D115" s="254">
        <f>IFERROR(__xludf.DUMMYFUNCTION("""COMPUTED_VALUE"""),46055.0)</f>
        <v>46055</v>
      </c>
      <c r="E115" s="251">
        <f>IFERROR(__xludf.DUMMYFUNCTION("""COMPUTED_VALUE"""),46058.0)</f>
        <v>46058</v>
      </c>
      <c r="F115" s="255">
        <f>IFERROR(__xludf.DUMMYFUNCTION("""COMPUTED_VALUE"""),3.0)</f>
        <v>3</v>
      </c>
      <c r="G115" s="255">
        <f>IFERROR(__xludf.DUMMYFUNCTION("""COMPUTED_VALUE"""),2.0)</f>
        <v>2</v>
      </c>
      <c r="H115" s="256">
        <f>IFERROR(__xludf.DUMMYFUNCTION("""COMPUTED_VALUE"""),162.6)</f>
        <v>162.6</v>
      </c>
      <c r="I115" s="256">
        <f>IFERROR(__xludf.DUMMYFUNCTION("""COMPUTED_VALUE"""),390.24)</f>
        <v>390.24</v>
      </c>
      <c r="J115" s="257">
        <f t="shared" si="1"/>
        <v>6</v>
      </c>
      <c r="K115" s="253"/>
      <c r="L115" s="253"/>
      <c r="M115" s="252"/>
      <c r="N115" s="258"/>
      <c r="O115" s="259"/>
      <c r="P115" s="259"/>
      <c r="Q115" s="262"/>
      <c r="R115" s="260"/>
      <c r="S115" s="260"/>
      <c r="T115" s="260"/>
      <c r="U115" s="261"/>
      <c r="V115" s="251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</row>
    <row r="116">
      <c r="A116" s="251">
        <f>IFERROR(__xludf.DUMMYFUNCTION("""COMPUTED_VALUE"""),8030214.0)</f>
        <v>8030214</v>
      </c>
      <c r="B116" s="252" t="str">
        <f>IFERROR(__xludf.DUMMYFUNCTION("""COMPUTED_VALUE"""),"Reseliva")</f>
        <v>Reseliva</v>
      </c>
      <c r="C116" s="253" t="str">
        <f>IFERROR(__xludf.DUMMYFUNCTION("""COMPUTED_VALUE"""),"Hans Adlerson ")</f>
        <v>Hans Adlerson </v>
      </c>
      <c r="D116" s="254">
        <f>IFERROR(__xludf.DUMMYFUNCTION("""COMPUTED_VALUE"""),46055.0)</f>
        <v>46055</v>
      </c>
      <c r="E116" s="251">
        <f>IFERROR(__xludf.DUMMYFUNCTION("""COMPUTED_VALUE"""),46056.0)</f>
        <v>46056</v>
      </c>
      <c r="F116" s="255">
        <f>IFERROR(__xludf.DUMMYFUNCTION("""COMPUTED_VALUE"""),1.0)</f>
        <v>1</v>
      </c>
      <c r="G116" s="255">
        <f>IFERROR(__xludf.DUMMYFUNCTION("""COMPUTED_VALUE"""),2.0)</f>
        <v>2</v>
      </c>
      <c r="H116" s="256">
        <f>IFERROR(__xludf.DUMMYFUNCTION("""COMPUTED_VALUE"""),219.38)</f>
        <v>219.38</v>
      </c>
      <c r="I116" s="256">
        <f>IFERROR(__xludf.DUMMYFUNCTION("""COMPUTED_VALUE"""),217.18619999999999)</f>
        <v>217.1862</v>
      </c>
      <c r="J116" s="257">
        <f t="shared" si="1"/>
        <v>2</v>
      </c>
      <c r="K116" s="253"/>
      <c r="L116" s="253"/>
      <c r="M116" s="252"/>
      <c r="N116" s="258"/>
      <c r="O116" s="259"/>
      <c r="P116" s="259"/>
      <c r="Q116" s="262"/>
      <c r="R116" s="260"/>
      <c r="S116" s="260"/>
      <c r="T116" s="260"/>
      <c r="U116" s="261"/>
      <c r="V116" s="251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</row>
    <row r="117">
      <c r="A117" s="251">
        <f>IFERROR(__xludf.DUMMYFUNCTION("""COMPUTED_VALUE"""),8046288.0)</f>
        <v>8046288</v>
      </c>
      <c r="B117" s="252" t="str">
        <f>IFERROR(__xludf.DUMMYFUNCTION("""COMPUTED_VALUE"""),"BookingCom")</f>
        <v>BookingCom</v>
      </c>
      <c r="C117" s="253" t="str">
        <f>IFERROR(__xludf.DUMMYFUNCTION("""COMPUTED_VALUE"""),"Markus Frohnmaier ")</f>
        <v>Markus Frohnmaier </v>
      </c>
      <c r="D117" s="254">
        <f>IFERROR(__xludf.DUMMYFUNCTION("""COMPUTED_VALUE"""),46055.0)</f>
        <v>46055</v>
      </c>
      <c r="E117" s="251">
        <f>IFERROR(__xludf.DUMMYFUNCTION("""COMPUTED_VALUE"""),46058.0)</f>
        <v>46058</v>
      </c>
      <c r="F117" s="255">
        <f>IFERROR(__xludf.DUMMYFUNCTION("""COMPUTED_VALUE"""),3.0)</f>
        <v>3</v>
      </c>
      <c r="G117" s="255">
        <f>IFERROR(__xludf.DUMMYFUNCTION("""COMPUTED_VALUE"""),3.0)</f>
        <v>3</v>
      </c>
      <c r="H117" s="256">
        <f>IFERROR(__xludf.DUMMYFUNCTION("""COMPUTED_VALUE"""),205.03)</f>
        <v>205.03</v>
      </c>
      <c r="I117" s="256">
        <f>IFERROR(__xludf.DUMMYFUNCTION("""COMPUTED_VALUE"""),492.072)</f>
        <v>492.072</v>
      </c>
      <c r="J117" s="257">
        <f t="shared" si="1"/>
        <v>9</v>
      </c>
      <c r="K117" s="253"/>
      <c r="L117" s="253"/>
      <c r="M117" s="252"/>
      <c r="N117" s="258"/>
      <c r="O117" s="259"/>
      <c r="P117" s="259"/>
      <c r="Q117" s="262"/>
      <c r="R117" s="260"/>
      <c r="S117" s="260"/>
      <c r="T117" s="260"/>
      <c r="U117" s="261"/>
      <c r="V117" s="251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</row>
    <row r="118">
      <c r="A118" s="251">
        <f>IFERROR(__xludf.DUMMYFUNCTION("""COMPUTED_VALUE"""),7103093.0)</f>
        <v>7103093</v>
      </c>
      <c r="B118" s="252" t="str">
        <f>IFERROR(__xludf.DUMMYFUNCTION("""COMPUTED_VALUE"""),"BookingCom")</f>
        <v>BookingCom</v>
      </c>
      <c r="C118" s="253" t="str">
        <f>IFERROR(__xludf.DUMMYFUNCTION("""COMPUTED_VALUE"""),"Alison Yates ")</f>
        <v>Alison Yates </v>
      </c>
      <c r="D118" s="254">
        <f>IFERROR(__xludf.DUMMYFUNCTION("""COMPUTED_VALUE"""),46056.0)</f>
        <v>46056</v>
      </c>
      <c r="E118" s="251">
        <f>IFERROR(__xludf.DUMMYFUNCTION("""COMPUTED_VALUE"""),46061.0)</f>
        <v>46061</v>
      </c>
      <c r="F118" s="255">
        <f>IFERROR(__xludf.DUMMYFUNCTION("""COMPUTED_VALUE"""),5.0)</f>
        <v>5</v>
      </c>
      <c r="G118" s="255">
        <f>IFERROR(__xludf.DUMMYFUNCTION("""COMPUTED_VALUE"""),2.0)</f>
        <v>2</v>
      </c>
      <c r="H118" s="256">
        <f>IFERROR(__xludf.DUMMYFUNCTION("""COMPUTED_VALUE"""),241.81)</f>
        <v>241.81</v>
      </c>
      <c r="I118" s="256">
        <f>IFERROR(__xludf.DUMMYFUNCTION("""COMPUTED_VALUE"""),967.24)</f>
        <v>967.24</v>
      </c>
      <c r="J118" s="257">
        <f t="shared" si="1"/>
        <v>10</v>
      </c>
      <c r="K118" s="253"/>
      <c r="L118" s="253"/>
      <c r="M118" s="252"/>
      <c r="N118" s="258"/>
      <c r="O118" s="259"/>
      <c r="P118" s="259"/>
      <c r="Q118" s="257"/>
      <c r="R118" s="260"/>
      <c r="S118" s="260"/>
      <c r="T118" s="260"/>
      <c r="U118" s="261"/>
      <c r="V118" s="251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</row>
    <row r="119">
      <c r="A119" s="251">
        <f>IFERROR(__xludf.DUMMYFUNCTION("""COMPUTED_VALUE"""),8012382.0)</f>
        <v>8012382</v>
      </c>
      <c r="B119" s="252" t="str">
        <f>IFERROR(__xludf.DUMMYFUNCTION("""COMPUTED_VALUE"""),"BookingCom")</f>
        <v>BookingCom</v>
      </c>
      <c r="C119" s="253" t="str">
        <f>IFERROR(__xludf.DUMMYFUNCTION("""COMPUTED_VALUE"""),"Catherine Achouch ")</f>
        <v>Catherine Achouch </v>
      </c>
      <c r="D119" s="254">
        <f>IFERROR(__xludf.DUMMYFUNCTION("""COMPUTED_VALUE"""),46056.0)</f>
        <v>46056</v>
      </c>
      <c r="E119" s="251">
        <f>IFERROR(__xludf.DUMMYFUNCTION("""COMPUTED_VALUE"""),46058.0)</f>
        <v>46058</v>
      </c>
      <c r="F119" s="255">
        <f>IFERROR(__xludf.DUMMYFUNCTION("""COMPUTED_VALUE"""),2.0)</f>
        <v>2</v>
      </c>
      <c r="G119" s="255">
        <f>IFERROR(__xludf.DUMMYFUNCTION("""COMPUTED_VALUE"""),1.0)</f>
        <v>1</v>
      </c>
      <c r="H119" s="256">
        <f>IFERROR(__xludf.DUMMYFUNCTION("""COMPUTED_VALUE"""),196.35)</f>
        <v>196.35</v>
      </c>
      <c r="I119" s="256">
        <f>IFERROR(__xludf.DUMMYFUNCTION("""COMPUTED_VALUE"""),314.16)</f>
        <v>314.16</v>
      </c>
      <c r="J119" s="257">
        <f t="shared" si="1"/>
        <v>2</v>
      </c>
      <c r="K119" s="253"/>
      <c r="L119" s="253"/>
      <c r="M119" s="252"/>
      <c r="N119" s="258"/>
      <c r="O119" s="259"/>
      <c r="P119" s="259"/>
      <c r="Q119" s="262"/>
      <c r="R119" s="260"/>
      <c r="S119" s="260"/>
      <c r="T119" s="260"/>
      <c r="U119" s="261"/>
      <c r="V119" s="251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</row>
    <row r="120">
      <c r="A120" s="251">
        <f>IFERROR(__xludf.DUMMYFUNCTION("""COMPUTED_VALUE"""),8089147.0)</f>
        <v>8089147</v>
      </c>
      <c r="B120" s="252" t="str">
        <f>IFERROR(__xludf.DUMMYFUNCTION("""COMPUTED_VALUE"""),"BookingCom")</f>
        <v>BookingCom</v>
      </c>
      <c r="C120" s="253" t="str">
        <f>IFERROR(__xludf.DUMMYFUNCTION("""COMPUTED_VALUE"""),"Roger van Norden ")</f>
        <v>Roger van Norden </v>
      </c>
      <c r="D120" s="254">
        <f>IFERROR(__xludf.DUMMYFUNCTION("""COMPUTED_VALUE"""),46056.0)</f>
        <v>46056</v>
      </c>
      <c r="E120" s="251">
        <f>IFERROR(__xludf.DUMMYFUNCTION("""COMPUTED_VALUE"""),46059.0)</f>
        <v>46059</v>
      </c>
      <c r="F120" s="255">
        <f>IFERROR(__xludf.DUMMYFUNCTION("""COMPUTED_VALUE"""),3.0)</f>
        <v>3</v>
      </c>
      <c r="G120" s="255">
        <f>IFERROR(__xludf.DUMMYFUNCTION("""COMPUTED_VALUE"""),2.0)</f>
        <v>2</v>
      </c>
      <c r="H120" s="256">
        <f>IFERROR(__xludf.DUMMYFUNCTION("""COMPUTED_VALUE"""),169.42)</f>
        <v>169.42</v>
      </c>
      <c r="I120" s="256">
        <f>IFERROR(__xludf.DUMMYFUNCTION("""COMPUTED_VALUE"""),406.608)</f>
        <v>406.608</v>
      </c>
      <c r="J120" s="257">
        <f t="shared" si="1"/>
        <v>6</v>
      </c>
      <c r="K120" s="253"/>
      <c r="L120" s="253"/>
      <c r="M120" s="252"/>
      <c r="N120" s="258"/>
      <c r="O120" s="259"/>
      <c r="P120" s="259"/>
      <c r="Q120" s="262"/>
      <c r="R120" s="260"/>
      <c r="S120" s="260"/>
      <c r="T120" s="260"/>
      <c r="U120" s="261"/>
      <c r="V120" s="251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</row>
    <row r="121">
      <c r="A121" s="251">
        <f>IFERROR(__xludf.DUMMYFUNCTION("""COMPUTED_VALUE"""),8123571.0)</f>
        <v>8123571</v>
      </c>
      <c r="B121" s="252" t="str">
        <f>IFERROR(__xludf.DUMMYFUNCTION("""COMPUTED_VALUE"""),"Expedia Affiliate Network")</f>
        <v>Expedia Affiliate Network</v>
      </c>
      <c r="C121" s="253" t="str">
        <f>IFERROR(__xludf.DUMMYFUNCTION("""COMPUTED_VALUE"""),"Richard Anastasiya Rosenblum Spizhuk ")</f>
        <v>Richard Anastasiya Rosenblum Spizhuk </v>
      </c>
      <c r="D121" s="254">
        <f>IFERROR(__xludf.DUMMYFUNCTION("""COMPUTED_VALUE"""),46056.0)</f>
        <v>46056</v>
      </c>
      <c r="E121" s="251">
        <f>IFERROR(__xludf.DUMMYFUNCTION("""COMPUTED_VALUE"""),46057.0)</f>
        <v>46057</v>
      </c>
      <c r="F121" s="255">
        <f>IFERROR(__xludf.DUMMYFUNCTION("""COMPUTED_VALUE"""),1.0)</f>
        <v>1</v>
      </c>
      <c r="G121" s="255">
        <f>IFERROR(__xludf.DUMMYFUNCTION("""COMPUTED_VALUE"""),2.0)</f>
        <v>2</v>
      </c>
      <c r="H121" s="256">
        <f>IFERROR(__xludf.DUMMYFUNCTION("""COMPUTED_VALUE"""),269.72)</f>
        <v>269.72</v>
      </c>
      <c r="I121" s="256">
        <f>IFERROR(__xludf.DUMMYFUNCTION("""COMPUTED_VALUE"""),215.77600000000004)</f>
        <v>215.776</v>
      </c>
      <c r="J121" s="257">
        <f t="shared" si="1"/>
        <v>2</v>
      </c>
      <c r="K121" s="253"/>
      <c r="L121" s="253"/>
      <c r="M121" s="252"/>
      <c r="N121" s="258"/>
      <c r="O121" s="259"/>
      <c r="P121" s="259"/>
      <c r="Q121" s="262"/>
      <c r="R121" s="260"/>
      <c r="S121" s="260"/>
      <c r="T121" s="260"/>
      <c r="U121" s="261"/>
      <c r="V121" s="251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</row>
    <row r="122">
      <c r="A122" s="251">
        <f>IFERROR(__xludf.DUMMYFUNCTION("""COMPUTED_VALUE"""),7825156.0)</f>
        <v>7825156</v>
      </c>
      <c r="B122" s="252" t="str">
        <f>IFERROR(__xludf.DUMMYFUNCTION("""COMPUTED_VALUE"""),"BookingCom")</f>
        <v>BookingCom</v>
      </c>
      <c r="C122" s="253" t="str">
        <f>IFERROR(__xludf.DUMMYFUNCTION("""COMPUTED_VALUE"""),"Christian Czychowski ")</f>
        <v>Christian Czychowski </v>
      </c>
      <c r="D122" s="254">
        <f>IFERROR(__xludf.DUMMYFUNCTION("""COMPUTED_VALUE"""),46057.0)</f>
        <v>46057</v>
      </c>
      <c r="E122" s="251">
        <f>IFERROR(__xludf.DUMMYFUNCTION("""COMPUTED_VALUE"""),46061.0)</f>
        <v>46061</v>
      </c>
      <c r="F122" s="255">
        <f>IFERROR(__xludf.DUMMYFUNCTION("""COMPUTED_VALUE"""),4.0)</f>
        <v>4</v>
      </c>
      <c r="G122" s="255">
        <f>IFERROR(__xludf.DUMMYFUNCTION("""COMPUTED_VALUE"""),2.0)</f>
        <v>2</v>
      </c>
      <c r="H122" s="256">
        <f>IFERROR(__xludf.DUMMYFUNCTION("""COMPUTED_VALUE"""),440.01)</f>
        <v>440.01</v>
      </c>
      <c r="I122" s="256">
        <f>IFERROR(__xludf.DUMMYFUNCTION("""COMPUTED_VALUE"""),1408.0320000000002)</f>
        <v>1408.032</v>
      </c>
      <c r="J122" s="257">
        <f t="shared" si="1"/>
        <v>8</v>
      </c>
      <c r="K122" s="253"/>
      <c r="L122" s="253"/>
      <c r="M122" s="252"/>
      <c r="N122" s="258"/>
      <c r="O122" s="259"/>
      <c r="P122" s="259"/>
      <c r="Q122" s="262"/>
      <c r="R122" s="260"/>
      <c r="S122" s="260"/>
      <c r="T122" s="260"/>
      <c r="U122" s="261"/>
      <c r="V122" s="251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</row>
    <row r="123">
      <c r="A123" s="251">
        <f>IFERROR(__xludf.DUMMYFUNCTION("""COMPUTED_VALUE"""),7986116.0)</f>
        <v>7986116</v>
      </c>
      <c r="B123" s="252" t="str">
        <f>IFERROR(__xludf.DUMMYFUNCTION("""COMPUTED_VALUE"""),"BookingCom")</f>
        <v>BookingCom</v>
      </c>
      <c r="C123" s="253" t="str">
        <f>IFERROR(__xludf.DUMMYFUNCTION("""COMPUTED_VALUE"""),"Fiona Pfaffli ")</f>
        <v>Fiona Pfaffli </v>
      </c>
      <c r="D123" s="254">
        <f>IFERROR(__xludf.DUMMYFUNCTION("""COMPUTED_VALUE"""),46057.0)</f>
        <v>46057</v>
      </c>
      <c r="E123" s="251">
        <f>IFERROR(__xludf.DUMMYFUNCTION("""COMPUTED_VALUE"""),46059.0)</f>
        <v>46059</v>
      </c>
      <c r="F123" s="255">
        <f>IFERROR(__xludf.DUMMYFUNCTION("""COMPUTED_VALUE"""),2.0)</f>
        <v>2</v>
      </c>
      <c r="G123" s="255">
        <f>IFERROR(__xludf.DUMMYFUNCTION("""COMPUTED_VALUE"""),2.0)</f>
        <v>2</v>
      </c>
      <c r="H123" s="256">
        <f>IFERROR(__xludf.DUMMYFUNCTION("""COMPUTED_VALUE"""),149.22)</f>
        <v>149.22</v>
      </c>
      <c r="I123" s="256">
        <f>IFERROR(__xludf.DUMMYFUNCTION("""COMPUTED_VALUE"""),238.752)</f>
        <v>238.752</v>
      </c>
      <c r="J123" s="257">
        <f t="shared" si="1"/>
        <v>4</v>
      </c>
      <c r="K123" s="253"/>
      <c r="L123" s="253"/>
      <c r="M123" s="252"/>
      <c r="N123" s="258"/>
      <c r="O123" s="259"/>
      <c r="P123" s="259"/>
      <c r="Q123" s="257"/>
      <c r="R123" s="260"/>
      <c r="S123" s="260"/>
      <c r="T123" s="260"/>
      <c r="U123" s="261"/>
      <c r="V123" s="251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</row>
    <row r="124">
      <c r="A124" s="251">
        <f>IFERROR(__xludf.DUMMYFUNCTION("""COMPUTED_VALUE"""),8012358.0)</f>
        <v>8012358</v>
      </c>
      <c r="B124" s="252" t="str">
        <f>IFERROR(__xludf.DUMMYFUNCTION("""COMPUTED_VALUE"""),"BookingCom")</f>
        <v>BookingCom</v>
      </c>
      <c r="C124" s="253" t="str">
        <f>IFERROR(__xludf.DUMMYFUNCTION("""COMPUTED_VALUE"""),"Julie Prot ")</f>
        <v>Julie Prot </v>
      </c>
      <c r="D124" s="254">
        <f>IFERROR(__xludf.DUMMYFUNCTION("""COMPUTED_VALUE"""),46057.0)</f>
        <v>46057</v>
      </c>
      <c r="E124" s="251">
        <f>IFERROR(__xludf.DUMMYFUNCTION("""COMPUTED_VALUE"""),46058.0)</f>
        <v>46058</v>
      </c>
      <c r="F124" s="255">
        <f>IFERROR(__xludf.DUMMYFUNCTION("""COMPUTED_VALUE"""),1.0)</f>
        <v>1</v>
      </c>
      <c r="G124" s="255">
        <f>IFERROR(__xludf.DUMMYFUNCTION("""COMPUTED_VALUE"""),1.0)</f>
        <v>1</v>
      </c>
      <c r="H124" s="256">
        <f>IFERROR(__xludf.DUMMYFUNCTION("""COMPUTED_VALUE"""),246.7)</f>
        <v>246.7</v>
      </c>
      <c r="I124" s="256">
        <f>IFERROR(__xludf.DUMMYFUNCTION("""COMPUTED_VALUE"""),197.36)</f>
        <v>197.36</v>
      </c>
      <c r="J124" s="257">
        <f t="shared" si="1"/>
        <v>1</v>
      </c>
      <c r="K124" s="253"/>
      <c r="L124" s="253"/>
      <c r="M124" s="252"/>
      <c r="N124" s="258"/>
      <c r="O124" s="259"/>
      <c r="P124" s="259"/>
      <c r="Q124" s="262"/>
      <c r="R124" s="260"/>
      <c r="S124" s="260"/>
      <c r="T124" s="260"/>
      <c r="U124" s="261"/>
      <c r="V124" s="251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</row>
    <row r="125">
      <c r="A125" s="251">
        <f>IFERROR(__xludf.DUMMYFUNCTION("""COMPUTED_VALUE"""),7044138.0)</f>
        <v>7044138</v>
      </c>
      <c r="B125" s="252" t="str">
        <f>IFERROR(__xludf.DUMMYFUNCTION("""COMPUTED_VALUE"""),"BookingCom")</f>
        <v>BookingCom</v>
      </c>
      <c r="C125" s="253" t="str">
        <f>IFERROR(__xludf.DUMMYFUNCTION("""COMPUTED_VALUE"""),"Monique van de Griendt ")</f>
        <v>Monique van de Griendt </v>
      </c>
      <c r="D125" s="254">
        <f>IFERROR(__xludf.DUMMYFUNCTION("""COMPUTED_VALUE"""),46058.0)</f>
        <v>46058</v>
      </c>
      <c r="E125" s="251">
        <f>IFERROR(__xludf.DUMMYFUNCTION("""COMPUTED_VALUE"""),46063.0)</f>
        <v>46063</v>
      </c>
      <c r="F125" s="255">
        <f>IFERROR(__xludf.DUMMYFUNCTION("""COMPUTED_VALUE"""),5.0)</f>
        <v>5</v>
      </c>
      <c r="G125" s="255">
        <f>IFERROR(__xludf.DUMMYFUNCTION("""COMPUTED_VALUE"""),2.0)</f>
        <v>2</v>
      </c>
      <c r="H125" s="256">
        <f>IFERROR(__xludf.DUMMYFUNCTION("""COMPUTED_VALUE"""),205.58)</f>
        <v>205.58</v>
      </c>
      <c r="I125" s="256">
        <f>IFERROR(__xludf.DUMMYFUNCTION("""COMPUTED_VALUE"""),822.3200000000002)</f>
        <v>822.32</v>
      </c>
      <c r="J125" s="257">
        <f t="shared" si="1"/>
        <v>10</v>
      </c>
      <c r="K125" s="253"/>
      <c r="L125" s="253"/>
      <c r="M125" s="275"/>
      <c r="N125" s="258"/>
      <c r="O125" s="259"/>
      <c r="P125" s="259"/>
      <c r="Q125" s="262"/>
      <c r="R125" s="260"/>
      <c r="S125" s="260"/>
      <c r="T125" s="260"/>
      <c r="U125" s="261"/>
      <c r="V125" s="251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</row>
    <row r="126">
      <c r="A126" s="251">
        <f>IFERROR(__xludf.DUMMYFUNCTION("""COMPUTED_VALUE"""),7977038.0)</f>
        <v>7977038</v>
      </c>
      <c r="B126" s="252" t="str">
        <f>IFERROR(__xludf.DUMMYFUNCTION("""COMPUTED_VALUE"""),"Reseliva Pannel")</f>
        <v>Reseliva Pannel</v>
      </c>
      <c r="C126" s="253" t="str">
        <f>IFERROR(__xludf.DUMMYFUNCTION("""COMPUTED_VALUE"""),"Client Karim ")</f>
        <v>Client Karim </v>
      </c>
      <c r="D126" s="254">
        <f>IFERROR(__xludf.DUMMYFUNCTION("""COMPUTED_VALUE"""),46058.0)</f>
        <v>46058</v>
      </c>
      <c r="E126" s="251">
        <f>IFERROR(__xludf.DUMMYFUNCTION("""COMPUTED_VALUE"""),46060.0)</f>
        <v>46060</v>
      </c>
      <c r="F126" s="255">
        <f>IFERROR(__xludf.DUMMYFUNCTION("""COMPUTED_VALUE"""),2.0)</f>
        <v>2</v>
      </c>
      <c r="G126" s="255">
        <f>IFERROR(__xludf.DUMMYFUNCTION("""COMPUTED_VALUE"""),2.0)</f>
        <v>2</v>
      </c>
      <c r="H126" s="256">
        <f>IFERROR(__xludf.DUMMYFUNCTION("""COMPUTED_VALUE"""),300.24)</f>
        <v>300.24</v>
      </c>
      <c r="I126" s="256">
        <f>IFERROR(__xludf.DUMMYFUNCTION("""COMPUTED_VALUE"""),600.48)</f>
        <v>600.48</v>
      </c>
      <c r="J126" s="257">
        <f t="shared" si="1"/>
        <v>4</v>
      </c>
      <c r="K126" s="253"/>
      <c r="L126" s="253"/>
      <c r="M126" s="275"/>
      <c r="N126" s="258"/>
      <c r="O126" s="259"/>
      <c r="P126" s="259"/>
      <c r="Q126" s="262"/>
      <c r="R126" s="260"/>
      <c r="S126" s="260"/>
      <c r="T126" s="260"/>
      <c r="U126" s="261"/>
      <c r="V126" s="251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</row>
    <row r="127">
      <c r="A127" s="251">
        <f>IFERROR(__xludf.DUMMYFUNCTION("""COMPUTED_VALUE"""),7984590.0)</f>
        <v>7984590</v>
      </c>
      <c r="B127" s="252" t="str">
        <f>IFERROR(__xludf.DUMMYFUNCTION("""COMPUTED_VALUE"""),"BookingCom")</f>
        <v>BookingCom</v>
      </c>
      <c r="C127" s="253" t="str">
        <f>IFERROR(__xludf.DUMMYFUNCTION("""COMPUTED_VALUE"""),"Eleonora Cardinale ")</f>
        <v>Eleonora Cardinale </v>
      </c>
      <c r="D127" s="254">
        <f>IFERROR(__xludf.DUMMYFUNCTION("""COMPUTED_VALUE"""),46058.0)</f>
        <v>46058</v>
      </c>
      <c r="E127" s="251">
        <f>IFERROR(__xludf.DUMMYFUNCTION("""COMPUTED_VALUE"""),46061.0)</f>
        <v>46061</v>
      </c>
      <c r="F127" s="255">
        <f>IFERROR(__xludf.DUMMYFUNCTION("""COMPUTED_VALUE"""),3.0)</f>
        <v>3</v>
      </c>
      <c r="G127" s="255">
        <f>IFERROR(__xludf.DUMMYFUNCTION("""COMPUTED_VALUE"""),2.0)</f>
        <v>2</v>
      </c>
      <c r="H127" s="256">
        <f>IFERROR(__xludf.DUMMYFUNCTION("""COMPUTED_VALUE"""),227.04999999999998)</f>
        <v>227.05</v>
      </c>
      <c r="I127" s="256">
        <f>IFERROR(__xludf.DUMMYFUNCTION("""COMPUTED_VALUE"""),544.92)</f>
        <v>544.92</v>
      </c>
      <c r="J127" s="257">
        <f t="shared" si="1"/>
        <v>6</v>
      </c>
      <c r="K127" s="253"/>
      <c r="L127" s="253"/>
      <c r="M127" s="252"/>
      <c r="N127" s="258"/>
      <c r="O127" s="259"/>
      <c r="P127" s="259"/>
      <c r="Q127" s="262"/>
      <c r="R127" s="260"/>
      <c r="S127" s="260"/>
      <c r="T127" s="273"/>
      <c r="U127" s="274"/>
      <c r="V127" s="263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</row>
    <row r="128">
      <c r="A128" s="251">
        <f>IFERROR(__xludf.DUMMYFUNCTION("""COMPUTED_VALUE"""),7805887.0)</f>
        <v>7805887</v>
      </c>
      <c r="B128" s="252" t="str">
        <f>IFERROR(__xludf.DUMMYFUNCTION("""COMPUTED_VALUE"""),"BookingCom")</f>
        <v>BookingCom</v>
      </c>
      <c r="C128" s="253" t="str">
        <f>IFERROR(__xludf.DUMMYFUNCTION("""COMPUTED_VALUE"""),"Elisa Prete ")</f>
        <v>Elisa Prete </v>
      </c>
      <c r="D128" s="254">
        <f>IFERROR(__xludf.DUMMYFUNCTION("""COMPUTED_VALUE"""),46059.0)</f>
        <v>46059</v>
      </c>
      <c r="E128" s="251">
        <f>IFERROR(__xludf.DUMMYFUNCTION("""COMPUTED_VALUE"""),46063.0)</f>
        <v>46063</v>
      </c>
      <c r="F128" s="255">
        <f>IFERROR(__xludf.DUMMYFUNCTION("""COMPUTED_VALUE"""),4.0)</f>
        <v>4</v>
      </c>
      <c r="G128" s="255">
        <f>IFERROR(__xludf.DUMMYFUNCTION("""COMPUTED_VALUE"""),2.0)</f>
        <v>2</v>
      </c>
      <c r="H128" s="256">
        <f>IFERROR(__xludf.DUMMYFUNCTION("""COMPUTED_VALUE"""),176.6)</f>
        <v>176.6</v>
      </c>
      <c r="I128" s="256">
        <f>IFERROR(__xludf.DUMMYFUNCTION("""COMPUTED_VALUE"""),565.12)</f>
        <v>565.12</v>
      </c>
      <c r="J128" s="257">
        <f t="shared" si="1"/>
        <v>8</v>
      </c>
      <c r="K128" s="253"/>
      <c r="L128" s="253"/>
      <c r="M128" s="252"/>
      <c r="N128" s="258"/>
      <c r="O128" s="259"/>
      <c r="P128" s="259"/>
      <c r="Q128" s="262"/>
      <c r="R128" s="260"/>
      <c r="S128" s="260"/>
      <c r="T128" s="273"/>
      <c r="U128" s="274"/>
      <c r="V128" s="263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</row>
    <row r="129">
      <c r="A129" s="251">
        <f>IFERROR(__xludf.DUMMYFUNCTION("""COMPUTED_VALUE"""),7917934.0)</f>
        <v>7917934</v>
      </c>
      <c r="B129" s="252" t="str">
        <f>IFERROR(__xludf.DUMMYFUNCTION("""COMPUTED_VALUE"""),"BookingCom")</f>
        <v>BookingCom</v>
      </c>
      <c r="C129" s="253" t="str">
        <f>IFERROR(__xludf.DUMMYFUNCTION("""COMPUTED_VALUE"""),"Francesca Margherita Padula ")</f>
        <v>Francesca Margherita Padula </v>
      </c>
      <c r="D129" s="254">
        <f>IFERROR(__xludf.DUMMYFUNCTION("""COMPUTED_VALUE"""),46059.0)</f>
        <v>46059</v>
      </c>
      <c r="E129" s="251">
        <f>IFERROR(__xludf.DUMMYFUNCTION("""COMPUTED_VALUE"""),46061.0)</f>
        <v>46061</v>
      </c>
      <c r="F129" s="255">
        <f>IFERROR(__xludf.DUMMYFUNCTION("""COMPUTED_VALUE"""),2.0)</f>
        <v>2</v>
      </c>
      <c r="G129" s="255">
        <f>IFERROR(__xludf.DUMMYFUNCTION("""COMPUTED_VALUE"""),3.0)</f>
        <v>3</v>
      </c>
      <c r="H129" s="256">
        <f>IFERROR(__xludf.DUMMYFUNCTION("""COMPUTED_VALUE"""),205.66)</f>
        <v>205.66</v>
      </c>
      <c r="I129" s="256">
        <f>IFERROR(__xludf.DUMMYFUNCTION("""COMPUTED_VALUE"""),329.05600000000004)</f>
        <v>329.056</v>
      </c>
      <c r="J129" s="257">
        <f t="shared" si="1"/>
        <v>6</v>
      </c>
      <c r="K129" s="253"/>
      <c r="L129" s="253"/>
      <c r="M129" s="252"/>
      <c r="N129" s="258"/>
      <c r="O129" s="259"/>
      <c r="P129" s="259"/>
      <c r="Q129" s="262"/>
      <c r="R129" s="260"/>
      <c r="S129" s="260"/>
      <c r="T129" s="260"/>
      <c r="U129" s="261"/>
      <c r="V129" s="251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</row>
    <row r="130">
      <c r="A130" s="251">
        <f>IFERROR(__xludf.DUMMYFUNCTION("""COMPUTED_VALUE"""),7927601.0)</f>
        <v>7927601</v>
      </c>
      <c r="B130" s="252" t="str">
        <f>IFERROR(__xludf.DUMMYFUNCTION("""COMPUTED_VALUE"""),"BookingCom")</f>
        <v>BookingCom</v>
      </c>
      <c r="C130" s="253" t="str">
        <f>IFERROR(__xludf.DUMMYFUNCTION("""COMPUTED_VALUE"""),"Rosalind Pilcher ")</f>
        <v>Rosalind Pilcher </v>
      </c>
      <c r="D130" s="254">
        <f>IFERROR(__xludf.DUMMYFUNCTION("""COMPUTED_VALUE"""),46059.0)</f>
        <v>46059</v>
      </c>
      <c r="E130" s="251">
        <f>IFERROR(__xludf.DUMMYFUNCTION("""COMPUTED_VALUE"""),46062.0)</f>
        <v>46062</v>
      </c>
      <c r="F130" s="255">
        <f>IFERROR(__xludf.DUMMYFUNCTION("""COMPUTED_VALUE"""),3.0)</f>
        <v>3</v>
      </c>
      <c r="G130" s="255">
        <f>IFERROR(__xludf.DUMMYFUNCTION("""COMPUTED_VALUE"""),2.0)</f>
        <v>2</v>
      </c>
      <c r="H130" s="256">
        <f>IFERROR(__xludf.DUMMYFUNCTION("""COMPUTED_VALUE"""),163.04)</f>
        <v>163.04</v>
      </c>
      <c r="I130" s="256">
        <f>IFERROR(__xludf.DUMMYFUNCTION("""COMPUTED_VALUE"""),391.29599999999994)</f>
        <v>391.296</v>
      </c>
      <c r="J130" s="257">
        <f t="shared" si="1"/>
        <v>6</v>
      </c>
      <c r="K130" s="253"/>
      <c r="L130" s="253"/>
      <c r="M130" s="275"/>
      <c r="N130" s="258"/>
      <c r="O130" s="259"/>
      <c r="P130" s="259"/>
      <c r="Q130" s="262"/>
      <c r="R130" s="260"/>
      <c r="S130" s="260"/>
      <c r="T130" s="260"/>
      <c r="U130" s="261"/>
      <c r="V130" s="251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</row>
    <row r="131">
      <c r="A131" s="251">
        <f>IFERROR(__xludf.DUMMYFUNCTION("""COMPUTED_VALUE"""),7930674.0)</f>
        <v>7930674</v>
      </c>
      <c r="B131" s="252" t="str">
        <f>IFERROR(__xludf.DUMMYFUNCTION("""COMPUTED_VALUE"""),"BookingCom")</f>
        <v>BookingCom</v>
      </c>
      <c r="C131" s="253" t="str">
        <f>IFERROR(__xludf.DUMMYFUNCTION("""COMPUTED_VALUE"""),"Giacomo Giobbi ")</f>
        <v>Giacomo Giobbi </v>
      </c>
      <c r="D131" s="254">
        <f>IFERROR(__xludf.DUMMYFUNCTION("""COMPUTED_VALUE"""),46059.0)</f>
        <v>46059</v>
      </c>
      <c r="E131" s="251">
        <f>IFERROR(__xludf.DUMMYFUNCTION("""COMPUTED_VALUE"""),46062.0)</f>
        <v>46062</v>
      </c>
      <c r="F131" s="255">
        <f>IFERROR(__xludf.DUMMYFUNCTION("""COMPUTED_VALUE"""),3.0)</f>
        <v>3</v>
      </c>
      <c r="G131" s="255">
        <f>IFERROR(__xludf.DUMMYFUNCTION("""COMPUTED_VALUE"""),2.0)</f>
        <v>2</v>
      </c>
      <c r="H131" s="256">
        <f>IFERROR(__xludf.DUMMYFUNCTION("""COMPUTED_VALUE"""),174.14)</f>
        <v>174.14</v>
      </c>
      <c r="I131" s="256">
        <f>IFERROR(__xludf.DUMMYFUNCTION("""COMPUTED_VALUE"""),417.9359999999999)</f>
        <v>417.936</v>
      </c>
      <c r="J131" s="257">
        <f t="shared" si="1"/>
        <v>6</v>
      </c>
      <c r="K131" s="253"/>
      <c r="L131" s="253"/>
      <c r="M131" s="252"/>
      <c r="N131" s="258"/>
      <c r="O131" s="259"/>
      <c r="P131" s="259"/>
      <c r="Q131" s="262"/>
      <c r="R131" s="260"/>
      <c r="S131" s="260"/>
      <c r="T131" s="260"/>
      <c r="U131" s="261"/>
      <c r="V131" s="251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</row>
    <row r="132">
      <c r="A132" s="251">
        <f>IFERROR(__xludf.DUMMYFUNCTION("""COMPUTED_VALUE"""),7934812.0)</f>
        <v>7934812</v>
      </c>
      <c r="B132" s="252" t="str">
        <f>IFERROR(__xludf.DUMMYFUNCTION("""COMPUTED_VALUE"""),"BookingCom")</f>
        <v>BookingCom</v>
      </c>
      <c r="C132" s="253" t="str">
        <f>IFERROR(__xludf.DUMMYFUNCTION("""COMPUTED_VALUE"""),"Simon Clark ")</f>
        <v>Simon Clark </v>
      </c>
      <c r="D132" s="254">
        <f>IFERROR(__xludf.DUMMYFUNCTION("""COMPUTED_VALUE"""),46059.0)</f>
        <v>46059</v>
      </c>
      <c r="E132" s="251">
        <f>IFERROR(__xludf.DUMMYFUNCTION("""COMPUTED_VALUE"""),46063.0)</f>
        <v>46063</v>
      </c>
      <c r="F132" s="255">
        <f>IFERROR(__xludf.DUMMYFUNCTION("""COMPUTED_VALUE"""),4.0)</f>
        <v>4</v>
      </c>
      <c r="G132" s="255">
        <f>IFERROR(__xludf.DUMMYFUNCTION("""COMPUTED_VALUE"""),1.0)</f>
        <v>1</v>
      </c>
      <c r="H132" s="256">
        <f>IFERROR(__xludf.DUMMYFUNCTION("""COMPUTED_VALUE"""),186.88)</f>
        <v>186.88</v>
      </c>
      <c r="I132" s="256">
        <f>IFERROR(__xludf.DUMMYFUNCTION("""COMPUTED_VALUE"""),598.016)</f>
        <v>598.016</v>
      </c>
      <c r="J132" s="257">
        <f t="shared" si="1"/>
        <v>4</v>
      </c>
      <c r="K132" s="253"/>
      <c r="L132" s="253"/>
      <c r="M132" s="252"/>
      <c r="N132" s="258"/>
      <c r="O132" s="259"/>
      <c r="P132" s="259"/>
      <c r="Q132" s="257"/>
      <c r="R132" s="260"/>
      <c r="S132" s="260"/>
      <c r="T132" s="260"/>
      <c r="U132" s="261"/>
      <c r="V132" s="251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</row>
    <row r="133">
      <c r="A133" s="251">
        <f>IFERROR(__xludf.DUMMYFUNCTION("""COMPUTED_VALUE"""),7650625.0)</f>
        <v>7650625</v>
      </c>
      <c r="B133" s="252" t="str">
        <f>IFERROR(__xludf.DUMMYFUNCTION("""COMPUTED_VALUE"""),"BookingCom")</f>
        <v>BookingCom</v>
      </c>
      <c r="C133" s="253" t="str">
        <f>IFERROR(__xludf.DUMMYFUNCTION("""COMPUTED_VALUE"""),"Heike und Wolfgang Muller ")</f>
        <v>Heike und Wolfgang Muller </v>
      </c>
      <c r="D133" s="254">
        <f>IFERROR(__xludf.DUMMYFUNCTION("""COMPUTED_VALUE"""),46060.0)</f>
        <v>46060</v>
      </c>
      <c r="E133" s="251">
        <f>IFERROR(__xludf.DUMMYFUNCTION("""COMPUTED_VALUE"""),46067.0)</f>
        <v>46067</v>
      </c>
      <c r="F133" s="255">
        <f>IFERROR(__xludf.DUMMYFUNCTION("""COMPUTED_VALUE"""),7.0)</f>
        <v>7</v>
      </c>
      <c r="G133" s="255">
        <f>IFERROR(__xludf.DUMMYFUNCTION("""COMPUTED_VALUE"""),2.0)</f>
        <v>2</v>
      </c>
      <c r="H133" s="256">
        <f>IFERROR(__xludf.DUMMYFUNCTION("""COMPUTED_VALUE"""),276.74)</f>
        <v>276.74</v>
      </c>
      <c r="I133" s="256">
        <f>IFERROR(__xludf.DUMMYFUNCTION("""COMPUTED_VALUE"""),1549.7440000000001)</f>
        <v>1549.744</v>
      </c>
      <c r="J133" s="257">
        <f t="shared" si="1"/>
        <v>14</v>
      </c>
      <c r="K133" s="253"/>
      <c r="L133" s="253"/>
      <c r="M133" s="252"/>
      <c r="N133" s="258"/>
      <c r="O133" s="259"/>
      <c r="P133" s="259"/>
      <c r="Q133" s="262"/>
      <c r="R133" s="260"/>
      <c r="S133" s="260"/>
      <c r="T133" s="260"/>
      <c r="U133" s="261"/>
      <c r="V133" s="251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</row>
    <row r="134">
      <c r="A134" s="251">
        <f>IFERROR(__xludf.DUMMYFUNCTION("""COMPUTED_VALUE"""),7621548.0)</f>
        <v>7621548</v>
      </c>
      <c r="B134" s="252" t="str">
        <f>IFERROR(__xludf.DUMMYFUNCTION("""COMPUTED_VALUE"""),"BookingCom")</f>
        <v>BookingCom</v>
      </c>
      <c r="C134" s="253" t="str">
        <f>IFERROR(__xludf.DUMMYFUNCTION("""COMPUTED_VALUE"""),"Jose Maria Moreno Torralbo ")</f>
        <v>Jose Maria Moreno Torralbo </v>
      </c>
      <c r="D134" s="254">
        <f>IFERROR(__xludf.DUMMYFUNCTION("""COMPUTED_VALUE"""),46061.0)</f>
        <v>46061</v>
      </c>
      <c r="E134" s="251">
        <f>IFERROR(__xludf.DUMMYFUNCTION("""COMPUTED_VALUE"""),46065.0)</f>
        <v>46065</v>
      </c>
      <c r="F134" s="255">
        <f>IFERROR(__xludf.DUMMYFUNCTION("""COMPUTED_VALUE"""),4.0)</f>
        <v>4</v>
      </c>
      <c r="G134" s="255">
        <f>IFERROR(__xludf.DUMMYFUNCTION("""COMPUTED_VALUE"""),2.0)</f>
        <v>2</v>
      </c>
      <c r="H134" s="256">
        <f>IFERROR(__xludf.DUMMYFUNCTION("""COMPUTED_VALUE"""),222.61)</f>
        <v>222.61</v>
      </c>
      <c r="I134" s="256">
        <f>IFERROR(__xludf.DUMMYFUNCTION("""COMPUTED_VALUE"""),712.3520000000001)</f>
        <v>712.352</v>
      </c>
      <c r="J134" s="257">
        <f t="shared" si="1"/>
        <v>8</v>
      </c>
      <c r="K134" s="253"/>
      <c r="L134" s="253"/>
      <c r="M134" s="252"/>
      <c r="N134" s="258"/>
      <c r="O134" s="259"/>
      <c r="P134" s="259"/>
      <c r="Q134" s="262"/>
      <c r="R134" s="260"/>
      <c r="S134" s="260"/>
      <c r="T134" s="260"/>
      <c r="U134" s="261"/>
      <c r="V134" s="251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</row>
    <row r="135">
      <c r="A135" s="251">
        <f>IFERROR(__xludf.DUMMYFUNCTION("""COMPUTED_VALUE"""),7748568.0)</f>
        <v>7748568</v>
      </c>
      <c r="B135" s="252" t="str">
        <f>IFERROR(__xludf.DUMMYFUNCTION("""COMPUTED_VALUE"""),"BookingCom")</f>
        <v>BookingCom</v>
      </c>
      <c r="C135" s="253" t="str">
        <f>IFERROR(__xludf.DUMMYFUNCTION("""COMPUTED_VALUE"""),"Isabelle Van den Brande ")</f>
        <v>Isabelle Van den Brande </v>
      </c>
      <c r="D135" s="254">
        <f>IFERROR(__xludf.DUMMYFUNCTION("""COMPUTED_VALUE"""),46061.0)</f>
        <v>46061</v>
      </c>
      <c r="E135" s="251">
        <f>IFERROR(__xludf.DUMMYFUNCTION("""COMPUTED_VALUE"""),46065.0)</f>
        <v>46065</v>
      </c>
      <c r="F135" s="255">
        <f>IFERROR(__xludf.DUMMYFUNCTION("""COMPUTED_VALUE"""),4.0)</f>
        <v>4</v>
      </c>
      <c r="G135" s="255">
        <f>IFERROR(__xludf.DUMMYFUNCTION("""COMPUTED_VALUE"""),2.0)</f>
        <v>2</v>
      </c>
      <c r="H135" s="256">
        <f>IFERROR(__xludf.DUMMYFUNCTION("""COMPUTED_VALUE"""),184.62)</f>
        <v>184.62</v>
      </c>
      <c r="I135" s="256">
        <f>IFERROR(__xludf.DUMMYFUNCTION("""COMPUTED_VALUE"""),590.784)</f>
        <v>590.784</v>
      </c>
      <c r="J135" s="257">
        <f t="shared" si="1"/>
        <v>8</v>
      </c>
      <c r="K135" s="253"/>
      <c r="L135" s="253"/>
      <c r="M135" s="275"/>
      <c r="N135" s="258"/>
      <c r="O135" s="259"/>
      <c r="P135" s="259"/>
      <c r="Q135" s="262"/>
      <c r="R135" s="260"/>
      <c r="S135" s="260"/>
      <c r="T135" s="260"/>
      <c r="U135" s="261"/>
      <c r="V135" s="251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</row>
    <row r="136">
      <c r="A136" s="251">
        <f>IFERROR(__xludf.DUMMYFUNCTION("""COMPUTED_VALUE"""),7999953.0)</f>
        <v>7999953</v>
      </c>
      <c r="B136" s="252" t="str">
        <f>IFERROR(__xludf.DUMMYFUNCTION("""COMPUTED_VALUE"""),"BookingCom")</f>
        <v>BookingCom</v>
      </c>
      <c r="C136" s="253" t="str">
        <f>IFERROR(__xludf.DUMMYFUNCTION("""COMPUTED_VALUE"""),"Marco Giuntini ")</f>
        <v>Marco Giuntini </v>
      </c>
      <c r="D136" s="254">
        <f>IFERROR(__xludf.DUMMYFUNCTION("""COMPUTED_VALUE"""),46061.0)</f>
        <v>46061</v>
      </c>
      <c r="E136" s="251">
        <f>IFERROR(__xludf.DUMMYFUNCTION("""COMPUTED_VALUE"""),46062.0)</f>
        <v>46062</v>
      </c>
      <c r="F136" s="255">
        <f>IFERROR(__xludf.DUMMYFUNCTION("""COMPUTED_VALUE"""),1.0)</f>
        <v>1</v>
      </c>
      <c r="G136" s="255">
        <f>IFERROR(__xludf.DUMMYFUNCTION("""COMPUTED_VALUE"""),2.0)</f>
        <v>2</v>
      </c>
      <c r="H136" s="256">
        <f>IFERROR(__xludf.DUMMYFUNCTION("""COMPUTED_VALUE"""),158.96)</f>
        <v>158.96</v>
      </c>
      <c r="I136" s="256">
        <f>IFERROR(__xludf.DUMMYFUNCTION("""COMPUTED_VALUE"""),127.168)</f>
        <v>127.168</v>
      </c>
      <c r="J136" s="257">
        <f t="shared" si="1"/>
        <v>2</v>
      </c>
      <c r="K136" s="253"/>
      <c r="L136" s="253"/>
      <c r="M136" s="252"/>
      <c r="N136" s="258"/>
      <c r="O136" s="259"/>
      <c r="P136" s="259"/>
      <c r="Q136" s="262"/>
      <c r="R136" s="260"/>
      <c r="S136" s="260"/>
      <c r="T136" s="273"/>
      <c r="U136" s="274"/>
      <c r="V136" s="263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</row>
    <row r="137">
      <c r="A137" s="251">
        <f>IFERROR(__xludf.DUMMYFUNCTION("""COMPUTED_VALUE"""),8041020.0)</f>
        <v>8041020</v>
      </c>
      <c r="B137" s="252" t="str">
        <f>IFERROR(__xludf.DUMMYFUNCTION("""COMPUTED_VALUE"""),"Reseliva Pannel")</f>
        <v>Reseliva Pannel</v>
      </c>
      <c r="C137" s="253" t="str">
        <f>IFERROR(__xludf.DUMMYFUNCTION("""COMPUTED_VALUE"""),"Maryem Eljaafari ")</f>
        <v>Maryem Eljaafari </v>
      </c>
      <c r="D137" s="254">
        <f>IFERROR(__xludf.DUMMYFUNCTION("""COMPUTED_VALUE"""),46061.0)</f>
        <v>46061</v>
      </c>
      <c r="E137" s="251">
        <f>IFERROR(__xludf.DUMMYFUNCTION("""COMPUTED_VALUE"""),46064.0)</f>
        <v>46064</v>
      </c>
      <c r="F137" s="255">
        <f>IFERROR(__xludf.DUMMYFUNCTION("""COMPUTED_VALUE"""),3.0)</f>
        <v>3</v>
      </c>
      <c r="G137" s="255">
        <f>IFERROR(__xludf.DUMMYFUNCTION("""COMPUTED_VALUE"""),2.0)</f>
        <v>2</v>
      </c>
      <c r="H137" s="256">
        <f>IFERROR(__xludf.DUMMYFUNCTION("""COMPUTED_VALUE"""),599.76)</f>
        <v>599.76</v>
      </c>
      <c r="I137" s="256">
        <f>IFERROR(__xludf.DUMMYFUNCTION("""COMPUTED_VALUE"""),1799.28)</f>
        <v>1799.28</v>
      </c>
      <c r="J137" s="257">
        <f t="shared" si="1"/>
        <v>6</v>
      </c>
      <c r="K137" s="253"/>
      <c r="L137" s="253"/>
      <c r="M137" s="252"/>
      <c r="N137" s="258"/>
      <c r="O137" s="259"/>
      <c r="P137" s="259"/>
      <c r="Q137" s="262"/>
      <c r="R137" s="260"/>
      <c r="S137" s="260"/>
      <c r="T137" s="260"/>
      <c r="U137" s="261"/>
      <c r="V137" s="251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</row>
    <row r="138">
      <c r="A138" s="251">
        <f>IFERROR(__xludf.DUMMYFUNCTION("""COMPUTED_VALUE"""),7866709.0)</f>
        <v>7866709</v>
      </c>
      <c r="B138" s="252" t="str">
        <f>IFERROR(__xludf.DUMMYFUNCTION("""COMPUTED_VALUE"""),"BookingCom")</f>
        <v>BookingCom</v>
      </c>
      <c r="C138" s="253" t="str">
        <f>IFERROR(__xludf.DUMMYFUNCTION("""COMPUTED_VALUE"""),"Elena Barbagallo ")</f>
        <v>Elena Barbagallo </v>
      </c>
      <c r="D138" s="254">
        <f>IFERROR(__xludf.DUMMYFUNCTION("""COMPUTED_VALUE"""),46062.0)</f>
        <v>46062</v>
      </c>
      <c r="E138" s="251">
        <f>IFERROR(__xludf.DUMMYFUNCTION("""COMPUTED_VALUE"""),46065.0)</f>
        <v>46065</v>
      </c>
      <c r="F138" s="255">
        <f>IFERROR(__xludf.DUMMYFUNCTION("""COMPUTED_VALUE"""),3.0)</f>
        <v>3</v>
      </c>
      <c r="G138" s="255">
        <f>IFERROR(__xludf.DUMMYFUNCTION("""COMPUTED_VALUE"""),3.0)</f>
        <v>3</v>
      </c>
      <c r="H138" s="256">
        <f>IFERROR(__xludf.DUMMYFUNCTION("""COMPUTED_VALUE"""),163.71)</f>
        <v>163.71</v>
      </c>
      <c r="I138" s="256">
        <f>IFERROR(__xludf.DUMMYFUNCTION("""COMPUTED_VALUE"""),392.90400000000005)</f>
        <v>392.904</v>
      </c>
      <c r="J138" s="257">
        <f t="shared" si="1"/>
        <v>9</v>
      </c>
      <c r="K138" s="253"/>
      <c r="L138" s="253"/>
      <c r="M138" s="252"/>
      <c r="N138" s="258"/>
      <c r="O138" s="259"/>
      <c r="P138" s="259"/>
      <c r="Q138" s="257"/>
      <c r="R138" s="260"/>
      <c r="S138" s="260"/>
      <c r="T138" s="260"/>
      <c r="U138" s="261"/>
      <c r="V138" s="251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</row>
    <row r="139">
      <c r="A139" s="251">
        <f>IFERROR(__xludf.DUMMYFUNCTION("""COMPUTED_VALUE"""),7903277.0)</f>
        <v>7903277</v>
      </c>
      <c r="B139" s="252" t="str">
        <f>IFERROR(__xludf.DUMMYFUNCTION("""COMPUTED_VALUE"""),"BookingCom")</f>
        <v>BookingCom</v>
      </c>
      <c r="C139" s="253" t="str">
        <f>IFERROR(__xludf.DUMMYFUNCTION("""COMPUTED_VALUE"""),"celine daviet ")</f>
        <v>celine daviet </v>
      </c>
      <c r="D139" s="254">
        <f>IFERROR(__xludf.DUMMYFUNCTION("""COMPUTED_VALUE"""),46062.0)</f>
        <v>46062</v>
      </c>
      <c r="E139" s="251">
        <f>IFERROR(__xludf.DUMMYFUNCTION("""COMPUTED_VALUE"""),46065.0)</f>
        <v>46065</v>
      </c>
      <c r="F139" s="255">
        <f>IFERROR(__xludf.DUMMYFUNCTION("""COMPUTED_VALUE"""),3.0)</f>
        <v>3</v>
      </c>
      <c r="G139" s="255">
        <f>IFERROR(__xludf.DUMMYFUNCTION("""COMPUTED_VALUE"""),2.0)</f>
        <v>2</v>
      </c>
      <c r="H139" s="256">
        <f>IFERROR(__xludf.DUMMYFUNCTION("""COMPUTED_VALUE"""),203.88)</f>
        <v>203.88</v>
      </c>
      <c r="I139" s="256">
        <f>IFERROR(__xludf.DUMMYFUNCTION("""COMPUTED_VALUE"""),489.312)</f>
        <v>489.312</v>
      </c>
      <c r="J139" s="257">
        <f t="shared" si="1"/>
        <v>6</v>
      </c>
      <c r="K139" s="253"/>
      <c r="L139" s="253"/>
      <c r="M139" s="252"/>
      <c r="N139" s="258"/>
      <c r="O139" s="259"/>
      <c r="P139" s="259"/>
      <c r="Q139" s="262"/>
      <c r="R139" s="260"/>
      <c r="S139" s="260"/>
      <c r="T139" s="260"/>
      <c r="U139" s="261"/>
      <c r="V139" s="251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</row>
    <row r="140">
      <c r="A140" s="251">
        <f>IFERROR(__xludf.DUMMYFUNCTION("""COMPUTED_VALUE"""),7923081.0)</f>
        <v>7923081</v>
      </c>
      <c r="B140" s="252" t="str">
        <f>IFERROR(__xludf.DUMMYFUNCTION("""COMPUTED_VALUE"""),"BookingCom")</f>
        <v>BookingCom</v>
      </c>
      <c r="C140" s="253" t="str">
        <f>IFERROR(__xludf.DUMMYFUNCTION("""COMPUTED_VALUE"""),"Isabelle Coll ")</f>
        <v>Isabelle Coll </v>
      </c>
      <c r="D140" s="254">
        <f>IFERROR(__xludf.DUMMYFUNCTION("""COMPUTED_VALUE"""),46062.0)</f>
        <v>46062</v>
      </c>
      <c r="E140" s="251">
        <f>IFERROR(__xludf.DUMMYFUNCTION("""COMPUTED_VALUE"""),46066.0)</f>
        <v>46066</v>
      </c>
      <c r="F140" s="255">
        <f>IFERROR(__xludf.DUMMYFUNCTION("""COMPUTED_VALUE"""),4.0)</f>
        <v>4</v>
      </c>
      <c r="G140" s="255">
        <f>IFERROR(__xludf.DUMMYFUNCTION("""COMPUTED_VALUE"""),2.0)</f>
        <v>2</v>
      </c>
      <c r="H140" s="256">
        <f>IFERROR(__xludf.DUMMYFUNCTION("""COMPUTED_VALUE"""),223.78)</f>
        <v>223.78</v>
      </c>
      <c r="I140" s="256">
        <f>IFERROR(__xludf.DUMMYFUNCTION("""COMPUTED_VALUE"""),716.096)</f>
        <v>716.096</v>
      </c>
      <c r="J140" s="257">
        <f t="shared" si="1"/>
        <v>8</v>
      </c>
      <c r="K140" s="253"/>
      <c r="L140" s="253"/>
      <c r="M140" s="252"/>
      <c r="N140" s="258"/>
      <c r="O140" s="259"/>
      <c r="P140" s="259"/>
      <c r="Q140" s="262"/>
      <c r="R140" s="260"/>
      <c r="S140" s="260"/>
      <c r="T140" s="260"/>
      <c r="U140" s="261"/>
      <c r="V140" s="251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</row>
    <row r="141">
      <c r="A141" s="251">
        <f>IFERROR(__xludf.DUMMYFUNCTION("""COMPUTED_VALUE"""),8149785.0)</f>
        <v>8149785</v>
      </c>
      <c r="B141" s="252" t="str">
        <f>IFERROR(__xludf.DUMMYFUNCTION("""COMPUTED_VALUE"""),"Reseliva Pannel")</f>
        <v>Reseliva Pannel</v>
      </c>
      <c r="C141" s="253" t="str">
        <f>IFERROR(__xludf.DUMMYFUNCTION("""COMPUTED_VALUE"""),"Adnan Noris Handan ")</f>
        <v>Adnan Noris Handan </v>
      </c>
      <c r="D141" s="254">
        <f>IFERROR(__xludf.DUMMYFUNCTION("""COMPUTED_VALUE"""),46062.0)</f>
        <v>46062</v>
      </c>
      <c r="E141" s="251">
        <f>IFERROR(__xludf.DUMMYFUNCTION("""COMPUTED_VALUE"""),46064.0)</f>
        <v>46064</v>
      </c>
      <c r="F141" s="255">
        <f>IFERROR(__xludf.DUMMYFUNCTION("""COMPUTED_VALUE"""),2.0)</f>
        <v>2</v>
      </c>
      <c r="G141" s="255">
        <f>IFERROR(__xludf.DUMMYFUNCTION("""COMPUTED_VALUE"""),2.0)</f>
        <v>2</v>
      </c>
      <c r="H141" s="256">
        <f>IFERROR(__xludf.DUMMYFUNCTION("""COMPUTED_VALUE"""),239.76)</f>
        <v>239.76</v>
      </c>
      <c r="I141" s="256">
        <f>IFERROR(__xludf.DUMMYFUNCTION("""COMPUTED_VALUE"""),479.52)</f>
        <v>479.52</v>
      </c>
      <c r="J141" s="257">
        <f t="shared" si="1"/>
        <v>4</v>
      </c>
      <c r="K141" s="253"/>
      <c r="L141" s="253"/>
      <c r="M141" s="252"/>
      <c r="N141" s="258"/>
      <c r="O141" s="259"/>
      <c r="P141" s="259"/>
      <c r="Q141" s="257"/>
      <c r="R141" s="260"/>
      <c r="S141" s="260"/>
      <c r="T141" s="260"/>
      <c r="U141" s="261"/>
      <c r="V141" s="251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</row>
    <row r="142">
      <c r="A142" s="251">
        <f>IFERROR(__xludf.DUMMYFUNCTION("""COMPUTED_VALUE"""),7866199.0)</f>
        <v>7866199</v>
      </c>
      <c r="B142" s="252" t="str">
        <f>IFERROR(__xludf.DUMMYFUNCTION("""COMPUTED_VALUE"""),"BookingCom")</f>
        <v>BookingCom</v>
      </c>
      <c r="C142" s="253" t="str">
        <f>IFERROR(__xludf.DUMMYFUNCTION("""COMPUTED_VALUE"""),"Tom Symoens ")</f>
        <v>Tom Symoens </v>
      </c>
      <c r="D142" s="254">
        <f>IFERROR(__xludf.DUMMYFUNCTION("""COMPUTED_VALUE"""),46063.0)</f>
        <v>46063</v>
      </c>
      <c r="E142" s="251">
        <f>IFERROR(__xludf.DUMMYFUNCTION("""COMPUTED_VALUE"""),46066.0)</f>
        <v>46066</v>
      </c>
      <c r="F142" s="255">
        <f>IFERROR(__xludf.DUMMYFUNCTION("""COMPUTED_VALUE"""),3.0)</f>
        <v>3</v>
      </c>
      <c r="G142" s="255">
        <f>IFERROR(__xludf.DUMMYFUNCTION("""COMPUTED_VALUE"""),2.0)</f>
        <v>2</v>
      </c>
      <c r="H142" s="256">
        <f>IFERROR(__xludf.DUMMYFUNCTION("""COMPUTED_VALUE"""),158.96)</f>
        <v>158.96</v>
      </c>
      <c r="I142" s="256">
        <f>IFERROR(__xludf.DUMMYFUNCTION("""COMPUTED_VALUE"""),381.504)</f>
        <v>381.504</v>
      </c>
      <c r="J142" s="257">
        <f t="shared" si="1"/>
        <v>6</v>
      </c>
      <c r="K142" s="253"/>
      <c r="L142" s="253"/>
      <c r="M142" s="252"/>
      <c r="N142" s="258"/>
      <c r="O142" s="259"/>
      <c r="P142" s="259"/>
      <c r="Q142" s="262"/>
      <c r="R142" s="260"/>
      <c r="S142" s="260"/>
      <c r="T142" s="260"/>
      <c r="U142" s="261"/>
      <c r="V142" s="251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</row>
    <row r="143">
      <c r="A143" s="251">
        <f>IFERROR(__xludf.DUMMYFUNCTION("""COMPUTED_VALUE"""),7891205.0)</f>
        <v>7891205</v>
      </c>
      <c r="B143" s="252" t="str">
        <f>IFERROR(__xludf.DUMMYFUNCTION("""COMPUTED_VALUE"""),"BookingCom")</f>
        <v>BookingCom</v>
      </c>
      <c r="C143" s="253" t="str">
        <f>IFERROR(__xludf.DUMMYFUNCTION("""COMPUTED_VALUE"""),"Lee Oshaughnessy ")</f>
        <v>Lee Oshaughnessy </v>
      </c>
      <c r="D143" s="254">
        <f>IFERROR(__xludf.DUMMYFUNCTION("""COMPUTED_VALUE"""),46063.0)</f>
        <v>46063</v>
      </c>
      <c r="E143" s="251">
        <f>IFERROR(__xludf.DUMMYFUNCTION("""COMPUTED_VALUE"""),46067.0)</f>
        <v>46067</v>
      </c>
      <c r="F143" s="255">
        <f>IFERROR(__xludf.DUMMYFUNCTION("""COMPUTED_VALUE"""),4.0)</f>
        <v>4</v>
      </c>
      <c r="G143" s="255">
        <f>IFERROR(__xludf.DUMMYFUNCTION("""COMPUTED_VALUE"""),2.0)</f>
        <v>2</v>
      </c>
      <c r="H143" s="256">
        <f>IFERROR(__xludf.DUMMYFUNCTION("""COMPUTED_VALUE"""),134.86)</f>
        <v>134.86</v>
      </c>
      <c r="I143" s="256">
        <f>IFERROR(__xludf.DUMMYFUNCTION("""COMPUTED_VALUE"""),431.5520000000001)</f>
        <v>431.552</v>
      </c>
      <c r="J143" s="257">
        <f t="shared" si="1"/>
        <v>8</v>
      </c>
      <c r="K143" s="253"/>
      <c r="L143" s="253"/>
      <c r="M143" s="275"/>
      <c r="N143" s="258"/>
      <c r="O143" s="259"/>
      <c r="P143" s="259"/>
      <c r="Q143" s="262"/>
      <c r="R143" s="260"/>
      <c r="S143" s="260"/>
      <c r="T143" s="260"/>
      <c r="U143" s="261"/>
      <c r="V143" s="251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</row>
    <row r="144">
      <c r="A144" s="251">
        <f>IFERROR(__xludf.DUMMYFUNCTION("""COMPUTED_VALUE"""),7641355.0)</f>
        <v>7641355</v>
      </c>
      <c r="B144" s="252" t="str">
        <f>IFERROR(__xludf.DUMMYFUNCTION("""COMPUTED_VALUE"""),"BookingCom")</f>
        <v>BookingCom</v>
      </c>
      <c r="C144" s="253" t="str">
        <f>IFERROR(__xludf.DUMMYFUNCTION("""COMPUTED_VALUE"""),"Alison Cooper ")</f>
        <v>Alison Cooper </v>
      </c>
      <c r="D144" s="254">
        <f>IFERROR(__xludf.DUMMYFUNCTION("""COMPUTED_VALUE"""),46065.0)</f>
        <v>46065</v>
      </c>
      <c r="E144" s="251">
        <f>IFERROR(__xludf.DUMMYFUNCTION("""COMPUTED_VALUE"""),46070.0)</f>
        <v>46070</v>
      </c>
      <c r="F144" s="255">
        <f>IFERROR(__xludf.DUMMYFUNCTION("""COMPUTED_VALUE"""),5.0)</f>
        <v>5</v>
      </c>
      <c r="G144" s="255">
        <f>IFERROR(__xludf.DUMMYFUNCTION("""COMPUTED_VALUE"""),2.0)</f>
        <v>2</v>
      </c>
      <c r="H144" s="256">
        <f>IFERROR(__xludf.DUMMYFUNCTION("""COMPUTED_VALUE"""),152.35999999999999)</f>
        <v>152.36</v>
      </c>
      <c r="I144" s="256">
        <f>IFERROR(__xludf.DUMMYFUNCTION("""COMPUTED_VALUE"""),609.4399999999999)</f>
        <v>609.44</v>
      </c>
      <c r="J144" s="257">
        <f t="shared" si="1"/>
        <v>10</v>
      </c>
      <c r="K144" s="253"/>
      <c r="L144" s="253"/>
      <c r="M144" s="252"/>
      <c r="N144" s="258"/>
      <c r="O144" s="259"/>
      <c r="P144" s="259"/>
      <c r="Q144" s="262"/>
      <c r="R144" s="260"/>
      <c r="S144" s="260"/>
      <c r="T144" s="260"/>
      <c r="U144" s="261"/>
      <c r="V144" s="251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</row>
    <row r="145">
      <c r="A145" s="251">
        <f>IFERROR(__xludf.DUMMYFUNCTION("""COMPUTED_VALUE"""),7654771.0)</f>
        <v>7654771</v>
      </c>
      <c r="B145" s="252" t="str">
        <f>IFERROR(__xludf.DUMMYFUNCTION("""COMPUTED_VALUE"""),"BookingCom")</f>
        <v>BookingCom</v>
      </c>
      <c r="C145" s="253" t="str">
        <f>IFERROR(__xludf.DUMMYFUNCTION("""COMPUTED_VALUE"""),"Mathieu Lesecque ")</f>
        <v>Mathieu Lesecque </v>
      </c>
      <c r="D145" s="254">
        <f>IFERROR(__xludf.DUMMYFUNCTION("""COMPUTED_VALUE"""),46065.0)</f>
        <v>46065</v>
      </c>
      <c r="E145" s="251">
        <f>IFERROR(__xludf.DUMMYFUNCTION("""COMPUTED_VALUE"""),46066.0)</f>
        <v>46066</v>
      </c>
      <c r="F145" s="255">
        <f>IFERROR(__xludf.DUMMYFUNCTION("""COMPUTED_VALUE"""),1.0)</f>
        <v>1</v>
      </c>
      <c r="G145" s="255">
        <f>IFERROR(__xludf.DUMMYFUNCTION("""COMPUTED_VALUE"""),2.0)</f>
        <v>2</v>
      </c>
      <c r="H145" s="256">
        <f>IFERROR(__xludf.DUMMYFUNCTION("""COMPUTED_VALUE"""),172.58)</f>
        <v>172.58</v>
      </c>
      <c r="I145" s="256">
        <f>IFERROR(__xludf.DUMMYFUNCTION("""COMPUTED_VALUE"""),138.06400000000002)</f>
        <v>138.064</v>
      </c>
      <c r="J145" s="257">
        <f t="shared" si="1"/>
        <v>2</v>
      </c>
      <c r="K145" s="253"/>
      <c r="L145" s="253"/>
      <c r="M145" s="252"/>
      <c r="N145" s="258"/>
      <c r="O145" s="259"/>
      <c r="P145" s="259"/>
      <c r="Q145" s="262"/>
      <c r="R145" s="260"/>
      <c r="S145" s="260"/>
      <c r="T145" s="260"/>
      <c r="U145" s="261"/>
      <c r="V145" s="251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</row>
    <row r="146">
      <c r="A146" s="251">
        <f>IFERROR(__xludf.DUMMYFUNCTION("""COMPUTED_VALUE"""),7694052.0)</f>
        <v>7694052</v>
      </c>
      <c r="B146" s="252" t="str">
        <f>IFERROR(__xludf.DUMMYFUNCTION("""COMPUTED_VALUE"""),"BookingCom")</f>
        <v>BookingCom</v>
      </c>
      <c r="C146" s="253" t="str">
        <f>IFERROR(__xludf.DUMMYFUNCTION("""COMPUTED_VALUE"""),"Leonaro Maria Farina ")</f>
        <v>Leonaro Maria Farina </v>
      </c>
      <c r="D146" s="254">
        <f>IFERROR(__xludf.DUMMYFUNCTION("""COMPUTED_VALUE"""),46065.0)</f>
        <v>46065</v>
      </c>
      <c r="E146" s="251">
        <f>IFERROR(__xludf.DUMMYFUNCTION("""COMPUTED_VALUE"""),46067.0)</f>
        <v>46067</v>
      </c>
      <c r="F146" s="255">
        <f>IFERROR(__xludf.DUMMYFUNCTION("""COMPUTED_VALUE"""),2.0)</f>
        <v>2</v>
      </c>
      <c r="G146" s="255">
        <f>IFERROR(__xludf.DUMMYFUNCTION("""COMPUTED_VALUE"""),2.0)</f>
        <v>2</v>
      </c>
      <c r="H146" s="256">
        <f>IFERROR(__xludf.DUMMYFUNCTION("""COMPUTED_VALUE"""),138.66)</f>
        <v>138.66</v>
      </c>
      <c r="I146" s="256">
        <f>IFERROR(__xludf.DUMMYFUNCTION("""COMPUTED_VALUE"""),221.856)</f>
        <v>221.856</v>
      </c>
      <c r="J146" s="257">
        <f t="shared" si="1"/>
        <v>4</v>
      </c>
      <c r="K146" s="253"/>
      <c r="L146" s="253"/>
      <c r="M146" s="252"/>
      <c r="N146" s="258"/>
      <c r="O146" s="259"/>
      <c r="P146" s="259"/>
      <c r="Q146" s="257"/>
      <c r="R146" s="260"/>
      <c r="S146" s="260"/>
      <c r="T146" s="260"/>
      <c r="U146" s="261"/>
      <c r="V146" s="251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</row>
    <row r="147">
      <c r="A147" s="251">
        <f>IFERROR(__xludf.DUMMYFUNCTION("""COMPUTED_VALUE"""),8146878.0)</f>
        <v>8146878</v>
      </c>
      <c r="B147" s="252" t="str">
        <f>IFERROR(__xludf.DUMMYFUNCTION("""COMPUTED_VALUE"""),"Agoda2")</f>
        <v>Agoda2</v>
      </c>
      <c r="C147" s="253" t="str">
        <f>IFERROR(__xludf.DUMMYFUNCTION("""COMPUTED_VALUE"""),"Daniel Piplios ")</f>
        <v>Daniel Piplios </v>
      </c>
      <c r="D147" s="254">
        <f>IFERROR(__xludf.DUMMYFUNCTION("""COMPUTED_VALUE"""),46065.0)</f>
        <v>46065</v>
      </c>
      <c r="E147" s="251">
        <f>IFERROR(__xludf.DUMMYFUNCTION("""COMPUTED_VALUE"""),46067.0)</f>
        <v>46067</v>
      </c>
      <c r="F147" s="255">
        <f>IFERROR(__xludf.DUMMYFUNCTION("""COMPUTED_VALUE"""),2.0)</f>
        <v>2</v>
      </c>
      <c r="G147" s="255">
        <f>IFERROR(__xludf.DUMMYFUNCTION("""COMPUTED_VALUE"""),2.0)</f>
        <v>2</v>
      </c>
      <c r="H147" s="256">
        <f>IFERROR(__xludf.DUMMYFUNCTION("""COMPUTED_VALUE"""),212.29)</f>
        <v>212.29</v>
      </c>
      <c r="I147" s="256">
        <f>IFERROR(__xludf.DUMMYFUNCTION("""COMPUTED_VALUE"""),339.664)</f>
        <v>339.664</v>
      </c>
      <c r="J147" s="257">
        <f t="shared" si="1"/>
        <v>4</v>
      </c>
      <c r="K147" s="253"/>
      <c r="L147" s="253"/>
      <c r="M147" s="252"/>
      <c r="N147" s="258"/>
      <c r="O147" s="259"/>
      <c r="P147" s="259"/>
      <c r="Q147" s="257"/>
      <c r="R147" s="260"/>
      <c r="S147" s="260"/>
      <c r="T147" s="260"/>
      <c r="U147" s="261"/>
      <c r="V147" s="251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</row>
    <row r="148">
      <c r="A148" s="251">
        <f>IFERROR(__xludf.DUMMYFUNCTION("""COMPUTED_VALUE"""),8000116.0)</f>
        <v>8000116</v>
      </c>
      <c r="B148" s="252" t="str">
        <f>IFERROR(__xludf.DUMMYFUNCTION("""COMPUTED_VALUE"""),"BookingCom")</f>
        <v>BookingCom</v>
      </c>
      <c r="C148" s="253" t="str">
        <f>IFERROR(__xludf.DUMMYFUNCTION("""COMPUTED_VALUE"""),"Rafal Zareba ")</f>
        <v>Rafal Zareba </v>
      </c>
      <c r="D148" s="254">
        <f>IFERROR(__xludf.DUMMYFUNCTION("""COMPUTED_VALUE"""),46065.0)</f>
        <v>46065</v>
      </c>
      <c r="E148" s="251">
        <f>IFERROR(__xludf.DUMMYFUNCTION("""COMPUTED_VALUE"""),46067.0)</f>
        <v>46067</v>
      </c>
      <c r="F148" s="255">
        <f>IFERROR(__xludf.DUMMYFUNCTION("""COMPUTED_VALUE"""),2.0)</f>
        <v>2</v>
      </c>
      <c r="G148" s="255">
        <f>IFERROR(__xludf.DUMMYFUNCTION("""COMPUTED_VALUE"""),2.0)</f>
        <v>2</v>
      </c>
      <c r="H148" s="256">
        <f>IFERROR(__xludf.DUMMYFUNCTION("""COMPUTED_VALUE"""),158.24)</f>
        <v>158.24</v>
      </c>
      <c r="I148" s="256">
        <f>IFERROR(__xludf.DUMMYFUNCTION("""COMPUTED_VALUE"""),253.18400000000003)</f>
        <v>253.184</v>
      </c>
      <c r="J148" s="257">
        <f t="shared" si="1"/>
        <v>4</v>
      </c>
      <c r="K148" s="253"/>
      <c r="L148" s="253"/>
      <c r="M148" s="252"/>
      <c r="N148" s="258"/>
      <c r="O148" s="259"/>
      <c r="P148" s="259"/>
      <c r="Q148" s="262"/>
      <c r="R148" s="260"/>
      <c r="S148" s="260"/>
      <c r="T148" s="260"/>
      <c r="U148" s="261"/>
      <c r="V148" s="251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</row>
    <row r="149">
      <c r="A149" s="251">
        <f>IFERROR(__xludf.DUMMYFUNCTION("""COMPUTED_VALUE"""),8124598.0)</f>
        <v>8124598</v>
      </c>
      <c r="B149" s="252" t="str">
        <f>IFERROR(__xludf.DUMMYFUNCTION("""COMPUTED_VALUE"""),"BookingCom")</f>
        <v>BookingCom</v>
      </c>
      <c r="C149" s="253" t="str">
        <f>IFERROR(__xludf.DUMMYFUNCTION("""COMPUTED_VALUE"""),"Christian Dieker ")</f>
        <v>Christian Dieker </v>
      </c>
      <c r="D149" s="254">
        <f>IFERROR(__xludf.DUMMYFUNCTION("""COMPUTED_VALUE"""),46065.0)</f>
        <v>46065</v>
      </c>
      <c r="E149" s="251">
        <f>IFERROR(__xludf.DUMMYFUNCTION("""COMPUTED_VALUE"""),46069.0)</f>
        <v>46069</v>
      </c>
      <c r="F149" s="255">
        <f>IFERROR(__xludf.DUMMYFUNCTION("""COMPUTED_VALUE"""),4.0)</f>
        <v>4</v>
      </c>
      <c r="G149" s="255">
        <f>IFERROR(__xludf.DUMMYFUNCTION("""COMPUTED_VALUE"""),5.0)</f>
        <v>5</v>
      </c>
      <c r="H149" s="256">
        <f>IFERROR(__xludf.DUMMYFUNCTION("""COMPUTED_VALUE"""),426.73)</f>
        <v>426.73</v>
      </c>
      <c r="I149" s="256">
        <f>IFERROR(__xludf.DUMMYFUNCTION("""COMPUTED_VALUE"""),1365.536)</f>
        <v>1365.536</v>
      </c>
      <c r="J149" s="257">
        <f t="shared" si="1"/>
        <v>20</v>
      </c>
      <c r="K149" s="253"/>
      <c r="L149" s="253"/>
      <c r="M149" s="252"/>
      <c r="N149" s="258"/>
      <c r="O149" s="259"/>
      <c r="P149" s="259"/>
      <c r="Q149" s="262"/>
      <c r="R149" s="260"/>
      <c r="S149" s="260"/>
      <c r="T149" s="260"/>
      <c r="U149" s="261"/>
      <c r="V149" s="251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</row>
    <row r="150">
      <c r="A150" s="251">
        <f>IFERROR(__xludf.DUMMYFUNCTION("""COMPUTED_VALUE"""),8081203.0)</f>
        <v>8081203</v>
      </c>
      <c r="B150" s="252" t="str">
        <f>IFERROR(__xludf.DUMMYFUNCTION("""COMPUTED_VALUE"""),"BookingCom")</f>
        <v>BookingCom</v>
      </c>
      <c r="C150" s="253" t="str">
        <f>IFERROR(__xludf.DUMMYFUNCTION("""COMPUTED_VALUE"""),"Luna Angelica Panzeri ")</f>
        <v>Luna Angelica Panzeri </v>
      </c>
      <c r="D150" s="254">
        <f>IFERROR(__xludf.DUMMYFUNCTION("""COMPUTED_VALUE"""),46066.0)</f>
        <v>46066</v>
      </c>
      <c r="E150" s="251">
        <f>IFERROR(__xludf.DUMMYFUNCTION("""COMPUTED_VALUE"""),46067.0)</f>
        <v>46067</v>
      </c>
      <c r="F150" s="255">
        <f>IFERROR(__xludf.DUMMYFUNCTION("""COMPUTED_VALUE"""),1.0)</f>
        <v>1</v>
      </c>
      <c r="G150" s="255">
        <f>IFERROR(__xludf.DUMMYFUNCTION("""COMPUTED_VALUE"""),2.0)</f>
        <v>2</v>
      </c>
      <c r="H150" s="256">
        <f>IFERROR(__xludf.DUMMYFUNCTION("""COMPUTED_VALUE"""),235.35)</f>
        <v>235.35</v>
      </c>
      <c r="I150" s="256">
        <f>IFERROR(__xludf.DUMMYFUNCTION("""COMPUTED_VALUE"""),188.28)</f>
        <v>188.28</v>
      </c>
      <c r="J150" s="257">
        <f t="shared" si="1"/>
        <v>2</v>
      </c>
      <c r="K150" s="253"/>
      <c r="L150" s="253"/>
      <c r="M150" s="252"/>
      <c r="N150" s="258"/>
      <c r="O150" s="259"/>
      <c r="P150" s="259"/>
      <c r="Q150" s="257"/>
      <c r="R150" s="260"/>
      <c r="S150" s="260"/>
      <c r="T150" s="260"/>
      <c r="U150" s="261"/>
      <c r="V150" s="251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</row>
    <row r="151">
      <c r="A151" s="251">
        <f>IFERROR(__xludf.DUMMYFUNCTION("""COMPUTED_VALUE"""),8087353.0)</f>
        <v>8087353</v>
      </c>
      <c r="B151" s="252" t="str">
        <f>IFERROR(__xludf.DUMMYFUNCTION("""COMPUTED_VALUE"""),"BookingCom")</f>
        <v>BookingCom</v>
      </c>
      <c r="C151" s="253" t="str">
        <f>IFERROR(__xludf.DUMMYFUNCTION("""COMPUTED_VALUE"""),"Perrine Bouron ")</f>
        <v>Perrine Bouron </v>
      </c>
      <c r="D151" s="254">
        <f>IFERROR(__xludf.DUMMYFUNCTION("""COMPUTED_VALUE"""),46066.0)</f>
        <v>46066</v>
      </c>
      <c r="E151" s="251">
        <f>IFERROR(__xludf.DUMMYFUNCTION("""COMPUTED_VALUE"""),46068.0)</f>
        <v>46068</v>
      </c>
      <c r="F151" s="255">
        <f>IFERROR(__xludf.DUMMYFUNCTION("""COMPUTED_VALUE"""),2.0)</f>
        <v>2</v>
      </c>
      <c r="G151" s="255">
        <f>IFERROR(__xludf.DUMMYFUNCTION("""COMPUTED_VALUE"""),2.0)</f>
        <v>2</v>
      </c>
      <c r="H151" s="256">
        <f>IFERROR(__xludf.DUMMYFUNCTION("""COMPUTED_VALUE"""),205.58)</f>
        <v>205.58</v>
      </c>
      <c r="I151" s="256">
        <f>IFERROR(__xludf.DUMMYFUNCTION("""COMPUTED_VALUE"""),328.92800000000005)</f>
        <v>328.928</v>
      </c>
      <c r="J151" s="257">
        <f t="shared" si="1"/>
        <v>4</v>
      </c>
      <c r="K151" s="253"/>
      <c r="L151" s="253"/>
      <c r="M151" s="275"/>
      <c r="N151" s="258"/>
      <c r="O151" s="259"/>
      <c r="P151" s="259"/>
      <c r="Q151" s="262"/>
      <c r="R151" s="260"/>
      <c r="S151" s="260"/>
      <c r="T151" s="260"/>
      <c r="U151" s="261"/>
      <c r="V151" s="251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</row>
    <row r="152">
      <c r="A152" s="251">
        <f>IFERROR(__xludf.DUMMYFUNCTION("""COMPUTED_VALUE"""),8141585.0)</f>
        <v>8141585</v>
      </c>
      <c r="B152" s="252" t="str">
        <f>IFERROR(__xludf.DUMMYFUNCTION("""COMPUTED_VALUE"""),"BookingCom")</f>
        <v>BookingCom</v>
      </c>
      <c r="C152" s="253" t="str">
        <f>IFERROR(__xludf.DUMMYFUNCTION("""COMPUTED_VALUE"""),"Lucy Rogers ")</f>
        <v>Lucy Rogers </v>
      </c>
      <c r="D152" s="254">
        <f>IFERROR(__xludf.DUMMYFUNCTION("""COMPUTED_VALUE"""),46066.0)</f>
        <v>46066</v>
      </c>
      <c r="E152" s="251">
        <f>IFERROR(__xludf.DUMMYFUNCTION("""COMPUTED_VALUE"""),46067.0)</f>
        <v>46067</v>
      </c>
      <c r="F152" s="255">
        <f>IFERROR(__xludf.DUMMYFUNCTION("""COMPUTED_VALUE"""),1.0)</f>
        <v>1</v>
      </c>
      <c r="G152" s="255">
        <f>IFERROR(__xludf.DUMMYFUNCTION("""COMPUTED_VALUE"""),2.0)</f>
        <v>2</v>
      </c>
      <c r="H152" s="256">
        <f>IFERROR(__xludf.DUMMYFUNCTION("""COMPUTED_VALUE"""),170.22)</f>
        <v>170.22</v>
      </c>
      <c r="I152" s="256">
        <f>IFERROR(__xludf.DUMMYFUNCTION("""COMPUTED_VALUE"""),136.17600000000002)</f>
        <v>136.176</v>
      </c>
      <c r="J152" s="257">
        <f t="shared" si="1"/>
        <v>2</v>
      </c>
      <c r="K152" s="253"/>
      <c r="L152" s="253"/>
      <c r="M152" s="275"/>
      <c r="N152" s="258"/>
      <c r="O152" s="259"/>
      <c r="P152" s="259"/>
      <c r="Q152" s="262"/>
      <c r="R152" s="260"/>
      <c r="S152" s="260"/>
      <c r="T152" s="260"/>
      <c r="U152" s="261"/>
      <c r="V152" s="251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</row>
    <row r="153">
      <c r="A153" s="251">
        <f>IFERROR(__xludf.DUMMYFUNCTION("""COMPUTED_VALUE"""),7423994.0)</f>
        <v>7423994</v>
      </c>
      <c r="B153" s="252" t="str">
        <f>IFERROR(__xludf.DUMMYFUNCTION("""COMPUTED_VALUE"""),"BookingCom")</f>
        <v>BookingCom</v>
      </c>
      <c r="C153" s="253" t="str">
        <f>IFERROR(__xludf.DUMMYFUNCTION("""COMPUTED_VALUE"""),"Annika Metsla ")</f>
        <v>Annika Metsla </v>
      </c>
      <c r="D153" s="254">
        <f>IFERROR(__xludf.DUMMYFUNCTION("""COMPUTED_VALUE"""),46067.0)</f>
        <v>46067</v>
      </c>
      <c r="E153" s="251">
        <f>IFERROR(__xludf.DUMMYFUNCTION("""COMPUTED_VALUE"""),46070.0)</f>
        <v>46070</v>
      </c>
      <c r="F153" s="255">
        <f>IFERROR(__xludf.DUMMYFUNCTION("""COMPUTED_VALUE"""),3.0)</f>
        <v>3</v>
      </c>
      <c r="G153" s="255">
        <f>IFERROR(__xludf.DUMMYFUNCTION("""COMPUTED_VALUE"""),2.0)</f>
        <v>2</v>
      </c>
      <c r="H153" s="256">
        <f>IFERROR(__xludf.DUMMYFUNCTION("""COMPUTED_VALUE"""),173.12)</f>
        <v>173.12</v>
      </c>
      <c r="I153" s="256">
        <f>IFERROR(__xludf.DUMMYFUNCTION("""COMPUTED_VALUE"""),415.48800000000006)</f>
        <v>415.488</v>
      </c>
      <c r="J153" s="257">
        <f t="shared" si="1"/>
        <v>6</v>
      </c>
      <c r="K153" s="253"/>
      <c r="L153" s="253"/>
      <c r="M153" s="252"/>
      <c r="N153" s="258"/>
      <c r="O153" s="259"/>
      <c r="P153" s="259"/>
      <c r="Q153" s="257"/>
      <c r="R153" s="260"/>
      <c r="S153" s="260"/>
      <c r="T153" s="260"/>
      <c r="U153" s="261"/>
      <c r="V153" s="251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</row>
    <row r="154">
      <c r="A154" s="251">
        <f>IFERROR(__xludf.DUMMYFUNCTION("""COMPUTED_VALUE"""),7423994.0)</f>
        <v>7423994</v>
      </c>
      <c r="B154" s="252" t="str">
        <f>IFERROR(__xludf.DUMMYFUNCTION("""COMPUTED_VALUE"""),"BookingCom")</f>
        <v>BookingCom</v>
      </c>
      <c r="C154" s="253" t="str">
        <f>IFERROR(__xludf.DUMMYFUNCTION("""COMPUTED_VALUE"""),"Annika Metsla ")</f>
        <v>Annika Metsla </v>
      </c>
      <c r="D154" s="254">
        <f>IFERROR(__xludf.DUMMYFUNCTION("""COMPUTED_VALUE"""),46067.0)</f>
        <v>46067</v>
      </c>
      <c r="E154" s="251">
        <f>IFERROR(__xludf.DUMMYFUNCTION("""COMPUTED_VALUE"""),46070.0)</f>
        <v>46070</v>
      </c>
      <c r="F154" s="255">
        <f>IFERROR(__xludf.DUMMYFUNCTION("""COMPUTED_VALUE"""),3.0)</f>
        <v>3</v>
      </c>
      <c r="G154" s="255">
        <f>IFERROR(__xludf.DUMMYFUNCTION("""COMPUTED_VALUE"""),1.0)</f>
        <v>1</v>
      </c>
      <c r="H154" s="256">
        <f>IFERROR(__xludf.DUMMYFUNCTION("""COMPUTED_VALUE"""),217.28)</f>
        <v>217.28</v>
      </c>
      <c r="I154" s="256">
        <f>IFERROR(__xludf.DUMMYFUNCTION("""COMPUTED_VALUE"""),521.472)</f>
        <v>521.472</v>
      </c>
      <c r="J154" s="257">
        <f t="shared" si="1"/>
        <v>3</v>
      </c>
      <c r="K154" s="253"/>
      <c r="L154" s="253"/>
      <c r="M154" s="252"/>
      <c r="N154" s="258"/>
      <c r="O154" s="259"/>
      <c r="P154" s="259"/>
      <c r="Q154" s="257"/>
      <c r="R154" s="260"/>
      <c r="S154" s="260"/>
      <c r="T154" s="260"/>
      <c r="U154" s="261"/>
      <c r="V154" s="251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</row>
    <row r="155">
      <c r="A155" s="251">
        <f>IFERROR(__xludf.DUMMYFUNCTION("""COMPUTED_VALUE"""),7423994.0)</f>
        <v>7423994</v>
      </c>
      <c r="B155" s="252" t="str">
        <f>IFERROR(__xludf.DUMMYFUNCTION("""COMPUTED_VALUE"""),"BookingCom")</f>
        <v>BookingCom</v>
      </c>
      <c r="C155" s="253" t="str">
        <f>IFERROR(__xludf.DUMMYFUNCTION("""COMPUTED_VALUE"""),"Annika Metsla ")</f>
        <v>Annika Metsla </v>
      </c>
      <c r="D155" s="254">
        <f>IFERROR(__xludf.DUMMYFUNCTION("""COMPUTED_VALUE"""),46067.0)</f>
        <v>46067</v>
      </c>
      <c r="E155" s="251">
        <f>IFERROR(__xludf.DUMMYFUNCTION("""COMPUTED_VALUE"""),46070.0)</f>
        <v>46070</v>
      </c>
      <c r="F155" s="255">
        <f>IFERROR(__xludf.DUMMYFUNCTION("""COMPUTED_VALUE"""),3.0)</f>
        <v>3</v>
      </c>
      <c r="G155" s="255">
        <f>IFERROR(__xludf.DUMMYFUNCTION("""COMPUTED_VALUE"""),2.0)</f>
        <v>2</v>
      </c>
      <c r="H155" s="256">
        <f>IFERROR(__xludf.DUMMYFUNCTION("""COMPUTED_VALUE"""),173.12)</f>
        <v>173.12</v>
      </c>
      <c r="I155" s="256">
        <f>IFERROR(__xludf.DUMMYFUNCTION("""COMPUTED_VALUE"""),415.48800000000006)</f>
        <v>415.488</v>
      </c>
      <c r="J155" s="257">
        <f t="shared" si="1"/>
        <v>6</v>
      </c>
      <c r="K155" s="253"/>
      <c r="L155" s="253"/>
      <c r="M155" s="252"/>
      <c r="N155" s="258"/>
      <c r="O155" s="259"/>
      <c r="P155" s="259"/>
      <c r="Q155" s="262"/>
      <c r="R155" s="260"/>
      <c r="S155" s="260"/>
      <c r="T155" s="260"/>
      <c r="U155" s="261"/>
      <c r="V155" s="251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</row>
    <row r="156">
      <c r="A156" s="251">
        <f>IFERROR(__xludf.DUMMYFUNCTION("""COMPUTED_VALUE"""),7423994.0)</f>
        <v>7423994</v>
      </c>
      <c r="B156" s="252" t="str">
        <f>IFERROR(__xludf.DUMMYFUNCTION("""COMPUTED_VALUE"""),"BookingCom")</f>
        <v>BookingCom</v>
      </c>
      <c r="C156" s="253" t="str">
        <f>IFERROR(__xludf.DUMMYFUNCTION("""COMPUTED_VALUE"""),"Annika Metsla ")</f>
        <v>Annika Metsla </v>
      </c>
      <c r="D156" s="254">
        <f>IFERROR(__xludf.DUMMYFUNCTION("""COMPUTED_VALUE"""),46067.0)</f>
        <v>46067</v>
      </c>
      <c r="E156" s="251">
        <f>IFERROR(__xludf.DUMMYFUNCTION("""COMPUTED_VALUE"""),46070.0)</f>
        <v>46070</v>
      </c>
      <c r="F156" s="255">
        <f>IFERROR(__xludf.DUMMYFUNCTION("""COMPUTED_VALUE"""),3.0)</f>
        <v>3</v>
      </c>
      <c r="G156" s="255">
        <f>IFERROR(__xludf.DUMMYFUNCTION("""COMPUTED_VALUE"""),1.0)</f>
        <v>1</v>
      </c>
      <c r="H156" s="256">
        <f>IFERROR(__xludf.DUMMYFUNCTION("""COMPUTED_VALUE"""),173.12)</f>
        <v>173.12</v>
      </c>
      <c r="I156" s="256">
        <f>IFERROR(__xludf.DUMMYFUNCTION("""COMPUTED_VALUE"""),415.48800000000006)</f>
        <v>415.488</v>
      </c>
      <c r="J156" s="257">
        <f t="shared" si="1"/>
        <v>3</v>
      </c>
      <c r="K156" s="253"/>
      <c r="L156" s="253"/>
      <c r="M156" s="252"/>
      <c r="N156" s="258"/>
      <c r="O156" s="259"/>
      <c r="P156" s="259"/>
      <c r="Q156" s="262"/>
      <c r="R156" s="260"/>
      <c r="S156" s="260"/>
      <c r="T156" s="260"/>
      <c r="U156" s="261"/>
      <c r="V156" s="251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</row>
    <row r="157">
      <c r="A157" s="251">
        <f>IFERROR(__xludf.DUMMYFUNCTION("""COMPUTED_VALUE"""),7423994.0)</f>
        <v>7423994</v>
      </c>
      <c r="B157" s="252" t="str">
        <f>IFERROR(__xludf.DUMMYFUNCTION("""COMPUTED_VALUE"""),"BookingCom")</f>
        <v>BookingCom</v>
      </c>
      <c r="C157" s="253" t="str">
        <f>IFERROR(__xludf.DUMMYFUNCTION("""COMPUTED_VALUE"""),"Annika Metsla ")</f>
        <v>Annika Metsla </v>
      </c>
      <c r="D157" s="254">
        <f>IFERROR(__xludf.DUMMYFUNCTION("""COMPUTED_VALUE"""),46067.0)</f>
        <v>46067</v>
      </c>
      <c r="E157" s="251">
        <f>IFERROR(__xludf.DUMMYFUNCTION("""COMPUTED_VALUE"""),46070.0)</f>
        <v>46070</v>
      </c>
      <c r="F157" s="255">
        <f>IFERROR(__xludf.DUMMYFUNCTION("""COMPUTED_VALUE"""),3.0)</f>
        <v>3</v>
      </c>
      <c r="G157" s="255">
        <f>IFERROR(__xludf.DUMMYFUNCTION("""COMPUTED_VALUE"""),2.0)</f>
        <v>2</v>
      </c>
      <c r="H157" s="256">
        <f>IFERROR(__xludf.DUMMYFUNCTION("""COMPUTED_VALUE"""),173.12)</f>
        <v>173.12</v>
      </c>
      <c r="I157" s="256">
        <f>IFERROR(__xludf.DUMMYFUNCTION("""COMPUTED_VALUE"""),415.48800000000006)</f>
        <v>415.488</v>
      </c>
      <c r="J157" s="257">
        <f t="shared" si="1"/>
        <v>6</v>
      </c>
      <c r="K157" s="253"/>
      <c r="L157" s="253"/>
      <c r="M157" s="252"/>
      <c r="N157" s="258"/>
      <c r="O157" s="259"/>
      <c r="P157" s="259"/>
      <c r="Q157" s="262"/>
      <c r="R157" s="260"/>
      <c r="S157" s="260"/>
      <c r="T157" s="260"/>
      <c r="U157" s="261"/>
      <c r="V157" s="251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</row>
    <row r="158">
      <c r="A158" s="251">
        <f>IFERROR(__xludf.DUMMYFUNCTION("""COMPUTED_VALUE"""),7423994.0)</f>
        <v>7423994</v>
      </c>
      <c r="B158" s="252" t="str">
        <f>IFERROR(__xludf.DUMMYFUNCTION("""COMPUTED_VALUE"""),"BookingCom")</f>
        <v>BookingCom</v>
      </c>
      <c r="C158" s="253" t="str">
        <f>IFERROR(__xludf.DUMMYFUNCTION("""COMPUTED_VALUE"""),"Annika Metsla ")</f>
        <v>Annika Metsla </v>
      </c>
      <c r="D158" s="254">
        <f>IFERROR(__xludf.DUMMYFUNCTION("""COMPUTED_VALUE"""),46067.0)</f>
        <v>46067</v>
      </c>
      <c r="E158" s="251">
        <f>IFERROR(__xludf.DUMMYFUNCTION("""COMPUTED_VALUE"""),46070.0)</f>
        <v>46070</v>
      </c>
      <c r="F158" s="255">
        <f>IFERROR(__xludf.DUMMYFUNCTION("""COMPUTED_VALUE"""),3.0)</f>
        <v>3</v>
      </c>
      <c r="G158" s="255">
        <f>IFERROR(__xludf.DUMMYFUNCTION("""COMPUTED_VALUE"""),2.0)</f>
        <v>2</v>
      </c>
      <c r="H158" s="256">
        <f>IFERROR(__xludf.DUMMYFUNCTION("""COMPUTED_VALUE"""),150.72)</f>
        <v>150.72</v>
      </c>
      <c r="I158" s="256">
        <f>IFERROR(__xludf.DUMMYFUNCTION("""COMPUTED_VALUE"""),361.728)</f>
        <v>361.728</v>
      </c>
      <c r="J158" s="257">
        <f t="shared" si="1"/>
        <v>6</v>
      </c>
      <c r="K158" s="253"/>
      <c r="L158" s="253"/>
      <c r="M158" s="252"/>
      <c r="N158" s="258"/>
      <c r="O158" s="259"/>
      <c r="P158" s="259"/>
      <c r="Q158" s="262"/>
      <c r="R158" s="260"/>
      <c r="S158" s="260"/>
      <c r="T158" s="260"/>
      <c r="U158" s="261"/>
      <c r="V158" s="251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</row>
    <row r="159">
      <c r="A159" s="251">
        <f>IFERROR(__xludf.DUMMYFUNCTION("""COMPUTED_VALUE"""),7635927.0)</f>
        <v>7635927</v>
      </c>
      <c r="B159" s="252" t="str">
        <f>IFERROR(__xludf.DUMMYFUNCTION("""COMPUTED_VALUE"""),"BookingCom")</f>
        <v>BookingCom</v>
      </c>
      <c r="C159" s="253" t="str">
        <f>IFERROR(__xludf.DUMMYFUNCTION("""COMPUTED_VALUE"""),"mychol fantino ")</f>
        <v>mychol fantino </v>
      </c>
      <c r="D159" s="254">
        <f>IFERROR(__xludf.DUMMYFUNCTION("""COMPUTED_VALUE"""),46067.0)</f>
        <v>46067</v>
      </c>
      <c r="E159" s="251">
        <f>IFERROR(__xludf.DUMMYFUNCTION("""COMPUTED_VALUE"""),46071.0)</f>
        <v>46071</v>
      </c>
      <c r="F159" s="255">
        <f>IFERROR(__xludf.DUMMYFUNCTION("""COMPUTED_VALUE"""),4.0)</f>
        <v>4</v>
      </c>
      <c r="G159" s="255">
        <f>IFERROR(__xludf.DUMMYFUNCTION("""COMPUTED_VALUE"""),3.0)</f>
        <v>3</v>
      </c>
      <c r="H159" s="256">
        <f>IFERROR(__xludf.DUMMYFUNCTION("""COMPUTED_VALUE"""),225.61)</f>
        <v>225.61</v>
      </c>
      <c r="I159" s="256">
        <f>IFERROR(__xludf.DUMMYFUNCTION("""COMPUTED_VALUE"""),721.9520000000001)</f>
        <v>721.952</v>
      </c>
      <c r="J159" s="257">
        <f t="shared" si="1"/>
        <v>12</v>
      </c>
      <c r="K159" s="253"/>
      <c r="L159" s="253"/>
      <c r="M159" s="252"/>
      <c r="N159" s="258"/>
      <c r="O159" s="259"/>
      <c r="P159" s="259"/>
      <c r="Q159" s="257"/>
      <c r="R159" s="260"/>
      <c r="S159" s="260"/>
      <c r="T159" s="260"/>
      <c r="U159" s="261"/>
      <c r="V159" s="251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</row>
    <row r="160">
      <c r="A160" s="251">
        <f>IFERROR(__xludf.DUMMYFUNCTION("""COMPUTED_VALUE"""),7480333.0)</f>
        <v>7480333</v>
      </c>
      <c r="B160" s="252" t="str">
        <f>IFERROR(__xludf.DUMMYFUNCTION("""COMPUTED_VALUE"""),"Reseliva Pannel")</f>
        <v>Reseliva Pannel</v>
      </c>
      <c r="C160" s="253" t="str">
        <f>IFERROR(__xludf.DUMMYFUNCTION("""COMPUTED_VALUE"""),"Sofia Soriano Ferrero ")</f>
        <v>Sofia Soriano Ferrero </v>
      </c>
      <c r="D160" s="254">
        <f>IFERROR(__xludf.DUMMYFUNCTION("""COMPUTED_VALUE"""),46068.0)</f>
        <v>46068</v>
      </c>
      <c r="E160" s="251">
        <f>IFERROR(__xludf.DUMMYFUNCTION("""COMPUTED_VALUE"""),46073.0)</f>
        <v>46073</v>
      </c>
      <c r="F160" s="255">
        <f>IFERROR(__xludf.DUMMYFUNCTION("""COMPUTED_VALUE"""),5.0)</f>
        <v>5</v>
      </c>
      <c r="G160" s="255">
        <f>IFERROR(__xludf.DUMMYFUNCTION("""COMPUTED_VALUE"""),2.0)</f>
        <v>2</v>
      </c>
      <c r="H160" s="256">
        <f>IFERROR(__xludf.DUMMYFUNCTION("""COMPUTED_VALUE"""),225.35999999999999)</f>
        <v>225.36</v>
      </c>
      <c r="I160" s="256">
        <f>IFERROR(__xludf.DUMMYFUNCTION("""COMPUTED_VALUE"""),1126.8)</f>
        <v>1126.8</v>
      </c>
      <c r="J160" s="257">
        <f t="shared" si="1"/>
        <v>10</v>
      </c>
      <c r="K160" s="253"/>
      <c r="L160" s="253"/>
      <c r="M160" s="252"/>
      <c r="N160" s="258"/>
      <c r="O160" s="259"/>
      <c r="P160" s="259"/>
      <c r="Q160" s="257"/>
      <c r="R160" s="260"/>
      <c r="S160" s="260"/>
      <c r="T160" s="260"/>
      <c r="U160" s="261"/>
      <c r="V160" s="251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</row>
    <row r="161">
      <c r="A161" s="251">
        <f>IFERROR(__xludf.DUMMYFUNCTION("""COMPUTED_VALUE"""),8063151.0)</f>
        <v>8063151</v>
      </c>
      <c r="B161" s="252" t="str">
        <f>IFERROR(__xludf.DUMMYFUNCTION("""COMPUTED_VALUE"""),"Reseliva Pannel")</f>
        <v>Reseliva Pannel</v>
      </c>
      <c r="C161" s="253" t="str">
        <f>IFERROR(__xludf.DUMMYFUNCTION("""COMPUTED_VALUE"""),"Maria Verena Cosar ")</f>
        <v>Maria Verena Cosar </v>
      </c>
      <c r="D161" s="254">
        <f>IFERROR(__xludf.DUMMYFUNCTION("""COMPUTED_VALUE"""),46068.0)</f>
        <v>46068</v>
      </c>
      <c r="E161" s="251">
        <f>IFERROR(__xludf.DUMMYFUNCTION("""COMPUTED_VALUE"""),46080.0)</f>
        <v>46080</v>
      </c>
      <c r="F161" s="255">
        <f>IFERROR(__xludf.DUMMYFUNCTION("""COMPUTED_VALUE"""),12.0)</f>
        <v>12</v>
      </c>
      <c r="G161" s="255">
        <f>IFERROR(__xludf.DUMMYFUNCTION("""COMPUTED_VALUE"""),2.0)</f>
        <v>2</v>
      </c>
      <c r="H161" s="256">
        <f>IFERROR(__xludf.DUMMYFUNCTION("""COMPUTED_VALUE"""),270.0)</f>
        <v>270</v>
      </c>
      <c r="I161" s="256">
        <f>IFERROR(__xludf.DUMMYFUNCTION("""COMPUTED_VALUE"""),3240.0)</f>
        <v>3240</v>
      </c>
      <c r="J161" s="257">
        <f t="shared" si="1"/>
        <v>24</v>
      </c>
      <c r="K161" s="253"/>
      <c r="L161" s="253"/>
      <c r="M161" s="252"/>
      <c r="N161" s="258"/>
      <c r="O161" s="259"/>
      <c r="P161" s="259"/>
      <c r="Q161" s="262"/>
      <c r="R161" s="260"/>
      <c r="S161" s="260"/>
      <c r="T161" s="260"/>
      <c r="U161" s="261"/>
      <c r="V161" s="251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</row>
    <row r="162">
      <c r="A162" s="251">
        <f>IFERROR(__xludf.DUMMYFUNCTION("""COMPUTED_VALUE"""),7625424.0)</f>
        <v>7625424</v>
      </c>
      <c r="B162" s="252" t="str">
        <f>IFERROR(__xludf.DUMMYFUNCTION("""COMPUTED_VALUE"""),"BookingCom")</f>
        <v>BookingCom</v>
      </c>
      <c r="C162" s="253" t="str">
        <f>IFERROR(__xludf.DUMMYFUNCTION("""COMPUTED_VALUE"""),"David Gethin ")</f>
        <v>David Gethin </v>
      </c>
      <c r="D162" s="254">
        <f>IFERROR(__xludf.DUMMYFUNCTION("""COMPUTED_VALUE"""),46070.0)</f>
        <v>46070</v>
      </c>
      <c r="E162" s="251">
        <f>IFERROR(__xludf.DUMMYFUNCTION("""COMPUTED_VALUE"""),46074.0)</f>
        <v>46074</v>
      </c>
      <c r="F162" s="255">
        <f>IFERROR(__xludf.DUMMYFUNCTION("""COMPUTED_VALUE"""),4.0)</f>
        <v>4</v>
      </c>
      <c r="G162" s="255">
        <f>IFERROR(__xludf.DUMMYFUNCTION("""COMPUTED_VALUE"""),2.0)</f>
        <v>2</v>
      </c>
      <c r="H162" s="256">
        <f>IFERROR(__xludf.DUMMYFUNCTION("""COMPUTED_VALUE"""),132.14)</f>
        <v>132.14</v>
      </c>
      <c r="I162" s="256">
        <f>IFERROR(__xludf.DUMMYFUNCTION("""COMPUTED_VALUE"""),422.84799999999996)</f>
        <v>422.848</v>
      </c>
      <c r="J162" s="257">
        <f t="shared" si="1"/>
        <v>8</v>
      </c>
      <c r="K162" s="253"/>
      <c r="L162" s="253"/>
      <c r="M162" s="252"/>
      <c r="N162" s="258"/>
      <c r="O162" s="259"/>
      <c r="P162" s="259"/>
      <c r="Q162" s="257"/>
      <c r="R162" s="260"/>
      <c r="S162" s="260"/>
      <c r="T162" s="260"/>
      <c r="U162" s="261"/>
      <c r="V162" s="251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</row>
    <row r="163">
      <c r="A163" s="251">
        <f>IFERROR(__xludf.DUMMYFUNCTION("""COMPUTED_VALUE"""),7680941.0)</f>
        <v>7680941</v>
      </c>
      <c r="B163" s="252" t="str">
        <f>IFERROR(__xludf.DUMMYFUNCTION("""COMPUTED_VALUE"""),"BookingCom")</f>
        <v>BookingCom</v>
      </c>
      <c r="C163" s="253" t="str">
        <f>IFERROR(__xludf.DUMMYFUNCTION("""COMPUTED_VALUE"""),"Aline Achterberg ")</f>
        <v>Aline Achterberg </v>
      </c>
      <c r="D163" s="254">
        <f>IFERROR(__xludf.DUMMYFUNCTION("""COMPUTED_VALUE"""),46070.0)</f>
        <v>46070</v>
      </c>
      <c r="E163" s="251">
        <f>IFERROR(__xludf.DUMMYFUNCTION("""COMPUTED_VALUE"""),46073.0)</f>
        <v>46073</v>
      </c>
      <c r="F163" s="255">
        <f>IFERROR(__xludf.DUMMYFUNCTION("""COMPUTED_VALUE"""),3.0)</f>
        <v>3</v>
      </c>
      <c r="G163" s="255">
        <f>IFERROR(__xludf.DUMMYFUNCTION("""COMPUTED_VALUE"""),3.0)</f>
        <v>3</v>
      </c>
      <c r="H163" s="256">
        <f>IFERROR(__xludf.DUMMYFUNCTION("""COMPUTED_VALUE"""),232.17999999999998)</f>
        <v>232.18</v>
      </c>
      <c r="I163" s="256">
        <f>IFERROR(__xludf.DUMMYFUNCTION("""COMPUTED_VALUE"""),557.232)</f>
        <v>557.232</v>
      </c>
      <c r="J163" s="257">
        <f t="shared" si="1"/>
        <v>9</v>
      </c>
      <c r="K163" s="253"/>
      <c r="L163" s="253"/>
      <c r="M163" s="252"/>
      <c r="N163" s="258"/>
      <c r="O163" s="259"/>
      <c r="P163" s="259"/>
      <c r="Q163" s="262"/>
      <c r="R163" s="260"/>
      <c r="S163" s="260"/>
      <c r="T163" s="260"/>
      <c r="U163" s="261"/>
      <c r="V163" s="251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</row>
    <row r="164">
      <c r="A164" s="251">
        <f>IFERROR(__xludf.DUMMYFUNCTION("""COMPUTED_VALUE"""),7680941.0)</f>
        <v>7680941</v>
      </c>
      <c r="B164" s="252" t="str">
        <f>IFERROR(__xludf.DUMMYFUNCTION("""COMPUTED_VALUE"""),"BookingCom")</f>
        <v>BookingCom</v>
      </c>
      <c r="C164" s="253" t="str">
        <f>IFERROR(__xludf.DUMMYFUNCTION("""COMPUTED_VALUE"""),"Aline Achterberg ")</f>
        <v>Aline Achterberg </v>
      </c>
      <c r="D164" s="254">
        <f>IFERROR(__xludf.DUMMYFUNCTION("""COMPUTED_VALUE"""),46070.0)</f>
        <v>46070</v>
      </c>
      <c r="E164" s="251">
        <f>IFERROR(__xludf.DUMMYFUNCTION("""COMPUTED_VALUE"""),46073.0)</f>
        <v>46073</v>
      </c>
      <c r="F164" s="255">
        <f>IFERROR(__xludf.DUMMYFUNCTION("""COMPUTED_VALUE"""),3.0)</f>
        <v>3</v>
      </c>
      <c r="G164" s="255">
        <f>IFERROR(__xludf.DUMMYFUNCTION("""COMPUTED_VALUE"""),3.0)</f>
        <v>3</v>
      </c>
      <c r="H164" s="256">
        <f>IFERROR(__xludf.DUMMYFUNCTION("""COMPUTED_VALUE"""),186.54999999999998)</f>
        <v>186.55</v>
      </c>
      <c r="I164" s="256">
        <f>IFERROR(__xludf.DUMMYFUNCTION("""COMPUTED_VALUE"""),447.7199999999999)</f>
        <v>447.72</v>
      </c>
      <c r="J164" s="257">
        <f t="shared" si="1"/>
        <v>9</v>
      </c>
      <c r="K164" s="253"/>
      <c r="L164" s="253"/>
      <c r="M164" s="252"/>
      <c r="N164" s="258"/>
      <c r="O164" s="259"/>
      <c r="P164" s="259"/>
      <c r="Q164" s="262"/>
      <c r="R164" s="260"/>
      <c r="S164" s="260"/>
      <c r="T164" s="260"/>
      <c r="U164" s="261"/>
      <c r="V164" s="251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</row>
    <row r="165">
      <c r="A165" s="251">
        <f>IFERROR(__xludf.DUMMYFUNCTION("""COMPUTED_VALUE"""),7725298.0)</f>
        <v>7725298</v>
      </c>
      <c r="B165" s="252" t="str">
        <f>IFERROR(__xludf.DUMMYFUNCTION("""COMPUTED_VALUE"""),"BookingCom")</f>
        <v>BookingCom</v>
      </c>
      <c r="C165" s="253" t="str">
        <f>IFERROR(__xludf.DUMMYFUNCTION("""COMPUTED_VALUE"""),"Viktorija Stasaitiene ")</f>
        <v>Viktorija Stasaitiene </v>
      </c>
      <c r="D165" s="254">
        <f>IFERROR(__xludf.DUMMYFUNCTION("""COMPUTED_VALUE"""),46070.0)</f>
        <v>46070</v>
      </c>
      <c r="E165" s="251">
        <f>IFERROR(__xludf.DUMMYFUNCTION("""COMPUTED_VALUE"""),46073.0)</f>
        <v>46073</v>
      </c>
      <c r="F165" s="255">
        <f>IFERROR(__xludf.DUMMYFUNCTION("""COMPUTED_VALUE"""),3.0)</f>
        <v>3</v>
      </c>
      <c r="G165" s="255">
        <f>IFERROR(__xludf.DUMMYFUNCTION("""COMPUTED_VALUE"""),3.0)</f>
        <v>3</v>
      </c>
      <c r="H165" s="256">
        <f>IFERROR(__xludf.DUMMYFUNCTION("""COMPUTED_VALUE"""),128.8)</f>
        <v>128.8</v>
      </c>
      <c r="I165" s="256">
        <f>IFERROR(__xludf.DUMMYFUNCTION("""COMPUTED_VALUE"""),309.12000000000006)</f>
        <v>309.12</v>
      </c>
      <c r="J165" s="257">
        <f t="shared" si="1"/>
        <v>9</v>
      </c>
      <c r="K165" s="253"/>
      <c r="L165" s="253"/>
      <c r="M165" s="252"/>
      <c r="N165" s="258"/>
      <c r="O165" s="259"/>
      <c r="P165" s="259"/>
      <c r="Q165" s="257"/>
      <c r="R165" s="260"/>
      <c r="S165" s="260"/>
      <c r="T165" s="260"/>
      <c r="U165" s="261"/>
      <c r="V165" s="251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</row>
    <row r="166">
      <c r="A166" s="251">
        <f>IFERROR(__xludf.DUMMYFUNCTION("""COMPUTED_VALUE"""),7725312.0)</f>
        <v>7725312</v>
      </c>
      <c r="B166" s="252" t="str">
        <f>IFERROR(__xludf.DUMMYFUNCTION("""COMPUTED_VALUE"""),"BookingCom")</f>
        <v>BookingCom</v>
      </c>
      <c r="C166" s="253" t="str">
        <f>IFERROR(__xludf.DUMMYFUNCTION("""COMPUTED_VALUE"""),"Reda Vilimiene ")</f>
        <v>Reda Vilimiene </v>
      </c>
      <c r="D166" s="254">
        <f>IFERROR(__xludf.DUMMYFUNCTION("""COMPUTED_VALUE"""),46070.0)</f>
        <v>46070</v>
      </c>
      <c r="E166" s="251">
        <f>IFERROR(__xludf.DUMMYFUNCTION("""COMPUTED_VALUE"""),46073.0)</f>
        <v>46073</v>
      </c>
      <c r="F166" s="255">
        <f>IFERROR(__xludf.DUMMYFUNCTION("""COMPUTED_VALUE"""),3.0)</f>
        <v>3</v>
      </c>
      <c r="G166" s="255">
        <f>IFERROR(__xludf.DUMMYFUNCTION("""COMPUTED_VALUE"""),3.0)</f>
        <v>3</v>
      </c>
      <c r="H166" s="256">
        <f>IFERROR(__xludf.DUMMYFUNCTION("""COMPUTED_VALUE"""),153.37)</f>
        <v>153.37</v>
      </c>
      <c r="I166" s="256">
        <f>IFERROR(__xludf.DUMMYFUNCTION("""COMPUTED_VALUE"""),368.088)</f>
        <v>368.088</v>
      </c>
      <c r="J166" s="257">
        <f t="shared" si="1"/>
        <v>9</v>
      </c>
      <c r="K166" s="253"/>
      <c r="L166" s="253"/>
      <c r="M166" s="252"/>
      <c r="N166" s="258"/>
      <c r="O166" s="259"/>
      <c r="P166" s="259"/>
      <c r="Q166" s="262"/>
      <c r="R166" s="260"/>
      <c r="S166" s="260"/>
      <c r="T166" s="260"/>
      <c r="U166" s="261"/>
      <c r="V166" s="251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</row>
    <row r="167">
      <c r="A167" s="251">
        <f>IFERROR(__xludf.DUMMYFUNCTION("""COMPUTED_VALUE"""),8145963.0)</f>
        <v>8145963</v>
      </c>
      <c r="B167" s="252" t="str">
        <f>IFERROR(__xludf.DUMMYFUNCTION("""COMPUTED_VALUE"""),"Agoda2")</f>
        <v>Agoda2</v>
      </c>
      <c r="C167" s="253" t="str">
        <f>IFERROR(__xludf.DUMMYFUNCTION("""COMPUTED_VALUE"""),"Maxime Carre ")</f>
        <v>Maxime Carre </v>
      </c>
      <c r="D167" s="254">
        <f>IFERROR(__xludf.DUMMYFUNCTION("""COMPUTED_VALUE"""),46070.0)</f>
        <v>46070</v>
      </c>
      <c r="E167" s="251">
        <f>IFERROR(__xludf.DUMMYFUNCTION("""COMPUTED_VALUE"""),46071.0)</f>
        <v>46071</v>
      </c>
      <c r="F167" s="255">
        <f>IFERROR(__xludf.DUMMYFUNCTION("""COMPUTED_VALUE"""),1.0)</f>
        <v>1</v>
      </c>
      <c r="G167" s="255">
        <f>IFERROR(__xludf.DUMMYFUNCTION("""COMPUTED_VALUE"""),2.0)</f>
        <v>2</v>
      </c>
      <c r="H167" s="256">
        <f>IFERROR(__xludf.DUMMYFUNCTION("""COMPUTED_VALUE"""),186.15)</f>
        <v>186.15</v>
      </c>
      <c r="I167" s="256">
        <f>IFERROR(__xludf.DUMMYFUNCTION("""COMPUTED_VALUE"""),148.92000000000002)</f>
        <v>148.92</v>
      </c>
      <c r="J167" s="257">
        <f t="shared" si="1"/>
        <v>2</v>
      </c>
      <c r="K167" s="253"/>
      <c r="L167" s="253"/>
      <c r="M167" s="252"/>
      <c r="N167" s="258"/>
      <c r="O167" s="259"/>
      <c r="P167" s="259"/>
      <c r="Q167" s="262"/>
      <c r="R167" s="260"/>
      <c r="S167" s="260"/>
      <c r="T167" s="260"/>
      <c r="U167" s="261"/>
      <c r="V167" s="251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</row>
    <row r="168">
      <c r="A168" s="251">
        <f>IFERROR(__xludf.DUMMYFUNCTION("""COMPUTED_VALUE"""),8187019.0)</f>
        <v>8187019</v>
      </c>
      <c r="B168" s="252" t="str">
        <f>IFERROR(__xludf.DUMMYFUNCTION("""COMPUTED_VALUE"""),"BookingCom")</f>
        <v>BookingCom</v>
      </c>
      <c r="C168" s="253" t="str">
        <f>IFERROR(__xludf.DUMMYFUNCTION("""COMPUTED_VALUE"""),"Philip Bierig ")</f>
        <v>Philip Bierig </v>
      </c>
      <c r="D168" s="254">
        <f>IFERROR(__xludf.DUMMYFUNCTION("""COMPUTED_VALUE"""),46070.0)</f>
        <v>46070</v>
      </c>
      <c r="E168" s="251">
        <f>IFERROR(__xludf.DUMMYFUNCTION("""COMPUTED_VALUE"""),46072.0)</f>
        <v>46072</v>
      </c>
      <c r="F168" s="255">
        <f>IFERROR(__xludf.DUMMYFUNCTION("""COMPUTED_VALUE"""),2.0)</f>
        <v>2</v>
      </c>
      <c r="G168" s="255">
        <f>IFERROR(__xludf.DUMMYFUNCTION("""COMPUTED_VALUE"""),2.0)</f>
        <v>2</v>
      </c>
      <c r="H168" s="256">
        <f>IFERROR(__xludf.DUMMYFUNCTION("""COMPUTED_VALUE"""),185.81)</f>
        <v>185.81</v>
      </c>
      <c r="I168" s="256">
        <f>IFERROR(__xludf.DUMMYFUNCTION("""COMPUTED_VALUE"""),297.296)</f>
        <v>297.296</v>
      </c>
      <c r="J168" s="257">
        <f t="shared" si="1"/>
        <v>4</v>
      </c>
      <c r="K168" s="253"/>
      <c r="L168" s="253"/>
      <c r="M168" s="252"/>
      <c r="N168" s="258"/>
      <c r="O168" s="259"/>
      <c r="P168" s="259"/>
      <c r="Q168" s="262"/>
      <c r="R168" s="260"/>
      <c r="S168" s="260"/>
      <c r="T168" s="260"/>
      <c r="U168" s="261"/>
      <c r="V168" s="251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</row>
    <row r="169">
      <c r="A169" s="251">
        <f>IFERROR(__xludf.DUMMYFUNCTION("""COMPUTED_VALUE"""),7792536.0)</f>
        <v>7792536</v>
      </c>
      <c r="B169" s="252" t="str">
        <f>IFERROR(__xludf.DUMMYFUNCTION("""COMPUTED_VALUE"""),"BookingCom")</f>
        <v>BookingCom</v>
      </c>
      <c r="C169" s="253" t="str">
        <f>IFERROR(__xludf.DUMMYFUNCTION("""COMPUTED_VALUE"""),"Stefan Kiefer ")</f>
        <v>Stefan Kiefer </v>
      </c>
      <c r="D169" s="254">
        <f>IFERROR(__xludf.DUMMYFUNCTION("""COMPUTED_VALUE"""),46071.0)</f>
        <v>46071</v>
      </c>
      <c r="E169" s="251">
        <f>IFERROR(__xludf.DUMMYFUNCTION("""COMPUTED_VALUE"""),46075.0)</f>
        <v>46075</v>
      </c>
      <c r="F169" s="255">
        <f>IFERROR(__xludf.DUMMYFUNCTION("""COMPUTED_VALUE"""),4.0)</f>
        <v>4</v>
      </c>
      <c r="G169" s="255">
        <f>IFERROR(__xludf.DUMMYFUNCTION("""COMPUTED_VALUE"""),2.0)</f>
        <v>2</v>
      </c>
      <c r="H169" s="256">
        <f>IFERROR(__xludf.DUMMYFUNCTION("""COMPUTED_VALUE"""),137.09)</f>
        <v>137.09</v>
      </c>
      <c r="I169" s="256">
        <f>IFERROR(__xludf.DUMMYFUNCTION("""COMPUTED_VALUE"""),438.68800000000005)</f>
        <v>438.688</v>
      </c>
      <c r="J169" s="257">
        <f t="shared" si="1"/>
        <v>8</v>
      </c>
      <c r="K169" s="253"/>
      <c r="L169" s="253"/>
      <c r="M169" s="252"/>
      <c r="N169" s="258"/>
      <c r="O169" s="259"/>
      <c r="P169" s="259"/>
      <c r="Q169" s="262"/>
      <c r="R169" s="260"/>
      <c r="S169" s="260"/>
      <c r="T169" s="260"/>
      <c r="U169" s="261"/>
      <c r="V169" s="251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</row>
    <row r="170">
      <c r="A170" s="251">
        <f>IFERROR(__xludf.DUMMYFUNCTION("""COMPUTED_VALUE"""),7939392.0)</f>
        <v>7939392</v>
      </c>
      <c r="B170" s="252" t="str">
        <f>IFERROR(__xludf.DUMMYFUNCTION("""COMPUTED_VALUE"""),"BookingCom")</f>
        <v>BookingCom</v>
      </c>
      <c r="C170" s="253" t="str">
        <f>IFERROR(__xludf.DUMMYFUNCTION("""COMPUTED_VALUE"""),"Frederic Chantraine ")</f>
        <v>Frederic Chantraine </v>
      </c>
      <c r="D170" s="254">
        <f>IFERROR(__xludf.DUMMYFUNCTION("""COMPUTED_VALUE"""),46071.0)</f>
        <v>46071</v>
      </c>
      <c r="E170" s="251">
        <f>IFERROR(__xludf.DUMMYFUNCTION("""COMPUTED_VALUE"""),46075.0)</f>
        <v>46075</v>
      </c>
      <c r="F170" s="255">
        <f>IFERROR(__xludf.DUMMYFUNCTION("""COMPUTED_VALUE"""),4.0)</f>
        <v>4</v>
      </c>
      <c r="G170" s="255">
        <f>IFERROR(__xludf.DUMMYFUNCTION("""COMPUTED_VALUE"""),3.0)</f>
        <v>3</v>
      </c>
      <c r="H170" s="256">
        <f>IFERROR(__xludf.DUMMYFUNCTION("""COMPUTED_VALUE"""),387.44)</f>
        <v>387.44</v>
      </c>
      <c r="I170" s="256">
        <f>IFERROR(__xludf.DUMMYFUNCTION("""COMPUTED_VALUE"""),1239.808)</f>
        <v>1239.808</v>
      </c>
      <c r="J170" s="257">
        <f t="shared" si="1"/>
        <v>12</v>
      </c>
      <c r="K170" s="253"/>
      <c r="L170" s="253"/>
      <c r="M170" s="252"/>
      <c r="N170" s="258"/>
      <c r="O170" s="259"/>
      <c r="P170" s="259"/>
      <c r="Q170" s="262"/>
      <c r="R170" s="260"/>
      <c r="S170" s="260"/>
      <c r="T170" s="260"/>
      <c r="U170" s="261"/>
      <c r="V170" s="251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</row>
    <row r="171">
      <c r="A171" s="251">
        <f>IFERROR(__xludf.DUMMYFUNCTION("""COMPUTED_VALUE"""),7693301.0)</f>
        <v>7693301</v>
      </c>
      <c r="B171" s="252" t="str">
        <f>IFERROR(__xludf.DUMMYFUNCTION("""COMPUTED_VALUE"""),"HotelBeds")</f>
        <v>HotelBeds</v>
      </c>
      <c r="C171" s="253" t="str">
        <f>IFERROR(__xludf.DUMMYFUNCTION("""COMPUTED_VALUE"""),"MONICA FARELL CANO ")</f>
        <v>MONICA FARELL CANO </v>
      </c>
      <c r="D171" s="254">
        <f>IFERROR(__xludf.DUMMYFUNCTION("""COMPUTED_VALUE"""),46072.0)</f>
        <v>46072</v>
      </c>
      <c r="E171" s="251">
        <f>IFERROR(__xludf.DUMMYFUNCTION("""COMPUTED_VALUE"""),46073.0)</f>
        <v>46073</v>
      </c>
      <c r="F171" s="255">
        <f>IFERROR(__xludf.DUMMYFUNCTION("""COMPUTED_VALUE"""),1.0)</f>
        <v>1</v>
      </c>
      <c r="G171" s="255">
        <f>IFERROR(__xludf.DUMMYFUNCTION("""COMPUTED_VALUE"""),3.0)</f>
        <v>3</v>
      </c>
      <c r="H171" s="256">
        <f>IFERROR(__xludf.DUMMYFUNCTION("""COMPUTED_VALUE"""),224.86)</f>
        <v>224.86</v>
      </c>
      <c r="I171" s="256">
        <f>IFERROR(__xludf.DUMMYFUNCTION("""COMPUTED_VALUE"""),179.88800000000003)</f>
        <v>179.888</v>
      </c>
      <c r="J171" s="257">
        <f t="shared" si="1"/>
        <v>3</v>
      </c>
      <c r="K171" s="253"/>
      <c r="L171" s="253"/>
      <c r="M171" s="252"/>
      <c r="N171" s="258"/>
      <c r="O171" s="259"/>
      <c r="P171" s="259"/>
      <c r="Q171" s="262"/>
      <c r="R171" s="260"/>
      <c r="S171" s="260"/>
      <c r="T171" s="260"/>
      <c r="U171" s="261"/>
      <c r="V171" s="251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</row>
    <row r="172">
      <c r="A172" s="251">
        <f>IFERROR(__xludf.DUMMYFUNCTION("""COMPUTED_VALUE"""),7700219.0)</f>
        <v>7700219</v>
      </c>
      <c r="B172" s="252" t="str">
        <f>IFERROR(__xludf.DUMMYFUNCTION("""COMPUTED_VALUE"""),"BookingCom")</f>
        <v>BookingCom</v>
      </c>
      <c r="C172" s="253" t="str">
        <f>IFERROR(__xludf.DUMMYFUNCTION("""COMPUTED_VALUE"""),"Lesley Lee ")</f>
        <v>Lesley Lee </v>
      </c>
      <c r="D172" s="254">
        <f>IFERROR(__xludf.DUMMYFUNCTION("""COMPUTED_VALUE"""),46073.0)</f>
        <v>46073</v>
      </c>
      <c r="E172" s="251">
        <f>IFERROR(__xludf.DUMMYFUNCTION("""COMPUTED_VALUE"""),46077.0)</f>
        <v>46077</v>
      </c>
      <c r="F172" s="255">
        <f>IFERROR(__xludf.DUMMYFUNCTION("""COMPUTED_VALUE"""),4.0)</f>
        <v>4</v>
      </c>
      <c r="G172" s="255">
        <f>IFERROR(__xludf.DUMMYFUNCTION("""COMPUTED_VALUE"""),2.0)</f>
        <v>2</v>
      </c>
      <c r="H172" s="256">
        <f>IFERROR(__xludf.DUMMYFUNCTION("""COMPUTED_VALUE"""),154.24)</f>
        <v>154.24</v>
      </c>
      <c r="I172" s="256">
        <f>IFERROR(__xludf.DUMMYFUNCTION("""COMPUTED_VALUE"""),493.56800000000004)</f>
        <v>493.568</v>
      </c>
      <c r="J172" s="257">
        <f t="shared" si="1"/>
        <v>8</v>
      </c>
      <c r="K172" s="253"/>
      <c r="L172" s="253"/>
      <c r="M172" s="275"/>
      <c r="N172" s="258"/>
      <c r="O172" s="259"/>
      <c r="P172" s="259"/>
      <c r="Q172" s="262"/>
      <c r="R172" s="260"/>
      <c r="S172" s="260"/>
      <c r="T172" s="260"/>
      <c r="U172" s="261"/>
      <c r="V172" s="251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</row>
    <row r="173">
      <c r="A173" s="251">
        <f>IFERROR(__xludf.DUMMYFUNCTION("""COMPUTED_VALUE"""),7721112.0)</f>
        <v>7721112</v>
      </c>
      <c r="B173" s="252" t="str">
        <f>IFERROR(__xludf.DUMMYFUNCTION("""COMPUTED_VALUE"""),"BookingCom")</f>
        <v>BookingCom</v>
      </c>
      <c r="C173" s="253" t="str">
        <f>IFERROR(__xludf.DUMMYFUNCTION("""COMPUTED_VALUE"""),"Gallimore Jenna ")</f>
        <v>Gallimore Jenna </v>
      </c>
      <c r="D173" s="254">
        <f>IFERROR(__xludf.DUMMYFUNCTION("""COMPUTED_VALUE"""),46073.0)</f>
        <v>46073</v>
      </c>
      <c r="E173" s="251">
        <f>IFERROR(__xludf.DUMMYFUNCTION("""COMPUTED_VALUE"""),46076.0)</f>
        <v>46076</v>
      </c>
      <c r="F173" s="255">
        <f>IFERROR(__xludf.DUMMYFUNCTION("""COMPUTED_VALUE"""),3.0)</f>
        <v>3</v>
      </c>
      <c r="G173" s="255">
        <f>IFERROR(__xludf.DUMMYFUNCTION("""COMPUTED_VALUE"""),2.0)</f>
        <v>2</v>
      </c>
      <c r="H173" s="256">
        <f>IFERROR(__xludf.DUMMYFUNCTION("""COMPUTED_VALUE"""),151.42)</f>
        <v>151.42</v>
      </c>
      <c r="I173" s="256">
        <f>IFERROR(__xludf.DUMMYFUNCTION("""COMPUTED_VALUE"""),363.408)</f>
        <v>363.408</v>
      </c>
      <c r="J173" s="257">
        <f t="shared" si="1"/>
        <v>6</v>
      </c>
      <c r="K173" s="253"/>
      <c r="L173" s="253"/>
      <c r="M173" s="275"/>
      <c r="N173" s="258"/>
      <c r="O173" s="259"/>
      <c r="P173" s="259"/>
      <c r="Q173" s="262"/>
      <c r="R173" s="260"/>
      <c r="S173" s="260"/>
      <c r="T173" s="260"/>
      <c r="U173" s="261"/>
      <c r="V173" s="251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</row>
    <row r="174">
      <c r="A174" s="251">
        <f>IFERROR(__xludf.DUMMYFUNCTION("""COMPUTED_VALUE"""),7766426.0)</f>
        <v>7766426</v>
      </c>
      <c r="B174" s="252" t="str">
        <f>IFERROR(__xludf.DUMMYFUNCTION("""COMPUTED_VALUE"""),"BookingCom")</f>
        <v>BookingCom</v>
      </c>
      <c r="C174" s="253" t="str">
        <f>IFERROR(__xludf.DUMMYFUNCTION("""COMPUTED_VALUE"""),"Mayara Fabricia Pereira ")</f>
        <v>Mayara Fabricia Pereira </v>
      </c>
      <c r="D174" s="254">
        <f>IFERROR(__xludf.DUMMYFUNCTION("""COMPUTED_VALUE"""),46073.0)</f>
        <v>46073</v>
      </c>
      <c r="E174" s="251">
        <f>IFERROR(__xludf.DUMMYFUNCTION("""COMPUTED_VALUE"""),46076.0)</f>
        <v>46076</v>
      </c>
      <c r="F174" s="255">
        <f>IFERROR(__xludf.DUMMYFUNCTION("""COMPUTED_VALUE"""),3.0)</f>
        <v>3</v>
      </c>
      <c r="G174" s="255">
        <f>IFERROR(__xludf.DUMMYFUNCTION("""COMPUTED_VALUE"""),2.0)</f>
        <v>2</v>
      </c>
      <c r="H174" s="256">
        <f>IFERROR(__xludf.DUMMYFUNCTION("""COMPUTED_VALUE"""),234.42999999999998)</f>
        <v>234.43</v>
      </c>
      <c r="I174" s="256">
        <f>IFERROR(__xludf.DUMMYFUNCTION("""COMPUTED_VALUE"""),562.632)</f>
        <v>562.632</v>
      </c>
      <c r="J174" s="257">
        <f t="shared" si="1"/>
        <v>6</v>
      </c>
      <c r="K174" s="253"/>
      <c r="L174" s="253"/>
      <c r="M174" s="252"/>
      <c r="N174" s="258"/>
      <c r="O174" s="259"/>
      <c r="P174" s="259"/>
      <c r="Q174" s="257"/>
      <c r="R174" s="260"/>
      <c r="S174" s="260"/>
      <c r="T174" s="260"/>
      <c r="U174" s="261"/>
      <c r="V174" s="251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</row>
    <row r="175">
      <c r="A175" s="251">
        <f>IFERROR(__xludf.DUMMYFUNCTION("""COMPUTED_VALUE"""),7871523.0)</f>
        <v>7871523</v>
      </c>
      <c r="B175" s="252" t="str">
        <f>IFERROR(__xludf.DUMMYFUNCTION("""COMPUTED_VALUE"""),"BookingCom")</f>
        <v>BookingCom</v>
      </c>
      <c r="C175" s="253" t="str">
        <f>IFERROR(__xludf.DUMMYFUNCTION("""COMPUTED_VALUE"""),"Nathalie Appenzeller ")</f>
        <v>Nathalie Appenzeller </v>
      </c>
      <c r="D175" s="254">
        <f>IFERROR(__xludf.DUMMYFUNCTION("""COMPUTED_VALUE"""),46073.0)</f>
        <v>46073</v>
      </c>
      <c r="E175" s="251">
        <f>IFERROR(__xludf.DUMMYFUNCTION("""COMPUTED_VALUE"""),46075.0)</f>
        <v>46075</v>
      </c>
      <c r="F175" s="255">
        <f>IFERROR(__xludf.DUMMYFUNCTION("""COMPUTED_VALUE"""),2.0)</f>
        <v>2</v>
      </c>
      <c r="G175" s="255">
        <f>IFERROR(__xludf.DUMMYFUNCTION("""COMPUTED_VALUE"""),2.0)</f>
        <v>2</v>
      </c>
      <c r="H175" s="256">
        <f>IFERROR(__xludf.DUMMYFUNCTION("""COMPUTED_VALUE"""),166.09)</f>
        <v>166.09</v>
      </c>
      <c r="I175" s="256">
        <f>IFERROR(__xludf.DUMMYFUNCTION("""COMPUTED_VALUE"""),265.744)</f>
        <v>265.744</v>
      </c>
      <c r="J175" s="257">
        <f t="shared" si="1"/>
        <v>4</v>
      </c>
      <c r="K175" s="253"/>
      <c r="L175" s="253"/>
      <c r="M175" s="275"/>
      <c r="N175" s="258"/>
      <c r="O175" s="259"/>
      <c r="P175" s="259"/>
      <c r="Q175" s="262"/>
      <c r="R175" s="260"/>
      <c r="S175" s="260"/>
      <c r="T175" s="273"/>
      <c r="U175" s="274"/>
      <c r="V175" s="263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</row>
    <row r="176">
      <c r="A176" s="251">
        <f>IFERROR(__xludf.DUMMYFUNCTION("""COMPUTED_VALUE"""),7572950.0)</f>
        <v>7572950</v>
      </c>
      <c r="B176" s="252" t="str">
        <f>IFERROR(__xludf.DUMMYFUNCTION("""COMPUTED_VALUE"""),"HotelBeds")</f>
        <v>HotelBeds</v>
      </c>
      <c r="C176" s="253" t="str">
        <f>IFERROR(__xludf.DUMMYFUNCTION("""COMPUTED_VALUE"""),"VALERIE PAULUS ")</f>
        <v>VALERIE PAULUS </v>
      </c>
      <c r="D176" s="254">
        <f>IFERROR(__xludf.DUMMYFUNCTION("""COMPUTED_VALUE"""),46073.0)</f>
        <v>46073</v>
      </c>
      <c r="E176" s="251">
        <f>IFERROR(__xludf.DUMMYFUNCTION("""COMPUTED_VALUE"""),46077.0)</f>
        <v>46077</v>
      </c>
      <c r="F176" s="255">
        <f>IFERROR(__xludf.DUMMYFUNCTION("""COMPUTED_VALUE"""),4.0)</f>
        <v>4</v>
      </c>
      <c r="G176" s="255">
        <f>IFERROR(__xludf.DUMMYFUNCTION("""COMPUTED_VALUE"""),3.0)</f>
        <v>3</v>
      </c>
      <c r="H176" s="256">
        <f>IFERROR(__xludf.DUMMYFUNCTION("""COMPUTED_VALUE"""),202.82)</f>
        <v>202.82</v>
      </c>
      <c r="I176" s="256">
        <f>IFERROR(__xludf.DUMMYFUNCTION("""COMPUTED_VALUE"""),649.024)</f>
        <v>649.024</v>
      </c>
      <c r="J176" s="257">
        <f t="shared" si="1"/>
        <v>12</v>
      </c>
      <c r="K176" s="253"/>
      <c r="L176" s="253"/>
      <c r="M176" s="275"/>
      <c r="N176" s="258"/>
      <c r="O176" s="259"/>
      <c r="P176" s="259"/>
      <c r="Q176" s="262"/>
      <c r="R176" s="260"/>
      <c r="S176" s="260"/>
      <c r="T176" s="273"/>
      <c r="U176" s="274"/>
      <c r="V176" s="263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</row>
    <row r="177">
      <c r="A177" s="251">
        <f>IFERROR(__xludf.DUMMYFUNCTION("""COMPUTED_VALUE"""),8149031.0)</f>
        <v>8149031</v>
      </c>
      <c r="B177" s="252" t="str">
        <f>IFERROR(__xludf.DUMMYFUNCTION("""COMPUTED_VALUE"""),"BookingCom")</f>
        <v>BookingCom</v>
      </c>
      <c r="C177" s="253" t="str">
        <f>IFERROR(__xludf.DUMMYFUNCTION("""COMPUTED_VALUE"""),"Sebastian Noethlichs ")</f>
        <v>Sebastian Noethlichs </v>
      </c>
      <c r="D177" s="254">
        <f>IFERROR(__xludf.DUMMYFUNCTION("""COMPUTED_VALUE"""),46073.0)</f>
        <v>46073</v>
      </c>
      <c r="E177" s="251">
        <f>IFERROR(__xludf.DUMMYFUNCTION("""COMPUTED_VALUE"""),46074.0)</f>
        <v>46074</v>
      </c>
      <c r="F177" s="255">
        <f>IFERROR(__xludf.DUMMYFUNCTION("""COMPUTED_VALUE"""),1.0)</f>
        <v>1</v>
      </c>
      <c r="G177" s="255">
        <f>IFERROR(__xludf.DUMMYFUNCTION("""COMPUTED_VALUE"""),3.0)</f>
        <v>3</v>
      </c>
      <c r="H177" s="256">
        <f>IFERROR(__xludf.DUMMYFUNCTION("""COMPUTED_VALUE"""),214.38)</f>
        <v>214.38</v>
      </c>
      <c r="I177" s="256">
        <f>IFERROR(__xludf.DUMMYFUNCTION("""COMPUTED_VALUE"""),171.50400000000002)</f>
        <v>171.504</v>
      </c>
      <c r="J177" s="257">
        <f t="shared" si="1"/>
        <v>3</v>
      </c>
      <c r="K177" s="253"/>
      <c r="L177" s="253"/>
      <c r="M177" s="252"/>
      <c r="N177" s="258"/>
      <c r="O177" s="259"/>
      <c r="P177" s="259"/>
      <c r="Q177" s="262"/>
      <c r="R177" s="260"/>
      <c r="S177" s="260"/>
      <c r="T177" s="260"/>
      <c r="U177" s="261"/>
      <c r="V177" s="251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</row>
    <row r="178">
      <c r="A178" s="251">
        <f>IFERROR(__xludf.DUMMYFUNCTION("""COMPUTED_VALUE"""),8172403.0)</f>
        <v>8172403</v>
      </c>
      <c r="B178" s="252" t="str">
        <f>IFERROR(__xludf.DUMMYFUNCTION("""COMPUTED_VALUE"""),"BookingCom")</f>
        <v>BookingCom</v>
      </c>
      <c r="C178" s="253" t="str">
        <f>IFERROR(__xludf.DUMMYFUNCTION("""COMPUTED_VALUE"""),"Asta Grabliauskiene ")</f>
        <v>Asta Grabliauskiene </v>
      </c>
      <c r="D178" s="254">
        <f>IFERROR(__xludf.DUMMYFUNCTION("""COMPUTED_VALUE"""),46073.0)</f>
        <v>46073</v>
      </c>
      <c r="E178" s="251">
        <f>IFERROR(__xludf.DUMMYFUNCTION("""COMPUTED_VALUE"""),46074.0)</f>
        <v>46074</v>
      </c>
      <c r="F178" s="255">
        <f>IFERROR(__xludf.DUMMYFUNCTION("""COMPUTED_VALUE"""),1.0)</f>
        <v>1</v>
      </c>
      <c r="G178" s="255">
        <f>IFERROR(__xludf.DUMMYFUNCTION("""COMPUTED_VALUE"""),1.0)</f>
        <v>1</v>
      </c>
      <c r="H178" s="256">
        <f>IFERROR(__xludf.DUMMYFUNCTION("""COMPUTED_VALUE"""),211.38)</f>
        <v>211.38</v>
      </c>
      <c r="I178" s="256">
        <f>IFERROR(__xludf.DUMMYFUNCTION("""COMPUTED_VALUE"""),169.104)</f>
        <v>169.104</v>
      </c>
      <c r="J178" s="257">
        <f t="shared" si="1"/>
        <v>1</v>
      </c>
      <c r="K178" s="253"/>
      <c r="L178" s="253"/>
      <c r="M178" s="252"/>
      <c r="N178" s="258"/>
      <c r="O178" s="259"/>
      <c r="P178" s="259"/>
      <c r="Q178" s="262"/>
      <c r="R178" s="260"/>
      <c r="S178" s="260"/>
      <c r="T178" s="260"/>
      <c r="U178" s="261"/>
      <c r="V178" s="251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</row>
    <row r="179">
      <c r="A179" s="251">
        <f>IFERROR(__xludf.DUMMYFUNCTION("""COMPUTED_VALUE"""),7693309.0)</f>
        <v>7693309</v>
      </c>
      <c r="B179" s="252" t="str">
        <f>IFERROR(__xludf.DUMMYFUNCTION("""COMPUTED_VALUE"""),"HotelBeds")</f>
        <v>HotelBeds</v>
      </c>
      <c r="C179" s="253" t="str">
        <f>IFERROR(__xludf.DUMMYFUNCTION("""COMPUTED_VALUE"""),"MONICA FARELL CANO ")</f>
        <v>MONICA FARELL CANO </v>
      </c>
      <c r="D179" s="254">
        <f>IFERROR(__xludf.DUMMYFUNCTION("""COMPUTED_VALUE"""),46074.0)</f>
        <v>46074</v>
      </c>
      <c r="E179" s="251">
        <f>IFERROR(__xludf.DUMMYFUNCTION("""COMPUTED_VALUE"""),46075.0)</f>
        <v>46075</v>
      </c>
      <c r="F179" s="255">
        <f>IFERROR(__xludf.DUMMYFUNCTION("""COMPUTED_VALUE"""),1.0)</f>
        <v>1</v>
      </c>
      <c r="G179" s="255">
        <f>IFERROR(__xludf.DUMMYFUNCTION("""COMPUTED_VALUE"""),3.0)</f>
        <v>3</v>
      </c>
      <c r="H179" s="256">
        <f>IFERROR(__xludf.DUMMYFUNCTION("""COMPUTED_VALUE"""),224.86)</f>
        <v>224.86</v>
      </c>
      <c r="I179" s="256">
        <f>IFERROR(__xludf.DUMMYFUNCTION("""COMPUTED_VALUE"""),179.88800000000003)</f>
        <v>179.888</v>
      </c>
      <c r="J179" s="257">
        <f t="shared" si="1"/>
        <v>3</v>
      </c>
      <c r="K179" s="253"/>
      <c r="L179" s="253"/>
      <c r="M179" s="252"/>
      <c r="N179" s="258"/>
      <c r="O179" s="259"/>
      <c r="P179" s="259"/>
      <c r="Q179" s="257"/>
      <c r="R179" s="260"/>
      <c r="S179" s="260"/>
      <c r="T179" s="273"/>
      <c r="U179" s="274"/>
      <c r="V179" s="263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</row>
    <row r="180">
      <c r="A180" s="251">
        <f>IFERROR(__xludf.DUMMYFUNCTION("""COMPUTED_VALUE"""),7693313.0)</f>
        <v>7693313</v>
      </c>
      <c r="B180" s="252" t="str">
        <f>IFERROR(__xludf.DUMMYFUNCTION("""COMPUTED_VALUE"""),"Agoda2")</f>
        <v>Agoda2</v>
      </c>
      <c r="C180" s="253" t="str">
        <f>IFERROR(__xludf.DUMMYFUNCTION("""COMPUTED_VALUE"""),"MONICA FARELL CANO ")</f>
        <v>MONICA FARELL CANO </v>
      </c>
      <c r="D180" s="254">
        <f>IFERROR(__xludf.DUMMYFUNCTION("""COMPUTED_VALUE"""),46074.0)</f>
        <v>46074</v>
      </c>
      <c r="E180" s="251">
        <f>IFERROR(__xludf.DUMMYFUNCTION("""COMPUTED_VALUE"""),46075.0)</f>
        <v>46075</v>
      </c>
      <c r="F180" s="255">
        <f>IFERROR(__xludf.DUMMYFUNCTION("""COMPUTED_VALUE"""),1.0)</f>
        <v>1</v>
      </c>
      <c r="G180" s="255">
        <f>IFERROR(__xludf.DUMMYFUNCTION("""COMPUTED_VALUE"""),2.0)</f>
        <v>2</v>
      </c>
      <c r="H180" s="256">
        <f>IFERROR(__xludf.DUMMYFUNCTION("""COMPUTED_VALUE"""),260.25)</f>
        <v>260.25</v>
      </c>
      <c r="I180" s="256">
        <f>IFERROR(__xludf.DUMMYFUNCTION("""COMPUTED_VALUE"""),208.20000000000002)</f>
        <v>208.2</v>
      </c>
      <c r="J180" s="257">
        <f t="shared" si="1"/>
        <v>2</v>
      </c>
      <c r="K180" s="253"/>
      <c r="L180" s="253"/>
      <c r="M180" s="252"/>
      <c r="N180" s="258"/>
      <c r="O180" s="259"/>
      <c r="P180" s="259"/>
      <c r="Q180" s="262"/>
      <c r="R180" s="260"/>
      <c r="S180" s="260"/>
      <c r="T180" s="260"/>
      <c r="U180" s="261"/>
      <c r="V180" s="251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</row>
    <row r="181">
      <c r="A181" s="251">
        <f>IFERROR(__xludf.DUMMYFUNCTION("""COMPUTED_VALUE"""),7272731.0)</f>
        <v>7272731</v>
      </c>
      <c r="B181" s="252" t="str">
        <f>IFERROR(__xludf.DUMMYFUNCTION("""COMPUTED_VALUE"""),"BookingCom")</f>
        <v>BookingCom</v>
      </c>
      <c r="C181" s="253" t="str">
        <f>IFERROR(__xludf.DUMMYFUNCTION("""COMPUTED_VALUE"""),"ian ryder ")</f>
        <v>ian ryder </v>
      </c>
      <c r="D181" s="254">
        <f>IFERROR(__xludf.DUMMYFUNCTION("""COMPUTED_VALUE"""),46075.0)</f>
        <v>46075</v>
      </c>
      <c r="E181" s="251">
        <f>IFERROR(__xludf.DUMMYFUNCTION("""COMPUTED_VALUE"""),46079.0)</f>
        <v>46079</v>
      </c>
      <c r="F181" s="255">
        <f>IFERROR(__xludf.DUMMYFUNCTION("""COMPUTED_VALUE"""),4.0)</f>
        <v>4</v>
      </c>
      <c r="G181" s="255">
        <f>IFERROR(__xludf.DUMMYFUNCTION("""COMPUTED_VALUE"""),2.0)</f>
        <v>2</v>
      </c>
      <c r="H181" s="256">
        <f>IFERROR(__xludf.DUMMYFUNCTION("""COMPUTED_VALUE"""),128.54)</f>
        <v>128.54</v>
      </c>
      <c r="I181" s="256">
        <f>IFERROR(__xludf.DUMMYFUNCTION("""COMPUTED_VALUE"""),411.328)</f>
        <v>411.328</v>
      </c>
      <c r="J181" s="257">
        <f t="shared" si="1"/>
        <v>8</v>
      </c>
      <c r="K181" s="253"/>
      <c r="L181" s="253"/>
      <c r="M181" s="252"/>
      <c r="N181" s="258"/>
      <c r="O181" s="259"/>
      <c r="P181" s="259"/>
      <c r="Q181" s="262"/>
      <c r="R181" s="260"/>
      <c r="S181" s="260"/>
      <c r="T181" s="260"/>
      <c r="U181" s="261"/>
      <c r="V181" s="251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</row>
    <row r="182">
      <c r="A182" s="251">
        <f>IFERROR(__xludf.DUMMYFUNCTION("""COMPUTED_VALUE"""),7703870.0)</f>
        <v>7703870</v>
      </c>
      <c r="B182" s="252" t="str">
        <f>IFERROR(__xludf.DUMMYFUNCTION("""COMPUTED_VALUE"""),"BookingCom")</f>
        <v>BookingCom</v>
      </c>
      <c r="C182" s="253" t="str">
        <f>IFERROR(__xludf.DUMMYFUNCTION("""COMPUTED_VALUE"""),"Mark Roberts ")</f>
        <v>Mark Roberts </v>
      </c>
      <c r="D182" s="254">
        <f>IFERROR(__xludf.DUMMYFUNCTION("""COMPUTED_VALUE"""),46075.0)</f>
        <v>46075</v>
      </c>
      <c r="E182" s="251">
        <f>IFERROR(__xludf.DUMMYFUNCTION("""COMPUTED_VALUE"""),46079.0)</f>
        <v>46079</v>
      </c>
      <c r="F182" s="255">
        <f>IFERROR(__xludf.DUMMYFUNCTION("""COMPUTED_VALUE"""),4.0)</f>
        <v>4</v>
      </c>
      <c r="G182" s="255">
        <f>IFERROR(__xludf.DUMMYFUNCTION("""COMPUTED_VALUE"""),2.0)</f>
        <v>2</v>
      </c>
      <c r="H182" s="256">
        <f>IFERROR(__xludf.DUMMYFUNCTION("""COMPUTED_VALUE"""),137.99)</f>
        <v>137.99</v>
      </c>
      <c r="I182" s="256">
        <f>IFERROR(__xludf.DUMMYFUNCTION("""COMPUTED_VALUE"""),441.56800000000004)</f>
        <v>441.568</v>
      </c>
      <c r="J182" s="257">
        <f t="shared" si="1"/>
        <v>8</v>
      </c>
      <c r="K182" s="253"/>
      <c r="L182" s="253"/>
      <c r="M182" s="252"/>
      <c r="N182" s="258"/>
      <c r="O182" s="259"/>
      <c r="P182" s="259"/>
      <c r="Q182" s="262"/>
      <c r="R182" s="260"/>
      <c r="S182" s="260"/>
      <c r="T182" s="260"/>
      <c r="U182" s="261"/>
      <c r="V182" s="251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</row>
    <row r="183">
      <c r="A183" s="251">
        <f>IFERROR(__xludf.DUMMYFUNCTION("""COMPUTED_VALUE"""),8056567.0)</f>
        <v>8056567</v>
      </c>
      <c r="B183" s="252" t="str">
        <f>IFERROR(__xludf.DUMMYFUNCTION("""COMPUTED_VALUE"""),"BookingCom")</f>
        <v>BookingCom</v>
      </c>
      <c r="C183" s="253" t="str">
        <f>IFERROR(__xludf.DUMMYFUNCTION("""COMPUTED_VALUE"""),"Camille di CHIARA ")</f>
        <v>Camille di CHIARA </v>
      </c>
      <c r="D183" s="254">
        <f>IFERROR(__xludf.DUMMYFUNCTION("""COMPUTED_VALUE"""),46075.0)</f>
        <v>46075</v>
      </c>
      <c r="E183" s="251">
        <f>IFERROR(__xludf.DUMMYFUNCTION("""COMPUTED_VALUE"""),46079.0)</f>
        <v>46079</v>
      </c>
      <c r="F183" s="255">
        <f>IFERROR(__xludf.DUMMYFUNCTION("""COMPUTED_VALUE"""),4.0)</f>
        <v>4</v>
      </c>
      <c r="G183" s="255">
        <f>IFERROR(__xludf.DUMMYFUNCTION("""COMPUTED_VALUE"""),4.0)</f>
        <v>4</v>
      </c>
      <c r="H183" s="256">
        <f>IFERROR(__xludf.DUMMYFUNCTION("""COMPUTED_VALUE"""),461.65)</f>
        <v>461.65</v>
      </c>
      <c r="I183" s="256">
        <f>IFERROR(__xludf.DUMMYFUNCTION("""COMPUTED_VALUE"""),1477.28)</f>
        <v>1477.28</v>
      </c>
      <c r="J183" s="257">
        <f t="shared" si="1"/>
        <v>16</v>
      </c>
      <c r="K183" s="253"/>
      <c r="L183" s="253"/>
      <c r="M183" s="252"/>
      <c r="N183" s="258"/>
      <c r="O183" s="259"/>
      <c r="P183" s="259"/>
      <c r="Q183" s="257"/>
      <c r="R183" s="260"/>
      <c r="S183" s="260"/>
      <c r="T183" s="260"/>
      <c r="U183" s="261"/>
      <c r="V183" s="251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</row>
    <row r="184">
      <c r="A184" s="251">
        <f>IFERROR(__xludf.DUMMYFUNCTION("""COMPUTED_VALUE"""),8128046.0)</f>
        <v>8128046</v>
      </c>
      <c r="B184" s="252" t="str">
        <f>IFERROR(__xludf.DUMMYFUNCTION("""COMPUTED_VALUE"""),"BookingCom")</f>
        <v>BookingCom</v>
      </c>
      <c r="C184" s="253" t="str">
        <f>IFERROR(__xludf.DUMMYFUNCTION("""COMPUTED_VALUE"""),"Valerie Cotte ")</f>
        <v>Valerie Cotte </v>
      </c>
      <c r="D184" s="254">
        <f>IFERROR(__xludf.DUMMYFUNCTION("""COMPUTED_VALUE"""),46075.0)</f>
        <v>46075</v>
      </c>
      <c r="E184" s="251">
        <f>IFERROR(__xludf.DUMMYFUNCTION("""COMPUTED_VALUE"""),46079.0)</f>
        <v>46079</v>
      </c>
      <c r="F184" s="255">
        <f>IFERROR(__xludf.DUMMYFUNCTION("""COMPUTED_VALUE"""),4.0)</f>
        <v>4</v>
      </c>
      <c r="G184" s="255">
        <f>IFERROR(__xludf.DUMMYFUNCTION("""COMPUTED_VALUE"""),2.0)</f>
        <v>2</v>
      </c>
      <c r="H184" s="256">
        <f>IFERROR(__xludf.DUMMYFUNCTION("""COMPUTED_VALUE"""),231.26)</f>
        <v>231.26</v>
      </c>
      <c r="I184" s="256">
        <f>IFERROR(__xludf.DUMMYFUNCTION("""COMPUTED_VALUE"""),740.032)</f>
        <v>740.032</v>
      </c>
      <c r="J184" s="257">
        <f t="shared" si="1"/>
        <v>8</v>
      </c>
      <c r="K184" s="253"/>
      <c r="L184" s="253"/>
      <c r="M184" s="252"/>
      <c r="N184" s="258"/>
      <c r="O184" s="259"/>
      <c r="P184" s="259"/>
      <c r="Q184" s="257"/>
      <c r="R184" s="260"/>
      <c r="S184" s="260"/>
      <c r="T184" s="260"/>
      <c r="U184" s="261"/>
      <c r="V184" s="251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</row>
    <row r="185">
      <c r="A185" s="251">
        <f>IFERROR(__xludf.DUMMYFUNCTION("""COMPUTED_VALUE"""),8013768.0)</f>
        <v>8013768</v>
      </c>
      <c r="B185" s="252" t="str">
        <f>IFERROR(__xludf.DUMMYFUNCTION("""COMPUTED_VALUE"""),"BookingCom")</f>
        <v>BookingCom</v>
      </c>
      <c r="C185" s="253" t="str">
        <f>IFERROR(__xludf.DUMMYFUNCTION("""COMPUTED_VALUE"""),"Briana Seiderman ")</f>
        <v>Briana Seiderman </v>
      </c>
      <c r="D185" s="254">
        <f>IFERROR(__xludf.DUMMYFUNCTION("""COMPUTED_VALUE"""),46076.0)</f>
        <v>46076</v>
      </c>
      <c r="E185" s="251">
        <f>IFERROR(__xludf.DUMMYFUNCTION("""COMPUTED_VALUE"""),46077.0)</f>
        <v>46077</v>
      </c>
      <c r="F185" s="255">
        <f>IFERROR(__xludf.DUMMYFUNCTION("""COMPUTED_VALUE"""),1.0)</f>
        <v>1</v>
      </c>
      <c r="G185" s="255">
        <f>IFERROR(__xludf.DUMMYFUNCTION("""COMPUTED_VALUE"""),3.0)</f>
        <v>3</v>
      </c>
      <c r="H185" s="256">
        <f>IFERROR(__xludf.DUMMYFUNCTION("""COMPUTED_VALUE"""),221.11)</f>
        <v>221.11</v>
      </c>
      <c r="I185" s="256">
        <f>IFERROR(__xludf.DUMMYFUNCTION("""COMPUTED_VALUE"""),176.88800000000003)</f>
        <v>176.888</v>
      </c>
      <c r="J185" s="257">
        <f t="shared" si="1"/>
        <v>3</v>
      </c>
      <c r="K185" s="253"/>
      <c r="L185" s="253"/>
      <c r="M185" s="252"/>
      <c r="N185" s="258"/>
      <c r="O185" s="259"/>
      <c r="P185" s="259"/>
      <c r="Q185" s="262"/>
      <c r="R185" s="260"/>
      <c r="S185" s="260"/>
      <c r="T185" s="260"/>
      <c r="U185" s="261"/>
      <c r="V185" s="251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</row>
    <row r="186">
      <c r="A186" s="251">
        <f>IFERROR(__xludf.DUMMYFUNCTION("""COMPUTED_VALUE"""),8035373.0)</f>
        <v>8035373</v>
      </c>
      <c r="B186" s="252" t="str">
        <f>IFERROR(__xludf.DUMMYFUNCTION("""COMPUTED_VALUE"""),"BookingCom")</f>
        <v>BookingCom</v>
      </c>
      <c r="C186" s="253" t="str">
        <f>IFERROR(__xludf.DUMMYFUNCTION("""COMPUTED_VALUE"""),"John Liston ")</f>
        <v>John Liston </v>
      </c>
      <c r="D186" s="254">
        <f>IFERROR(__xludf.DUMMYFUNCTION("""COMPUTED_VALUE"""),46076.0)</f>
        <v>46076</v>
      </c>
      <c r="E186" s="251">
        <f>IFERROR(__xludf.DUMMYFUNCTION("""COMPUTED_VALUE"""),46079.0)</f>
        <v>46079</v>
      </c>
      <c r="F186" s="255">
        <f>IFERROR(__xludf.DUMMYFUNCTION("""COMPUTED_VALUE"""),3.0)</f>
        <v>3</v>
      </c>
      <c r="G186" s="255">
        <f>IFERROR(__xludf.DUMMYFUNCTION("""COMPUTED_VALUE"""),2.0)</f>
        <v>2</v>
      </c>
      <c r="H186" s="256">
        <f>IFERROR(__xludf.DUMMYFUNCTION("""COMPUTED_VALUE"""),191.44000000000003)</f>
        <v>191.44</v>
      </c>
      <c r="I186" s="256">
        <f>IFERROR(__xludf.DUMMYFUNCTION("""COMPUTED_VALUE"""),459.456)</f>
        <v>459.456</v>
      </c>
      <c r="J186" s="257">
        <f t="shared" si="1"/>
        <v>6</v>
      </c>
      <c r="K186" s="253"/>
      <c r="L186" s="253"/>
      <c r="M186" s="252"/>
      <c r="N186" s="258"/>
      <c r="O186" s="259"/>
      <c r="P186" s="259"/>
      <c r="Q186" s="262"/>
      <c r="R186" s="260"/>
      <c r="S186" s="260"/>
      <c r="T186" s="273"/>
      <c r="U186" s="274"/>
      <c r="V186" s="263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</row>
    <row r="187">
      <c r="A187" s="251">
        <f>IFERROR(__xludf.DUMMYFUNCTION("""COMPUTED_VALUE"""),8101483.0)</f>
        <v>8101483</v>
      </c>
      <c r="B187" s="252" t="str">
        <f>IFERROR(__xludf.DUMMYFUNCTION("""COMPUTED_VALUE"""),"Reseliva")</f>
        <v>Reseliva</v>
      </c>
      <c r="C187" s="253" t="str">
        <f>IFERROR(__xludf.DUMMYFUNCTION("""COMPUTED_VALUE"""),"Aridani Jesus Marrero Aleman ")</f>
        <v>Aridani Jesus Marrero Aleman </v>
      </c>
      <c r="D187" s="254">
        <f>IFERROR(__xludf.DUMMYFUNCTION("""COMPUTED_VALUE"""),46076.0)</f>
        <v>46076</v>
      </c>
      <c r="E187" s="251">
        <f>IFERROR(__xludf.DUMMYFUNCTION("""COMPUTED_VALUE"""),46077.0)</f>
        <v>46077</v>
      </c>
      <c r="F187" s="255">
        <f>IFERROR(__xludf.DUMMYFUNCTION("""COMPUTED_VALUE"""),1.0)</f>
        <v>1</v>
      </c>
      <c r="G187" s="255">
        <f>IFERROR(__xludf.DUMMYFUNCTION("""COMPUTED_VALUE"""),2.0)</f>
        <v>2</v>
      </c>
      <c r="H187" s="256">
        <f>IFERROR(__xludf.DUMMYFUNCTION("""COMPUTED_VALUE"""),243.95)</f>
        <v>243.95</v>
      </c>
      <c r="I187" s="256">
        <f>IFERROR(__xludf.DUMMYFUNCTION("""COMPUTED_VALUE"""),241.51049999999998)</f>
        <v>241.5105</v>
      </c>
      <c r="J187" s="257">
        <f t="shared" si="1"/>
        <v>2</v>
      </c>
      <c r="K187" s="253"/>
      <c r="L187" s="253"/>
      <c r="M187" s="252"/>
      <c r="N187" s="258"/>
      <c r="O187" s="259"/>
      <c r="P187" s="259"/>
      <c r="Q187" s="262"/>
      <c r="R187" s="260"/>
      <c r="S187" s="260"/>
      <c r="T187" s="260"/>
      <c r="U187" s="261"/>
      <c r="V187" s="251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</row>
    <row r="188">
      <c r="A188" s="251">
        <f>IFERROR(__xludf.DUMMYFUNCTION("""COMPUTED_VALUE"""),8000885.0)</f>
        <v>8000885</v>
      </c>
      <c r="B188" s="252" t="str">
        <f>IFERROR(__xludf.DUMMYFUNCTION("""COMPUTED_VALUE"""),"BookingCom")</f>
        <v>BookingCom</v>
      </c>
      <c r="C188" s="253" t="str">
        <f>IFERROR(__xludf.DUMMYFUNCTION("""COMPUTED_VALUE"""),"Eugenie DUPONT ")</f>
        <v>Eugenie DUPONT </v>
      </c>
      <c r="D188" s="254">
        <f>IFERROR(__xludf.DUMMYFUNCTION("""COMPUTED_VALUE"""),46077.0)</f>
        <v>46077</v>
      </c>
      <c r="E188" s="251">
        <f>IFERROR(__xludf.DUMMYFUNCTION("""COMPUTED_VALUE"""),46082.0)</f>
        <v>46082</v>
      </c>
      <c r="F188" s="255">
        <f>IFERROR(__xludf.DUMMYFUNCTION("""COMPUTED_VALUE"""),5.0)</f>
        <v>5</v>
      </c>
      <c r="G188" s="255">
        <f>IFERROR(__xludf.DUMMYFUNCTION("""COMPUTED_VALUE"""),3.0)</f>
        <v>3</v>
      </c>
      <c r="H188" s="256">
        <f>IFERROR(__xludf.DUMMYFUNCTION("""COMPUTED_VALUE"""),209.78000000000003)</f>
        <v>209.78</v>
      </c>
      <c r="I188" s="256">
        <f>IFERROR(__xludf.DUMMYFUNCTION("""COMPUTED_VALUE"""),839.1200000000002)</f>
        <v>839.12</v>
      </c>
      <c r="J188" s="257">
        <f t="shared" si="1"/>
        <v>15</v>
      </c>
      <c r="K188" s="253"/>
      <c r="L188" s="253"/>
      <c r="M188" s="252"/>
      <c r="N188" s="258"/>
      <c r="O188" s="259"/>
      <c r="P188" s="259"/>
      <c r="Q188" s="262"/>
      <c r="R188" s="260"/>
      <c r="S188" s="260"/>
      <c r="T188" s="260"/>
      <c r="U188" s="261"/>
      <c r="V188" s="251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</row>
    <row r="189">
      <c r="A189" s="251">
        <f>IFERROR(__xludf.DUMMYFUNCTION("""COMPUTED_VALUE"""),8000894.0)</f>
        <v>8000894</v>
      </c>
      <c r="B189" s="252" t="str">
        <f>IFERROR(__xludf.DUMMYFUNCTION("""COMPUTED_VALUE"""),"BookingCom")</f>
        <v>BookingCom</v>
      </c>
      <c r="C189" s="253" t="str">
        <f>IFERROR(__xludf.DUMMYFUNCTION("""COMPUTED_VALUE"""),"Lucas Testaniere ")</f>
        <v>Lucas Testaniere </v>
      </c>
      <c r="D189" s="254">
        <f>IFERROR(__xludf.DUMMYFUNCTION("""COMPUTED_VALUE"""),46077.0)</f>
        <v>46077</v>
      </c>
      <c r="E189" s="251">
        <f>IFERROR(__xludf.DUMMYFUNCTION("""COMPUTED_VALUE"""),46082.0)</f>
        <v>46082</v>
      </c>
      <c r="F189" s="255">
        <f>IFERROR(__xludf.DUMMYFUNCTION("""COMPUTED_VALUE"""),5.0)</f>
        <v>5</v>
      </c>
      <c r="G189" s="255">
        <f>IFERROR(__xludf.DUMMYFUNCTION("""COMPUTED_VALUE"""),2.0)</f>
        <v>2</v>
      </c>
      <c r="H189" s="256">
        <f>IFERROR(__xludf.DUMMYFUNCTION("""COMPUTED_VALUE"""),209.78000000000003)</f>
        <v>209.78</v>
      </c>
      <c r="I189" s="256">
        <f>IFERROR(__xludf.DUMMYFUNCTION("""COMPUTED_VALUE"""),839.1200000000002)</f>
        <v>839.12</v>
      </c>
      <c r="J189" s="257">
        <f t="shared" si="1"/>
        <v>10</v>
      </c>
      <c r="K189" s="253"/>
      <c r="L189" s="253"/>
      <c r="M189" s="252"/>
      <c r="N189" s="258"/>
      <c r="O189" s="259"/>
      <c r="P189" s="259"/>
      <c r="Q189" s="262"/>
      <c r="R189" s="260"/>
      <c r="S189" s="260"/>
      <c r="T189" s="260"/>
      <c r="U189" s="261"/>
      <c r="V189" s="251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</row>
    <row r="190">
      <c r="A190" s="251">
        <f>IFERROR(__xludf.DUMMYFUNCTION("""COMPUTED_VALUE"""),8002464.0)</f>
        <v>8002464</v>
      </c>
      <c r="B190" s="252" t="str">
        <f>IFERROR(__xludf.DUMMYFUNCTION("""COMPUTED_VALUE"""),"Expedia")</f>
        <v>Expedia</v>
      </c>
      <c r="C190" s="253" t="str">
        <f>IFERROR(__xludf.DUMMYFUNCTION("""COMPUTED_VALUE"""),"Briana Seiderman ")</f>
        <v>Briana Seiderman </v>
      </c>
      <c r="D190" s="254">
        <f>IFERROR(__xludf.DUMMYFUNCTION("""COMPUTED_VALUE"""),46077.0)</f>
        <v>46077</v>
      </c>
      <c r="E190" s="251">
        <f>IFERROR(__xludf.DUMMYFUNCTION("""COMPUTED_VALUE"""),46080.0)</f>
        <v>46080</v>
      </c>
      <c r="F190" s="255">
        <f>IFERROR(__xludf.DUMMYFUNCTION("""COMPUTED_VALUE"""),3.0)</f>
        <v>3</v>
      </c>
      <c r="G190" s="255">
        <f>IFERROR(__xludf.DUMMYFUNCTION("""COMPUTED_VALUE"""),3.0)</f>
        <v>3</v>
      </c>
      <c r="H190" s="256">
        <f>IFERROR(__xludf.DUMMYFUNCTION("""COMPUTED_VALUE"""),0.0)</f>
        <v>0</v>
      </c>
      <c r="I190" s="256">
        <f>IFERROR(__xludf.DUMMYFUNCTION("""COMPUTED_VALUE"""),0.0)</f>
        <v>0</v>
      </c>
      <c r="J190" s="257">
        <f t="shared" si="1"/>
        <v>9</v>
      </c>
      <c r="K190" s="253"/>
      <c r="L190" s="253"/>
      <c r="M190" s="252"/>
      <c r="N190" s="258"/>
      <c r="O190" s="259"/>
      <c r="P190" s="259"/>
      <c r="Q190" s="257"/>
      <c r="R190" s="260"/>
      <c r="S190" s="260"/>
      <c r="T190" s="260"/>
      <c r="U190" s="261"/>
      <c r="V190" s="251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</row>
    <row r="191">
      <c r="A191" s="251">
        <f>IFERROR(__xludf.DUMMYFUNCTION("""COMPUTED_VALUE"""),8174194.0)</f>
        <v>8174194</v>
      </c>
      <c r="B191" s="252" t="str">
        <f>IFERROR(__xludf.DUMMYFUNCTION("""COMPUTED_VALUE"""),"Reseliva Pannel")</f>
        <v>Reseliva Pannel</v>
      </c>
      <c r="C191" s="253" t="str">
        <f>IFERROR(__xludf.DUMMYFUNCTION("""COMPUTED_VALUE"""),"Christelle PILAUD ")</f>
        <v>Christelle PILAUD </v>
      </c>
      <c r="D191" s="254">
        <f>IFERROR(__xludf.DUMMYFUNCTION("""COMPUTED_VALUE"""),46077.0)</f>
        <v>46077</v>
      </c>
      <c r="E191" s="251">
        <f>IFERROR(__xludf.DUMMYFUNCTION("""COMPUTED_VALUE"""),46080.0)</f>
        <v>46080</v>
      </c>
      <c r="F191" s="255">
        <f>IFERROR(__xludf.DUMMYFUNCTION("""COMPUTED_VALUE"""),3.0)</f>
        <v>3</v>
      </c>
      <c r="G191" s="255">
        <f>IFERROR(__xludf.DUMMYFUNCTION("""COMPUTED_VALUE"""),2.0)</f>
        <v>2</v>
      </c>
      <c r="H191" s="256">
        <f>IFERROR(__xludf.DUMMYFUNCTION("""COMPUTED_VALUE"""),239.76)</f>
        <v>239.76</v>
      </c>
      <c r="I191" s="256">
        <f>IFERROR(__xludf.DUMMYFUNCTION("""COMPUTED_VALUE"""),719.28)</f>
        <v>719.28</v>
      </c>
      <c r="J191" s="257">
        <f t="shared" si="1"/>
        <v>6</v>
      </c>
      <c r="K191" s="253"/>
      <c r="L191" s="253"/>
      <c r="M191" s="252"/>
      <c r="N191" s="258"/>
      <c r="O191" s="259"/>
      <c r="P191" s="259"/>
      <c r="Q191" s="262"/>
      <c r="R191" s="260"/>
      <c r="S191" s="260"/>
      <c r="T191" s="260"/>
      <c r="U191" s="261"/>
      <c r="V191" s="251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</row>
    <row r="192">
      <c r="A192" s="251">
        <f>IFERROR(__xludf.DUMMYFUNCTION("""COMPUTED_VALUE"""),8154801.0)</f>
        <v>8154801</v>
      </c>
      <c r="B192" s="252" t="str">
        <f>IFERROR(__xludf.DUMMYFUNCTION("""COMPUTED_VALUE"""),"BookingCom")</f>
        <v>BookingCom</v>
      </c>
      <c r="C192" s="253" t="str">
        <f>IFERROR(__xludf.DUMMYFUNCTION("""COMPUTED_VALUE"""),"Jeroen Schultheis ")</f>
        <v>Jeroen Schultheis </v>
      </c>
      <c r="D192" s="254">
        <f>IFERROR(__xludf.DUMMYFUNCTION("""COMPUTED_VALUE"""),46078.0)</f>
        <v>46078</v>
      </c>
      <c r="E192" s="251">
        <f>IFERROR(__xludf.DUMMYFUNCTION("""COMPUTED_VALUE"""),46079.0)</f>
        <v>46079</v>
      </c>
      <c r="F192" s="255">
        <f>IFERROR(__xludf.DUMMYFUNCTION("""COMPUTED_VALUE"""),1.0)</f>
        <v>1</v>
      </c>
      <c r="G192" s="255">
        <f>IFERROR(__xludf.DUMMYFUNCTION("""COMPUTED_VALUE"""),2.0)</f>
        <v>2</v>
      </c>
      <c r="H192" s="256">
        <f>IFERROR(__xludf.DUMMYFUNCTION("""COMPUTED_VALUE"""),169.56)</f>
        <v>169.56</v>
      </c>
      <c r="I192" s="256">
        <f>IFERROR(__xludf.DUMMYFUNCTION("""COMPUTED_VALUE"""),135.648)</f>
        <v>135.648</v>
      </c>
      <c r="J192" s="257">
        <f t="shared" si="1"/>
        <v>2</v>
      </c>
      <c r="K192" s="253"/>
      <c r="L192" s="253"/>
      <c r="M192" s="252"/>
      <c r="N192" s="258"/>
      <c r="O192" s="259"/>
      <c r="P192" s="259"/>
      <c r="Q192" s="257"/>
      <c r="R192" s="260"/>
      <c r="S192" s="260"/>
      <c r="T192" s="260"/>
      <c r="U192" s="261"/>
      <c r="V192" s="251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</row>
    <row r="193">
      <c r="A193" s="251">
        <f>IFERROR(__xludf.DUMMYFUNCTION("""COMPUTED_VALUE"""),7459895.0)</f>
        <v>7459895</v>
      </c>
      <c r="B193" s="252" t="str">
        <f>IFERROR(__xludf.DUMMYFUNCTION("""COMPUTED_VALUE"""),"BookingCom")</f>
        <v>BookingCom</v>
      </c>
      <c r="C193" s="253" t="str">
        <f>IFERROR(__xludf.DUMMYFUNCTION("""COMPUTED_VALUE"""),"Omar Bumann ")</f>
        <v>Omar Bumann </v>
      </c>
      <c r="D193" s="254">
        <f>IFERROR(__xludf.DUMMYFUNCTION("""COMPUTED_VALUE"""),46079.0)</f>
        <v>46079</v>
      </c>
      <c r="E193" s="251">
        <f>IFERROR(__xludf.DUMMYFUNCTION("""COMPUTED_VALUE"""),46083.0)</f>
        <v>46083</v>
      </c>
      <c r="F193" s="255">
        <f>IFERROR(__xludf.DUMMYFUNCTION("""COMPUTED_VALUE"""),4.0)</f>
        <v>4</v>
      </c>
      <c r="G193" s="255">
        <f>IFERROR(__xludf.DUMMYFUNCTION("""COMPUTED_VALUE"""),2.0)</f>
        <v>2</v>
      </c>
      <c r="H193" s="256">
        <f>IFERROR(__xludf.DUMMYFUNCTION("""COMPUTED_VALUE"""),146.43)</f>
        <v>146.43</v>
      </c>
      <c r="I193" s="256">
        <f>IFERROR(__xludf.DUMMYFUNCTION("""COMPUTED_VALUE"""),468.576)</f>
        <v>468.576</v>
      </c>
      <c r="J193" s="257">
        <f t="shared" si="1"/>
        <v>8</v>
      </c>
      <c r="K193" s="253"/>
      <c r="L193" s="253"/>
      <c r="M193" s="252"/>
      <c r="N193" s="258"/>
      <c r="O193" s="259"/>
      <c r="P193" s="259"/>
      <c r="Q193" s="257"/>
      <c r="R193" s="260"/>
      <c r="S193" s="260"/>
      <c r="T193" s="260"/>
      <c r="U193" s="261"/>
      <c r="V193" s="251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</row>
    <row r="194">
      <c r="A194" s="251">
        <f>IFERROR(__xludf.DUMMYFUNCTION("""COMPUTED_VALUE"""),7728888.0)</f>
        <v>7728888</v>
      </c>
      <c r="B194" s="252" t="str">
        <f>IFERROR(__xludf.DUMMYFUNCTION("""COMPUTED_VALUE"""),"BookingCom")</f>
        <v>BookingCom</v>
      </c>
      <c r="C194" s="253" t="str">
        <f>IFERROR(__xludf.DUMMYFUNCTION("""COMPUTED_VALUE"""),"Patrick Neyret ")</f>
        <v>Patrick Neyret </v>
      </c>
      <c r="D194" s="254">
        <f>IFERROR(__xludf.DUMMYFUNCTION("""COMPUTED_VALUE"""),46079.0)</f>
        <v>46079</v>
      </c>
      <c r="E194" s="251">
        <f>IFERROR(__xludf.DUMMYFUNCTION("""COMPUTED_VALUE"""),46081.0)</f>
        <v>46081</v>
      </c>
      <c r="F194" s="255">
        <f>IFERROR(__xludf.DUMMYFUNCTION("""COMPUTED_VALUE"""),2.0)</f>
        <v>2</v>
      </c>
      <c r="G194" s="255">
        <f>IFERROR(__xludf.DUMMYFUNCTION("""COMPUTED_VALUE"""),3.0)</f>
        <v>3</v>
      </c>
      <c r="H194" s="256">
        <f>IFERROR(__xludf.DUMMYFUNCTION("""COMPUTED_VALUE"""),204.17)</f>
        <v>204.17</v>
      </c>
      <c r="I194" s="256">
        <f>IFERROR(__xludf.DUMMYFUNCTION("""COMPUTED_VALUE"""),326.672)</f>
        <v>326.672</v>
      </c>
      <c r="J194" s="257">
        <f t="shared" si="1"/>
        <v>6</v>
      </c>
      <c r="K194" s="253"/>
      <c r="L194" s="253"/>
      <c r="M194" s="252"/>
      <c r="N194" s="258"/>
      <c r="O194" s="259"/>
      <c r="P194" s="259"/>
      <c r="Q194" s="257"/>
      <c r="R194" s="260"/>
      <c r="S194" s="260"/>
      <c r="T194" s="260"/>
      <c r="U194" s="261"/>
      <c r="V194" s="251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</row>
    <row r="195">
      <c r="A195" s="251">
        <f>IFERROR(__xludf.DUMMYFUNCTION("""COMPUTED_VALUE"""),7964313.0)</f>
        <v>7964313</v>
      </c>
      <c r="B195" s="252" t="str">
        <f>IFERROR(__xludf.DUMMYFUNCTION("""COMPUTED_VALUE"""),"BookingCom")</f>
        <v>BookingCom</v>
      </c>
      <c r="C195" s="253" t="str">
        <f>IFERROR(__xludf.DUMMYFUNCTION("""COMPUTED_VALUE"""),"Sandra Leu ")</f>
        <v>Sandra Leu </v>
      </c>
      <c r="D195" s="254">
        <f>IFERROR(__xludf.DUMMYFUNCTION("""COMPUTED_VALUE"""),46079.0)</f>
        <v>46079</v>
      </c>
      <c r="E195" s="251">
        <f>IFERROR(__xludf.DUMMYFUNCTION("""COMPUTED_VALUE"""),46080.0)</f>
        <v>46080</v>
      </c>
      <c r="F195" s="255">
        <f>IFERROR(__xludf.DUMMYFUNCTION("""COMPUTED_VALUE"""),1.0)</f>
        <v>1</v>
      </c>
      <c r="G195" s="255">
        <f>IFERROR(__xludf.DUMMYFUNCTION("""COMPUTED_VALUE"""),2.0)</f>
        <v>2</v>
      </c>
      <c r="H195" s="256">
        <f>IFERROR(__xludf.DUMMYFUNCTION("""COMPUTED_VALUE"""),196.22)</f>
        <v>196.22</v>
      </c>
      <c r="I195" s="256">
        <f>IFERROR(__xludf.DUMMYFUNCTION("""COMPUTED_VALUE"""),156.976)</f>
        <v>156.976</v>
      </c>
      <c r="J195" s="257">
        <f t="shared" si="1"/>
        <v>2</v>
      </c>
      <c r="K195" s="253"/>
      <c r="L195" s="253"/>
      <c r="M195" s="252"/>
      <c r="N195" s="258"/>
      <c r="O195" s="259"/>
      <c r="P195" s="259"/>
      <c r="Q195" s="262"/>
      <c r="R195" s="260"/>
      <c r="S195" s="260"/>
      <c r="T195" s="260"/>
      <c r="U195" s="261"/>
      <c r="V195" s="251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</row>
    <row r="196">
      <c r="A196" s="251">
        <f>IFERROR(__xludf.DUMMYFUNCTION("""COMPUTED_VALUE"""),8114237.0)</f>
        <v>8114237</v>
      </c>
      <c r="B196" s="252" t="str">
        <f>IFERROR(__xludf.DUMMYFUNCTION("""COMPUTED_VALUE"""),"BookingCom")</f>
        <v>BookingCom</v>
      </c>
      <c r="C196" s="253" t="str">
        <f>IFERROR(__xludf.DUMMYFUNCTION("""COMPUTED_VALUE"""),"Stephanie Menan ")</f>
        <v>Stephanie Menan </v>
      </c>
      <c r="D196" s="254">
        <f>IFERROR(__xludf.DUMMYFUNCTION("""COMPUTED_VALUE"""),46079.0)</f>
        <v>46079</v>
      </c>
      <c r="E196" s="251">
        <f>IFERROR(__xludf.DUMMYFUNCTION("""COMPUTED_VALUE"""),46081.0)</f>
        <v>46081</v>
      </c>
      <c r="F196" s="255">
        <f>IFERROR(__xludf.DUMMYFUNCTION("""COMPUTED_VALUE"""),2.0)</f>
        <v>2</v>
      </c>
      <c r="G196" s="255">
        <f>IFERROR(__xludf.DUMMYFUNCTION("""COMPUTED_VALUE"""),4.0)</f>
        <v>4</v>
      </c>
      <c r="H196" s="256">
        <f>IFERROR(__xludf.DUMMYFUNCTION("""COMPUTED_VALUE"""),401.07)</f>
        <v>401.07</v>
      </c>
      <c r="I196" s="256">
        <f>IFERROR(__xludf.DUMMYFUNCTION("""COMPUTED_VALUE"""),641.712)</f>
        <v>641.712</v>
      </c>
      <c r="J196" s="257">
        <f t="shared" si="1"/>
        <v>8</v>
      </c>
      <c r="K196" s="253"/>
      <c r="L196" s="253"/>
      <c r="M196" s="252"/>
      <c r="N196" s="258"/>
      <c r="O196" s="259"/>
      <c r="P196" s="259"/>
      <c r="Q196" s="262"/>
      <c r="R196" s="260"/>
      <c r="S196" s="260"/>
      <c r="T196" s="260"/>
      <c r="U196" s="261"/>
      <c r="V196" s="251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</row>
    <row r="197">
      <c r="A197" s="251">
        <f>IFERROR(__xludf.DUMMYFUNCTION("""COMPUTED_VALUE"""),8165967.0)</f>
        <v>8165967</v>
      </c>
      <c r="B197" s="252" t="str">
        <f>IFERROR(__xludf.DUMMYFUNCTION("""COMPUTED_VALUE"""),"BookingCom")</f>
        <v>BookingCom</v>
      </c>
      <c r="C197" s="253" t="str">
        <f>IFERROR(__xludf.DUMMYFUNCTION("""COMPUTED_VALUE"""),"CRISTIAN SCUTURICI ")</f>
        <v>CRISTIAN SCUTURICI </v>
      </c>
      <c r="D197" s="254">
        <f>IFERROR(__xludf.DUMMYFUNCTION("""COMPUTED_VALUE"""),46079.0)</f>
        <v>46079</v>
      </c>
      <c r="E197" s="251">
        <f>IFERROR(__xludf.DUMMYFUNCTION("""COMPUTED_VALUE"""),46082.0)</f>
        <v>46082</v>
      </c>
      <c r="F197" s="255">
        <f>IFERROR(__xludf.DUMMYFUNCTION("""COMPUTED_VALUE"""),3.0)</f>
        <v>3</v>
      </c>
      <c r="G197" s="255">
        <f>IFERROR(__xludf.DUMMYFUNCTION("""COMPUTED_VALUE"""),3.0)</f>
        <v>3</v>
      </c>
      <c r="H197" s="256">
        <f>IFERROR(__xludf.DUMMYFUNCTION("""COMPUTED_VALUE"""),175.32000000000002)</f>
        <v>175.32</v>
      </c>
      <c r="I197" s="256">
        <f>IFERROR(__xludf.DUMMYFUNCTION("""COMPUTED_VALUE"""),420.7680000000001)</f>
        <v>420.768</v>
      </c>
      <c r="J197" s="257">
        <f t="shared" si="1"/>
        <v>9</v>
      </c>
      <c r="K197" s="253"/>
      <c r="L197" s="253"/>
      <c r="M197" s="275"/>
      <c r="N197" s="258"/>
      <c r="O197" s="259"/>
      <c r="P197" s="259"/>
      <c r="Q197" s="262"/>
      <c r="R197" s="260"/>
      <c r="S197" s="260"/>
      <c r="T197" s="260"/>
      <c r="U197" s="261"/>
      <c r="V197" s="251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</row>
    <row r="198">
      <c r="A198" s="251">
        <f>IFERROR(__xludf.DUMMYFUNCTION("""COMPUTED_VALUE"""),7718526.0)</f>
        <v>7718526</v>
      </c>
      <c r="B198" s="252" t="str">
        <f>IFERROR(__xludf.DUMMYFUNCTION("""COMPUTED_VALUE"""),"BookingCom")</f>
        <v>BookingCom</v>
      </c>
      <c r="C198" s="253" t="str">
        <f>IFERROR(__xludf.DUMMYFUNCTION("""COMPUTED_VALUE"""),"Pauline Jeannoel ")</f>
        <v>Pauline Jeannoel </v>
      </c>
      <c r="D198" s="254">
        <f>IFERROR(__xludf.DUMMYFUNCTION("""COMPUTED_VALUE"""),46080.0)</f>
        <v>46080</v>
      </c>
      <c r="E198" s="251">
        <f>IFERROR(__xludf.DUMMYFUNCTION("""COMPUTED_VALUE"""),46084.0)</f>
        <v>46084</v>
      </c>
      <c r="F198" s="255">
        <f>IFERROR(__xludf.DUMMYFUNCTION("""COMPUTED_VALUE"""),4.0)</f>
        <v>4</v>
      </c>
      <c r="G198" s="255">
        <f>IFERROR(__xludf.DUMMYFUNCTION("""COMPUTED_VALUE"""),2.0)</f>
        <v>2</v>
      </c>
      <c r="H198" s="256">
        <f>IFERROR(__xludf.DUMMYFUNCTION("""COMPUTED_VALUE"""),113.4)</f>
        <v>113.4</v>
      </c>
      <c r="I198" s="256">
        <f>IFERROR(__xludf.DUMMYFUNCTION("""COMPUTED_VALUE"""),362.88000000000005)</f>
        <v>362.88</v>
      </c>
      <c r="J198" s="257">
        <f t="shared" si="1"/>
        <v>8</v>
      </c>
      <c r="K198" s="253"/>
      <c r="L198" s="253"/>
      <c r="M198" s="252"/>
      <c r="N198" s="258"/>
      <c r="O198" s="259"/>
      <c r="P198" s="259"/>
      <c r="Q198" s="262"/>
      <c r="R198" s="260"/>
      <c r="S198" s="260"/>
      <c r="T198" s="260"/>
      <c r="U198" s="261"/>
      <c r="V198" s="251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</row>
    <row r="199">
      <c r="A199" s="251">
        <f>IFERROR(__xludf.DUMMYFUNCTION("""COMPUTED_VALUE"""),7805074.0)</f>
        <v>7805074</v>
      </c>
      <c r="B199" s="252" t="str">
        <f>IFERROR(__xludf.DUMMYFUNCTION("""COMPUTED_VALUE"""),"BookingCom")</f>
        <v>BookingCom</v>
      </c>
      <c r="C199" s="253" t="str">
        <f>IFERROR(__xludf.DUMMYFUNCTION("""COMPUTED_VALUE"""),"Silvia Prosdocimi ")</f>
        <v>Silvia Prosdocimi </v>
      </c>
      <c r="D199" s="254">
        <f>IFERROR(__xludf.DUMMYFUNCTION("""COMPUTED_VALUE"""),46080.0)</f>
        <v>46080</v>
      </c>
      <c r="E199" s="251">
        <f>IFERROR(__xludf.DUMMYFUNCTION("""COMPUTED_VALUE"""),46083.0)</f>
        <v>46083</v>
      </c>
      <c r="F199" s="255">
        <f>IFERROR(__xludf.DUMMYFUNCTION("""COMPUTED_VALUE"""),3.0)</f>
        <v>3</v>
      </c>
      <c r="G199" s="255">
        <f>IFERROR(__xludf.DUMMYFUNCTION("""COMPUTED_VALUE"""),2.0)</f>
        <v>2</v>
      </c>
      <c r="H199" s="256">
        <f>IFERROR(__xludf.DUMMYFUNCTION("""COMPUTED_VALUE"""),254.20000000000002)</f>
        <v>254.2</v>
      </c>
      <c r="I199" s="256">
        <f>IFERROR(__xludf.DUMMYFUNCTION("""COMPUTED_VALUE"""),610.08)</f>
        <v>610.08</v>
      </c>
      <c r="J199" s="257">
        <f t="shared" si="1"/>
        <v>6</v>
      </c>
      <c r="K199" s="253"/>
      <c r="L199" s="253"/>
      <c r="M199" s="252"/>
      <c r="N199" s="258"/>
      <c r="O199" s="259"/>
      <c r="P199" s="259"/>
      <c r="Q199" s="257"/>
      <c r="R199" s="260"/>
      <c r="S199" s="260"/>
      <c r="T199" s="260"/>
      <c r="U199" s="261"/>
      <c r="V199" s="251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</row>
    <row r="200">
      <c r="A200" s="251">
        <f>IFERROR(__xludf.DUMMYFUNCTION("""COMPUTED_VALUE"""),7876457.0)</f>
        <v>7876457</v>
      </c>
      <c r="B200" s="252" t="str">
        <f>IFERROR(__xludf.DUMMYFUNCTION("""COMPUTED_VALUE"""),"BookingCom")</f>
        <v>BookingCom</v>
      </c>
      <c r="C200" s="253" t="str">
        <f>IFERROR(__xludf.DUMMYFUNCTION("""COMPUTED_VALUE"""),"Paolo Pragliola ")</f>
        <v>Paolo Pragliola </v>
      </c>
      <c r="D200" s="254">
        <f>IFERROR(__xludf.DUMMYFUNCTION("""COMPUTED_VALUE"""),46080.0)</f>
        <v>46080</v>
      </c>
      <c r="E200" s="251">
        <f>IFERROR(__xludf.DUMMYFUNCTION("""COMPUTED_VALUE"""),46083.0)</f>
        <v>46083</v>
      </c>
      <c r="F200" s="255">
        <f>IFERROR(__xludf.DUMMYFUNCTION("""COMPUTED_VALUE"""),3.0)</f>
        <v>3</v>
      </c>
      <c r="G200" s="255">
        <f>IFERROR(__xludf.DUMMYFUNCTION("""COMPUTED_VALUE"""),2.0)</f>
        <v>2</v>
      </c>
      <c r="H200" s="256">
        <f>IFERROR(__xludf.DUMMYFUNCTION("""COMPUTED_VALUE"""),262.5)</f>
        <v>262.5</v>
      </c>
      <c r="I200" s="256">
        <f>IFERROR(__xludf.DUMMYFUNCTION("""COMPUTED_VALUE"""),630.0)</f>
        <v>630</v>
      </c>
      <c r="J200" s="257">
        <f t="shared" si="1"/>
        <v>6</v>
      </c>
      <c r="K200" s="253"/>
      <c r="L200" s="253"/>
      <c r="M200" s="252"/>
      <c r="N200" s="258"/>
      <c r="O200" s="259"/>
      <c r="P200" s="259"/>
      <c r="Q200" s="257"/>
      <c r="R200" s="260"/>
      <c r="S200" s="260"/>
      <c r="T200" s="260"/>
      <c r="U200" s="261"/>
      <c r="V200" s="251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</row>
    <row r="201">
      <c r="A201" s="251">
        <f>IFERROR(__xludf.DUMMYFUNCTION("""COMPUTED_VALUE"""),8151750.0)</f>
        <v>8151750</v>
      </c>
      <c r="B201" s="252" t="str">
        <f>IFERROR(__xludf.DUMMYFUNCTION("""COMPUTED_VALUE"""),"BookingCom")</f>
        <v>BookingCom</v>
      </c>
      <c r="C201" s="253" t="str">
        <f>IFERROR(__xludf.DUMMYFUNCTION("""COMPUTED_VALUE"""),"Emmanuel Bellanger ")</f>
        <v>Emmanuel Bellanger </v>
      </c>
      <c r="D201" s="254">
        <f>IFERROR(__xludf.DUMMYFUNCTION("""COMPUTED_VALUE"""),46080.0)</f>
        <v>46080</v>
      </c>
      <c r="E201" s="251">
        <f>IFERROR(__xludf.DUMMYFUNCTION("""COMPUTED_VALUE"""),46083.0)</f>
        <v>46083</v>
      </c>
      <c r="F201" s="255">
        <f>IFERROR(__xludf.DUMMYFUNCTION("""COMPUTED_VALUE"""),3.0)</f>
        <v>3</v>
      </c>
      <c r="G201" s="255">
        <f>IFERROR(__xludf.DUMMYFUNCTION("""COMPUTED_VALUE"""),2.0)</f>
        <v>2</v>
      </c>
      <c r="H201" s="256">
        <f>IFERROR(__xludf.DUMMYFUNCTION("""COMPUTED_VALUE"""),175.30999999999997)</f>
        <v>175.31</v>
      </c>
      <c r="I201" s="256">
        <f>IFERROR(__xludf.DUMMYFUNCTION("""COMPUTED_VALUE"""),420.74399999999997)</f>
        <v>420.744</v>
      </c>
      <c r="J201" s="257">
        <f t="shared" si="1"/>
        <v>6</v>
      </c>
      <c r="K201" s="253"/>
      <c r="L201" s="253"/>
      <c r="M201" s="252"/>
      <c r="N201" s="258"/>
      <c r="O201" s="259"/>
      <c r="P201" s="259"/>
      <c r="Q201" s="262"/>
      <c r="R201" s="260"/>
      <c r="S201" s="260"/>
      <c r="T201" s="260"/>
      <c r="U201" s="261"/>
      <c r="V201" s="251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</row>
    <row r="202">
      <c r="A202" s="251">
        <f>IFERROR(__xludf.DUMMYFUNCTION("""COMPUTED_VALUE"""),8197090.0)</f>
        <v>8197090</v>
      </c>
      <c r="B202" s="252" t="str">
        <f>IFERROR(__xludf.DUMMYFUNCTION("""COMPUTED_VALUE"""),"BookingCom")</f>
        <v>BookingCom</v>
      </c>
      <c r="C202" s="253" t="str">
        <f>IFERROR(__xludf.DUMMYFUNCTION("""COMPUTED_VALUE"""),"Pauline Chastang ")</f>
        <v>Pauline Chastang </v>
      </c>
      <c r="D202" s="254">
        <f>IFERROR(__xludf.DUMMYFUNCTION("""COMPUTED_VALUE"""),46080.0)</f>
        <v>46080</v>
      </c>
      <c r="E202" s="251">
        <f>IFERROR(__xludf.DUMMYFUNCTION("""COMPUTED_VALUE"""),46083.0)</f>
        <v>46083</v>
      </c>
      <c r="F202" s="255">
        <f>IFERROR(__xludf.DUMMYFUNCTION("""COMPUTED_VALUE"""),3.0)</f>
        <v>3</v>
      </c>
      <c r="G202" s="255">
        <f>IFERROR(__xludf.DUMMYFUNCTION("""COMPUTED_VALUE"""),2.0)</f>
        <v>2</v>
      </c>
      <c r="H202" s="256">
        <f>IFERROR(__xludf.DUMMYFUNCTION("""COMPUTED_VALUE"""),171.82000000000002)</f>
        <v>171.82</v>
      </c>
      <c r="I202" s="256">
        <f>IFERROR(__xludf.DUMMYFUNCTION("""COMPUTED_VALUE"""),412.36800000000005)</f>
        <v>412.368</v>
      </c>
      <c r="J202" s="257">
        <f t="shared" si="1"/>
        <v>6</v>
      </c>
      <c r="K202" s="253"/>
      <c r="L202" s="253"/>
      <c r="M202" s="252"/>
      <c r="N202" s="258"/>
      <c r="O202" s="259"/>
      <c r="P202" s="259"/>
      <c r="Q202" s="262"/>
      <c r="R202" s="260"/>
      <c r="S202" s="260"/>
      <c r="T202" s="260"/>
      <c r="U202" s="261"/>
      <c r="V202" s="251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</row>
    <row r="203">
      <c r="A203" s="251">
        <f>IFERROR(__xludf.DUMMYFUNCTION("""COMPUTED_VALUE"""),7923323.0)</f>
        <v>7923323</v>
      </c>
      <c r="B203" s="252" t="str">
        <f>IFERROR(__xludf.DUMMYFUNCTION("""COMPUTED_VALUE"""),"BookingCom")</f>
        <v>BookingCom</v>
      </c>
      <c r="C203" s="253" t="str">
        <f>IFERROR(__xludf.DUMMYFUNCTION("""COMPUTED_VALUE"""),"Francois Chevance ")</f>
        <v>Francois Chevance </v>
      </c>
      <c r="D203" s="254">
        <f>IFERROR(__xludf.DUMMYFUNCTION("""COMPUTED_VALUE"""),46081.0)</f>
        <v>46081</v>
      </c>
      <c r="E203" s="251">
        <f>IFERROR(__xludf.DUMMYFUNCTION("""COMPUTED_VALUE"""),46084.0)</f>
        <v>46084</v>
      </c>
      <c r="F203" s="255">
        <f>IFERROR(__xludf.DUMMYFUNCTION("""COMPUTED_VALUE"""),3.0)</f>
        <v>3</v>
      </c>
      <c r="G203" s="255">
        <f>IFERROR(__xludf.DUMMYFUNCTION("""COMPUTED_VALUE"""),2.0)</f>
        <v>2</v>
      </c>
      <c r="H203" s="256">
        <f>IFERROR(__xludf.DUMMYFUNCTION("""COMPUTED_VALUE"""),178.13)</f>
        <v>178.13</v>
      </c>
      <c r="I203" s="256">
        <f>IFERROR(__xludf.DUMMYFUNCTION("""COMPUTED_VALUE"""),427.51199999999994)</f>
        <v>427.512</v>
      </c>
      <c r="J203" s="257">
        <f t="shared" si="1"/>
        <v>6</v>
      </c>
      <c r="K203" s="253"/>
      <c r="L203" s="253"/>
      <c r="M203" s="252"/>
      <c r="N203" s="258"/>
      <c r="O203" s="259"/>
      <c r="P203" s="259"/>
      <c r="Q203" s="262"/>
      <c r="R203" s="260"/>
      <c r="S203" s="260"/>
      <c r="T203" s="260"/>
      <c r="U203" s="261"/>
      <c r="V203" s="251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</row>
    <row r="204">
      <c r="A204" s="251">
        <f>IFERROR(__xludf.DUMMYFUNCTION("""COMPUTED_VALUE"""),8076966.0)</f>
        <v>8076966</v>
      </c>
      <c r="B204" s="252" t="str">
        <f>IFERROR(__xludf.DUMMYFUNCTION("""COMPUTED_VALUE"""),"Reseliva Pannel")</f>
        <v>Reseliva Pannel</v>
      </c>
      <c r="C204" s="253" t="str">
        <f>IFERROR(__xludf.DUMMYFUNCTION("""COMPUTED_VALUE"""),"Claudia Meyerhans ")</f>
        <v>Claudia Meyerhans </v>
      </c>
      <c r="D204" s="254">
        <f>IFERROR(__xludf.DUMMYFUNCTION("""COMPUTED_VALUE"""),46081.0)</f>
        <v>46081</v>
      </c>
      <c r="E204" s="251">
        <f>IFERROR(__xludf.DUMMYFUNCTION("""COMPUTED_VALUE"""),46082.0)</f>
        <v>46082</v>
      </c>
      <c r="F204" s="255">
        <f>IFERROR(__xludf.DUMMYFUNCTION("""COMPUTED_VALUE"""),1.0)</f>
        <v>1</v>
      </c>
      <c r="G204" s="255">
        <f>IFERROR(__xludf.DUMMYFUNCTION("""COMPUTED_VALUE"""),2.0)</f>
        <v>2</v>
      </c>
      <c r="H204" s="256">
        <f>IFERROR(__xludf.DUMMYFUNCTION("""COMPUTED_VALUE"""),769.6)</f>
        <v>769.6</v>
      </c>
      <c r="I204" s="256">
        <f>IFERROR(__xludf.DUMMYFUNCTION("""COMPUTED_VALUE"""),769.6)</f>
        <v>769.6</v>
      </c>
      <c r="J204" s="257">
        <f t="shared" si="1"/>
        <v>2</v>
      </c>
      <c r="K204" s="253"/>
      <c r="L204" s="253"/>
      <c r="M204" s="252"/>
      <c r="N204" s="258"/>
      <c r="O204" s="259"/>
      <c r="P204" s="259"/>
      <c r="Q204" s="262"/>
      <c r="R204" s="260"/>
      <c r="S204" s="260"/>
      <c r="T204" s="260"/>
      <c r="U204" s="261"/>
      <c r="V204" s="251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</row>
    <row r="205">
      <c r="A205" s="251">
        <f>IFERROR(__xludf.DUMMYFUNCTION("""COMPUTED_VALUE"""),7674015.0)</f>
        <v>7674015</v>
      </c>
      <c r="B205" s="252" t="str">
        <f>IFERROR(__xludf.DUMMYFUNCTION("""COMPUTED_VALUE"""),"Reseliva")</f>
        <v>Reseliva</v>
      </c>
      <c r="C205" s="253" t="str">
        <f>IFERROR(__xludf.DUMMYFUNCTION("""COMPUTED_VALUE"""),"Lauren Chung ")</f>
        <v>Lauren Chung </v>
      </c>
      <c r="D205" s="254">
        <f>IFERROR(__xludf.DUMMYFUNCTION("""COMPUTED_VALUE"""),46082.0)</f>
        <v>46082</v>
      </c>
      <c r="E205" s="251">
        <f>IFERROR(__xludf.DUMMYFUNCTION("""COMPUTED_VALUE"""),46084.0)</f>
        <v>46084</v>
      </c>
      <c r="F205" s="255">
        <f>IFERROR(__xludf.DUMMYFUNCTION("""COMPUTED_VALUE"""),2.0)</f>
        <v>2</v>
      </c>
      <c r="G205" s="255">
        <f>IFERROR(__xludf.DUMMYFUNCTION("""COMPUTED_VALUE"""),2.0)</f>
        <v>2</v>
      </c>
      <c r="H205" s="256">
        <f>IFERROR(__xludf.DUMMYFUNCTION("""COMPUTED_VALUE"""),599.76)</f>
        <v>599.76</v>
      </c>
      <c r="I205" s="256">
        <f>IFERROR(__xludf.DUMMYFUNCTION("""COMPUTED_VALUE"""),1187.5248)</f>
        <v>1187.5248</v>
      </c>
      <c r="J205" s="257">
        <f t="shared" si="1"/>
        <v>4</v>
      </c>
      <c r="K205" s="253"/>
      <c r="L205" s="253"/>
      <c r="M205" s="252"/>
      <c r="N205" s="258"/>
      <c r="O205" s="259"/>
      <c r="P205" s="259"/>
      <c r="Q205" s="262"/>
      <c r="R205" s="260"/>
      <c r="S205" s="260"/>
      <c r="T205" s="260"/>
      <c r="U205" s="261"/>
      <c r="V205" s="251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</row>
    <row r="206">
      <c r="A206" s="251">
        <f>IFERROR(__xludf.DUMMYFUNCTION("""COMPUTED_VALUE"""),8145516.0)</f>
        <v>8145516</v>
      </c>
      <c r="B206" s="252" t="str">
        <f>IFERROR(__xludf.DUMMYFUNCTION("""COMPUTED_VALUE"""),"BookingCom")</f>
        <v>BookingCom</v>
      </c>
      <c r="C206" s="253" t="str">
        <f>IFERROR(__xludf.DUMMYFUNCTION("""COMPUTED_VALUE"""),"Emanuelle Ging ")</f>
        <v>Emanuelle Ging </v>
      </c>
      <c r="D206" s="254">
        <f>IFERROR(__xludf.DUMMYFUNCTION("""COMPUTED_VALUE"""),46082.0)</f>
        <v>46082</v>
      </c>
      <c r="E206" s="251">
        <f>IFERROR(__xludf.DUMMYFUNCTION("""COMPUTED_VALUE"""),46083.0)</f>
        <v>46083</v>
      </c>
      <c r="F206" s="255">
        <f>IFERROR(__xludf.DUMMYFUNCTION("""COMPUTED_VALUE"""),1.0)</f>
        <v>1</v>
      </c>
      <c r="G206" s="255">
        <f>IFERROR(__xludf.DUMMYFUNCTION("""COMPUTED_VALUE"""),2.0)</f>
        <v>2</v>
      </c>
      <c r="H206" s="256">
        <f>IFERROR(__xludf.DUMMYFUNCTION("""COMPUTED_VALUE"""),246.7)</f>
        <v>246.7</v>
      </c>
      <c r="I206" s="256">
        <f>IFERROR(__xludf.DUMMYFUNCTION("""COMPUTED_VALUE"""),197.36)</f>
        <v>197.36</v>
      </c>
      <c r="J206" s="257">
        <f t="shared" si="1"/>
        <v>2</v>
      </c>
      <c r="K206" s="253"/>
      <c r="L206" s="253"/>
      <c r="M206" s="252"/>
      <c r="N206" s="258"/>
      <c r="O206" s="259"/>
      <c r="P206" s="259"/>
      <c r="Q206" s="262"/>
      <c r="R206" s="260"/>
      <c r="S206" s="260"/>
      <c r="T206" s="260"/>
      <c r="U206" s="261"/>
      <c r="V206" s="251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</row>
    <row r="207">
      <c r="A207" s="251">
        <f>IFERROR(__xludf.DUMMYFUNCTION("""COMPUTED_VALUE"""),8026963.0)</f>
        <v>8026963</v>
      </c>
      <c r="B207" s="252" t="str">
        <f>IFERROR(__xludf.DUMMYFUNCTION("""COMPUTED_VALUE"""),"BookingCom")</f>
        <v>BookingCom</v>
      </c>
      <c r="C207" s="253" t="str">
        <f>IFERROR(__xludf.DUMMYFUNCTION("""COMPUTED_VALUE"""),"Lisa Manalili ")</f>
        <v>Lisa Manalili </v>
      </c>
      <c r="D207" s="254">
        <f>IFERROR(__xludf.DUMMYFUNCTION("""COMPUTED_VALUE"""),46083.0)</f>
        <v>46083</v>
      </c>
      <c r="E207" s="251">
        <f>IFERROR(__xludf.DUMMYFUNCTION("""COMPUTED_VALUE"""),46084.0)</f>
        <v>46084</v>
      </c>
      <c r="F207" s="255">
        <f>IFERROR(__xludf.DUMMYFUNCTION("""COMPUTED_VALUE"""),1.0)</f>
        <v>1</v>
      </c>
      <c r="G207" s="255">
        <f>IFERROR(__xludf.DUMMYFUNCTION("""COMPUTED_VALUE"""),3.0)</f>
        <v>3</v>
      </c>
      <c r="H207" s="256">
        <f>IFERROR(__xludf.DUMMYFUNCTION("""COMPUTED_VALUE"""),148.76)</f>
        <v>148.76</v>
      </c>
      <c r="I207" s="256">
        <f>IFERROR(__xludf.DUMMYFUNCTION("""COMPUTED_VALUE"""),119.008)</f>
        <v>119.008</v>
      </c>
      <c r="J207" s="257">
        <f t="shared" si="1"/>
        <v>3</v>
      </c>
      <c r="K207" s="253"/>
      <c r="L207" s="253"/>
      <c r="M207" s="275"/>
      <c r="N207" s="258"/>
      <c r="O207" s="259"/>
      <c r="P207" s="259"/>
      <c r="Q207" s="262"/>
      <c r="R207" s="260"/>
      <c r="S207" s="260"/>
      <c r="T207" s="260"/>
      <c r="U207" s="261"/>
      <c r="V207" s="251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</row>
    <row r="208">
      <c r="A208" s="251">
        <f>IFERROR(__xludf.DUMMYFUNCTION("""COMPUTED_VALUE"""),8051173.0)</f>
        <v>8051173</v>
      </c>
      <c r="B208" s="252" t="str">
        <f>IFERROR(__xludf.DUMMYFUNCTION("""COMPUTED_VALUE"""),"BookingCom")</f>
        <v>BookingCom</v>
      </c>
      <c r="C208" s="253" t="str">
        <f>IFERROR(__xludf.DUMMYFUNCTION("""COMPUTED_VALUE"""),"Julia Karle ")</f>
        <v>Julia Karle </v>
      </c>
      <c r="D208" s="254">
        <f>IFERROR(__xludf.DUMMYFUNCTION("""COMPUTED_VALUE"""),46083.0)</f>
        <v>46083</v>
      </c>
      <c r="E208" s="251">
        <f>IFERROR(__xludf.DUMMYFUNCTION("""COMPUTED_VALUE"""),46086.0)</f>
        <v>46086</v>
      </c>
      <c r="F208" s="255">
        <f>IFERROR(__xludf.DUMMYFUNCTION("""COMPUTED_VALUE"""),3.0)</f>
        <v>3</v>
      </c>
      <c r="G208" s="255">
        <f>IFERROR(__xludf.DUMMYFUNCTION("""COMPUTED_VALUE"""),2.0)</f>
        <v>2</v>
      </c>
      <c r="H208" s="256">
        <f>IFERROR(__xludf.DUMMYFUNCTION("""COMPUTED_VALUE"""),185.70000000000002)</f>
        <v>185.7</v>
      </c>
      <c r="I208" s="256">
        <f>IFERROR(__xludf.DUMMYFUNCTION("""COMPUTED_VALUE"""),445.68000000000006)</f>
        <v>445.68</v>
      </c>
      <c r="J208" s="257">
        <f t="shared" si="1"/>
        <v>6</v>
      </c>
      <c r="K208" s="253"/>
      <c r="L208" s="253"/>
      <c r="M208" s="252"/>
      <c r="N208" s="258"/>
      <c r="O208" s="259"/>
      <c r="P208" s="259"/>
      <c r="Q208" s="257"/>
      <c r="R208" s="260"/>
      <c r="S208" s="260"/>
      <c r="T208" s="260"/>
      <c r="U208" s="261"/>
      <c r="V208" s="251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</row>
    <row r="209">
      <c r="A209" s="251">
        <f>IFERROR(__xludf.DUMMYFUNCTION("""COMPUTED_VALUE"""),8051256.0)</f>
        <v>8051256</v>
      </c>
      <c r="B209" s="252" t="str">
        <f>IFERROR(__xludf.DUMMYFUNCTION("""COMPUTED_VALUE"""),"BookingCom")</f>
        <v>BookingCom</v>
      </c>
      <c r="C209" s="253" t="str">
        <f>IFERROR(__xludf.DUMMYFUNCTION("""COMPUTED_VALUE"""),"Cristine Ludascher ")</f>
        <v>Cristine Ludascher </v>
      </c>
      <c r="D209" s="254">
        <f>IFERROR(__xludf.DUMMYFUNCTION("""COMPUTED_VALUE"""),46083.0)</f>
        <v>46083</v>
      </c>
      <c r="E209" s="251">
        <f>IFERROR(__xludf.DUMMYFUNCTION("""COMPUTED_VALUE"""),46086.0)</f>
        <v>46086</v>
      </c>
      <c r="F209" s="255">
        <f>IFERROR(__xludf.DUMMYFUNCTION("""COMPUTED_VALUE"""),3.0)</f>
        <v>3</v>
      </c>
      <c r="G209" s="255">
        <f>IFERROR(__xludf.DUMMYFUNCTION("""COMPUTED_VALUE"""),1.0)</f>
        <v>1</v>
      </c>
      <c r="H209" s="256">
        <f>IFERROR(__xludf.DUMMYFUNCTION("""COMPUTED_VALUE"""),189.69000000000003)</f>
        <v>189.69</v>
      </c>
      <c r="I209" s="256">
        <f>IFERROR(__xludf.DUMMYFUNCTION("""COMPUTED_VALUE"""),455.2560000000001)</f>
        <v>455.256</v>
      </c>
      <c r="J209" s="257">
        <f t="shared" si="1"/>
        <v>3</v>
      </c>
      <c r="K209" s="253"/>
      <c r="L209" s="253"/>
      <c r="M209" s="275"/>
      <c r="N209" s="258"/>
      <c r="O209" s="259"/>
      <c r="P209" s="259"/>
      <c r="Q209" s="262"/>
      <c r="R209" s="260"/>
      <c r="S209" s="260"/>
      <c r="T209" s="260"/>
      <c r="U209" s="261"/>
      <c r="V209" s="251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</row>
    <row r="210">
      <c r="A210" s="251">
        <f>IFERROR(__xludf.DUMMYFUNCTION("""COMPUTED_VALUE"""),8053212.0)</f>
        <v>8053212</v>
      </c>
      <c r="B210" s="252" t="str">
        <f>IFERROR(__xludf.DUMMYFUNCTION("""COMPUTED_VALUE"""),"BookingCom")</f>
        <v>BookingCom</v>
      </c>
      <c r="C210" s="253" t="str">
        <f>IFERROR(__xludf.DUMMYFUNCTION("""COMPUTED_VALUE"""),"Simon Gijsbers ")</f>
        <v>Simon Gijsbers </v>
      </c>
      <c r="D210" s="254">
        <f>IFERROR(__xludf.DUMMYFUNCTION("""COMPUTED_VALUE"""),46083.0)</f>
        <v>46083</v>
      </c>
      <c r="E210" s="251">
        <f>IFERROR(__xludf.DUMMYFUNCTION("""COMPUTED_VALUE"""),46085.0)</f>
        <v>46085</v>
      </c>
      <c r="F210" s="255">
        <f>IFERROR(__xludf.DUMMYFUNCTION("""COMPUTED_VALUE"""),2.0)</f>
        <v>2</v>
      </c>
      <c r="G210" s="255">
        <f>IFERROR(__xludf.DUMMYFUNCTION("""COMPUTED_VALUE"""),2.0)</f>
        <v>2</v>
      </c>
      <c r="H210" s="256">
        <f>IFERROR(__xludf.DUMMYFUNCTION("""COMPUTED_VALUE"""),172.64)</f>
        <v>172.64</v>
      </c>
      <c r="I210" s="256">
        <f>IFERROR(__xludf.DUMMYFUNCTION("""COMPUTED_VALUE"""),276.224)</f>
        <v>276.224</v>
      </c>
      <c r="J210" s="257">
        <f t="shared" si="1"/>
        <v>4</v>
      </c>
      <c r="K210" s="253"/>
      <c r="L210" s="253"/>
      <c r="M210" s="252"/>
      <c r="N210" s="258"/>
      <c r="O210" s="259"/>
      <c r="P210" s="259"/>
      <c r="Q210" s="262"/>
      <c r="R210" s="260"/>
      <c r="S210" s="260"/>
      <c r="T210" s="273"/>
      <c r="U210" s="274"/>
      <c r="V210" s="263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</row>
    <row r="211">
      <c r="A211" s="251">
        <f>IFERROR(__xludf.DUMMYFUNCTION("""COMPUTED_VALUE"""),7703504.0)</f>
        <v>7703504</v>
      </c>
      <c r="B211" s="252" t="str">
        <f>IFERROR(__xludf.DUMMYFUNCTION("""COMPUTED_VALUE"""),"BookingCom")</f>
        <v>BookingCom</v>
      </c>
      <c r="C211" s="253" t="str">
        <f>IFERROR(__xludf.DUMMYFUNCTION("""COMPUTED_VALUE"""),"XAVIER DELOY ")</f>
        <v>XAVIER DELOY </v>
      </c>
      <c r="D211" s="254">
        <f>IFERROR(__xludf.DUMMYFUNCTION("""COMPUTED_VALUE"""),46084.0)</f>
        <v>46084</v>
      </c>
      <c r="E211" s="251">
        <f>IFERROR(__xludf.DUMMYFUNCTION("""COMPUTED_VALUE"""),46087.0)</f>
        <v>46087</v>
      </c>
      <c r="F211" s="255">
        <f>IFERROR(__xludf.DUMMYFUNCTION("""COMPUTED_VALUE"""),3.0)</f>
        <v>3</v>
      </c>
      <c r="G211" s="255">
        <f>IFERROR(__xludf.DUMMYFUNCTION("""COMPUTED_VALUE"""),2.0)</f>
        <v>2</v>
      </c>
      <c r="H211" s="256">
        <f>IFERROR(__xludf.DUMMYFUNCTION("""COMPUTED_VALUE"""),175.92)</f>
        <v>175.92</v>
      </c>
      <c r="I211" s="256">
        <f>IFERROR(__xludf.DUMMYFUNCTION("""COMPUTED_VALUE"""),422.20799999999997)</f>
        <v>422.208</v>
      </c>
      <c r="J211" s="257">
        <f t="shared" si="1"/>
        <v>6</v>
      </c>
      <c r="K211" s="253"/>
      <c r="L211" s="253"/>
      <c r="M211" s="252"/>
      <c r="N211" s="258"/>
      <c r="O211" s="259"/>
      <c r="P211" s="259"/>
      <c r="Q211" s="262"/>
      <c r="R211" s="260"/>
      <c r="S211" s="260"/>
      <c r="T211" s="260"/>
      <c r="U211" s="261"/>
      <c r="V211" s="251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</row>
    <row r="212">
      <c r="A212" s="251">
        <f>IFERROR(__xludf.DUMMYFUNCTION("""COMPUTED_VALUE"""),8058200.0)</f>
        <v>8058200</v>
      </c>
      <c r="B212" s="252" t="str">
        <f>IFERROR(__xludf.DUMMYFUNCTION("""COMPUTED_VALUE"""),"BookingCom")</f>
        <v>BookingCom</v>
      </c>
      <c r="C212" s="253" t="str">
        <f>IFERROR(__xludf.DUMMYFUNCTION("""COMPUTED_VALUE"""),"Eva SENIUT ")</f>
        <v>Eva SENIUT </v>
      </c>
      <c r="D212" s="254">
        <f>IFERROR(__xludf.DUMMYFUNCTION("""COMPUTED_VALUE"""),46084.0)</f>
        <v>46084</v>
      </c>
      <c r="E212" s="251">
        <f>IFERROR(__xludf.DUMMYFUNCTION("""COMPUTED_VALUE"""),46088.0)</f>
        <v>46088</v>
      </c>
      <c r="F212" s="255">
        <f>IFERROR(__xludf.DUMMYFUNCTION("""COMPUTED_VALUE"""),4.0)</f>
        <v>4</v>
      </c>
      <c r="G212" s="255">
        <f>IFERROR(__xludf.DUMMYFUNCTION("""COMPUTED_VALUE"""),4.0)</f>
        <v>4</v>
      </c>
      <c r="H212" s="256">
        <f>IFERROR(__xludf.DUMMYFUNCTION("""COMPUTED_VALUE"""),395.09)</f>
        <v>395.09</v>
      </c>
      <c r="I212" s="256">
        <f>IFERROR(__xludf.DUMMYFUNCTION("""COMPUTED_VALUE"""),1264.288)</f>
        <v>1264.288</v>
      </c>
      <c r="J212" s="257">
        <f t="shared" si="1"/>
        <v>16</v>
      </c>
      <c r="K212" s="253"/>
      <c r="L212" s="253"/>
      <c r="M212" s="252"/>
      <c r="N212" s="258"/>
      <c r="O212" s="259"/>
      <c r="P212" s="259"/>
      <c r="Q212" s="262"/>
      <c r="R212" s="260"/>
      <c r="S212" s="260"/>
      <c r="T212" s="260"/>
      <c r="U212" s="261"/>
      <c r="V212" s="251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</row>
    <row r="213">
      <c r="A213" s="251">
        <f>IFERROR(__xludf.DUMMYFUNCTION("""COMPUTED_VALUE"""),8105868.0)</f>
        <v>8105868</v>
      </c>
      <c r="B213" s="252" t="str">
        <f>IFERROR(__xludf.DUMMYFUNCTION("""COMPUTED_VALUE"""),"BookingCom")</f>
        <v>BookingCom</v>
      </c>
      <c r="C213" s="253" t="str">
        <f>IFERROR(__xludf.DUMMYFUNCTION("""COMPUTED_VALUE"""),"Marco Hernandez ")</f>
        <v>Marco Hernandez </v>
      </c>
      <c r="D213" s="254">
        <f>IFERROR(__xludf.DUMMYFUNCTION("""COMPUTED_VALUE"""),46084.0)</f>
        <v>46084</v>
      </c>
      <c r="E213" s="251">
        <f>IFERROR(__xludf.DUMMYFUNCTION("""COMPUTED_VALUE"""),46085.0)</f>
        <v>46085</v>
      </c>
      <c r="F213" s="255">
        <f>IFERROR(__xludf.DUMMYFUNCTION("""COMPUTED_VALUE"""),1.0)</f>
        <v>1</v>
      </c>
      <c r="G213" s="255">
        <f>IFERROR(__xludf.DUMMYFUNCTION("""COMPUTED_VALUE"""),2.0)</f>
        <v>2</v>
      </c>
      <c r="H213" s="256">
        <f>IFERROR(__xludf.DUMMYFUNCTION("""COMPUTED_VALUE"""),202.2)</f>
        <v>202.2</v>
      </c>
      <c r="I213" s="256">
        <f>IFERROR(__xludf.DUMMYFUNCTION("""COMPUTED_VALUE"""),161.76)</f>
        <v>161.76</v>
      </c>
      <c r="J213" s="257">
        <f t="shared" si="1"/>
        <v>2</v>
      </c>
      <c r="K213" s="253"/>
      <c r="L213" s="253"/>
      <c r="M213" s="252"/>
      <c r="N213" s="258"/>
      <c r="O213" s="259"/>
      <c r="P213" s="259"/>
      <c r="Q213" s="262"/>
      <c r="R213" s="260"/>
      <c r="S213" s="260"/>
      <c r="T213" s="260"/>
      <c r="U213" s="261"/>
      <c r="V213" s="251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</row>
    <row r="214">
      <c r="A214" s="251">
        <f>IFERROR(__xludf.DUMMYFUNCTION("""COMPUTED_VALUE"""),8196744.0)</f>
        <v>8196744</v>
      </c>
      <c r="B214" s="252" t="str">
        <f>IFERROR(__xludf.DUMMYFUNCTION("""COMPUTED_VALUE"""),"BookingCom")</f>
        <v>BookingCom</v>
      </c>
      <c r="C214" s="253" t="str">
        <f>IFERROR(__xludf.DUMMYFUNCTION("""COMPUTED_VALUE"""),"Evija Sondore ")</f>
        <v>Evija Sondore </v>
      </c>
      <c r="D214" s="254">
        <f>IFERROR(__xludf.DUMMYFUNCTION("""COMPUTED_VALUE"""),46084.0)</f>
        <v>46084</v>
      </c>
      <c r="E214" s="251">
        <f>IFERROR(__xludf.DUMMYFUNCTION("""COMPUTED_VALUE"""),46086.0)</f>
        <v>46086</v>
      </c>
      <c r="F214" s="255">
        <f>IFERROR(__xludf.DUMMYFUNCTION("""COMPUTED_VALUE"""),2.0)</f>
        <v>2</v>
      </c>
      <c r="G214" s="255">
        <f>IFERROR(__xludf.DUMMYFUNCTION("""COMPUTED_VALUE"""),2.0)</f>
        <v>2</v>
      </c>
      <c r="H214" s="256">
        <f>IFERROR(__xludf.DUMMYFUNCTION("""COMPUTED_VALUE"""),148.67)</f>
        <v>148.67</v>
      </c>
      <c r="I214" s="256">
        <f>IFERROR(__xludf.DUMMYFUNCTION("""COMPUTED_VALUE"""),237.87199999999999)</f>
        <v>237.872</v>
      </c>
      <c r="J214" s="257">
        <f t="shared" si="1"/>
        <v>4</v>
      </c>
      <c r="K214" s="253"/>
      <c r="L214" s="253"/>
      <c r="M214" s="252"/>
      <c r="N214" s="258"/>
      <c r="O214" s="259"/>
      <c r="P214" s="259"/>
      <c r="Q214" s="262"/>
      <c r="R214" s="260"/>
      <c r="S214" s="260"/>
      <c r="T214" s="260"/>
      <c r="U214" s="261"/>
      <c r="V214" s="251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</row>
    <row r="215">
      <c r="A215" s="251">
        <f>IFERROR(__xludf.DUMMYFUNCTION("""COMPUTED_VALUE"""),7960258.0)</f>
        <v>7960258</v>
      </c>
      <c r="B215" s="252" t="str">
        <f>IFERROR(__xludf.DUMMYFUNCTION("""COMPUTED_VALUE"""),"BookingCom")</f>
        <v>BookingCom</v>
      </c>
      <c r="C215" s="253" t="str">
        <f>IFERROR(__xludf.DUMMYFUNCTION("""COMPUTED_VALUE"""),"Gil Alexakis ")</f>
        <v>Gil Alexakis </v>
      </c>
      <c r="D215" s="254">
        <f>IFERROR(__xludf.DUMMYFUNCTION("""COMPUTED_VALUE"""),46085.0)</f>
        <v>46085</v>
      </c>
      <c r="E215" s="251">
        <f>IFERROR(__xludf.DUMMYFUNCTION("""COMPUTED_VALUE"""),46087.0)</f>
        <v>46087</v>
      </c>
      <c r="F215" s="255">
        <f>IFERROR(__xludf.DUMMYFUNCTION("""COMPUTED_VALUE"""),2.0)</f>
        <v>2</v>
      </c>
      <c r="G215" s="255">
        <f>IFERROR(__xludf.DUMMYFUNCTION("""COMPUTED_VALUE"""),2.0)</f>
        <v>2</v>
      </c>
      <c r="H215" s="256">
        <f>IFERROR(__xludf.DUMMYFUNCTION("""COMPUTED_VALUE"""),177.23)</f>
        <v>177.23</v>
      </c>
      <c r="I215" s="256">
        <f>IFERROR(__xludf.DUMMYFUNCTION("""COMPUTED_VALUE"""),283.568)</f>
        <v>283.568</v>
      </c>
      <c r="J215" s="257">
        <f t="shared" si="1"/>
        <v>4</v>
      </c>
      <c r="K215" s="253"/>
      <c r="L215" s="253"/>
      <c r="M215" s="252"/>
      <c r="N215" s="258"/>
      <c r="O215" s="259"/>
      <c r="P215" s="259"/>
      <c r="Q215" s="257"/>
      <c r="R215" s="260"/>
      <c r="S215" s="260"/>
      <c r="T215" s="260"/>
      <c r="U215" s="261"/>
      <c r="V215" s="251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</row>
    <row r="216">
      <c r="A216" s="251">
        <f>IFERROR(__xludf.DUMMYFUNCTION("""COMPUTED_VALUE"""),7960258.0)</f>
        <v>7960258</v>
      </c>
      <c r="B216" s="252" t="str">
        <f>IFERROR(__xludf.DUMMYFUNCTION("""COMPUTED_VALUE"""),"BookingCom")</f>
        <v>BookingCom</v>
      </c>
      <c r="C216" s="253" t="str">
        <f>IFERROR(__xludf.DUMMYFUNCTION("""COMPUTED_VALUE"""),"Gil Alexakis ")</f>
        <v>Gil Alexakis </v>
      </c>
      <c r="D216" s="254">
        <f>IFERROR(__xludf.DUMMYFUNCTION("""COMPUTED_VALUE"""),46085.0)</f>
        <v>46085</v>
      </c>
      <c r="E216" s="251">
        <f>IFERROR(__xludf.DUMMYFUNCTION("""COMPUTED_VALUE"""),46087.0)</f>
        <v>46087</v>
      </c>
      <c r="F216" s="255">
        <f>IFERROR(__xludf.DUMMYFUNCTION("""COMPUTED_VALUE"""),2.0)</f>
        <v>2</v>
      </c>
      <c r="G216" s="255">
        <f>IFERROR(__xludf.DUMMYFUNCTION("""COMPUTED_VALUE"""),2.0)</f>
        <v>2</v>
      </c>
      <c r="H216" s="256">
        <f>IFERROR(__xludf.DUMMYFUNCTION("""COMPUTED_VALUE"""),156.92)</f>
        <v>156.92</v>
      </c>
      <c r="I216" s="256">
        <f>IFERROR(__xludf.DUMMYFUNCTION("""COMPUTED_VALUE"""),251.072)</f>
        <v>251.072</v>
      </c>
      <c r="J216" s="257">
        <f t="shared" si="1"/>
        <v>4</v>
      </c>
      <c r="K216" s="253"/>
      <c r="L216" s="253"/>
      <c r="M216" s="252"/>
      <c r="N216" s="258"/>
      <c r="O216" s="259"/>
      <c r="P216" s="259"/>
      <c r="Q216" s="257"/>
      <c r="R216" s="260"/>
      <c r="S216" s="260"/>
      <c r="T216" s="260"/>
      <c r="U216" s="261"/>
      <c r="V216" s="251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</row>
    <row r="217">
      <c r="A217" s="251">
        <f>IFERROR(__xludf.DUMMYFUNCTION("""COMPUTED_VALUE"""),7960258.0)</f>
        <v>7960258</v>
      </c>
      <c r="B217" s="252" t="str">
        <f>IFERROR(__xludf.DUMMYFUNCTION("""COMPUTED_VALUE"""),"BookingCom")</f>
        <v>BookingCom</v>
      </c>
      <c r="C217" s="253" t="str">
        <f>IFERROR(__xludf.DUMMYFUNCTION("""COMPUTED_VALUE"""),"Gil Alexakis ")</f>
        <v>Gil Alexakis </v>
      </c>
      <c r="D217" s="254">
        <f>IFERROR(__xludf.DUMMYFUNCTION("""COMPUTED_VALUE"""),46085.0)</f>
        <v>46085</v>
      </c>
      <c r="E217" s="251">
        <f>IFERROR(__xludf.DUMMYFUNCTION("""COMPUTED_VALUE"""),46087.0)</f>
        <v>46087</v>
      </c>
      <c r="F217" s="255">
        <f>IFERROR(__xludf.DUMMYFUNCTION("""COMPUTED_VALUE"""),2.0)</f>
        <v>2</v>
      </c>
      <c r="G217" s="255">
        <f>IFERROR(__xludf.DUMMYFUNCTION("""COMPUTED_VALUE"""),2.0)</f>
        <v>2</v>
      </c>
      <c r="H217" s="256">
        <f>IFERROR(__xludf.DUMMYFUNCTION("""COMPUTED_VALUE"""),156.92)</f>
        <v>156.92</v>
      </c>
      <c r="I217" s="256">
        <f>IFERROR(__xludf.DUMMYFUNCTION("""COMPUTED_VALUE"""),251.072)</f>
        <v>251.072</v>
      </c>
      <c r="J217" s="257">
        <f t="shared" si="1"/>
        <v>4</v>
      </c>
      <c r="K217" s="253"/>
      <c r="L217" s="253"/>
      <c r="M217" s="252"/>
      <c r="N217" s="258"/>
      <c r="O217" s="259"/>
      <c r="P217" s="259"/>
      <c r="Q217" s="262"/>
      <c r="R217" s="260"/>
      <c r="S217" s="260"/>
      <c r="T217" s="260"/>
      <c r="U217" s="261"/>
      <c r="V217" s="251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</row>
    <row r="218">
      <c r="A218" s="251">
        <f>IFERROR(__xludf.DUMMYFUNCTION("""COMPUTED_VALUE"""),7985963.0)</f>
        <v>7985963</v>
      </c>
      <c r="B218" s="252" t="str">
        <f>IFERROR(__xludf.DUMMYFUNCTION("""COMPUTED_VALUE"""),"BookingCom")</f>
        <v>BookingCom</v>
      </c>
      <c r="C218" s="253" t="str">
        <f>IFERROR(__xludf.DUMMYFUNCTION("""COMPUTED_VALUE"""),"Carmen Wurth ")</f>
        <v>Carmen Wurth </v>
      </c>
      <c r="D218" s="254">
        <f>IFERROR(__xludf.DUMMYFUNCTION("""COMPUTED_VALUE"""),46085.0)</f>
        <v>46085</v>
      </c>
      <c r="E218" s="251">
        <f>IFERROR(__xludf.DUMMYFUNCTION("""COMPUTED_VALUE"""),46087.0)</f>
        <v>46087</v>
      </c>
      <c r="F218" s="255">
        <f>IFERROR(__xludf.DUMMYFUNCTION("""COMPUTED_VALUE"""),2.0)</f>
        <v>2</v>
      </c>
      <c r="G218" s="255">
        <f>IFERROR(__xludf.DUMMYFUNCTION("""COMPUTED_VALUE"""),2.0)</f>
        <v>2</v>
      </c>
      <c r="H218" s="256">
        <f>IFERROR(__xludf.DUMMYFUNCTION("""COMPUTED_VALUE"""),197.53)</f>
        <v>197.53</v>
      </c>
      <c r="I218" s="256">
        <f>IFERROR(__xludf.DUMMYFUNCTION("""COMPUTED_VALUE"""),316.048)</f>
        <v>316.048</v>
      </c>
      <c r="J218" s="257">
        <f t="shared" si="1"/>
        <v>4</v>
      </c>
      <c r="K218" s="253"/>
      <c r="L218" s="253"/>
      <c r="M218" s="252"/>
      <c r="N218" s="258"/>
      <c r="O218" s="259"/>
      <c r="P218" s="259"/>
      <c r="Q218" s="262"/>
      <c r="R218" s="260"/>
      <c r="S218" s="260"/>
      <c r="T218" s="260"/>
      <c r="U218" s="261"/>
      <c r="V218" s="251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</row>
    <row r="219">
      <c r="A219" s="251">
        <f>IFERROR(__xludf.DUMMYFUNCTION("""COMPUTED_VALUE"""),7676151.0)</f>
        <v>7676151</v>
      </c>
      <c r="B219" s="252" t="str">
        <f>IFERROR(__xludf.DUMMYFUNCTION("""COMPUTED_VALUE"""),"BookingCom")</f>
        <v>BookingCom</v>
      </c>
      <c r="C219" s="253" t="str">
        <f>IFERROR(__xludf.DUMMYFUNCTION("""COMPUTED_VALUE"""),"sara Arundel ")</f>
        <v>sara Arundel </v>
      </c>
      <c r="D219" s="254">
        <f>IFERROR(__xludf.DUMMYFUNCTION("""COMPUTED_VALUE"""),46086.0)</f>
        <v>46086</v>
      </c>
      <c r="E219" s="251">
        <f>IFERROR(__xludf.DUMMYFUNCTION("""COMPUTED_VALUE"""),46089.0)</f>
        <v>46089</v>
      </c>
      <c r="F219" s="255">
        <f>IFERROR(__xludf.DUMMYFUNCTION("""COMPUTED_VALUE"""),3.0)</f>
        <v>3</v>
      </c>
      <c r="G219" s="255">
        <f>IFERROR(__xludf.DUMMYFUNCTION("""COMPUTED_VALUE"""),2.0)</f>
        <v>2</v>
      </c>
      <c r="H219" s="256">
        <f>IFERROR(__xludf.DUMMYFUNCTION("""COMPUTED_VALUE"""),220.17999999999998)</f>
        <v>220.18</v>
      </c>
      <c r="I219" s="256">
        <f>IFERROR(__xludf.DUMMYFUNCTION("""COMPUTED_VALUE"""),528.432)</f>
        <v>528.432</v>
      </c>
      <c r="J219" s="257">
        <f t="shared" si="1"/>
        <v>6</v>
      </c>
      <c r="K219" s="253"/>
      <c r="L219" s="253"/>
      <c r="M219" s="252"/>
      <c r="N219" s="258"/>
      <c r="O219" s="259"/>
      <c r="P219" s="259"/>
      <c r="Q219" s="262"/>
      <c r="R219" s="260"/>
      <c r="S219" s="260"/>
      <c r="T219" s="260"/>
      <c r="U219" s="261"/>
      <c r="V219" s="251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</row>
    <row r="220">
      <c r="A220" s="251">
        <f>IFERROR(__xludf.DUMMYFUNCTION("""COMPUTED_VALUE"""),7791101.0)</f>
        <v>7791101</v>
      </c>
      <c r="B220" s="252" t="str">
        <f>IFERROR(__xludf.DUMMYFUNCTION("""COMPUTED_VALUE"""),"BookingCom")</f>
        <v>BookingCom</v>
      </c>
      <c r="C220" s="253" t="str">
        <f>IFERROR(__xludf.DUMMYFUNCTION("""COMPUTED_VALUE"""),"Marloes Leijssen ")</f>
        <v>Marloes Leijssen </v>
      </c>
      <c r="D220" s="254">
        <f>IFERROR(__xludf.DUMMYFUNCTION("""COMPUTED_VALUE"""),46086.0)</f>
        <v>46086</v>
      </c>
      <c r="E220" s="251">
        <f>IFERROR(__xludf.DUMMYFUNCTION("""COMPUTED_VALUE"""),46090.0)</f>
        <v>46090</v>
      </c>
      <c r="F220" s="255">
        <f>IFERROR(__xludf.DUMMYFUNCTION("""COMPUTED_VALUE"""),4.0)</f>
        <v>4</v>
      </c>
      <c r="G220" s="255">
        <f>IFERROR(__xludf.DUMMYFUNCTION("""COMPUTED_VALUE"""),2.0)</f>
        <v>2</v>
      </c>
      <c r="H220" s="256">
        <f>IFERROR(__xludf.DUMMYFUNCTION("""COMPUTED_VALUE"""),180.94)</f>
        <v>180.94</v>
      </c>
      <c r="I220" s="256">
        <f>IFERROR(__xludf.DUMMYFUNCTION("""COMPUTED_VALUE"""),579.008)</f>
        <v>579.008</v>
      </c>
      <c r="J220" s="257">
        <f t="shared" si="1"/>
        <v>8</v>
      </c>
      <c r="K220" s="253"/>
      <c r="L220" s="253"/>
      <c r="M220" s="252"/>
      <c r="N220" s="258"/>
      <c r="O220" s="259"/>
      <c r="P220" s="259"/>
      <c r="Q220" s="262"/>
      <c r="R220" s="260"/>
      <c r="S220" s="260"/>
      <c r="T220" s="260"/>
      <c r="U220" s="261"/>
      <c r="V220" s="251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</row>
    <row r="221">
      <c r="A221" s="251">
        <f>IFERROR(__xludf.DUMMYFUNCTION("""COMPUTED_VALUE"""),7908552.0)</f>
        <v>7908552</v>
      </c>
      <c r="B221" s="252" t="str">
        <f>IFERROR(__xludf.DUMMYFUNCTION("""COMPUTED_VALUE"""),"Reseliva Pannel")</f>
        <v>Reseliva Pannel</v>
      </c>
      <c r="C221" s="253" t="str">
        <f>IFERROR(__xludf.DUMMYFUNCTION("""COMPUTED_VALUE"""),"ICIAR PARIS MARTIN ")</f>
        <v>ICIAR PARIS MARTIN </v>
      </c>
      <c r="D221" s="254">
        <f>IFERROR(__xludf.DUMMYFUNCTION("""COMPUTED_VALUE"""),46086.0)</f>
        <v>46086</v>
      </c>
      <c r="E221" s="251">
        <f>IFERROR(__xludf.DUMMYFUNCTION("""COMPUTED_VALUE"""),46087.0)</f>
        <v>46087</v>
      </c>
      <c r="F221" s="255">
        <f>IFERROR(__xludf.DUMMYFUNCTION("""COMPUTED_VALUE"""),1.0)</f>
        <v>1</v>
      </c>
      <c r="G221" s="255">
        <f>IFERROR(__xludf.DUMMYFUNCTION("""COMPUTED_VALUE"""),2.0)</f>
        <v>2</v>
      </c>
      <c r="H221" s="256">
        <f>IFERROR(__xludf.DUMMYFUNCTION("""COMPUTED_VALUE"""),239.76)</f>
        <v>239.76</v>
      </c>
      <c r="I221" s="256">
        <f>IFERROR(__xludf.DUMMYFUNCTION("""COMPUTED_VALUE"""),239.76)</f>
        <v>239.76</v>
      </c>
      <c r="J221" s="257">
        <f t="shared" si="1"/>
        <v>2</v>
      </c>
      <c r="K221" s="253"/>
      <c r="L221" s="253"/>
      <c r="M221" s="252"/>
      <c r="N221" s="258"/>
      <c r="O221" s="259"/>
      <c r="P221" s="259"/>
      <c r="Q221" s="262"/>
      <c r="R221" s="260"/>
      <c r="S221" s="260"/>
      <c r="T221" s="260"/>
      <c r="U221" s="261"/>
      <c r="V221" s="251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</row>
    <row r="222">
      <c r="A222" s="251">
        <f>IFERROR(__xludf.DUMMYFUNCTION("""COMPUTED_VALUE"""),7592340.0)</f>
        <v>7592340</v>
      </c>
      <c r="B222" s="252" t="str">
        <f>IFERROR(__xludf.DUMMYFUNCTION("""COMPUTED_VALUE"""),"BookingCom")</f>
        <v>BookingCom</v>
      </c>
      <c r="C222" s="253" t="str">
        <f>IFERROR(__xludf.DUMMYFUNCTION("""COMPUTED_VALUE"""),"Francesca Bicocca ")</f>
        <v>Francesca Bicocca </v>
      </c>
      <c r="D222" s="254">
        <f>IFERROR(__xludf.DUMMYFUNCTION("""COMPUTED_VALUE"""),46087.0)</f>
        <v>46087</v>
      </c>
      <c r="E222" s="251">
        <f>IFERROR(__xludf.DUMMYFUNCTION("""COMPUTED_VALUE"""),46089.0)</f>
        <v>46089</v>
      </c>
      <c r="F222" s="255">
        <f>IFERROR(__xludf.DUMMYFUNCTION("""COMPUTED_VALUE"""),2.0)</f>
        <v>2</v>
      </c>
      <c r="G222" s="255">
        <f>IFERROR(__xludf.DUMMYFUNCTION("""COMPUTED_VALUE"""),2.0)</f>
        <v>2</v>
      </c>
      <c r="H222" s="256">
        <f>IFERROR(__xludf.DUMMYFUNCTION("""COMPUTED_VALUE"""),143.6)</f>
        <v>143.6</v>
      </c>
      <c r="I222" s="256">
        <f>IFERROR(__xludf.DUMMYFUNCTION("""COMPUTED_VALUE"""),229.76)</f>
        <v>229.76</v>
      </c>
      <c r="J222" s="257">
        <f t="shared" si="1"/>
        <v>4</v>
      </c>
      <c r="K222" s="253"/>
      <c r="L222" s="253"/>
      <c r="M222" s="252"/>
      <c r="N222" s="258"/>
      <c r="O222" s="259"/>
      <c r="P222" s="259"/>
      <c r="Q222" s="257"/>
      <c r="R222" s="260"/>
      <c r="S222" s="260"/>
      <c r="T222" s="260"/>
      <c r="U222" s="261"/>
      <c r="V222" s="251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</row>
    <row r="223">
      <c r="A223" s="251">
        <f>IFERROR(__xludf.DUMMYFUNCTION("""COMPUTED_VALUE"""),7708690.0)</f>
        <v>7708690</v>
      </c>
      <c r="B223" s="252" t="str">
        <f>IFERROR(__xludf.DUMMYFUNCTION("""COMPUTED_VALUE"""),"BookingCom")</f>
        <v>BookingCom</v>
      </c>
      <c r="C223" s="253" t="str">
        <f>IFERROR(__xludf.DUMMYFUNCTION("""COMPUTED_VALUE"""),"EMILINE Oliveira ")</f>
        <v>EMILINE Oliveira </v>
      </c>
      <c r="D223" s="254">
        <f>IFERROR(__xludf.DUMMYFUNCTION("""COMPUTED_VALUE"""),46087.0)</f>
        <v>46087</v>
      </c>
      <c r="E223" s="251">
        <f>IFERROR(__xludf.DUMMYFUNCTION("""COMPUTED_VALUE"""),46089.0)</f>
        <v>46089</v>
      </c>
      <c r="F223" s="255">
        <f>IFERROR(__xludf.DUMMYFUNCTION("""COMPUTED_VALUE"""),2.0)</f>
        <v>2</v>
      </c>
      <c r="G223" s="255">
        <f>IFERROR(__xludf.DUMMYFUNCTION("""COMPUTED_VALUE"""),2.0)</f>
        <v>2</v>
      </c>
      <c r="H223" s="256">
        <f>IFERROR(__xludf.DUMMYFUNCTION("""COMPUTED_VALUE"""),156.83)</f>
        <v>156.83</v>
      </c>
      <c r="I223" s="256">
        <f>IFERROR(__xludf.DUMMYFUNCTION("""COMPUTED_VALUE"""),250.92800000000003)</f>
        <v>250.928</v>
      </c>
      <c r="J223" s="257">
        <f t="shared" si="1"/>
        <v>4</v>
      </c>
      <c r="K223" s="253"/>
      <c r="L223" s="253"/>
      <c r="M223" s="252"/>
      <c r="N223" s="258"/>
      <c r="O223" s="259"/>
      <c r="P223" s="259"/>
      <c r="Q223" s="262"/>
      <c r="R223" s="260"/>
      <c r="S223" s="260"/>
      <c r="T223" s="273"/>
      <c r="U223" s="274"/>
      <c r="V223" s="263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</row>
    <row r="224">
      <c r="A224" s="251">
        <f>IFERROR(__xludf.DUMMYFUNCTION("""COMPUTED_VALUE"""),7708690.0)</f>
        <v>7708690</v>
      </c>
      <c r="B224" s="252" t="str">
        <f>IFERROR(__xludf.DUMMYFUNCTION("""COMPUTED_VALUE"""),"BookingCom")</f>
        <v>BookingCom</v>
      </c>
      <c r="C224" s="253" t="str">
        <f>IFERROR(__xludf.DUMMYFUNCTION("""COMPUTED_VALUE"""),"EMILINE Oliveira ")</f>
        <v>EMILINE Oliveira </v>
      </c>
      <c r="D224" s="254">
        <f>IFERROR(__xludf.DUMMYFUNCTION("""COMPUTED_VALUE"""),46087.0)</f>
        <v>46087</v>
      </c>
      <c r="E224" s="251">
        <f>IFERROR(__xludf.DUMMYFUNCTION("""COMPUTED_VALUE"""),46089.0)</f>
        <v>46089</v>
      </c>
      <c r="F224" s="255">
        <f>IFERROR(__xludf.DUMMYFUNCTION("""COMPUTED_VALUE"""),2.0)</f>
        <v>2</v>
      </c>
      <c r="G224" s="255">
        <f>IFERROR(__xludf.DUMMYFUNCTION("""COMPUTED_VALUE"""),2.0)</f>
        <v>2</v>
      </c>
      <c r="H224" s="256">
        <f>IFERROR(__xludf.DUMMYFUNCTION("""COMPUTED_VALUE"""),156.83)</f>
        <v>156.83</v>
      </c>
      <c r="I224" s="256">
        <f>IFERROR(__xludf.DUMMYFUNCTION("""COMPUTED_VALUE"""),250.92800000000003)</f>
        <v>250.928</v>
      </c>
      <c r="J224" s="257">
        <f t="shared" si="1"/>
        <v>4</v>
      </c>
      <c r="K224" s="253"/>
      <c r="L224" s="253"/>
      <c r="M224" s="252"/>
      <c r="N224" s="258"/>
      <c r="O224" s="259"/>
      <c r="P224" s="259"/>
      <c r="Q224" s="262"/>
      <c r="R224" s="260"/>
      <c r="S224" s="260"/>
      <c r="T224" s="260"/>
      <c r="U224" s="261"/>
      <c r="V224" s="251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</row>
    <row r="225">
      <c r="A225" s="251">
        <f>IFERROR(__xludf.DUMMYFUNCTION("""COMPUTED_VALUE"""),7733724.0)</f>
        <v>7733724</v>
      </c>
      <c r="B225" s="252" t="str">
        <f>IFERROR(__xludf.DUMMYFUNCTION("""COMPUTED_VALUE"""),"BookingCom")</f>
        <v>BookingCom</v>
      </c>
      <c r="C225" s="253" t="str">
        <f>IFERROR(__xludf.DUMMYFUNCTION("""COMPUTED_VALUE"""),"Francisca Lima ")</f>
        <v>Francisca Lima </v>
      </c>
      <c r="D225" s="254">
        <f>IFERROR(__xludf.DUMMYFUNCTION("""COMPUTED_VALUE"""),46087.0)</f>
        <v>46087</v>
      </c>
      <c r="E225" s="251">
        <f>IFERROR(__xludf.DUMMYFUNCTION("""COMPUTED_VALUE"""),46090.0)</f>
        <v>46090</v>
      </c>
      <c r="F225" s="255">
        <f>IFERROR(__xludf.DUMMYFUNCTION("""COMPUTED_VALUE"""),3.0)</f>
        <v>3</v>
      </c>
      <c r="G225" s="255">
        <f>IFERROR(__xludf.DUMMYFUNCTION("""COMPUTED_VALUE"""),3.0)</f>
        <v>3</v>
      </c>
      <c r="H225" s="256">
        <f>IFERROR(__xludf.DUMMYFUNCTION("""COMPUTED_VALUE"""),151.42)</f>
        <v>151.42</v>
      </c>
      <c r="I225" s="256">
        <f>IFERROR(__xludf.DUMMYFUNCTION("""COMPUTED_VALUE"""),363.408)</f>
        <v>363.408</v>
      </c>
      <c r="J225" s="257">
        <f t="shared" si="1"/>
        <v>9</v>
      </c>
      <c r="K225" s="253"/>
      <c r="L225" s="253"/>
      <c r="M225" s="252"/>
      <c r="N225" s="258"/>
      <c r="O225" s="259"/>
      <c r="P225" s="259"/>
      <c r="Q225" s="262"/>
      <c r="R225" s="260"/>
      <c r="S225" s="260"/>
      <c r="T225" s="260"/>
      <c r="U225" s="261"/>
      <c r="V225" s="251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</row>
    <row r="226">
      <c r="A226" s="251">
        <f>IFERROR(__xludf.DUMMYFUNCTION("""COMPUTED_VALUE"""),7801406.0)</f>
        <v>7801406</v>
      </c>
      <c r="B226" s="252" t="str">
        <f>IFERROR(__xludf.DUMMYFUNCTION("""COMPUTED_VALUE"""),"Reseliva")</f>
        <v>Reseliva</v>
      </c>
      <c r="C226" s="253" t="str">
        <f>IFERROR(__xludf.DUMMYFUNCTION("""COMPUTED_VALUE"""),"ICIAR PARIS MARTIN ")</f>
        <v>ICIAR PARIS MARTIN </v>
      </c>
      <c r="D226" s="254">
        <f>IFERROR(__xludf.DUMMYFUNCTION("""COMPUTED_VALUE"""),46087.0)</f>
        <v>46087</v>
      </c>
      <c r="E226" s="251">
        <f>IFERROR(__xludf.DUMMYFUNCTION("""COMPUTED_VALUE"""),46089.0)</f>
        <v>46089</v>
      </c>
      <c r="F226" s="255">
        <f>IFERROR(__xludf.DUMMYFUNCTION("""COMPUTED_VALUE"""),2.0)</f>
        <v>2</v>
      </c>
      <c r="G226" s="255">
        <f>IFERROR(__xludf.DUMMYFUNCTION("""COMPUTED_VALUE"""),2.0)</f>
        <v>2</v>
      </c>
      <c r="H226" s="256">
        <f>IFERROR(__xludf.DUMMYFUNCTION("""COMPUTED_VALUE"""),266.4)</f>
        <v>266.4</v>
      </c>
      <c r="I226" s="256">
        <f>IFERROR(__xludf.DUMMYFUNCTION("""COMPUTED_VALUE"""),527.472)</f>
        <v>527.472</v>
      </c>
      <c r="J226" s="257">
        <f t="shared" si="1"/>
        <v>4</v>
      </c>
      <c r="K226" s="253"/>
      <c r="L226" s="253"/>
      <c r="M226" s="252"/>
      <c r="N226" s="258"/>
      <c r="O226" s="259"/>
      <c r="P226" s="259"/>
      <c r="Q226" s="262"/>
      <c r="R226" s="260"/>
      <c r="S226" s="260"/>
      <c r="T226" s="260"/>
      <c r="U226" s="261"/>
      <c r="V226" s="251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</row>
    <row r="227">
      <c r="A227" s="251">
        <f>IFERROR(__xludf.DUMMYFUNCTION("""COMPUTED_VALUE"""),7851171.0)</f>
        <v>7851171</v>
      </c>
      <c r="B227" s="252" t="str">
        <f>IFERROR(__xludf.DUMMYFUNCTION("""COMPUTED_VALUE"""),"BookingCom")</f>
        <v>BookingCom</v>
      </c>
      <c r="C227" s="253" t="str">
        <f>IFERROR(__xludf.DUMMYFUNCTION("""COMPUTED_VALUE"""),"Torsten Gehre ")</f>
        <v>Torsten Gehre </v>
      </c>
      <c r="D227" s="254">
        <f>IFERROR(__xludf.DUMMYFUNCTION("""COMPUTED_VALUE"""),46087.0)</f>
        <v>46087</v>
      </c>
      <c r="E227" s="251">
        <f>IFERROR(__xludf.DUMMYFUNCTION("""COMPUTED_VALUE"""),46092.0)</f>
        <v>46092</v>
      </c>
      <c r="F227" s="255">
        <f>IFERROR(__xludf.DUMMYFUNCTION("""COMPUTED_VALUE"""),5.0)</f>
        <v>5</v>
      </c>
      <c r="G227" s="255">
        <f>IFERROR(__xludf.DUMMYFUNCTION("""COMPUTED_VALUE"""),2.0)</f>
        <v>2</v>
      </c>
      <c r="H227" s="256">
        <f>IFERROR(__xludf.DUMMYFUNCTION("""COMPUTED_VALUE"""),252.07)</f>
        <v>252.07</v>
      </c>
      <c r="I227" s="256">
        <f>IFERROR(__xludf.DUMMYFUNCTION("""COMPUTED_VALUE"""),1008.28)</f>
        <v>1008.28</v>
      </c>
      <c r="J227" s="257">
        <f t="shared" si="1"/>
        <v>10</v>
      </c>
      <c r="K227" s="253"/>
      <c r="L227" s="253"/>
      <c r="M227" s="252"/>
      <c r="N227" s="258"/>
      <c r="O227" s="259"/>
      <c r="P227" s="259"/>
      <c r="Q227" s="262"/>
      <c r="R227" s="260"/>
      <c r="S227" s="260"/>
      <c r="T227" s="260"/>
      <c r="U227" s="261"/>
      <c r="V227" s="251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</row>
    <row r="228">
      <c r="A228" s="251">
        <f>IFERROR(__xludf.DUMMYFUNCTION("""COMPUTED_VALUE"""),8168257.0)</f>
        <v>8168257</v>
      </c>
      <c r="B228" s="252" t="str">
        <f>IFERROR(__xludf.DUMMYFUNCTION("""COMPUTED_VALUE"""),"BookingCom")</f>
        <v>BookingCom</v>
      </c>
      <c r="C228" s="253" t="str">
        <f>IFERROR(__xludf.DUMMYFUNCTION("""COMPUTED_VALUE"""),"Anna Spano ")</f>
        <v>Anna Spano </v>
      </c>
      <c r="D228" s="254">
        <f>IFERROR(__xludf.DUMMYFUNCTION("""COMPUTED_VALUE"""),46087.0)</f>
        <v>46087</v>
      </c>
      <c r="E228" s="251">
        <f>IFERROR(__xludf.DUMMYFUNCTION("""COMPUTED_VALUE"""),46090.0)</f>
        <v>46090</v>
      </c>
      <c r="F228" s="255">
        <f>IFERROR(__xludf.DUMMYFUNCTION("""COMPUTED_VALUE"""),3.0)</f>
        <v>3</v>
      </c>
      <c r="G228" s="255">
        <f>IFERROR(__xludf.DUMMYFUNCTION("""COMPUTED_VALUE"""),2.0)</f>
        <v>2</v>
      </c>
      <c r="H228" s="256">
        <f>IFERROR(__xludf.DUMMYFUNCTION("""COMPUTED_VALUE"""),202.99)</f>
        <v>202.99</v>
      </c>
      <c r="I228" s="256">
        <f>IFERROR(__xludf.DUMMYFUNCTION("""COMPUTED_VALUE"""),487.17600000000004)</f>
        <v>487.176</v>
      </c>
      <c r="J228" s="257">
        <f t="shared" si="1"/>
        <v>6</v>
      </c>
      <c r="K228" s="253"/>
      <c r="L228" s="253"/>
      <c r="M228" s="252"/>
      <c r="N228" s="258"/>
      <c r="O228" s="259"/>
      <c r="P228" s="259"/>
      <c r="Q228" s="262"/>
      <c r="R228" s="260"/>
      <c r="S228" s="260"/>
      <c r="T228" s="260"/>
      <c r="U228" s="261"/>
      <c r="V228" s="251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</row>
    <row r="229">
      <c r="A229" s="251">
        <f>IFERROR(__xludf.DUMMYFUNCTION("""COMPUTED_VALUE"""),7730432.0)</f>
        <v>7730432</v>
      </c>
      <c r="B229" s="252" t="str">
        <f>IFERROR(__xludf.DUMMYFUNCTION("""COMPUTED_VALUE"""),"BookingCom")</f>
        <v>BookingCom</v>
      </c>
      <c r="C229" s="253" t="str">
        <f>IFERROR(__xludf.DUMMYFUNCTION("""COMPUTED_VALUE"""),"Michael Brack ")</f>
        <v>Michael Brack </v>
      </c>
      <c r="D229" s="254">
        <f>IFERROR(__xludf.DUMMYFUNCTION("""COMPUTED_VALUE"""),46089.0)</f>
        <v>46089</v>
      </c>
      <c r="E229" s="251">
        <f>IFERROR(__xludf.DUMMYFUNCTION("""COMPUTED_VALUE"""),46095.0)</f>
        <v>46095</v>
      </c>
      <c r="F229" s="255">
        <f>IFERROR(__xludf.DUMMYFUNCTION("""COMPUTED_VALUE"""),6.0)</f>
        <v>6</v>
      </c>
      <c r="G229" s="255">
        <f>IFERROR(__xludf.DUMMYFUNCTION("""COMPUTED_VALUE"""),2.0)</f>
        <v>2</v>
      </c>
      <c r="H229" s="256">
        <f>IFERROR(__xludf.DUMMYFUNCTION("""COMPUTED_VALUE"""),262.85)</f>
        <v>262.85</v>
      </c>
      <c r="I229" s="256">
        <f>IFERROR(__xludf.DUMMYFUNCTION("""COMPUTED_VALUE"""),1261.6800000000003)</f>
        <v>1261.68</v>
      </c>
      <c r="J229" s="257">
        <f t="shared" si="1"/>
        <v>12</v>
      </c>
      <c r="K229" s="253"/>
      <c r="L229" s="253"/>
      <c r="M229" s="252"/>
      <c r="N229" s="258"/>
      <c r="O229" s="259"/>
      <c r="P229" s="259"/>
      <c r="Q229" s="262"/>
      <c r="R229" s="260"/>
      <c r="S229" s="260"/>
      <c r="T229" s="260"/>
      <c r="U229" s="261"/>
      <c r="V229" s="251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</row>
    <row r="230">
      <c r="A230" s="251">
        <f>IFERROR(__xludf.DUMMYFUNCTION("""COMPUTED_VALUE"""),8079111.0)</f>
        <v>8079111</v>
      </c>
      <c r="B230" s="252" t="str">
        <f>IFERROR(__xludf.DUMMYFUNCTION("""COMPUTED_VALUE"""),"BookingCom")</f>
        <v>BookingCom</v>
      </c>
      <c r="C230" s="253" t="str">
        <f>IFERROR(__xludf.DUMMYFUNCTION("""COMPUTED_VALUE"""),"Elizabeth Lewis ")</f>
        <v>Elizabeth Lewis </v>
      </c>
      <c r="D230" s="254">
        <f>IFERROR(__xludf.DUMMYFUNCTION("""COMPUTED_VALUE"""),46089.0)</f>
        <v>46089</v>
      </c>
      <c r="E230" s="251">
        <f>IFERROR(__xludf.DUMMYFUNCTION("""COMPUTED_VALUE"""),46091.0)</f>
        <v>46091</v>
      </c>
      <c r="F230" s="255">
        <f>IFERROR(__xludf.DUMMYFUNCTION("""COMPUTED_VALUE"""),2.0)</f>
        <v>2</v>
      </c>
      <c r="G230" s="255">
        <f>IFERROR(__xludf.DUMMYFUNCTION("""COMPUTED_VALUE"""),2.0)</f>
        <v>2</v>
      </c>
      <c r="H230" s="256">
        <f>IFERROR(__xludf.DUMMYFUNCTION("""COMPUTED_VALUE"""),168.13)</f>
        <v>168.13</v>
      </c>
      <c r="I230" s="256">
        <f>IFERROR(__xludf.DUMMYFUNCTION("""COMPUTED_VALUE"""),269.008)</f>
        <v>269.008</v>
      </c>
      <c r="J230" s="257">
        <f t="shared" si="1"/>
        <v>4</v>
      </c>
      <c r="K230" s="253"/>
      <c r="L230" s="253"/>
      <c r="M230" s="252"/>
      <c r="N230" s="258"/>
      <c r="O230" s="259"/>
      <c r="P230" s="259"/>
      <c r="Q230" s="262"/>
      <c r="R230" s="260"/>
      <c r="S230" s="260"/>
      <c r="T230" s="260"/>
      <c r="U230" s="261"/>
      <c r="V230" s="251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</row>
    <row r="231">
      <c r="A231" s="251">
        <f>IFERROR(__xludf.DUMMYFUNCTION("""COMPUTED_VALUE"""),8087120.0)</f>
        <v>8087120</v>
      </c>
      <c r="B231" s="252" t="str">
        <f>IFERROR(__xludf.DUMMYFUNCTION("""COMPUTED_VALUE"""),"BookingCom")</f>
        <v>BookingCom</v>
      </c>
      <c r="C231" s="253" t="str">
        <f>IFERROR(__xludf.DUMMYFUNCTION("""COMPUTED_VALUE"""),"Evie Murphy ")</f>
        <v>Evie Murphy </v>
      </c>
      <c r="D231" s="254">
        <f>IFERROR(__xludf.DUMMYFUNCTION("""COMPUTED_VALUE"""),46089.0)</f>
        <v>46089</v>
      </c>
      <c r="E231" s="251">
        <f>IFERROR(__xludf.DUMMYFUNCTION("""COMPUTED_VALUE"""),46093.0)</f>
        <v>46093</v>
      </c>
      <c r="F231" s="255">
        <f>IFERROR(__xludf.DUMMYFUNCTION("""COMPUTED_VALUE"""),4.0)</f>
        <v>4</v>
      </c>
      <c r="G231" s="255">
        <f>IFERROR(__xludf.DUMMYFUNCTION("""COMPUTED_VALUE"""),2.0)</f>
        <v>2</v>
      </c>
      <c r="H231" s="256">
        <f>IFERROR(__xludf.DUMMYFUNCTION("""COMPUTED_VALUE"""),158.45)</f>
        <v>158.45</v>
      </c>
      <c r="I231" s="256">
        <f>IFERROR(__xludf.DUMMYFUNCTION("""COMPUTED_VALUE"""),507.03999999999996)</f>
        <v>507.04</v>
      </c>
      <c r="J231" s="257">
        <f t="shared" si="1"/>
        <v>8</v>
      </c>
      <c r="K231" s="253"/>
      <c r="L231" s="253"/>
      <c r="M231" s="275"/>
      <c r="N231" s="258"/>
      <c r="O231" s="259"/>
      <c r="P231" s="259"/>
      <c r="Q231" s="262"/>
      <c r="R231" s="260"/>
      <c r="S231" s="260"/>
      <c r="T231" s="260"/>
      <c r="U231" s="261"/>
      <c r="V231" s="251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</row>
    <row r="232">
      <c r="A232" s="251">
        <f>IFERROR(__xludf.DUMMYFUNCTION("""COMPUTED_VALUE"""),7827136.0)</f>
        <v>7827136</v>
      </c>
      <c r="B232" s="252" t="str">
        <f>IFERROR(__xludf.DUMMYFUNCTION("""COMPUTED_VALUE"""),"BookingCom")</f>
        <v>BookingCom</v>
      </c>
      <c r="C232" s="253" t="str">
        <f>IFERROR(__xludf.DUMMYFUNCTION("""COMPUTED_VALUE"""),"Angelique Luccione ")</f>
        <v>Angelique Luccione </v>
      </c>
      <c r="D232" s="254">
        <f>IFERROR(__xludf.DUMMYFUNCTION("""COMPUTED_VALUE"""),46090.0)</f>
        <v>46090</v>
      </c>
      <c r="E232" s="251">
        <f>IFERROR(__xludf.DUMMYFUNCTION("""COMPUTED_VALUE"""),46095.0)</f>
        <v>46095</v>
      </c>
      <c r="F232" s="255">
        <f>IFERROR(__xludf.DUMMYFUNCTION("""COMPUTED_VALUE"""),5.0)</f>
        <v>5</v>
      </c>
      <c r="G232" s="255">
        <f>IFERROR(__xludf.DUMMYFUNCTION("""COMPUTED_VALUE"""),2.0)</f>
        <v>2</v>
      </c>
      <c r="H232" s="256">
        <f>IFERROR(__xludf.DUMMYFUNCTION("""COMPUTED_VALUE"""),172.41)</f>
        <v>172.41</v>
      </c>
      <c r="I232" s="256">
        <f>IFERROR(__xludf.DUMMYFUNCTION("""COMPUTED_VALUE"""),689.64)</f>
        <v>689.64</v>
      </c>
      <c r="J232" s="257">
        <f t="shared" si="1"/>
        <v>10</v>
      </c>
      <c r="K232" s="253"/>
      <c r="L232" s="253"/>
      <c r="M232" s="252"/>
      <c r="N232" s="258"/>
      <c r="O232" s="259"/>
      <c r="P232" s="259"/>
      <c r="Q232" s="262"/>
      <c r="R232" s="260"/>
      <c r="S232" s="260"/>
      <c r="T232" s="260"/>
      <c r="U232" s="261"/>
      <c r="V232" s="251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</row>
    <row r="233">
      <c r="A233" s="251">
        <f>IFERROR(__xludf.DUMMYFUNCTION("""COMPUTED_VALUE"""),8109751.0)</f>
        <v>8109751</v>
      </c>
      <c r="B233" s="252" t="str">
        <f>IFERROR(__xludf.DUMMYFUNCTION("""COMPUTED_VALUE"""),"Agoda2")</f>
        <v>Agoda2</v>
      </c>
      <c r="C233" s="253" t="str">
        <f>IFERROR(__xludf.DUMMYFUNCTION("""COMPUTED_VALUE"""),"Adnan Noris Handan ")</f>
        <v>Adnan Noris Handan </v>
      </c>
      <c r="D233" s="254">
        <f>IFERROR(__xludf.DUMMYFUNCTION("""COMPUTED_VALUE"""),46090.0)</f>
        <v>46090</v>
      </c>
      <c r="E233" s="251">
        <f>IFERROR(__xludf.DUMMYFUNCTION("""COMPUTED_VALUE"""),46092.0)</f>
        <v>46092</v>
      </c>
      <c r="F233" s="255">
        <f>IFERROR(__xludf.DUMMYFUNCTION("""COMPUTED_VALUE"""),2.0)</f>
        <v>2</v>
      </c>
      <c r="G233" s="255">
        <f>IFERROR(__xludf.DUMMYFUNCTION("""COMPUTED_VALUE"""),3.0)</f>
        <v>3</v>
      </c>
      <c r="H233" s="256">
        <f>IFERROR(__xludf.DUMMYFUNCTION("""COMPUTED_VALUE"""),212.29)</f>
        <v>212.29</v>
      </c>
      <c r="I233" s="256">
        <f>IFERROR(__xludf.DUMMYFUNCTION("""COMPUTED_VALUE"""),339.664)</f>
        <v>339.664</v>
      </c>
      <c r="J233" s="257">
        <f t="shared" si="1"/>
        <v>6</v>
      </c>
      <c r="K233" s="253"/>
      <c r="L233" s="253"/>
      <c r="M233" s="252"/>
      <c r="N233" s="258"/>
      <c r="O233" s="259"/>
      <c r="P233" s="259"/>
      <c r="Q233" s="262"/>
      <c r="R233" s="260"/>
      <c r="S233" s="260"/>
      <c r="T233" s="260"/>
      <c r="U233" s="261"/>
      <c r="V233" s="251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</row>
    <row r="234">
      <c r="A234" s="251">
        <f>IFERROR(__xludf.DUMMYFUNCTION("""COMPUTED_VALUE"""),8145405.0)</f>
        <v>8145405</v>
      </c>
      <c r="B234" s="252" t="str">
        <f>IFERROR(__xludf.DUMMYFUNCTION("""COMPUTED_VALUE"""),"Agoda2")</f>
        <v>Agoda2</v>
      </c>
      <c r="C234" s="253" t="str">
        <f>IFERROR(__xludf.DUMMYFUNCTION("""COMPUTED_VALUE"""),"Madonna Sole ")</f>
        <v>Madonna Sole </v>
      </c>
      <c r="D234" s="254">
        <f>IFERROR(__xludf.DUMMYFUNCTION("""COMPUTED_VALUE"""),46090.0)</f>
        <v>46090</v>
      </c>
      <c r="E234" s="251">
        <f>IFERROR(__xludf.DUMMYFUNCTION("""COMPUTED_VALUE"""),46093.0)</f>
        <v>46093</v>
      </c>
      <c r="F234" s="255">
        <f>IFERROR(__xludf.DUMMYFUNCTION("""COMPUTED_VALUE"""),3.0)</f>
        <v>3</v>
      </c>
      <c r="G234" s="255">
        <f>IFERROR(__xludf.DUMMYFUNCTION("""COMPUTED_VALUE"""),2.0)</f>
        <v>2</v>
      </c>
      <c r="H234" s="256">
        <f>IFERROR(__xludf.DUMMYFUNCTION("""COMPUTED_VALUE"""),186.15)</f>
        <v>186.15</v>
      </c>
      <c r="I234" s="256">
        <f>IFERROR(__xludf.DUMMYFUNCTION("""COMPUTED_VALUE"""),446.76000000000005)</f>
        <v>446.76</v>
      </c>
      <c r="J234" s="257">
        <f t="shared" si="1"/>
        <v>6</v>
      </c>
      <c r="K234" s="253"/>
      <c r="L234" s="253"/>
      <c r="M234" s="275"/>
      <c r="N234" s="258"/>
      <c r="O234" s="259"/>
      <c r="P234" s="259"/>
      <c r="Q234" s="262"/>
      <c r="R234" s="260"/>
      <c r="S234" s="260"/>
      <c r="T234" s="260"/>
      <c r="U234" s="261"/>
      <c r="V234" s="251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</row>
    <row r="235">
      <c r="A235" s="251">
        <f>IFERROR(__xludf.DUMMYFUNCTION("""COMPUTED_VALUE"""),8177407.0)</f>
        <v>8177407</v>
      </c>
      <c r="B235" s="252" t="str">
        <f>IFERROR(__xludf.DUMMYFUNCTION("""COMPUTED_VALUE"""),"BookingCom")</f>
        <v>BookingCom</v>
      </c>
      <c r="C235" s="253" t="str">
        <f>IFERROR(__xludf.DUMMYFUNCTION("""COMPUTED_VALUE"""),"Clement Fauque ")</f>
        <v>Clement Fauque </v>
      </c>
      <c r="D235" s="254">
        <f>IFERROR(__xludf.DUMMYFUNCTION("""COMPUTED_VALUE"""),46090.0)</f>
        <v>46090</v>
      </c>
      <c r="E235" s="251">
        <f>IFERROR(__xludf.DUMMYFUNCTION("""COMPUTED_VALUE"""),46093.0)</f>
        <v>46093</v>
      </c>
      <c r="F235" s="255">
        <f>IFERROR(__xludf.DUMMYFUNCTION("""COMPUTED_VALUE"""),3.0)</f>
        <v>3</v>
      </c>
      <c r="G235" s="255">
        <f>IFERROR(__xludf.DUMMYFUNCTION("""COMPUTED_VALUE"""),2.0)</f>
        <v>2</v>
      </c>
      <c r="H235" s="256">
        <f>IFERROR(__xludf.DUMMYFUNCTION("""COMPUTED_VALUE"""),173.34)</f>
        <v>173.34</v>
      </c>
      <c r="I235" s="256">
        <f>IFERROR(__xludf.DUMMYFUNCTION("""COMPUTED_VALUE"""),416.01599999999996)</f>
        <v>416.016</v>
      </c>
      <c r="J235" s="257">
        <f t="shared" si="1"/>
        <v>6</v>
      </c>
      <c r="K235" s="253"/>
      <c r="L235" s="253"/>
      <c r="M235" s="252"/>
      <c r="N235" s="258"/>
      <c r="O235" s="259"/>
      <c r="P235" s="259"/>
      <c r="Q235" s="262"/>
      <c r="R235" s="260"/>
      <c r="S235" s="260"/>
      <c r="T235" s="260"/>
      <c r="U235" s="261"/>
      <c r="V235" s="251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</row>
    <row r="236">
      <c r="A236" s="251">
        <f>IFERROR(__xludf.DUMMYFUNCTION("""COMPUTED_VALUE"""),8110062.0)</f>
        <v>8110062</v>
      </c>
      <c r="B236" s="252" t="str">
        <f>IFERROR(__xludf.DUMMYFUNCTION("""COMPUTED_VALUE"""),"BookingCom")</f>
        <v>BookingCom</v>
      </c>
      <c r="C236" s="253" t="str">
        <f>IFERROR(__xludf.DUMMYFUNCTION("""COMPUTED_VALUE"""),"Lisa Luly-Rivera ")</f>
        <v>Lisa Luly-Rivera </v>
      </c>
      <c r="D236" s="254">
        <f>IFERROR(__xludf.DUMMYFUNCTION("""COMPUTED_VALUE"""),46091.0)</f>
        <v>46091</v>
      </c>
      <c r="E236" s="251">
        <f>IFERROR(__xludf.DUMMYFUNCTION("""COMPUTED_VALUE"""),46093.0)</f>
        <v>46093</v>
      </c>
      <c r="F236" s="255">
        <f>IFERROR(__xludf.DUMMYFUNCTION("""COMPUTED_VALUE"""),2.0)</f>
        <v>2</v>
      </c>
      <c r="G236" s="255">
        <f>IFERROR(__xludf.DUMMYFUNCTION("""COMPUTED_VALUE"""),3.0)</f>
        <v>3</v>
      </c>
      <c r="H236" s="256">
        <f>IFERROR(__xludf.DUMMYFUNCTION("""COMPUTED_VALUE"""),458.82)</f>
        <v>458.82</v>
      </c>
      <c r="I236" s="256">
        <f>IFERROR(__xludf.DUMMYFUNCTION("""COMPUTED_VALUE"""),734.1120000000001)</f>
        <v>734.112</v>
      </c>
      <c r="J236" s="257">
        <f t="shared" si="1"/>
        <v>6</v>
      </c>
      <c r="K236" s="253"/>
      <c r="L236" s="253"/>
      <c r="M236" s="275"/>
      <c r="N236" s="258"/>
      <c r="O236" s="259"/>
      <c r="P236" s="259"/>
      <c r="Q236" s="262"/>
      <c r="R236" s="260"/>
      <c r="S236" s="260"/>
      <c r="T236" s="260"/>
      <c r="U236" s="261"/>
      <c r="V236" s="251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</row>
    <row r="237">
      <c r="A237" s="251">
        <f>IFERROR(__xludf.DUMMYFUNCTION("""COMPUTED_VALUE"""),8126233.0)</f>
        <v>8126233</v>
      </c>
      <c r="B237" s="252" t="str">
        <f>IFERROR(__xludf.DUMMYFUNCTION("""COMPUTED_VALUE"""),"BookingCom")</f>
        <v>BookingCom</v>
      </c>
      <c r="C237" s="253" t="str">
        <f>IFERROR(__xludf.DUMMYFUNCTION("""COMPUTED_VALUE"""),"Marco Janneman ")</f>
        <v>Marco Janneman </v>
      </c>
      <c r="D237" s="254">
        <f>IFERROR(__xludf.DUMMYFUNCTION("""COMPUTED_VALUE"""),46091.0)</f>
        <v>46091</v>
      </c>
      <c r="E237" s="251">
        <f>IFERROR(__xludf.DUMMYFUNCTION("""COMPUTED_VALUE"""),46094.0)</f>
        <v>46094</v>
      </c>
      <c r="F237" s="255">
        <f>IFERROR(__xludf.DUMMYFUNCTION("""COMPUTED_VALUE"""),3.0)</f>
        <v>3</v>
      </c>
      <c r="G237" s="255">
        <f>IFERROR(__xludf.DUMMYFUNCTION("""COMPUTED_VALUE"""),2.0)</f>
        <v>2</v>
      </c>
      <c r="H237" s="256">
        <f>IFERROR(__xludf.DUMMYFUNCTION("""COMPUTED_VALUE"""),185.41)</f>
        <v>185.41</v>
      </c>
      <c r="I237" s="256">
        <f>IFERROR(__xludf.DUMMYFUNCTION("""COMPUTED_VALUE"""),444.98400000000004)</f>
        <v>444.984</v>
      </c>
      <c r="J237" s="257">
        <f t="shared" si="1"/>
        <v>6</v>
      </c>
      <c r="K237" s="253"/>
      <c r="L237" s="253"/>
      <c r="M237" s="252"/>
      <c r="N237" s="258"/>
      <c r="O237" s="259"/>
      <c r="P237" s="259"/>
      <c r="Q237" s="262"/>
      <c r="R237" s="260"/>
      <c r="S237" s="260"/>
      <c r="T237" s="260"/>
      <c r="U237" s="261"/>
      <c r="V237" s="251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</row>
    <row r="238">
      <c r="A238" s="251">
        <f>IFERROR(__xludf.DUMMYFUNCTION("""COMPUTED_VALUE"""),8184177.0)</f>
        <v>8184177</v>
      </c>
      <c r="B238" s="252" t="str">
        <f>IFERROR(__xludf.DUMMYFUNCTION("""COMPUTED_VALUE"""),"BookingCom")</f>
        <v>BookingCom</v>
      </c>
      <c r="C238" s="253" t="str">
        <f>IFERROR(__xludf.DUMMYFUNCTION("""COMPUTED_VALUE"""),"jeanne Bouchard ")</f>
        <v>jeanne Bouchard </v>
      </c>
      <c r="D238" s="254">
        <f>IFERROR(__xludf.DUMMYFUNCTION("""COMPUTED_VALUE"""),46091.0)</f>
        <v>46091</v>
      </c>
      <c r="E238" s="251">
        <f>IFERROR(__xludf.DUMMYFUNCTION("""COMPUTED_VALUE"""),46093.0)</f>
        <v>46093</v>
      </c>
      <c r="F238" s="255">
        <f>IFERROR(__xludf.DUMMYFUNCTION("""COMPUTED_VALUE"""),2.0)</f>
        <v>2</v>
      </c>
      <c r="G238" s="255">
        <f>IFERROR(__xludf.DUMMYFUNCTION("""COMPUTED_VALUE"""),2.0)</f>
        <v>2</v>
      </c>
      <c r="H238" s="256">
        <f>IFERROR(__xludf.DUMMYFUNCTION("""COMPUTED_VALUE"""),196.65)</f>
        <v>196.65</v>
      </c>
      <c r="I238" s="256">
        <f>IFERROR(__xludf.DUMMYFUNCTION("""COMPUTED_VALUE"""),314.64000000000004)</f>
        <v>314.64</v>
      </c>
      <c r="J238" s="257">
        <f t="shared" si="1"/>
        <v>4</v>
      </c>
      <c r="K238" s="253"/>
      <c r="L238" s="253"/>
      <c r="M238" s="252"/>
      <c r="N238" s="258"/>
      <c r="O238" s="259"/>
      <c r="P238" s="259"/>
      <c r="Q238" s="262"/>
      <c r="R238" s="260"/>
      <c r="S238" s="260"/>
      <c r="T238" s="273"/>
      <c r="U238" s="274"/>
      <c r="V238" s="263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</row>
    <row r="239">
      <c r="A239" s="251">
        <f>IFERROR(__xludf.DUMMYFUNCTION("""COMPUTED_VALUE"""),7898776.0)</f>
        <v>7898776</v>
      </c>
      <c r="B239" s="252" t="str">
        <f>IFERROR(__xludf.DUMMYFUNCTION("""COMPUTED_VALUE"""),"BookingCom")</f>
        <v>BookingCom</v>
      </c>
      <c r="C239" s="253" t="str">
        <f>IFERROR(__xludf.DUMMYFUNCTION("""COMPUTED_VALUE"""),"Wioletta Mat ")</f>
        <v>Wioletta Mat </v>
      </c>
      <c r="D239" s="254">
        <f>IFERROR(__xludf.DUMMYFUNCTION("""COMPUTED_VALUE"""),46092.0)</f>
        <v>46092</v>
      </c>
      <c r="E239" s="251">
        <f>IFERROR(__xludf.DUMMYFUNCTION("""COMPUTED_VALUE"""),46097.0)</f>
        <v>46097</v>
      </c>
      <c r="F239" s="255">
        <f>IFERROR(__xludf.DUMMYFUNCTION("""COMPUTED_VALUE"""),5.0)</f>
        <v>5</v>
      </c>
      <c r="G239" s="255">
        <f>IFERROR(__xludf.DUMMYFUNCTION("""COMPUTED_VALUE"""),3.0)</f>
        <v>3</v>
      </c>
      <c r="H239" s="256">
        <f>IFERROR(__xludf.DUMMYFUNCTION("""COMPUTED_VALUE"""),224.93)</f>
        <v>224.93</v>
      </c>
      <c r="I239" s="256">
        <f>IFERROR(__xludf.DUMMYFUNCTION("""COMPUTED_VALUE"""),899.72)</f>
        <v>899.72</v>
      </c>
      <c r="J239" s="257">
        <f t="shared" si="1"/>
        <v>15</v>
      </c>
      <c r="K239" s="253"/>
      <c r="L239" s="253"/>
      <c r="M239" s="252"/>
      <c r="N239" s="258"/>
      <c r="O239" s="259"/>
      <c r="P239" s="259"/>
      <c r="Q239" s="262"/>
      <c r="R239" s="260"/>
      <c r="S239" s="260"/>
      <c r="T239" s="260"/>
      <c r="U239" s="261"/>
      <c r="V239" s="251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</row>
    <row r="240">
      <c r="A240" s="251">
        <f>IFERROR(__xludf.DUMMYFUNCTION("""COMPUTED_VALUE"""),7493252.0)</f>
        <v>7493252</v>
      </c>
      <c r="B240" s="252" t="str">
        <f>IFERROR(__xludf.DUMMYFUNCTION("""COMPUTED_VALUE"""),"BookingCom")</f>
        <v>BookingCom</v>
      </c>
      <c r="C240" s="253" t="str">
        <f>IFERROR(__xludf.DUMMYFUNCTION("""COMPUTED_VALUE"""),"Jesus Cubero ")</f>
        <v>Jesus Cubero </v>
      </c>
      <c r="D240" s="254">
        <f>IFERROR(__xludf.DUMMYFUNCTION("""COMPUTED_VALUE"""),46093.0)</f>
        <v>46093</v>
      </c>
      <c r="E240" s="251">
        <f>IFERROR(__xludf.DUMMYFUNCTION("""COMPUTED_VALUE"""),46096.0)</f>
        <v>46096</v>
      </c>
      <c r="F240" s="255">
        <f>IFERROR(__xludf.DUMMYFUNCTION("""COMPUTED_VALUE"""),3.0)</f>
        <v>3</v>
      </c>
      <c r="G240" s="255">
        <f>IFERROR(__xludf.DUMMYFUNCTION("""COMPUTED_VALUE"""),2.0)</f>
        <v>2</v>
      </c>
      <c r="H240" s="256">
        <f>IFERROR(__xludf.DUMMYFUNCTION("""COMPUTED_VALUE"""),135.66)</f>
        <v>135.66</v>
      </c>
      <c r="I240" s="256">
        <f>IFERROR(__xludf.DUMMYFUNCTION("""COMPUTED_VALUE"""),325.584)</f>
        <v>325.584</v>
      </c>
      <c r="J240" s="257">
        <f t="shared" si="1"/>
        <v>6</v>
      </c>
      <c r="K240" s="253"/>
      <c r="L240" s="253"/>
      <c r="M240" s="252"/>
      <c r="N240" s="258"/>
      <c r="O240" s="259"/>
      <c r="P240" s="259"/>
      <c r="Q240" s="257"/>
      <c r="R240" s="260"/>
      <c r="S240" s="260"/>
      <c r="T240" s="260"/>
      <c r="U240" s="261"/>
      <c r="V240" s="251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</row>
    <row r="241">
      <c r="A241" s="251">
        <f>IFERROR(__xludf.DUMMYFUNCTION("""COMPUTED_VALUE"""),7660414.0)</f>
        <v>7660414</v>
      </c>
      <c r="B241" s="252" t="str">
        <f>IFERROR(__xludf.DUMMYFUNCTION("""COMPUTED_VALUE"""),"BookingCom")</f>
        <v>BookingCom</v>
      </c>
      <c r="C241" s="253" t="str">
        <f>IFERROR(__xludf.DUMMYFUNCTION("""COMPUTED_VALUE"""),"Svetlana Sereda ")</f>
        <v>Svetlana Sereda </v>
      </c>
      <c r="D241" s="254">
        <f>IFERROR(__xludf.DUMMYFUNCTION("""COMPUTED_VALUE"""),46093.0)</f>
        <v>46093</v>
      </c>
      <c r="E241" s="251">
        <f>IFERROR(__xludf.DUMMYFUNCTION("""COMPUTED_VALUE"""),46097.0)</f>
        <v>46097</v>
      </c>
      <c r="F241" s="255">
        <f>IFERROR(__xludf.DUMMYFUNCTION("""COMPUTED_VALUE"""),4.0)</f>
        <v>4</v>
      </c>
      <c r="G241" s="255">
        <f>IFERROR(__xludf.DUMMYFUNCTION("""COMPUTED_VALUE"""),2.0)</f>
        <v>2</v>
      </c>
      <c r="H241" s="256">
        <f>IFERROR(__xludf.DUMMYFUNCTION("""COMPUTED_VALUE"""),168.82)</f>
        <v>168.82</v>
      </c>
      <c r="I241" s="256">
        <f>IFERROR(__xludf.DUMMYFUNCTION("""COMPUTED_VALUE"""),540.224)</f>
        <v>540.224</v>
      </c>
      <c r="J241" s="257">
        <f t="shared" si="1"/>
        <v>8</v>
      </c>
      <c r="K241" s="253"/>
      <c r="L241" s="253"/>
      <c r="M241" s="252"/>
      <c r="N241" s="258"/>
      <c r="O241" s="259"/>
      <c r="P241" s="259"/>
      <c r="Q241" s="262"/>
      <c r="R241" s="260"/>
      <c r="S241" s="260"/>
      <c r="T241" s="260"/>
      <c r="U241" s="261"/>
      <c r="V241" s="251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</row>
    <row r="242">
      <c r="A242" s="251">
        <f>IFERROR(__xludf.DUMMYFUNCTION("""COMPUTED_VALUE"""),8054848.0)</f>
        <v>8054848</v>
      </c>
      <c r="B242" s="252" t="str">
        <f>IFERROR(__xludf.DUMMYFUNCTION("""COMPUTED_VALUE"""),"Expedia Affiliate Network")</f>
        <v>Expedia Affiliate Network</v>
      </c>
      <c r="C242" s="253" t="str">
        <f>IFERROR(__xludf.DUMMYFUNCTION("""COMPUTED_VALUE"""),"Christopher Thomas ")</f>
        <v>Christopher Thomas </v>
      </c>
      <c r="D242" s="254">
        <f>IFERROR(__xludf.DUMMYFUNCTION("""COMPUTED_VALUE"""),46093.0)</f>
        <v>46093</v>
      </c>
      <c r="E242" s="251">
        <f>IFERROR(__xludf.DUMMYFUNCTION("""COMPUTED_VALUE"""),46094.0)</f>
        <v>46094</v>
      </c>
      <c r="F242" s="255">
        <f>IFERROR(__xludf.DUMMYFUNCTION("""COMPUTED_VALUE"""),1.0)</f>
        <v>1</v>
      </c>
      <c r="G242" s="255">
        <f>IFERROR(__xludf.DUMMYFUNCTION("""COMPUTED_VALUE"""),2.0)</f>
        <v>2</v>
      </c>
      <c r="H242" s="256">
        <f>IFERROR(__xludf.DUMMYFUNCTION("""COMPUTED_VALUE"""),270.0)</f>
        <v>270</v>
      </c>
      <c r="I242" s="256">
        <f>IFERROR(__xludf.DUMMYFUNCTION("""COMPUTED_VALUE"""),216.0)</f>
        <v>216</v>
      </c>
      <c r="J242" s="257">
        <f t="shared" si="1"/>
        <v>2</v>
      </c>
      <c r="K242" s="253"/>
      <c r="L242" s="253"/>
      <c r="M242" s="275"/>
      <c r="N242" s="258"/>
      <c r="O242" s="259"/>
      <c r="P242" s="259"/>
      <c r="Q242" s="262"/>
      <c r="R242" s="260"/>
      <c r="S242" s="260"/>
      <c r="T242" s="260"/>
      <c r="U242" s="261"/>
      <c r="V242" s="251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</row>
    <row r="243">
      <c r="A243" s="251">
        <f>IFERROR(__xludf.DUMMYFUNCTION("""COMPUTED_VALUE"""),8145940.0)</f>
        <v>8145940</v>
      </c>
      <c r="B243" s="252" t="str">
        <f>IFERROR(__xludf.DUMMYFUNCTION("""COMPUTED_VALUE"""),"BookingCom")</f>
        <v>BookingCom</v>
      </c>
      <c r="C243" s="253" t="str">
        <f>IFERROR(__xludf.DUMMYFUNCTION("""COMPUTED_VALUE"""),"Rosa Maria Kaiser ")</f>
        <v>Rosa Maria Kaiser </v>
      </c>
      <c r="D243" s="254">
        <f>IFERROR(__xludf.DUMMYFUNCTION("""COMPUTED_VALUE"""),46093.0)</f>
        <v>46093</v>
      </c>
      <c r="E243" s="251">
        <f>IFERROR(__xludf.DUMMYFUNCTION("""COMPUTED_VALUE"""),46094.0)</f>
        <v>46094</v>
      </c>
      <c r="F243" s="255">
        <f>IFERROR(__xludf.DUMMYFUNCTION("""COMPUTED_VALUE"""),1.0)</f>
        <v>1</v>
      </c>
      <c r="G243" s="255">
        <f>IFERROR(__xludf.DUMMYFUNCTION("""COMPUTED_VALUE"""),3.0)</f>
        <v>3</v>
      </c>
      <c r="H243" s="256">
        <f>IFERROR(__xludf.DUMMYFUNCTION("""COMPUTED_VALUE"""),226.44)</f>
        <v>226.44</v>
      </c>
      <c r="I243" s="256">
        <f>IFERROR(__xludf.DUMMYFUNCTION("""COMPUTED_VALUE"""),181.15200000000002)</f>
        <v>181.152</v>
      </c>
      <c r="J243" s="257">
        <f t="shared" si="1"/>
        <v>3</v>
      </c>
      <c r="K243" s="253"/>
      <c r="L243" s="253"/>
      <c r="M243" s="252"/>
      <c r="N243" s="258"/>
      <c r="O243" s="259"/>
      <c r="P243" s="259"/>
      <c r="Q243" s="262"/>
      <c r="R243" s="260"/>
      <c r="S243" s="260"/>
      <c r="T243" s="260"/>
      <c r="U243" s="261"/>
      <c r="V243" s="251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</row>
    <row r="244">
      <c r="A244" s="251">
        <f>IFERROR(__xludf.DUMMYFUNCTION("""COMPUTED_VALUE"""),7642155.0)</f>
        <v>7642155</v>
      </c>
      <c r="B244" s="252" t="str">
        <f>IFERROR(__xludf.DUMMYFUNCTION("""COMPUTED_VALUE"""),"Reseliva")</f>
        <v>Reseliva</v>
      </c>
      <c r="C244" s="253" t="str">
        <f>IFERROR(__xludf.DUMMYFUNCTION("""COMPUTED_VALUE"""),"Karsten Müller ")</f>
        <v>Karsten Müller </v>
      </c>
      <c r="D244" s="254">
        <f>IFERROR(__xludf.DUMMYFUNCTION("""COMPUTED_VALUE"""),46094.0)</f>
        <v>46094</v>
      </c>
      <c r="E244" s="251">
        <f>IFERROR(__xludf.DUMMYFUNCTION("""COMPUTED_VALUE"""),46096.0)</f>
        <v>46096</v>
      </c>
      <c r="F244" s="255">
        <f>IFERROR(__xludf.DUMMYFUNCTION("""COMPUTED_VALUE"""),2.0)</f>
        <v>2</v>
      </c>
      <c r="G244" s="255">
        <f>IFERROR(__xludf.DUMMYFUNCTION("""COMPUTED_VALUE"""),2.0)</f>
        <v>2</v>
      </c>
      <c r="H244" s="256">
        <f>IFERROR(__xludf.DUMMYFUNCTION("""COMPUTED_VALUE"""),162.63)</f>
        <v>162.63</v>
      </c>
      <c r="I244" s="256">
        <f>IFERROR(__xludf.DUMMYFUNCTION("""COMPUTED_VALUE"""),322.00739999999996)</f>
        <v>322.0074</v>
      </c>
      <c r="J244" s="257">
        <f t="shared" si="1"/>
        <v>4</v>
      </c>
      <c r="K244" s="253"/>
      <c r="L244" s="253"/>
      <c r="M244" s="275"/>
      <c r="N244" s="258"/>
      <c r="O244" s="259"/>
      <c r="P244" s="259"/>
      <c r="Q244" s="262"/>
      <c r="R244" s="260"/>
      <c r="S244" s="260"/>
      <c r="T244" s="260"/>
      <c r="U244" s="261"/>
      <c r="V244" s="251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</row>
    <row r="245">
      <c r="A245" s="251">
        <f>IFERROR(__xludf.DUMMYFUNCTION("""COMPUTED_VALUE"""),7729692.0)</f>
        <v>7729692</v>
      </c>
      <c r="B245" s="252" t="str">
        <f>IFERROR(__xludf.DUMMYFUNCTION("""COMPUTED_VALUE"""),"BookingCom")</f>
        <v>BookingCom</v>
      </c>
      <c r="C245" s="253" t="str">
        <f>IFERROR(__xludf.DUMMYFUNCTION("""COMPUTED_VALUE"""),"Michael Tettke ")</f>
        <v>Michael Tettke </v>
      </c>
      <c r="D245" s="254">
        <f>IFERROR(__xludf.DUMMYFUNCTION("""COMPUTED_VALUE"""),46094.0)</f>
        <v>46094</v>
      </c>
      <c r="E245" s="251">
        <f>IFERROR(__xludf.DUMMYFUNCTION("""COMPUTED_VALUE"""),46096.0)</f>
        <v>46096</v>
      </c>
      <c r="F245" s="255">
        <f>IFERROR(__xludf.DUMMYFUNCTION("""COMPUTED_VALUE"""),2.0)</f>
        <v>2</v>
      </c>
      <c r="G245" s="255">
        <f>IFERROR(__xludf.DUMMYFUNCTION("""COMPUTED_VALUE"""),1.0)</f>
        <v>1</v>
      </c>
      <c r="H245" s="256">
        <f>IFERROR(__xludf.DUMMYFUNCTION("""COMPUTED_VALUE"""),216.54)</f>
        <v>216.54</v>
      </c>
      <c r="I245" s="256">
        <f>IFERROR(__xludf.DUMMYFUNCTION("""COMPUTED_VALUE"""),346.464)</f>
        <v>346.464</v>
      </c>
      <c r="J245" s="257">
        <f t="shared" si="1"/>
        <v>2</v>
      </c>
      <c r="K245" s="253"/>
      <c r="L245" s="253"/>
      <c r="M245" s="252"/>
      <c r="N245" s="258"/>
      <c r="O245" s="259"/>
      <c r="P245" s="259"/>
      <c r="Q245" s="262"/>
      <c r="R245" s="260"/>
      <c r="S245" s="260"/>
      <c r="T245" s="260"/>
      <c r="U245" s="261"/>
      <c r="V245" s="251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</row>
    <row r="246">
      <c r="A246" s="251">
        <f>IFERROR(__xludf.DUMMYFUNCTION("""COMPUTED_VALUE"""),7729692.0)</f>
        <v>7729692</v>
      </c>
      <c r="B246" s="252" t="str">
        <f>IFERROR(__xludf.DUMMYFUNCTION("""COMPUTED_VALUE"""),"BookingCom")</f>
        <v>BookingCom</v>
      </c>
      <c r="C246" s="253" t="str">
        <f>IFERROR(__xludf.DUMMYFUNCTION("""COMPUTED_VALUE"""),"Michael Tettke ")</f>
        <v>Michael Tettke </v>
      </c>
      <c r="D246" s="254">
        <f>IFERROR(__xludf.DUMMYFUNCTION("""COMPUTED_VALUE"""),46094.0)</f>
        <v>46094</v>
      </c>
      <c r="E246" s="251">
        <f>IFERROR(__xludf.DUMMYFUNCTION("""COMPUTED_VALUE"""),46096.0)</f>
        <v>46096</v>
      </c>
      <c r="F246" s="255">
        <f>IFERROR(__xludf.DUMMYFUNCTION("""COMPUTED_VALUE"""),2.0)</f>
        <v>2</v>
      </c>
      <c r="G246" s="255">
        <f>IFERROR(__xludf.DUMMYFUNCTION("""COMPUTED_VALUE"""),2.0)</f>
        <v>2</v>
      </c>
      <c r="H246" s="256">
        <f>IFERROR(__xludf.DUMMYFUNCTION("""COMPUTED_VALUE"""),191.66)</f>
        <v>191.66</v>
      </c>
      <c r="I246" s="256">
        <f>IFERROR(__xludf.DUMMYFUNCTION("""COMPUTED_VALUE"""),306.656)</f>
        <v>306.656</v>
      </c>
      <c r="J246" s="257">
        <f t="shared" si="1"/>
        <v>4</v>
      </c>
      <c r="K246" s="253"/>
      <c r="L246" s="253"/>
      <c r="M246" s="275"/>
      <c r="N246" s="258"/>
      <c r="O246" s="259"/>
      <c r="P246" s="259"/>
      <c r="Q246" s="262"/>
      <c r="R246" s="260"/>
      <c r="S246" s="260"/>
      <c r="T246" s="260"/>
      <c r="U246" s="261"/>
      <c r="V246" s="251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</row>
    <row r="247">
      <c r="A247" s="251">
        <f>IFERROR(__xludf.DUMMYFUNCTION("""COMPUTED_VALUE"""),7894873.0)</f>
        <v>7894873</v>
      </c>
      <c r="B247" s="252" t="str">
        <f>IFERROR(__xludf.DUMMYFUNCTION("""COMPUTED_VALUE"""),"BookingCom")</f>
        <v>BookingCom</v>
      </c>
      <c r="C247" s="253" t="str">
        <f>IFERROR(__xludf.DUMMYFUNCTION("""COMPUTED_VALUE"""),"PASCALE LEDEVIN ")</f>
        <v>PASCALE LEDEVIN </v>
      </c>
      <c r="D247" s="254">
        <f>IFERROR(__xludf.DUMMYFUNCTION("""COMPUTED_VALUE"""),46094.0)</f>
        <v>46094</v>
      </c>
      <c r="E247" s="251">
        <f>IFERROR(__xludf.DUMMYFUNCTION("""COMPUTED_VALUE"""),46097.0)</f>
        <v>46097</v>
      </c>
      <c r="F247" s="255">
        <f>IFERROR(__xludf.DUMMYFUNCTION("""COMPUTED_VALUE"""),3.0)</f>
        <v>3</v>
      </c>
      <c r="G247" s="255">
        <f>IFERROR(__xludf.DUMMYFUNCTION("""COMPUTED_VALUE"""),2.0)</f>
        <v>2</v>
      </c>
      <c r="H247" s="256">
        <f>IFERROR(__xludf.DUMMYFUNCTION("""COMPUTED_VALUE"""),163.28)</f>
        <v>163.28</v>
      </c>
      <c r="I247" s="256">
        <f>IFERROR(__xludf.DUMMYFUNCTION("""COMPUTED_VALUE"""),391.87199999999996)</f>
        <v>391.872</v>
      </c>
      <c r="J247" s="257">
        <f t="shared" si="1"/>
        <v>6</v>
      </c>
      <c r="K247" s="253"/>
      <c r="L247" s="253"/>
      <c r="M247" s="252"/>
      <c r="N247" s="258"/>
      <c r="O247" s="259"/>
      <c r="P247" s="259"/>
      <c r="Q247" s="257"/>
      <c r="R247" s="260"/>
      <c r="S247" s="260"/>
      <c r="T247" s="260"/>
      <c r="U247" s="261"/>
      <c r="V247" s="251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</row>
    <row r="248">
      <c r="A248" s="251">
        <f>IFERROR(__xludf.DUMMYFUNCTION("""COMPUTED_VALUE"""),7809118.0)</f>
        <v>7809118</v>
      </c>
      <c r="B248" s="252" t="str">
        <f>IFERROR(__xludf.DUMMYFUNCTION("""COMPUTED_VALUE"""),"BookingCom")</f>
        <v>BookingCom</v>
      </c>
      <c r="C248" s="253" t="str">
        <f>IFERROR(__xludf.DUMMYFUNCTION("""COMPUTED_VALUE"""),"Ophelie DE CUYPER ")</f>
        <v>Ophelie DE CUYPER </v>
      </c>
      <c r="D248" s="254">
        <f>IFERROR(__xludf.DUMMYFUNCTION("""COMPUTED_VALUE"""),46095.0)</f>
        <v>46095</v>
      </c>
      <c r="E248" s="251">
        <f>IFERROR(__xludf.DUMMYFUNCTION("""COMPUTED_VALUE"""),46099.0)</f>
        <v>46099</v>
      </c>
      <c r="F248" s="255">
        <f>IFERROR(__xludf.DUMMYFUNCTION("""COMPUTED_VALUE"""),4.0)</f>
        <v>4</v>
      </c>
      <c r="G248" s="255">
        <f>IFERROR(__xludf.DUMMYFUNCTION("""COMPUTED_VALUE"""),3.0)</f>
        <v>3</v>
      </c>
      <c r="H248" s="256">
        <f>IFERROR(__xludf.DUMMYFUNCTION("""COMPUTED_VALUE"""),157.94)</f>
        <v>157.94</v>
      </c>
      <c r="I248" s="256">
        <f>IFERROR(__xludf.DUMMYFUNCTION("""COMPUTED_VALUE"""),505.408)</f>
        <v>505.408</v>
      </c>
      <c r="J248" s="257">
        <f t="shared" si="1"/>
        <v>12</v>
      </c>
      <c r="K248" s="253"/>
      <c r="L248" s="253"/>
      <c r="M248" s="275"/>
      <c r="N248" s="258"/>
      <c r="O248" s="259"/>
      <c r="P248" s="259"/>
      <c r="Q248" s="262"/>
      <c r="R248" s="260"/>
      <c r="S248" s="260"/>
      <c r="T248" s="260"/>
      <c r="U248" s="261"/>
      <c r="V248" s="251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</row>
    <row r="249">
      <c r="A249" s="251">
        <f>IFERROR(__xludf.DUMMYFUNCTION("""COMPUTED_VALUE"""),7899066.0)</f>
        <v>7899066</v>
      </c>
      <c r="B249" s="252" t="str">
        <f>IFERROR(__xludf.DUMMYFUNCTION("""COMPUTED_VALUE"""),"BookingCom")</f>
        <v>BookingCom</v>
      </c>
      <c r="C249" s="253" t="str">
        <f>IFERROR(__xludf.DUMMYFUNCTION("""COMPUTED_VALUE"""),"Stephen Waldren ")</f>
        <v>Stephen Waldren </v>
      </c>
      <c r="D249" s="254">
        <f>IFERROR(__xludf.DUMMYFUNCTION("""COMPUTED_VALUE"""),46095.0)</f>
        <v>46095</v>
      </c>
      <c r="E249" s="251">
        <f>IFERROR(__xludf.DUMMYFUNCTION("""COMPUTED_VALUE"""),46100.0)</f>
        <v>46100</v>
      </c>
      <c r="F249" s="255">
        <f>IFERROR(__xludf.DUMMYFUNCTION("""COMPUTED_VALUE"""),5.0)</f>
        <v>5</v>
      </c>
      <c r="G249" s="255">
        <f>IFERROR(__xludf.DUMMYFUNCTION("""COMPUTED_VALUE"""),2.0)</f>
        <v>2</v>
      </c>
      <c r="H249" s="256">
        <f>IFERROR(__xludf.DUMMYFUNCTION("""COMPUTED_VALUE"""),228.15)</f>
        <v>228.15</v>
      </c>
      <c r="I249" s="256">
        <f>IFERROR(__xludf.DUMMYFUNCTION("""COMPUTED_VALUE"""),912.6)</f>
        <v>912.6</v>
      </c>
      <c r="J249" s="257">
        <f t="shared" si="1"/>
        <v>10</v>
      </c>
      <c r="K249" s="253"/>
      <c r="L249" s="253"/>
      <c r="M249" s="252"/>
      <c r="N249" s="258"/>
      <c r="O249" s="259"/>
      <c r="P249" s="259"/>
      <c r="Q249" s="262"/>
      <c r="R249" s="260"/>
      <c r="S249" s="260"/>
      <c r="T249" s="260"/>
      <c r="U249" s="261"/>
      <c r="V249" s="251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</row>
    <row r="250">
      <c r="A250" s="251">
        <f>IFERROR(__xludf.DUMMYFUNCTION("""COMPUTED_VALUE"""),7864598.0)</f>
        <v>7864598</v>
      </c>
      <c r="B250" s="252" t="str">
        <f>IFERROR(__xludf.DUMMYFUNCTION("""COMPUTED_VALUE"""),"BookingCom")</f>
        <v>BookingCom</v>
      </c>
      <c r="C250" s="253" t="str">
        <f>IFERROR(__xludf.DUMMYFUNCTION("""COMPUTED_VALUE"""),"Ingrid Ouwerling ")</f>
        <v>Ingrid Ouwerling </v>
      </c>
      <c r="D250" s="254">
        <f>IFERROR(__xludf.DUMMYFUNCTION("""COMPUTED_VALUE"""),46096.0)</f>
        <v>46096</v>
      </c>
      <c r="E250" s="251">
        <f>IFERROR(__xludf.DUMMYFUNCTION("""COMPUTED_VALUE"""),46098.0)</f>
        <v>46098</v>
      </c>
      <c r="F250" s="255">
        <f>IFERROR(__xludf.DUMMYFUNCTION("""COMPUTED_VALUE"""),2.0)</f>
        <v>2</v>
      </c>
      <c r="G250" s="255">
        <f>IFERROR(__xludf.DUMMYFUNCTION("""COMPUTED_VALUE"""),2.0)</f>
        <v>2</v>
      </c>
      <c r="H250" s="256">
        <f>IFERROR(__xludf.DUMMYFUNCTION("""COMPUTED_VALUE"""),138.88)</f>
        <v>138.88</v>
      </c>
      <c r="I250" s="256">
        <f>IFERROR(__xludf.DUMMYFUNCTION("""COMPUTED_VALUE"""),222.208)</f>
        <v>222.208</v>
      </c>
      <c r="J250" s="257">
        <f t="shared" si="1"/>
        <v>4</v>
      </c>
      <c r="K250" s="253"/>
      <c r="L250" s="253"/>
      <c r="M250" s="252"/>
      <c r="N250" s="258"/>
      <c r="O250" s="259"/>
      <c r="P250" s="259"/>
      <c r="Q250" s="262"/>
      <c r="R250" s="260"/>
      <c r="S250" s="260"/>
      <c r="T250" s="260"/>
      <c r="U250" s="261"/>
      <c r="V250" s="251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</row>
    <row r="251">
      <c r="A251" s="251">
        <f>IFERROR(__xludf.DUMMYFUNCTION("""COMPUTED_VALUE"""),7864605.0)</f>
        <v>7864605</v>
      </c>
      <c r="B251" s="252" t="str">
        <f>IFERROR(__xludf.DUMMYFUNCTION("""COMPUTED_VALUE"""),"BookingCom")</f>
        <v>BookingCom</v>
      </c>
      <c r="C251" s="253" t="str">
        <f>IFERROR(__xludf.DUMMYFUNCTION("""COMPUTED_VALUE"""),"Ferdinand Snellen ")</f>
        <v>Ferdinand Snellen </v>
      </c>
      <c r="D251" s="254">
        <f>IFERROR(__xludf.DUMMYFUNCTION("""COMPUTED_VALUE"""),46096.0)</f>
        <v>46096</v>
      </c>
      <c r="E251" s="251">
        <f>IFERROR(__xludf.DUMMYFUNCTION("""COMPUTED_VALUE"""),46098.0)</f>
        <v>46098</v>
      </c>
      <c r="F251" s="255">
        <f>IFERROR(__xludf.DUMMYFUNCTION("""COMPUTED_VALUE"""),2.0)</f>
        <v>2</v>
      </c>
      <c r="G251" s="255">
        <f>IFERROR(__xludf.DUMMYFUNCTION("""COMPUTED_VALUE"""),2.0)</f>
        <v>2</v>
      </c>
      <c r="H251" s="256">
        <f>IFERROR(__xludf.DUMMYFUNCTION("""COMPUTED_VALUE"""),167.11)</f>
        <v>167.11</v>
      </c>
      <c r="I251" s="256">
        <f>IFERROR(__xludf.DUMMYFUNCTION("""COMPUTED_VALUE"""),267.37600000000003)</f>
        <v>267.376</v>
      </c>
      <c r="J251" s="257">
        <f t="shared" si="1"/>
        <v>4</v>
      </c>
      <c r="K251" s="253"/>
      <c r="L251" s="253"/>
      <c r="M251" s="275"/>
      <c r="N251" s="258"/>
      <c r="O251" s="259"/>
      <c r="P251" s="259"/>
      <c r="Q251" s="262"/>
      <c r="R251" s="260"/>
      <c r="S251" s="260"/>
      <c r="T251" s="273"/>
      <c r="U251" s="274"/>
      <c r="V251" s="263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</row>
    <row r="252">
      <c r="A252" s="251">
        <f>IFERROR(__xludf.DUMMYFUNCTION("""COMPUTED_VALUE"""),8140958.0)</f>
        <v>8140958</v>
      </c>
      <c r="B252" s="252" t="str">
        <f>IFERROR(__xludf.DUMMYFUNCTION("""COMPUTED_VALUE"""),"BookingCom")</f>
        <v>BookingCom</v>
      </c>
      <c r="C252" s="253" t="str">
        <f>IFERROR(__xludf.DUMMYFUNCTION("""COMPUTED_VALUE"""),"Bridget Williams ")</f>
        <v>Bridget Williams </v>
      </c>
      <c r="D252" s="254">
        <f>IFERROR(__xludf.DUMMYFUNCTION("""COMPUTED_VALUE"""),46096.0)</f>
        <v>46096</v>
      </c>
      <c r="E252" s="251">
        <f>IFERROR(__xludf.DUMMYFUNCTION("""COMPUTED_VALUE"""),46098.0)</f>
        <v>46098</v>
      </c>
      <c r="F252" s="255">
        <f>IFERROR(__xludf.DUMMYFUNCTION("""COMPUTED_VALUE"""),2.0)</f>
        <v>2</v>
      </c>
      <c r="G252" s="255">
        <f>IFERROR(__xludf.DUMMYFUNCTION("""COMPUTED_VALUE"""),2.0)</f>
        <v>2</v>
      </c>
      <c r="H252" s="256">
        <f>IFERROR(__xludf.DUMMYFUNCTION("""COMPUTED_VALUE"""),155.9)</f>
        <v>155.9</v>
      </c>
      <c r="I252" s="256">
        <f>IFERROR(__xludf.DUMMYFUNCTION("""COMPUTED_VALUE"""),249.44000000000003)</f>
        <v>249.44</v>
      </c>
      <c r="J252" s="257">
        <f t="shared" si="1"/>
        <v>4</v>
      </c>
      <c r="K252" s="253"/>
      <c r="L252" s="253"/>
      <c r="M252" s="252"/>
      <c r="N252" s="258"/>
      <c r="O252" s="259"/>
      <c r="P252" s="259"/>
      <c r="Q252" s="262"/>
      <c r="R252" s="260"/>
      <c r="S252" s="260"/>
      <c r="T252" s="260"/>
      <c r="U252" s="261"/>
      <c r="V252" s="251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</row>
    <row r="253">
      <c r="A253" s="251">
        <f>IFERROR(__xludf.DUMMYFUNCTION("""COMPUTED_VALUE"""),8148533.0)</f>
        <v>8148533</v>
      </c>
      <c r="B253" s="252" t="str">
        <f>IFERROR(__xludf.DUMMYFUNCTION("""COMPUTED_VALUE"""),"Reseliva Pannel")</f>
        <v>Reseliva Pannel</v>
      </c>
      <c r="C253" s="253" t="str">
        <f>IFERROR(__xludf.DUMMYFUNCTION("""COMPUTED_VALUE"""),"Alexander collaboration ")</f>
        <v>Alexander collaboration </v>
      </c>
      <c r="D253" s="254">
        <f>IFERROR(__xludf.DUMMYFUNCTION("""COMPUTED_VALUE"""),46096.0)</f>
        <v>46096</v>
      </c>
      <c r="E253" s="251">
        <f>IFERROR(__xludf.DUMMYFUNCTION("""COMPUTED_VALUE"""),46098.0)</f>
        <v>46098</v>
      </c>
      <c r="F253" s="255">
        <f>IFERROR(__xludf.DUMMYFUNCTION("""COMPUTED_VALUE"""),2.0)</f>
        <v>2</v>
      </c>
      <c r="G253" s="255">
        <f>IFERROR(__xludf.DUMMYFUNCTION("""COMPUTED_VALUE"""),2.0)</f>
        <v>2</v>
      </c>
      <c r="H253" s="256">
        <f>IFERROR(__xludf.DUMMYFUNCTION("""COMPUTED_VALUE"""),599.76)</f>
        <v>599.76</v>
      </c>
      <c r="I253" s="256">
        <f>IFERROR(__xludf.DUMMYFUNCTION("""COMPUTED_VALUE"""),1199.52)</f>
        <v>1199.52</v>
      </c>
      <c r="J253" s="257">
        <f t="shared" si="1"/>
        <v>4</v>
      </c>
      <c r="K253" s="253"/>
      <c r="L253" s="253"/>
      <c r="M253" s="275"/>
      <c r="N253" s="258"/>
      <c r="O253" s="259"/>
      <c r="P253" s="259"/>
      <c r="Q253" s="262"/>
      <c r="R253" s="260"/>
      <c r="S253" s="260"/>
      <c r="T253" s="260"/>
      <c r="U253" s="261"/>
      <c r="V253" s="251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</row>
    <row r="254">
      <c r="A254" s="251">
        <f>IFERROR(__xludf.DUMMYFUNCTION("""COMPUTED_VALUE"""),7589991.0)</f>
        <v>7589991</v>
      </c>
      <c r="B254" s="252" t="str">
        <f>IFERROR(__xludf.DUMMYFUNCTION("""COMPUTED_VALUE"""),"BookingCom")</f>
        <v>BookingCom</v>
      </c>
      <c r="C254" s="253" t="str">
        <f>IFERROR(__xludf.DUMMYFUNCTION("""COMPUTED_VALUE"""),"Nicole Lacy-Thompson ")</f>
        <v>Nicole Lacy-Thompson </v>
      </c>
      <c r="D254" s="254">
        <f>IFERROR(__xludf.DUMMYFUNCTION("""COMPUTED_VALUE"""),46097.0)</f>
        <v>46097</v>
      </c>
      <c r="E254" s="251">
        <f>IFERROR(__xludf.DUMMYFUNCTION("""COMPUTED_VALUE"""),46102.0)</f>
        <v>46102</v>
      </c>
      <c r="F254" s="255">
        <f>IFERROR(__xludf.DUMMYFUNCTION("""COMPUTED_VALUE"""),5.0)</f>
        <v>5</v>
      </c>
      <c r="G254" s="255">
        <f>IFERROR(__xludf.DUMMYFUNCTION("""COMPUTED_VALUE"""),3.0)</f>
        <v>3</v>
      </c>
      <c r="H254" s="256">
        <f>IFERROR(__xludf.DUMMYFUNCTION("""COMPUTED_VALUE"""),152.1)</f>
        <v>152.1</v>
      </c>
      <c r="I254" s="256">
        <f>IFERROR(__xludf.DUMMYFUNCTION("""COMPUTED_VALUE"""),608.4000000000001)</f>
        <v>608.4</v>
      </c>
      <c r="J254" s="257">
        <f t="shared" si="1"/>
        <v>15</v>
      </c>
      <c r="K254" s="253"/>
      <c r="L254" s="253"/>
      <c r="M254" s="252"/>
      <c r="N254" s="258"/>
      <c r="O254" s="259"/>
      <c r="P254" s="259"/>
      <c r="Q254" s="257"/>
      <c r="R254" s="260"/>
      <c r="S254" s="260"/>
      <c r="T254" s="260"/>
      <c r="U254" s="261"/>
      <c r="V254" s="251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</row>
    <row r="255">
      <c r="A255" s="251">
        <f>IFERROR(__xludf.DUMMYFUNCTION("""COMPUTED_VALUE"""),8058095.0)</f>
        <v>8058095</v>
      </c>
      <c r="B255" s="252" t="str">
        <f>IFERROR(__xludf.DUMMYFUNCTION("""COMPUTED_VALUE"""),"BookingCom")</f>
        <v>BookingCom</v>
      </c>
      <c r="C255" s="253" t="str">
        <f>IFERROR(__xludf.DUMMYFUNCTION("""COMPUTED_VALUE"""),"federica carletta ")</f>
        <v>federica carletta </v>
      </c>
      <c r="D255" s="254">
        <f>IFERROR(__xludf.DUMMYFUNCTION("""COMPUTED_VALUE"""),46097.0)</f>
        <v>46097</v>
      </c>
      <c r="E255" s="251">
        <f>IFERROR(__xludf.DUMMYFUNCTION("""COMPUTED_VALUE"""),46099.0)</f>
        <v>46099</v>
      </c>
      <c r="F255" s="255">
        <f>IFERROR(__xludf.DUMMYFUNCTION("""COMPUTED_VALUE"""),2.0)</f>
        <v>2</v>
      </c>
      <c r="G255" s="255">
        <f>IFERROR(__xludf.DUMMYFUNCTION("""COMPUTED_VALUE"""),2.0)</f>
        <v>2</v>
      </c>
      <c r="H255" s="256">
        <f>IFERROR(__xludf.DUMMYFUNCTION("""COMPUTED_VALUE"""),210.29)</f>
        <v>210.29</v>
      </c>
      <c r="I255" s="256">
        <f>IFERROR(__xludf.DUMMYFUNCTION("""COMPUTED_VALUE"""),336.464)</f>
        <v>336.464</v>
      </c>
      <c r="J255" s="257">
        <f t="shared" si="1"/>
        <v>4</v>
      </c>
      <c r="K255" s="253"/>
      <c r="L255" s="253"/>
      <c r="M255" s="252"/>
      <c r="N255" s="258"/>
      <c r="O255" s="259"/>
      <c r="P255" s="259"/>
      <c r="Q255" s="262"/>
      <c r="R255" s="260"/>
      <c r="S255" s="260"/>
      <c r="T255" s="260"/>
      <c r="U255" s="261"/>
      <c r="V255" s="251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</row>
    <row r="256">
      <c r="A256" s="251">
        <f>IFERROR(__xludf.DUMMYFUNCTION("""COMPUTED_VALUE"""),7656150.0)</f>
        <v>7656150</v>
      </c>
      <c r="B256" s="252" t="str">
        <f>IFERROR(__xludf.DUMMYFUNCTION("""COMPUTED_VALUE"""),"Reseliva")</f>
        <v>Reseliva</v>
      </c>
      <c r="C256" s="253" t="str">
        <f>IFERROR(__xludf.DUMMYFUNCTION("""COMPUTED_VALUE"""),"Patricia Carruthers ")</f>
        <v>Patricia Carruthers </v>
      </c>
      <c r="D256" s="254">
        <f>IFERROR(__xludf.DUMMYFUNCTION("""COMPUTED_VALUE"""),46098.0)</f>
        <v>46098</v>
      </c>
      <c r="E256" s="251">
        <f>IFERROR(__xludf.DUMMYFUNCTION("""COMPUTED_VALUE"""),46101.0)</f>
        <v>46101</v>
      </c>
      <c r="F256" s="255">
        <f>IFERROR(__xludf.DUMMYFUNCTION("""COMPUTED_VALUE"""),3.0)</f>
        <v>3</v>
      </c>
      <c r="G256" s="255">
        <f>IFERROR(__xludf.DUMMYFUNCTION("""COMPUTED_VALUE"""),2.0)</f>
        <v>2</v>
      </c>
      <c r="H256" s="256">
        <f>IFERROR(__xludf.DUMMYFUNCTION("""COMPUTED_VALUE"""),162.63)</f>
        <v>162.63</v>
      </c>
      <c r="I256" s="256">
        <f>IFERROR(__xludf.DUMMYFUNCTION("""COMPUTED_VALUE"""),483.01109999999994)</f>
        <v>483.0111</v>
      </c>
      <c r="J256" s="257">
        <f t="shared" si="1"/>
        <v>6</v>
      </c>
      <c r="K256" s="253"/>
      <c r="L256" s="253"/>
      <c r="M256" s="252"/>
      <c r="N256" s="258"/>
      <c r="O256" s="259"/>
      <c r="P256" s="259"/>
      <c r="Q256" s="262"/>
      <c r="R256" s="260"/>
      <c r="S256" s="260"/>
      <c r="T256" s="260"/>
      <c r="U256" s="261"/>
      <c r="V256" s="251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</row>
    <row r="257">
      <c r="A257" s="251">
        <f>IFERROR(__xludf.DUMMYFUNCTION("""COMPUTED_VALUE"""),7656150.0)</f>
        <v>7656150</v>
      </c>
      <c r="B257" s="252" t="str">
        <f>IFERROR(__xludf.DUMMYFUNCTION("""COMPUTED_VALUE"""),"Reseliva")</f>
        <v>Reseliva</v>
      </c>
      <c r="C257" s="253" t="str">
        <f>IFERROR(__xludf.DUMMYFUNCTION("""COMPUTED_VALUE"""),"Patricia Carruthers ")</f>
        <v>Patricia Carruthers </v>
      </c>
      <c r="D257" s="254">
        <f>IFERROR(__xludf.DUMMYFUNCTION("""COMPUTED_VALUE"""),46098.0)</f>
        <v>46098</v>
      </c>
      <c r="E257" s="251">
        <f>IFERROR(__xludf.DUMMYFUNCTION("""COMPUTED_VALUE"""),46101.0)</f>
        <v>46101</v>
      </c>
      <c r="F257" s="255">
        <f>IFERROR(__xludf.DUMMYFUNCTION("""COMPUTED_VALUE"""),3.0)</f>
        <v>3</v>
      </c>
      <c r="G257" s="255">
        <f>IFERROR(__xludf.DUMMYFUNCTION("""COMPUTED_VALUE"""),2.0)</f>
        <v>2</v>
      </c>
      <c r="H257" s="256">
        <f>IFERROR(__xludf.DUMMYFUNCTION("""COMPUTED_VALUE"""),162.63)</f>
        <v>162.63</v>
      </c>
      <c r="I257" s="256">
        <f>IFERROR(__xludf.DUMMYFUNCTION("""COMPUTED_VALUE"""),483.01109999999994)</f>
        <v>483.0111</v>
      </c>
      <c r="J257" s="257">
        <f t="shared" si="1"/>
        <v>6</v>
      </c>
      <c r="K257" s="253"/>
      <c r="L257" s="253"/>
      <c r="M257" s="252"/>
      <c r="N257" s="258"/>
      <c r="O257" s="259"/>
      <c r="P257" s="259"/>
      <c r="Q257" s="262"/>
      <c r="R257" s="260"/>
      <c r="S257" s="260"/>
      <c r="T257" s="260"/>
      <c r="U257" s="261"/>
      <c r="V257" s="251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</row>
    <row r="258">
      <c r="A258" s="251">
        <f>IFERROR(__xludf.DUMMYFUNCTION("""COMPUTED_VALUE"""),7720841.0)</f>
        <v>7720841</v>
      </c>
      <c r="B258" s="252" t="str">
        <f>IFERROR(__xludf.DUMMYFUNCTION("""COMPUTED_VALUE"""),"Reseliva")</f>
        <v>Reseliva</v>
      </c>
      <c r="C258" s="253" t="str">
        <f>IFERROR(__xludf.DUMMYFUNCTION("""COMPUTED_VALUE"""),"Franziska Strempel ")</f>
        <v>Franziska Strempel </v>
      </c>
      <c r="D258" s="254">
        <f>IFERROR(__xludf.DUMMYFUNCTION("""COMPUTED_VALUE"""),46098.0)</f>
        <v>46098</v>
      </c>
      <c r="E258" s="251">
        <f>IFERROR(__xludf.DUMMYFUNCTION("""COMPUTED_VALUE"""),46102.0)</f>
        <v>46102</v>
      </c>
      <c r="F258" s="255">
        <f>IFERROR(__xludf.DUMMYFUNCTION("""COMPUTED_VALUE"""),4.0)</f>
        <v>4</v>
      </c>
      <c r="G258" s="255">
        <f>IFERROR(__xludf.DUMMYFUNCTION("""COMPUTED_VALUE"""),2.0)</f>
        <v>2</v>
      </c>
      <c r="H258" s="256">
        <f>IFERROR(__xludf.DUMMYFUNCTION("""COMPUTED_VALUE"""),183.105)</f>
        <v>183.105</v>
      </c>
      <c r="I258" s="256">
        <f>IFERROR(__xludf.DUMMYFUNCTION("""COMPUTED_VALUE"""),725.0957999999999)</f>
        <v>725.0958</v>
      </c>
      <c r="J258" s="257">
        <f t="shared" si="1"/>
        <v>8</v>
      </c>
      <c r="K258" s="253"/>
      <c r="L258" s="253"/>
      <c r="M258" s="252"/>
      <c r="N258" s="258"/>
      <c r="O258" s="259"/>
      <c r="P258" s="259"/>
      <c r="Q258" s="262"/>
      <c r="R258" s="260"/>
      <c r="S258" s="260"/>
      <c r="T258" s="260"/>
      <c r="U258" s="261"/>
      <c r="V258" s="251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</row>
    <row r="259">
      <c r="A259" s="251">
        <f>IFERROR(__xludf.DUMMYFUNCTION("""COMPUTED_VALUE"""),7720841.0)</f>
        <v>7720841</v>
      </c>
      <c r="B259" s="252" t="str">
        <f>IFERROR(__xludf.DUMMYFUNCTION("""COMPUTED_VALUE"""),"Reseliva")</f>
        <v>Reseliva</v>
      </c>
      <c r="C259" s="253" t="str">
        <f>IFERROR(__xludf.DUMMYFUNCTION("""COMPUTED_VALUE"""),"Franziska Strempel ")</f>
        <v>Franziska Strempel </v>
      </c>
      <c r="D259" s="254">
        <f>IFERROR(__xludf.DUMMYFUNCTION("""COMPUTED_VALUE"""),46098.0)</f>
        <v>46098</v>
      </c>
      <c r="E259" s="251">
        <f>IFERROR(__xludf.DUMMYFUNCTION("""COMPUTED_VALUE"""),46102.0)</f>
        <v>46102</v>
      </c>
      <c r="F259" s="255">
        <f>IFERROR(__xludf.DUMMYFUNCTION("""COMPUTED_VALUE"""),4.0)</f>
        <v>4</v>
      </c>
      <c r="G259" s="255">
        <f>IFERROR(__xludf.DUMMYFUNCTION("""COMPUTED_VALUE"""),1.0)</f>
        <v>1</v>
      </c>
      <c r="H259" s="256">
        <f>IFERROR(__xludf.DUMMYFUNCTION("""COMPUTED_VALUE"""),183.105)</f>
        <v>183.105</v>
      </c>
      <c r="I259" s="256">
        <f>IFERROR(__xludf.DUMMYFUNCTION("""COMPUTED_VALUE"""),725.0957999999999)</f>
        <v>725.0958</v>
      </c>
      <c r="J259" s="257">
        <f t="shared" si="1"/>
        <v>4</v>
      </c>
      <c r="K259" s="253"/>
      <c r="L259" s="253"/>
      <c r="M259" s="252"/>
      <c r="N259" s="258"/>
      <c r="O259" s="259"/>
      <c r="P259" s="259"/>
      <c r="Q259" s="262"/>
      <c r="R259" s="260"/>
      <c r="S259" s="260"/>
      <c r="T259" s="260"/>
      <c r="U259" s="261"/>
      <c r="V259" s="251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</row>
    <row r="260">
      <c r="A260" s="251">
        <f>IFERROR(__xludf.DUMMYFUNCTION("""COMPUTED_VALUE"""),7914985.0)</f>
        <v>7914985</v>
      </c>
      <c r="B260" s="252" t="str">
        <f>IFERROR(__xludf.DUMMYFUNCTION("""COMPUTED_VALUE"""),"BookingCom")</f>
        <v>BookingCom</v>
      </c>
      <c r="C260" s="253" t="str">
        <f>IFERROR(__xludf.DUMMYFUNCTION("""COMPUTED_VALUE"""),"Elena Richter ")</f>
        <v>Elena Richter </v>
      </c>
      <c r="D260" s="254">
        <f>IFERROR(__xludf.DUMMYFUNCTION("""COMPUTED_VALUE"""),46098.0)</f>
        <v>46098</v>
      </c>
      <c r="E260" s="251">
        <f>IFERROR(__xludf.DUMMYFUNCTION("""COMPUTED_VALUE"""),46099.0)</f>
        <v>46099</v>
      </c>
      <c r="F260" s="255">
        <f>IFERROR(__xludf.DUMMYFUNCTION("""COMPUTED_VALUE"""),1.0)</f>
        <v>1</v>
      </c>
      <c r="G260" s="255">
        <f>IFERROR(__xludf.DUMMYFUNCTION("""COMPUTED_VALUE"""),2.0)</f>
        <v>2</v>
      </c>
      <c r="H260" s="256">
        <f>IFERROR(__xludf.DUMMYFUNCTION("""COMPUTED_VALUE"""),137.09)</f>
        <v>137.09</v>
      </c>
      <c r="I260" s="256">
        <f>IFERROR(__xludf.DUMMYFUNCTION("""COMPUTED_VALUE"""),109.67200000000001)</f>
        <v>109.672</v>
      </c>
      <c r="J260" s="257">
        <f t="shared" si="1"/>
        <v>2</v>
      </c>
      <c r="K260" s="253"/>
      <c r="L260" s="253"/>
      <c r="M260" s="252"/>
      <c r="N260" s="258"/>
      <c r="O260" s="259"/>
      <c r="P260" s="259"/>
      <c r="Q260" s="262"/>
      <c r="R260" s="260"/>
      <c r="S260" s="260"/>
      <c r="T260" s="260"/>
      <c r="U260" s="261"/>
      <c r="V260" s="251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</row>
    <row r="261">
      <c r="A261" s="251">
        <f>IFERROR(__xludf.DUMMYFUNCTION("""COMPUTED_VALUE"""),7713282.0)</f>
        <v>7713282</v>
      </c>
      <c r="B261" s="252" t="str">
        <f>IFERROR(__xludf.DUMMYFUNCTION("""COMPUTED_VALUE"""),"BookingCom")</f>
        <v>BookingCom</v>
      </c>
      <c r="C261" s="253" t="str">
        <f>IFERROR(__xludf.DUMMYFUNCTION("""COMPUTED_VALUE"""),"Celine Vlemincq ")</f>
        <v>Celine Vlemincq </v>
      </c>
      <c r="D261" s="254">
        <f>IFERROR(__xludf.DUMMYFUNCTION("""COMPUTED_VALUE"""),46099.0)</f>
        <v>46099</v>
      </c>
      <c r="E261" s="251">
        <f>IFERROR(__xludf.DUMMYFUNCTION("""COMPUTED_VALUE"""),46102.0)</f>
        <v>46102</v>
      </c>
      <c r="F261" s="255">
        <f>IFERROR(__xludf.DUMMYFUNCTION("""COMPUTED_VALUE"""),3.0)</f>
        <v>3</v>
      </c>
      <c r="G261" s="255">
        <f>IFERROR(__xludf.DUMMYFUNCTION("""COMPUTED_VALUE"""),2.0)</f>
        <v>2</v>
      </c>
      <c r="H261" s="256">
        <f>IFERROR(__xludf.DUMMYFUNCTION("""COMPUTED_VALUE"""),173.12)</f>
        <v>173.12</v>
      </c>
      <c r="I261" s="256">
        <f>IFERROR(__xludf.DUMMYFUNCTION("""COMPUTED_VALUE"""),415.48800000000006)</f>
        <v>415.488</v>
      </c>
      <c r="J261" s="257">
        <f t="shared" si="1"/>
        <v>6</v>
      </c>
      <c r="K261" s="253"/>
      <c r="L261" s="253"/>
      <c r="M261" s="275"/>
      <c r="N261" s="258"/>
      <c r="O261" s="259"/>
      <c r="P261" s="259"/>
      <c r="Q261" s="262"/>
      <c r="R261" s="260"/>
      <c r="S261" s="260"/>
      <c r="T261" s="260"/>
      <c r="U261" s="261"/>
      <c r="V261" s="251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</row>
    <row r="262">
      <c r="A262" s="251">
        <f>IFERROR(__xludf.DUMMYFUNCTION("""COMPUTED_VALUE"""),7747452.0)</f>
        <v>7747452</v>
      </c>
      <c r="B262" s="252" t="str">
        <f>IFERROR(__xludf.DUMMYFUNCTION("""COMPUTED_VALUE"""),"BookingCom")</f>
        <v>BookingCom</v>
      </c>
      <c r="C262" s="253" t="str">
        <f>IFERROR(__xludf.DUMMYFUNCTION("""COMPUTED_VALUE"""),"serena baj ")</f>
        <v>serena baj </v>
      </c>
      <c r="D262" s="254">
        <f>IFERROR(__xludf.DUMMYFUNCTION("""COMPUTED_VALUE"""),46100.0)</f>
        <v>46100</v>
      </c>
      <c r="E262" s="251">
        <f>IFERROR(__xludf.DUMMYFUNCTION("""COMPUTED_VALUE"""),46102.0)</f>
        <v>46102</v>
      </c>
      <c r="F262" s="255">
        <f>IFERROR(__xludf.DUMMYFUNCTION("""COMPUTED_VALUE"""),2.0)</f>
        <v>2</v>
      </c>
      <c r="G262" s="255">
        <f>IFERROR(__xludf.DUMMYFUNCTION("""COMPUTED_VALUE"""),3.0)</f>
        <v>3</v>
      </c>
      <c r="H262" s="256">
        <f>IFERROR(__xludf.DUMMYFUNCTION("""COMPUTED_VALUE"""),158.96)</f>
        <v>158.96</v>
      </c>
      <c r="I262" s="256">
        <f>IFERROR(__xludf.DUMMYFUNCTION("""COMPUTED_VALUE"""),254.336)</f>
        <v>254.336</v>
      </c>
      <c r="J262" s="257">
        <f t="shared" si="1"/>
        <v>6</v>
      </c>
      <c r="K262" s="253"/>
      <c r="L262" s="253"/>
      <c r="M262" s="252"/>
      <c r="N262" s="258"/>
      <c r="O262" s="259"/>
      <c r="P262" s="259"/>
      <c r="Q262" s="262"/>
      <c r="R262" s="260"/>
      <c r="S262" s="260"/>
      <c r="T262" s="260"/>
      <c r="U262" s="261"/>
      <c r="V262" s="251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</row>
    <row r="263">
      <c r="A263" s="251">
        <f>IFERROR(__xludf.DUMMYFUNCTION("""COMPUTED_VALUE"""),8107681.0)</f>
        <v>8107681</v>
      </c>
      <c r="B263" s="252" t="str">
        <f>IFERROR(__xludf.DUMMYFUNCTION("""COMPUTED_VALUE"""),"BookingCom")</f>
        <v>BookingCom</v>
      </c>
      <c r="C263" s="253" t="str">
        <f>IFERROR(__xludf.DUMMYFUNCTION("""COMPUTED_VALUE"""),"Marine Thuriet ")</f>
        <v>Marine Thuriet </v>
      </c>
      <c r="D263" s="254">
        <f>IFERROR(__xludf.DUMMYFUNCTION("""COMPUTED_VALUE"""),46100.0)</f>
        <v>46100</v>
      </c>
      <c r="E263" s="251">
        <f>IFERROR(__xludf.DUMMYFUNCTION("""COMPUTED_VALUE"""),46102.0)</f>
        <v>46102</v>
      </c>
      <c r="F263" s="255">
        <f>IFERROR(__xludf.DUMMYFUNCTION("""COMPUTED_VALUE"""),2.0)</f>
        <v>2</v>
      </c>
      <c r="G263" s="255">
        <f>IFERROR(__xludf.DUMMYFUNCTION("""COMPUTED_VALUE"""),3.0)</f>
        <v>3</v>
      </c>
      <c r="H263" s="256">
        <f>IFERROR(__xludf.DUMMYFUNCTION("""COMPUTED_VALUE"""),198.45)</f>
        <v>198.45</v>
      </c>
      <c r="I263" s="256">
        <f>IFERROR(__xludf.DUMMYFUNCTION("""COMPUTED_VALUE"""),317.52)</f>
        <v>317.52</v>
      </c>
      <c r="J263" s="257">
        <f t="shared" si="1"/>
        <v>6</v>
      </c>
      <c r="K263" s="253"/>
      <c r="L263" s="253"/>
      <c r="M263" s="252"/>
      <c r="N263" s="258"/>
      <c r="O263" s="259"/>
      <c r="P263" s="259"/>
      <c r="Q263" s="262"/>
      <c r="R263" s="260"/>
      <c r="S263" s="260"/>
      <c r="T263" s="260"/>
      <c r="U263" s="261"/>
      <c r="V263" s="251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</row>
    <row r="264">
      <c r="A264" s="251">
        <f>IFERROR(__xludf.DUMMYFUNCTION("""COMPUTED_VALUE"""),8107681.0)</f>
        <v>8107681</v>
      </c>
      <c r="B264" s="252" t="str">
        <f>IFERROR(__xludf.DUMMYFUNCTION("""COMPUTED_VALUE"""),"BookingCom")</f>
        <v>BookingCom</v>
      </c>
      <c r="C264" s="253" t="str">
        <f>IFERROR(__xludf.DUMMYFUNCTION("""COMPUTED_VALUE"""),"Marine Thuriet ")</f>
        <v>Marine Thuriet </v>
      </c>
      <c r="D264" s="254">
        <f>IFERROR(__xludf.DUMMYFUNCTION("""COMPUTED_VALUE"""),46100.0)</f>
        <v>46100</v>
      </c>
      <c r="E264" s="251">
        <f>IFERROR(__xludf.DUMMYFUNCTION("""COMPUTED_VALUE"""),46102.0)</f>
        <v>46102</v>
      </c>
      <c r="F264" s="255">
        <f>IFERROR(__xludf.DUMMYFUNCTION("""COMPUTED_VALUE"""),2.0)</f>
        <v>2</v>
      </c>
      <c r="G264" s="255">
        <f>IFERROR(__xludf.DUMMYFUNCTION("""COMPUTED_VALUE"""),3.0)</f>
        <v>3</v>
      </c>
      <c r="H264" s="256">
        <f>IFERROR(__xludf.DUMMYFUNCTION("""COMPUTED_VALUE"""),198.45)</f>
        <v>198.45</v>
      </c>
      <c r="I264" s="256">
        <f>IFERROR(__xludf.DUMMYFUNCTION("""COMPUTED_VALUE"""),317.52)</f>
        <v>317.52</v>
      </c>
      <c r="J264" s="257">
        <f t="shared" si="1"/>
        <v>6</v>
      </c>
      <c r="K264" s="253"/>
      <c r="L264" s="253"/>
      <c r="M264" s="275"/>
      <c r="N264" s="258"/>
      <c r="O264" s="259"/>
      <c r="P264" s="259"/>
      <c r="Q264" s="262"/>
      <c r="R264" s="260"/>
      <c r="S264" s="260"/>
      <c r="T264" s="260"/>
      <c r="U264" s="261"/>
      <c r="V264" s="251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</row>
    <row r="265">
      <c r="A265" s="251">
        <f>IFERROR(__xludf.DUMMYFUNCTION("""COMPUTED_VALUE"""),7886209.0)</f>
        <v>7886209</v>
      </c>
      <c r="B265" s="252" t="str">
        <f>IFERROR(__xludf.DUMMYFUNCTION("""COMPUTED_VALUE"""),"BookingCom")</f>
        <v>BookingCom</v>
      </c>
      <c r="C265" s="253" t="str">
        <f>IFERROR(__xludf.DUMMYFUNCTION("""COMPUTED_VALUE"""),"vince Ratcliffe ")</f>
        <v>vince Ratcliffe </v>
      </c>
      <c r="D265" s="254">
        <f>IFERROR(__xludf.DUMMYFUNCTION("""COMPUTED_VALUE"""),46101.0)</f>
        <v>46101</v>
      </c>
      <c r="E265" s="251">
        <f>IFERROR(__xludf.DUMMYFUNCTION("""COMPUTED_VALUE"""),46102.0)</f>
        <v>46102</v>
      </c>
      <c r="F265" s="255">
        <f>IFERROR(__xludf.DUMMYFUNCTION("""COMPUTED_VALUE"""),1.0)</f>
        <v>1</v>
      </c>
      <c r="G265" s="255">
        <f>IFERROR(__xludf.DUMMYFUNCTION("""COMPUTED_VALUE"""),2.0)</f>
        <v>2</v>
      </c>
      <c r="H265" s="256">
        <f>IFERROR(__xludf.DUMMYFUNCTION("""COMPUTED_VALUE"""),237.1)</f>
        <v>237.1</v>
      </c>
      <c r="I265" s="256">
        <f>IFERROR(__xludf.DUMMYFUNCTION("""COMPUTED_VALUE"""),189.68)</f>
        <v>189.68</v>
      </c>
      <c r="J265" s="257">
        <f t="shared" si="1"/>
        <v>2</v>
      </c>
      <c r="K265" s="253"/>
      <c r="L265" s="253"/>
      <c r="M265" s="252"/>
      <c r="N265" s="258"/>
      <c r="O265" s="259"/>
      <c r="P265" s="259"/>
      <c r="Q265" s="257"/>
      <c r="R265" s="260"/>
      <c r="S265" s="260"/>
      <c r="T265" s="260"/>
      <c r="U265" s="261"/>
      <c r="V265" s="251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</row>
    <row r="266">
      <c r="A266" s="251">
        <f>IFERROR(__xludf.DUMMYFUNCTION("""COMPUTED_VALUE"""),7940242.0)</f>
        <v>7940242</v>
      </c>
      <c r="B266" s="252" t="str">
        <f>IFERROR(__xludf.DUMMYFUNCTION("""COMPUTED_VALUE"""),"BookingCom")</f>
        <v>BookingCom</v>
      </c>
      <c r="C266" s="253" t="str">
        <f>IFERROR(__xludf.DUMMYFUNCTION("""COMPUTED_VALUE"""),"Eduard Melnik ")</f>
        <v>Eduard Melnik </v>
      </c>
      <c r="D266" s="254">
        <f>IFERROR(__xludf.DUMMYFUNCTION("""COMPUTED_VALUE"""),46101.0)</f>
        <v>46101</v>
      </c>
      <c r="E266" s="251">
        <f>IFERROR(__xludf.DUMMYFUNCTION("""COMPUTED_VALUE"""),46103.0)</f>
        <v>46103</v>
      </c>
      <c r="F266" s="255">
        <f>IFERROR(__xludf.DUMMYFUNCTION("""COMPUTED_VALUE"""),2.0)</f>
        <v>2</v>
      </c>
      <c r="G266" s="255">
        <f>IFERROR(__xludf.DUMMYFUNCTION("""COMPUTED_VALUE"""),2.0)</f>
        <v>2</v>
      </c>
      <c r="H266" s="256">
        <f>IFERROR(__xludf.DUMMYFUNCTION("""COMPUTED_VALUE"""),167.11)</f>
        <v>167.11</v>
      </c>
      <c r="I266" s="256">
        <f>IFERROR(__xludf.DUMMYFUNCTION("""COMPUTED_VALUE"""),267.37600000000003)</f>
        <v>267.376</v>
      </c>
      <c r="J266" s="257">
        <f t="shared" si="1"/>
        <v>4</v>
      </c>
      <c r="K266" s="253"/>
      <c r="L266" s="253"/>
      <c r="M266" s="252"/>
      <c r="N266" s="258"/>
      <c r="O266" s="259"/>
      <c r="P266" s="259"/>
      <c r="Q266" s="257"/>
      <c r="R266" s="260"/>
      <c r="S266" s="260"/>
      <c r="T266" s="260"/>
      <c r="U266" s="261"/>
      <c r="V266" s="251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</row>
    <row r="267">
      <c r="A267" s="251">
        <f>IFERROR(__xludf.DUMMYFUNCTION("""COMPUTED_VALUE"""),7835336.0)</f>
        <v>7835336</v>
      </c>
      <c r="B267" s="252" t="str">
        <f>IFERROR(__xludf.DUMMYFUNCTION("""COMPUTED_VALUE"""),"BookingCom")</f>
        <v>BookingCom</v>
      </c>
      <c r="C267" s="253" t="str">
        <f>IFERROR(__xludf.DUMMYFUNCTION("""COMPUTED_VALUE"""),"Sandra Enthammer ")</f>
        <v>Sandra Enthammer </v>
      </c>
      <c r="D267" s="254">
        <f>IFERROR(__xludf.DUMMYFUNCTION("""COMPUTED_VALUE"""),46102.0)</f>
        <v>46102</v>
      </c>
      <c r="E267" s="251">
        <f>IFERROR(__xludf.DUMMYFUNCTION("""COMPUTED_VALUE"""),46105.0)</f>
        <v>46105</v>
      </c>
      <c r="F267" s="255">
        <f>IFERROR(__xludf.DUMMYFUNCTION("""COMPUTED_VALUE"""),3.0)</f>
        <v>3</v>
      </c>
      <c r="G267" s="255">
        <f>IFERROR(__xludf.DUMMYFUNCTION("""COMPUTED_VALUE"""),2.0)</f>
        <v>2</v>
      </c>
      <c r="H267" s="256">
        <f>IFERROR(__xludf.DUMMYFUNCTION("""COMPUTED_VALUE"""),181.38)</f>
        <v>181.38</v>
      </c>
      <c r="I267" s="256">
        <f>IFERROR(__xludf.DUMMYFUNCTION("""COMPUTED_VALUE"""),435.312)</f>
        <v>435.312</v>
      </c>
      <c r="J267" s="257">
        <f t="shared" si="1"/>
        <v>6</v>
      </c>
      <c r="K267" s="253"/>
      <c r="L267" s="253"/>
      <c r="M267" s="252"/>
      <c r="N267" s="258"/>
      <c r="O267" s="259"/>
      <c r="P267" s="259"/>
      <c r="Q267" s="262"/>
      <c r="R267" s="260"/>
      <c r="S267" s="260"/>
      <c r="T267" s="260"/>
      <c r="U267" s="261"/>
      <c r="V267" s="251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</row>
    <row r="268">
      <c r="A268" s="251">
        <f>IFERROR(__xludf.DUMMYFUNCTION("""COMPUTED_VALUE"""),7986029.0)</f>
        <v>7986029</v>
      </c>
      <c r="B268" s="252" t="str">
        <f>IFERROR(__xludf.DUMMYFUNCTION("""COMPUTED_VALUE"""),"BookingCom")</f>
        <v>BookingCom</v>
      </c>
      <c r="C268" s="253" t="str">
        <f>IFERROR(__xludf.DUMMYFUNCTION("""COMPUTED_VALUE"""),"Stefano Pellegrini ")</f>
        <v>Stefano Pellegrini </v>
      </c>
      <c r="D268" s="254">
        <f>IFERROR(__xludf.DUMMYFUNCTION("""COMPUTED_VALUE"""),46102.0)</f>
        <v>46102</v>
      </c>
      <c r="E268" s="251">
        <f>IFERROR(__xludf.DUMMYFUNCTION("""COMPUTED_VALUE"""),46104.0)</f>
        <v>46104</v>
      </c>
      <c r="F268" s="255">
        <f>IFERROR(__xludf.DUMMYFUNCTION("""COMPUTED_VALUE"""),2.0)</f>
        <v>2</v>
      </c>
      <c r="G268" s="255">
        <f>IFERROR(__xludf.DUMMYFUNCTION("""COMPUTED_VALUE"""),2.0)</f>
        <v>2</v>
      </c>
      <c r="H268" s="256">
        <f>IFERROR(__xludf.DUMMYFUNCTION("""COMPUTED_VALUE"""),188.7)</f>
        <v>188.7</v>
      </c>
      <c r="I268" s="256">
        <f>IFERROR(__xludf.DUMMYFUNCTION("""COMPUTED_VALUE"""),301.92)</f>
        <v>301.92</v>
      </c>
      <c r="J268" s="257">
        <f t="shared" si="1"/>
        <v>4</v>
      </c>
      <c r="K268" s="253"/>
      <c r="L268" s="253"/>
      <c r="M268" s="252"/>
      <c r="N268" s="258"/>
      <c r="O268" s="259"/>
      <c r="P268" s="259"/>
      <c r="Q268" s="262"/>
      <c r="R268" s="260"/>
      <c r="S268" s="260"/>
      <c r="T268" s="260"/>
      <c r="U268" s="261"/>
      <c r="V268" s="251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</row>
    <row r="269">
      <c r="A269" s="251">
        <f>IFERROR(__xludf.DUMMYFUNCTION("""COMPUTED_VALUE"""),8013645.0)</f>
        <v>8013645</v>
      </c>
      <c r="B269" s="252" t="str">
        <f>IFERROR(__xludf.DUMMYFUNCTION("""COMPUTED_VALUE"""),"BookingCom")</f>
        <v>BookingCom</v>
      </c>
      <c r="C269" s="253" t="str">
        <f>IFERROR(__xludf.DUMMYFUNCTION("""COMPUTED_VALUE"""),"Peter Diepers ")</f>
        <v>Peter Diepers </v>
      </c>
      <c r="D269" s="254">
        <f>IFERROR(__xludf.DUMMYFUNCTION("""COMPUTED_VALUE"""),46102.0)</f>
        <v>46102</v>
      </c>
      <c r="E269" s="251">
        <f>IFERROR(__xludf.DUMMYFUNCTION("""COMPUTED_VALUE"""),46103.0)</f>
        <v>46103</v>
      </c>
      <c r="F269" s="255">
        <f>IFERROR(__xludf.DUMMYFUNCTION("""COMPUTED_VALUE"""),1.0)</f>
        <v>1</v>
      </c>
      <c r="G269" s="255">
        <f>IFERROR(__xludf.DUMMYFUNCTION("""COMPUTED_VALUE"""),2.0)</f>
        <v>2</v>
      </c>
      <c r="H269" s="256">
        <f>IFERROR(__xludf.DUMMYFUNCTION("""COMPUTED_VALUE"""),212.85)</f>
        <v>212.85</v>
      </c>
      <c r="I269" s="256">
        <f>IFERROR(__xludf.DUMMYFUNCTION("""COMPUTED_VALUE"""),170.28)</f>
        <v>170.28</v>
      </c>
      <c r="J269" s="257">
        <f t="shared" si="1"/>
        <v>2</v>
      </c>
      <c r="K269" s="253"/>
      <c r="L269" s="253"/>
      <c r="M269" s="275"/>
      <c r="N269" s="258"/>
      <c r="O269" s="259"/>
      <c r="P269" s="259"/>
      <c r="Q269" s="262"/>
      <c r="R269" s="260"/>
      <c r="S269" s="260"/>
      <c r="T269" s="260"/>
      <c r="U269" s="261"/>
      <c r="V269" s="251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</row>
    <row r="270">
      <c r="A270" s="251">
        <f>IFERROR(__xludf.DUMMYFUNCTION("""COMPUTED_VALUE"""),8013645.0)</f>
        <v>8013645</v>
      </c>
      <c r="B270" s="252" t="str">
        <f>IFERROR(__xludf.DUMMYFUNCTION("""COMPUTED_VALUE"""),"BookingCom")</f>
        <v>BookingCom</v>
      </c>
      <c r="C270" s="253" t="str">
        <f>IFERROR(__xludf.DUMMYFUNCTION("""COMPUTED_VALUE"""),"Peter Diepers ")</f>
        <v>Peter Diepers </v>
      </c>
      <c r="D270" s="254">
        <f>IFERROR(__xludf.DUMMYFUNCTION("""COMPUTED_VALUE"""),46102.0)</f>
        <v>46102</v>
      </c>
      <c r="E270" s="251">
        <f>IFERROR(__xludf.DUMMYFUNCTION("""COMPUTED_VALUE"""),46103.0)</f>
        <v>46103</v>
      </c>
      <c r="F270" s="255">
        <f>IFERROR(__xludf.DUMMYFUNCTION("""COMPUTED_VALUE"""),1.0)</f>
        <v>1</v>
      </c>
      <c r="G270" s="255">
        <f>IFERROR(__xludf.DUMMYFUNCTION("""COMPUTED_VALUE"""),2.0)</f>
        <v>2</v>
      </c>
      <c r="H270" s="256">
        <f>IFERROR(__xludf.DUMMYFUNCTION("""COMPUTED_VALUE"""),212.85)</f>
        <v>212.85</v>
      </c>
      <c r="I270" s="256">
        <f>IFERROR(__xludf.DUMMYFUNCTION("""COMPUTED_VALUE"""),170.28)</f>
        <v>170.28</v>
      </c>
      <c r="J270" s="257">
        <f t="shared" si="1"/>
        <v>2</v>
      </c>
      <c r="K270" s="253"/>
      <c r="L270" s="253"/>
      <c r="M270" s="252"/>
      <c r="N270" s="258"/>
      <c r="O270" s="259"/>
      <c r="P270" s="259"/>
      <c r="Q270" s="262"/>
      <c r="R270" s="260"/>
      <c r="S270" s="260"/>
      <c r="T270" s="260"/>
      <c r="U270" s="261"/>
      <c r="V270" s="251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</row>
    <row r="271">
      <c r="A271" s="251">
        <f>IFERROR(__xludf.DUMMYFUNCTION("""COMPUTED_VALUE"""),8046307.0)</f>
        <v>8046307</v>
      </c>
      <c r="B271" s="252" t="str">
        <f>IFERROR(__xludf.DUMMYFUNCTION("""COMPUTED_VALUE"""),"BookingCom")</f>
        <v>BookingCom</v>
      </c>
      <c r="C271" s="253" t="str">
        <f>IFERROR(__xludf.DUMMYFUNCTION("""COMPUTED_VALUE"""),"Anastasia Kalogirou ")</f>
        <v>Anastasia Kalogirou </v>
      </c>
      <c r="D271" s="254">
        <f>IFERROR(__xludf.DUMMYFUNCTION("""COMPUTED_VALUE"""),46102.0)</f>
        <v>46102</v>
      </c>
      <c r="E271" s="251">
        <f>IFERROR(__xludf.DUMMYFUNCTION("""COMPUTED_VALUE"""),46104.0)</f>
        <v>46104</v>
      </c>
      <c r="F271" s="255">
        <f>IFERROR(__xludf.DUMMYFUNCTION("""COMPUTED_VALUE"""),2.0)</f>
        <v>2</v>
      </c>
      <c r="G271" s="255">
        <f>IFERROR(__xludf.DUMMYFUNCTION("""COMPUTED_VALUE"""),2.0)</f>
        <v>2</v>
      </c>
      <c r="H271" s="256">
        <f>IFERROR(__xludf.DUMMYFUNCTION("""COMPUTED_VALUE"""),266.4)</f>
        <v>266.4</v>
      </c>
      <c r="I271" s="256">
        <f>IFERROR(__xludf.DUMMYFUNCTION("""COMPUTED_VALUE"""),426.24)</f>
        <v>426.24</v>
      </c>
      <c r="J271" s="257">
        <f t="shared" si="1"/>
        <v>4</v>
      </c>
      <c r="K271" s="253"/>
      <c r="L271" s="253"/>
      <c r="M271" s="275"/>
      <c r="N271" s="258"/>
      <c r="O271" s="259"/>
      <c r="P271" s="259"/>
      <c r="Q271" s="262"/>
      <c r="R271" s="260"/>
      <c r="S271" s="260"/>
      <c r="T271" s="260"/>
      <c r="U271" s="261"/>
      <c r="V271" s="251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</row>
    <row r="272">
      <c r="A272" s="251">
        <f>IFERROR(__xludf.DUMMYFUNCTION("""COMPUTED_VALUE"""),8052262.0)</f>
        <v>8052262</v>
      </c>
      <c r="B272" s="252" t="str">
        <f>IFERROR(__xludf.DUMMYFUNCTION("""COMPUTED_VALUE"""),"BookingCom")</f>
        <v>BookingCom</v>
      </c>
      <c r="C272" s="253" t="str">
        <f>IFERROR(__xludf.DUMMYFUNCTION("""COMPUTED_VALUE"""),"Diego Troncoso ")</f>
        <v>Diego Troncoso </v>
      </c>
      <c r="D272" s="254">
        <f>IFERROR(__xludf.DUMMYFUNCTION("""COMPUTED_VALUE"""),46102.0)</f>
        <v>46102</v>
      </c>
      <c r="E272" s="251">
        <f>IFERROR(__xludf.DUMMYFUNCTION("""COMPUTED_VALUE"""),46104.0)</f>
        <v>46104</v>
      </c>
      <c r="F272" s="255">
        <f>IFERROR(__xludf.DUMMYFUNCTION("""COMPUTED_VALUE"""),2.0)</f>
        <v>2</v>
      </c>
      <c r="G272" s="255">
        <f>IFERROR(__xludf.DUMMYFUNCTION("""COMPUTED_VALUE"""),2.0)</f>
        <v>2</v>
      </c>
      <c r="H272" s="256">
        <f>IFERROR(__xludf.DUMMYFUNCTION("""COMPUTED_VALUE"""),168.13)</f>
        <v>168.13</v>
      </c>
      <c r="I272" s="256">
        <f>IFERROR(__xludf.DUMMYFUNCTION("""COMPUTED_VALUE"""),269.008)</f>
        <v>269.008</v>
      </c>
      <c r="J272" s="257">
        <f t="shared" si="1"/>
        <v>4</v>
      </c>
      <c r="K272" s="253"/>
      <c r="L272" s="253"/>
      <c r="M272" s="252"/>
      <c r="N272" s="258"/>
      <c r="O272" s="259"/>
      <c r="P272" s="259"/>
      <c r="Q272" s="262"/>
      <c r="R272" s="260"/>
      <c r="S272" s="260"/>
      <c r="T272" s="260"/>
      <c r="U272" s="261"/>
      <c r="V272" s="251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</row>
    <row r="273">
      <c r="A273" s="251">
        <f>IFERROR(__xludf.DUMMYFUNCTION("""COMPUTED_VALUE"""),8112019.0)</f>
        <v>8112019</v>
      </c>
      <c r="B273" s="252" t="str">
        <f>IFERROR(__xludf.DUMMYFUNCTION("""COMPUTED_VALUE"""),"BookingCom")</f>
        <v>BookingCom</v>
      </c>
      <c r="C273" s="253" t="str">
        <f>IFERROR(__xludf.DUMMYFUNCTION("""COMPUTED_VALUE"""),"Khadraoui Kahina ")</f>
        <v>Khadraoui Kahina </v>
      </c>
      <c r="D273" s="254">
        <f>IFERROR(__xludf.DUMMYFUNCTION("""COMPUTED_VALUE"""),46102.0)</f>
        <v>46102</v>
      </c>
      <c r="E273" s="251">
        <f>IFERROR(__xludf.DUMMYFUNCTION("""COMPUTED_VALUE"""),46103.0)</f>
        <v>46103</v>
      </c>
      <c r="F273" s="255">
        <f>IFERROR(__xludf.DUMMYFUNCTION("""COMPUTED_VALUE"""),1.0)</f>
        <v>1</v>
      </c>
      <c r="G273" s="255">
        <f>IFERROR(__xludf.DUMMYFUNCTION("""COMPUTED_VALUE"""),2.0)</f>
        <v>2</v>
      </c>
      <c r="H273" s="256">
        <f>IFERROR(__xludf.DUMMYFUNCTION("""COMPUTED_VALUE"""),162.77)</f>
        <v>162.77</v>
      </c>
      <c r="I273" s="256">
        <f>IFERROR(__xludf.DUMMYFUNCTION("""COMPUTED_VALUE"""),130.216)</f>
        <v>130.216</v>
      </c>
      <c r="J273" s="257">
        <f t="shared" si="1"/>
        <v>2</v>
      </c>
      <c r="K273" s="253"/>
      <c r="L273" s="253"/>
      <c r="M273" s="252"/>
      <c r="N273" s="258"/>
      <c r="O273" s="259"/>
      <c r="P273" s="259"/>
      <c r="Q273" s="262"/>
      <c r="R273" s="260"/>
      <c r="S273" s="260"/>
      <c r="T273" s="260"/>
      <c r="U273" s="261"/>
      <c r="V273" s="251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</row>
    <row r="274">
      <c r="A274" s="251">
        <f>IFERROR(__xludf.DUMMYFUNCTION("""COMPUTED_VALUE"""),8179124.0)</f>
        <v>8179124</v>
      </c>
      <c r="B274" s="252" t="str">
        <f>IFERROR(__xludf.DUMMYFUNCTION("""COMPUTED_VALUE"""),"BookingCom")</f>
        <v>BookingCom</v>
      </c>
      <c r="C274" s="253" t="str">
        <f>IFERROR(__xludf.DUMMYFUNCTION("""COMPUTED_VALUE"""),"Johan Bataille-Finet ")</f>
        <v>Johan Bataille-Finet </v>
      </c>
      <c r="D274" s="254">
        <f>IFERROR(__xludf.DUMMYFUNCTION("""COMPUTED_VALUE"""),46102.0)</f>
        <v>46102</v>
      </c>
      <c r="E274" s="251">
        <f>IFERROR(__xludf.DUMMYFUNCTION("""COMPUTED_VALUE"""),46103.0)</f>
        <v>46103</v>
      </c>
      <c r="F274" s="255">
        <f>IFERROR(__xludf.DUMMYFUNCTION("""COMPUTED_VALUE"""),1.0)</f>
        <v>1</v>
      </c>
      <c r="G274" s="255">
        <f>IFERROR(__xludf.DUMMYFUNCTION("""COMPUTED_VALUE"""),2.0)</f>
        <v>2</v>
      </c>
      <c r="H274" s="256">
        <f>IFERROR(__xludf.DUMMYFUNCTION("""COMPUTED_VALUE"""),150.08)</f>
        <v>150.08</v>
      </c>
      <c r="I274" s="256">
        <f>IFERROR(__xludf.DUMMYFUNCTION("""COMPUTED_VALUE"""),120.06400000000002)</f>
        <v>120.064</v>
      </c>
      <c r="J274" s="257">
        <f t="shared" si="1"/>
        <v>2</v>
      </c>
      <c r="K274" s="253"/>
      <c r="L274" s="253"/>
      <c r="M274" s="252"/>
      <c r="N274" s="258"/>
      <c r="O274" s="259"/>
      <c r="P274" s="259"/>
      <c r="Q274" s="262"/>
      <c r="R274" s="260"/>
      <c r="S274" s="260"/>
      <c r="T274" s="260"/>
      <c r="U274" s="261"/>
      <c r="V274" s="251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</row>
    <row r="275">
      <c r="A275" s="251">
        <f>IFERROR(__xludf.DUMMYFUNCTION("""COMPUTED_VALUE"""),7616818.0)</f>
        <v>7616818</v>
      </c>
      <c r="B275" s="252" t="str">
        <f>IFERROR(__xludf.DUMMYFUNCTION("""COMPUTED_VALUE"""),"BookingCom")</f>
        <v>BookingCom</v>
      </c>
      <c r="C275" s="253" t="str">
        <f>IFERROR(__xludf.DUMMYFUNCTION("""COMPUTED_VALUE"""),"Mathilde Mellerin ")</f>
        <v>Mathilde Mellerin </v>
      </c>
      <c r="D275" s="254">
        <f>IFERROR(__xludf.DUMMYFUNCTION("""COMPUTED_VALUE"""),46103.0)</f>
        <v>46103</v>
      </c>
      <c r="E275" s="251">
        <f>IFERROR(__xludf.DUMMYFUNCTION("""COMPUTED_VALUE"""),46108.0)</f>
        <v>46108</v>
      </c>
      <c r="F275" s="255">
        <f>IFERROR(__xludf.DUMMYFUNCTION("""COMPUTED_VALUE"""),5.0)</f>
        <v>5</v>
      </c>
      <c r="G275" s="255">
        <f>IFERROR(__xludf.DUMMYFUNCTION("""COMPUTED_VALUE"""),2.0)</f>
        <v>2</v>
      </c>
      <c r="H275" s="256">
        <f>IFERROR(__xludf.DUMMYFUNCTION("""COMPUTED_VALUE"""),131.22)</f>
        <v>131.22</v>
      </c>
      <c r="I275" s="256">
        <f>IFERROR(__xludf.DUMMYFUNCTION("""COMPUTED_VALUE"""),524.88)</f>
        <v>524.88</v>
      </c>
      <c r="J275" s="257">
        <f t="shared" si="1"/>
        <v>10</v>
      </c>
      <c r="K275" s="253"/>
      <c r="L275" s="253"/>
      <c r="M275" s="252"/>
      <c r="N275" s="258"/>
      <c r="O275" s="259"/>
      <c r="P275" s="259"/>
      <c r="Q275" s="262"/>
      <c r="R275" s="260"/>
      <c r="S275" s="260"/>
      <c r="T275" s="260"/>
      <c r="U275" s="261"/>
      <c r="V275" s="251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</row>
    <row r="276">
      <c r="A276" s="251">
        <f>IFERROR(__xludf.DUMMYFUNCTION("""COMPUTED_VALUE"""),7772912.0)</f>
        <v>7772912</v>
      </c>
      <c r="B276" s="252" t="str">
        <f>IFERROR(__xludf.DUMMYFUNCTION("""COMPUTED_VALUE"""),"Reseliva Pannel")</f>
        <v>Reseliva Pannel</v>
      </c>
      <c r="C276" s="253" t="str">
        <f>IFERROR(__xludf.DUMMYFUNCTION("""COMPUTED_VALUE"""),"Mathieu france ")</f>
        <v>Mathieu france </v>
      </c>
      <c r="D276" s="254">
        <f>IFERROR(__xludf.DUMMYFUNCTION("""COMPUTED_VALUE"""),46103.0)</f>
        <v>46103</v>
      </c>
      <c r="E276" s="251">
        <f>IFERROR(__xludf.DUMMYFUNCTION("""COMPUTED_VALUE"""),46107.0)</f>
        <v>46107</v>
      </c>
      <c r="F276" s="255">
        <f>IFERROR(__xludf.DUMMYFUNCTION("""COMPUTED_VALUE"""),4.0)</f>
        <v>4</v>
      </c>
      <c r="G276" s="255">
        <f>IFERROR(__xludf.DUMMYFUNCTION("""COMPUTED_VALUE"""),2.0)</f>
        <v>2</v>
      </c>
      <c r="H276" s="256">
        <f>IFERROR(__xludf.DUMMYFUNCTION("""COMPUTED_VALUE"""),239.76)</f>
        <v>239.76</v>
      </c>
      <c r="I276" s="256">
        <f>IFERROR(__xludf.DUMMYFUNCTION("""COMPUTED_VALUE"""),959.04)</f>
        <v>959.04</v>
      </c>
      <c r="J276" s="257">
        <f t="shared" si="1"/>
        <v>8</v>
      </c>
      <c r="K276" s="253"/>
      <c r="L276" s="253"/>
      <c r="M276" s="252"/>
      <c r="N276" s="258"/>
      <c r="O276" s="259"/>
      <c r="P276" s="259"/>
      <c r="Q276" s="262"/>
      <c r="R276" s="260"/>
      <c r="S276" s="260"/>
      <c r="T276" s="260"/>
      <c r="U276" s="261"/>
      <c r="V276" s="251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</row>
    <row r="277">
      <c r="A277" s="251">
        <f>IFERROR(__xludf.DUMMYFUNCTION("""COMPUTED_VALUE"""),8017212.0)</f>
        <v>8017212</v>
      </c>
      <c r="B277" s="252" t="str">
        <f>IFERROR(__xludf.DUMMYFUNCTION("""COMPUTED_VALUE"""),"BookingCom")</f>
        <v>BookingCom</v>
      </c>
      <c r="C277" s="253" t="str">
        <f>IFERROR(__xludf.DUMMYFUNCTION("""COMPUTED_VALUE"""),"Michael Makatounakis ")</f>
        <v>Michael Makatounakis </v>
      </c>
      <c r="D277" s="254">
        <f>IFERROR(__xludf.DUMMYFUNCTION("""COMPUTED_VALUE"""),46103.0)</f>
        <v>46103</v>
      </c>
      <c r="E277" s="251">
        <f>IFERROR(__xludf.DUMMYFUNCTION("""COMPUTED_VALUE"""),46106.0)</f>
        <v>46106</v>
      </c>
      <c r="F277" s="255">
        <f>IFERROR(__xludf.DUMMYFUNCTION("""COMPUTED_VALUE"""),3.0)</f>
        <v>3</v>
      </c>
      <c r="G277" s="255">
        <f>IFERROR(__xludf.DUMMYFUNCTION("""COMPUTED_VALUE"""),2.0)</f>
        <v>2</v>
      </c>
      <c r="H277" s="256">
        <f>IFERROR(__xludf.DUMMYFUNCTION("""COMPUTED_VALUE"""),202.46)</f>
        <v>202.46</v>
      </c>
      <c r="I277" s="256">
        <f>IFERROR(__xludf.DUMMYFUNCTION("""COMPUTED_VALUE"""),485.90400000000005)</f>
        <v>485.904</v>
      </c>
      <c r="J277" s="257">
        <f t="shared" si="1"/>
        <v>6</v>
      </c>
      <c r="K277" s="253"/>
      <c r="L277" s="253"/>
      <c r="M277" s="275"/>
      <c r="N277" s="258"/>
      <c r="O277" s="259"/>
      <c r="P277" s="259"/>
      <c r="Q277" s="262"/>
      <c r="R277" s="260"/>
      <c r="S277" s="260"/>
      <c r="T277" s="260"/>
      <c r="U277" s="261"/>
      <c r="V277" s="251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</row>
    <row r="278">
      <c r="A278" s="251">
        <f>IFERROR(__xludf.DUMMYFUNCTION("""COMPUTED_VALUE"""),8108040.0)</f>
        <v>8108040</v>
      </c>
      <c r="B278" s="252" t="str">
        <f>IFERROR(__xludf.DUMMYFUNCTION("""COMPUTED_VALUE"""),"BookingCom")</f>
        <v>BookingCom</v>
      </c>
      <c r="C278" s="253" t="str">
        <f>IFERROR(__xludf.DUMMYFUNCTION("""COMPUTED_VALUE"""),"Margherita de Cles ")</f>
        <v>Margherita de Cles </v>
      </c>
      <c r="D278" s="254">
        <f>IFERROR(__xludf.DUMMYFUNCTION("""COMPUTED_VALUE"""),46103.0)</f>
        <v>46103</v>
      </c>
      <c r="E278" s="251">
        <f>IFERROR(__xludf.DUMMYFUNCTION("""COMPUTED_VALUE"""),46104.0)</f>
        <v>46104</v>
      </c>
      <c r="F278" s="255">
        <f>IFERROR(__xludf.DUMMYFUNCTION("""COMPUTED_VALUE"""),1.0)</f>
        <v>1</v>
      </c>
      <c r="G278" s="255">
        <f>IFERROR(__xludf.DUMMYFUNCTION("""COMPUTED_VALUE"""),2.0)</f>
        <v>2</v>
      </c>
      <c r="H278" s="256">
        <f>IFERROR(__xludf.DUMMYFUNCTION("""COMPUTED_VALUE"""),146.73)</f>
        <v>146.73</v>
      </c>
      <c r="I278" s="256">
        <f>IFERROR(__xludf.DUMMYFUNCTION("""COMPUTED_VALUE"""),117.384)</f>
        <v>117.384</v>
      </c>
      <c r="J278" s="257">
        <f t="shared" si="1"/>
        <v>2</v>
      </c>
      <c r="K278" s="253"/>
      <c r="L278" s="253"/>
      <c r="M278" s="252"/>
      <c r="N278" s="258"/>
      <c r="O278" s="259"/>
      <c r="P278" s="259"/>
      <c r="Q278" s="262"/>
      <c r="R278" s="260"/>
      <c r="S278" s="260"/>
      <c r="T278" s="273"/>
      <c r="U278" s="274"/>
      <c r="V278" s="263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</row>
    <row r="279">
      <c r="A279" s="251">
        <f>IFERROR(__xludf.DUMMYFUNCTION("""COMPUTED_VALUE"""),7510863.0)</f>
        <v>7510863</v>
      </c>
      <c r="B279" s="252" t="str">
        <f>IFERROR(__xludf.DUMMYFUNCTION("""COMPUTED_VALUE"""),"Reseliva")</f>
        <v>Reseliva</v>
      </c>
      <c r="C279" s="253" t="str">
        <f>IFERROR(__xludf.DUMMYFUNCTION("""COMPUTED_VALUE"""),"ISABELLE VANDENBERGHE ")</f>
        <v>ISABELLE VANDENBERGHE </v>
      </c>
      <c r="D279" s="254">
        <f>IFERROR(__xludf.DUMMYFUNCTION("""COMPUTED_VALUE"""),46104.0)</f>
        <v>46104</v>
      </c>
      <c r="E279" s="251">
        <f>IFERROR(__xludf.DUMMYFUNCTION("""COMPUTED_VALUE"""),46109.0)</f>
        <v>46109</v>
      </c>
      <c r="F279" s="255">
        <f>IFERROR(__xludf.DUMMYFUNCTION("""COMPUTED_VALUE"""),5.0)</f>
        <v>5</v>
      </c>
      <c r="G279" s="255">
        <f>IFERROR(__xludf.DUMMYFUNCTION("""COMPUTED_VALUE"""),2.0)</f>
        <v>2</v>
      </c>
      <c r="H279" s="256">
        <f>IFERROR(__xludf.DUMMYFUNCTION("""COMPUTED_VALUE"""),162.63)</f>
        <v>162.63</v>
      </c>
      <c r="I279" s="256">
        <f>IFERROR(__xludf.DUMMYFUNCTION("""COMPUTED_VALUE"""),805.0184999999999)</f>
        <v>805.0185</v>
      </c>
      <c r="J279" s="257">
        <f t="shared" si="1"/>
        <v>10</v>
      </c>
      <c r="K279" s="253"/>
      <c r="L279" s="253"/>
      <c r="M279" s="252"/>
      <c r="N279" s="258"/>
      <c r="O279" s="259"/>
      <c r="P279" s="259"/>
      <c r="Q279" s="262"/>
      <c r="R279" s="260"/>
      <c r="S279" s="260"/>
      <c r="T279" s="260"/>
      <c r="U279" s="261"/>
      <c r="V279" s="251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</row>
    <row r="280">
      <c r="A280" s="251">
        <f>IFERROR(__xludf.DUMMYFUNCTION("""COMPUTED_VALUE"""),7628759.0)</f>
        <v>7628759</v>
      </c>
      <c r="B280" s="252" t="str">
        <f>IFERROR(__xludf.DUMMYFUNCTION("""COMPUTED_VALUE"""),"BookingCom")</f>
        <v>BookingCom</v>
      </c>
      <c r="C280" s="253" t="str">
        <f>IFERROR(__xludf.DUMMYFUNCTION("""COMPUTED_VALUE"""),"Marie-Paule Cales-Geisen ")</f>
        <v>Marie-Paule Cales-Geisen </v>
      </c>
      <c r="D280" s="254">
        <f>IFERROR(__xludf.DUMMYFUNCTION("""COMPUTED_VALUE"""),46104.0)</f>
        <v>46104</v>
      </c>
      <c r="E280" s="251">
        <f>IFERROR(__xludf.DUMMYFUNCTION("""COMPUTED_VALUE"""),46109.0)</f>
        <v>46109</v>
      </c>
      <c r="F280" s="255">
        <f>IFERROR(__xludf.DUMMYFUNCTION("""COMPUTED_VALUE"""),5.0)</f>
        <v>5</v>
      </c>
      <c r="G280" s="255">
        <f>IFERROR(__xludf.DUMMYFUNCTION("""COMPUTED_VALUE"""),2.0)</f>
        <v>2</v>
      </c>
      <c r="H280" s="256">
        <f>IFERROR(__xludf.DUMMYFUNCTION("""COMPUTED_VALUE"""),177.42000000000002)</f>
        <v>177.42</v>
      </c>
      <c r="I280" s="256">
        <f>IFERROR(__xludf.DUMMYFUNCTION("""COMPUTED_VALUE"""),709.6800000000001)</f>
        <v>709.68</v>
      </c>
      <c r="J280" s="257">
        <f t="shared" si="1"/>
        <v>10</v>
      </c>
      <c r="K280" s="253"/>
      <c r="L280" s="253"/>
      <c r="M280" s="275"/>
      <c r="N280" s="258"/>
      <c r="O280" s="259"/>
      <c r="P280" s="259"/>
      <c r="Q280" s="262"/>
      <c r="R280" s="260"/>
      <c r="S280" s="260"/>
      <c r="T280" s="260"/>
      <c r="U280" s="261"/>
      <c r="V280" s="251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</row>
    <row r="281">
      <c r="A281" s="251">
        <f>IFERROR(__xludf.DUMMYFUNCTION("""COMPUTED_VALUE"""),7746624.0)</f>
        <v>7746624</v>
      </c>
      <c r="B281" s="252" t="str">
        <f>IFERROR(__xludf.DUMMYFUNCTION("""COMPUTED_VALUE"""),"BookingCom")</f>
        <v>BookingCom</v>
      </c>
      <c r="C281" s="253" t="str">
        <f>IFERROR(__xludf.DUMMYFUNCTION("""COMPUTED_VALUE"""),"Reka Woerner ")</f>
        <v>Reka Woerner </v>
      </c>
      <c r="D281" s="254">
        <f>IFERROR(__xludf.DUMMYFUNCTION("""COMPUTED_VALUE"""),46104.0)</f>
        <v>46104</v>
      </c>
      <c r="E281" s="251">
        <f>IFERROR(__xludf.DUMMYFUNCTION("""COMPUTED_VALUE"""),46110.0)</f>
        <v>46110</v>
      </c>
      <c r="F281" s="255">
        <f>IFERROR(__xludf.DUMMYFUNCTION("""COMPUTED_VALUE"""),6.0)</f>
        <v>6</v>
      </c>
      <c r="G281" s="255">
        <f>IFERROR(__xludf.DUMMYFUNCTION("""COMPUTED_VALUE"""),2.0)</f>
        <v>2</v>
      </c>
      <c r="H281" s="256">
        <f>IFERROR(__xludf.DUMMYFUNCTION("""COMPUTED_VALUE"""),206.1)</f>
        <v>206.1</v>
      </c>
      <c r="I281" s="256">
        <f>IFERROR(__xludf.DUMMYFUNCTION("""COMPUTED_VALUE"""),989.28)</f>
        <v>989.28</v>
      </c>
      <c r="J281" s="257">
        <f t="shared" si="1"/>
        <v>12</v>
      </c>
      <c r="K281" s="253"/>
      <c r="L281" s="253"/>
      <c r="M281" s="252"/>
      <c r="N281" s="258"/>
      <c r="O281" s="259"/>
      <c r="P281" s="259"/>
      <c r="Q281" s="262"/>
      <c r="R281" s="260"/>
      <c r="S281" s="260"/>
      <c r="T281" s="260"/>
      <c r="U281" s="261"/>
      <c r="V281" s="251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</row>
    <row r="282">
      <c r="A282" s="251">
        <f>IFERROR(__xludf.DUMMYFUNCTION("""COMPUTED_VALUE"""),7853409.0)</f>
        <v>7853409</v>
      </c>
      <c r="B282" s="252" t="str">
        <f>IFERROR(__xludf.DUMMYFUNCTION("""COMPUTED_VALUE"""),"BookingCom")</f>
        <v>BookingCom</v>
      </c>
      <c r="C282" s="253" t="str">
        <f>IFERROR(__xludf.DUMMYFUNCTION("""COMPUTED_VALUE"""),"Amine Yahyaoui ")</f>
        <v>Amine Yahyaoui </v>
      </c>
      <c r="D282" s="254">
        <f>IFERROR(__xludf.DUMMYFUNCTION("""COMPUTED_VALUE"""),46104.0)</f>
        <v>46104</v>
      </c>
      <c r="E282" s="251">
        <f>IFERROR(__xludf.DUMMYFUNCTION("""COMPUTED_VALUE"""),46106.0)</f>
        <v>46106</v>
      </c>
      <c r="F282" s="255">
        <f>IFERROR(__xludf.DUMMYFUNCTION("""COMPUTED_VALUE"""),2.0)</f>
        <v>2</v>
      </c>
      <c r="G282" s="255">
        <f>IFERROR(__xludf.DUMMYFUNCTION("""COMPUTED_VALUE"""),3.0)</f>
        <v>3</v>
      </c>
      <c r="H282" s="256">
        <f>IFERROR(__xludf.DUMMYFUNCTION("""COMPUTED_VALUE"""),220.31)</f>
        <v>220.31</v>
      </c>
      <c r="I282" s="256">
        <f>IFERROR(__xludf.DUMMYFUNCTION("""COMPUTED_VALUE"""),352.49600000000004)</f>
        <v>352.496</v>
      </c>
      <c r="J282" s="257">
        <f t="shared" si="1"/>
        <v>6</v>
      </c>
      <c r="K282" s="253"/>
      <c r="L282" s="253"/>
      <c r="M282" s="252"/>
      <c r="N282" s="258"/>
      <c r="O282" s="259"/>
      <c r="P282" s="259"/>
      <c r="Q282" s="262"/>
      <c r="R282" s="260"/>
      <c r="S282" s="260"/>
      <c r="T282" s="260"/>
      <c r="U282" s="261"/>
      <c r="V282" s="251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</row>
    <row r="283">
      <c r="A283" s="251">
        <f>IFERROR(__xludf.DUMMYFUNCTION("""COMPUTED_VALUE"""),7673996.0)</f>
        <v>7673996</v>
      </c>
      <c r="B283" s="252" t="str">
        <f>IFERROR(__xludf.DUMMYFUNCTION("""COMPUTED_VALUE"""),"Agoda2")</f>
        <v>Agoda2</v>
      </c>
      <c r="C283" s="253" t="str">
        <f>IFERROR(__xludf.DUMMYFUNCTION("""COMPUTED_VALUE"""),"AURORA MORANDIN ")</f>
        <v>AURORA MORANDIN </v>
      </c>
      <c r="D283" s="254">
        <f>IFERROR(__xludf.DUMMYFUNCTION("""COMPUTED_VALUE"""),46105.0)</f>
        <v>46105</v>
      </c>
      <c r="E283" s="251">
        <f>IFERROR(__xludf.DUMMYFUNCTION("""COMPUTED_VALUE"""),46108.0)</f>
        <v>46108</v>
      </c>
      <c r="F283" s="255">
        <f>IFERROR(__xludf.DUMMYFUNCTION("""COMPUTED_VALUE"""),3.0)</f>
        <v>3</v>
      </c>
      <c r="G283" s="255">
        <f>IFERROR(__xludf.DUMMYFUNCTION("""COMPUTED_VALUE"""),2.0)</f>
        <v>2</v>
      </c>
      <c r="H283" s="256">
        <f>IFERROR(__xludf.DUMMYFUNCTION("""COMPUTED_VALUE"""),208.5)</f>
        <v>208.5</v>
      </c>
      <c r="I283" s="256">
        <f>IFERROR(__xludf.DUMMYFUNCTION("""COMPUTED_VALUE"""),500.40000000000003)</f>
        <v>500.4</v>
      </c>
      <c r="J283" s="257">
        <f t="shared" si="1"/>
        <v>6</v>
      </c>
      <c r="K283" s="253"/>
      <c r="L283" s="253"/>
      <c r="M283" s="252"/>
      <c r="N283" s="258"/>
      <c r="O283" s="259"/>
      <c r="P283" s="259"/>
      <c r="Q283" s="262"/>
      <c r="R283" s="260"/>
      <c r="S283" s="260"/>
      <c r="T283" s="273"/>
      <c r="U283" s="274"/>
      <c r="V283" s="263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</row>
    <row r="284">
      <c r="A284" s="251">
        <f>IFERROR(__xludf.DUMMYFUNCTION("""COMPUTED_VALUE"""),8025804.0)</f>
        <v>8025804</v>
      </c>
      <c r="B284" s="252" t="str">
        <f>IFERROR(__xludf.DUMMYFUNCTION("""COMPUTED_VALUE"""),"BookingCom")</f>
        <v>BookingCom</v>
      </c>
      <c r="C284" s="253" t="str">
        <f>IFERROR(__xludf.DUMMYFUNCTION("""COMPUTED_VALUE"""),"Camille Kagenaar ")</f>
        <v>Camille Kagenaar </v>
      </c>
      <c r="D284" s="254">
        <f>IFERROR(__xludf.DUMMYFUNCTION("""COMPUTED_VALUE"""),46105.0)</f>
        <v>46105</v>
      </c>
      <c r="E284" s="251">
        <f>IFERROR(__xludf.DUMMYFUNCTION("""COMPUTED_VALUE"""),46108.0)</f>
        <v>46108</v>
      </c>
      <c r="F284" s="255">
        <f>IFERROR(__xludf.DUMMYFUNCTION("""COMPUTED_VALUE"""),3.0)</f>
        <v>3</v>
      </c>
      <c r="G284" s="255">
        <f>IFERROR(__xludf.DUMMYFUNCTION("""COMPUTED_VALUE"""),2.0)</f>
        <v>2</v>
      </c>
      <c r="H284" s="256">
        <f>IFERROR(__xludf.DUMMYFUNCTION("""COMPUTED_VALUE"""),255.0)</f>
        <v>255</v>
      </c>
      <c r="I284" s="256">
        <f>IFERROR(__xludf.DUMMYFUNCTION("""COMPUTED_VALUE"""),612.0)</f>
        <v>612</v>
      </c>
      <c r="J284" s="257">
        <f t="shared" si="1"/>
        <v>6</v>
      </c>
      <c r="K284" s="253"/>
      <c r="L284" s="253"/>
      <c r="M284" s="252"/>
      <c r="N284" s="258"/>
      <c r="O284" s="259"/>
      <c r="P284" s="259"/>
      <c r="Q284" s="262"/>
      <c r="R284" s="260"/>
      <c r="S284" s="260"/>
      <c r="T284" s="260"/>
      <c r="U284" s="261"/>
      <c r="V284" s="251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</row>
    <row r="285">
      <c r="A285" s="251">
        <f>IFERROR(__xludf.DUMMYFUNCTION("""COMPUTED_VALUE"""),8042338.0)</f>
        <v>8042338</v>
      </c>
      <c r="B285" s="252" t="str">
        <f>IFERROR(__xludf.DUMMYFUNCTION("""COMPUTED_VALUE"""),"BookingCom")</f>
        <v>BookingCom</v>
      </c>
      <c r="C285" s="253" t="str">
        <f>IFERROR(__xludf.DUMMYFUNCTION("""COMPUTED_VALUE"""),"Fanny GAILLARD-GROLEAS ")</f>
        <v>Fanny GAILLARD-GROLEAS </v>
      </c>
      <c r="D285" s="254">
        <f>IFERROR(__xludf.DUMMYFUNCTION("""COMPUTED_VALUE"""),46106.0)</f>
        <v>46106</v>
      </c>
      <c r="E285" s="251">
        <f>IFERROR(__xludf.DUMMYFUNCTION("""COMPUTED_VALUE"""),46109.0)</f>
        <v>46109</v>
      </c>
      <c r="F285" s="255">
        <f>IFERROR(__xludf.DUMMYFUNCTION("""COMPUTED_VALUE"""),3.0)</f>
        <v>3</v>
      </c>
      <c r="G285" s="255">
        <f>IFERROR(__xludf.DUMMYFUNCTION("""COMPUTED_VALUE"""),2.0)</f>
        <v>2</v>
      </c>
      <c r="H285" s="256">
        <f>IFERROR(__xludf.DUMMYFUNCTION("""COMPUTED_VALUE"""),208.79999999999998)</f>
        <v>208.8</v>
      </c>
      <c r="I285" s="256">
        <f>IFERROR(__xludf.DUMMYFUNCTION("""COMPUTED_VALUE"""),501.12)</f>
        <v>501.12</v>
      </c>
      <c r="J285" s="257">
        <f t="shared" si="1"/>
        <v>6</v>
      </c>
      <c r="K285" s="253"/>
      <c r="L285" s="253"/>
      <c r="M285" s="275"/>
      <c r="N285" s="258"/>
      <c r="O285" s="259"/>
      <c r="P285" s="259"/>
      <c r="Q285" s="262"/>
      <c r="R285" s="260"/>
      <c r="S285" s="260"/>
      <c r="T285" s="260"/>
      <c r="U285" s="261"/>
      <c r="V285" s="251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</row>
    <row r="286">
      <c r="A286" s="251">
        <f>IFERROR(__xludf.DUMMYFUNCTION("""COMPUTED_VALUE"""),8150853.0)</f>
        <v>8150853</v>
      </c>
      <c r="B286" s="252" t="str">
        <f>IFERROR(__xludf.DUMMYFUNCTION("""COMPUTED_VALUE"""),"BookingCom")</f>
        <v>BookingCom</v>
      </c>
      <c r="C286" s="253" t="str">
        <f>IFERROR(__xludf.DUMMYFUNCTION("""COMPUTED_VALUE"""),"melania gastaldi ")</f>
        <v>melania gastaldi </v>
      </c>
      <c r="D286" s="254">
        <f>IFERROR(__xludf.DUMMYFUNCTION("""COMPUTED_VALUE"""),46106.0)</f>
        <v>46106</v>
      </c>
      <c r="E286" s="251">
        <f>IFERROR(__xludf.DUMMYFUNCTION("""COMPUTED_VALUE"""),46109.0)</f>
        <v>46109</v>
      </c>
      <c r="F286" s="255">
        <f>IFERROR(__xludf.DUMMYFUNCTION("""COMPUTED_VALUE"""),3.0)</f>
        <v>3</v>
      </c>
      <c r="G286" s="255">
        <f>IFERROR(__xludf.DUMMYFUNCTION("""COMPUTED_VALUE"""),2.0)</f>
        <v>2</v>
      </c>
      <c r="H286" s="256">
        <f>IFERROR(__xludf.DUMMYFUNCTION("""COMPUTED_VALUE"""),171.87)</f>
        <v>171.87</v>
      </c>
      <c r="I286" s="256">
        <f>IFERROR(__xludf.DUMMYFUNCTION("""COMPUTED_VALUE"""),412.48800000000006)</f>
        <v>412.488</v>
      </c>
      <c r="J286" s="257">
        <f t="shared" si="1"/>
        <v>6</v>
      </c>
      <c r="K286" s="253"/>
      <c r="L286" s="253"/>
      <c r="M286" s="275"/>
      <c r="N286" s="258"/>
      <c r="O286" s="259"/>
      <c r="P286" s="259"/>
      <c r="Q286" s="257"/>
      <c r="R286" s="260"/>
      <c r="S286" s="260"/>
      <c r="T286" s="273"/>
      <c r="U286" s="274"/>
      <c r="V286" s="263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</row>
    <row r="287">
      <c r="A287" s="251">
        <f>IFERROR(__xludf.DUMMYFUNCTION("""COMPUTED_VALUE"""),7745194.0)</f>
        <v>7745194</v>
      </c>
      <c r="B287" s="252" t="str">
        <f>IFERROR(__xludf.DUMMYFUNCTION("""COMPUTED_VALUE"""),"BookingCom")</f>
        <v>BookingCom</v>
      </c>
      <c r="C287" s="253" t="str">
        <f>IFERROR(__xludf.DUMMYFUNCTION("""COMPUTED_VALUE"""),"Deniece van der Burg ")</f>
        <v>Deniece van der Burg </v>
      </c>
      <c r="D287" s="254">
        <f>IFERROR(__xludf.DUMMYFUNCTION("""COMPUTED_VALUE"""),46107.0)</f>
        <v>46107</v>
      </c>
      <c r="E287" s="251">
        <f>IFERROR(__xludf.DUMMYFUNCTION("""COMPUTED_VALUE"""),46112.0)</f>
        <v>46112</v>
      </c>
      <c r="F287" s="255">
        <f>IFERROR(__xludf.DUMMYFUNCTION("""COMPUTED_VALUE"""),5.0)</f>
        <v>5</v>
      </c>
      <c r="G287" s="255">
        <f>IFERROR(__xludf.DUMMYFUNCTION("""COMPUTED_VALUE"""),2.0)</f>
        <v>2</v>
      </c>
      <c r="H287" s="256">
        <f>IFERROR(__xludf.DUMMYFUNCTION("""COMPUTED_VALUE"""),188.42000000000002)</f>
        <v>188.42</v>
      </c>
      <c r="I287" s="256">
        <f>IFERROR(__xludf.DUMMYFUNCTION("""COMPUTED_VALUE"""),753.6800000000001)</f>
        <v>753.68</v>
      </c>
      <c r="J287" s="257">
        <f t="shared" si="1"/>
        <v>10</v>
      </c>
      <c r="K287" s="253"/>
      <c r="L287" s="253"/>
      <c r="M287" s="275"/>
      <c r="N287" s="258"/>
      <c r="O287" s="259"/>
      <c r="P287" s="259"/>
      <c r="Q287" s="262"/>
      <c r="R287" s="260"/>
      <c r="S287" s="260"/>
      <c r="T287" s="260"/>
      <c r="U287" s="261"/>
      <c r="V287" s="251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</row>
    <row r="288">
      <c r="A288" s="251">
        <f>IFERROR(__xludf.DUMMYFUNCTION("""COMPUTED_VALUE"""),8126436.0)</f>
        <v>8126436</v>
      </c>
      <c r="B288" s="252" t="str">
        <f>IFERROR(__xludf.DUMMYFUNCTION("""COMPUTED_VALUE"""),"Agoda2")</f>
        <v>Agoda2</v>
      </c>
      <c r="C288" s="253" t="str">
        <f>IFERROR(__xludf.DUMMYFUNCTION("""COMPUTED_VALUE"""),"Sylvie Clavien ")</f>
        <v>Sylvie Clavien </v>
      </c>
      <c r="D288" s="254">
        <f>IFERROR(__xludf.DUMMYFUNCTION("""COMPUTED_VALUE"""),46108.0)</f>
        <v>46108</v>
      </c>
      <c r="E288" s="251">
        <f>IFERROR(__xludf.DUMMYFUNCTION("""COMPUTED_VALUE"""),46109.0)</f>
        <v>46109</v>
      </c>
      <c r="F288" s="255">
        <f>IFERROR(__xludf.DUMMYFUNCTION("""COMPUTED_VALUE"""),1.0)</f>
        <v>1</v>
      </c>
      <c r="G288" s="255">
        <f>IFERROR(__xludf.DUMMYFUNCTION("""COMPUTED_VALUE"""),2.0)</f>
        <v>2</v>
      </c>
      <c r="H288" s="256">
        <f>IFERROR(__xludf.DUMMYFUNCTION("""COMPUTED_VALUE"""),186.15)</f>
        <v>186.15</v>
      </c>
      <c r="I288" s="256">
        <f>IFERROR(__xludf.DUMMYFUNCTION("""COMPUTED_VALUE"""),148.92000000000002)</f>
        <v>148.92</v>
      </c>
      <c r="J288" s="257">
        <f t="shared" si="1"/>
        <v>2</v>
      </c>
      <c r="K288" s="253"/>
      <c r="L288" s="253"/>
      <c r="M288" s="252"/>
      <c r="N288" s="258"/>
      <c r="O288" s="259"/>
      <c r="P288" s="259"/>
      <c r="Q288" s="262"/>
      <c r="R288" s="260"/>
      <c r="S288" s="260"/>
      <c r="T288" s="260"/>
      <c r="U288" s="261"/>
      <c r="V288" s="251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</row>
    <row r="289">
      <c r="A289" s="251">
        <f>IFERROR(__xludf.DUMMYFUNCTION("""COMPUTED_VALUE"""),7946009.0)</f>
        <v>7946009</v>
      </c>
      <c r="B289" s="252" t="str">
        <f>IFERROR(__xludf.DUMMYFUNCTION("""COMPUTED_VALUE"""),"BookingCom")</f>
        <v>BookingCom</v>
      </c>
      <c r="C289" s="253" t="str">
        <f>IFERROR(__xludf.DUMMYFUNCTION("""COMPUTED_VALUE"""),"Coralie Buonafine ")</f>
        <v>Coralie Buonafine </v>
      </c>
      <c r="D289" s="254">
        <f>IFERROR(__xludf.DUMMYFUNCTION("""COMPUTED_VALUE"""),46108.0)</f>
        <v>46108</v>
      </c>
      <c r="E289" s="251">
        <f>IFERROR(__xludf.DUMMYFUNCTION("""COMPUTED_VALUE"""),46110.0)</f>
        <v>46110</v>
      </c>
      <c r="F289" s="255">
        <f>IFERROR(__xludf.DUMMYFUNCTION("""COMPUTED_VALUE"""),2.0)</f>
        <v>2</v>
      </c>
      <c r="G289" s="255">
        <f>IFERROR(__xludf.DUMMYFUNCTION("""COMPUTED_VALUE"""),2.0)</f>
        <v>2</v>
      </c>
      <c r="H289" s="256">
        <f>IFERROR(__xludf.DUMMYFUNCTION("""COMPUTED_VALUE"""),169.14)</f>
        <v>169.14</v>
      </c>
      <c r="I289" s="256">
        <f>IFERROR(__xludf.DUMMYFUNCTION("""COMPUTED_VALUE"""),270.62399999999997)</f>
        <v>270.624</v>
      </c>
      <c r="J289" s="257">
        <f t="shared" si="1"/>
        <v>4</v>
      </c>
      <c r="K289" s="253"/>
      <c r="L289" s="253"/>
      <c r="M289" s="252"/>
      <c r="N289" s="258"/>
      <c r="O289" s="259"/>
      <c r="P289" s="259"/>
      <c r="Q289" s="262"/>
      <c r="R289" s="260"/>
      <c r="S289" s="260"/>
      <c r="T289" s="260"/>
      <c r="U289" s="261"/>
      <c r="V289" s="251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</row>
    <row r="290">
      <c r="A290" s="251">
        <f>IFERROR(__xludf.DUMMYFUNCTION("""COMPUTED_VALUE"""),8092355.0)</f>
        <v>8092355</v>
      </c>
      <c r="B290" s="252" t="str">
        <f>IFERROR(__xludf.DUMMYFUNCTION("""COMPUTED_VALUE"""),"BookingCom")</f>
        <v>BookingCom</v>
      </c>
      <c r="C290" s="253" t="str">
        <f>IFERROR(__xludf.DUMMYFUNCTION("""COMPUTED_VALUE"""),"Anders+Kjaer Roege ")</f>
        <v>Anders+Kjaer Roege </v>
      </c>
      <c r="D290" s="254">
        <f>IFERROR(__xludf.DUMMYFUNCTION("""COMPUTED_VALUE"""),46108.0)</f>
        <v>46108</v>
      </c>
      <c r="E290" s="251">
        <f>IFERROR(__xludf.DUMMYFUNCTION("""COMPUTED_VALUE"""),46111.0)</f>
        <v>46111</v>
      </c>
      <c r="F290" s="255">
        <f>IFERROR(__xludf.DUMMYFUNCTION("""COMPUTED_VALUE"""),3.0)</f>
        <v>3</v>
      </c>
      <c r="G290" s="255">
        <f>IFERROR(__xludf.DUMMYFUNCTION("""COMPUTED_VALUE"""),2.0)</f>
        <v>2</v>
      </c>
      <c r="H290" s="256">
        <f>IFERROR(__xludf.DUMMYFUNCTION("""COMPUTED_VALUE"""),262.08)</f>
        <v>262.08</v>
      </c>
      <c r="I290" s="256">
        <f>IFERROR(__xludf.DUMMYFUNCTION("""COMPUTED_VALUE"""),628.992)</f>
        <v>628.992</v>
      </c>
      <c r="J290" s="257">
        <f t="shared" si="1"/>
        <v>6</v>
      </c>
      <c r="K290" s="253"/>
      <c r="L290" s="253"/>
      <c r="M290" s="252"/>
      <c r="N290" s="258"/>
      <c r="O290" s="259"/>
      <c r="P290" s="259"/>
      <c r="Q290" s="262"/>
      <c r="R290" s="260"/>
      <c r="S290" s="260"/>
      <c r="T290" s="260"/>
      <c r="U290" s="261"/>
      <c r="V290" s="251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</row>
    <row r="291">
      <c r="A291" s="251">
        <f>IFERROR(__xludf.DUMMYFUNCTION("""COMPUTED_VALUE"""),8108020.0)</f>
        <v>8108020</v>
      </c>
      <c r="B291" s="252" t="str">
        <f>IFERROR(__xludf.DUMMYFUNCTION("""COMPUTED_VALUE"""),"BookingCom")</f>
        <v>BookingCom</v>
      </c>
      <c r="C291" s="253" t="str">
        <f>IFERROR(__xludf.DUMMYFUNCTION("""COMPUTED_VALUE"""),"Stephen Naunton ")</f>
        <v>Stephen Naunton </v>
      </c>
      <c r="D291" s="254">
        <f>IFERROR(__xludf.DUMMYFUNCTION("""COMPUTED_VALUE"""),46108.0)</f>
        <v>46108</v>
      </c>
      <c r="E291" s="251">
        <f>IFERROR(__xludf.DUMMYFUNCTION("""COMPUTED_VALUE"""),46112.0)</f>
        <v>46112</v>
      </c>
      <c r="F291" s="255">
        <f>IFERROR(__xludf.DUMMYFUNCTION("""COMPUTED_VALUE"""),4.0)</f>
        <v>4</v>
      </c>
      <c r="G291" s="255">
        <f>IFERROR(__xludf.DUMMYFUNCTION("""COMPUTED_VALUE"""),4.0)</f>
        <v>4</v>
      </c>
      <c r="H291" s="256">
        <f>IFERROR(__xludf.DUMMYFUNCTION("""COMPUTED_VALUE"""),425.17)</f>
        <v>425.17</v>
      </c>
      <c r="I291" s="256">
        <f>IFERROR(__xludf.DUMMYFUNCTION("""COMPUTED_VALUE"""),1360.544)</f>
        <v>1360.544</v>
      </c>
      <c r="J291" s="257">
        <f t="shared" si="1"/>
        <v>16</v>
      </c>
      <c r="K291" s="253"/>
      <c r="L291" s="253"/>
      <c r="M291" s="252"/>
      <c r="N291" s="258"/>
      <c r="O291" s="259"/>
      <c r="P291" s="259"/>
      <c r="Q291" s="262"/>
      <c r="R291" s="260"/>
      <c r="S291" s="260"/>
      <c r="T291" s="260"/>
      <c r="U291" s="261"/>
      <c r="V291" s="251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</row>
    <row r="292">
      <c r="A292" s="251">
        <f>IFERROR(__xludf.DUMMYFUNCTION("""COMPUTED_VALUE"""),7600498.0)</f>
        <v>7600498</v>
      </c>
      <c r="B292" s="252" t="str">
        <f>IFERROR(__xludf.DUMMYFUNCTION("""COMPUTED_VALUE"""),"Reseliva Pannel")</f>
        <v>Reseliva Pannel</v>
      </c>
      <c r="C292" s="253" t="str">
        <f>IFERROR(__xludf.DUMMYFUNCTION("""COMPUTED_VALUE"""),"Stan Natin ")</f>
        <v>Stan Natin </v>
      </c>
      <c r="D292" s="254">
        <f>IFERROR(__xludf.DUMMYFUNCTION("""COMPUTED_VALUE"""),46109.0)</f>
        <v>46109</v>
      </c>
      <c r="E292" s="251">
        <f>IFERROR(__xludf.DUMMYFUNCTION("""COMPUTED_VALUE"""),46110.0)</f>
        <v>46110</v>
      </c>
      <c r="F292" s="255">
        <f>IFERROR(__xludf.DUMMYFUNCTION("""COMPUTED_VALUE"""),1.0)</f>
        <v>1</v>
      </c>
      <c r="G292" s="255">
        <f>IFERROR(__xludf.DUMMYFUNCTION("""COMPUTED_VALUE"""),2.0)</f>
        <v>2</v>
      </c>
      <c r="H292" s="256">
        <f>IFERROR(__xludf.DUMMYFUNCTION("""COMPUTED_VALUE"""),225.36)</f>
        <v>225.36</v>
      </c>
      <c r="I292" s="256">
        <f>IFERROR(__xludf.DUMMYFUNCTION("""COMPUTED_VALUE"""),225.36)</f>
        <v>225.36</v>
      </c>
      <c r="J292" s="257">
        <f t="shared" si="1"/>
        <v>2</v>
      </c>
      <c r="K292" s="253"/>
      <c r="L292" s="253"/>
      <c r="M292" s="252"/>
      <c r="N292" s="258"/>
      <c r="O292" s="259"/>
      <c r="P292" s="259"/>
      <c r="Q292" s="262"/>
      <c r="R292" s="260"/>
      <c r="S292" s="260"/>
      <c r="T292" s="260"/>
      <c r="U292" s="261"/>
      <c r="V292" s="251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</row>
    <row r="293">
      <c r="A293" s="251">
        <f>IFERROR(__xludf.DUMMYFUNCTION("""COMPUTED_VALUE"""),7630787.0)</f>
        <v>7630787</v>
      </c>
      <c r="B293" s="252" t="str">
        <f>IFERROR(__xludf.DUMMYFUNCTION("""COMPUTED_VALUE"""),"BookingCom")</f>
        <v>BookingCom</v>
      </c>
      <c r="C293" s="253" t="str">
        <f>IFERROR(__xludf.DUMMYFUNCTION("""COMPUTED_VALUE"""),"Maarten Gijssel ")</f>
        <v>Maarten Gijssel </v>
      </c>
      <c r="D293" s="254">
        <f>IFERROR(__xludf.DUMMYFUNCTION("""COMPUTED_VALUE"""),46109.0)</f>
        <v>46109</v>
      </c>
      <c r="E293" s="251">
        <f>IFERROR(__xludf.DUMMYFUNCTION("""COMPUTED_VALUE"""),46112.0)</f>
        <v>46112</v>
      </c>
      <c r="F293" s="255">
        <f>IFERROR(__xludf.DUMMYFUNCTION("""COMPUTED_VALUE"""),3.0)</f>
        <v>3</v>
      </c>
      <c r="G293" s="255">
        <f>IFERROR(__xludf.DUMMYFUNCTION("""COMPUTED_VALUE"""),3.0)</f>
        <v>3</v>
      </c>
      <c r="H293" s="256">
        <f>IFERROR(__xludf.DUMMYFUNCTION("""COMPUTED_VALUE"""),133.19)</f>
        <v>133.19</v>
      </c>
      <c r="I293" s="256">
        <f>IFERROR(__xludf.DUMMYFUNCTION("""COMPUTED_VALUE"""),319.656)</f>
        <v>319.656</v>
      </c>
      <c r="J293" s="257">
        <f t="shared" si="1"/>
        <v>9</v>
      </c>
      <c r="K293" s="253"/>
      <c r="L293" s="253"/>
      <c r="M293" s="275"/>
      <c r="N293" s="258"/>
      <c r="O293" s="259"/>
      <c r="P293" s="259"/>
      <c r="Q293" s="262"/>
      <c r="R293" s="260"/>
      <c r="S293" s="260"/>
      <c r="T293" s="260"/>
      <c r="U293" s="261"/>
      <c r="V293" s="251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</row>
    <row r="294">
      <c r="A294" s="251">
        <f>IFERROR(__xludf.DUMMYFUNCTION("""COMPUTED_VALUE"""),7736526.0)</f>
        <v>7736526</v>
      </c>
      <c r="B294" s="252" t="str">
        <f>IFERROR(__xludf.DUMMYFUNCTION("""COMPUTED_VALUE"""),"BookingCom")</f>
        <v>BookingCom</v>
      </c>
      <c r="C294" s="253" t="str">
        <f>IFERROR(__xludf.DUMMYFUNCTION("""COMPUTED_VALUE"""),"Andrea Fiorentino ")</f>
        <v>Andrea Fiorentino </v>
      </c>
      <c r="D294" s="254">
        <f>IFERROR(__xludf.DUMMYFUNCTION("""COMPUTED_VALUE"""),46109.0)</f>
        <v>46109</v>
      </c>
      <c r="E294" s="251">
        <f>IFERROR(__xludf.DUMMYFUNCTION("""COMPUTED_VALUE"""),46113.0)</f>
        <v>46113</v>
      </c>
      <c r="F294" s="255">
        <f>IFERROR(__xludf.DUMMYFUNCTION("""COMPUTED_VALUE"""),4.0)</f>
        <v>4</v>
      </c>
      <c r="G294" s="255">
        <f>IFERROR(__xludf.DUMMYFUNCTION("""COMPUTED_VALUE"""),2.0)</f>
        <v>2</v>
      </c>
      <c r="H294" s="256">
        <f>IFERROR(__xludf.DUMMYFUNCTION("""COMPUTED_VALUE"""),204.83)</f>
        <v>204.83</v>
      </c>
      <c r="I294" s="256">
        <f>IFERROR(__xludf.DUMMYFUNCTION("""COMPUTED_VALUE"""),655.4560000000001)</f>
        <v>655.456</v>
      </c>
      <c r="J294" s="257">
        <f t="shared" si="1"/>
        <v>8</v>
      </c>
      <c r="K294" s="253"/>
      <c r="L294" s="253"/>
      <c r="M294" s="275"/>
      <c r="N294" s="258"/>
      <c r="O294" s="259"/>
      <c r="P294" s="259"/>
      <c r="Q294" s="262"/>
      <c r="R294" s="260"/>
      <c r="S294" s="260"/>
      <c r="T294" s="260"/>
      <c r="U294" s="261"/>
      <c r="V294" s="251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</row>
    <row r="295">
      <c r="A295" s="251">
        <f>IFERROR(__xludf.DUMMYFUNCTION("""COMPUTED_VALUE"""),7793985.0)</f>
        <v>7793985</v>
      </c>
      <c r="B295" s="252" t="str">
        <f>IFERROR(__xludf.DUMMYFUNCTION("""COMPUTED_VALUE"""),"BookingCom")</f>
        <v>BookingCom</v>
      </c>
      <c r="C295" s="253" t="str">
        <f>IFERROR(__xludf.DUMMYFUNCTION("""COMPUTED_VALUE"""),"Ugo Battaglia ")</f>
        <v>Ugo Battaglia </v>
      </c>
      <c r="D295" s="254">
        <f>IFERROR(__xludf.DUMMYFUNCTION("""COMPUTED_VALUE"""),46109.0)</f>
        <v>46109</v>
      </c>
      <c r="E295" s="251">
        <f>IFERROR(__xludf.DUMMYFUNCTION("""COMPUTED_VALUE"""),46111.0)</f>
        <v>46111</v>
      </c>
      <c r="F295" s="255">
        <f>IFERROR(__xludf.DUMMYFUNCTION("""COMPUTED_VALUE"""),2.0)</f>
        <v>2</v>
      </c>
      <c r="G295" s="255">
        <f>IFERROR(__xludf.DUMMYFUNCTION("""COMPUTED_VALUE"""),2.0)</f>
        <v>2</v>
      </c>
      <c r="H295" s="256">
        <f>IFERROR(__xludf.DUMMYFUNCTION("""COMPUTED_VALUE"""),146.93)</f>
        <v>146.93</v>
      </c>
      <c r="I295" s="256">
        <f>IFERROR(__xludf.DUMMYFUNCTION("""COMPUTED_VALUE"""),235.08800000000002)</f>
        <v>235.088</v>
      </c>
      <c r="J295" s="257">
        <f t="shared" si="1"/>
        <v>4</v>
      </c>
      <c r="K295" s="253"/>
      <c r="L295" s="253"/>
      <c r="M295" s="252"/>
      <c r="N295" s="258"/>
      <c r="O295" s="259"/>
      <c r="P295" s="259"/>
      <c r="Q295" s="262"/>
      <c r="R295" s="260"/>
      <c r="S295" s="260"/>
      <c r="T295" s="260"/>
      <c r="U295" s="261"/>
      <c r="V295" s="251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</row>
    <row r="296">
      <c r="A296" s="251">
        <f>IFERROR(__xludf.DUMMYFUNCTION("""COMPUTED_VALUE"""),7816585.0)</f>
        <v>7816585</v>
      </c>
      <c r="B296" s="252" t="str">
        <f>IFERROR(__xludf.DUMMYFUNCTION("""COMPUTED_VALUE"""),"BookingCom")</f>
        <v>BookingCom</v>
      </c>
      <c r="C296" s="253" t="str">
        <f>IFERROR(__xludf.DUMMYFUNCTION("""COMPUTED_VALUE"""),"James Cuoco ")</f>
        <v>James Cuoco </v>
      </c>
      <c r="D296" s="254">
        <f>IFERROR(__xludf.DUMMYFUNCTION("""COMPUTED_VALUE"""),46109.0)</f>
        <v>46109</v>
      </c>
      <c r="E296" s="251">
        <f>IFERROR(__xludf.DUMMYFUNCTION("""COMPUTED_VALUE"""),46110.0)</f>
        <v>46110</v>
      </c>
      <c r="F296" s="255">
        <f>IFERROR(__xludf.DUMMYFUNCTION("""COMPUTED_VALUE"""),1.0)</f>
        <v>1</v>
      </c>
      <c r="G296" s="255">
        <f>IFERROR(__xludf.DUMMYFUNCTION("""COMPUTED_VALUE"""),2.0)</f>
        <v>2</v>
      </c>
      <c r="H296" s="256">
        <f>IFERROR(__xludf.DUMMYFUNCTION("""COMPUTED_VALUE"""),334.02)</f>
        <v>334.02</v>
      </c>
      <c r="I296" s="256">
        <f>IFERROR(__xludf.DUMMYFUNCTION("""COMPUTED_VALUE"""),267.216)</f>
        <v>267.216</v>
      </c>
      <c r="J296" s="257">
        <f t="shared" si="1"/>
        <v>2</v>
      </c>
      <c r="K296" s="253"/>
      <c r="L296" s="253"/>
      <c r="M296" s="252"/>
      <c r="N296" s="258"/>
      <c r="O296" s="259"/>
      <c r="P296" s="259"/>
      <c r="Q296" s="262"/>
      <c r="R296" s="260"/>
      <c r="S296" s="260"/>
      <c r="T296" s="260"/>
      <c r="U296" s="261"/>
      <c r="V296" s="251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</row>
    <row r="297">
      <c r="A297" s="251">
        <f>IFERROR(__xludf.DUMMYFUNCTION("""COMPUTED_VALUE"""),7817947.0)</f>
        <v>7817947</v>
      </c>
      <c r="B297" s="307" t="str">
        <f>IFERROR(__xludf.DUMMYFUNCTION("""COMPUTED_VALUE"""),"Hotels.com")</f>
        <v>Hotels.com</v>
      </c>
      <c r="C297" s="253" t="str">
        <f>IFERROR(__xludf.DUMMYFUNCTION("""COMPUTED_VALUE"""),"Terri stein ")</f>
        <v>Terri stein </v>
      </c>
      <c r="D297" s="254">
        <f>IFERROR(__xludf.DUMMYFUNCTION("""COMPUTED_VALUE"""),46109.0)</f>
        <v>46109</v>
      </c>
      <c r="E297" s="251">
        <f>IFERROR(__xludf.DUMMYFUNCTION("""COMPUTED_VALUE"""),46110.0)</f>
        <v>46110</v>
      </c>
      <c r="F297" s="255">
        <f>IFERROR(__xludf.DUMMYFUNCTION("""COMPUTED_VALUE"""),1.0)</f>
        <v>1</v>
      </c>
      <c r="G297" s="255">
        <f>IFERROR(__xludf.DUMMYFUNCTION("""COMPUTED_VALUE"""),2.0)</f>
        <v>2</v>
      </c>
      <c r="H297" s="256">
        <f>IFERROR(__xludf.DUMMYFUNCTION("""COMPUTED_VALUE"""),239.76)</f>
        <v>239.76</v>
      </c>
      <c r="I297" s="256">
        <f>IFERROR(__xludf.DUMMYFUNCTION("""COMPUTED_VALUE"""),191.808)</f>
        <v>191.808</v>
      </c>
      <c r="J297" s="257">
        <f t="shared" si="1"/>
        <v>2</v>
      </c>
      <c r="K297" s="253"/>
      <c r="L297" s="253"/>
      <c r="M297" s="252"/>
      <c r="N297" s="258"/>
      <c r="O297" s="259"/>
      <c r="P297" s="259"/>
      <c r="Q297" s="262"/>
      <c r="R297" s="260"/>
      <c r="S297" s="260"/>
      <c r="T297" s="260"/>
      <c r="U297" s="261"/>
      <c r="V297" s="251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</row>
    <row r="298">
      <c r="A298" s="251">
        <f>IFERROR(__xludf.DUMMYFUNCTION("""COMPUTED_VALUE"""),7820731.0)</f>
        <v>7820731</v>
      </c>
      <c r="B298" s="252" t="str">
        <f>IFERROR(__xludf.DUMMYFUNCTION("""COMPUTED_VALUE"""),"BookingCom")</f>
        <v>BookingCom</v>
      </c>
      <c r="C298" s="253" t="str">
        <f>IFERROR(__xludf.DUMMYFUNCTION("""COMPUTED_VALUE"""),"Cristina Hazarabedian Souza ")</f>
        <v>Cristina Hazarabedian Souza </v>
      </c>
      <c r="D298" s="254">
        <f>IFERROR(__xludf.DUMMYFUNCTION("""COMPUTED_VALUE"""),46110.0)</f>
        <v>46110</v>
      </c>
      <c r="E298" s="251">
        <f>IFERROR(__xludf.DUMMYFUNCTION("""COMPUTED_VALUE"""),46112.0)</f>
        <v>46112</v>
      </c>
      <c r="F298" s="255">
        <f>IFERROR(__xludf.DUMMYFUNCTION("""COMPUTED_VALUE"""),2.0)</f>
        <v>2</v>
      </c>
      <c r="G298" s="255">
        <f>IFERROR(__xludf.DUMMYFUNCTION("""COMPUTED_VALUE"""),3.0)</f>
        <v>3</v>
      </c>
      <c r="H298" s="256">
        <f>IFERROR(__xludf.DUMMYFUNCTION("""COMPUTED_VALUE"""),210.49)</f>
        <v>210.49</v>
      </c>
      <c r="I298" s="256">
        <f>IFERROR(__xludf.DUMMYFUNCTION("""COMPUTED_VALUE"""),336.78400000000005)</f>
        <v>336.784</v>
      </c>
      <c r="J298" s="257">
        <f t="shared" si="1"/>
        <v>6</v>
      </c>
      <c r="K298" s="253"/>
      <c r="L298" s="253"/>
      <c r="M298" s="252"/>
      <c r="N298" s="258"/>
      <c r="O298" s="259"/>
      <c r="P298" s="259"/>
      <c r="Q298" s="262"/>
      <c r="R298" s="260"/>
      <c r="S298" s="260"/>
      <c r="T298" s="260"/>
      <c r="U298" s="261"/>
      <c r="V298" s="251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</row>
    <row r="299">
      <c r="A299" s="251">
        <f>IFERROR(__xludf.DUMMYFUNCTION("""COMPUTED_VALUE"""),8109439.0)</f>
        <v>8109439</v>
      </c>
      <c r="B299" s="252" t="str">
        <f>IFERROR(__xludf.DUMMYFUNCTION("""COMPUTED_VALUE"""),"BookingCom")</f>
        <v>BookingCom</v>
      </c>
      <c r="C299" s="253" t="str">
        <f>IFERROR(__xludf.DUMMYFUNCTION("""COMPUTED_VALUE"""),"Delphine Poirot ")</f>
        <v>Delphine Poirot </v>
      </c>
      <c r="D299" s="254">
        <f>IFERROR(__xludf.DUMMYFUNCTION("""COMPUTED_VALUE"""),46111.0)</f>
        <v>46111</v>
      </c>
      <c r="E299" s="251">
        <f>IFERROR(__xludf.DUMMYFUNCTION("""COMPUTED_VALUE"""),46113.0)</f>
        <v>46113</v>
      </c>
      <c r="F299" s="255">
        <f>IFERROR(__xludf.DUMMYFUNCTION("""COMPUTED_VALUE"""),2.0)</f>
        <v>2</v>
      </c>
      <c r="G299" s="255">
        <f>IFERROR(__xludf.DUMMYFUNCTION("""COMPUTED_VALUE"""),2.0)</f>
        <v>2</v>
      </c>
      <c r="H299" s="256">
        <f>IFERROR(__xludf.DUMMYFUNCTION("""COMPUTED_VALUE"""),208.32)</f>
        <v>208.32</v>
      </c>
      <c r="I299" s="256">
        <f>IFERROR(__xludf.DUMMYFUNCTION("""COMPUTED_VALUE"""),333.312)</f>
        <v>333.312</v>
      </c>
      <c r="J299" s="257">
        <f t="shared" si="1"/>
        <v>4</v>
      </c>
      <c r="K299" s="253"/>
      <c r="L299" s="253"/>
      <c r="M299" s="252"/>
      <c r="N299" s="258"/>
      <c r="O299" s="259"/>
      <c r="P299" s="259"/>
      <c r="Q299" s="262"/>
      <c r="R299" s="260"/>
      <c r="S299" s="260"/>
      <c r="T299" s="260"/>
      <c r="U299" s="261"/>
      <c r="V299" s="251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</row>
    <row r="300">
      <c r="A300" s="251">
        <f>IFERROR(__xludf.DUMMYFUNCTION("""COMPUTED_VALUE"""),8178001.0)</f>
        <v>8178001</v>
      </c>
      <c r="B300" s="252" t="str">
        <f>IFERROR(__xludf.DUMMYFUNCTION("""COMPUTED_VALUE"""),"BookingCom")</f>
        <v>BookingCom</v>
      </c>
      <c r="C300" s="253" t="str">
        <f>IFERROR(__xludf.DUMMYFUNCTION("""COMPUTED_VALUE"""),"Nicole Schmid ")</f>
        <v>Nicole Schmid </v>
      </c>
      <c r="D300" s="254">
        <f>IFERROR(__xludf.DUMMYFUNCTION("""COMPUTED_VALUE"""),46111.0)</f>
        <v>46111</v>
      </c>
      <c r="E300" s="251">
        <f>IFERROR(__xludf.DUMMYFUNCTION("""COMPUTED_VALUE"""),46112.0)</f>
        <v>46112</v>
      </c>
      <c r="F300" s="255">
        <f>IFERROR(__xludf.DUMMYFUNCTION("""COMPUTED_VALUE"""),1.0)</f>
        <v>1</v>
      </c>
      <c r="G300" s="255">
        <f>IFERROR(__xludf.DUMMYFUNCTION("""COMPUTED_VALUE"""),2.0)</f>
        <v>2</v>
      </c>
      <c r="H300" s="256">
        <f>IFERROR(__xludf.DUMMYFUNCTION("""COMPUTED_VALUE"""),138.88)</f>
        <v>138.88</v>
      </c>
      <c r="I300" s="256">
        <f>IFERROR(__xludf.DUMMYFUNCTION("""COMPUTED_VALUE"""),111.104)</f>
        <v>111.104</v>
      </c>
      <c r="J300" s="257">
        <f t="shared" si="1"/>
        <v>2</v>
      </c>
      <c r="K300" s="253"/>
      <c r="L300" s="253"/>
      <c r="M300" s="275"/>
      <c r="N300" s="258"/>
      <c r="O300" s="259"/>
      <c r="P300" s="259"/>
      <c r="Q300" s="262"/>
      <c r="R300" s="260"/>
      <c r="S300" s="260"/>
      <c r="T300" s="260"/>
      <c r="U300" s="261"/>
      <c r="V300" s="251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</row>
    <row r="301">
      <c r="A301" s="251">
        <f>IFERROR(__xludf.DUMMYFUNCTION("""COMPUTED_VALUE"""),7727500.0)</f>
        <v>7727500</v>
      </c>
      <c r="B301" s="252" t="str">
        <f>IFERROR(__xludf.DUMMYFUNCTION("""COMPUTED_VALUE"""),"BookingCom")</f>
        <v>BookingCom</v>
      </c>
      <c r="C301" s="253" t="str">
        <f>IFERROR(__xludf.DUMMYFUNCTION("""COMPUTED_VALUE"""),"Celine Bellier ")</f>
        <v>Celine Bellier </v>
      </c>
      <c r="D301" s="254">
        <f>IFERROR(__xludf.DUMMYFUNCTION("""COMPUTED_VALUE"""),46112.0)</f>
        <v>46112</v>
      </c>
      <c r="E301" s="251">
        <f>IFERROR(__xludf.DUMMYFUNCTION("""COMPUTED_VALUE"""),46116.0)</f>
        <v>46116</v>
      </c>
      <c r="F301" s="255">
        <f>IFERROR(__xludf.DUMMYFUNCTION("""COMPUTED_VALUE"""),4.0)</f>
        <v>4</v>
      </c>
      <c r="G301" s="255">
        <f>IFERROR(__xludf.DUMMYFUNCTION("""COMPUTED_VALUE"""),2.0)</f>
        <v>2</v>
      </c>
      <c r="H301" s="256">
        <f>IFERROR(__xludf.DUMMYFUNCTION("""COMPUTED_VALUE"""),131.6)</f>
        <v>131.6</v>
      </c>
      <c r="I301" s="256">
        <f>IFERROR(__xludf.DUMMYFUNCTION("""COMPUTED_VALUE"""),421.12)</f>
        <v>421.12</v>
      </c>
      <c r="J301" s="257">
        <f t="shared" si="1"/>
        <v>8</v>
      </c>
      <c r="K301" s="253"/>
      <c r="L301" s="253"/>
      <c r="M301" s="275"/>
      <c r="N301" s="258"/>
      <c r="O301" s="259"/>
      <c r="P301" s="259"/>
      <c r="Q301" s="262"/>
      <c r="R301" s="260"/>
      <c r="S301" s="260"/>
      <c r="T301" s="260"/>
      <c r="U301" s="261"/>
      <c r="V301" s="251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</row>
    <row r="302">
      <c r="A302" s="251">
        <f>IFERROR(__xludf.DUMMYFUNCTION("""COMPUTED_VALUE"""),7744501.0)</f>
        <v>7744501</v>
      </c>
      <c r="B302" s="252" t="str">
        <f>IFERROR(__xludf.DUMMYFUNCTION("""COMPUTED_VALUE"""),"BookingCom")</f>
        <v>BookingCom</v>
      </c>
      <c r="C302" s="253" t="str">
        <f>IFERROR(__xludf.DUMMYFUNCTION("""COMPUTED_VALUE"""),"Linda Buckley ")</f>
        <v>Linda Buckley </v>
      </c>
      <c r="D302" s="254">
        <f>IFERROR(__xludf.DUMMYFUNCTION("""COMPUTED_VALUE"""),46112.0)</f>
        <v>46112</v>
      </c>
      <c r="E302" s="251">
        <f>IFERROR(__xludf.DUMMYFUNCTION("""COMPUTED_VALUE"""),46113.0)</f>
        <v>46113</v>
      </c>
      <c r="F302" s="255">
        <f>IFERROR(__xludf.DUMMYFUNCTION("""COMPUTED_VALUE"""),1.0)</f>
        <v>1</v>
      </c>
      <c r="G302" s="255">
        <f>IFERROR(__xludf.DUMMYFUNCTION("""COMPUTED_VALUE"""),2.0)</f>
        <v>2</v>
      </c>
      <c r="H302" s="256">
        <f>IFERROR(__xludf.DUMMYFUNCTION("""COMPUTED_VALUE"""),182.08)</f>
        <v>182.08</v>
      </c>
      <c r="I302" s="256">
        <f>IFERROR(__xludf.DUMMYFUNCTION("""COMPUTED_VALUE"""),145.66400000000002)</f>
        <v>145.664</v>
      </c>
      <c r="J302" s="257">
        <f t="shared" si="1"/>
        <v>2</v>
      </c>
      <c r="K302" s="253"/>
      <c r="L302" s="253"/>
      <c r="M302" s="275"/>
      <c r="N302" s="258"/>
      <c r="O302" s="259"/>
      <c r="P302" s="259"/>
      <c r="Q302" s="262"/>
      <c r="R302" s="260"/>
      <c r="S302" s="260"/>
      <c r="T302" s="260"/>
      <c r="U302" s="261"/>
      <c r="V302" s="251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</row>
    <row r="303">
      <c r="A303" s="251">
        <f>IFERROR(__xludf.DUMMYFUNCTION("""COMPUTED_VALUE"""),7768032.0)</f>
        <v>7768032</v>
      </c>
      <c r="B303" s="252" t="str">
        <f>IFERROR(__xludf.DUMMYFUNCTION("""COMPUTED_VALUE"""),"BookingCom")</f>
        <v>BookingCom</v>
      </c>
      <c r="C303" s="253" t="str">
        <f>IFERROR(__xludf.DUMMYFUNCTION("""COMPUTED_VALUE"""),"Dagmar Strohmeyer ")</f>
        <v>Dagmar Strohmeyer </v>
      </c>
      <c r="D303" s="308">
        <f>IFERROR(__xludf.DUMMYFUNCTION("""COMPUTED_VALUE"""),46112.0)</f>
        <v>46112</v>
      </c>
      <c r="E303" s="251">
        <f>IFERROR(__xludf.DUMMYFUNCTION("""COMPUTED_VALUE"""),46114.0)</f>
        <v>46114</v>
      </c>
      <c r="F303" s="255">
        <f>IFERROR(__xludf.DUMMYFUNCTION("""COMPUTED_VALUE"""),2.0)</f>
        <v>2</v>
      </c>
      <c r="G303" s="255">
        <f>IFERROR(__xludf.DUMMYFUNCTION("""COMPUTED_VALUE"""),2.0)</f>
        <v>2</v>
      </c>
      <c r="H303" s="256">
        <f>IFERROR(__xludf.DUMMYFUNCTION("""COMPUTED_VALUE"""),204.33)</f>
        <v>204.33</v>
      </c>
      <c r="I303" s="256">
        <f>IFERROR(__xludf.DUMMYFUNCTION("""COMPUTED_VALUE"""),326.92800000000005)</f>
        <v>326.928</v>
      </c>
      <c r="J303" s="257">
        <f t="shared" si="1"/>
        <v>4</v>
      </c>
      <c r="K303" s="253"/>
      <c r="L303" s="253"/>
      <c r="M303" s="252"/>
      <c r="N303" s="258"/>
      <c r="O303" s="259"/>
      <c r="P303" s="259"/>
      <c r="Q303" s="262"/>
      <c r="R303" s="260"/>
      <c r="S303" s="260"/>
      <c r="T303" s="260"/>
      <c r="U303" s="261"/>
      <c r="V303" s="251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</row>
    <row r="304">
      <c r="A304" s="251">
        <f>IFERROR(__xludf.DUMMYFUNCTION("""COMPUTED_VALUE"""),8096276.0)</f>
        <v>8096276</v>
      </c>
      <c r="B304" s="252" t="str">
        <f>IFERROR(__xludf.DUMMYFUNCTION("""COMPUTED_VALUE"""),"BookingCom")</f>
        <v>BookingCom</v>
      </c>
      <c r="C304" s="253" t="str">
        <f>IFERROR(__xludf.DUMMYFUNCTION("""COMPUTED_VALUE"""),"Martina Indlekofer ")</f>
        <v>Martina Indlekofer </v>
      </c>
      <c r="D304" s="254">
        <f>IFERROR(__xludf.DUMMYFUNCTION("""COMPUTED_VALUE"""),46112.0)</f>
        <v>46112</v>
      </c>
      <c r="E304" s="251">
        <f>IFERROR(__xludf.DUMMYFUNCTION("""COMPUTED_VALUE"""),46115.0)</f>
        <v>46115</v>
      </c>
      <c r="F304" s="255">
        <f>IFERROR(__xludf.DUMMYFUNCTION("""COMPUTED_VALUE"""),3.0)</f>
        <v>3</v>
      </c>
      <c r="G304" s="255">
        <f>IFERROR(__xludf.DUMMYFUNCTION("""COMPUTED_VALUE"""),3.0)</f>
        <v>3</v>
      </c>
      <c r="H304" s="256">
        <f>IFERROR(__xludf.DUMMYFUNCTION("""COMPUTED_VALUE"""),189.78)</f>
        <v>189.78</v>
      </c>
      <c r="I304" s="256">
        <f>IFERROR(__xludf.DUMMYFUNCTION("""COMPUTED_VALUE"""),455.47200000000004)</f>
        <v>455.472</v>
      </c>
      <c r="J304" s="257">
        <f t="shared" si="1"/>
        <v>9</v>
      </c>
      <c r="K304" s="253"/>
      <c r="L304" s="253"/>
      <c r="M304" s="252"/>
      <c r="N304" s="258"/>
      <c r="O304" s="259"/>
      <c r="P304" s="259"/>
      <c r="Q304" s="257"/>
      <c r="R304" s="260"/>
      <c r="S304" s="260"/>
      <c r="T304" s="260"/>
      <c r="U304" s="261"/>
      <c r="V304" s="251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</row>
    <row r="305">
      <c r="A305" s="251">
        <f>IFERROR(__xludf.DUMMYFUNCTION("""COMPUTED_VALUE"""),8206030.0)</f>
        <v>8206030</v>
      </c>
      <c r="B305" s="252" t="str">
        <f>IFERROR(__xludf.DUMMYFUNCTION("""COMPUTED_VALUE"""),"BookingCom")</f>
        <v>BookingCom</v>
      </c>
      <c r="C305" s="253" t="str">
        <f>IFERROR(__xludf.DUMMYFUNCTION("""COMPUTED_VALUE"""),"melissa coventry ")</f>
        <v>melissa coventry </v>
      </c>
      <c r="D305" s="254">
        <f>IFERROR(__xludf.DUMMYFUNCTION("""COMPUTED_VALUE"""),46112.0)</f>
        <v>46112</v>
      </c>
      <c r="E305" s="251">
        <f>IFERROR(__xludf.DUMMYFUNCTION("""COMPUTED_VALUE"""),46113.0)</f>
        <v>46113</v>
      </c>
      <c r="F305" s="255">
        <f>IFERROR(__xludf.DUMMYFUNCTION("""COMPUTED_VALUE"""),1.0)</f>
        <v>1</v>
      </c>
      <c r="G305" s="255">
        <f>IFERROR(__xludf.DUMMYFUNCTION("""COMPUTED_VALUE"""),2.0)</f>
        <v>2</v>
      </c>
      <c r="H305" s="256">
        <f>IFERROR(__xludf.DUMMYFUNCTION("""COMPUTED_VALUE"""),242.06)</f>
        <v>242.06</v>
      </c>
      <c r="I305" s="256">
        <f>IFERROR(__xludf.DUMMYFUNCTION("""COMPUTED_VALUE"""),193.64800000000002)</f>
        <v>193.648</v>
      </c>
      <c r="J305" s="257">
        <f t="shared" si="1"/>
        <v>2</v>
      </c>
      <c r="K305" s="253"/>
      <c r="L305" s="253"/>
      <c r="M305" s="252"/>
      <c r="N305" s="258"/>
      <c r="O305" s="259"/>
      <c r="P305" s="259"/>
      <c r="Q305" s="262"/>
      <c r="R305" s="260"/>
      <c r="S305" s="260"/>
      <c r="T305" s="260"/>
      <c r="U305" s="261"/>
      <c r="V305" s="251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</row>
    <row r="306">
      <c r="A306" s="251">
        <f>IFERROR(__xludf.DUMMYFUNCTION("""COMPUTED_VALUE"""),7642897.0)</f>
        <v>7642897</v>
      </c>
      <c r="B306" s="252" t="str">
        <f>IFERROR(__xludf.DUMMYFUNCTION("""COMPUTED_VALUE"""),"BookingCom")</f>
        <v>BookingCom</v>
      </c>
      <c r="C306" s="253" t="str">
        <f>IFERROR(__xludf.DUMMYFUNCTION("""COMPUTED_VALUE"""),"Sandra Laegner ")</f>
        <v>Sandra Laegner </v>
      </c>
      <c r="D306" s="254">
        <f>IFERROR(__xludf.DUMMYFUNCTION("""COMPUTED_VALUE"""),46113.0)</f>
        <v>46113</v>
      </c>
      <c r="E306" s="251">
        <f>IFERROR(__xludf.DUMMYFUNCTION("""COMPUTED_VALUE"""),46118.0)</f>
        <v>46118</v>
      </c>
      <c r="F306" s="255">
        <f>IFERROR(__xludf.DUMMYFUNCTION("""COMPUTED_VALUE"""),5.0)</f>
        <v>5</v>
      </c>
      <c r="G306" s="255">
        <f>IFERROR(__xludf.DUMMYFUNCTION("""COMPUTED_VALUE"""),2.0)</f>
        <v>2</v>
      </c>
      <c r="H306" s="256">
        <f>IFERROR(__xludf.DUMMYFUNCTION("""COMPUTED_VALUE"""),175.56)</f>
        <v>175.56</v>
      </c>
      <c r="I306" s="256">
        <f>IFERROR(__xludf.DUMMYFUNCTION("""COMPUTED_VALUE"""),702.24)</f>
        <v>702.24</v>
      </c>
      <c r="J306" s="257">
        <f t="shared" si="1"/>
        <v>10</v>
      </c>
      <c r="K306" s="253"/>
      <c r="L306" s="253"/>
      <c r="M306" s="252"/>
      <c r="N306" s="258"/>
      <c r="O306" s="259"/>
      <c r="P306" s="259"/>
      <c r="Q306" s="262"/>
      <c r="R306" s="260"/>
      <c r="S306" s="260"/>
      <c r="T306" s="260"/>
      <c r="U306" s="261"/>
      <c r="V306" s="309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</row>
    <row r="307">
      <c r="A307" s="251">
        <f>IFERROR(__xludf.DUMMYFUNCTION("""COMPUTED_VALUE"""),7797907.0)</f>
        <v>7797907</v>
      </c>
      <c r="B307" s="252" t="str">
        <f>IFERROR(__xludf.DUMMYFUNCTION("""COMPUTED_VALUE"""),"Reseliva Pannel")</f>
        <v>Reseliva Pannel</v>
      </c>
      <c r="C307" s="253" t="str">
        <f>IFERROR(__xludf.DUMMYFUNCTION("""COMPUTED_VALUE"""),"ecolinko travel ")</f>
        <v>ecolinko travel </v>
      </c>
      <c r="D307" s="254">
        <f>IFERROR(__xludf.DUMMYFUNCTION("""COMPUTED_VALUE"""),46113.0)</f>
        <v>46113</v>
      </c>
      <c r="E307" s="251">
        <f>IFERROR(__xludf.DUMMYFUNCTION("""COMPUTED_VALUE"""),46115.0)</f>
        <v>46115</v>
      </c>
      <c r="F307" s="255">
        <f>IFERROR(__xludf.DUMMYFUNCTION("""COMPUTED_VALUE"""),2.0)</f>
        <v>2</v>
      </c>
      <c r="G307" s="255">
        <f>IFERROR(__xludf.DUMMYFUNCTION("""COMPUTED_VALUE"""),2.0)</f>
        <v>2</v>
      </c>
      <c r="H307" s="256">
        <f>IFERROR(__xludf.DUMMYFUNCTION("""COMPUTED_VALUE"""),270.0)</f>
        <v>270</v>
      </c>
      <c r="I307" s="256">
        <f>IFERROR(__xludf.DUMMYFUNCTION("""COMPUTED_VALUE"""),540.0)</f>
        <v>540</v>
      </c>
      <c r="J307" s="257">
        <f t="shared" si="1"/>
        <v>4</v>
      </c>
      <c r="K307" s="253"/>
      <c r="L307" s="253"/>
      <c r="M307" s="275"/>
      <c r="N307" s="258"/>
      <c r="O307" s="259"/>
      <c r="P307" s="259"/>
      <c r="Q307" s="262"/>
      <c r="R307" s="260"/>
      <c r="S307" s="260"/>
      <c r="T307" s="273"/>
      <c r="U307" s="274"/>
      <c r="V307" s="263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</row>
    <row r="308">
      <c r="A308" s="251">
        <f>IFERROR(__xludf.DUMMYFUNCTION("""COMPUTED_VALUE"""),7797907.0)</f>
        <v>7797907</v>
      </c>
      <c r="B308" s="252" t="str">
        <f>IFERROR(__xludf.DUMMYFUNCTION("""COMPUTED_VALUE"""),"Reseliva Pannel")</f>
        <v>Reseliva Pannel</v>
      </c>
      <c r="C308" s="253" t="str">
        <f>IFERROR(__xludf.DUMMYFUNCTION("""COMPUTED_VALUE"""),"ecolinko travel ")</f>
        <v>ecolinko travel </v>
      </c>
      <c r="D308" s="254">
        <f>IFERROR(__xludf.DUMMYFUNCTION("""COMPUTED_VALUE"""),46113.0)</f>
        <v>46113</v>
      </c>
      <c r="E308" s="251">
        <f>IFERROR(__xludf.DUMMYFUNCTION("""COMPUTED_VALUE"""),46115.0)</f>
        <v>46115</v>
      </c>
      <c r="F308" s="255">
        <f>IFERROR(__xludf.DUMMYFUNCTION("""COMPUTED_VALUE"""),2.0)</f>
        <v>2</v>
      </c>
      <c r="G308" s="255">
        <f>IFERROR(__xludf.DUMMYFUNCTION("""COMPUTED_VALUE"""),2.0)</f>
        <v>2</v>
      </c>
      <c r="H308" s="256">
        <f>IFERROR(__xludf.DUMMYFUNCTION("""COMPUTED_VALUE"""),270.0)</f>
        <v>270</v>
      </c>
      <c r="I308" s="256">
        <f>IFERROR(__xludf.DUMMYFUNCTION("""COMPUTED_VALUE"""),540.0)</f>
        <v>540</v>
      </c>
      <c r="J308" s="257">
        <f t="shared" si="1"/>
        <v>4</v>
      </c>
      <c r="K308" s="253"/>
      <c r="L308" s="253"/>
      <c r="M308" s="275"/>
      <c r="N308" s="258"/>
      <c r="O308" s="259"/>
      <c r="P308" s="259"/>
      <c r="Q308" s="262"/>
      <c r="R308" s="260"/>
      <c r="S308" s="260"/>
      <c r="T308" s="260"/>
      <c r="U308" s="261"/>
      <c r="V308" s="304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</row>
    <row r="309">
      <c r="A309" s="251">
        <f>IFERROR(__xludf.DUMMYFUNCTION("""COMPUTED_VALUE"""),8050329.0)</f>
        <v>8050329</v>
      </c>
      <c r="B309" s="252" t="str">
        <f>IFERROR(__xludf.DUMMYFUNCTION("""COMPUTED_VALUE"""),"BookingCom")</f>
        <v>BookingCom</v>
      </c>
      <c r="C309" s="253" t="str">
        <f>IFERROR(__xludf.DUMMYFUNCTION("""COMPUTED_VALUE"""),"Chiara Zinetti ")</f>
        <v>Chiara Zinetti </v>
      </c>
      <c r="D309" s="254">
        <f>IFERROR(__xludf.DUMMYFUNCTION("""COMPUTED_VALUE"""),46113.0)</f>
        <v>46113</v>
      </c>
      <c r="E309" s="251">
        <f>IFERROR(__xludf.DUMMYFUNCTION("""COMPUTED_VALUE"""),46114.0)</f>
        <v>46114</v>
      </c>
      <c r="F309" s="255">
        <f>IFERROR(__xludf.DUMMYFUNCTION("""COMPUTED_VALUE"""),1.0)</f>
        <v>1</v>
      </c>
      <c r="G309" s="255">
        <f>IFERROR(__xludf.DUMMYFUNCTION("""COMPUTED_VALUE"""),5.0)</f>
        <v>5</v>
      </c>
      <c r="H309" s="256">
        <f>IFERROR(__xludf.DUMMYFUNCTION("""COMPUTED_VALUE"""),448.62)</f>
        <v>448.62</v>
      </c>
      <c r="I309" s="256">
        <f>IFERROR(__xludf.DUMMYFUNCTION("""COMPUTED_VALUE"""),358.896)</f>
        <v>358.896</v>
      </c>
      <c r="J309" s="257">
        <f t="shared" si="1"/>
        <v>5</v>
      </c>
      <c r="K309" s="253"/>
      <c r="L309" s="253"/>
      <c r="M309" s="275"/>
      <c r="N309" s="258"/>
      <c r="O309" s="259"/>
      <c r="P309" s="259"/>
      <c r="Q309" s="262"/>
      <c r="R309" s="260"/>
      <c r="S309" s="260"/>
      <c r="T309" s="260"/>
      <c r="U309" s="261"/>
      <c r="V309" s="251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</row>
    <row r="310">
      <c r="A310" s="251">
        <f>IFERROR(__xludf.DUMMYFUNCTION("""COMPUTED_VALUE"""),8056492.0)</f>
        <v>8056492</v>
      </c>
      <c r="B310" s="252" t="str">
        <f>IFERROR(__xludf.DUMMYFUNCTION("""COMPUTED_VALUE"""),"BookingCom")</f>
        <v>BookingCom</v>
      </c>
      <c r="C310" s="253" t="str">
        <f>IFERROR(__xludf.DUMMYFUNCTION("""COMPUTED_VALUE"""),"Tamara Kuhne ")</f>
        <v>Tamara Kuhne </v>
      </c>
      <c r="D310" s="254">
        <f>IFERROR(__xludf.DUMMYFUNCTION("""COMPUTED_VALUE"""),46113.0)</f>
        <v>46113</v>
      </c>
      <c r="E310" s="251">
        <f>IFERROR(__xludf.DUMMYFUNCTION("""COMPUTED_VALUE"""),46114.0)</f>
        <v>46114</v>
      </c>
      <c r="F310" s="255">
        <f>IFERROR(__xludf.DUMMYFUNCTION("""COMPUTED_VALUE"""),1.0)</f>
        <v>1</v>
      </c>
      <c r="G310" s="255">
        <f>IFERROR(__xludf.DUMMYFUNCTION("""COMPUTED_VALUE"""),2.0)</f>
        <v>2</v>
      </c>
      <c r="H310" s="256">
        <f>IFERROR(__xludf.DUMMYFUNCTION("""COMPUTED_VALUE"""),163.04)</f>
        <v>163.04</v>
      </c>
      <c r="I310" s="256">
        <f>IFERROR(__xludf.DUMMYFUNCTION("""COMPUTED_VALUE"""),130.432)</f>
        <v>130.432</v>
      </c>
      <c r="J310" s="257">
        <f t="shared" si="1"/>
        <v>2</v>
      </c>
      <c r="K310" s="253"/>
      <c r="L310" s="253"/>
      <c r="M310" s="252"/>
      <c r="N310" s="258"/>
      <c r="O310" s="259"/>
      <c r="P310" s="259"/>
      <c r="Q310" s="262"/>
      <c r="R310" s="260"/>
      <c r="S310" s="260"/>
      <c r="T310" s="260"/>
      <c r="U310" s="261"/>
      <c r="V310" s="251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</row>
    <row r="311">
      <c r="A311" s="251">
        <f>IFERROR(__xludf.DUMMYFUNCTION("""COMPUTED_VALUE"""),8156668.0)</f>
        <v>8156668</v>
      </c>
      <c r="B311" s="252" t="str">
        <f>IFERROR(__xludf.DUMMYFUNCTION("""COMPUTED_VALUE"""),"BookingCom")</f>
        <v>BookingCom</v>
      </c>
      <c r="C311" s="253" t="str">
        <f>IFERROR(__xludf.DUMMYFUNCTION("""COMPUTED_VALUE"""),"Joanne Chua ")</f>
        <v>Joanne Chua </v>
      </c>
      <c r="D311" s="254">
        <f>IFERROR(__xludf.DUMMYFUNCTION("""COMPUTED_VALUE"""),46113.0)</f>
        <v>46113</v>
      </c>
      <c r="E311" s="251">
        <f>IFERROR(__xludf.DUMMYFUNCTION("""COMPUTED_VALUE"""),46115.0)</f>
        <v>46115</v>
      </c>
      <c r="F311" s="255">
        <f>IFERROR(__xludf.DUMMYFUNCTION("""COMPUTED_VALUE"""),2.0)</f>
        <v>2</v>
      </c>
      <c r="G311" s="255">
        <f>IFERROR(__xludf.DUMMYFUNCTION("""COMPUTED_VALUE"""),2.0)</f>
        <v>2</v>
      </c>
      <c r="H311" s="256">
        <f>IFERROR(__xludf.DUMMYFUNCTION("""COMPUTED_VALUE"""),258.74)</f>
        <v>258.74</v>
      </c>
      <c r="I311" s="256">
        <f>IFERROR(__xludf.DUMMYFUNCTION("""COMPUTED_VALUE"""),413.98400000000004)</f>
        <v>413.984</v>
      </c>
      <c r="J311" s="257">
        <f t="shared" si="1"/>
        <v>4</v>
      </c>
      <c r="K311" s="253"/>
      <c r="L311" s="253"/>
      <c r="M311" s="252"/>
      <c r="N311" s="258"/>
      <c r="O311" s="259"/>
      <c r="P311" s="259"/>
      <c r="Q311" s="262"/>
      <c r="R311" s="260"/>
      <c r="S311" s="260"/>
      <c r="T311" s="260"/>
      <c r="U311" s="261"/>
      <c r="V311" s="309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</row>
    <row r="312">
      <c r="A312" s="251">
        <f>IFERROR(__xludf.DUMMYFUNCTION("""COMPUTED_VALUE"""),7145333.0)</f>
        <v>7145333</v>
      </c>
      <c r="B312" s="252" t="str">
        <f>IFERROR(__xludf.DUMMYFUNCTION("""COMPUTED_VALUE"""),"Expedia Affiliate Network")</f>
        <v>Expedia Affiliate Network</v>
      </c>
      <c r="C312" s="253" t="str">
        <f>IFERROR(__xludf.DUMMYFUNCTION("""COMPUTED_VALUE"""),"ALEJANDRO BRAVO ESPADA ")</f>
        <v>ALEJANDRO BRAVO ESPADA </v>
      </c>
      <c r="D312" s="254">
        <f>IFERROR(__xludf.DUMMYFUNCTION("""COMPUTED_VALUE"""),46114.0)</f>
        <v>46114</v>
      </c>
      <c r="E312" s="251">
        <f>IFERROR(__xludf.DUMMYFUNCTION("""COMPUTED_VALUE"""),46116.0)</f>
        <v>46116</v>
      </c>
      <c r="F312" s="255">
        <f>IFERROR(__xludf.DUMMYFUNCTION("""COMPUTED_VALUE"""),2.0)</f>
        <v>2</v>
      </c>
      <c r="G312" s="255">
        <f>IFERROR(__xludf.DUMMYFUNCTION("""COMPUTED_VALUE"""),2.0)</f>
        <v>2</v>
      </c>
      <c r="H312" s="256">
        <f>IFERROR(__xludf.DUMMYFUNCTION("""COMPUTED_VALUE"""),0.0)</f>
        <v>0</v>
      </c>
      <c r="I312" s="256">
        <f>IFERROR(__xludf.DUMMYFUNCTION("""COMPUTED_VALUE"""),0.0)</f>
        <v>0</v>
      </c>
      <c r="J312" s="257">
        <f t="shared" si="1"/>
        <v>4</v>
      </c>
      <c r="K312" s="253"/>
      <c r="L312" s="253"/>
      <c r="M312" s="252"/>
      <c r="N312" s="258"/>
      <c r="O312" s="259"/>
      <c r="P312" s="259"/>
      <c r="Q312" s="262"/>
      <c r="R312" s="260"/>
      <c r="S312" s="260"/>
      <c r="T312" s="260"/>
      <c r="U312" s="261"/>
      <c r="V312" s="251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</row>
    <row r="313">
      <c r="A313" s="251">
        <f>IFERROR(__xludf.DUMMYFUNCTION("""COMPUTED_VALUE"""),7146766.0)</f>
        <v>7146766</v>
      </c>
      <c r="B313" s="252" t="str">
        <f>IFERROR(__xludf.DUMMYFUNCTION("""COMPUTED_VALUE"""),"Expedia Affiliate Network")</f>
        <v>Expedia Affiliate Network</v>
      </c>
      <c r="C313" s="253" t="str">
        <f>IFERROR(__xludf.DUMMYFUNCTION("""COMPUTED_VALUE"""),"DAVID GONZALEZ POZO ")</f>
        <v>DAVID GONZALEZ POZO </v>
      </c>
      <c r="D313" s="254">
        <f>IFERROR(__xludf.DUMMYFUNCTION("""COMPUTED_VALUE"""),46114.0)</f>
        <v>46114</v>
      </c>
      <c r="E313" s="251">
        <f>IFERROR(__xludf.DUMMYFUNCTION("""COMPUTED_VALUE"""),46116.0)</f>
        <v>46116</v>
      </c>
      <c r="F313" s="255">
        <f>IFERROR(__xludf.DUMMYFUNCTION("""COMPUTED_VALUE"""),2.0)</f>
        <v>2</v>
      </c>
      <c r="G313" s="255">
        <f>IFERROR(__xludf.DUMMYFUNCTION("""COMPUTED_VALUE"""),2.0)</f>
        <v>2</v>
      </c>
      <c r="H313" s="256">
        <f>IFERROR(__xludf.DUMMYFUNCTION("""COMPUTED_VALUE"""),0.0)</f>
        <v>0</v>
      </c>
      <c r="I313" s="256">
        <f>IFERROR(__xludf.DUMMYFUNCTION("""COMPUTED_VALUE"""),0.0)</f>
        <v>0</v>
      </c>
      <c r="J313" s="257">
        <f t="shared" si="1"/>
        <v>4</v>
      </c>
      <c r="K313" s="253"/>
      <c r="L313" s="253"/>
      <c r="M313" s="275"/>
      <c r="N313" s="258"/>
      <c r="O313" s="259"/>
      <c r="P313" s="259"/>
      <c r="Q313" s="262"/>
      <c r="R313" s="260"/>
      <c r="S313" s="260"/>
      <c r="T313" s="260"/>
      <c r="U313" s="261"/>
      <c r="V313" s="309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</row>
    <row r="314">
      <c r="A314" s="251">
        <f>IFERROR(__xludf.DUMMYFUNCTION("""COMPUTED_VALUE"""),7595675.0)</f>
        <v>7595675</v>
      </c>
      <c r="B314" s="252" t="str">
        <f>IFERROR(__xludf.DUMMYFUNCTION("""COMPUTED_VALUE"""),"BookingCom")</f>
        <v>BookingCom</v>
      </c>
      <c r="C314" s="253" t="str">
        <f>IFERROR(__xludf.DUMMYFUNCTION("""COMPUTED_VALUE"""),"Chiara Zinetti ")</f>
        <v>Chiara Zinetti </v>
      </c>
      <c r="D314" s="254">
        <f>IFERROR(__xludf.DUMMYFUNCTION("""COMPUTED_VALUE"""),46114.0)</f>
        <v>46114</v>
      </c>
      <c r="E314" s="251">
        <f>IFERROR(__xludf.DUMMYFUNCTION("""COMPUTED_VALUE"""),46117.0)</f>
        <v>46117</v>
      </c>
      <c r="F314" s="255">
        <f>IFERROR(__xludf.DUMMYFUNCTION("""COMPUTED_VALUE"""),3.0)</f>
        <v>3</v>
      </c>
      <c r="G314" s="255">
        <f>IFERROR(__xludf.DUMMYFUNCTION("""COMPUTED_VALUE"""),5.0)</f>
        <v>5</v>
      </c>
      <c r="H314" s="256">
        <f>IFERROR(__xludf.DUMMYFUNCTION("""COMPUTED_VALUE"""),462.32)</f>
        <v>462.32</v>
      </c>
      <c r="I314" s="256">
        <f>IFERROR(__xludf.DUMMYFUNCTION("""COMPUTED_VALUE"""),1109.568)</f>
        <v>1109.568</v>
      </c>
      <c r="J314" s="257">
        <f t="shared" si="1"/>
        <v>15</v>
      </c>
      <c r="K314" s="253"/>
      <c r="L314" s="253"/>
      <c r="M314" s="252"/>
      <c r="N314" s="258"/>
      <c r="O314" s="259"/>
      <c r="P314" s="259"/>
      <c r="Q314" s="262"/>
      <c r="R314" s="260"/>
      <c r="S314" s="260"/>
      <c r="T314" s="260"/>
      <c r="U314" s="261"/>
      <c r="V314" s="309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</row>
    <row r="315">
      <c r="A315" s="251">
        <f>IFERROR(__xludf.DUMMYFUNCTION("""COMPUTED_VALUE"""),7816584.0)</f>
        <v>7816584</v>
      </c>
      <c r="B315" s="252" t="str">
        <f>IFERROR(__xludf.DUMMYFUNCTION("""COMPUTED_VALUE"""),"BookingCom")</f>
        <v>BookingCom</v>
      </c>
      <c r="C315" s="253" t="str">
        <f>IFERROR(__xludf.DUMMYFUNCTION("""COMPUTED_VALUE"""),"Xinxin Zhang ")</f>
        <v>Xinxin Zhang </v>
      </c>
      <c r="D315" s="254">
        <f>IFERROR(__xludf.DUMMYFUNCTION("""COMPUTED_VALUE"""),46114.0)</f>
        <v>46114</v>
      </c>
      <c r="E315" s="251">
        <f>IFERROR(__xludf.DUMMYFUNCTION("""COMPUTED_VALUE"""),46118.0)</f>
        <v>46118</v>
      </c>
      <c r="F315" s="255">
        <f>IFERROR(__xludf.DUMMYFUNCTION("""COMPUTED_VALUE"""),4.0)</f>
        <v>4</v>
      </c>
      <c r="G315" s="255">
        <f>IFERROR(__xludf.DUMMYFUNCTION("""COMPUTED_VALUE"""),2.0)</f>
        <v>2</v>
      </c>
      <c r="H315" s="256">
        <f>IFERROR(__xludf.DUMMYFUNCTION("""COMPUTED_VALUE"""),169.14)</f>
        <v>169.14</v>
      </c>
      <c r="I315" s="256">
        <f>IFERROR(__xludf.DUMMYFUNCTION("""COMPUTED_VALUE"""),541.2479999999999)</f>
        <v>541.248</v>
      </c>
      <c r="J315" s="257">
        <f t="shared" si="1"/>
        <v>8</v>
      </c>
      <c r="K315" s="253"/>
      <c r="L315" s="253"/>
      <c r="M315" s="275"/>
      <c r="N315" s="258"/>
      <c r="O315" s="259"/>
      <c r="P315" s="259"/>
      <c r="Q315" s="262"/>
      <c r="R315" s="260"/>
      <c r="S315" s="260"/>
      <c r="T315" s="260"/>
      <c r="U315" s="261"/>
      <c r="V315" s="309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</row>
    <row r="316">
      <c r="A316" s="251">
        <f>IFERROR(__xludf.DUMMYFUNCTION("""COMPUTED_VALUE"""),7313274.0)</f>
        <v>7313274</v>
      </c>
      <c r="B316" s="252" t="str">
        <f>IFERROR(__xludf.DUMMYFUNCTION("""COMPUTED_VALUE"""),"Reseliva Pannel")</f>
        <v>Reseliva Pannel</v>
      </c>
      <c r="C316" s="253" t="str">
        <f>IFERROR(__xludf.DUMMYFUNCTION("""COMPUTED_VALUE"""),"Rodrigo silva ")</f>
        <v>Rodrigo silva </v>
      </c>
      <c r="D316" s="254">
        <f>IFERROR(__xludf.DUMMYFUNCTION("""COMPUTED_VALUE"""),46115.0)</f>
        <v>46115</v>
      </c>
      <c r="E316" s="251">
        <f>IFERROR(__xludf.DUMMYFUNCTION("""COMPUTED_VALUE"""),46118.0)</f>
        <v>46118</v>
      </c>
      <c r="F316" s="255">
        <f>IFERROR(__xludf.DUMMYFUNCTION("""COMPUTED_VALUE"""),3.0)</f>
        <v>3</v>
      </c>
      <c r="G316" s="255">
        <f>IFERROR(__xludf.DUMMYFUNCTION("""COMPUTED_VALUE"""),2.0)</f>
        <v>2</v>
      </c>
      <c r="H316" s="256">
        <f>IFERROR(__xludf.DUMMYFUNCTION("""COMPUTED_VALUE"""),229.18666666666664)</f>
        <v>229.1866667</v>
      </c>
      <c r="I316" s="256">
        <f>IFERROR(__xludf.DUMMYFUNCTION("""COMPUTED_VALUE"""),687.56)</f>
        <v>687.56</v>
      </c>
      <c r="J316" s="257">
        <f t="shared" si="1"/>
        <v>6</v>
      </c>
      <c r="K316" s="253"/>
      <c r="L316" s="253"/>
      <c r="M316" s="275"/>
      <c r="N316" s="258"/>
      <c r="O316" s="259"/>
      <c r="P316" s="259"/>
      <c r="Q316" s="262"/>
      <c r="R316" s="260"/>
      <c r="S316" s="260"/>
      <c r="T316" s="260"/>
      <c r="U316" s="253"/>
      <c r="V316" s="251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</row>
    <row r="317">
      <c r="A317" s="251">
        <f>IFERROR(__xludf.DUMMYFUNCTION("""COMPUTED_VALUE"""),7702091.0)</f>
        <v>7702091</v>
      </c>
      <c r="B317" s="252" t="str">
        <f>IFERROR(__xludf.DUMMYFUNCTION("""COMPUTED_VALUE"""),"BookingCom")</f>
        <v>BookingCom</v>
      </c>
      <c r="C317" s="253" t="str">
        <f>IFERROR(__xludf.DUMMYFUNCTION("""COMPUTED_VALUE"""),"Frank Lentini ")</f>
        <v>Frank Lentini </v>
      </c>
      <c r="D317" s="254">
        <f>IFERROR(__xludf.DUMMYFUNCTION("""COMPUTED_VALUE"""),46115.0)</f>
        <v>46115</v>
      </c>
      <c r="E317" s="251">
        <f>IFERROR(__xludf.DUMMYFUNCTION("""COMPUTED_VALUE"""),46118.0)</f>
        <v>46118</v>
      </c>
      <c r="F317" s="255">
        <f>IFERROR(__xludf.DUMMYFUNCTION("""COMPUTED_VALUE"""),3.0)</f>
        <v>3</v>
      </c>
      <c r="G317" s="255">
        <f>IFERROR(__xludf.DUMMYFUNCTION("""COMPUTED_VALUE"""),2.0)</f>
        <v>2</v>
      </c>
      <c r="H317" s="256">
        <f>IFERROR(__xludf.DUMMYFUNCTION("""COMPUTED_VALUE"""),170.15)</f>
        <v>170.15</v>
      </c>
      <c r="I317" s="256">
        <f>IFERROR(__xludf.DUMMYFUNCTION("""COMPUTED_VALUE"""),408.36)</f>
        <v>408.36</v>
      </c>
      <c r="J317" s="257">
        <f t="shared" si="1"/>
        <v>6</v>
      </c>
      <c r="K317" s="253"/>
      <c r="L317" s="253"/>
      <c r="M317" s="275"/>
      <c r="N317" s="258"/>
      <c r="O317" s="259"/>
      <c r="P317" s="259"/>
      <c r="Q317" s="262"/>
      <c r="R317" s="260"/>
      <c r="S317" s="260"/>
      <c r="T317" s="260"/>
      <c r="U317" s="261"/>
      <c r="V317" s="251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</row>
    <row r="318">
      <c r="A318" s="251">
        <f>IFERROR(__xludf.DUMMYFUNCTION("""COMPUTED_VALUE"""),7702091.0)</f>
        <v>7702091</v>
      </c>
      <c r="B318" s="252" t="str">
        <f>IFERROR(__xludf.DUMMYFUNCTION("""COMPUTED_VALUE"""),"BookingCom")</f>
        <v>BookingCom</v>
      </c>
      <c r="C318" s="253" t="str">
        <f>IFERROR(__xludf.DUMMYFUNCTION("""COMPUTED_VALUE"""),"Frank Lentini ")</f>
        <v>Frank Lentini </v>
      </c>
      <c r="D318" s="254">
        <f>IFERROR(__xludf.DUMMYFUNCTION("""COMPUTED_VALUE"""),46115.0)</f>
        <v>46115</v>
      </c>
      <c r="E318" s="251">
        <f>IFERROR(__xludf.DUMMYFUNCTION("""COMPUTED_VALUE"""),46118.0)</f>
        <v>46118</v>
      </c>
      <c r="F318" s="255">
        <f>IFERROR(__xludf.DUMMYFUNCTION("""COMPUTED_VALUE"""),3.0)</f>
        <v>3</v>
      </c>
      <c r="G318" s="255">
        <f>IFERROR(__xludf.DUMMYFUNCTION("""COMPUTED_VALUE"""),2.0)</f>
        <v>2</v>
      </c>
      <c r="H318" s="256">
        <f>IFERROR(__xludf.DUMMYFUNCTION("""COMPUTED_VALUE"""),170.15)</f>
        <v>170.15</v>
      </c>
      <c r="I318" s="256">
        <f>IFERROR(__xludf.DUMMYFUNCTION("""COMPUTED_VALUE"""),408.36)</f>
        <v>408.36</v>
      </c>
      <c r="J318" s="257">
        <f t="shared" si="1"/>
        <v>6</v>
      </c>
      <c r="K318" s="253"/>
      <c r="L318" s="253"/>
      <c r="M318" s="252"/>
      <c r="N318" s="258"/>
      <c r="O318" s="259"/>
      <c r="P318" s="259"/>
      <c r="Q318" s="262"/>
      <c r="R318" s="260"/>
      <c r="S318" s="260"/>
      <c r="T318" s="173"/>
      <c r="U318" s="201"/>
      <c r="V318" s="16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</row>
    <row r="319">
      <c r="A319" s="251">
        <f>IFERROR(__xludf.DUMMYFUNCTION("""COMPUTED_VALUE"""),7702091.0)</f>
        <v>7702091</v>
      </c>
      <c r="B319" s="252" t="str">
        <f>IFERROR(__xludf.DUMMYFUNCTION("""COMPUTED_VALUE"""),"BookingCom")</f>
        <v>BookingCom</v>
      </c>
      <c r="C319" s="253" t="str">
        <f>IFERROR(__xludf.DUMMYFUNCTION("""COMPUTED_VALUE"""),"Frank Lentini ")</f>
        <v>Frank Lentini </v>
      </c>
      <c r="D319" s="254">
        <f>IFERROR(__xludf.DUMMYFUNCTION("""COMPUTED_VALUE"""),46115.0)</f>
        <v>46115</v>
      </c>
      <c r="E319" s="251">
        <f>IFERROR(__xludf.DUMMYFUNCTION("""COMPUTED_VALUE"""),46118.0)</f>
        <v>46118</v>
      </c>
      <c r="F319" s="255">
        <f>IFERROR(__xludf.DUMMYFUNCTION("""COMPUTED_VALUE"""),3.0)</f>
        <v>3</v>
      </c>
      <c r="G319" s="255">
        <f>IFERROR(__xludf.DUMMYFUNCTION("""COMPUTED_VALUE"""),2.0)</f>
        <v>2</v>
      </c>
      <c r="H319" s="256">
        <f>IFERROR(__xludf.DUMMYFUNCTION("""COMPUTED_VALUE"""),151.10999999999999)</f>
        <v>151.11</v>
      </c>
      <c r="I319" s="256">
        <f>IFERROR(__xludf.DUMMYFUNCTION("""COMPUTED_VALUE"""),362.664)</f>
        <v>362.664</v>
      </c>
      <c r="J319" s="257">
        <f t="shared" si="1"/>
        <v>6</v>
      </c>
      <c r="K319" s="253"/>
      <c r="L319" s="253"/>
      <c r="M319" s="252"/>
      <c r="N319" s="258"/>
      <c r="O319" s="259"/>
      <c r="P319" s="259"/>
      <c r="Q319" s="257"/>
      <c r="R319" s="260"/>
      <c r="S319" s="260"/>
      <c r="T319" s="260"/>
      <c r="U319" s="261"/>
      <c r="V319" s="309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</row>
    <row r="320">
      <c r="A320" s="251">
        <f>IFERROR(__xludf.DUMMYFUNCTION("""COMPUTED_VALUE"""),7875900.0)</f>
        <v>7875900</v>
      </c>
      <c r="B320" s="252" t="str">
        <f>IFERROR(__xludf.DUMMYFUNCTION("""COMPUTED_VALUE"""),"BookingCom")</f>
        <v>BookingCom</v>
      </c>
      <c r="C320" s="253" t="str">
        <f>IFERROR(__xludf.DUMMYFUNCTION("""COMPUTED_VALUE"""),"Martin Guther ")</f>
        <v>Martin Guther </v>
      </c>
      <c r="D320" s="254">
        <f>IFERROR(__xludf.DUMMYFUNCTION("""COMPUTED_VALUE"""),46115.0)</f>
        <v>46115</v>
      </c>
      <c r="E320" s="251">
        <f>IFERROR(__xludf.DUMMYFUNCTION("""COMPUTED_VALUE"""),46118.0)</f>
        <v>46118</v>
      </c>
      <c r="F320" s="255">
        <f>IFERROR(__xludf.DUMMYFUNCTION("""COMPUTED_VALUE"""),3.0)</f>
        <v>3</v>
      </c>
      <c r="G320" s="255">
        <f>IFERROR(__xludf.DUMMYFUNCTION("""COMPUTED_VALUE"""),1.0)</f>
        <v>1</v>
      </c>
      <c r="H320" s="256">
        <f>IFERROR(__xludf.DUMMYFUNCTION("""COMPUTED_VALUE"""),173.23999999999998)</f>
        <v>173.24</v>
      </c>
      <c r="I320" s="256">
        <f>IFERROR(__xludf.DUMMYFUNCTION("""COMPUTED_VALUE"""),415.77599999999995)</f>
        <v>415.776</v>
      </c>
      <c r="J320" s="257">
        <f t="shared" si="1"/>
        <v>3</v>
      </c>
      <c r="K320" s="253"/>
      <c r="L320" s="253"/>
      <c r="M320" s="252"/>
      <c r="N320" s="258"/>
      <c r="O320" s="259"/>
      <c r="P320" s="259"/>
      <c r="Q320" s="257"/>
      <c r="R320" s="260"/>
      <c r="S320" s="260"/>
      <c r="T320" s="260"/>
      <c r="U320" s="261"/>
      <c r="V320" s="251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</row>
    <row r="321">
      <c r="A321" s="251">
        <f>IFERROR(__xludf.DUMMYFUNCTION("""COMPUTED_VALUE"""),7693778.0)</f>
        <v>7693778</v>
      </c>
      <c r="B321" s="252" t="str">
        <f>IFERROR(__xludf.DUMMYFUNCTION("""COMPUTED_VALUE"""),"BookingCom")</f>
        <v>BookingCom</v>
      </c>
      <c r="C321" s="253" t="str">
        <f>IFERROR(__xludf.DUMMYFUNCTION("""COMPUTED_VALUE"""),"Victoria De Santis ")</f>
        <v>Victoria De Santis </v>
      </c>
      <c r="D321" s="254">
        <f>IFERROR(__xludf.DUMMYFUNCTION("""COMPUTED_VALUE"""),46116.0)</f>
        <v>46116</v>
      </c>
      <c r="E321" s="251">
        <f>IFERROR(__xludf.DUMMYFUNCTION("""COMPUTED_VALUE"""),46119.0)</f>
        <v>46119</v>
      </c>
      <c r="F321" s="255">
        <f>IFERROR(__xludf.DUMMYFUNCTION("""COMPUTED_VALUE"""),3.0)</f>
        <v>3</v>
      </c>
      <c r="G321" s="255">
        <f>IFERROR(__xludf.DUMMYFUNCTION("""COMPUTED_VALUE"""),2.0)</f>
        <v>2</v>
      </c>
      <c r="H321" s="256">
        <f>IFERROR(__xludf.DUMMYFUNCTION("""COMPUTED_VALUE"""),200.16)</f>
        <v>200.16</v>
      </c>
      <c r="I321" s="256">
        <f>IFERROR(__xludf.DUMMYFUNCTION("""COMPUTED_VALUE"""),480.384)</f>
        <v>480.384</v>
      </c>
      <c r="J321" s="257">
        <f t="shared" si="1"/>
        <v>6</v>
      </c>
      <c r="K321" s="253"/>
      <c r="L321" s="253"/>
      <c r="M321" s="252"/>
      <c r="N321" s="258"/>
      <c r="O321" s="259"/>
      <c r="P321" s="259"/>
      <c r="Q321" s="262"/>
      <c r="R321" s="260"/>
      <c r="S321" s="260"/>
      <c r="T321" s="260"/>
      <c r="U321" s="261"/>
      <c r="V321" s="309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</row>
    <row r="322">
      <c r="A322" s="251">
        <f>IFERROR(__xludf.DUMMYFUNCTION("""COMPUTED_VALUE"""),7785295.0)</f>
        <v>7785295</v>
      </c>
      <c r="B322" s="252" t="str">
        <f>IFERROR(__xludf.DUMMYFUNCTION("""COMPUTED_VALUE"""),"BookingCom")</f>
        <v>BookingCom</v>
      </c>
      <c r="C322" s="253" t="str">
        <f>IFERROR(__xludf.DUMMYFUNCTION("""COMPUTED_VALUE"""),"Cristina Hazarabedian Souza ")</f>
        <v>Cristina Hazarabedian Souza </v>
      </c>
      <c r="D322" s="254">
        <f>IFERROR(__xludf.DUMMYFUNCTION("""COMPUTED_VALUE"""),46116.0)</f>
        <v>46116</v>
      </c>
      <c r="E322" s="251">
        <f>IFERROR(__xludf.DUMMYFUNCTION("""COMPUTED_VALUE"""),46117.0)</f>
        <v>46117</v>
      </c>
      <c r="F322" s="255">
        <f>IFERROR(__xludf.DUMMYFUNCTION("""COMPUTED_VALUE"""),1.0)</f>
        <v>1</v>
      </c>
      <c r="G322" s="255">
        <f>IFERROR(__xludf.DUMMYFUNCTION("""COMPUTED_VALUE"""),3.0)</f>
        <v>3</v>
      </c>
      <c r="H322" s="256">
        <f>IFERROR(__xludf.DUMMYFUNCTION("""COMPUTED_VALUE"""),230.76)</f>
        <v>230.76</v>
      </c>
      <c r="I322" s="256">
        <f>IFERROR(__xludf.DUMMYFUNCTION("""COMPUTED_VALUE"""),184.608)</f>
        <v>184.608</v>
      </c>
      <c r="J322" s="257">
        <f t="shared" si="1"/>
        <v>3</v>
      </c>
      <c r="K322" s="253"/>
      <c r="L322" s="253"/>
      <c r="M322" s="252"/>
      <c r="N322" s="258"/>
      <c r="O322" s="259"/>
      <c r="P322" s="259"/>
      <c r="Q322" s="257"/>
      <c r="R322" s="260"/>
      <c r="S322" s="260"/>
      <c r="T322" s="260"/>
      <c r="U322" s="261"/>
      <c r="V322" s="251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</row>
    <row r="323">
      <c r="A323" s="251">
        <f>IFERROR(__xludf.DUMMYFUNCTION("""COMPUTED_VALUE"""),7834582.0)</f>
        <v>7834582</v>
      </c>
      <c r="B323" s="252" t="str">
        <f>IFERROR(__xludf.DUMMYFUNCTION("""COMPUTED_VALUE"""),"BookingCom")</f>
        <v>BookingCom</v>
      </c>
      <c r="C323" s="253" t="str">
        <f>IFERROR(__xludf.DUMMYFUNCTION("""COMPUTED_VALUE"""),"Jasper van Duuren ")</f>
        <v>Jasper van Duuren </v>
      </c>
      <c r="D323" s="254">
        <f>IFERROR(__xludf.DUMMYFUNCTION("""COMPUTED_VALUE"""),46116.0)</f>
        <v>46116</v>
      </c>
      <c r="E323" s="251">
        <f>IFERROR(__xludf.DUMMYFUNCTION("""COMPUTED_VALUE"""),46118.0)</f>
        <v>46118</v>
      </c>
      <c r="F323" s="255">
        <f>IFERROR(__xludf.DUMMYFUNCTION("""COMPUTED_VALUE"""),2.0)</f>
        <v>2</v>
      </c>
      <c r="G323" s="255">
        <f>IFERROR(__xludf.DUMMYFUNCTION("""COMPUTED_VALUE"""),2.0)</f>
        <v>2</v>
      </c>
      <c r="H323" s="256">
        <f>IFERROR(__xludf.DUMMYFUNCTION("""COMPUTED_VALUE"""),176.79999999999998)</f>
        <v>176.8</v>
      </c>
      <c r="I323" s="256">
        <f>IFERROR(__xludf.DUMMYFUNCTION("""COMPUTED_VALUE"""),282.88)</f>
        <v>282.88</v>
      </c>
      <c r="J323" s="257">
        <f t="shared" si="1"/>
        <v>4</v>
      </c>
      <c r="K323" s="253"/>
      <c r="L323" s="253"/>
      <c r="M323" s="252"/>
      <c r="N323" s="258"/>
      <c r="O323" s="259"/>
      <c r="P323" s="259"/>
      <c r="Q323" s="262"/>
      <c r="R323" s="260"/>
      <c r="S323" s="260"/>
      <c r="T323" s="260"/>
      <c r="U323" s="261"/>
      <c r="V323" s="251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</row>
    <row r="324">
      <c r="A324" s="251">
        <f>IFERROR(__xludf.DUMMYFUNCTION("""COMPUTED_VALUE"""),8021289.0)</f>
        <v>8021289</v>
      </c>
      <c r="B324" s="252" t="str">
        <f>IFERROR(__xludf.DUMMYFUNCTION("""COMPUTED_VALUE"""),"BookingCom")</f>
        <v>BookingCom</v>
      </c>
      <c r="C324" s="253" t="str">
        <f>IFERROR(__xludf.DUMMYFUNCTION("""COMPUTED_VALUE"""),"Yanik Messmer ")</f>
        <v>Yanik Messmer </v>
      </c>
      <c r="D324" s="254">
        <f>IFERROR(__xludf.DUMMYFUNCTION("""COMPUTED_VALUE"""),46117.0)</f>
        <v>46117</v>
      </c>
      <c r="E324" s="251">
        <f>IFERROR(__xludf.DUMMYFUNCTION("""COMPUTED_VALUE"""),46119.0)</f>
        <v>46119</v>
      </c>
      <c r="F324" s="255">
        <f>IFERROR(__xludf.DUMMYFUNCTION("""COMPUTED_VALUE"""),2.0)</f>
        <v>2</v>
      </c>
      <c r="G324" s="255">
        <f>IFERROR(__xludf.DUMMYFUNCTION("""COMPUTED_VALUE"""),2.0)</f>
        <v>2</v>
      </c>
      <c r="H324" s="256">
        <f>IFERROR(__xludf.DUMMYFUNCTION("""COMPUTED_VALUE"""),158.96)</f>
        <v>158.96</v>
      </c>
      <c r="I324" s="256">
        <f>IFERROR(__xludf.DUMMYFUNCTION("""COMPUTED_VALUE"""),254.336)</f>
        <v>254.336</v>
      </c>
      <c r="J324" s="257">
        <f t="shared" si="1"/>
        <v>4</v>
      </c>
      <c r="K324" s="253"/>
      <c r="L324" s="253"/>
      <c r="M324" s="252"/>
      <c r="N324" s="258"/>
      <c r="O324" s="259"/>
      <c r="P324" s="259"/>
      <c r="Q324" s="262"/>
      <c r="R324" s="260"/>
      <c r="S324" s="260"/>
      <c r="T324" s="260"/>
      <c r="U324" s="261"/>
      <c r="V324" s="251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</row>
    <row r="325">
      <c r="A325" s="251">
        <f>IFERROR(__xludf.DUMMYFUNCTION("""COMPUTED_VALUE"""),7583304.0)</f>
        <v>7583304</v>
      </c>
      <c r="B325" s="252" t="str">
        <f>IFERROR(__xludf.DUMMYFUNCTION("""COMPUTED_VALUE"""),"BookingCom")</f>
        <v>BookingCom</v>
      </c>
      <c r="C325" s="253" t="str">
        <f>IFERROR(__xludf.DUMMYFUNCTION("""COMPUTED_VALUE"""),"Anna Colombo ")</f>
        <v>Anna Colombo </v>
      </c>
      <c r="D325" s="254">
        <f>IFERROR(__xludf.DUMMYFUNCTION("""COMPUTED_VALUE"""),46118.0)</f>
        <v>46118</v>
      </c>
      <c r="E325" s="251">
        <f>IFERROR(__xludf.DUMMYFUNCTION("""COMPUTED_VALUE"""),46119.0)</f>
        <v>46119</v>
      </c>
      <c r="F325" s="255">
        <f>IFERROR(__xludf.DUMMYFUNCTION("""COMPUTED_VALUE"""),1.0)</f>
        <v>1</v>
      </c>
      <c r="G325" s="255">
        <f>IFERROR(__xludf.DUMMYFUNCTION("""COMPUTED_VALUE"""),2.0)</f>
        <v>2</v>
      </c>
      <c r="H325" s="256">
        <f>IFERROR(__xludf.DUMMYFUNCTION("""COMPUTED_VALUE"""),160.44)</f>
        <v>160.44</v>
      </c>
      <c r="I325" s="256">
        <f>IFERROR(__xludf.DUMMYFUNCTION("""COMPUTED_VALUE"""),128.352)</f>
        <v>128.352</v>
      </c>
      <c r="J325" s="257">
        <f t="shared" si="1"/>
        <v>2</v>
      </c>
      <c r="K325" s="253"/>
      <c r="L325" s="253"/>
      <c r="M325" s="252"/>
      <c r="N325" s="258"/>
      <c r="O325" s="259"/>
      <c r="P325" s="259"/>
      <c r="Q325" s="262"/>
      <c r="R325" s="260"/>
      <c r="S325" s="260"/>
      <c r="T325" s="260"/>
      <c r="U325" s="261"/>
      <c r="V325" s="251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</row>
    <row r="326">
      <c r="A326" s="251">
        <f>IFERROR(__xludf.DUMMYFUNCTION("""COMPUTED_VALUE"""),7983547.0)</f>
        <v>7983547</v>
      </c>
      <c r="B326" s="252" t="str">
        <f>IFERROR(__xludf.DUMMYFUNCTION("""COMPUTED_VALUE"""),"BookingCom")</f>
        <v>BookingCom</v>
      </c>
      <c r="C326" s="253" t="str">
        <f>IFERROR(__xludf.DUMMYFUNCTION("""COMPUTED_VALUE"""),"Jonathan Serkine ")</f>
        <v>Jonathan Serkine </v>
      </c>
      <c r="D326" s="254">
        <f>IFERROR(__xludf.DUMMYFUNCTION("""COMPUTED_VALUE"""),46118.0)</f>
        <v>46118</v>
      </c>
      <c r="E326" s="251">
        <f>IFERROR(__xludf.DUMMYFUNCTION("""COMPUTED_VALUE"""),46121.0)</f>
        <v>46121</v>
      </c>
      <c r="F326" s="255">
        <f>IFERROR(__xludf.DUMMYFUNCTION("""COMPUTED_VALUE"""),3.0)</f>
        <v>3</v>
      </c>
      <c r="G326" s="255">
        <f>IFERROR(__xludf.DUMMYFUNCTION("""COMPUTED_VALUE"""),3.0)</f>
        <v>3</v>
      </c>
      <c r="H326" s="256">
        <f>IFERROR(__xludf.DUMMYFUNCTION("""COMPUTED_VALUE"""),189.55999999999997)</f>
        <v>189.56</v>
      </c>
      <c r="I326" s="256">
        <f>IFERROR(__xludf.DUMMYFUNCTION("""COMPUTED_VALUE"""),454.94399999999996)</f>
        <v>454.944</v>
      </c>
      <c r="J326" s="257">
        <f t="shared" si="1"/>
        <v>9</v>
      </c>
      <c r="K326" s="253"/>
      <c r="L326" s="253"/>
      <c r="M326" s="252"/>
      <c r="N326" s="258"/>
      <c r="O326" s="259"/>
      <c r="P326" s="259"/>
      <c r="Q326" s="262"/>
      <c r="R326" s="260"/>
      <c r="S326" s="260"/>
      <c r="T326" s="260"/>
      <c r="U326" s="261"/>
      <c r="V326" s="251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</row>
    <row r="327">
      <c r="A327" s="251">
        <f>IFERROR(__xludf.DUMMYFUNCTION("""COMPUTED_VALUE"""),8005282.0)</f>
        <v>8005282</v>
      </c>
      <c r="B327" s="252" t="str">
        <f>IFERROR(__xludf.DUMMYFUNCTION("""COMPUTED_VALUE"""),"BookingCom")</f>
        <v>BookingCom</v>
      </c>
      <c r="C327" s="253" t="str">
        <f>IFERROR(__xludf.DUMMYFUNCTION("""COMPUTED_VALUE"""),"astride klick ")</f>
        <v>astride klick </v>
      </c>
      <c r="D327" s="254">
        <f>IFERROR(__xludf.DUMMYFUNCTION("""COMPUTED_VALUE"""),46118.0)</f>
        <v>46118</v>
      </c>
      <c r="E327" s="251">
        <f>IFERROR(__xludf.DUMMYFUNCTION("""COMPUTED_VALUE"""),46119.0)</f>
        <v>46119</v>
      </c>
      <c r="F327" s="255">
        <f>IFERROR(__xludf.DUMMYFUNCTION("""COMPUTED_VALUE"""),1.0)</f>
        <v>1</v>
      </c>
      <c r="G327" s="255">
        <f>IFERROR(__xludf.DUMMYFUNCTION("""COMPUTED_VALUE"""),2.0)</f>
        <v>2</v>
      </c>
      <c r="H327" s="256">
        <f>IFERROR(__xludf.DUMMYFUNCTION("""COMPUTED_VALUE"""),154.88)</f>
        <v>154.88</v>
      </c>
      <c r="I327" s="256">
        <f>IFERROR(__xludf.DUMMYFUNCTION("""COMPUTED_VALUE"""),123.904)</f>
        <v>123.904</v>
      </c>
      <c r="J327" s="257">
        <f t="shared" si="1"/>
        <v>2</v>
      </c>
      <c r="K327" s="253"/>
      <c r="L327" s="253"/>
      <c r="M327" s="252"/>
      <c r="N327" s="258"/>
      <c r="O327" s="259"/>
      <c r="P327" s="259"/>
      <c r="Q327" s="262"/>
      <c r="R327" s="260"/>
      <c r="S327" s="260"/>
      <c r="T327" s="260"/>
      <c r="U327" s="261"/>
      <c r="V327" s="251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</row>
    <row r="328">
      <c r="A328" s="251">
        <f>IFERROR(__xludf.DUMMYFUNCTION("""COMPUTED_VALUE"""),8191265.0)</f>
        <v>8191265</v>
      </c>
      <c r="B328" s="252" t="str">
        <f>IFERROR(__xludf.DUMMYFUNCTION("""COMPUTED_VALUE"""),"BookingCom")</f>
        <v>BookingCom</v>
      </c>
      <c r="C328" s="253" t="str">
        <f>IFERROR(__xludf.DUMMYFUNCTION("""COMPUTED_VALUE"""),"Zhu Yang ")</f>
        <v>Zhu Yang </v>
      </c>
      <c r="D328" s="254">
        <f>IFERROR(__xludf.DUMMYFUNCTION("""COMPUTED_VALUE"""),46118.0)</f>
        <v>46118</v>
      </c>
      <c r="E328" s="251">
        <f>IFERROR(__xludf.DUMMYFUNCTION("""COMPUTED_VALUE"""),46120.0)</f>
        <v>46120</v>
      </c>
      <c r="F328" s="255">
        <f>IFERROR(__xludf.DUMMYFUNCTION("""COMPUTED_VALUE"""),2.0)</f>
        <v>2</v>
      </c>
      <c r="G328" s="255">
        <f>IFERROR(__xludf.DUMMYFUNCTION("""COMPUTED_VALUE"""),2.0)</f>
        <v>2</v>
      </c>
      <c r="H328" s="256">
        <f>IFERROR(__xludf.DUMMYFUNCTION("""COMPUTED_VALUE"""),196.25)</f>
        <v>196.25</v>
      </c>
      <c r="I328" s="256">
        <f>IFERROR(__xludf.DUMMYFUNCTION("""COMPUTED_VALUE"""),314.0)</f>
        <v>314</v>
      </c>
      <c r="J328" s="257">
        <f t="shared" si="1"/>
        <v>4</v>
      </c>
      <c r="K328" s="253"/>
      <c r="L328" s="253"/>
      <c r="M328" s="252"/>
      <c r="N328" s="258"/>
      <c r="O328" s="259"/>
      <c r="P328" s="259"/>
      <c r="Q328" s="262"/>
      <c r="R328" s="260"/>
      <c r="S328" s="260"/>
      <c r="T328" s="260"/>
      <c r="U328" s="253"/>
      <c r="V328" s="251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</row>
    <row r="329">
      <c r="A329" s="251">
        <f>IFERROR(__xludf.DUMMYFUNCTION("""COMPUTED_VALUE"""),7747132.0)</f>
        <v>7747132</v>
      </c>
      <c r="B329" s="252" t="str">
        <f>IFERROR(__xludf.DUMMYFUNCTION("""COMPUTED_VALUE"""),"Reseliva Pannel")</f>
        <v>Reseliva Pannel</v>
      </c>
      <c r="C329" s="253" t="str">
        <f>IFERROR(__xludf.DUMMYFUNCTION("""COMPUTED_VALUE"""),"Maryem Anna ")</f>
        <v>Maryem Anna </v>
      </c>
      <c r="D329" s="254">
        <f>IFERROR(__xludf.DUMMYFUNCTION("""COMPUTED_VALUE"""),46119.0)</f>
        <v>46119</v>
      </c>
      <c r="E329" s="251">
        <f>IFERROR(__xludf.DUMMYFUNCTION("""COMPUTED_VALUE"""),46120.0)</f>
        <v>46120</v>
      </c>
      <c r="F329" s="255">
        <f>IFERROR(__xludf.DUMMYFUNCTION("""COMPUTED_VALUE"""),1.0)</f>
        <v>1</v>
      </c>
      <c r="G329" s="255">
        <f>IFERROR(__xludf.DUMMYFUNCTION("""COMPUTED_VALUE"""),2.0)</f>
        <v>2</v>
      </c>
      <c r="H329" s="256">
        <f>IFERROR(__xludf.DUMMYFUNCTION("""COMPUTED_VALUE"""),239.76)</f>
        <v>239.76</v>
      </c>
      <c r="I329" s="256">
        <f>IFERROR(__xludf.DUMMYFUNCTION("""COMPUTED_VALUE"""),239.76)</f>
        <v>239.76</v>
      </c>
      <c r="J329" s="257">
        <f t="shared" si="1"/>
        <v>2</v>
      </c>
      <c r="K329" s="253"/>
      <c r="L329" s="253"/>
      <c r="M329" s="252"/>
      <c r="N329" s="258"/>
      <c r="O329" s="259"/>
      <c r="P329" s="259"/>
      <c r="Q329" s="257"/>
      <c r="R329" s="260"/>
      <c r="S329" s="260"/>
      <c r="T329" s="260"/>
      <c r="U329" s="253"/>
      <c r="V329" s="251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</row>
    <row r="330">
      <c r="A330" s="251">
        <f>IFERROR(__xludf.DUMMYFUNCTION("""COMPUTED_VALUE"""),7747132.0)</f>
        <v>7747132</v>
      </c>
      <c r="B330" s="252" t="str">
        <f>IFERROR(__xludf.DUMMYFUNCTION("""COMPUTED_VALUE"""),"Reseliva Pannel")</f>
        <v>Reseliva Pannel</v>
      </c>
      <c r="C330" s="253" t="str">
        <f>IFERROR(__xludf.DUMMYFUNCTION("""COMPUTED_VALUE"""),"Maryem Anna ")</f>
        <v>Maryem Anna </v>
      </c>
      <c r="D330" s="254">
        <f>IFERROR(__xludf.DUMMYFUNCTION("""COMPUTED_VALUE"""),46119.0)</f>
        <v>46119</v>
      </c>
      <c r="E330" s="251">
        <f>IFERROR(__xludf.DUMMYFUNCTION("""COMPUTED_VALUE"""),46120.0)</f>
        <v>46120</v>
      </c>
      <c r="F330" s="255">
        <f>IFERROR(__xludf.DUMMYFUNCTION("""COMPUTED_VALUE"""),1.0)</f>
        <v>1</v>
      </c>
      <c r="G330" s="255">
        <f>IFERROR(__xludf.DUMMYFUNCTION("""COMPUTED_VALUE"""),2.0)</f>
        <v>2</v>
      </c>
      <c r="H330" s="256">
        <f>IFERROR(__xludf.DUMMYFUNCTION("""COMPUTED_VALUE"""),239.76)</f>
        <v>239.76</v>
      </c>
      <c r="I330" s="256">
        <f>IFERROR(__xludf.DUMMYFUNCTION("""COMPUTED_VALUE"""),239.76)</f>
        <v>239.76</v>
      </c>
      <c r="J330" s="257">
        <f t="shared" si="1"/>
        <v>2</v>
      </c>
      <c r="K330" s="253"/>
      <c r="L330" s="253"/>
      <c r="M330" s="252"/>
      <c r="N330" s="258"/>
      <c r="O330" s="259"/>
      <c r="P330" s="259"/>
      <c r="Q330" s="262"/>
      <c r="R330" s="260"/>
      <c r="S330" s="260"/>
      <c r="T330" s="260"/>
      <c r="U330" s="261"/>
      <c r="V330" s="251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</row>
    <row r="331">
      <c r="A331" s="251">
        <f>IFERROR(__xludf.DUMMYFUNCTION("""COMPUTED_VALUE"""),7747132.0)</f>
        <v>7747132</v>
      </c>
      <c r="B331" s="252" t="str">
        <f>IFERROR(__xludf.DUMMYFUNCTION("""COMPUTED_VALUE"""),"Reseliva Pannel")</f>
        <v>Reseliva Pannel</v>
      </c>
      <c r="C331" s="253" t="str">
        <f>IFERROR(__xludf.DUMMYFUNCTION("""COMPUTED_VALUE"""),"Maryem Anna ")</f>
        <v>Maryem Anna </v>
      </c>
      <c r="D331" s="254">
        <f>IFERROR(__xludf.DUMMYFUNCTION("""COMPUTED_VALUE"""),46119.0)</f>
        <v>46119</v>
      </c>
      <c r="E331" s="251">
        <f>IFERROR(__xludf.DUMMYFUNCTION("""COMPUTED_VALUE"""),46120.0)</f>
        <v>46120</v>
      </c>
      <c r="F331" s="255">
        <f>IFERROR(__xludf.DUMMYFUNCTION("""COMPUTED_VALUE"""),1.0)</f>
        <v>1</v>
      </c>
      <c r="G331" s="255">
        <f>IFERROR(__xludf.DUMMYFUNCTION("""COMPUTED_VALUE"""),2.0)</f>
        <v>2</v>
      </c>
      <c r="H331" s="256">
        <f>IFERROR(__xludf.DUMMYFUNCTION("""COMPUTED_VALUE"""),239.76)</f>
        <v>239.76</v>
      </c>
      <c r="I331" s="256">
        <f>IFERROR(__xludf.DUMMYFUNCTION("""COMPUTED_VALUE"""),239.76)</f>
        <v>239.76</v>
      </c>
      <c r="J331" s="257">
        <f t="shared" si="1"/>
        <v>2</v>
      </c>
      <c r="K331" s="253"/>
      <c r="L331" s="253"/>
      <c r="M331" s="252"/>
      <c r="N331" s="258"/>
      <c r="O331" s="259"/>
      <c r="P331" s="259"/>
      <c r="Q331" s="262"/>
      <c r="R331" s="260"/>
      <c r="S331" s="260"/>
      <c r="T331" s="260"/>
      <c r="U331" s="261"/>
      <c r="V331" s="251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</row>
    <row r="332">
      <c r="A332" s="251">
        <f>IFERROR(__xludf.DUMMYFUNCTION("""COMPUTED_VALUE"""),7747132.0)</f>
        <v>7747132</v>
      </c>
      <c r="B332" s="252" t="str">
        <f>IFERROR(__xludf.DUMMYFUNCTION("""COMPUTED_VALUE"""),"Reseliva Pannel")</f>
        <v>Reseliva Pannel</v>
      </c>
      <c r="C332" s="253" t="str">
        <f>IFERROR(__xludf.DUMMYFUNCTION("""COMPUTED_VALUE"""),"Maryem Anna ")</f>
        <v>Maryem Anna </v>
      </c>
      <c r="D332" s="254">
        <f>IFERROR(__xludf.DUMMYFUNCTION("""COMPUTED_VALUE"""),46119.0)</f>
        <v>46119</v>
      </c>
      <c r="E332" s="251">
        <f>IFERROR(__xludf.DUMMYFUNCTION("""COMPUTED_VALUE"""),46120.0)</f>
        <v>46120</v>
      </c>
      <c r="F332" s="255">
        <f>IFERROR(__xludf.DUMMYFUNCTION("""COMPUTED_VALUE"""),1.0)</f>
        <v>1</v>
      </c>
      <c r="G332" s="255">
        <f>IFERROR(__xludf.DUMMYFUNCTION("""COMPUTED_VALUE"""),2.0)</f>
        <v>2</v>
      </c>
      <c r="H332" s="256">
        <f>IFERROR(__xludf.DUMMYFUNCTION("""COMPUTED_VALUE"""),239.76)</f>
        <v>239.76</v>
      </c>
      <c r="I332" s="256">
        <f>IFERROR(__xludf.DUMMYFUNCTION("""COMPUTED_VALUE"""),239.76)</f>
        <v>239.76</v>
      </c>
      <c r="J332" s="257">
        <f t="shared" si="1"/>
        <v>2</v>
      </c>
      <c r="K332" s="253"/>
      <c r="L332" s="253"/>
      <c r="M332" s="252"/>
      <c r="N332" s="258"/>
      <c r="O332" s="259"/>
      <c r="P332" s="259"/>
      <c r="Q332" s="262"/>
      <c r="R332" s="260"/>
      <c r="S332" s="260"/>
      <c r="T332" s="260"/>
      <c r="U332" s="253"/>
      <c r="V332" s="251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</row>
    <row r="333">
      <c r="A333" s="251">
        <f>IFERROR(__xludf.DUMMYFUNCTION("""COMPUTED_VALUE"""),7747132.0)</f>
        <v>7747132</v>
      </c>
      <c r="B333" s="252" t="str">
        <f>IFERROR(__xludf.DUMMYFUNCTION("""COMPUTED_VALUE"""),"Reseliva Pannel")</f>
        <v>Reseliva Pannel</v>
      </c>
      <c r="C333" s="253" t="str">
        <f>IFERROR(__xludf.DUMMYFUNCTION("""COMPUTED_VALUE"""),"Maryem Anna ")</f>
        <v>Maryem Anna </v>
      </c>
      <c r="D333" s="254">
        <f>IFERROR(__xludf.DUMMYFUNCTION("""COMPUTED_VALUE"""),46119.0)</f>
        <v>46119</v>
      </c>
      <c r="E333" s="251">
        <f>IFERROR(__xludf.DUMMYFUNCTION("""COMPUTED_VALUE"""),46120.0)</f>
        <v>46120</v>
      </c>
      <c r="F333" s="255">
        <f>IFERROR(__xludf.DUMMYFUNCTION("""COMPUTED_VALUE"""),1.0)</f>
        <v>1</v>
      </c>
      <c r="G333" s="255">
        <f>IFERROR(__xludf.DUMMYFUNCTION("""COMPUTED_VALUE"""),2.0)</f>
        <v>2</v>
      </c>
      <c r="H333" s="256">
        <f>IFERROR(__xludf.DUMMYFUNCTION("""COMPUTED_VALUE"""),270.0)</f>
        <v>270</v>
      </c>
      <c r="I333" s="256">
        <f>IFERROR(__xludf.DUMMYFUNCTION("""COMPUTED_VALUE"""),270.0)</f>
        <v>270</v>
      </c>
      <c r="J333" s="257">
        <f t="shared" si="1"/>
        <v>2</v>
      </c>
      <c r="K333" s="253"/>
      <c r="L333" s="253"/>
      <c r="M333" s="252"/>
      <c r="N333" s="258"/>
      <c r="O333" s="259"/>
      <c r="P333" s="259"/>
      <c r="Q333" s="257"/>
      <c r="R333" s="260"/>
      <c r="S333" s="260"/>
      <c r="T333" s="260"/>
      <c r="U333" s="261"/>
      <c r="V333" s="251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</row>
    <row r="334">
      <c r="A334" s="251">
        <f>IFERROR(__xludf.DUMMYFUNCTION("""COMPUTED_VALUE"""),7792034.0)</f>
        <v>7792034</v>
      </c>
      <c r="B334" s="252" t="str">
        <f>IFERROR(__xludf.DUMMYFUNCTION("""COMPUTED_VALUE"""),"BookingCom")</f>
        <v>BookingCom</v>
      </c>
      <c r="C334" s="253" t="str">
        <f>IFERROR(__xludf.DUMMYFUNCTION("""COMPUTED_VALUE"""),"Joost Narraina ")</f>
        <v>Joost Narraina </v>
      </c>
      <c r="D334" s="254">
        <f>IFERROR(__xludf.DUMMYFUNCTION("""COMPUTED_VALUE"""),46120.0)</f>
        <v>46120</v>
      </c>
      <c r="E334" s="251">
        <f>IFERROR(__xludf.DUMMYFUNCTION("""COMPUTED_VALUE"""),46121.0)</f>
        <v>46121</v>
      </c>
      <c r="F334" s="255">
        <f>IFERROR(__xludf.DUMMYFUNCTION("""COMPUTED_VALUE"""),1.0)</f>
        <v>1</v>
      </c>
      <c r="G334" s="255">
        <f>IFERROR(__xludf.DUMMYFUNCTION("""COMPUTED_VALUE"""),2.0)</f>
        <v>2</v>
      </c>
      <c r="H334" s="256">
        <f>IFERROR(__xludf.DUMMYFUNCTION("""COMPUTED_VALUE"""),219.31)</f>
        <v>219.31</v>
      </c>
      <c r="I334" s="256">
        <f>IFERROR(__xludf.DUMMYFUNCTION("""COMPUTED_VALUE"""),175.448)</f>
        <v>175.448</v>
      </c>
      <c r="J334" s="257">
        <f t="shared" si="1"/>
        <v>2</v>
      </c>
      <c r="K334" s="253"/>
      <c r="L334" s="253"/>
      <c r="M334" s="252"/>
      <c r="N334" s="258"/>
      <c r="O334" s="259"/>
      <c r="P334" s="259"/>
      <c r="Q334" s="262"/>
      <c r="R334" s="260"/>
      <c r="S334" s="260"/>
      <c r="T334" s="260"/>
      <c r="U334" s="261"/>
      <c r="V334" s="251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</row>
    <row r="335">
      <c r="A335" s="251">
        <f>IFERROR(__xludf.DUMMYFUNCTION("""COMPUTED_VALUE"""),7876913.0)</f>
        <v>7876913</v>
      </c>
      <c r="B335" s="252" t="str">
        <f>IFERROR(__xludf.DUMMYFUNCTION("""COMPUTED_VALUE"""),"BookingCom")</f>
        <v>BookingCom</v>
      </c>
      <c r="C335" s="253" t="str">
        <f>IFERROR(__xludf.DUMMYFUNCTION("""COMPUTED_VALUE"""),"Eric Lischka ")</f>
        <v>Eric Lischka </v>
      </c>
      <c r="D335" s="254">
        <f>IFERROR(__xludf.DUMMYFUNCTION("""COMPUTED_VALUE"""),46120.0)</f>
        <v>46120</v>
      </c>
      <c r="E335" s="251">
        <f>IFERROR(__xludf.DUMMYFUNCTION("""COMPUTED_VALUE"""),46125.0)</f>
        <v>46125</v>
      </c>
      <c r="F335" s="255">
        <f>IFERROR(__xludf.DUMMYFUNCTION("""COMPUTED_VALUE"""),5.0)</f>
        <v>5</v>
      </c>
      <c r="G335" s="255">
        <f>IFERROR(__xludf.DUMMYFUNCTION("""COMPUTED_VALUE"""),2.0)</f>
        <v>2</v>
      </c>
      <c r="H335" s="256">
        <f>IFERROR(__xludf.DUMMYFUNCTION("""COMPUTED_VALUE"""),168.74)</f>
        <v>168.74</v>
      </c>
      <c r="I335" s="256">
        <f>IFERROR(__xludf.DUMMYFUNCTION("""COMPUTED_VALUE"""),674.96)</f>
        <v>674.96</v>
      </c>
      <c r="J335" s="257">
        <f t="shared" si="1"/>
        <v>10</v>
      </c>
      <c r="K335" s="253"/>
      <c r="L335" s="253"/>
      <c r="M335" s="252"/>
      <c r="N335" s="258"/>
      <c r="O335" s="259"/>
      <c r="P335" s="259"/>
      <c r="Q335" s="257"/>
      <c r="R335" s="260"/>
      <c r="S335" s="260"/>
      <c r="T335" s="260"/>
      <c r="U335" s="261"/>
      <c r="V335" s="251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</row>
    <row r="336">
      <c r="A336" s="251">
        <f>IFERROR(__xludf.DUMMYFUNCTION("""COMPUTED_VALUE"""),7876913.0)</f>
        <v>7876913</v>
      </c>
      <c r="B336" s="252" t="str">
        <f>IFERROR(__xludf.DUMMYFUNCTION("""COMPUTED_VALUE"""),"BookingCom")</f>
        <v>BookingCom</v>
      </c>
      <c r="C336" s="253" t="str">
        <f>IFERROR(__xludf.DUMMYFUNCTION("""COMPUTED_VALUE"""),"Eric Lischka ")</f>
        <v>Eric Lischka </v>
      </c>
      <c r="D336" s="254">
        <f>IFERROR(__xludf.DUMMYFUNCTION("""COMPUTED_VALUE"""),46120.0)</f>
        <v>46120</v>
      </c>
      <c r="E336" s="251">
        <f>IFERROR(__xludf.DUMMYFUNCTION("""COMPUTED_VALUE"""),46125.0)</f>
        <v>46125</v>
      </c>
      <c r="F336" s="255">
        <f>IFERROR(__xludf.DUMMYFUNCTION("""COMPUTED_VALUE"""),5.0)</f>
        <v>5</v>
      </c>
      <c r="G336" s="255">
        <f>IFERROR(__xludf.DUMMYFUNCTION("""COMPUTED_VALUE"""),2.0)</f>
        <v>2</v>
      </c>
      <c r="H336" s="256">
        <f>IFERROR(__xludf.DUMMYFUNCTION("""COMPUTED_VALUE"""),168.74)</f>
        <v>168.74</v>
      </c>
      <c r="I336" s="256">
        <f>IFERROR(__xludf.DUMMYFUNCTION("""COMPUTED_VALUE"""),674.96)</f>
        <v>674.96</v>
      </c>
      <c r="J336" s="257">
        <f t="shared" si="1"/>
        <v>10</v>
      </c>
      <c r="K336" s="253"/>
      <c r="L336" s="253"/>
      <c r="M336" s="275"/>
      <c r="N336" s="258"/>
      <c r="O336" s="259"/>
      <c r="P336" s="259"/>
      <c r="Q336" s="262"/>
      <c r="R336" s="260"/>
      <c r="S336" s="260"/>
      <c r="T336" s="260"/>
      <c r="U336" s="261"/>
      <c r="V336" s="251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</row>
    <row r="337">
      <c r="A337" s="251">
        <f>IFERROR(__xludf.DUMMYFUNCTION("""COMPUTED_VALUE"""),7986274.0)</f>
        <v>7986274</v>
      </c>
      <c r="B337" s="252" t="str">
        <f>IFERROR(__xludf.DUMMYFUNCTION("""COMPUTED_VALUE"""),"BookingCom")</f>
        <v>BookingCom</v>
      </c>
      <c r="C337" s="253" t="str">
        <f>IFERROR(__xludf.DUMMYFUNCTION("""COMPUTED_VALUE"""),"Kathryn Higham ")</f>
        <v>Kathryn Higham </v>
      </c>
      <c r="D337" s="254">
        <f>IFERROR(__xludf.DUMMYFUNCTION("""COMPUTED_VALUE"""),46120.0)</f>
        <v>46120</v>
      </c>
      <c r="E337" s="251">
        <f>IFERROR(__xludf.DUMMYFUNCTION("""COMPUTED_VALUE"""),46122.0)</f>
        <v>46122</v>
      </c>
      <c r="F337" s="255">
        <f>IFERROR(__xludf.DUMMYFUNCTION("""COMPUTED_VALUE"""),2.0)</f>
        <v>2</v>
      </c>
      <c r="G337" s="255">
        <f>IFERROR(__xludf.DUMMYFUNCTION("""COMPUTED_VALUE"""),2.0)</f>
        <v>2</v>
      </c>
      <c r="H337" s="256">
        <f>IFERROR(__xludf.DUMMYFUNCTION("""COMPUTED_VALUE"""),157.94)</f>
        <v>157.94</v>
      </c>
      <c r="I337" s="256">
        <f>IFERROR(__xludf.DUMMYFUNCTION("""COMPUTED_VALUE"""),252.704)</f>
        <v>252.704</v>
      </c>
      <c r="J337" s="257">
        <f t="shared" si="1"/>
        <v>4</v>
      </c>
      <c r="K337" s="253"/>
      <c r="L337" s="253"/>
      <c r="M337" s="252"/>
      <c r="N337" s="258"/>
      <c r="O337" s="259"/>
      <c r="P337" s="259"/>
      <c r="Q337" s="257"/>
      <c r="R337" s="260"/>
      <c r="S337" s="260"/>
      <c r="T337" s="260"/>
      <c r="U337" s="261"/>
      <c r="V337" s="251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</row>
    <row r="338">
      <c r="A338" s="251">
        <f>IFERROR(__xludf.DUMMYFUNCTION("""COMPUTED_VALUE"""),8010872.0)</f>
        <v>8010872</v>
      </c>
      <c r="B338" s="252" t="str">
        <f>IFERROR(__xludf.DUMMYFUNCTION("""COMPUTED_VALUE"""),"Reseliva Pannel")</f>
        <v>Reseliva Pannel</v>
      </c>
      <c r="C338" s="253" t="str">
        <f>IFERROR(__xludf.DUMMYFUNCTION("""COMPUTED_VALUE"""),"Jack MCcan ")</f>
        <v>Jack MCcan </v>
      </c>
      <c r="D338" s="254">
        <f>IFERROR(__xludf.DUMMYFUNCTION("""COMPUTED_VALUE"""),46120.0)</f>
        <v>46120</v>
      </c>
      <c r="E338" s="251">
        <f>IFERROR(__xludf.DUMMYFUNCTION("""COMPUTED_VALUE"""),46124.0)</f>
        <v>46124</v>
      </c>
      <c r="F338" s="255">
        <f>IFERROR(__xludf.DUMMYFUNCTION("""COMPUTED_VALUE"""),4.0)</f>
        <v>4</v>
      </c>
      <c r="G338" s="255">
        <f>IFERROR(__xludf.DUMMYFUNCTION("""COMPUTED_VALUE"""),2.0)</f>
        <v>2</v>
      </c>
      <c r="H338" s="256">
        <f>IFERROR(__xludf.DUMMYFUNCTION("""COMPUTED_VALUE"""),270.0)</f>
        <v>270</v>
      </c>
      <c r="I338" s="256">
        <f>IFERROR(__xludf.DUMMYFUNCTION("""COMPUTED_VALUE"""),1080.0)</f>
        <v>1080</v>
      </c>
      <c r="J338" s="257">
        <f t="shared" si="1"/>
        <v>8</v>
      </c>
      <c r="K338" s="253"/>
      <c r="L338" s="253"/>
      <c r="M338" s="252"/>
      <c r="N338" s="258"/>
      <c r="O338" s="259"/>
      <c r="P338" s="259"/>
      <c r="Q338" s="262"/>
      <c r="R338" s="260"/>
      <c r="S338" s="260"/>
      <c r="T338" s="260"/>
      <c r="U338" s="261"/>
      <c r="V338" s="251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</row>
    <row r="339">
      <c r="A339" s="251">
        <f>IFERROR(__xludf.DUMMYFUNCTION("""COMPUTED_VALUE"""),8025665.0)</f>
        <v>8025665</v>
      </c>
      <c r="B339" s="252" t="str">
        <f>IFERROR(__xludf.DUMMYFUNCTION("""COMPUTED_VALUE"""),"BookingCom")</f>
        <v>BookingCom</v>
      </c>
      <c r="C339" s="253" t="str">
        <f>IFERROR(__xludf.DUMMYFUNCTION("""COMPUTED_VALUE"""),"Tanja Alpstag ")</f>
        <v>Tanja Alpstag </v>
      </c>
      <c r="D339" s="254">
        <f>IFERROR(__xludf.DUMMYFUNCTION("""COMPUTED_VALUE"""),46120.0)</f>
        <v>46120</v>
      </c>
      <c r="E339" s="251">
        <f>IFERROR(__xludf.DUMMYFUNCTION("""COMPUTED_VALUE"""),46123.0)</f>
        <v>46123</v>
      </c>
      <c r="F339" s="255">
        <f>IFERROR(__xludf.DUMMYFUNCTION("""COMPUTED_VALUE"""),3.0)</f>
        <v>3</v>
      </c>
      <c r="G339" s="255">
        <f>IFERROR(__xludf.DUMMYFUNCTION("""COMPUTED_VALUE"""),2.0)</f>
        <v>2</v>
      </c>
      <c r="H339" s="256">
        <f>IFERROR(__xludf.DUMMYFUNCTION("""COMPUTED_VALUE"""),275.42)</f>
        <v>275.42</v>
      </c>
      <c r="I339" s="256">
        <f>IFERROR(__xludf.DUMMYFUNCTION("""COMPUTED_VALUE"""),661.008)</f>
        <v>661.008</v>
      </c>
      <c r="J339" s="257">
        <f t="shared" si="1"/>
        <v>6</v>
      </c>
      <c r="K339" s="253"/>
      <c r="L339" s="253"/>
      <c r="M339" s="275"/>
      <c r="N339" s="258"/>
      <c r="O339" s="259"/>
      <c r="P339" s="259"/>
      <c r="Q339" s="262"/>
      <c r="R339" s="260"/>
      <c r="S339" s="260"/>
      <c r="T339" s="260"/>
      <c r="U339" s="261"/>
      <c r="V339" s="251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</row>
    <row r="340">
      <c r="A340" s="251">
        <f>IFERROR(__xludf.DUMMYFUNCTION("""COMPUTED_VALUE"""),8021221.0)</f>
        <v>8021221</v>
      </c>
      <c r="B340" s="252" t="str">
        <f>IFERROR(__xludf.DUMMYFUNCTION("""COMPUTED_VALUE"""),"BookingCom")</f>
        <v>BookingCom</v>
      </c>
      <c r="C340" s="253" t="str">
        <f>IFERROR(__xludf.DUMMYFUNCTION("""COMPUTED_VALUE"""),"Iulia Andreea Petrica ")</f>
        <v>Iulia Andreea Petrica </v>
      </c>
      <c r="D340" s="254">
        <f>IFERROR(__xludf.DUMMYFUNCTION("""COMPUTED_VALUE"""),46121.0)</f>
        <v>46121</v>
      </c>
      <c r="E340" s="251">
        <f>IFERROR(__xludf.DUMMYFUNCTION("""COMPUTED_VALUE"""),46124.0)</f>
        <v>46124</v>
      </c>
      <c r="F340" s="255">
        <f>IFERROR(__xludf.DUMMYFUNCTION("""COMPUTED_VALUE"""),3.0)</f>
        <v>3</v>
      </c>
      <c r="G340" s="255">
        <f>IFERROR(__xludf.DUMMYFUNCTION("""COMPUTED_VALUE"""),2.0)</f>
        <v>2</v>
      </c>
      <c r="H340" s="256">
        <f>IFERROR(__xludf.DUMMYFUNCTION("""COMPUTED_VALUE"""),161.0)</f>
        <v>161</v>
      </c>
      <c r="I340" s="256">
        <f>IFERROR(__xludf.DUMMYFUNCTION("""COMPUTED_VALUE"""),386.40000000000003)</f>
        <v>386.4</v>
      </c>
      <c r="J340" s="257">
        <f t="shared" si="1"/>
        <v>6</v>
      </c>
      <c r="K340" s="253"/>
      <c r="L340" s="253"/>
      <c r="M340" s="275"/>
      <c r="N340" s="258"/>
      <c r="O340" s="259"/>
      <c r="P340" s="259"/>
      <c r="Q340" s="262"/>
      <c r="R340" s="260"/>
      <c r="S340" s="260"/>
      <c r="T340" s="260"/>
      <c r="U340" s="261"/>
      <c r="V340" s="251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</row>
    <row r="341">
      <c r="A341" s="251">
        <f>IFERROR(__xludf.DUMMYFUNCTION("""COMPUTED_VALUE"""),8167957.0)</f>
        <v>8167957</v>
      </c>
      <c r="B341" s="252" t="str">
        <f>IFERROR(__xludf.DUMMYFUNCTION("""COMPUTED_VALUE"""),"Agoda2")</f>
        <v>Agoda2</v>
      </c>
      <c r="C341" s="253" t="str">
        <f>IFERROR(__xludf.DUMMYFUNCTION("""COMPUTED_VALUE"""),"Kirsten van Zoolingen ")</f>
        <v>Kirsten van Zoolingen </v>
      </c>
      <c r="D341" s="254">
        <f>IFERROR(__xludf.DUMMYFUNCTION("""COMPUTED_VALUE"""),46121.0)</f>
        <v>46121</v>
      </c>
      <c r="E341" s="251">
        <f>IFERROR(__xludf.DUMMYFUNCTION("""COMPUTED_VALUE"""),46124.0)</f>
        <v>46124</v>
      </c>
      <c r="F341" s="255">
        <f>IFERROR(__xludf.DUMMYFUNCTION("""COMPUTED_VALUE"""),3.0)</f>
        <v>3</v>
      </c>
      <c r="G341" s="255">
        <f>IFERROR(__xludf.DUMMYFUNCTION("""COMPUTED_VALUE"""),2.0)</f>
        <v>2</v>
      </c>
      <c r="H341" s="256">
        <f>IFERROR(__xludf.DUMMYFUNCTION("""COMPUTED_VALUE"""),239.05999999999997)</f>
        <v>239.06</v>
      </c>
      <c r="I341" s="256">
        <f>IFERROR(__xludf.DUMMYFUNCTION("""COMPUTED_VALUE"""),573.7439999999999)</f>
        <v>573.744</v>
      </c>
      <c r="J341" s="257">
        <f t="shared" si="1"/>
        <v>6</v>
      </c>
      <c r="K341" s="253"/>
      <c r="L341" s="253"/>
      <c r="M341" s="252"/>
      <c r="N341" s="258"/>
      <c r="O341" s="259"/>
      <c r="P341" s="259"/>
      <c r="Q341" s="262"/>
      <c r="R341" s="260"/>
      <c r="S341" s="260"/>
      <c r="T341" s="260"/>
      <c r="U341" s="261"/>
      <c r="V341" s="251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</row>
    <row r="342">
      <c r="A342" s="251">
        <f>IFERROR(__xludf.DUMMYFUNCTION("""COMPUTED_VALUE"""),7350048.0)</f>
        <v>7350048</v>
      </c>
      <c r="B342" s="252" t="str">
        <f>IFERROR(__xludf.DUMMYFUNCTION("""COMPUTED_VALUE"""),"BookingCom")</f>
        <v>BookingCom</v>
      </c>
      <c r="C342" s="253" t="str">
        <f>IFERROR(__xludf.DUMMYFUNCTION("""COMPUTED_VALUE"""),"Patrick Saat ")</f>
        <v>Patrick Saat </v>
      </c>
      <c r="D342" s="254">
        <f>IFERROR(__xludf.DUMMYFUNCTION("""COMPUTED_VALUE"""),46122.0)</f>
        <v>46122</v>
      </c>
      <c r="E342" s="251">
        <f>IFERROR(__xludf.DUMMYFUNCTION("""COMPUTED_VALUE"""),46124.0)</f>
        <v>46124</v>
      </c>
      <c r="F342" s="255">
        <f>IFERROR(__xludf.DUMMYFUNCTION("""COMPUTED_VALUE"""),2.0)</f>
        <v>2</v>
      </c>
      <c r="G342" s="255">
        <f>IFERROR(__xludf.DUMMYFUNCTION("""COMPUTED_VALUE"""),2.0)</f>
        <v>2</v>
      </c>
      <c r="H342" s="256">
        <f>IFERROR(__xludf.DUMMYFUNCTION("""COMPUTED_VALUE"""),148.72)</f>
        <v>148.72</v>
      </c>
      <c r="I342" s="256">
        <f>IFERROR(__xludf.DUMMYFUNCTION("""COMPUTED_VALUE"""),237.952)</f>
        <v>237.952</v>
      </c>
      <c r="J342" s="257">
        <f t="shared" si="1"/>
        <v>4</v>
      </c>
      <c r="K342" s="253"/>
      <c r="L342" s="253"/>
      <c r="M342" s="252"/>
      <c r="N342" s="258"/>
      <c r="O342" s="259"/>
      <c r="P342" s="259"/>
      <c r="Q342" s="262"/>
      <c r="R342" s="260"/>
      <c r="S342" s="260"/>
      <c r="T342" s="260"/>
      <c r="U342" s="261"/>
      <c r="V342" s="251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</row>
    <row r="343">
      <c r="A343" s="251">
        <f>IFERROR(__xludf.DUMMYFUNCTION("""COMPUTED_VALUE"""),7651968.0)</f>
        <v>7651968</v>
      </c>
      <c r="B343" s="252" t="str">
        <f>IFERROR(__xludf.DUMMYFUNCTION("""COMPUTED_VALUE"""),"BookingCom")</f>
        <v>BookingCom</v>
      </c>
      <c r="C343" s="253" t="str">
        <f>IFERROR(__xludf.DUMMYFUNCTION("""COMPUTED_VALUE"""),"Sven Nageli ")</f>
        <v>Sven Nageli </v>
      </c>
      <c r="D343" s="254">
        <f>IFERROR(__xludf.DUMMYFUNCTION("""COMPUTED_VALUE"""),46122.0)</f>
        <v>46122</v>
      </c>
      <c r="E343" s="251">
        <f>IFERROR(__xludf.DUMMYFUNCTION("""COMPUTED_VALUE"""),46125.0)</f>
        <v>46125</v>
      </c>
      <c r="F343" s="255">
        <f>IFERROR(__xludf.DUMMYFUNCTION("""COMPUTED_VALUE"""),3.0)</f>
        <v>3</v>
      </c>
      <c r="G343" s="255">
        <f>IFERROR(__xludf.DUMMYFUNCTION("""COMPUTED_VALUE"""),3.0)</f>
        <v>3</v>
      </c>
      <c r="H343" s="256">
        <f>IFERROR(__xludf.DUMMYFUNCTION("""COMPUTED_VALUE"""),147.29999999999998)</f>
        <v>147.3</v>
      </c>
      <c r="I343" s="256">
        <f>IFERROR(__xludf.DUMMYFUNCTION("""COMPUTED_VALUE"""),353.52)</f>
        <v>353.52</v>
      </c>
      <c r="J343" s="257">
        <f t="shared" si="1"/>
        <v>9</v>
      </c>
      <c r="K343" s="253"/>
      <c r="L343" s="253"/>
      <c r="M343" s="275"/>
      <c r="N343" s="258"/>
      <c r="O343" s="259"/>
      <c r="P343" s="259"/>
      <c r="Q343" s="262"/>
      <c r="R343" s="260"/>
      <c r="S343" s="260"/>
      <c r="T343" s="260"/>
      <c r="U343" s="261"/>
      <c r="V343" s="251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</row>
    <row r="344">
      <c r="A344" s="251">
        <f>IFERROR(__xludf.DUMMYFUNCTION("""COMPUTED_VALUE"""),8135571.0)</f>
        <v>8135571</v>
      </c>
      <c r="B344" s="252" t="str">
        <f>IFERROR(__xludf.DUMMYFUNCTION("""COMPUTED_VALUE"""),"Agoda2")</f>
        <v>Agoda2</v>
      </c>
      <c r="C344" s="253" t="str">
        <f>IFERROR(__xludf.DUMMYFUNCTION("""COMPUTED_VALUE"""),"Benedikt Nutzinger ")</f>
        <v>Benedikt Nutzinger </v>
      </c>
      <c r="D344" s="254">
        <f>IFERROR(__xludf.DUMMYFUNCTION("""COMPUTED_VALUE"""),46123.0)</f>
        <v>46123</v>
      </c>
      <c r="E344" s="251">
        <f>IFERROR(__xludf.DUMMYFUNCTION("""COMPUTED_VALUE"""),46125.0)</f>
        <v>46125</v>
      </c>
      <c r="F344" s="255">
        <f>IFERROR(__xludf.DUMMYFUNCTION("""COMPUTED_VALUE"""),2.0)</f>
        <v>2</v>
      </c>
      <c r="G344" s="255">
        <f>IFERROR(__xludf.DUMMYFUNCTION("""COMPUTED_VALUE"""),2.0)</f>
        <v>2</v>
      </c>
      <c r="H344" s="256">
        <f>IFERROR(__xludf.DUMMYFUNCTION("""COMPUTED_VALUE"""),212.29)</f>
        <v>212.29</v>
      </c>
      <c r="I344" s="256">
        <f>IFERROR(__xludf.DUMMYFUNCTION("""COMPUTED_VALUE"""),339.664)</f>
        <v>339.664</v>
      </c>
      <c r="J344" s="257">
        <f t="shared" si="1"/>
        <v>4</v>
      </c>
      <c r="K344" s="253"/>
      <c r="L344" s="253"/>
      <c r="M344" s="275"/>
      <c r="N344" s="258"/>
      <c r="O344" s="259"/>
      <c r="P344" s="259"/>
      <c r="Q344" s="262"/>
      <c r="R344" s="260"/>
      <c r="S344" s="260"/>
      <c r="T344" s="260"/>
      <c r="U344" s="261"/>
      <c r="V344" s="251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</row>
    <row r="345">
      <c r="A345" s="251">
        <f>IFERROR(__xludf.DUMMYFUNCTION("""COMPUTED_VALUE"""),7708199.0)</f>
        <v>7708199</v>
      </c>
      <c r="B345" s="252" t="str">
        <f>IFERROR(__xludf.DUMMYFUNCTION("""COMPUTED_VALUE"""),"Reseliva Pannel")</f>
        <v>Reseliva Pannel</v>
      </c>
      <c r="C345" s="253" t="str">
        <f>IFERROR(__xludf.DUMMYFUNCTION("""COMPUTED_VALUE"""),"Ibtisam direct ")</f>
        <v>Ibtisam direct </v>
      </c>
      <c r="D345" s="254">
        <f>IFERROR(__xludf.DUMMYFUNCTION("""COMPUTED_VALUE"""),46124.0)</f>
        <v>46124</v>
      </c>
      <c r="E345" s="251">
        <f>IFERROR(__xludf.DUMMYFUNCTION("""COMPUTED_VALUE"""),46127.0)</f>
        <v>46127</v>
      </c>
      <c r="F345" s="255">
        <f>IFERROR(__xludf.DUMMYFUNCTION("""COMPUTED_VALUE"""),3.0)</f>
        <v>3</v>
      </c>
      <c r="G345" s="255">
        <f>IFERROR(__xludf.DUMMYFUNCTION("""COMPUTED_VALUE"""),2.0)</f>
        <v>2</v>
      </c>
      <c r="H345" s="256">
        <f>IFERROR(__xludf.DUMMYFUNCTION("""COMPUTED_VALUE"""),225.36)</f>
        <v>225.36</v>
      </c>
      <c r="I345" s="256">
        <f>IFERROR(__xludf.DUMMYFUNCTION("""COMPUTED_VALUE"""),676.08)</f>
        <v>676.08</v>
      </c>
      <c r="J345" s="257">
        <f t="shared" si="1"/>
        <v>6</v>
      </c>
      <c r="K345" s="253"/>
      <c r="L345" s="253"/>
      <c r="M345" s="252"/>
      <c r="N345" s="258"/>
      <c r="O345" s="259"/>
      <c r="P345" s="259"/>
      <c r="Q345" s="262"/>
      <c r="R345" s="260"/>
      <c r="S345" s="260"/>
      <c r="T345" s="260"/>
      <c r="U345" s="261"/>
      <c r="V345" s="251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</row>
    <row r="346">
      <c r="A346" s="251">
        <f>IFERROR(__xludf.DUMMYFUNCTION("""COMPUTED_VALUE"""),7708199.0)</f>
        <v>7708199</v>
      </c>
      <c r="B346" s="252" t="str">
        <f>IFERROR(__xludf.DUMMYFUNCTION("""COMPUTED_VALUE"""),"Reseliva Pannel")</f>
        <v>Reseliva Pannel</v>
      </c>
      <c r="C346" s="253" t="str">
        <f>IFERROR(__xludf.DUMMYFUNCTION("""COMPUTED_VALUE"""),"Ibtisam direct ")</f>
        <v>Ibtisam direct </v>
      </c>
      <c r="D346" s="254">
        <f>IFERROR(__xludf.DUMMYFUNCTION("""COMPUTED_VALUE"""),46124.0)</f>
        <v>46124</v>
      </c>
      <c r="E346" s="251">
        <f>IFERROR(__xludf.DUMMYFUNCTION("""COMPUTED_VALUE"""),46127.0)</f>
        <v>46127</v>
      </c>
      <c r="F346" s="255">
        <f>IFERROR(__xludf.DUMMYFUNCTION("""COMPUTED_VALUE"""),3.0)</f>
        <v>3</v>
      </c>
      <c r="G346" s="255">
        <f>IFERROR(__xludf.DUMMYFUNCTION("""COMPUTED_VALUE"""),2.0)</f>
        <v>2</v>
      </c>
      <c r="H346" s="256">
        <f>IFERROR(__xludf.DUMMYFUNCTION("""COMPUTED_VALUE"""),225.36)</f>
        <v>225.36</v>
      </c>
      <c r="I346" s="256">
        <f>IFERROR(__xludf.DUMMYFUNCTION("""COMPUTED_VALUE"""),676.08)</f>
        <v>676.08</v>
      </c>
      <c r="J346" s="257">
        <f t="shared" si="1"/>
        <v>6</v>
      </c>
      <c r="K346" s="253"/>
      <c r="L346" s="253"/>
      <c r="M346" s="252"/>
      <c r="N346" s="258"/>
      <c r="O346" s="259"/>
      <c r="P346" s="259"/>
      <c r="Q346" s="262"/>
      <c r="R346" s="260"/>
      <c r="S346" s="260"/>
      <c r="T346" s="260"/>
      <c r="U346" s="261"/>
      <c r="V346" s="251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</row>
    <row r="347">
      <c r="A347" s="251">
        <f>IFERROR(__xludf.DUMMYFUNCTION("""COMPUTED_VALUE"""),7847513.0)</f>
        <v>7847513</v>
      </c>
      <c r="B347" s="252" t="str">
        <f>IFERROR(__xludf.DUMMYFUNCTION("""COMPUTED_VALUE"""),"BookingCom")</f>
        <v>BookingCom</v>
      </c>
      <c r="C347" s="253" t="str">
        <f>IFERROR(__xludf.DUMMYFUNCTION("""COMPUTED_VALUE"""),"Patrick Saat ")</f>
        <v>Patrick Saat </v>
      </c>
      <c r="D347" s="254">
        <f>IFERROR(__xludf.DUMMYFUNCTION("""COMPUTED_VALUE"""),46124.0)</f>
        <v>46124</v>
      </c>
      <c r="E347" s="251">
        <f>IFERROR(__xludf.DUMMYFUNCTION("""COMPUTED_VALUE"""),46125.0)</f>
        <v>46125</v>
      </c>
      <c r="F347" s="255">
        <f>IFERROR(__xludf.DUMMYFUNCTION("""COMPUTED_VALUE"""),1.0)</f>
        <v>1</v>
      </c>
      <c r="G347" s="255">
        <f>IFERROR(__xludf.DUMMYFUNCTION("""COMPUTED_VALUE"""),2.0)</f>
        <v>2</v>
      </c>
      <c r="H347" s="256">
        <f>IFERROR(__xludf.DUMMYFUNCTION("""COMPUTED_VALUE"""),204.05)</f>
        <v>204.05</v>
      </c>
      <c r="I347" s="256">
        <f>IFERROR(__xludf.DUMMYFUNCTION("""COMPUTED_VALUE"""),163.24)</f>
        <v>163.24</v>
      </c>
      <c r="J347" s="257">
        <f t="shared" si="1"/>
        <v>2</v>
      </c>
      <c r="K347" s="253"/>
      <c r="L347" s="253"/>
      <c r="M347" s="252"/>
      <c r="N347" s="258"/>
      <c r="O347" s="259"/>
      <c r="P347" s="259"/>
      <c r="Q347" s="262"/>
      <c r="R347" s="260"/>
      <c r="S347" s="260"/>
      <c r="T347" s="260"/>
      <c r="U347" s="261"/>
      <c r="V347" s="251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</row>
    <row r="348">
      <c r="A348" s="251">
        <f>IFERROR(__xludf.DUMMYFUNCTION("""COMPUTED_VALUE"""),7675205.0)</f>
        <v>7675205</v>
      </c>
      <c r="B348" s="252" t="str">
        <f>IFERROR(__xludf.DUMMYFUNCTION("""COMPUTED_VALUE"""),"BookingCom")</f>
        <v>BookingCom</v>
      </c>
      <c r="C348" s="253" t="str">
        <f>IFERROR(__xludf.DUMMYFUNCTION("""COMPUTED_VALUE"""),"Logan Vinters ")</f>
        <v>Logan Vinters </v>
      </c>
      <c r="D348" s="254">
        <f>IFERROR(__xludf.DUMMYFUNCTION("""COMPUTED_VALUE"""),46125.0)</f>
        <v>46125</v>
      </c>
      <c r="E348" s="251">
        <f>IFERROR(__xludf.DUMMYFUNCTION("""COMPUTED_VALUE"""),46127.0)</f>
        <v>46127</v>
      </c>
      <c r="F348" s="255">
        <f>IFERROR(__xludf.DUMMYFUNCTION("""COMPUTED_VALUE"""),2.0)</f>
        <v>2</v>
      </c>
      <c r="G348" s="255">
        <f>IFERROR(__xludf.DUMMYFUNCTION("""COMPUTED_VALUE"""),1.0)</f>
        <v>1</v>
      </c>
      <c r="H348" s="256">
        <f>IFERROR(__xludf.DUMMYFUNCTION("""COMPUTED_VALUE"""),148.8)</f>
        <v>148.8</v>
      </c>
      <c r="I348" s="256">
        <f>IFERROR(__xludf.DUMMYFUNCTION("""COMPUTED_VALUE"""),238.08000000000004)</f>
        <v>238.08</v>
      </c>
      <c r="J348" s="257">
        <f t="shared" si="1"/>
        <v>2</v>
      </c>
      <c r="K348" s="253"/>
      <c r="L348" s="253"/>
      <c r="M348" s="252"/>
      <c r="N348" s="258"/>
      <c r="O348" s="259"/>
      <c r="P348" s="259"/>
      <c r="Q348" s="257"/>
      <c r="R348" s="260"/>
      <c r="S348" s="260"/>
      <c r="T348" s="260"/>
      <c r="U348" s="261"/>
      <c r="V348" s="251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</row>
    <row r="349">
      <c r="A349" s="251">
        <f>IFERROR(__xludf.DUMMYFUNCTION("""COMPUTED_VALUE"""),7675205.0)</f>
        <v>7675205</v>
      </c>
      <c r="B349" s="252" t="str">
        <f>IFERROR(__xludf.DUMMYFUNCTION("""COMPUTED_VALUE"""),"BookingCom")</f>
        <v>BookingCom</v>
      </c>
      <c r="C349" s="253" t="str">
        <f>IFERROR(__xludf.DUMMYFUNCTION("""COMPUTED_VALUE"""),"Logan Vinters ")</f>
        <v>Logan Vinters </v>
      </c>
      <c r="D349" s="254">
        <f>IFERROR(__xludf.DUMMYFUNCTION("""COMPUTED_VALUE"""),46125.0)</f>
        <v>46125</v>
      </c>
      <c r="E349" s="251">
        <f>IFERROR(__xludf.DUMMYFUNCTION("""COMPUTED_VALUE"""),46127.0)</f>
        <v>46127</v>
      </c>
      <c r="F349" s="255">
        <f>IFERROR(__xludf.DUMMYFUNCTION("""COMPUTED_VALUE"""),2.0)</f>
        <v>2</v>
      </c>
      <c r="G349" s="255">
        <f>IFERROR(__xludf.DUMMYFUNCTION("""COMPUTED_VALUE"""),1.0)</f>
        <v>1</v>
      </c>
      <c r="H349" s="256">
        <f>IFERROR(__xludf.DUMMYFUNCTION("""COMPUTED_VALUE"""),148.8)</f>
        <v>148.8</v>
      </c>
      <c r="I349" s="256">
        <f>IFERROR(__xludf.DUMMYFUNCTION("""COMPUTED_VALUE"""),238.08000000000004)</f>
        <v>238.08</v>
      </c>
      <c r="J349" s="257">
        <f t="shared" si="1"/>
        <v>2</v>
      </c>
      <c r="K349" s="253"/>
      <c r="L349" s="253"/>
      <c r="M349" s="252"/>
      <c r="N349" s="258"/>
      <c r="O349" s="259"/>
      <c r="P349" s="259"/>
      <c r="Q349" s="262"/>
      <c r="R349" s="260"/>
      <c r="S349" s="260"/>
      <c r="T349" s="260"/>
      <c r="U349" s="261"/>
      <c r="V349" s="251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</row>
    <row r="350">
      <c r="A350" s="251">
        <f>IFERROR(__xludf.DUMMYFUNCTION("""COMPUTED_VALUE"""),7675205.0)</f>
        <v>7675205</v>
      </c>
      <c r="B350" s="252" t="str">
        <f>IFERROR(__xludf.DUMMYFUNCTION("""COMPUTED_VALUE"""),"BookingCom")</f>
        <v>BookingCom</v>
      </c>
      <c r="C350" s="253" t="str">
        <f>IFERROR(__xludf.DUMMYFUNCTION("""COMPUTED_VALUE"""),"Logan Vinters ")</f>
        <v>Logan Vinters </v>
      </c>
      <c r="D350" s="254">
        <f>IFERROR(__xludf.DUMMYFUNCTION("""COMPUTED_VALUE"""),46125.0)</f>
        <v>46125</v>
      </c>
      <c r="E350" s="251">
        <f>IFERROR(__xludf.DUMMYFUNCTION("""COMPUTED_VALUE"""),46127.0)</f>
        <v>46127</v>
      </c>
      <c r="F350" s="255">
        <f>IFERROR(__xludf.DUMMYFUNCTION("""COMPUTED_VALUE"""),2.0)</f>
        <v>2</v>
      </c>
      <c r="G350" s="255">
        <f>IFERROR(__xludf.DUMMYFUNCTION("""COMPUTED_VALUE"""),1.0)</f>
        <v>1</v>
      </c>
      <c r="H350" s="256">
        <f>IFERROR(__xludf.DUMMYFUNCTION("""COMPUTED_VALUE"""),148.8)</f>
        <v>148.8</v>
      </c>
      <c r="I350" s="256">
        <f>IFERROR(__xludf.DUMMYFUNCTION("""COMPUTED_VALUE"""),238.08000000000004)</f>
        <v>238.08</v>
      </c>
      <c r="J350" s="257">
        <f t="shared" si="1"/>
        <v>2</v>
      </c>
      <c r="K350" s="253"/>
      <c r="L350" s="253"/>
      <c r="M350" s="252"/>
      <c r="N350" s="258"/>
      <c r="O350" s="259"/>
      <c r="P350" s="259"/>
      <c r="Q350" s="262"/>
      <c r="R350" s="260"/>
      <c r="S350" s="260"/>
      <c r="T350" s="260"/>
      <c r="U350" s="261"/>
      <c r="V350" s="251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</row>
    <row r="351">
      <c r="A351" s="251">
        <f>IFERROR(__xludf.DUMMYFUNCTION("""COMPUTED_VALUE"""),7675205.0)</f>
        <v>7675205</v>
      </c>
      <c r="B351" s="252" t="str">
        <f>IFERROR(__xludf.DUMMYFUNCTION("""COMPUTED_VALUE"""),"BookingCom")</f>
        <v>BookingCom</v>
      </c>
      <c r="C351" s="253" t="str">
        <f>IFERROR(__xludf.DUMMYFUNCTION("""COMPUTED_VALUE"""),"Logan Vinters ")</f>
        <v>Logan Vinters </v>
      </c>
      <c r="D351" s="254">
        <f>IFERROR(__xludf.DUMMYFUNCTION("""COMPUTED_VALUE"""),46125.0)</f>
        <v>46125</v>
      </c>
      <c r="E351" s="251">
        <f>IFERROR(__xludf.DUMMYFUNCTION("""COMPUTED_VALUE"""),46127.0)</f>
        <v>46127</v>
      </c>
      <c r="F351" s="255">
        <f>IFERROR(__xludf.DUMMYFUNCTION("""COMPUTED_VALUE"""),2.0)</f>
        <v>2</v>
      </c>
      <c r="G351" s="255">
        <f>IFERROR(__xludf.DUMMYFUNCTION("""COMPUTED_VALUE"""),1.0)</f>
        <v>1</v>
      </c>
      <c r="H351" s="256">
        <f>IFERROR(__xludf.DUMMYFUNCTION("""COMPUTED_VALUE"""),148.8)</f>
        <v>148.8</v>
      </c>
      <c r="I351" s="256">
        <f>IFERROR(__xludf.DUMMYFUNCTION("""COMPUTED_VALUE"""),238.08000000000004)</f>
        <v>238.08</v>
      </c>
      <c r="J351" s="257">
        <f t="shared" si="1"/>
        <v>2</v>
      </c>
      <c r="K351" s="253"/>
      <c r="L351" s="253"/>
      <c r="M351" s="252"/>
      <c r="N351" s="258"/>
      <c r="O351" s="259"/>
      <c r="P351" s="259"/>
      <c r="Q351" s="257"/>
      <c r="R351" s="260"/>
      <c r="S351" s="260"/>
      <c r="T351" s="260"/>
      <c r="U351" s="261"/>
      <c r="V351" s="251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</row>
    <row r="352">
      <c r="A352" s="251">
        <f>IFERROR(__xludf.DUMMYFUNCTION("""COMPUTED_VALUE"""),7675205.0)</f>
        <v>7675205</v>
      </c>
      <c r="B352" s="252" t="str">
        <f>IFERROR(__xludf.DUMMYFUNCTION("""COMPUTED_VALUE"""),"BookingCom")</f>
        <v>BookingCom</v>
      </c>
      <c r="C352" s="253" t="str">
        <f>IFERROR(__xludf.DUMMYFUNCTION("""COMPUTED_VALUE"""),"Logan Vinters ")</f>
        <v>Logan Vinters </v>
      </c>
      <c r="D352" s="254">
        <f>IFERROR(__xludf.DUMMYFUNCTION("""COMPUTED_VALUE"""),46125.0)</f>
        <v>46125</v>
      </c>
      <c r="E352" s="251">
        <f>IFERROR(__xludf.DUMMYFUNCTION("""COMPUTED_VALUE"""),46127.0)</f>
        <v>46127</v>
      </c>
      <c r="F352" s="255">
        <f>IFERROR(__xludf.DUMMYFUNCTION("""COMPUTED_VALUE"""),2.0)</f>
        <v>2</v>
      </c>
      <c r="G352" s="255">
        <f>IFERROR(__xludf.DUMMYFUNCTION("""COMPUTED_VALUE"""),2.0)</f>
        <v>2</v>
      </c>
      <c r="H352" s="256">
        <f>IFERROR(__xludf.DUMMYFUNCTION("""COMPUTED_VALUE"""),129.53)</f>
        <v>129.53</v>
      </c>
      <c r="I352" s="256">
        <f>IFERROR(__xludf.DUMMYFUNCTION("""COMPUTED_VALUE"""),207.24800000000002)</f>
        <v>207.248</v>
      </c>
      <c r="J352" s="257">
        <f t="shared" si="1"/>
        <v>4</v>
      </c>
      <c r="K352" s="253"/>
      <c r="L352" s="253"/>
      <c r="M352" s="275"/>
      <c r="N352" s="258"/>
      <c r="O352" s="259"/>
      <c r="P352" s="259"/>
      <c r="Q352" s="262"/>
      <c r="R352" s="260"/>
      <c r="S352" s="260"/>
      <c r="T352" s="260"/>
      <c r="U352" s="261"/>
      <c r="V352" s="251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</row>
    <row r="353">
      <c r="A353" s="251">
        <f>IFERROR(__xludf.DUMMYFUNCTION("""COMPUTED_VALUE"""),8156493.0)</f>
        <v>8156493</v>
      </c>
      <c r="B353" s="252" t="str">
        <f>IFERROR(__xludf.DUMMYFUNCTION("""COMPUTED_VALUE"""),"BookingCom")</f>
        <v>BookingCom</v>
      </c>
      <c r="C353" s="253" t="str">
        <f>IFERROR(__xludf.DUMMYFUNCTION("""COMPUTED_VALUE"""),"Sabrina Feng ")</f>
        <v>Sabrina Feng </v>
      </c>
      <c r="D353" s="254">
        <f>IFERROR(__xludf.DUMMYFUNCTION("""COMPUTED_VALUE"""),46125.0)</f>
        <v>46125</v>
      </c>
      <c r="E353" s="251">
        <f>IFERROR(__xludf.DUMMYFUNCTION("""COMPUTED_VALUE"""),46126.0)</f>
        <v>46126</v>
      </c>
      <c r="F353" s="255">
        <f>IFERROR(__xludf.DUMMYFUNCTION("""COMPUTED_VALUE"""),1.0)</f>
        <v>1</v>
      </c>
      <c r="G353" s="255">
        <f>IFERROR(__xludf.DUMMYFUNCTION("""COMPUTED_VALUE"""),4.0)</f>
        <v>4</v>
      </c>
      <c r="H353" s="256">
        <f>IFERROR(__xludf.DUMMYFUNCTION("""COMPUTED_VALUE"""),477.29)</f>
        <v>477.29</v>
      </c>
      <c r="I353" s="256">
        <f>IFERROR(__xludf.DUMMYFUNCTION("""COMPUTED_VALUE"""),381.83200000000005)</f>
        <v>381.832</v>
      </c>
      <c r="J353" s="257">
        <f t="shared" si="1"/>
        <v>4</v>
      </c>
      <c r="K353" s="253"/>
      <c r="L353" s="253"/>
      <c r="M353" s="275"/>
      <c r="N353" s="258"/>
      <c r="O353" s="259"/>
      <c r="P353" s="259"/>
      <c r="Q353" s="262"/>
      <c r="R353" s="260"/>
      <c r="S353" s="260"/>
      <c r="T353" s="260"/>
      <c r="U353" s="261"/>
      <c r="V353" s="251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</row>
    <row r="354">
      <c r="A354" s="251">
        <f>IFERROR(__xludf.DUMMYFUNCTION("""COMPUTED_VALUE"""),8175960.0)</f>
        <v>8175960</v>
      </c>
      <c r="B354" s="252" t="str">
        <f>IFERROR(__xludf.DUMMYFUNCTION("""COMPUTED_VALUE"""),"BookingCom")</f>
        <v>BookingCom</v>
      </c>
      <c r="C354" s="253" t="str">
        <f>IFERROR(__xludf.DUMMYFUNCTION("""COMPUTED_VALUE"""),"John Wisdom ")</f>
        <v>John Wisdom </v>
      </c>
      <c r="D354" s="254">
        <f>IFERROR(__xludf.DUMMYFUNCTION("""COMPUTED_VALUE"""),46125.0)</f>
        <v>46125</v>
      </c>
      <c r="E354" s="251">
        <f>IFERROR(__xludf.DUMMYFUNCTION("""COMPUTED_VALUE"""),46129.0)</f>
        <v>46129</v>
      </c>
      <c r="F354" s="255">
        <f>IFERROR(__xludf.DUMMYFUNCTION("""COMPUTED_VALUE"""),4.0)</f>
        <v>4</v>
      </c>
      <c r="G354" s="255">
        <f>IFERROR(__xludf.DUMMYFUNCTION("""COMPUTED_VALUE"""),2.0)</f>
        <v>2</v>
      </c>
      <c r="H354" s="256">
        <f>IFERROR(__xludf.DUMMYFUNCTION("""COMPUTED_VALUE"""),212.21)</f>
        <v>212.21</v>
      </c>
      <c r="I354" s="256">
        <f>IFERROR(__xludf.DUMMYFUNCTION("""COMPUTED_VALUE"""),679.0720000000001)</f>
        <v>679.072</v>
      </c>
      <c r="J354" s="257">
        <f t="shared" si="1"/>
        <v>8</v>
      </c>
      <c r="K354" s="253"/>
      <c r="L354" s="253"/>
      <c r="M354" s="252"/>
      <c r="N354" s="258"/>
      <c r="O354" s="259"/>
      <c r="P354" s="259"/>
      <c r="Q354" s="262"/>
      <c r="R354" s="260"/>
      <c r="S354" s="260"/>
      <c r="T354" s="260"/>
      <c r="U354" s="261"/>
      <c r="V354" s="251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</row>
    <row r="355">
      <c r="A355" s="251">
        <f>IFERROR(__xludf.DUMMYFUNCTION("""COMPUTED_VALUE"""),7877536.0)</f>
        <v>7877536</v>
      </c>
      <c r="B355" s="252" t="str">
        <f>IFERROR(__xludf.DUMMYFUNCTION("""COMPUTED_VALUE"""),"BookingCom")</f>
        <v>BookingCom</v>
      </c>
      <c r="C355" s="253" t="str">
        <f>IFERROR(__xludf.DUMMYFUNCTION("""COMPUTED_VALUE"""),"Alina Serbina ")</f>
        <v>Alina Serbina </v>
      </c>
      <c r="D355" s="254">
        <f>IFERROR(__xludf.DUMMYFUNCTION("""COMPUTED_VALUE"""),46126.0)</f>
        <v>46126</v>
      </c>
      <c r="E355" s="251">
        <f>IFERROR(__xludf.DUMMYFUNCTION("""COMPUTED_VALUE"""),46127.0)</f>
        <v>46127</v>
      </c>
      <c r="F355" s="255">
        <f>IFERROR(__xludf.DUMMYFUNCTION("""COMPUTED_VALUE"""),1.0)</f>
        <v>1</v>
      </c>
      <c r="G355" s="255">
        <f>IFERROR(__xludf.DUMMYFUNCTION("""COMPUTED_VALUE"""),2.0)</f>
        <v>2</v>
      </c>
      <c r="H355" s="256">
        <f>IFERROR(__xludf.DUMMYFUNCTION("""COMPUTED_VALUE"""),198.14)</f>
        <v>198.14</v>
      </c>
      <c r="I355" s="256">
        <f>IFERROR(__xludf.DUMMYFUNCTION("""COMPUTED_VALUE"""),158.512)</f>
        <v>158.512</v>
      </c>
      <c r="J355" s="257">
        <f t="shared" si="1"/>
        <v>2</v>
      </c>
      <c r="K355" s="253"/>
      <c r="L355" s="253"/>
      <c r="M355" s="275"/>
      <c r="N355" s="258"/>
      <c r="O355" s="259"/>
      <c r="P355" s="259"/>
      <c r="Q355" s="262"/>
      <c r="R355" s="260"/>
      <c r="S355" s="260"/>
      <c r="T355" s="260"/>
      <c r="U355" s="261"/>
      <c r="V355" s="251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</row>
    <row r="356">
      <c r="A356" s="251">
        <f>IFERROR(__xludf.DUMMYFUNCTION("""COMPUTED_VALUE"""),7893085.0)</f>
        <v>7893085</v>
      </c>
      <c r="B356" s="252" t="str">
        <f>IFERROR(__xludf.DUMMYFUNCTION("""COMPUTED_VALUE"""),"BookingCom")</f>
        <v>BookingCom</v>
      </c>
      <c r="C356" s="253" t="str">
        <f>IFERROR(__xludf.DUMMYFUNCTION("""COMPUTED_VALUE"""),"Loghin Daniela ")</f>
        <v>Loghin Daniela </v>
      </c>
      <c r="D356" s="254">
        <f>IFERROR(__xludf.DUMMYFUNCTION("""COMPUTED_VALUE"""),46126.0)</f>
        <v>46126</v>
      </c>
      <c r="E356" s="251">
        <f>IFERROR(__xludf.DUMMYFUNCTION("""COMPUTED_VALUE"""),46132.0)</f>
        <v>46132</v>
      </c>
      <c r="F356" s="255">
        <f>IFERROR(__xludf.DUMMYFUNCTION("""COMPUTED_VALUE"""),6.0)</f>
        <v>6</v>
      </c>
      <c r="G356" s="255">
        <f>IFERROR(__xludf.DUMMYFUNCTION("""COMPUTED_VALUE"""),2.0)</f>
        <v>2</v>
      </c>
      <c r="H356" s="256">
        <f>IFERROR(__xludf.DUMMYFUNCTION("""COMPUTED_VALUE"""),255.20000000000002)</f>
        <v>255.2</v>
      </c>
      <c r="I356" s="256">
        <f>IFERROR(__xludf.DUMMYFUNCTION("""COMPUTED_VALUE"""),1224.96)</f>
        <v>1224.96</v>
      </c>
      <c r="J356" s="257">
        <f t="shared" si="1"/>
        <v>12</v>
      </c>
      <c r="K356" s="253"/>
      <c r="L356" s="253"/>
      <c r="M356" s="252"/>
      <c r="N356" s="258"/>
      <c r="O356" s="259"/>
      <c r="P356" s="259"/>
      <c r="Q356" s="262"/>
      <c r="R356" s="260"/>
      <c r="S356" s="260"/>
      <c r="T356" s="260"/>
      <c r="U356" s="261"/>
      <c r="V356" s="251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</row>
    <row r="357">
      <c r="A357" s="251">
        <f>IFERROR(__xludf.DUMMYFUNCTION("""COMPUTED_VALUE"""),7742681.0)</f>
        <v>7742681</v>
      </c>
      <c r="B357" s="252" t="str">
        <f>IFERROR(__xludf.DUMMYFUNCTION("""COMPUTED_VALUE"""),"BookingCom")</f>
        <v>BookingCom</v>
      </c>
      <c r="C357" s="253" t="str">
        <f>IFERROR(__xludf.DUMMYFUNCTION("""COMPUTED_VALUE"""),"Matthew Chacko ")</f>
        <v>Matthew Chacko </v>
      </c>
      <c r="D357" s="254">
        <f>IFERROR(__xludf.DUMMYFUNCTION("""COMPUTED_VALUE"""),46127.0)</f>
        <v>46127</v>
      </c>
      <c r="E357" s="251">
        <f>IFERROR(__xludf.DUMMYFUNCTION("""COMPUTED_VALUE"""),46131.0)</f>
        <v>46131</v>
      </c>
      <c r="F357" s="255">
        <f>IFERROR(__xludf.DUMMYFUNCTION("""COMPUTED_VALUE"""),4.0)</f>
        <v>4</v>
      </c>
      <c r="G357" s="255">
        <f>IFERROR(__xludf.DUMMYFUNCTION("""COMPUTED_VALUE"""),2.0)</f>
        <v>2</v>
      </c>
      <c r="H357" s="256">
        <f>IFERROR(__xludf.DUMMYFUNCTION("""COMPUTED_VALUE"""),146.93)</f>
        <v>146.93</v>
      </c>
      <c r="I357" s="256">
        <f>IFERROR(__xludf.DUMMYFUNCTION("""COMPUTED_VALUE"""),470.17600000000004)</f>
        <v>470.176</v>
      </c>
      <c r="J357" s="257">
        <f t="shared" si="1"/>
        <v>8</v>
      </c>
      <c r="K357" s="253"/>
      <c r="L357" s="253"/>
      <c r="M357" s="275"/>
      <c r="N357" s="258"/>
      <c r="O357" s="259"/>
      <c r="P357" s="259"/>
      <c r="Q357" s="262"/>
      <c r="R357" s="260"/>
      <c r="S357" s="260"/>
      <c r="T357" s="260"/>
      <c r="U357" s="261"/>
      <c r="V357" s="251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</row>
    <row r="358">
      <c r="A358" s="251">
        <f>IFERROR(__xludf.DUMMYFUNCTION("""COMPUTED_VALUE"""),8167129.0)</f>
        <v>8167129</v>
      </c>
      <c r="B358" s="252" t="str">
        <f>IFERROR(__xludf.DUMMYFUNCTION("""COMPUTED_VALUE"""),"BookingCom")</f>
        <v>BookingCom</v>
      </c>
      <c r="C358" s="253" t="str">
        <f>IFERROR(__xludf.DUMMYFUNCTION("""COMPUTED_VALUE"""),"Paolo Bottiglieri ")</f>
        <v>Paolo Bottiglieri </v>
      </c>
      <c r="D358" s="254">
        <f>IFERROR(__xludf.DUMMYFUNCTION("""COMPUTED_VALUE"""),46127.0)</f>
        <v>46127</v>
      </c>
      <c r="E358" s="251">
        <f>IFERROR(__xludf.DUMMYFUNCTION("""COMPUTED_VALUE"""),46130.0)</f>
        <v>46130</v>
      </c>
      <c r="F358" s="255">
        <f>IFERROR(__xludf.DUMMYFUNCTION("""COMPUTED_VALUE"""),3.0)</f>
        <v>3</v>
      </c>
      <c r="G358" s="255">
        <f>IFERROR(__xludf.DUMMYFUNCTION("""COMPUTED_VALUE"""),5.0)</f>
        <v>5</v>
      </c>
      <c r="H358" s="256">
        <f>IFERROR(__xludf.DUMMYFUNCTION("""COMPUTED_VALUE"""),647.0)</f>
        <v>647</v>
      </c>
      <c r="I358" s="256">
        <f>IFERROR(__xludf.DUMMYFUNCTION("""COMPUTED_VALUE"""),1552.8000000000002)</f>
        <v>1552.8</v>
      </c>
      <c r="J358" s="257">
        <f t="shared" si="1"/>
        <v>15</v>
      </c>
      <c r="K358" s="253"/>
      <c r="L358" s="253"/>
      <c r="M358" s="252"/>
      <c r="N358" s="258"/>
      <c r="O358" s="259"/>
      <c r="P358" s="259"/>
      <c r="Q358" s="262"/>
      <c r="R358" s="260"/>
      <c r="S358" s="260"/>
      <c r="T358" s="260"/>
      <c r="U358" s="261"/>
      <c r="V358" s="251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</row>
    <row r="359">
      <c r="A359" s="251">
        <f>IFERROR(__xludf.DUMMYFUNCTION("""COMPUTED_VALUE"""),7865759.0)</f>
        <v>7865759</v>
      </c>
      <c r="B359" s="252" t="str">
        <f>IFERROR(__xludf.DUMMYFUNCTION("""COMPUTED_VALUE"""),"BookingCom")</f>
        <v>BookingCom</v>
      </c>
      <c r="C359" s="253" t="str">
        <f>IFERROR(__xludf.DUMMYFUNCTION("""COMPUTED_VALUE"""),"Henry Van de Ven ")</f>
        <v>Henry Van de Ven </v>
      </c>
      <c r="D359" s="254">
        <f>IFERROR(__xludf.DUMMYFUNCTION("""COMPUTED_VALUE"""),46128.0)</f>
        <v>46128</v>
      </c>
      <c r="E359" s="251">
        <f>IFERROR(__xludf.DUMMYFUNCTION("""COMPUTED_VALUE"""),46130.0)</f>
        <v>46130</v>
      </c>
      <c r="F359" s="255">
        <f>IFERROR(__xludf.DUMMYFUNCTION("""COMPUTED_VALUE"""),2.0)</f>
        <v>2</v>
      </c>
      <c r="G359" s="255">
        <f>IFERROR(__xludf.DUMMYFUNCTION("""COMPUTED_VALUE"""),2.0)</f>
        <v>2</v>
      </c>
      <c r="H359" s="256">
        <f>IFERROR(__xludf.DUMMYFUNCTION("""COMPUTED_VALUE"""),158.96)</f>
        <v>158.96</v>
      </c>
      <c r="I359" s="256">
        <f>IFERROR(__xludf.DUMMYFUNCTION("""COMPUTED_VALUE"""),254.336)</f>
        <v>254.336</v>
      </c>
      <c r="J359" s="257">
        <f t="shared" si="1"/>
        <v>4</v>
      </c>
      <c r="K359" s="253"/>
      <c r="L359" s="253"/>
      <c r="M359" s="252"/>
      <c r="N359" s="258"/>
      <c r="O359" s="259"/>
      <c r="P359" s="259"/>
      <c r="Q359" s="262"/>
      <c r="R359" s="260"/>
      <c r="S359" s="260"/>
      <c r="T359" s="260"/>
      <c r="U359" s="261"/>
      <c r="V359" s="251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</row>
    <row r="360">
      <c r="A360" s="251">
        <f>IFERROR(__xludf.DUMMYFUNCTION("""COMPUTED_VALUE"""),7972342.0)</f>
        <v>7972342</v>
      </c>
      <c r="B360" s="252" t="str">
        <f>IFERROR(__xludf.DUMMYFUNCTION("""COMPUTED_VALUE"""),"BookingCom")</f>
        <v>BookingCom</v>
      </c>
      <c r="C360" s="253" t="str">
        <f>IFERROR(__xludf.DUMMYFUNCTION("""COMPUTED_VALUE"""),"Barbara Marchitelli ")</f>
        <v>Barbara Marchitelli </v>
      </c>
      <c r="D360" s="254">
        <f>IFERROR(__xludf.DUMMYFUNCTION("""COMPUTED_VALUE"""),46128.0)</f>
        <v>46128</v>
      </c>
      <c r="E360" s="251">
        <f>IFERROR(__xludf.DUMMYFUNCTION("""COMPUTED_VALUE"""),46131.0)</f>
        <v>46131</v>
      </c>
      <c r="F360" s="255">
        <f>IFERROR(__xludf.DUMMYFUNCTION("""COMPUTED_VALUE"""),3.0)</f>
        <v>3</v>
      </c>
      <c r="G360" s="255">
        <f>IFERROR(__xludf.DUMMYFUNCTION("""COMPUTED_VALUE"""),2.0)</f>
        <v>2</v>
      </c>
      <c r="H360" s="256">
        <f>IFERROR(__xludf.DUMMYFUNCTION("""COMPUTED_VALUE"""),173.47)</f>
        <v>173.47</v>
      </c>
      <c r="I360" s="256">
        <f>IFERROR(__xludf.DUMMYFUNCTION("""COMPUTED_VALUE"""),416.32800000000003)</f>
        <v>416.328</v>
      </c>
      <c r="J360" s="257">
        <f t="shared" si="1"/>
        <v>6</v>
      </c>
      <c r="K360" s="253"/>
      <c r="L360" s="253"/>
      <c r="M360" s="252"/>
      <c r="N360" s="258"/>
      <c r="O360" s="259"/>
      <c r="P360" s="259"/>
      <c r="Q360" s="262"/>
      <c r="R360" s="260"/>
      <c r="S360" s="260"/>
      <c r="T360" s="260"/>
      <c r="U360" s="261"/>
      <c r="V360" s="251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</row>
    <row r="361">
      <c r="A361" s="251">
        <f>IFERROR(__xludf.DUMMYFUNCTION("""COMPUTED_VALUE"""),7993916.0)</f>
        <v>7993916</v>
      </c>
      <c r="B361" s="252" t="str">
        <f>IFERROR(__xludf.DUMMYFUNCTION("""COMPUTED_VALUE"""),"BookingCom")</f>
        <v>BookingCom</v>
      </c>
      <c r="C361" s="253" t="str">
        <f>IFERROR(__xludf.DUMMYFUNCTION("""COMPUTED_VALUE"""),"Nicla Colonna ")</f>
        <v>Nicla Colonna </v>
      </c>
      <c r="D361" s="254">
        <f>IFERROR(__xludf.DUMMYFUNCTION("""COMPUTED_VALUE"""),46128.0)</f>
        <v>46128</v>
      </c>
      <c r="E361" s="251">
        <f>IFERROR(__xludf.DUMMYFUNCTION("""COMPUTED_VALUE"""),46130.0)</f>
        <v>46130</v>
      </c>
      <c r="F361" s="255">
        <f>IFERROR(__xludf.DUMMYFUNCTION("""COMPUTED_VALUE"""),2.0)</f>
        <v>2</v>
      </c>
      <c r="G361" s="255">
        <f>IFERROR(__xludf.DUMMYFUNCTION("""COMPUTED_VALUE"""),2.0)</f>
        <v>2</v>
      </c>
      <c r="H361" s="256">
        <f>IFERROR(__xludf.DUMMYFUNCTION("""COMPUTED_VALUE"""),191.0)</f>
        <v>191</v>
      </c>
      <c r="I361" s="256">
        <f>IFERROR(__xludf.DUMMYFUNCTION("""COMPUTED_VALUE"""),305.6)</f>
        <v>305.6</v>
      </c>
      <c r="J361" s="257">
        <f t="shared" si="1"/>
        <v>4</v>
      </c>
      <c r="K361" s="253"/>
      <c r="L361" s="253"/>
      <c r="M361" s="252"/>
      <c r="N361" s="258"/>
      <c r="O361" s="259"/>
      <c r="P361" s="259"/>
      <c r="Q361" s="262"/>
      <c r="R361" s="260"/>
      <c r="S361" s="260"/>
      <c r="T361" s="260"/>
      <c r="U361" s="261"/>
      <c r="V361" s="251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</row>
    <row r="362">
      <c r="A362" s="251">
        <f>IFERROR(__xludf.DUMMYFUNCTION("""COMPUTED_VALUE"""),7728633.0)</f>
        <v>7728633</v>
      </c>
      <c r="B362" s="252" t="str">
        <f>IFERROR(__xludf.DUMMYFUNCTION("""COMPUTED_VALUE"""),"BookingCom")</f>
        <v>BookingCom</v>
      </c>
      <c r="C362" s="253" t="str">
        <f>IFERROR(__xludf.DUMMYFUNCTION("""COMPUTED_VALUE"""),"Johann Wanninger ")</f>
        <v>Johann Wanninger </v>
      </c>
      <c r="D362" s="254">
        <f>IFERROR(__xludf.DUMMYFUNCTION("""COMPUTED_VALUE"""),46129.0)</f>
        <v>46129</v>
      </c>
      <c r="E362" s="251">
        <f>IFERROR(__xludf.DUMMYFUNCTION("""COMPUTED_VALUE"""),46134.0)</f>
        <v>46134</v>
      </c>
      <c r="F362" s="255">
        <f>IFERROR(__xludf.DUMMYFUNCTION("""COMPUTED_VALUE"""),5.0)</f>
        <v>5</v>
      </c>
      <c r="G362" s="255">
        <f>IFERROR(__xludf.DUMMYFUNCTION("""COMPUTED_VALUE"""),2.0)</f>
        <v>2</v>
      </c>
      <c r="H362" s="256">
        <f>IFERROR(__xludf.DUMMYFUNCTION("""COMPUTED_VALUE"""),148.02)</f>
        <v>148.02</v>
      </c>
      <c r="I362" s="256">
        <f>IFERROR(__xludf.DUMMYFUNCTION("""COMPUTED_VALUE"""),592.08)</f>
        <v>592.08</v>
      </c>
      <c r="J362" s="257">
        <f t="shared" si="1"/>
        <v>10</v>
      </c>
      <c r="K362" s="253"/>
      <c r="L362" s="253"/>
      <c r="M362" s="252"/>
      <c r="N362" s="258"/>
      <c r="O362" s="259"/>
      <c r="P362" s="259"/>
      <c r="Q362" s="262"/>
      <c r="R362" s="260"/>
      <c r="S362" s="260"/>
      <c r="T362" s="260"/>
      <c r="U362" s="261"/>
      <c r="V362" s="251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</row>
    <row r="363">
      <c r="A363" s="251">
        <f>IFERROR(__xludf.DUMMYFUNCTION("""COMPUTED_VALUE"""),7840200.0)</f>
        <v>7840200</v>
      </c>
      <c r="B363" s="252" t="str">
        <f>IFERROR(__xludf.DUMMYFUNCTION("""COMPUTED_VALUE"""),"BookingCom")</f>
        <v>BookingCom</v>
      </c>
      <c r="C363" s="253" t="str">
        <f>IFERROR(__xludf.DUMMYFUNCTION("""COMPUTED_VALUE"""),"SOPHIE MCGEOCH ")</f>
        <v>SOPHIE MCGEOCH </v>
      </c>
      <c r="D363" s="254">
        <f>IFERROR(__xludf.DUMMYFUNCTION("""COMPUTED_VALUE"""),46129.0)</f>
        <v>46129</v>
      </c>
      <c r="E363" s="251">
        <f>IFERROR(__xludf.DUMMYFUNCTION("""COMPUTED_VALUE"""),46130.0)</f>
        <v>46130</v>
      </c>
      <c r="F363" s="255">
        <f>IFERROR(__xludf.DUMMYFUNCTION("""COMPUTED_VALUE"""),1.0)</f>
        <v>1</v>
      </c>
      <c r="G363" s="255">
        <f>IFERROR(__xludf.DUMMYFUNCTION("""COMPUTED_VALUE"""),2.0)</f>
        <v>2</v>
      </c>
      <c r="H363" s="256">
        <f>IFERROR(__xludf.DUMMYFUNCTION("""COMPUTED_VALUE"""),187.48)</f>
        <v>187.48</v>
      </c>
      <c r="I363" s="256">
        <f>IFERROR(__xludf.DUMMYFUNCTION("""COMPUTED_VALUE"""),149.984)</f>
        <v>149.984</v>
      </c>
      <c r="J363" s="257">
        <f t="shared" si="1"/>
        <v>2</v>
      </c>
      <c r="K363" s="253"/>
      <c r="L363" s="253"/>
      <c r="M363" s="252"/>
      <c r="N363" s="258"/>
      <c r="O363" s="259"/>
      <c r="P363" s="259"/>
      <c r="Q363" s="262"/>
      <c r="R363" s="260"/>
      <c r="S363" s="260"/>
      <c r="T363" s="260"/>
      <c r="U363" s="261"/>
      <c r="V363" s="251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</row>
    <row r="364">
      <c r="A364" s="251">
        <f>IFERROR(__xludf.DUMMYFUNCTION("""COMPUTED_VALUE"""),7840200.0)</f>
        <v>7840200</v>
      </c>
      <c r="B364" s="252" t="str">
        <f>IFERROR(__xludf.DUMMYFUNCTION("""COMPUTED_VALUE"""),"BookingCom")</f>
        <v>BookingCom</v>
      </c>
      <c r="C364" s="253" t="str">
        <f>IFERROR(__xludf.DUMMYFUNCTION("""COMPUTED_VALUE"""),"SOPHIE MCGEOCH ")</f>
        <v>SOPHIE MCGEOCH </v>
      </c>
      <c r="D364" s="254">
        <f>IFERROR(__xludf.DUMMYFUNCTION("""COMPUTED_VALUE"""),46129.0)</f>
        <v>46129</v>
      </c>
      <c r="E364" s="251">
        <f>IFERROR(__xludf.DUMMYFUNCTION("""COMPUTED_VALUE"""),46130.0)</f>
        <v>46130</v>
      </c>
      <c r="F364" s="255">
        <f>IFERROR(__xludf.DUMMYFUNCTION("""COMPUTED_VALUE"""),1.0)</f>
        <v>1</v>
      </c>
      <c r="G364" s="255">
        <f>IFERROR(__xludf.DUMMYFUNCTION("""COMPUTED_VALUE"""),2.0)</f>
        <v>2</v>
      </c>
      <c r="H364" s="256">
        <f>IFERROR(__xludf.DUMMYFUNCTION("""COMPUTED_VALUE"""),187.48)</f>
        <v>187.48</v>
      </c>
      <c r="I364" s="256">
        <f>IFERROR(__xludf.DUMMYFUNCTION("""COMPUTED_VALUE"""),149.984)</f>
        <v>149.984</v>
      </c>
      <c r="J364" s="257">
        <f t="shared" si="1"/>
        <v>2</v>
      </c>
      <c r="K364" s="253"/>
      <c r="L364" s="253"/>
      <c r="M364" s="252"/>
      <c r="N364" s="258"/>
      <c r="O364" s="259"/>
      <c r="P364" s="259"/>
      <c r="Q364" s="262"/>
      <c r="R364" s="260"/>
      <c r="S364" s="260"/>
      <c r="T364" s="260"/>
      <c r="U364" s="261"/>
      <c r="V364" s="309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</row>
    <row r="365">
      <c r="A365" s="251">
        <f>IFERROR(__xludf.DUMMYFUNCTION("""COMPUTED_VALUE"""),8053351.0)</f>
        <v>8053351</v>
      </c>
      <c r="B365" s="252" t="str">
        <f>IFERROR(__xludf.DUMMYFUNCTION("""COMPUTED_VALUE"""),"BookingCom")</f>
        <v>BookingCom</v>
      </c>
      <c r="C365" s="253" t="str">
        <f>IFERROR(__xludf.DUMMYFUNCTION("""COMPUTED_VALUE"""),"Christine Huser ")</f>
        <v>Christine Huser </v>
      </c>
      <c r="D365" s="254">
        <f>IFERROR(__xludf.DUMMYFUNCTION("""COMPUTED_VALUE"""),46130.0)</f>
        <v>46130</v>
      </c>
      <c r="E365" s="251">
        <f>IFERROR(__xludf.DUMMYFUNCTION("""COMPUTED_VALUE"""),46131.0)</f>
        <v>46131</v>
      </c>
      <c r="F365" s="255">
        <f>IFERROR(__xludf.DUMMYFUNCTION("""COMPUTED_VALUE"""),1.0)</f>
        <v>1</v>
      </c>
      <c r="G365" s="255">
        <f>IFERROR(__xludf.DUMMYFUNCTION("""COMPUTED_VALUE"""),2.0)</f>
        <v>2</v>
      </c>
      <c r="H365" s="256">
        <f>IFERROR(__xludf.DUMMYFUNCTION("""COMPUTED_VALUE"""),205.66)</f>
        <v>205.66</v>
      </c>
      <c r="I365" s="256">
        <f>IFERROR(__xludf.DUMMYFUNCTION("""COMPUTED_VALUE"""),164.52800000000002)</f>
        <v>164.528</v>
      </c>
      <c r="J365" s="257">
        <f t="shared" si="1"/>
        <v>2</v>
      </c>
      <c r="K365" s="253"/>
      <c r="L365" s="253"/>
      <c r="M365" s="252"/>
      <c r="N365" s="258"/>
      <c r="O365" s="259"/>
      <c r="P365" s="259"/>
      <c r="Q365" s="262"/>
      <c r="R365" s="260"/>
      <c r="S365" s="260"/>
      <c r="T365" s="260"/>
      <c r="U365" s="261"/>
      <c r="V365" s="309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</row>
    <row r="366">
      <c r="A366" s="251">
        <f>IFERROR(__xludf.DUMMYFUNCTION("""COMPUTED_VALUE"""),8066391.0)</f>
        <v>8066391</v>
      </c>
      <c r="B366" s="252" t="str">
        <f>IFERROR(__xludf.DUMMYFUNCTION("""COMPUTED_VALUE"""),"BookingCom")</f>
        <v>BookingCom</v>
      </c>
      <c r="C366" s="253" t="str">
        <f>IFERROR(__xludf.DUMMYFUNCTION("""COMPUTED_VALUE"""),"KIM ROHN ")</f>
        <v>KIM ROHN </v>
      </c>
      <c r="D366" s="254">
        <f>IFERROR(__xludf.DUMMYFUNCTION("""COMPUTED_VALUE"""),46130.0)</f>
        <v>46130</v>
      </c>
      <c r="E366" s="251">
        <f>IFERROR(__xludf.DUMMYFUNCTION("""COMPUTED_VALUE"""),46133.0)</f>
        <v>46133</v>
      </c>
      <c r="F366" s="255">
        <f>IFERROR(__xludf.DUMMYFUNCTION("""COMPUTED_VALUE"""),3.0)</f>
        <v>3</v>
      </c>
      <c r="G366" s="255">
        <f>IFERROR(__xludf.DUMMYFUNCTION("""COMPUTED_VALUE"""),2.0)</f>
        <v>2</v>
      </c>
      <c r="H366" s="256">
        <f>IFERROR(__xludf.DUMMYFUNCTION("""COMPUTED_VALUE"""),156.92)</f>
        <v>156.92</v>
      </c>
      <c r="I366" s="256">
        <f>IFERROR(__xludf.DUMMYFUNCTION("""COMPUTED_VALUE"""),376.608)</f>
        <v>376.608</v>
      </c>
      <c r="J366" s="257">
        <f t="shared" si="1"/>
        <v>6</v>
      </c>
      <c r="K366" s="253"/>
      <c r="L366" s="253"/>
      <c r="M366" s="252"/>
      <c r="N366" s="258"/>
      <c r="O366" s="259"/>
      <c r="P366" s="259"/>
      <c r="Q366" s="262"/>
      <c r="R366" s="260"/>
      <c r="S366" s="260"/>
      <c r="T366" s="260"/>
      <c r="U366" s="261"/>
      <c r="V366" s="251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</row>
    <row r="367">
      <c r="A367" s="251">
        <f>IFERROR(__xludf.DUMMYFUNCTION("""COMPUTED_VALUE"""),8132526.0)</f>
        <v>8132526</v>
      </c>
      <c r="B367" s="252" t="str">
        <f>IFERROR(__xludf.DUMMYFUNCTION("""COMPUTED_VALUE"""),"BookingCom")</f>
        <v>BookingCom</v>
      </c>
      <c r="C367" s="253" t="str">
        <f>IFERROR(__xludf.DUMMYFUNCTION("""COMPUTED_VALUE"""),"Cindy BELLET ")</f>
        <v>Cindy BELLET </v>
      </c>
      <c r="D367" s="254">
        <f>IFERROR(__xludf.DUMMYFUNCTION("""COMPUTED_VALUE"""),46130.0)</f>
        <v>46130</v>
      </c>
      <c r="E367" s="251">
        <f>IFERROR(__xludf.DUMMYFUNCTION("""COMPUTED_VALUE"""),46132.0)</f>
        <v>46132</v>
      </c>
      <c r="F367" s="255">
        <f>IFERROR(__xludf.DUMMYFUNCTION("""COMPUTED_VALUE"""),2.0)</f>
        <v>2</v>
      </c>
      <c r="G367" s="255">
        <f>IFERROR(__xludf.DUMMYFUNCTION("""COMPUTED_VALUE"""),3.0)</f>
        <v>3</v>
      </c>
      <c r="H367" s="256">
        <f>IFERROR(__xludf.DUMMYFUNCTION("""COMPUTED_VALUE"""),218.98)</f>
        <v>218.98</v>
      </c>
      <c r="I367" s="256">
        <f>IFERROR(__xludf.DUMMYFUNCTION("""COMPUTED_VALUE"""),350.368)</f>
        <v>350.368</v>
      </c>
      <c r="J367" s="257">
        <f t="shared" si="1"/>
        <v>6</v>
      </c>
      <c r="K367" s="253"/>
      <c r="L367" s="253"/>
      <c r="M367" s="252"/>
      <c r="N367" s="258"/>
      <c r="O367" s="259"/>
      <c r="P367" s="259"/>
      <c r="Q367" s="262"/>
      <c r="R367" s="260"/>
      <c r="S367" s="260"/>
      <c r="T367" s="260"/>
      <c r="U367" s="261"/>
      <c r="V367" s="309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</row>
    <row r="368">
      <c r="A368" s="251">
        <f>IFERROR(__xludf.DUMMYFUNCTION("""COMPUTED_VALUE"""),8173933.0)</f>
        <v>8173933</v>
      </c>
      <c r="B368" s="252" t="str">
        <f>IFERROR(__xludf.DUMMYFUNCTION("""COMPUTED_VALUE"""),"BookingCom")</f>
        <v>BookingCom</v>
      </c>
      <c r="C368" s="253" t="str">
        <f>IFERROR(__xludf.DUMMYFUNCTION("""COMPUTED_VALUE"""),"Ole-Marius Olsen ")</f>
        <v>Ole-Marius Olsen </v>
      </c>
      <c r="D368" s="254">
        <f>IFERROR(__xludf.DUMMYFUNCTION("""COMPUTED_VALUE"""),46130.0)</f>
        <v>46130</v>
      </c>
      <c r="E368" s="251">
        <f>IFERROR(__xludf.DUMMYFUNCTION("""COMPUTED_VALUE"""),46133.0)</f>
        <v>46133</v>
      </c>
      <c r="F368" s="255">
        <f>IFERROR(__xludf.DUMMYFUNCTION("""COMPUTED_VALUE"""),3.0)</f>
        <v>3</v>
      </c>
      <c r="G368" s="255">
        <f>IFERROR(__xludf.DUMMYFUNCTION("""COMPUTED_VALUE"""),2.0)</f>
        <v>2</v>
      </c>
      <c r="H368" s="256">
        <f>IFERROR(__xludf.DUMMYFUNCTION("""COMPUTED_VALUE"""),406.48)</f>
        <v>406.48</v>
      </c>
      <c r="I368" s="256">
        <f>IFERROR(__xludf.DUMMYFUNCTION("""COMPUTED_VALUE"""),975.5520000000001)</f>
        <v>975.552</v>
      </c>
      <c r="J368" s="257">
        <f t="shared" si="1"/>
        <v>6</v>
      </c>
      <c r="K368" s="253"/>
      <c r="L368" s="253"/>
      <c r="M368" s="252"/>
      <c r="N368" s="258"/>
      <c r="O368" s="259"/>
      <c r="P368" s="259"/>
      <c r="Q368" s="262"/>
      <c r="R368" s="260"/>
      <c r="S368" s="260"/>
      <c r="T368" s="260"/>
      <c r="U368" s="261"/>
      <c r="V368" s="251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</row>
    <row r="369">
      <c r="A369" s="251">
        <f>IFERROR(__xludf.DUMMYFUNCTION("""COMPUTED_VALUE"""),8177657.0)</f>
        <v>8177657</v>
      </c>
      <c r="B369" s="252" t="str">
        <f>IFERROR(__xludf.DUMMYFUNCTION("""COMPUTED_VALUE"""),"BookingCom")</f>
        <v>BookingCom</v>
      </c>
      <c r="C369" s="253" t="str">
        <f>IFERROR(__xludf.DUMMYFUNCTION("""COMPUTED_VALUE"""),"Patrick Childs ")</f>
        <v>Patrick Childs </v>
      </c>
      <c r="D369" s="308">
        <f>IFERROR(__xludf.DUMMYFUNCTION("""COMPUTED_VALUE"""),46131.0)</f>
        <v>46131</v>
      </c>
      <c r="E369" s="251">
        <f>IFERROR(__xludf.DUMMYFUNCTION("""COMPUTED_VALUE"""),46132.0)</f>
        <v>46132</v>
      </c>
      <c r="F369" s="255">
        <f>IFERROR(__xludf.DUMMYFUNCTION("""COMPUTED_VALUE"""),1.0)</f>
        <v>1</v>
      </c>
      <c r="G369" s="255">
        <f>IFERROR(__xludf.DUMMYFUNCTION("""COMPUTED_VALUE"""),2.0)</f>
        <v>2</v>
      </c>
      <c r="H369" s="256">
        <f>IFERROR(__xludf.DUMMYFUNCTION("""COMPUTED_VALUE"""),208.32)</f>
        <v>208.32</v>
      </c>
      <c r="I369" s="256">
        <f>IFERROR(__xludf.DUMMYFUNCTION("""COMPUTED_VALUE"""),166.656)</f>
        <v>166.656</v>
      </c>
      <c r="J369" s="257">
        <f t="shared" si="1"/>
        <v>2</v>
      </c>
      <c r="K369" s="253"/>
      <c r="L369" s="253"/>
      <c r="M369" s="252"/>
      <c r="N369" s="258"/>
      <c r="O369" s="259"/>
      <c r="P369" s="259"/>
      <c r="Q369" s="262"/>
      <c r="R369" s="260"/>
      <c r="S369" s="260"/>
      <c r="T369" s="260"/>
      <c r="U369" s="261"/>
      <c r="V369" s="251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</row>
    <row r="370">
      <c r="A370" s="251">
        <f>IFERROR(__xludf.DUMMYFUNCTION("""COMPUTED_VALUE"""),7747142.0)</f>
        <v>7747142</v>
      </c>
      <c r="B370" s="252" t="str">
        <f>IFERROR(__xludf.DUMMYFUNCTION("""COMPUTED_VALUE"""),"Reseliva Pannel")</f>
        <v>Reseliva Pannel</v>
      </c>
      <c r="C370" s="253" t="str">
        <f>IFERROR(__xludf.DUMMYFUNCTION("""COMPUTED_VALUE"""),"Maryem Anna ")</f>
        <v>Maryem Anna </v>
      </c>
      <c r="D370" s="254">
        <f>IFERROR(__xludf.DUMMYFUNCTION("""COMPUTED_VALUE"""),46133.0)</f>
        <v>46133</v>
      </c>
      <c r="E370" s="251">
        <f>IFERROR(__xludf.DUMMYFUNCTION("""COMPUTED_VALUE"""),46134.0)</f>
        <v>46134</v>
      </c>
      <c r="F370" s="255">
        <f>IFERROR(__xludf.DUMMYFUNCTION("""COMPUTED_VALUE"""),1.0)</f>
        <v>1</v>
      </c>
      <c r="G370" s="255">
        <f>IFERROR(__xludf.DUMMYFUNCTION("""COMPUTED_VALUE"""),2.0)</f>
        <v>2</v>
      </c>
      <c r="H370" s="256">
        <f>IFERROR(__xludf.DUMMYFUNCTION("""COMPUTED_VALUE"""),239.76)</f>
        <v>239.76</v>
      </c>
      <c r="I370" s="256">
        <f>IFERROR(__xludf.DUMMYFUNCTION("""COMPUTED_VALUE"""),239.76)</f>
        <v>239.76</v>
      </c>
      <c r="J370" s="257">
        <f t="shared" si="1"/>
        <v>2</v>
      </c>
      <c r="K370" s="253"/>
      <c r="L370" s="253"/>
      <c r="M370" s="275"/>
      <c r="N370" s="258"/>
      <c r="O370" s="259"/>
      <c r="P370" s="259"/>
      <c r="Q370" s="262"/>
      <c r="R370" s="260"/>
      <c r="S370" s="260"/>
      <c r="T370" s="260"/>
      <c r="U370" s="261"/>
      <c r="V370" s="309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</row>
    <row r="371">
      <c r="A371" s="251">
        <f>IFERROR(__xludf.DUMMYFUNCTION("""COMPUTED_VALUE"""),7747142.0)</f>
        <v>7747142</v>
      </c>
      <c r="B371" s="252" t="str">
        <f>IFERROR(__xludf.DUMMYFUNCTION("""COMPUTED_VALUE"""),"Reseliva Pannel")</f>
        <v>Reseliva Pannel</v>
      </c>
      <c r="C371" s="253" t="str">
        <f>IFERROR(__xludf.DUMMYFUNCTION("""COMPUTED_VALUE"""),"Maryem Anna ")</f>
        <v>Maryem Anna </v>
      </c>
      <c r="D371" s="254">
        <f>IFERROR(__xludf.DUMMYFUNCTION("""COMPUTED_VALUE"""),46133.0)</f>
        <v>46133</v>
      </c>
      <c r="E371" s="251">
        <f>IFERROR(__xludf.DUMMYFUNCTION("""COMPUTED_VALUE"""),46134.0)</f>
        <v>46134</v>
      </c>
      <c r="F371" s="255">
        <f>IFERROR(__xludf.DUMMYFUNCTION("""COMPUTED_VALUE"""),1.0)</f>
        <v>1</v>
      </c>
      <c r="G371" s="255">
        <f>IFERROR(__xludf.DUMMYFUNCTION("""COMPUTED_VALUE"""),2.0)</f>
        <v>2</v>
      </c>
      <c r="H371" s="256">
        <f>IFERROR(__xludf.DUMMYFUNCTION("""COMPUTED_VALUE"""),239.76)</f>
        <v>239.76</v>
      </c>
      <c r="I371" s="256">
        <f>IFERROR(__xludf.DUMMYFUNCTION("""COMPUTED_VALUE"""),239.76)</f>
        <v>239.76</v>
      </c>
      <c r="J371" s="257">
        <f t="shared" si="1"/>
        <v>2</v>
      </c>
      <c r="K371" s="253"/>
      <c r="L371" s="253"/>
      <c r="M371" s="252"/>
      <c r="N371" s="258"/>
      <c r="O371" s="259"/>
      <c r="P371" s="259"/>
      <c r="Q371" s="257"/>
      <c r="R371" s="260"/>
      <c r="S371" s="260"/>
      <c r="T371" s="260"/>
      <c r="U371" s="261"/>
      <c r="V371" s="251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</row>
    <row r="372">
      <c r="A372" s="251">
        <f>IFERROR(__xludf.DUMMYFUNCTION("""COMPUTED_VALUE"""),7747142.0)</f>
        <v>7747142</v>
      </c>
      <c r="B372" s="252" t="str">
        <f>IFERROR(__xludf.DUMMYFUNCTION("""COMPUTED_VALUE"""),"Reseliva Pannel")</f>
        <v>Reseliva Pannel</v>
      </c>
      <c r="C372" s="253" t="str">
        <f>IFERROR(__xludf.DUMMYFUNCTION("""COMPUTED_VALUE"""),"Maryem Anna ")</f>
        <v>Maryem Anna </v>
      </c>
      <c r="D372" s="254">
        <f>IFERROR(__xludf.DUMMYFUNCTION("""COMPUTED_VALUE"""),46133.0)</f>
        <v>46133</v>
      </c>
      <c r="E372" s="251">
        <f>IFERROR(__xludf.DUMMYFUNCTION("""COMPUTED_VALUE"""),46134.0)</f>
        <v>46134</v>
      </c>
      <c r="F372" s="255">
        <f>IFERROR(__xludf.DUMMYFUNCTION("""COMPUTED_VALUE"""),1.0)</f>
        <v>1</v>
      </c>
      <c r="G372" s="255">
        <f>IFERROR(__xludf.DUMMYFUNCTION("""COMPUTED_VALUE"""),2.0)</f>
        <v>2</v>
      </c>
      <c r="H372" s="256">
        <f>IFERROR(__xludf.DUMMYFUNCTION("""COMPUTED_VALUE"""),239.76)</f>
        <v>239.76</v>
      </c>
      <c r="I372" s="256">
        <f>IFERROR(__xludf.DUMMYFUNCTION("""COMPUTED_VALUE"""),239.76)</f>
        <v>239.76</v>
      </c>
      <c r="J372" s="257">
        <f t="shared" si="1"/>
        <v>2</v>
      </c>
      <c r="K372" s="253"/>
      <c r="L372" s="253"/>
      <c r="M372" s="252"/>
      <c r="N372" s="258"/>
      <c r="O372" s="259"/>
      <c r="P372" s="259"/>
      <c r="Q372" s="262"/>
      <c r="R372" s="260"/>
      <c r="S372" s="260"/>
      <c r="T372" s="260"/>
      <c r="U372" s="261"/>
      <c r="V372" s="251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</row>
    <row r="373">
      <c r="A373" s="251">
        <f>IFERROR(__xludf.DUMMYFUNCTION("""COMPUTED_VALUE"""),7747142.0)</f>
        <v>7747142</v>
      </c>
      <c r="B373" s="252" t="str">
        <f>IFERROR(__xludf.DUMMYFUNCTION("""COMPUTED_VALUE"""),"Reseliva Pannel")</f>
        <v>Reseliva Pannel</v>
      </c>
      <c r="C373" s="253" t="str">
        <f>IFERROR(__xludf.DUMMYFUNCTION("""COMPUTED_VALUE"""),"Maryem Anna ")</f>
        <v>Maryem Anna </v>
      </c>
      <c r="D373" s="254">
        <f>IFERROR(__xludf.DUMMYFUNCTION("""COMPUTED_VALUE"""),46133.0)</f>
        <v>46133</v>
      </c>
      <c r="E373" s="251">
        <f>IFERROR(__xludf.DUMMYFUNCTION("""COMPUTED_VALUE"""),46134.0)</f>
        <v>46134</v>
      </c>
      <c r="F373" s="255">
        <f>IFERROR(__xludf.DUMMYFUNCTION("""COMPUTED_VALUE"""),1.0)</f>
        <v>1</v>
      </c>
      <c r="G373" s="255">
        <f>IFERROR(__xludf.DUMMYFUNCTION("""COMPUTED_VALUE"""),2.0)</f>
        <v>2</v>
      </c>
      <c r="H373" s="256">
        <f>IFERROR(__xludf.DUMMYFUNCTION("""COMPUTED_VALUE"""),239.76)</f>
        <v>239.76</v>
      </c>
      <c r="I373" s="256">
        <f>IFERROR(__xludf.DUMMYFUNCTION("""COMPUTED_VALUE"""),239.76)</f>
        <v>239.76</v>
      </c>
      <c r="J373" s="257">
        <f t="shared" si="1"/>
        <v>2</v>
      </c>
      <c r="K373" s="253"/>
      <c r="L373" s="253"/>
      <c r="M373" s="252"/>
      <c r="N373" s="258"/>
      <c r="O373" s="259"/>
      <c r="P373" s="259"/>
      <c r="Q373" s="257"/>
      <c r="R373" s="260"/>
      <c r="S373" s="260"/>
      <c r="T373" s="260"/>
      <c r="U373" s="261"/>
      <c r="V373" s="309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</row>
    <row r="374">
      <c r="A374" s="251">
        <f>IFERROR(__xludf.DUMMYFUNCTION("""COMPUTED_VALUE"""),7747142.0)</f>
        <v>7747142</v>
      </c>
      <c r="B374" s="252" t="str">
        <f>IFERROR(__xludf.DUMMYFUNCTION("""COMPUTED_VALUE"""),"Reseliva Pannel")</f>
        <v>Reseliva Pannel</v>
      </c>
      <c r="C374" s="253" t="str">
        <f>IFERROR(__xludf.DUMMYFUNCTION("""COMPUTED_VALUE"""),"Maryem Anna ")</f>
        <v>Maryem Anna </v>
      </c>
      <c r="D374" s="254">
        <f>IFERROR(__xludf.DUMMYFUNCTION("""COMPUTED_VALUE"""),46133.0)</f>
        <v>46133</v>
      </c>
      <c r="E374" s="251">
        <f>IFERROR(__xludf.DUMMYFUNCTION("""COMPUTED_VALUE"""),46134.0)</f>
        <v>46134</v>
      </c>
      <c r="F374" s="255">
        <f>IFERROR(__xludf.DUMMYFUNCTION("""COMPUTED_VALUE"""),1.0)</f>
        <v>1</v>
      </c>
      <c r="G374" s="255">
        <f>IFERROR(__xludf.DUMMYFUNCTION("""COMPUTED_VALUE"""),2.0)</f>
        <v>2</v>
      </c>
      <c r="H374" s="256">
        <f>IFERROR(__xludf.DUMMYFUNCTION("""COMPUTED_VALUE"""),300.24)</f>
        <v>300.24</v>
      </c>
      <c r="I374" s="256">
        <f>IFERROR(__xludf.DUMMYFUNCTION("""COMPUTED_VALUE"""),300.24)</f>
        <v>300.24</v>
      </c>
      <c r="J374" s="257">
        <f t="shared" si="1"/>
        <v>2</v>
      </c>
      <c r="K374" s="253"/>
      <c r="L374" s="253"/>
      <c r="M374" s="275"/>
      <c r="N374" s="258"/>
      <c r="O374" s="259"/>
      <c r="P374" s="259"/>
      <c r="Q374" s="262"/>
      <c r="R374" s="260"/>
      <c r="S374" s="260"/>
      <c r="T374" s="260"/>
      <c r="U374" s="261"/>
      <c r="V374" s="251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</row>
    <row r="375">
      <c r="A375" s="251">
        <f>IFERROR(__xludf.DUMMYFUNCTION("""COMPUTED_VALUE"""),7831084.0)</f>
        <v>7831084</v>
      </c>
      <c r="B375" s="252" t="str">
        <f>IFERROR(__xludf.DUMMYFUNCTION("""COMPUTED_VALUE"""),"BookingCom")</f>
        <v>BookingCom</v>
      </c>
      <c r="C375" s="253" t="str">
        <f>IFERROR(__xludf.DUMMYFUNCTION("""COMPUTED_VALUE"""),"Hannah Reynolds ")</f>
        <v>Hannah Reynolds </v>
      </c>
      <c r="D375" s="254">
        <f>IFERROR(__xludf.DUMMYFUNCTION("""COMPUTED_VALUE"""),46134.0)</f>
        <v>46134</v>
      </c>
      <c r="E375" s="251">
        <f>IFERROR(__xludf.DUMMYFUNCTION("""COMPUTED_VALUE"""),46136.0)</f>
        <v>46136</v>
      </c>
      <c r="F375" s="255">
        <f>IFERROR(__xludf.DUMMYFUNCTION("""COMPUTED_VALUE"""),2.0)</f>
        <v>2</v>
      </c>
      <c r="G375" s="255">
        <f>IFERROR(__xludf.DUMMYFUNCTION("""COMPUTED_VALUE"""),2.0)</f>
        <v>2</v>
      </c>
      <c r="H375" s="256">
        <f>IFERROR(__xludf.DUMMYFUNCTION("""COMPUTED_VALUE"""),167.11)</f>
        <v>167.11</v>
      </c>
      <c r="I375" s="256">
        <f>IFERROR(__xludf.DUMMYFUNCTION("""COMPUTED_VALUE"""),267.37600000000003)</f>
        <v>267.376</v>
      </c>
      <c r="J375" s="257">
        <f t="shared" si="1"/>
        <v>4</v>
      </c>
      <c r="K375" s="253"/>
      <c r="L375" s="253"/>
      <c r="M375" s="252"/>
      <c r="N375" s="258"/>
      <c r="O375" s="259"/>
      <c r="P375" s="259"/>
      <c r="Q375" s="257"/>
      <c r="R375" s="260"/>
      <c r="S375" s="260"/>
      <c r="T375" s="260"/>
      <c r="U375" s="261"/>
      <c r="V375" s="304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</row>
    <row r="376">
      <c r="A376" s="251">
        <f>IFERROR(__xludf.DUMMYFUNCTION("""COMPUTED_VALUE"""),8119689.0)</f>
        <v>8119689</v>
      </c>
      <c r="B376" s="252" t="str">
        <f>IFERROR(__xludf.DUMMYFUNCTION("""COMPUTED_VALUE"""),"Agoda2")</f>
        <v>Agoda2</v>
      </c>
      <c r="C376" s="253" t="str">
        <f>IFERROR(__xludf.DUMMYFUNCTION("""COMPUTED_VALUE"""),"Davis Driver ")</f>
        <v>Davis Driver </v>
      </c>
      <c r="D376" s="254">
        <f>IFERROR(__xludf.DUMMYFUNCTION("""COMPUTED_VALUE"""),46134.0)</f>
        <v>46134</v>
      </c>
      <c r="E376" s="251">
        <f>IFERROR(__xludf.DUMMYFUNCTION("""COMPUTED_VALUE"""),46136.0)</f>
        <v>46136</v>
      </c>
      <c r="F376" s="255">
        <f>IFERROR(__xludf.DUMMYFUNCTION("""COMPUTED_VALUE"""),2.0)</f>
        <v>2</v>
      </c>
      <c r="G376" s="255">
        <f>IFERROR(__xludf.DUMMYFUNCTION("""COMPUTED_VALUE"""),1.0)</f>
        <v>1</v>
      </c>
      <c r="H376" s="256">
        <f>IFERROR(__xludf.DUMMYFUNCTION("""COMPUTED_VALUE"""),312.75)</f>
        <v>312.75</v>
      </c>
      <c r="I376" s="256">
        <f>IFERROR(__xludf.DUMMYFUNCTION("""COMPUTED_VALUE"""),500.40000000000003)</f>
        <v>500.4</v>
      </c>
      <c r="J376" s="257">
        <f t="shared" si="1"/>
        <v>2</v>
      </c>
      <c r="K376" s="253"/>
      <c r="L376" s="253"/>
      <c r="M376" s="275"/>
      <c r="N376" s="258"/>
      <c r="O376" s="259"/>
      <c r="P376" s="259"/>
      <c r="Q376" s="262"/>
      <c r="R376" s="260"/>
      <c r="S376" s="260"/>
      <c r="T376" s="260"/>
      <c r="U376" s="261"/>
      <c r="V376" s="309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</row>
    <row r="377">
      <c r="A377" s="251">
        <f>IFERROR(__xludf.DUMMYFUNCTION("""COMPUTED_VALUE"""),8133615.0)</f>
        <v>8133615</v>
      </c>
      <c r="B377" s="252" t="str">
        <f>IFERROR(__xludf.DUMMYFUNCTION("""COMPUTED_VALUE"""),"Reseliva")</f>
        <v>Reseliva</v>
      </c>
      <c r="C377" s="253" t="str">
        <f>IFERROR(__xludf.DUMMYFUNCTION("""COMPUTED_VALUE"""),"Emily Pavelle ")</f>
        <v>Emily Pavelle </v>
      </c>
      <c r="D377" s="254">
        <f>IFERROR(__xludf.DUMMYFUNCTION("""COMPUTED_VALUE"""),46134.0)</f>
        <v>46134</v>
      </c>
      <c r="E377" s="251">
        <f>IFERROR(__xludf.DUMMYFUNCTION("""COMPUTED_VALUE"""),46136.0)</f>
        <v>46136</v>
      </c>
      <c r="F377" s="255">
        <f>IFERROR(__xludf.DUMMYFUNCTION("""COMPUTED_VALUE"""),2.0)</f>
        <v>2</v>
      </c>
      <c r="G377" s="255">
        <f>IFERROR(__xludf.DUMMYFUNCTION("""COMPUTED_VALUE"""),2.0)</f>
        <v>2</v>
      </c>
      <c r="H377" s="256">
        <f>IFERROR(__xludf.DUMMYFUNCTION("""COMPUTED_VALUE"""),219.375)</f>
        <v>219.375</v>
      </c>
      <c r="I377" s="256">
        <f>IFERROR(__xludf.DUMMYFUNCTION("""COMPUTED_VALUE"""),434.3625)</f>
        <v>434.3625</v>
      </c>
      <c r="J377" s="257">
        <f t="shared" si="1"/>
        <v>4</v>
      </c>
      <c r="K377" s="253"/>
      <c r="L377" s="253"/>
      <c r="M377" s="252"/>
      <c r="N377" s="258"/>
      <c r="O377" s="259"/>
      <c r="P377" s="259"/>
      <c r="Q377" s="257"/>
      <c r="R377" s="260"/>
      <c r="S377" s="260"/>
      <c r="T377" s="260"/>
      <c r="U377" s="261"/>
      <c r="V377" s="304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</row>
    <row r="378">
      <c r="A378" s="251">
        <f>IFERROR(__xludf.DUMMYFUNCTION("""COMPUTED_VALUE"""),8151577.0)</f>
        <v>8151577</v>
      </c>
      <c r="B378" s="252" t="str">
        <f>IFERROR(__xludf.DUMMYFUNCTION("""COMPUTED_VALUE"""),"BookingCom")</f>
        <v>BookingCom</v>
      </c>
      <c r="C378" s="253" t="str">
        <f>IFERROR(__xludf.DUMMYFUNCTION("""COMPUTED_VALUE"""),"Joseph Reeve ")</f>
        <v>Joseph Reeve </v>
      </c>
      <c r="D378" s="254">
        <f>IFERROR(__xludf.DUMMYFUNCTION("""COMPUTED_VALUE"""),46134.0)</f>
        <v>46134</v>
      </c>
      <c r="E378" s="251">
        <f>IFERROR(__xludf.DUMMYFUNCTION("""COMPUTED_VALUE"""),46136.0)</f>
        <v>46136</v>
      </c>
      <c r="F378" s="255">
        <f>IFERROR(__xludf.DUMMYFUNCTION("""COMPUTED_VALUE"""),2.0)</f>
        <v>2</v>
      </c>
      <c r="G378" s="255">
        <f>IFERROR(__xludf.DUMMYFUNCTION("""COMPUTED_VALUE"""),2.0)</f>
        <v>2</v>
      </c>
      <c r="H378" s="256">
        <f>IFERROR(__xludf.DUMMYFUNCTION("""COMPUTED_VALUE"""),210.29)</f>
        <v>210.29</v>
      </c>
      <c r="I378" s="256">
        <f>IFERROR(__xludf.DUMMYFUNCTION("""COMPUTED_VALUE"""),336.464)</f>
        <v>336.464</v>
      </c>
      <c r="J378" s="257">
        <f t="shared" si="1"/>
        <v>4</v>
      </c>
      <c r="K378" s="253"/>
      <c r="L378" s="253"/>
      <c r="M378" s="275"/>
      <c r="N378" s="258"/>
      <c r="O378" s="259"/>
      <c r="P378" s="259"/>
      <c r="Q378" s="262"/>
      <c r="R378" s="260"/>
      <c r="S378" s="260"/>
      <c r="T378" s="260"/>
      <c r="U378" s="261"/>
      <c r="V378" s="304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</row>
    <row r="379">
      <c r="A379" s="251">
        <f>IFERROR(__xludf.DUMMYFUNCTION("""COMPUTED_VALUE"""),8194046.0)</f>
        <v>8194046</v>
      </c>
      <c r="B379" s="252" t="str">
        <f>IFERROR(__xludf.DUMMYFUNCTION("""COMPUTED_VALUE"""),"BookingCom")</f>
        <v>BookingCom</v>
      </c>
      <c r="C379" s="253" t="str">
        <f>IFERROR(__xludf.DUMMYFUNCTION("""COMPUTED_VALUE"""),"Sandra Garrido ")</f>
        <v>Sandra Garrido </v>
      </c>
      <c r="D379" s="254">
        <f>IFERROR(__xludf.DUMMYFUNCTION("""COMPUTED_VALUE"""),46134.0)</f>
        <v>46134</v>
      </c>
      <c r="E379" s="251">
        <f>IFERROR(__xludf.DUMMYFUNCTION("""COMPUTED_VALUE"""),46135.0)</f>
        <v>46135</v>
      </c>
      <c r="F379" s="255">
        <f>IFERROR(__xludf.DUMMYFUNCTION("""COMPUTED_VALUE"""),1.0)</f>
        <v>1</v>
      </c>
      <c r="G379" s="255">
        <f>IFERROR(__xludf.DUMMYFUNCTION("""COMPUTED_VALUE"""),1.0)</f>
        <v>1</v>
      </c>
      <c r="H379" s="256">
        <f>IFERROR(__xludf.DUMMYFUNCTION("""COMPUTED_VALUE"""),148.76)</f>
        <v>148.76</v>
      </c>
      <c r="I379" s="256">
        <f>IFERROR(__xludf.DUMMYFUNCTION("""COMPUTED_VALUE"""),119.008)</f>
        <v>119.008</v>
      </c>
      <c r="J379" s="257">
        <f t="shared" si="1"/>
        <v>1</v>
      </c>
      <c r="K379" s="253"/>
      <c r="L379" s="253"/>
      <c r="M379" s="252"/>
      <c r="N379" s="258"/>
      <c r="O379" s="259"/>
      <c r="P379" s="259"/>
      <c r="Q379" s="262"/>
      <c r="R379" s="260"/>
      <c r="S379" s="260"/>
      <c r="T379" s="260"/>
      <c r="U379" s="261"/>
      <c r="V379" s="309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</row>
    <row r="380">
      <c r="A380" s="251">
        <f>IFERROR(__xludf.DUMMYFUNCTION("""COMPUTED_VALUE"""),7638456.0)</f>
        <v>7638456</v>
      </c>
      <c r="B380" s="252" t="str">
        <f>IFERROR(__xludf.DUMMYFUNCTION("""COMPUTED_VALUE"""),"BookingCom")</f>
        <v>BookingCom</v>
      </c>
      <c r="C380" s="253" t="str">
        <f>IFERROR(__xludf.DUMMYFUNCTION("""COMPUTED_VALUE"""),"Verity Hunt ")</f>
        <v>Verity Hunt </v>
      </c>
      <c r="D380" s="254">
        <f>IFERROR(__xludf.DUMMYFUNCTION("""COMPUTED_VALUE"""),46135.0)</f>
        <v>46135</v>
      </c>
      <c r="E380" s="251">
        <f>IFERROR(__xludf.DUMMYFUNCTION("""COMPUTED_VALUE"""),46138.0)</f>
        <v>46138</v>
      </c>
      <c r="F380" s="255">
        <f>IFERROR(__xludf.DUMMYFUNCTION("""COMPUTED_VALUE"""),3.0)</f>
        <v>3</v>
      </c>
      <c r="G380" s="255">
        <f>IFERROR(__xludf.DUMMYFUNCTION("""COMPUTED_VALUE"""),2.0)</f>
        <v>2</v>
      </c>
      <c r="H380" s="256">
        <f>IFERROR(__xludf.DUMMYFUNCTION("""COMPUTED_VALUE"""),171.86)</f>
        <v>171.86</v>
      </c>
      <c r="I380" s="256">
        <f>IFERROR(__xludf.DUMMYFUNCTION("""COMPUTED_VALUE"""),412.46400000000006)</f>
        <v>412.464</v>
      </c>
      <c r="J380" s="257">
        <f t="shared" si="1"/>
        <v>6</v>
      </c>
      <c r="K380" s="253"/>
      <c r="L380" s="253"/>
      <c r="M380" s="252"/>
      <c r="N380" s="258"/>
      <c r="O380" s="259"/>
      <c r="P380" s="259"/>
      <c r="Q380" s="262"/>
      <c r="R380" s="260"/>
      <c r="S380" s="260"/>
      <c r="T380" s="260"/>
      <c r="U380" s="261"/>
      <c r="V380" s="251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</row>
    <row r="381">
      <c r="A381" s="251">
        <f>IFERROR(__xludf.DUMMYFUNCTION("""COMPUTED_VALUE"""),7656162.0)</f>
        <v>7656162</v>
      </c>
      <c r="B381" s="252" t="str">
        <f>IFERROR(__xludf.DUMMYFUNCTION("""COMPUTED_VALUE"""),"BookingCom")</f>
        <v>BookingCom</v>
      </c>
      <c r="C381" s="253" t="str">
        <f>IFERROR(__xludf.DUMMYFUNCTION("""COMPUTED_VALUE"""),"Rahel Prisca Schena Bichsel ")</f>
        <v>Rahel Prisca Schena Bichsel </v>
      </c>
      <c r="D381" s="254">
        <f>IFERROR(__xludf.DUMMYFUNCTION("""COMPUTED_VALUE"""),46135.0)</f>
        <v>46135</v>
      </c>
      <c r="E381" s="251">
        <f>IFERROR(__xludf.DUMMYFUNCTION("""COMPUTED_VALUE"""),46138.0)</f>
        <v>46138</v>
      </c>
      <c r="F381" s="255">
        <f>IFERROR(__xludf.DUMMYFUNCTION("""COMPUTED_VALUE"""),3.0)</f>
        <v>3</v>
      </c>
      <c r="G381" s="255">
        <f>IFERROR(__xludf.DUMMYFUNCTION("""COMPUTED_VALUE"""),2.0)</f>
        <v>2</v>
      </c>
      <c r="H381" s="256">
        <f>IFERROR(__xludf.DUMMYFUNCTION("""COMPUTED_VALUE"""),173.12)</f>
        <v>173.12</v>
      </c>
      <c r="I381" s="256">
        <f>IFERROR(__xludf.DUMMYFUNCTION("""COMPUTED_VALUE"""),415.48800000000006)</f>
        <v>415.488</v>
      </c>
      <c r="J381" s="257">
        <f t="shared" si="1"/>
        <v>6</v>
      </c>
      <c r="K381" s="253"/>
      <c r="L381" s="253"/>
      <c r="M381" s="252"/>
      <c r="N381" s="258"/>
      <c r="O381" s="259"/>
      <c r="P381" s="259"/>
      <c r="Q381" s="262"/>
      <c r="R381" s="260"/>
      <c r="S381" s="260"/>
      <c r="T381" s="260"/>
      <c r="U381" s="261"/>
      <c r="V381" s="251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</row>
    <row r="382">
      <c r="A382" s="251">
        <f>IFERROR(__xludf.DUMMYFUNCTION("""COMPUTED_VALUE"""),7997447.0)</f>
        <v>7997447</v>
      </c>
      <c r="B382" s="252" t="str">
        <f>IFERROR(__xludf.DUMMYFUNCTION("""COMPUTED_VALUE"""),"BookingCom")</f>
        <v>BookingCom</v>
      </c>
      <c r="C382" s="253" t="str">
        <f>IFERROR(__xludf.DUMMYFUNCTION("""COMPUTED_VALUE"""),"Andreas Lopez ")</f>
        <v>Andreas Lopez </v>
      </c>
      <c r="D382" s="254">
        <f>IFERROR(__xludf.DUMMYFUNCTION("""COMPUTED_VALUE"""),46135.0)</f>
        <v>46135</v>
      </c>
      <c r="E382" s="251">
        <f>IFERROR(__xludf.DUMMYFUNCTION("""COMPUTED_VALUE"""),46136.0)</f>
        <v>46136</v>
      </c>
      <c r="F382" s="255">
        <f>IFERROR(__xludf.DUMMYFUNCTION("""COMPUTED_VALUE"""),1.0)</f>
        <v>1</v>
      </c>
      <c r="G382" s="255">
        <f>IFERROR(__xludf.DUMMYFUNCTION("""COMPUTED_VALUE"""),2.0)</f>
        <v>2</v>
      </c>
      <c r="H382" s="256">
        <f>IFERROR(__xludf.DUMMYFUNCTION("""COMPUTED_VALUE"""),156.92)</f>
        <v>156.92</v>
      </c>
      <c r="I382" s="256">
        <f>IFERROR(__xludf.DUMMYFUNCTION("""COMPUTED_VALUE"""),125.536)</f>
        <v>125.536</v>
      </c>
      <c r="J382" s="257">
        <f t="shared" si="1"/>
        <v>2</v>
      </c>
      <c r="K382" s="253"/>
      <c r="L382" s="253"/>
      <c r="M382" s="275"/>
      <c r="N382" s="258"/>
      <c r="O382" s="259"/>
      <c r="P382" s="259"/>
      <c r="Q382" s="262"/>
      <c r="R382" s="260"/>
      <c r="S382" s="260"/>
      <c r="T382" s="260"/>
      <c r="U382" s="261"/>
      <c r="V382" s="251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</row>
    <row r="383">
      <c r="A383" s="251">
        <f>IFERROR(__xludf.DUMMYFUNCTION("""COMPUTED_VALUE"""),8049515.0)</f>
        <v>8049515</v>
      </c>
      <c r="B383" s="252" t="str">
        <f>IFERROR(__xludf.DUMMYFUNCTION("""COMPUTED_VALUE"""),"BookingCom")</f>
        <v>BookingCom</v>
      </c>
      <c r="C383" s="253" t="str">
        <f>IFERROR(__xludf.DUMMYFUNCTION("""COMPUTED_VALUE"""),"Philippe Bocxtaele ")</f>
        <v>Philippe Bocxtaele </v>
      </c>
      <c r="D383" s="254">
        <f>IFERROR(__xludf.DUMMYFUNCTION("""COMPUTED_VALUE"""),46135.0)</f>
        <v>46135</v>
      </c>
      <c r="E383" s="251">
        <f>IFERROR(__xludf.DUMMYFUNCTION("""COMPUTED_VALUE"""),46140.0)</f>
        <v>46140</v>
      </c>
      <c r="F383" s="255">
        <f>IFERROR(__xludf.DUMMYFUNCTION("""COMPUTED_VALUE"""),5.0)</f>
        <v>5</v>
      </c>
      <c r="G383" s="255">
        <f>IFERROR(__xludf.DUMMYFUNCTION("""COMPUTED_VALUE"""),2.0)</f>
        <v>2</v>
      </c>
      <c r="H383" s="256">
        <f>IFERROR(__xludf.DUMMYFUNCTION("""COMPUTED_VALUE"""),198.87)</f>
        <v>198.87</v>
      </c>
      <c r="I383" s="256">
        <f>IFERROR(__xludf.DUMMYFUNCTION("""COMPUTED_VALUE"""),795.48)</f>
        <v>795.48</v>
      </c>
      <c r="J383" s="257">
        <f t="shared" si="1"/>
        <v>10</v>
      </c>
      <c r="K383" s="253"/>
      <c r="L383" s="253"/>
      <c r="M383" s="275"/>
      <c r="N383" s="258"/>
      <c r="O383" s="259"/>
      <c r="P383" s="259"/>
      <c r="Q383" s="262"/>
      <c r="R383" s="260"/>
      <c r="S383" s="260"/>
      <c r="T383" s="260"/>
      <c r="U383" s="261"/>
      <c r="V383" s="251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</row>
    <row r="384">
      <c r="A384" s="251">
        <f>IFERROR(__xludf.DUMMYFUNCTION("""COMPUTED_VALUE"""),7866758.0)</f>
        <v>7866758</v>
      </c>
      <c r="B384" s="252" t="str">
        <f>IFERROR(__xludf.DUMMYFUNCTION("""COMPUTED_VALUE"""),"BookingCom")</f>
        <v>BookingCom</v>
      </c>
      <c r="C384" s="253" t="str">
        <f>IFERROR(__xludf.DUMMYFUNCTION("""COMPUTED_VALUE"""),"Christian Frey ")</f>
        <v>Christian Frey </v>
      </c>
      <c r="D384" s="254">
        <f>IFERROR(__xludf.DUMMYFUNCTION("""COMPUTED_VALUE"""),46136.0)</f>
        <v>46136</v>
      </c>
      <c r="E384" s="251">
        <f>IFERROR(__xludf.DUMMYFUNCTION("""COMPUTED_VALUE"""),46138.0)</f>
        <v>46138</v>
      </c>
      <c r="F384" s="255">
        <f>IFERROR(__xludf.DUMMYFUNCTION("""COMPUTED_VALUE"""),2.0)</f>
        <v>2</v>
      </c>
      <c r="G384" s="255">
        <f>IFERROR(__xludf.DUMMYFUNCTION("""COMPUTED_VALUE"""),2.0)</f>
        <v>2</v>
      </c>
      <c r="H384" s="256">
        <f>IFERROR(__xludf.DUMMYFUNCTION("""COMPUTED_VALUE"""),210.29)</f>
        <v>210.29</v>
      </c>
      <c r="I384" s="256">
        <f>IFERROR(__xludf.DUMMYFUNCTION("""COMPUTED_VALUE"""),336.464)</f>
        <v>336.464</v>
      </c>
      <c r="J384" s="257">
        <f t="shared" si="1"/>
        <v>4</v>
      </c>
      <c r="K384" s="253"/>
      <c r="L384" s="253"/>
      <c r="M384" s="252"/>
      <c r="N384" s="258"/>
      <c r="O384" s="259"/>
      <c r="P384" s="259"/>
      <c r="Q384" s="262"/>
      <c r="R384" s="260"/>
      <c r="S384" s="260"/>
      <c r="T384" s="260"/>
      <c r="U384" s="261"/>
      <c r="V384" s="251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</row>
    <row r="385">
      <c r="A385" s="251">
        <f>IFERROR(__xludf.DUMMYFUNCTION("""COMPUTED_VALUE"""),7907941.0)</f>
        <v>7907941</v>
      </c>
      <c r="B385" s="252" t="str">
        <f>IFERROR(__xludf.DUMMYFUNCTION("""COMPUTED_VALUE"""),"Expedia Affiliate Network")</f>
        <v>Expedia Affiliate Network</v>
      </c>
      <c r="C385" s="253" t="str">
        <f>IFERROR(__xludf.DUMMYFUNCTION("""COMPUTED_VALUE"""),"CINZIA ARTIOLI ")</f>
        <v>CINZIA ARTIOLI </v>
      </c>
      <c r="D385" s="254">
        <f>IFERROR(__xludf.DUMMYFUNCTION("""COMPUTED_VALUE"""),46136.0)</f>
        <v>46136</v>
      </c>
      <c r="E385" s="251">
        <f>IFERROR(__xludf.DUMMYFUNCTION("""COMPUTED_VALUE"""),46138.0)</f>
        <v>46138</v>
      </c>
      <c r="F385" s="255">
        <f>IFERROR(__xludf.DUMMYFUNCTION("""COMPUTED_VALUE"""),2.0)</f>
        <v>2</v>
      </c>
      <c r="G385" s="255">
        <f>IFERROR(__xludf.DUMMYFUNCTION("""COMPUTED_VALUE"""),2.0)</f>
        <v>2</v>
      </c>
      <c r="H385" s="256">
        <f>IFERROR(__xludf.DUMMYFUNCTION("""COMPUTED_VALUE"""),0.0)</f>
        <v>0</v>
      </c>
      <c r="I385" s="256">
        <f>IFERROR(__xludf.DUMMYFUNCTION("""COMPUTED_VALUE"""),0.0)</f>
        <v>0</v>
      </c>
      <c r="J385" s="257">
        <f t="shared" si="1"/>
        <v>4</v>
      </c>
      <c r="K385" s="253"/>
      <c r="L385" s="253"/>
      <c r="M385" s="252"/>
      <c r="N385" s="258"/>
      <c r="O385" s="259"/>
      <c r="P385" s="259"/>
      <c r="Q385" s="257"/>
      <c r="R385" s="260"/>
      <c r="S385" s="260"/>
      <c r="T385" s="260"/>
      <c r="U385" s="261"/>
      <c r="V385" s="309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</row>
    <row r="386">
      <c r="A386" s="251">
        <f>IFERROR(__xludf.DUMMYFUNCTION("""COMPUTED_VALUE"""),8053347.0)</f>
        <v>8053347</v>
      </c>
      <c r="B386" s="252" t="str">
        <f>IFERROR(__xludf.DUMMYFUNCTION("""COMPUTED_VALUE"""),"BookingCom")</f>
        <v>BookingCom</v>
      </c>
      <c r="C386" s="253" t="str">
        <f>IFERROR(__xludf.DUMMYFUNCTION("""COMPUTED_VALUE"""),"Christine Huser ")</f>
        <v>Christine Huser </v>
      </c>
      <c r="D386" s="254">
        <f>IFERROR(__xludf.DUMMYFUNCTION("""COMPUTED_VALUE"""),46136.0)</f>
        <v>46136</v>
      </c>
      <c r="E386" s="251">
        <f>IFERROR(__xludf.DUMMYFUNCTION("""COMPUTED_VALUE"""),46137.0)</f>
        <v>46137</v>
      </c>
      <c r="F386" s="255">
        <f>IFERROR(__xludf.DUMMYFUNCTION("""COMPUTED_VALUE"""),1.0)</f>
        <v>1</v>
      </c>
      <c r="G386" s="255">
        <f>IFERROR(__xludf.DUMMYFUNCTION("""COMPUTED_VALUE"""),2.0)</f>
        <v>2</v>
      </c>
      <c r="H386" s="256">
        <f>IFERROR(__xludf.DUMMYFUNCTION("""COMPUTED_VALUE"""),205.66)</f>
        <v>205.66</v>
      </c>
      <c r="I386" s="256">
        <f>IFERROR(__xludf.DUMMYFUNCTION("""COMPUTED_VALUE"""),164.52800000000002)</f>
        <v>164.528</v>
      </c>
      <c r="J386" s="257">
        <f t="shared" si="1"/>
        <v>2</v>
      </c>
      <c r="K386" s="253"/>
      <c r="L386" s="253"/>
      <c r="M386" s="252"/>
      <c r="N386" s="258"/>
      <c r="O386" s="259"/>
      <c r="P386" s="259"/>
      <c r="Q386" s="262"/>
      <c r="R386" s="260"/>
      <c r="S386" s="260"/>
      <c r="T386" s="260"/>
      <c r="U386" s="261"/>
      <c r="V386" s="304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</row>
    <row r="387">
      <c r="A387" s="251">
        <f>IFERROR(__xludf.DUMMYFUNCTION("""COMPUTED_VALUE"""),7720452.0)</f>
        <v>7720452</v>
      </c>
      <c r="B387" s="252" t="str">
        <f>IFERROR(__xludf.DUMMYFUNCTION("""COMPUTED_VALUE"""),"BookingCom")</f>
        <v>BookingCom</v>
      </c>
      <c r="C387" s="253" t="str">
        <f>IFERROR(__xludf.DUMMYFUNCTION("""COMPUTED_VALUE"""),"Chantal van der Veen ")</f>
        <v>Chantal van der Veen </v>
      </c>
      <c r="D387" s="254">
        <f>IFERROR(__xludf.DUMMYFUNCTION("""COMPUTED_VALUE"""),46137.0)</f>
        <v>46137</v>
      </c>
      <c r="E387" s="251">
        <f>IFERROR(__xludf.DUMMYFUNCTION("""COMPUTED_VALUE"""),46138.0)</f>
        <v>46138</v>
      </c>
      <c r="F387" s="255">
        <f>IFERROR(__xludf.DUMMYFUNCTION("""COMPUTED_VALUE"""),1.0)</f>
        <v>1</v>
      </c>
      <c r="G387" s="255">
        <f>IFERROR(__xludf.DUMMYFUNCTION("""COMPUTED_VALUE"""),2.0)</f>
        <v>2</v>
      </c>
      <c r="H387" s="256">
        <f>IFERROR(__xludf.DUMMYFUNCTION("""COMPUTED_VALUE"""),204.79999999999998)</f>
        <v>204.8</v>
      </c>
      <c r="I387" s="256">
        <f>IFERROR(__xludf.DUMMYFUNCTION("""COMPUTED_VALUE"""),163.84)</f>
        <v>163.84</v>
      </c>
      <c r="J387" s="257">
        <f t="shared" si="1"/>
        <v>2</v>
      </c>
      <c r="K387" s="253"/>
      <c r="L387" s="253"/>
      <c r="M387" s="252"/>
      <c r="N387" s="258"/>
      <c r="O387" s="259"/>
      <c r="P387" s="259"/>
      <c r="Q387" s="262"/>
      <c r="R387" s="260"/>
      <c r="S387" s="260"/>
      <c r="T387" s="260"/>
      <c r="U387" s="261"/>
      <c r="V387" s="251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</row>
    <row r="388">
      <c r="A388" s="251">
        <f>IFERROR(__xludf.DUMMYFUNCTION("""COMPUTED_VALUE"""),7774937.0)</f>
        <v>7774937</v>
      </c>
      <c r="B388" s="252" t="str">
        <f>IFERROR(__xludf.DUMMYFUNCTION("""COMPUTED_VALUE"""),"Reseliva Pannel")</f>
        <v>Reseliva Pannel</v>
      </c>
      <c r="C388" s="253" t="str">
        <f>IFERROR(__xludf.DUMMYFUNCTION("""COMPUTED_VALUE"""),"Maryem Experience Maroc ")</f>
        <v>Maryem Experience Maroc </v>
      </c>
      <c r="D388" s="254">
        <f>IFERROR(__xludf.DUMMYFUNCTION("""COMPUTED_VALUE"""),46137.0)</f>
        <v>46137</v>
      </c>
      <c r="E388" s="251">
        <f>IFERROR(__xludf.DUMMYFUNCTION("""COMPUTED_VALUE"""),46141.0)</f>
        <v>46141</v>
      </c>
      <c r="F388" s="255">
        <f>IFERROR(__xludf.DUMMYFUNCTION("""COMPUTED_VALUE"""),4.0)</f>
        <v>4</v>
      </c>
      <c r="G388" s="255">
        <f>IFERROR(__xludf.DUMMYFUNCTION("""COMPUTED_VALUE"""),2.0)</f>
        <v>2</v>
      </c>
      <c r="H388" s="256">
        <f>IFERROR(__xludf.DUMMYFUNCTION("""COMPUTED_VALUE"""),300.24)</f>
        <v>300.24</v>
      </c>
      <c r="I388" s="256">
        <f>IFERROR(__xludf.DUMMYFUNCTION("""COMPUTED_VALUE"""),1200.96)</f>
        <v>1200.96</v>
      </c>
      <c r="J388" s="257">
        <f t="shared" si="1"/>
        <v>8</v>
      </c>
      <c r="K388" s="253"/>
      <c r="L388" s="253"/>
      <c r="M388" s="252"/>
      <c r="N388" s="258"/>
      <c r="O388" s="259"/>
      <c r="P388" s="259"/>
      <c r="Q388" s="257"/>
      <c r="R388" s="260"/>
      <c r="S388" s="260"/>
      <c r="T388" s="273"/>
      <c r="U388" s="274"/>
      <c r="V388" s="263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</row>
    <row r="389">
      <c r="A389" s="251">
        <f>IFERROR(__xludf.DUMMYFUNCTION("""COMPUTED_VALUE"""),7639916.0)</f>
        <v>7639916</v>
      </c>
      <c r="B389" s="252" t="str">
        <f>IFERROR(__xludf.DUMMYFUNCTION("""COMPUTED_VALUE"""),"BookingCom")</f>
        <v>BookingCom</v>
      </c>
      <c r="C389" s="253" t="str">
        <f>IFERROR(__xludf.DUMMYFUNCTION("""COMPUTED_VALUE"""),"Jessica Schroeter ")</f>
        <v>Jessica Schroeter </v>
      </c>
      <c r="D389" s="254">
        <f>IFERROR(__xludf.DUMMYFUNCTION("""COMPUTED_VALUE"""),46138.0)</f>
        <v>46138</v>
      </c>
      <c r="E389" s="251">
        <f>IFERROR(__xludf.DUMMYFUNCTION("""COMPUTED_VALUE"""),46139.0)</f>
        <v>46139</v>
      </c>
      <c r="F389" s="255">
        <f>IFERROR(__xludf.DUMMYFUNCTION("""COMPUTED_VALUE"""),1.0)</f>
        <v>1</v>
      </c>
      <c r="G389" s="255">
        <f>IFERROR(__xludf.DUMMYFUNCTION("""COMPUTED_VALUE"""),2.0)</f>
        <v>2</v>
      </c>
      <c r="H389" s="256">
        <f>IFERROR(__xludf.DUMMYFUNCTION("""COMPUTED_VALUE"""),160.44)</f>
        <v>160.44</v>
      </c>
      <c r="I389" s="256">
        <f>IFERROR(__xludf.DUMMYFUNCTION("""COMPUTED_VALUE"""),128.352)</f>
        <v>128.352</v>
      </c>
      <c r="J389" s="257">
        <f t="shared" si="1"/>
        <v>2</v>
      </c>
      <c r="K389" s="253"/>
      <c r="L389" s="253"/>
      <c r="M389" s="252"/>
      <c r="N389" s="258"/>
      <c r="O389" s="259"/>
      <c r="P389" s="259"/>
      <c r="Q389" s="262"/>
      <c r="R389" s="260"/>
      <c r="S389" s="260"/>
      <c r="T389" s="260"/>
      <c r="U389" s="261"/>
      <c r="V389" s="251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</row>
    <row r="390">
      <c r="A390" s="251">
        <f>IFERROR(__xludf.DUMMYFUNCTION("""COMPUTED_VALUE"""),8024992.0)</f>
        <v>8024992</v>
      </c>
      <c r="B390" s="252" t="str">
        <f>IFERROR(__xludf.DUMMYFUNCTION("""COMPUTED_VALUE"""),"BookingCom")</f>
        <v>BookingCom</v>
      </c>
      <c r="C390" s="253" t="str">
        <f>IFERROR(__xludf.DUMMYFUNCTION("""COMPUTED_VALUE"""),"Kirstin Carswell ")</f>
        <v>Kirstin Carswell </v>
      </c>
      <c r="D390" s="254">
        <f>IFERROR(__xludf.DUMMYFUNCTION("""COMPUTED_VALUE"""),46138.0)</f>
        <v>46138</v>
      </c>
      <c r="E390" s="251">
        <f>IFERROR(__xludf.DUMMYFUNCTION("""COMPUTED_VALUE"""),46142.0)</f>
        <v>46142</v>
      </c>
      <c r="F390" s="255">
        <f>IFERROR(__xludf.DUMMYFUNCTION("""COMPUTED_VALUE"""),4.0)</f>
        <v>4</v>
      </c>
      <c r="G390" s="255">
        <f>IFERROR(__xludf.DUMMYFUNCTION("""COMPUTED_VALUE"""),2.0)</f>
        <v>2</v>
      </c>
      <c r="H390" s="256">
        <f>IFERROR(__xludf.DUMMYFUNCTION("""COMPUTED_VALUE"""),154.37)</f>
        <v>154.37</v>
      </c>
      <c r="I390" s="256">
        <f>IFERROR(__xludf.DUMMYFUNCTION("""COMPUTED_VALUE"""),493.98400000000004)</f>
        <v>493.984</v>
      </c>
      <c r="J390" s="257">
        <f t="shared" si="1"/>
        <v>8</v>
      </c>
      <c r="K390" s="253"/>
      <c r="L390" s="253"/>
      <c r="M390" s="252"/>
      <c r="N390" s="258"/>
      <c r="O390" s="259"/>
      <c r="P390" s="259"/>
      <c r="Q390" s="257"/>
      <c r="R390" s="260"/>
      <c r="S390" s="260"/>
      <c r="T390" s="260"/>
      <c r="U390" s="261"/>
      <c r="V390" s="251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</row>
    <row r="391">
      <c r="A391" s="251">
        <f>IFERROR(__xludf.DUMMYFUNCTION("""COMPUTED_VALUE"""),8136747.0)</f>
        <v>8136747</v>
      </c>
      <c r="B391" s="252" t="str">
        <f>IFERROR(__xludf.DUMMYFUNCTION("""COMPUTED_VALUE"""),"BookingCom")</f>
        <v>BookingCom</v>
      </c>
      <c r="C391" s="253" t="str">
        <f>IFERROR(__xludf.DUMMYFUNCTION("""COMPUTED_VALUE"""),"deanna carella ")</f>
        <v>deanna carella </v>
      </c>
      <c r="D391" s="254">
        <f>IFERROR(__xludf.DUMMYFUNCTION("""COMPUTED_VALUE"""),46138.0)</f>
        <v>46138</v>
      </c>
      <c r="E391" s="251">
        <f>IFERROR(__xludf.DUMMYFUNCTION("""COMPUTED_VALUE"""),46139.0)</f>
        <v>46139</v>
      </c>
      <c r="F391" s="255">
        <f>IFERROR(__xludf.DUMMYFUNCTION("""COMPUTED_VALUE"""),1.0)</f>
        <v>1</v>
      </c>
      <c r="G391" s="255">
        <f>IFERROR(__xludf.DUMMYFUNCTION("""COMPUTED_VALUE"""),2.0)</f>
        <v>2</v>
      </c>
      <c r="H391" s="256">
        <f>IFERROR(__xludf.DUMMYFUNCTION("""COMPUTED_VALUE"""),202.99)</f>
        <v>202.99</v>
      </c>
      <c r="I391" s="256">
        <f>IFERROR(__xludf.DUMMYFUNCTION("""COMPUTED_VALUE"""),162.39200000000002)</f>
        <v>162.392</v>
      </c>
      <c r="J391" s="257">
        <f t="shared" si="1"/>
        <v>2</v>
      </c>
      <c r="K391" s="253"/>
      <c r="L391" s="253"/>
      <c r="M391" s="275"/>
      <c r="N391" s="258"/>
      <c r="O391" s="259"/>
      <c r="P391" s="259"/>
      <c r="Q391" s="262"/>
      <c r="R391" s="260"/>
      <c r="S391" s="260"/>
      <c r="T391" s="260"/>
      <c r="U391" s="261"/>
      <c r="V391" s="251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</row>
    <row r="392">
      <c r="A392" s="251">
        <f>IFERROR(__xludf.DUMMYFUNCTION("""COMPUTED_VALUE"""),8136747.0)</f>
        <v>8136747</v>
      </c>
      <c r="B392" s="252" t="str">
        <f>IFERROR(__xludf.DUMMYFUNCTION("""COMPUTED_VALUE"""),"BookingCom")</f>
        <v>BookingCom</v>
      </c>
      <c r="C392" s="253" t="str">
        <f>IFERROR(__xludf.DUMMYFUNCTION("""COMPUTED_VALUE"""),"deanna carella ")</f>
        <v>deanna carella </v>
      </c>
      <c r="D392" s="254">
        <f>IFERROR(__xludf.DUMMYFUNCTION("""COMPUTED_VALUE"""),46138.0)</f>
        <v>46138</v>
      </c>
      <c r="E392" s="251">
        <f>IFERROR(__xludf.DUMMYFUNCTION("""COMPUTED_VALUE"""),46139.0)</f>
        <v>46139</v>
      </c>
      <c r="F392" s="255">
        <f>IFERROR(__xludf.DUMMYFUNCTION("""COMPUTED_VALUE"""),1.0)</f>
        <v>1</v>
      </c>
      <c r="G392" s="255">
        <f>IFERROR(__xludf.DUMMYFUNCTION("""COMPUTED_VALUE"""),2.0)</f>
        <v>2</v>
      </c>
      <c r="H392" s="256">
        <f>IFERROR(__xludf.DUMMYFUNCTION("""COMPUTED_VALUE"""),229.2)</f>
        <v>229.2</v>
      </c>
      <c r="I392" s="256">
        <f>IFERROR(__xludf.DUMMYFUNCTION("""COMPUTED_VALUE"""),183.36)</f>
        <v>183.36</v>
      </c>
      <c r="J392" s="257">
        <f t="shared" si="1"/>
        <v>2</v>
      </c>
      <c r="K392" s="253"/>
      <c r="L392" s="253"/>
      <c r="M392" s="252"/>
      <c r="N392" s="258"/>
      <c r="O392" s="259"/>
      <c r="P392" s="259"/>
      <c r="Q392" s="257"/>
      <c r="R392" s="260"/>
      <c r="S392" s="260"/>
      <c r="T392" s="260"/>
      <c r="U392" s="261"/>
      <c r="V392" s="251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</row>
    <row r="393">
      <c r="A393" s="251">
        <f>IFERROR(__xludf.DUMMYFUNCTION("""COMPUTED_VALUE"""),8136747.0)</f>
        <v>8136747</v>
      </c>
      <c r="B393" s="252" t="str">
        <f>IFERROR(__xludf.DUMMYFUNCTION("""COMPUTED_VALUE"""),"BookingCom")</f>
        <v>BookingCom</v>
      </c>
      <c r="C393" s="253" t="str">
        <f>IFERROR(__xludf.DUMMYFUNCTION("""COMPUTED_VALUE"""),"deanna carella ")</f>
        <v>deanna carella </v>
      </c>
      <c r="D393" s="254">
        <f>IFERROR(__xludf.DUMMYFUNCTION("""COMPUTED_VALUE"""),46138.0)</f>
        <v>46138</v>
      </c>
      <c r="E393" s="251">
        <f>IFERROR(__xludf.DUMMYFUNCTION("""COMPUTED_VALUE"""),46139.0)</f>
        <v>46139</v>
      </c>
      <c r="F393" s="255">
        <f>IFERROR(__xludf.DUMMYFUNCTION("""COMPUTED_VALUE"""),1.0)</f>
        <v>1</v>
      </c>
      <c r="G393" s="255">
        <f>IFERROR(__xludf.DUMMYFUNCTION("""COMPUTED_VALUE"""),2.0)</f>
        <v>2</v>
      </c>
      <c r="H393" s="256">
        <f>IFERROR(__xludf.DUMMYFUNCTION("""COMPUTED_VALUE"""),202.99)</f>
        <v>202.99</v>
      </c>
      <c r="I393" s="256">
        <f>IFERROR(__xludf.DUMMYFUNCTION("""COMPUTED_VALUE"""),162.39200000000002)</f>
        <v>162.392</v>
      </c>
      <c r="J393" s="257">
        <f t="shared" si="1"/>
        <v>2</v>
      </c>
      <c r="K393" s="253"/>
      <c r="L393" s="253"/>
      <c r="M393" s="252"/>
      <c r="N393" s="258"/>
      <c r="O393" s="259"/>
      <c r="P393" s="259"/>
      <c r="Q393" s="262"/>
      <c r="R393" s="260"/>
      <c r="S393" s="260"/>
      <c r="T393" s="260"/>
      <c r="U393" s="261"/>
      <c r="V393" s="251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</row>
    <row r="394">
      <c r="A394" s="251">
        <f>IFERROR(__xludf.DUMMYFUNCTION("""COMPUTED_VALUE"""),8136747.0)</f>
        <v>8136747</v>
      </c>
      <c r="B394" s="252" t="str">
        <f>IFERROR(__xludf.DUMMYFUNCTION("""COMPUTED_VALUE"""),"BookingCom")</f>
        <v>BookingCom</v>
      </c>
      <c r="C394" s="253" t="str">
        <f>IFERROR(__xludf.DUMMYFUNCTION("""COMPUTED_VALUE"""),"deanna carella ")</f>
        <v>deanna carella </v>
      </c>
      <c r="D394" s="254">
        <f>IFERROR(__xludf.DUMMYFUNCTION("""COMPUTED_VALUE"""),46138.0)</f>
        <v>46138</v>
      </c>
      <c r="E394" s="251">
        <f>IFERROR(__xludf.DUMMYFUNCTION("""COMPUTED_VALUE"""),46139.0)</f>
        <v>46139</v>
      </c>
      <c r="F394" s="255">
        <f>IFERROR(__xludf.DUMMYFUNCTION("""COMPUTED_VALUE"""),1.0)</f>
        <v>1</v>
      </c>
      <c r="G394" s="255">
        <f>IFERROR(__xludf.DUMMYFUNCTION("""COMPUTED_VALUE"""),2.0)</f>
        <v>2</v>
      </c>
      <c r="H394" s="256">
        <f>IFERROR(__xludf.DUMMYFUNCTION("""COMPUTED_VALUE"""),202.99)</f>
        <v>202.99</v>
      </c>
      <c r="I394" s="256">
        <f>IFERROR(__xludf.DUMMYFUNCTION("""COMPUTED_VALUE"""),162.39200000000002)</f>
        <v>162.392</v>
      </c>
      <c r="J394" s="257">
        <f t="shared" si="1"/>
        <v>2</v>
      </c>
      <c r="K394" s="253"/>
      <c r="L394" s="253"/>
      <c r="M394" s="275"/>
      <c r="N394" s="258"/>
      <c r="O394" s="259"/>
      <c r="P394" s="259"/>
      <c r="Q394" s="262"/>
      <c r="R394" s="260"/>
      <c r="S394" s="260"/>
      <c r="T394" s="260"/>
      <c r="U394" s="261"/>
      <c r="V394" s="309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</row>
    <row r="395">
      <c r="A395" s="251">
        <f>IFERROR(__xludf.DUMMYFUNCTION("""COMPUTED_VALUE"""),8163021.0)</f>
        <v>8163021</v>
      </c>
      <c r="B395" s="252" t="str">
        <f>IFERROR(__xludf.DUMMYFUNCTION("""COMPUTED_VALUE"""),"BookingCom")</f>
        <v>BookingCom</v>
      </c>
      <c r="C395" s="253" t="str">
        <f>IFERROR(__xludf.DUMMYFUNCTION("""COMPUTED_VALUE"""),"Margarete Wanner-Forster ")</f>
        <v>Margarete Wanner-Forster </v>
      </c>
      <c r="D395" s="254">
        <f>IFERROR(__xludf.DUMMYFUNCTION("""COMPUTED_VALUE"""),46138.0)</f>
        <v>46138</v>
      </c>
      <c r="E395" s="251">
        <f>IFERROR(__xludf.DUMMYFUNCTION("""COMPUTED_VALUE"""),46145.0)</f>
        <v>46145</v>
      </c>
      <c r="F395" s="255">
        <f>IFERROR(__xludf.DUMMYFUNCTION("""COMPUTED_VALUE"""),7.0)</f>
        <v>7</v>
      </c>
      <c r="G395" s="255">
        <f>IFERROR(__xludf.DUMMYFUNCTION("""COMPUTED_VALUE"""),2.0)</f>
        <v>2</v>
      </c>
      <c r="H395" s="256">
        <f>IFERROR(__xludf.DUMMYFUNCTION("""COMPUTED_VALUE"""),254.69)</f>
        <v>254.69</v>
      </c>
      <c r="I395" s="256">
        <f>IFERROR(__xludf.DUMMYFUNCTION("""COMPUTED_VALUE"""),1426.2640000000001)</f>
        <v>1426.264</v>
      </c>
      <c r="J395" s="257">
        <f t="shared" si="1"/>
        <v>14</v>
      </c>
      <c r="K395" s="253"/>
      <c r="L395" s="253"/>
      <c r="M395" s="275"/>
      <c r="N395" s="258"/>
      <c r="O395" s="259"/>
      <c r="P395" s="259"/>
      <c r="Q395" s="262"/>
      <c r="R395" s="260"/>
      <c r="S395" s="260"/>
      <c r="T395" s="260"/>
      <c r="U395" s="261"/>
      <c r="V395" s="251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</row>
    <row r="396">
      <c r="A396" s="251">
        <f>IFERROR(__xludf.DUMMYFUNCTION("""COMPUTED_VALUE"""),8192954.0)</f>
        <v>8192954</v>
      </c>
      <c r="B396" s="252" t="str">
        <f>IFERROR(__xludf.DUMMYFUNCTION("""COMPUTED_VALUE"""),"BookingCom")</f>
        <v>BookingCom</v>
      </c>
      <c r="C396" s="253" t="str">
        <f>IFERROR(__xludf.DUMMYFUNCTION("""COMPUTED_VALUE"""),"FABIEN LE BOURHIS ")</f>
        <v>FABIEN LE BOURHIS </v>
      </c>
      <c r="D396" s="254">
        <f>IFERROR(__xludf.DUMMYFUNCTION("""COMPUTED_VALUE"""),46138.0)</f>
        <v>46138</v>
      </c>
      <c r="E396" s="251">
        <f>IFERROR(__xludf.DUMMYFUNCTION("""COMPUTED_VALUE"""),46142.0)</f>
        <v>46142</v>
      </c>
      <c r="F396" s="255">
        <f>IFERROR(__xludf.DUMMYFUNCTION("""COMPUTED_VALUE"""),4.0)</f>
        <v>4</v>
      </c>
      <c r="G396" s="255">
        <f>IFERROR(__xludf.DUMMYFUNCTION("""COMPUTED_VALUE"""),4.0)</f>
        <v>4</v>
      </c>
      <c r="H396" s="256">
        <f>IFERROR(__xludf.DUMMYFUNCTION("""COMPUTED_VALUE"""),499.88)</f>
        <v>499.88</v>
      </c>
      <c r="I396" s="256">
        <f>IFERROR(__xludf.DUMMYFUNCTION("""COMPUTED_VALUE"""),1599.616)</f>
        <v>1599.616</v>
      </c>
      <c r="J396" s="257">
        <f t="shared" si="1"/>
        <v>16</v>
      </c>
      <c r="K396" s="253"/>
      <c r="L396" s="253"/>
      <c r="M396" s="275"/>
      <c r="N396" s="258"/>
      <c r="O396" s="259"/>
      <c r="P396" s="259"/>
      <c r="Q396" s="262"/>
      <c r="R396" s="260"/>
      <c r="S396" s="260"/>
      <c r="T396" s="260"/>
      <c r="U396" s="261"/>
      <c r="V396" s="251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</row>
    <row r="397">
      <c r="A397" s="251">
        <f>IFERROR(__xludf.DUMMYFUNCTION("""COMPUTED_VALUE"""),7631670.0)</f>
        <v>7631670</v>
      </c>
      <c r="B397" s="252" t="str">
        <f>IFERROR(__xludf.DUMMYFUNCTION("""COMPUTED_VALUE"""),"BookingCom")</f>
        <v>BookingCom</v>
      </c>
      <c r="C397" s="253" t="str">
        <f>IFERROR(__xludf.DUMMYFUNCTION("""COMPUTED_VALUE"""),"Marco Tschirren ")</f>
        <v>Marco Tschirren </v>
      </c>
      <c r="D397" s="254">
        <f>IFERROR(__xludf.DUMMYFUNCTION("""COMPUTED_VALUE"""),46139.0)</f>
        <v>46139</v>
      </c>
      <c r="E397" s="251">
        <f>IFERROR(__xludf.DUMMYFUNCTION("""COMPUTED_VALUE"""),46142.0)</f>
        <v>46142</v>
      </c>
      <c r="F397" s="255">
        <f>IFERROR(__xludf.DUMMYFUNCTION("""COMPUTED_VALUE"""),3.0)</f>
        <v>3</v>
      </c>
      <c r="G397" s="255">
        <f>IFERROR(__xludf.DUMMYFUNCTION("""COMPUTED_VALUE"""),2.0)</f>
        <v>2</v>
      </c>
      <c r="H397" s="256">
        <f>IFERROR(__xludf.DUMMYFUNCTION("""COMPUTED_VALUE"""),168.96)</f>
        <v>168.96</v>
      </c>
      <c r="I397" s="256">
        <f>IFERROR(__xludf.DUMMYFUNCTION("""COMPUTED_VALUE"""),405.504)</f>
        <v>405.504</v>
      </c>
      <c r="J397" s="257">
        <f t="shared" si="1"/>
        <v>6</v>
      </c>
      <c r="K397" s="253"/>
      <c r="L397" s="253"/>
      <c r="M397" s="252"/>
      <c r="N397" s="258"/>
      <c r="O397" s="259"/>
      <c r="P397" s="259"/>
      <c r="Q397" s="257"/>
      <c r="R397" s="260"/>
      <c r="S397" s="260"/>
      <c r="T397" s="260"/>
      <c r="U397" s="261"/>
      <c r="V397" s="309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</row>
    <row r="398">
      <c r="A398" s="251">
        <f>IFERROR(__xludf.DUMMYFUNCTION("""COMPUTED_VALUE"""),8112510.0)</f>
        <v>8112510</v>
      </c>
      <c r="B398" s="252" t="str">
        <f>IFERROR(__xludf.DUMMYFUNCTION("""COMPUTED_VALUE"""),"BookingCom")</f>
        <v>BookingCom</v>
      </c>
      <c r="C398" s="253" t="str">
        <f>IFERROR(__xludf.DUMMYFUNCTION("""COMPUTED_VALUE"""),"MEBAE OKUNISHI ")</f>
        <v>MEBAE OKUNISHI </v>
      </c>
      <c r="D398" s="254">
        <f>IFERROR(__xludf.DUMMYFUNCTION("""COMPUTED_VALUE"""),46139.0)</f>
        <v>46139</v>
      </c>
      <c r="E398" s="251">
        <f>IFERROR(__xludf.DUMMYFUNCTION("""COMPUTED_VALUE"""),46141.0)</f>
        <v>46141</v>
      </c>
      <c r="F398" s="255">
        <f>IFERROR(__xludf.DUMMYFUNCTION("""COMPUTED_VALUE"""),2.0)</f>
        <v>2</v>
      </c>
      <c r="G398" s="255">
        <f>IFERROR(__xludf.DUMMYFUNCTION("""COMPUTED_VALUE"""),2.0)</f>
        <v>2</v>
      </c>
      <c r="H398" s="256">
        <f>IFERROR(__xludf.DUMMYFUNCTION("""COMPUTED_VALUE"""),167.11)</f>
        <v>167.11</v>
      </c>
      <c r="I398" s="256">
        <f>IFERROR(__xludf.DUMMYFUNCTION("""COMPUTED_VALUE"""),267.37600000000003)</f>
        <v>267.376</v>
      </c>
      <c r="J398" s="257">
        <f t="shared" si="1"/>
        <v>4</v>
      </c>
      <c r="K398" s="253"/>
      <c r="L398" s="253"/>
      <c r="M398" s="252"/>
      <c r="N398" s="258"/>
      <c r="O398" s="259"/>
      <c r="P398" s="259"/>
      <c r="Q398" s="262"/>
      <c r="R398" s="260"/>
      <c r="S398" s="260"/>
      <c r="T398" s="260"/>
      <c r="U398" s="261"/>
      <c r="V398" s="251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</row>
    <row r="399">
      <c r="A399" s="251">
        <f>IFERROR(__xludf.DUMMYFUNCTION("""COMPUTED_VALUE"""),7945830.0)</f>
        <v>7945830</v>
      </c>
      <c r="B399" s="252" t="str">
        <f>IFERROR(__xludf.DUMMYFUNCTION("""COMPUTED_VALUE"""),"Reseliva")</f>
        <v>Reseliva</v>
      </c>
      <c r="C399" s="253" t="str">
        <f>IFERROR(__xludf.DUMMYFUNCTION("""COMPUTED_VALUE"""),"ibtissam direct ")</f>
        <v>ibtissam direct </v>
      </c>
      <c r="D399" s="308">
        <f>IFERROR(__xludf.DUMMYFUNCTION("""COMPUTED_VALUE"""),46140.0)</f>
        <v>46140</v>
      </c>
      <c r="E399" s="251">
        <f>IFERROR(__xludf.DUMMYFUNCTION("""COMPUTED_VALUE"""),46141.0)</f>
        <v>46141</v>
      </c>
      <c r="F399" s="255">
        <f>IFERROR(__xludf.DUMMYFUNCTION("""COMPUTED_VALUE"""),1.0)</f>
        <v>1</v>
      </c>
      <c r="G399" s="255">
        <f>IFERROR(__xludf.DUMMYFUNCTION("""COMPUTED_VALUE"""),1.0)</f>
        <v>1</v>
      </c>
      <c r="H399" s="256">
        <f>IFERROR(__xludf.DUMMYFUNCTION("""COMPUTED_VALUE"""),194.81)</f>
        <v>194.81</v>
      </c>
      <c r="I399" s="256">
        <f>IFERROR(__xludf.DUMMYFUNCTION("""COMPUTED_VALUE"""),192.8619)</f>
        <v>192.8619</v>
      </c>
      <c r="J399" s="257">
        <f t="shared" si="1"/>
        <v>1</v>
      </c>
      <c r="K399" s="253"/>
      <c r="L399" s="253"/>
      <c r="M399" s="275"/>
      <c r="N399" s="258"/>
      <c r="O399" s="259"/>
      <c r="P399" s="259"/>
      <c r="Q399" s="262"/>
      <c r="R399" s="260"/>
      <c r="S399" s="260"/>
      <c r="T399" s="260"/>
      <c r="U399" s="261"/>
      <c r="V399" s="251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</row>
    <row r="400">
      <c r="A400" s="251">
        <f>IFERROR(__xludf.DUMMYFUNCTION("""COMPUTED_VALUE"""),7945830.0)</f>
        <v>7945830</v>
      </c>
      <c r="B400" s="252" t="str">
        <f>IFERROR(__xludf.DUMMYFUNCTION("""COMPUTED_VALUE"""),"Reseliva")</f>
        <v>Reseliva</v>
      </c>
      <c r="C400" s="253" t="str">
        <f>IFERROR(__xludf.DUMMYFUNCTION("""COMPUTED_VALUE"""),"ibtissam direct ")</f>
        <v>ibtissam direct </v>
      </c>
      <c r="D400" s="254">
        <f>IFERROR(__xludf.DUMMYFUNCTION("""COMPUTED_VALUE"""),46140.0)</f>
        <v>46140</v>
      </c>
      <c r="E400" s="251">
        <f>IFERROR(__xludf.DUMMYFUNCTION("""COMPUTED_VALUE"""),46141.0)</f>
        <v>46141</v>
      </c>
      <c r="F400" s="255">
        <f>IFERROR(__xludf.DUMMYFUNCTION("""COMPUTED_VALUE"""),1.0)</f>
        <v>1</v>
      </c>
      <c r="G400" s="255">
        <f>IFERROR(__xludf.DUMMYFUNCTION("""COMPUTED_VALUE"""),1.0)</f>
        <v>1</v>
      </c>
      <c r="H400" s="256">
        <f>IFERROR(__xludf.DUMMYFUNCTION("""COMPUTED_VALUE"""),194.81)</f>
        <v>194.81</v>
      </c>
      <c r="I400" s="256">
        <f>IFERROR(__xludf.DUMMYFUNCTION("""COMPUTED_VALUE"""),192.8619)</f>
        <v>192.8619</v>
      </c>
      <c r="J400" s="257">
        <f t="shared" si="1"/>
        <v>1</v>
      </c>
      <c r="K400" s="253"/>
      <c r="L400" s="253"/>
      <c r="M400" s="252"/>
      <c r="N400" s="258"/>
      <c r="O400" s="259"/>
      <c r="P400" s="259"/>
      <c r="Q400" s="262"/>
      <c r="R400" s="260"/>
      <c r="S400" s="260"/>
      <c r="T400" s="260"/>
      <c r="U400" s="261"/>
      <c r="V400" s="304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</row>
    <row r="401">
      <c r="A401" s="251">
        <f>IFERROR(__xludf.DUMMYFUNCTION("""COMPUTED_VALUE"""),6783387.0)</f>
        <v>6783387</v>
      </c>
      <c r="B401" s="252" t="str">
        <f>IFERROR(__xludf.DUMMYFUNCTION("""COMPUTED_VALUE"""),"BookingCom")</f>
        <v>BookingCom</v>
      </c>
      <c r="C401" s="253" t="str">
        <f>IFERROR(__xludf.DUMMYFUNCTION("""COMPUTED_VALUE"""),"Mackenzie Nicholle ")</f>
        <v>Mackenzie Nicholle </v>
      </c>
      <c r="D401" s="254">
        <f>IFERROR(__xludf.DUMMYFUNCTION("""COMPUTED_VALUE"""),46141.0)</f>
        <v>46141</v>
      </c>
      <c r="E401" s="251">
        <f>IFERROR(__xludf.DUMMYFUNCTION("""COMPUTED_VALUE"""),46146.0)</f>
        <v>46146</v>
      </c>
      <c r="F401" s="255">
        <f>IFERROR(__xludf.DUMMYFUNCTION("""COMPUTED_VALUE"""),5.0)</f>
        <v>5</v>
      </c>
      <c r="G401" s="255">
        <f>IFERROR(__xludf.DUMMYFUNCTION("""COMPUTED_VALUE"""),2.0)</f>
        <v>2</v>
      </c>
      <c r="H401" s="256">
        <f>IFERROR(__xludf.DUMMYFUNCTION("""COMPUTED_VALUE"""),227.59)</f>
        <v>227.59</v>
      </c>
      <c r="I401" s="256">
        <f>IFERROR(__xludf.DUMMYFUNCTION("""COMPUTED_VALUE"""),910.36)</f>
        <v>910.36</v>
      </c>
      <c r="J401" s="257">
        <f t="shared" si="1"/>
        <v>10</v>
      </c>
      <c r="K401" s="253"/>
      <c r="L401" s="253"/>
      <c r="M401" s="252"/>
      <c r="N401" s="258"/>
      <c r="O401" s="259"/>
      <c r="P401" s="259"/>
      <c r="Q401" s="257"/>
      <c r="R401" s="260"/>
      <c r="S401" s="260"/>
      <c r="T401" s="260"/>
      <c r="U401" s="261"/>
      <c r="V401" s="251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</row>
    <row r="402">
      <c r="A402" s="251">
        <f>IFERROR(__xludf.DUMMYFUNCTION("""COMPUTED_VALUE"""),6959491.0)</f>
        <v>6959491</v>
      </c>
      <c r="B402" s="252" t="str">
        <f>IFERROR(__xludf.DUMMYFUNCTION("""COMPUTED_VALUE"""),"Reseliva")</f>
        <v>Reseliva</v>
      </c>
      <c r="C402" s="253" t="str">
        <f>IFERROR(__xludf.DUMMYFUNCTION("""COMPUTED_VALUE"""),"Séverine Chevallier ")</f>
        <v>Séverine Chevallier </v>
      </c>
      <c r="D402" s="254">
        <f>IFERROR(__xludf.DUMMYFUNCTION("""COMPUTED_VALUE"""),46142.0)</f>
        <v>46142</v>
      </c>
      <c r="E402" s="251">
        <f>IFERROR(__xludf.DUMMYFUNCTION("""COMPUTED_VALUE"""),46144.0)</f>
        <v>46144</v>
      </c>
      <c r="F402" s="255">
        <f>IFERROR(__xludf.DUMMYFUNCTION("""COMPUTED_VALUE"""),2.0)</f>
        <v>2</v>
      </c>
      <c r="G402" s="255">
        <f>IFERROR(__xludf.DUMMYFUNCTION("""COMPUTED_VALUE"""),2.0)</f>
        <v>2</v>
      </c>
      <c r="H402" s="256">
        <f>IFERROR(__xludf.DUMMYFUNCTION("""COMPUTED_VALUE"""),290.2)</f>
        <v>290.2</v>
      </c>
      <c r="I402" s="256">
        <f>IFERROR(__xludf.DUMMYFUNCTION("""COMPUTED_VALUE"""),574.596)</f>
        <v>574.596</v>
      </c>
      <c r="J402" s="257">
        <f t="shared" si="1"/>
        <v>4</v>
      </c>
      <c r="K402" s="253"/>
      <c r="L402" s="253"/>
      <c r="M402" s="252"/>
      <c r="N402" s="258"/>
      <c r="O402" s="259"/>
      <c r="P402" s="259"/>
      <c r="Q402" s="262"/>
      <c r="R402" s="260"/>
      <c r="S402" s="260"/>
      <c r="T402" s="260"/>
      <c r="U402" s="261"/>
      <c r="V402" s="309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</row>
    <row r="403">
      <c r="A403" s="251">
        <f>IFERROR(__xludf.DUMMYFUNCTION("""COMPUTED_VALUE"""),7735645.0)</f>
        <v>7735645</v>
      </c>
      <c r="B403" s="252" t="str">
        <f>IFERROR(__xludf.DUMMYFUNCTION("""COMPUTED_VALUE"""),"Reseliva")</f>
        <v>Reseliva</v>
      </c>
      <c r="C403" s="253" t="str">
        <f>IFERROR(__xludf.DUMMYFUNCTION("""COMPUTED_VALUE"""),"Caroline ROY ")</f>
        <v>Caroline ROY </v>
      </c>
      <c r="D403" s="254">
        <f>IFERROR(__xludf.DUMMYFUNCTION("""COMPUTED_VALUE"""),46142.0)</f>
        <v>46142</v>
      </c>
      <c r="E403" s="251">
        <f>IFERROR(__xludf.DUMMYFUNCTION("""COMPUTED_VALUE"""),46145.0)</f>
        <v>46145</v>
      </c>
      <c r="F403" s="255">
        <f>IFERROR(__xludf.DUMMYFUNCTION("""COMPUTED_VALUE"""),3.0)</f>
        <v>3</v>
      </c>
      <c r="G403" s="255">
        <f>IFERROR(__xludf.DUMMYFUNCTION("""COMPUTED_VALUE"""),2.0)</f>
        <v>2</v>
      </c>
      <c r="H403" s="256">
        <f>IFERROR(__xludf.DUMMYFUNCTION("""COMPUTED_VALUE"""),451.09999999999997)</f>
        <v>451.1</v>
      </c>
      <c r="I403" s="256">
        <f>IFERROR(__xludf.DUMMYFUNCTION("""COMPUTED_VALUE"""),1339.7669999999998)</f>
        <v>1339.767</v>
      </c>
      <c r="J403" s="257">
        <f t="shared" si="1"/>
        <v>6</v>
      </c>
      <c r="K403" s="253"/>
      <c r="L403" s="253"/>
      <c r="M403" s="252"/>
      <c r="N403" s="258"/>
      <c r="O403" s="259"/>
      <c r="P403" s="259"/>
      <c r="Q403" s="257"/>
      <c r="R403" s="260"/>
      <c r="S403" s="260"/>
      <c r="T403" s="260"/>
      <c r="U403" s="261"/>
      <c r="V403" s="251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</row>
    <row r="404">
      <c r="A404" s="251">
        <f>IFERROR(__xludf.DUMMYFUNCTION("""COMPUTED_VALUE"""),7747150.0)</f>
        <v>7747150</v>
      </c>
      <c r="B404" s="252" t="str">
        <f>IFERROR(__xludf.DUMMYFUNCTION("""COMPUTED_VALUE"""),"Reseliva Pannel")</f>
        <v>Reseliva Pannel</v>
      </c>
      <c r="C404" s="253" t="str">
        <f>IFERROR(__xludf.DUMMYFUNCTION("""COMPUTED_VALUE"""),"Maryem Anna ")</f>
        <v>Maryem Anna </v>
      </c>
      <c r="D404" s="254">
        <f>IFERROR(__xludf.DUMMYFUNCTION("""COMPUTED_VALUE"""),46142.0)</f>
        <v>46142</v>
      </c>
      <c r="E404" s="251">
        <f>IFERROR(__xludf.DUMMYFUNCTION("""COMPUTED_VALUE"""),46143.0)</f>
        <v>46143</v>
      </c>
      <c r="F404" s="255">
        <f>IFERROR(__xludf.DUMMYFUNCTION("""COMPUTED_VALUE"""),1.0)</f>
        <v>1</v>
      </c>
      <c r="G404" s="255">
        <f>IFERROR(__xludf.DUMMYFUNCTION("""COMPUTED_VALUE"""),2.0)</f>
        <v>2</v>
      </c>
      <c r="H404" s="256">
        <f>IFERROR(__xludf.DUMMYFUNCTION("""COMPUTED_VALUE"""),300.24)</f>
        <v>300.24</v>
      </c>
      <c r="I404" s="256">
        <f>IFERROR(__xludf.DUMMYFUNCTION("""COMPUTED_VALUE"""),300.24)</f>
        <v>300.24</v>
      </c>
      <c r="J404" s="257">
        <f t="shared" si="1"/>
        <v>2</v>
      </c>
      <c r="K404" s="253"/>
      <c r="L404" s="253"/>
      <c r="M404" s="252"/>
      <c r="N404" s="258"/>
      <c r="O404" s="259"/>
      <c r="P404" s="259"/>
      <c r="Q404" s="257"/>
      <c r="R404" s="260"/>
      <c r="S404" s="260"/>
      <c r="T404" s="260"/>
      <c r="U404" s="261"/>
      <c r="V404" s="251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</row>
    <row r="405">
      <c r="A405" s="251">
        <f>IFERROR(__xludf.DUMMYFUNCTION("""COMPUTED_VALUE"""),7747150.0)</f>
        <v>7747150</v>
      </c>
      <c r="B405" s="252" t="str">
        <f>IFERROR(__xludf.DUMMYFUNCTION("""COMPUTED_VALUE"""),"Reseliva Pannel")</f>
        <v>Reseliva Pannel</v>
      </c>
      <c r="C405" s="253" t="str">
        <f>IFERROR(__xludf.DUMMYFUNCTION("""COMPUTED_VALUE"""),"Maryem Anna ")</f>
        <v>Maryem Anna </v>
      </c>
      <c r="D405" s="254">
        <f>IFERROR(__xludf.DUMMYFUNCTION("""COMPUTED_VALUE"""),46142.0)</f>
        <v>46142</v>
      </c>
      <c r="E405" s="251">
        <f>IFERROR(__xludf.DUMMYFUNCTION("""COMPUTED_VALUE"""),46143.0)</f>
        <v>46143</v>
      </c>
      <c r="F405" s="255">
        <f>IFERROR(__xludf.DUMMYFUNCTION("""COMPUTED_VALUE"""),1.0)</f>
        <v>1</v>
      </c>
      <c r="G405" s="255">
        <f>IFERROR(__xludf.DUMMYFUNCTION("""COMPUTED_VALUE"""),2.0)</f>
        <v>2</v>
      </c>
      <c r="H405" s="256">
        <f>IFERROR(__xludf.DUMMYFUNCTION("""COMPUTED_VALUE"""),239.76)</f>
        <v>239.76</v>
      </c>
      <c r="I405" s="256">
        <f>IFERROR(__xludf.DUMMYFUNCTION("""COMPUTED_VALUE"""),239.76)</f>
        <v>239.76</v>
      </c>
      <c r="J405" s="257">
        <f t="shared" si="1"/>
        <v>2</v>
      </c>
      <c r="K405" s="253"/>
      <c r="L405" s="253"/>
      <c r="M405" s="275"/>
      <c r="N405" s="258"/>
      <c r="O405" s="259"/>
      <c r="P405" s="259"/>
      <c r="Q405" s="262"/>
      <c r="R405" s="260"/>
      <c r="S405" s="260"/>
      <c r="T405" s="260"/>
      <c r="U405" s="261"/>
      <c r="V405" s="251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</row>
    <row r="406">
      <c r="A406" s="251">
        <f>IFERROR(__xludf.DUMMYFUNCTION("""COMPUTED_VALUE"""),7747150.0)</f>
        <v>7747150</v>
      </c>
      <c r="B406" s="252" t="str">
        <f>IFERROR(__xludf.DUMMYFUNCTION("""COMPUTED_VALUE"""),"Reseliva Pannel")</f>
        <v>Reseliva Pannel</v>
      </c>
      <c r="C406" s="253" t="str">
        <f>IFERROR(__xludf.DUMMYFUNCTION("""COMPUTED_VALUE"""),"Maryem Anna ")</f>
        <v>Maryem Anna </v>
      </c>
      <c r="D406" s="254">
        <f>IFERROR(__xludf.DUMMYFUNCTION("""COMPUTED_VALUE"""),46142.0)</f>
        <v>46142</v>
      </c>
      <c r="E406" s="251">
        <f>IFERROR(__xludf.DUMMYFUNCTION("""COMPUTED_VALUE"""),46143.0)</f>
        <v>46143</v>
      </c>
      <c r="F406" s="255">
        <f>IFERROR(__xludf.DUMMYFUNCTION("""COMPUTED_VALUE"""),1.0)</f>
        <v>1</v>
      </c>
      <c r="G406" s="255">
        <f>IFERROR(__xludf.DUMMYFUNCTION("""COMPUTED_VALUE"""),2.0)</f>
        <v>2</v>
      </c>
      <c r="H406" s="256">
        <f>IFERROR(__xludf.DUMMYFUNCTION("""COMPUTED_VALUE"""),239.76)</f>
        <v>239.76</v>
      </c>
      <c r="I406" s="256">
        <f>IFERROR(__xludf.DUMMYFUNCTION("""COMPUTED_VALUE"""),239.76)</f>
        <v>239.76</v>
      </c>
      <c r="J406" s="257">
        <f t="shared" si="1"/>
        <v>2</v>
      </c>
      <c r="K406" s="253"/>
      <c r="L406" s="253"/>
      <c r="M406" s="252"/>
      <c r="N406" s="258"/>
      <c r="O406" s="259"/>
      <c r="P406" s="259"/>
      <c r="Q406" s="257"/>
      <c r="R406" s="260"/>
      <c r="S406" s="260"/>
      <c r="T406" s="260"/>
      <c r="U406" s="261"/>
      <c r="V406" s="309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</row>
    <row r="407">
      <c r="A407" s="251">
        <f>IFERROR(__xludf.DUMMYFUNCTION("""COMPUTED_VALUE"""),7747150.0)</f>
        <v>7747150</v>
      </c>
      <c r="B407" s="252" t="str">
        <f>IFERROR(__xludf.DUMMYFUNCTION("""COMPUTED_VALUE"""),"Reseliva Pannel")</f>
        <v>Reseliva Pannel</v>
      </c>
      <c r="C407" s="253" t="str">
        <f>IFERROR(__xludf.DUMMYFUNCTION("""COMPUTED_VALUE"""),"Maryem Anna ")</f>
        <v>Maryem Anna </v>
      </c>
      <c r="D407" s="254">
        <f>IFERROR(__xludf.DUMMYFUNCTION("""COMPUTED_VALUE"""),46142.0)</f>
        <v>46142</v>
      </c>
      <c r="E407" s="251">
        <f>IFERROR(__xludf.DUMMYFUNCTION("""COMPUTED_VALUE"""),46143.0)</f>
        <v>46143</v>
      </c>
      <c r="F407" s="255">
        <f>IFERROR(__xludf.DUMMYFUNCTION("""COMPUTED_VALUE"""),1.0)</f>
        <v>1</v>
      </c>
      <c r="G407" s="255">
        <f>IFERROR(__xludf.DUMMYFUNCTION("""COMPUTED_VALUE"""),2.0)</f>
        <v>2</v>
      </c>
      <c r="H407" s="256">
        <f>IFERROR(__xludf.DUMMYFUNCTION("""COMPUTED_VALUE"""),239.76)</f>
        <v>239.76</v>
      </c>
      <c r="I407" s="256">
        <f>IFERROR(__xludf.DUMMYFUNCTION("""COMPUTED_VALUE"""),239.76)</f>
        <v>239.76</v>
      </c>
      <c r="J407" s="257">
        <f t="shared" si="1"/>
        <v>2</v>
      </c>
      <c r="K407" s="253"/>
      <c r="L407" s="253"/>
      <c r="M407" s="275"/>
      <c r="N407" s="258"/>
      <c r="O407" s="259"/>
      <c r="P407" s="259"/>
      <c r="Q407" s="262"/>
      <c r="R407" s="260"/>
      <c r="S407" s="260"/>
      <c r="T407" s="260"/>
      <c r="U407" s="261"/>
      <c r="V407" s="251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</row>
    <row r="408">
      <c r="A408" s="251">
        <f>IFERROR(__xludf.DUMMYFUNCTION("""COMPUTED_VALUE"""),7706378.0)</f>
        <v>7706378</v>
      </c>
      <c r="B408" s="252" t="str">
        <f>IFERROR(__xludf.DUMMYFUNCTION("""COMPUTED_VALUE"""),"BookingCom")</f>
        <v>BookingCom</v>
      </c>
      <c r="C408" s="253" t="str">
        <f>IFERROR(__xludf.DUMMYFUNCTION("""COMPUTED_VALUE"""),"Daniel Baker ")</f>
        <v>Daniel Baker </v>
      </c>
      <c r="D408" s="254">
        <f>IFERROR(__xludf.DUMMYFUNCTION("""COMPUTED_VALUE"""),46143.0)</f>
        <v>46143</v>
      </c>
      <c r="E408" s="251">
        <f>IFERROR(__xludf.DUMMYFUNCTION("""COMPUTED_VALUE"""),46147.0)</f>
        <v>46147</v>
      </c>
      <c r="F408" s="255">
        <f>IFERROR(__xludf.DUMMYFUNCTION("""COMPUTED_VALUE"""),4.0)</f>
        <v>4</v>
      </c>
      <c r="G408" s="255">
        <f>IFERROR(__xludf.DUMMYFUNCTION("""COMPUTED_VALUE"""),2.0)</f>
        <v>2</v>
      </c>
      <c r="H408" s="256">
        <f>IFERROR(__xludf.DUMMYFUNCTION("""COMPUTED_VALUE"""),165.81)</f>
        <v>165.81</v>
      </c>
      <c r="I408" s="256">
        <f>IFERROR(__xludf.DUMMYFUNCTION("""COMPUTED_VALUE"""),530.592)</f>
        <v>530.592</v>
      </c>
      <c r="J408" s="257">
        <f t="shared" si="1"/>
        <v>8</v>
      </c>
      <c r="K408" s="253"/>
      <c r="L408" s="253"/>
      <c r="M408" s="252"/>
      <c r="N408" s="258"/>
      <c r="O408" s="259"/>
      <c r="P408" s="259"/>
      <c r="Q408" s="262"/>
      <c r="R408" s="260"/>
      <c r="S408" s="260"/>
      <c r="T408" s="260"/>
      <c r="U408" s="261"/>
      <c r="V408" s="276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</row>
    <row r="409">
      <c r="A409" s="251">
        <f>IFERROR(__xludf.DUMMYFUNCTION("""COMPUTED_VALUE"""),7984898.0)</f>
        <v>7984898</v>
      </c>
      <c r="B409" s="252" t="str">
        <f>IFERROR(__xludf.DUMMYFUNCTION("""COMPUTED_VALUE"""),"BookingCom")</f>
        <v>BookingCom</v>
      </c>
      <c r="C409" s="253" t="str">
        <f>IFERROR(__xludf.DUMMYFUNCTION("""COMPUTED_VALUE"""),"Matej Zontar ")</f>
        <v>Matej Zontar </v>
      </c>
      <c r="D409" s="254">
        <f>IFERROR(__xludf.DUMMYFUNCTION("""COMPUTED_VALUE"""),46143.0)</f>
        <v>46143</v>
      </c>
      <c r="E409" s="251">
        <f>IFERROR(__xludf.DUMMYFUNCTION("""COMPUTED_VALUE"""),46144.0)</f>
        <v>46144</v>
      </c>
      <c r="F409" s="255">
        <f>IFERROR(__xludf.DUMMYFUNCTION("""COMPUTED_VALUE"""),1.0)</f>
        <v>1</v>
      </c>
      <c r="G409" s="255">
        <f>IFERROR(__xludf.DUMMYFUNCTION("""COMPUTED_VALUE"""),2.0)</f>
        <v>2</v>
      </c>
      <c r="H409" s="256">
        <f>IFERROR(__xludf.DUMMYFUNCTION("""COMPUTED_VALUE"""),182.21)</f>
        <v>182.21</v>
      </c>
      <c r="I409" s="256">
        <f>IFERROR(__xludf.DUMMYFUNCTION("""COMPUTED_VALUE"""),145.768)</f>
        <v>145.768</v>
      </c>
      <c r="J409" s="257">
        <f t="shared" si="1"/>
        <v>2</v>
      </c>
      <c r="K409" s="253"/>
      <c r="L409" s="253"/>
      <c r="M409" s="275"/>
      <c r="N409" s="258"/>
      <c r="O409" s="259"/>
      <c r="P409" s="259"/>
      <c r="Q409" s="262"/>
      <c r="R409" s="260"/>
      <c r="S409" s="260"/>
      <c r="T409" s="260"/>
      <c r="U409" s="261"/>
      <c r="V409" s="304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</row>
    <row r="410">
      <c r="A410" s="251">
        <f>IFERROR(__xludf.DUMMYFUNCTION("""COMPUTED_VALUE"""),8048317.0)</f>
        <v>8048317</v>
      </c>
      <c r="B410" s="252" t="str">
        <f>IFERROR(__xludf.DUMMYFUNCTION("""COMPUTED_VALUE"""),"BookingCom")</f>
        <v>BookingCom</v>
      </c>
      <c r="C410" s="253" t="str">
        <f>IFERROR(__xludf.DUMMYFUNCTION("""COMPUTED_VALUE"""),"Nestor Mercado ")</f>
        <v>Nestor Mercado </v>
      </c>
      <c r="D410" s="254">
        <f>IFERROR(__xludf.DUMMYFUNCTION("""COMPUTED_VALUE"""),46143.0)</f>
        <v>46143</v>
      </c>
      <c r="E410" s="251">
        <f>IFERROR(__xludf.DUMMYFUNCTION("""COMPUTED_VALUE"""),46145.0)</f>
        <v>46145</v>
      </c>
      <c r="F410" s="255">
        <f>IFERROR(__xludf.DUMMYFUNCTION("""COMPUTED_VALUE"""),2.0)</f>
        <v>2</v>
      </c>
      <c r="G410" s="255">
        <f>IFERROR(__xludf.DUMMYFUNCTION("""COMPUTED_VALUE"""),2.0)</f>
        <v>2</v>
      </c>
      <c r="H410" s="256">
        <f>IFERROR(__xludf.DUMMYFUNCTION("""COMPUTED_VALUE"""),140.67)</f>
        <v>140.67</v>
      </c>
      <c r="I410" s="256">
        <f>IFERROR(__xludf.DUMMYFUNCTION("""COMPUTED_VALUE"""),225.072)</f>
        <v>225.072</v>
      </c>
      <c r="J410" s="257">
        <f t="shared" si="1"/>
        <v>4</v>
      </c>
      <c r="K410" s="253"/>
      <c r="L410" s="253"/>
      <c r="M410" s="252"/>
      <c r="N410" s="258"/>
      <c r="O410" s="259"/>
      <c r="P410" s="259"/>
      <c r="Q410" s="257"/>
      <c r="R410" s="260"/>
      <c r="S410" s="260"/>
      <c r="T410" s="260"/>
      <c r="U410" s="261"/>
      <c r="V410" s="309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</row>
    <row r="411">
      <c r="A411" s="251">
        <f>IFERROR(__xludf.DUMMYFUNCTION("""COMPUTED_VALUE"""),7940914.0)</f>
        <v>7940914</v>
      </c>
      <c r="B411" s="252" t="str">
        <f>IFERROR(__xludf.DUMMYFUNCTION("""COMPUTED_VALUE"""),"BookingCom")</f>
        <v>BookingCom</v>
      </c>
      <c r="C411" s="253" t="str">
        <f>IFERROR(__xludf.DUMMYFUNCTION("""COMPUTED_VALUE"""),"Richard Ford ")</f>
        <v>Richard Ford </v>
      </c>
      <c r="D411" s="254">
        <f>IFERROR(__xludf.DUMMYFUNCTION("""COMPUTED_VALUE"""),46144.0)</f>
        <v>46144</v>
      </c>
      <c r="E411" s="251">
        <f>IFERROR(__xludf.DUMMYFUNCTION("""COMPUTED_VALUE"""),46148.0)</f>
        <v>46148</v>
      </c>
      <c r="F411" s="255">
        <f>IFERROR(__xludf.DUMMYFUNCTION("""COMPUTED_VALUE"""),4.0)</f>
        <v>4</v>
      </c>
      <c r="G411" s="255">
        <f>IFERROR(__xludf.DUMMYFUNCTION("""COMPUTED_VALUE"""),1.0)</f>
        <v>1</v>
      </c>
      <c r="H411" s="256">
        <f>IFERROR(__xludf.DUMMYFUNCTION("""COMPUTED_VALUE"""),156.41)</f>
        <v>156.41</v>
      </c>
      <c r="I411" s="256">
        <f>IFERROR(__xludf.DUMMYFUNCTION("""COMPUTED_VALUE"""),500.512)</f>
        <v>500.512</v>
      </c>
      <c r="J411" s="257">
        <f t="shared" si="1"/>
        <v>4</v>
      </c>
      <c r="K411" s="253"/>
      <c r="L411" s="253"/>
      <c r="M411" s="252"/>
      <c r="N411" s="258"/>
      <c r="O411" s="259"/>
      <c r="P411" s="259"/>
      <c r="Q411" s="262"/>
      <c r="R411" s="260"/>
      <c r="S411" s="260"/>
      <c r="T411" s="273"/>
      <c r="U411" s="274"/>
      <c r="V411" s="263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</row>
    <row r="412">
      <c r="A412" s="251">
        <f>IFERROR(__xludf.DUMMYFUNCTION("""COMPUTED_VALUE"""),7940914.0)</f>
        <v>7940914</v>
      </c>
      <c r="B412" s="252" t="str">
        <f>IFERROR(__xludf.DUMMYFUNCTION("""COMPUTED_VALUE"""),"BookingCom")</f>
        <v>BookingCom</v>
      </c>
      <c r="C412" s="253" t="str">
        <f>IFERROR(__xludf.DUMMYFUNCTION("""COMPUTED_VALUE"""),"Richard Ford ")</f>
        <v>Richard Ford </v>
      </c>
      <c r="D412" s="254">
        <f>IFERROR(__xludf.DUMMYFUNCTION("""COMPUTED_VALUE"""),46144.0)</f>
        <v>46144</v>
      </c>
      <c r="E412" s="251">
        <f>IFERROR(__xludf.DUMMYFUNCTION("""COMPUTED_VALUE"""),46148.0)</f>
        <v>46148</v>
      </c>
      <c r="F412" s="255">
        <f>IFERROR(__xludf.DUMMYFUNCTION("""COMPUTED_VALUE"""),4.0)</f>
        <v>4</v>
      </c>
      <c r="G412" s="255">
        <f>IFERROR(__xludf.DUMMYFUNCTION("""COMPUTED_VALUE"""),2.0)</f>
        <v>2</v>
      </c>
      <c r="H412" s="256">
        <f>IFERROR(__xludf.DUMMYFUNCTION("""COMPUTED_VALUE"""),156.41)</f>
        <v>156.41</v>
      </c>
      <c r="I412" s="256">
        <f>IFERROR(__xludf.DUMMYFUNCTION("""COMPUTED_VALUE"""),500.512)</f>
        <v>500.512</v>
      </c>
      <c r="J412" s="257">
        <f t="shared" si="1"/>
        <v>8</v>
      </c>
      <c r="K412" s="253"/>
      <c r="L412" s="253"/>
      <c r="M412" s="252"/>
      <c r="N412" s="258"/>
      <c r="O412" s="259"/>
      <c r="P412" s="259"/>
      <c r="Q412" s="257"/>
      <c r="R412" s="260"/>
      <c r="S412" s="260"/>
      <c r="T412" s="260"/>
      <c r="U412" s="261"/>
      <c r="V412" s="251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</row>
    <row r="413">
      <c r="A413" s="251">
        <f>IFERROR(__xludf.DUMMYFUNCTION("""COMPUTED_VALUE"""),7940914.0)</f>
        <v>7940914</v>
      </c>
      <c r="B413" s="252" t="str">
        <f>IFERROR(__xludf.DUMMYFUNCTION("""COMPUTED_VALUE"""),"BookingCom")</f>
        <v>BookingCom</v>
      </c>
      <c r="C413" s="253" t="str">
        <f>IFERROR(__xludf.DUMMYFUNCTION("""COMPUTED_VALUE"""),"Richard Ford ")</f>
        <v>Richard Ford </v>
      </c>
      <c r="D413" s="254">
        <f>IFERROR(__xludf.DUMMYFUNCTION("""COMPUTED_VALUE"""),46144.0)</f>
        <v>46144</v>
      </c>
      <c r="E413" s="251">
        <f>IFERROR(__xludf.DUMMYFUNCTION("""COMPUTED_VALUE"""),46148.0)</f>
        <v>46148</v>
      </c>
      <c r="F413" s="255">
        <f>IFERROR(__xludf.DUMMYFUNCTION("""COMPUTED_VALUE"""),4.0)</f>
        <v>4</v>
      </c>
      <c r="G413" s="255">
        <f>IFERROR(__xludf.DUMMYFUNCTION("""COMPUTED_VALUE"""),1.0)</f>
        <v>1</v>
      </c>
      <c r="H413" s="256">
        <f>IFERROR(__xludf.DUMMYFUNCTION("""COMPUTED_VALUE"""),156.41)</f>
        <v>156.41</v>
      </c>
      <c r="I413" s="256">
        <f>IFERROR(__xludf.DUMMYFUNCTION("""COMPUTED_VALUE"""),500.512)</f>
        <v>500.512</v>
      </c>
      <c r="J413" s="257">
        <f t="shared" si="1"/>
        <v>4</v>
      </c>
      <c r="K413" s="253"/>
      <c r="L413" s="253"/>
      <c r="M413" s="252"/>
      <c r="N413" s="258"/>
      <c r="O413" s="259"/>
      <c r="P413" s="259"/>
      <c r="Q413" s="262"/>
      <c r="R413" s="260"/>
      <c r="S413" s="260"/>
      <c r="T413" s="260"/>
      <c r="U413" s="261"/>
      <c r="V413" s="251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</row>
    <row r="414">
      <c r="A414" s="251">
        <f>IFERROR(__xludf.DUMMYFUNCTION("""COMPUTED_VALUE"""),8106706.0)</f>
        <v>8106706</v>
      </c>
      <c r="B414" s="252" t="str">
        <f>IFERROR(__xludf.DUMMYFUNCTION("""COMPUTED_VALUE"""),"BookingCom")</f>
        <v>BookingCom</v>
      </c>
      <c r="C414" s="253" t="str">
        <f>IFERROR(__xludf.DUMMYFUNCTION("""COMPUTED_VALUE"""),"Eleanor Chambre ")</f>
        <v>Eleanor Chambre </v>
      </c>
      <c r="D414" s="254">
        <f>IFERROR(__xludf.DUMMYFUNCTION("""COMPUTED_VALUE"""),46144.0)</f>
        <v>46144</v>
      </c>
      <c r="E414" s="251">
        <f>IFERROR(__xludf.DUMMYFUNCTION("""COMPUTED_VALUE"""),46145.0)</f>
        <v>46145</v>
      </c>
      <c r="F414" s="255">
        <f>IFERROR(__xludf.DUMMYFUNCTION("""COMPUTED_VALUE"""),1.0)</f>
        <v>1</v>
      </c>
      <c r="G414" s="255">
        <f>IFERROR(__xludf.DUMMYFUNCTION("""COMPUTED_VALUE"""),2.0)</f>
        <v>2</v>
      </c>
      <c r="H414" s="256">
        <f>IFERROR(__xludf.DUMMYFUNCTION("""COMPUTED_VALUE"""),135.31)</f>
        <v>135.31</v>
      </c>
      <c r="I414" s="256">
        <f>IFERROR(__xludf.DUMMYFUNCTION("""COMPUTED_VALUE"""),108.248)</f>
        <v>108.248</v>
      </c>
      <c r="J414" s="257">
        <f t="shared" si="1"/>
        <v>2</v>
      </c>
      <c r="K414" s="253"/>
      <c r="L414" s="253"/>
      <c r="M414" s="275"/>
      <c r="N414" s="258"/>
      <c r="O414" s="259"/>
      <c r="P414" s="259"/>
      <c r="Q414" s="262"/>
      <c r="R414" s="260"/>
      <c r="S414" s="260"/>
      <c r="T414" s="260"/>
      <c r="U414" s="261"/>
      <c r="V414" s="251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</row>
    <row r="415">
      <c r="A415" s="251">
        <f>IFERROR(__xludf.DUMMYFUNCTION("""COMPUTED_VALUE"""),7700973.0)</f>
        <v>7700973</v>
      </c>
      <c r="B415" s="252" t="str">
        <f>IFERROR(__xludf.DUMMYFUNCTION("""COMPUTED_VALUE"""),"BookingCom")</f>
        <v>BookingCom</v>
      </c>
      <c r="C415" s="253" t="str">
        <f>IFERROR(__xludf.DUMMYFUNCTION("""COMPUTED_VALUE"""),"Celeste Briraud ")</f>
        <v>Celeste Briraud </v>
      </c>
      <c r="D415" s="254">
        <f>IFERROR(__xludf.DUMMYFUNCTION("""COMPUTED_VALUE"""),46145.0)</f>
        <v>46145</v>
      </c>
      <c r="E415" s="251">
        <f>IFERROR(__xludf.DUMMYFUNCTION("""COMPUTED_VALUE"""),46148.0)</f>
        <v>46148</v>
      </c>
      <c r="F415" s="255">
        <f>IFERROR(__xludf.DUMMYFUNCTION("""COMPUTED_VALUE"""),3.0)</f>
        <v>3</v>
      </c>
      <c r="G415" s="255">
        <f>IFERROR(__xludf.DUMMYFUNCTION("""COMPUTED_VALUE"""),2.0)</f>
        <v>2</v>
      </c>
      <c r="H415" s="256">
        <f>IFERROR(__xludf.DUMMYFUNCTION("""COMPUTED_VALUE"""),114.89)</f>
        <v>114.89</v>
      </c>
      <c r="I415" s="256">
        <f>IFERROR(__xludf.DUMMYFUNCTION("""COMPUTED_VALUE"""),275.736)</f>
        <v>275.736</v>
      </c>
      <c r="J415" s="257">
        <f t="shared" si="1"/>
        <v>6</v>
      </c>
      <c r="K415" s="253"/>
      <c r="L415" s="253"/>
      <c r="M415" s="275"/>
      <c r="N415" s="258"/>
      <c r="O415" s="259"/>
      <c r="P415" s="259"/>
      <c r="Q415" s="262"/>
      <c r="R415" s="260"/>
      <c r="S415" s="260"/>
      <c r="T415" s="260"/>
      <c r="U415" s="261"/>
      <c r="V415" s="251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</row>
    <row r="416">
      <c r="A416" s="251">
        <f>IFERROR(__xludf.DUMMYFUNCTION("""COMPUTED_VALUE"""),7932088.0)</f>
        <v>7932088</v>
      </c>
      <c r="B416" s="252" t="str">
        <f>IFERROR(__xludf.DUMMYFUNCTION("""COMPUTED_VALUE"""),"BookingCom")</f>
        <v>BookingCom</v>
      </c>
      <c r="C416" s="253" t="str">
        <f>IFERROR(__xludf.DUMMYFUNCTION("""COMPUTED_VALUE"""),"Patrick Zuch ")</f>
        <v>Patrick Zuch </v>
      </c>
      <c r="D416" s="254">
        <f>IFERROR(__xludf.DUMMYFUNCTION("""COMPUTED_VALUE"""),46145.0)</f>
        <v>46145</v>
      </c>
      <c r="E416" s="251">
        <f>IFERROR(__xludf.DUMMYFUNCTION("""COMPUTED_VALUE"""),46146.0)</f>
        <v>46146</v>
      </c>
      <c r="F416" s="255">
        <f>IFERROR(__xludf.DUMMYFUNCTION("""COMPUTED_VALUE"""),1.0)</f>
        <v>1</v>
      </c>
      <c r="G416" s="255">
        <f>IFERROR(__xludf.DUMMYFUNCTION("""COMPUTED_VALUE"""),1.0)</f>
        <v>1</v>
      </c>
      <c r="H416" s="256">
        <f>IFERROR(__xludf.DUMMYFUNCTION("""COMPUTED_VALUE"""),156.92)</f>
        <v>156.92</v>
      </c>
      <c r="I416" s="256">
        <f>IFERROR(__xludf.DUMMYFUNCTION("""COMPUTED_VALUE"""),125.536)</f>
        <v>125.536</v>
      </c>
      <c r="J416" s="257">
        <f t="shared" si="1"/>
        <v>1</v>
      </c>
      <c r="K416" s="253"/>
      <c r="L416" s="253"/>
      <c r="M416" s="252"/>
      <c r="N416" s="258"/>
      <c r="O416" s="259"/>
      <c r="P416" s="259"/>
      <c r="Q416" s="262"/>
      <c r="R416" s="260"/>
      <c r="S416" s="260"/>
      <c r="T416" s="260"/>
      <c r="U416" s="261"/>
      <c r="V416" s="251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</row>
    <row r="417">
      <c r="A417" s="251">
        <f>IFERROR(__xludf.DUMMYFUNCTION("""COMPUTED_VALUE"""),8134520.0)</f>
        <v>8134520</v>
      </c>
      <c r="B417" s="252" t="str">
        <f>IFERROR(__xludf.DUMMYFUNCTION("""COMPUTED_VALUE"""),"BookingCom")</f>
        <v>BookingCom</v>
      </c>
      <c r="C417" s="253" t="str">
        <f>IFERROR(__xludf.DUMMYFUNCTION("""COMPUTED_VALUE"""),"martina stalder ")</f>
        <v>martina stalder </v>
      </c>
      <c r="D417" s="254">
        <f>IFERROR(__xludf.DUMMYFUNCTION("""COMPUTED_VALUE"""),46145.0)</f>
        <v>46145</v>
      </c>
      <c r="E417" s="251">
        <f>IFERROR(__xludf.DUMMYFUNCTION("""COMPUTED_VALUE"""),46146.0)</f>
        <v>46146</v>
      </c>
      <c r="F417" s="255">
        <f>IFERROR(__xludf.DUMMYFUNCTION("""COMPUTED_VALUE"""),1.0)</f>
        <v>1</v>
      </c>
      <c r="G417" s="255">
        <f>IFERROR(__xludf.DUMMYFUNCTION("""COMPUTED_VALUE"""),2.0)</f>
        <v>2</v>
      </c>
      <c r="H417" s="256">
        <f>IFERROR(__xludf.DUMMYFUNCTION("""COMPUTED_VALUE"""),210.29)</f>
        <v>210.29</v>
      </c>
      <c r="I417" s="256">
        <f>IFERROR(__xludf.DUMMYFUNCTION("""COMPUTED_VALUE"""),168.232)</f>
        <v>168.232</v>
      </c>
      <c r="J417" s="257">
        <f t="shared" si="1"/>
        <v>2</v>
      </c>
      <c r="K417" s="253"/>
      <c r="L417" s="253"/>
      <c r="M417" s="252"/>
      <c r="N417" s="258"/>
      <c r="O417" s="259"/>
      <c r="P417" s="259"/>
      <c r="Q417" s="262"/>
      <c r="R417" s="260"/>
      <c r="S417" s="260"/>
      <c r="T417" s="260"/>
      <c r="U417" s="261"/>
      <c r="V417" s="309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</row>
    <row r="418">
      <c r="A418" s="251">
        <f>IFERROR(__xludf.DUMMYFUNCTION("""COMPUTED_VALUE"""),7556202.0)</f>
        <v>7556202</v>
      </c>
      <c r="B418" s="252" t="str">
        <f>IFERROR(__xludf.DUMMYFUNCTION("""COMPUTED_VALUE"""),"BookingCom")</f>
        <v>BookingCom</v>
      </c>
      <c r="C418" s="253" t="str">
        <f>IFERROR(__xludf.DUMMYFUNCTION("""COMPUTED_VALUE"""),"Emma Crossley ")</f>
        <v>Emma Crossley </v>
      </c>
      <c r="D418" s="254">
        <f>IFERROR(__xludf.DUMMYFUNCTION("""COMPUTED_VALUE"""),46146.0)</f>
        <v>46146</v>
      </c>
      <c r="E418" s="251">
        <f>IFERROR(__xludf.DUMMYFUNCTION("""COMPUTED_VALUE"""),46153.0)</f>
        <v>46153</v>
      </c>
      <c r="F418" s="255">
        <f>IFERROR(__xludf.DUMMYFUNCTION("""COMPUTED_VALUE"""),7.0)</f>
        <v>7</v>
      </c>
      <c r="G418" s="255">
        <f>IFERROR(__xludf.DUMMYFUNCTION("""COMPUTED_VALUE"""),2.0)</f>
        <v>2</v>
      </c>
      <c r="H418" s="256">
        <f>IFERROR(__xludf.DUMMYFUNCTION("""COMPUTED_VALUE"""),184.9)</f>
        <v>184.9</v>
      </c>
      <c r="I418" s="256">
        <f>IFERROR(__xludf.DUMMYFUNCTION("""COMPUTED_VALUE"""),1035.44)</f>
        <v>1035.44</v>
      </c>
      <c r="J418" s="257">
        <f t="shared" si="1"/>
        <v>14</v>
      </c>
      <c r="K418" s="253"/>
      <c r="L418" s="253"/>
      <c r="M418" s="252"/>
      <c r="N418" s="258"/>
      <c r="O418" s="259"/>
      <c r="P418" s="259"/>
      <c r="Q418" s="262"/>
      <c r="R418" s="260"/>
      <c r="S418" s="260"/>
      <c r="T418" s="260"/>
      <c r="U418" s="261"/>
      <c r="V418" s="251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</row>
    <row r="419">
      <c r="A419" s="251">
        <f>IFERROR(__xludf.DUMMYFUNCTION("""COMPUTED_VALUE"""),8104257.0)</f>
        <v>8104257</v>
      </c>
      <c r="B419" s="252" t="str">
        <f>IFERROR(__xludf.DUMMYFUNCTION("""COMPUTED_VALUE"""),"BookingCom")</f>
        <v>BookingCom</v>
      </c>
      <c r="C419" s="253" t="str">
        <f>IFERROR(__xludf.DUMMYFUNCTION("""COMPUTED_VALUE"""),"Flora Toutin ")</f>
        <v>Flora Toutin </v>
      </c>
      <c r="D419" s="254">
        <f>IFERROR(__xludf.DUMMYFUNCTION("""COMPUTED_VALUE"""),46146.0)</f>
        <v>46146</v>
      </c>
      <c r="E419" s="251">
        <f>IFERROR(__xludf.DUMMYFUNCTION("""COMPUTED_VALUE"""),46150.0)</f>
        <v>46150</v>
      </c>
      <c r="F419" s="255">
        <f>IFERROR(__xludf.DUMMYFUNCTION("""COMPUTED_VALUE"""),4.0)</f>
        <v>4</v>
      </c>
      <c r="G419" s="255">
        <f>IFERROR(__xludf.DUMMYFUNCTION("""COMPUTED_VALUE"""),5.0)</f>
        <v>5</v>
      </c>
      <c r="H419" s="256">
        <f>IFERROR(__xludf.DUMMYFUNCTION("""COMPUTED_VALUE"""),376.73)</f>
        <v>376.73</v>
      </c>
      <c r="I419" s="256">
        <f>IFERROR(__xludf.DUMMYFUNCTION("""COMPUTED_VALUE"""),1205.536)</f>
        <v>1205.536</v>
      </c>
      <c r="J419" s="257">
        <f t="shared" si="1"/>
        <v>20</v>
      </c>
      <c r="K419" s="253"/>
      <c r="L419" s="253"/>
      <c r="M419" s="275"/>
      <c r="N419" s="258"/>
      <c r="O419" s="259"/>
      <c r="P419" s="259"/>
      <c r="Q419" s="262"/>
      <c r="R419" s="260"/>
      <c r="S419" s="260"/>
      <c r="T419" s="260"/>
      <c r="U419" s="261"/>
      <c r="V419" s="251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</row>
    <row r="420">
      <c r="A420" s="251">
        <f>IFERROR(__xludf.DUMMYFUNCTION("""COMPUTED_VALUE"""),8105978.0)</f>
        <v>8105978</v>
      </c>
      <c r="B420" s="252" t="str">
        <f>IFERROR(__xludf.DUMMYFUNCTION("""COMPUTED_VALUE"""),"BookingCom")</f>
        <v>BookingCom</v>
      </c>
      <c r="C420" s="253" t="str">
        <f>IFERROR(__xludf.DUMMYFUNCTION("""COMPUTED_VALUE"""),"Efthymios Ntasis ")</f>
        <v>Efthymios Ntasis </v>
      </c>
      <c r="D420" s="254">
        <f>IFERROR(__xludf.DUMMYFUNCTION("""COMPUTED_VALUE"""),46146.0)</f>
        <v>46146</v>
      </c>
      <c r="E420" s="251">
        <f>IFERROR(__xludf.DUMMYFUNCTION("""COMPUTED_VALUE"""),46147.0)</f>
        <v>46147</v>
      </c>
      <c r="F420" s="255">
        <f>IFERROR(__xludf.DUMMYFUNCTION("""COMPUTED_VALUE"""),1.0)</f>
        <v>1</v>
      </c>
      <c r="G420" s="255">
        <f>IFERROR(__xludf.DUMMYFUNCTION("""COMPUTED_VALUE"""),2.0)</f>
        <v>2</v>
      </c>
      <c r="H420" s="256">
        <f>IFERROR(__xludf.DUMMYFUNCTION("""COMPUTED_VALUE"""),172.64)</f>
        <v>172.64</v>
      </c>
      <c r="I420" s="256">
        <f>IFERROR(__xludf.DUMMYFUNCTION("""COMPUTED_VALUE"""),138.112)</f>
        <v>138.112</v>
      </c>
      <c r="J420" s="257">
        <f t="shared" si="1"/>
        <v>2</v>
      </c>
      <c r="K420" s="253"/>
      <c r="L420" s="253"/>
      <c r="M420" s="275"/>
      <c r="N420" s="258"/>
      <c r="O420" s="259"/>
      <c r="P420" s="259"/>
      <c r="Q420" s="262"/>
      <c r="R420" s="260"/>
      <c r="S420" s="260"/>
      <c r="T420" s="260"/>
      <c r="U420" s="261"/>
      <c r="V420" s="251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</row>
    <row r="421">
      <c r="A421" s="251">
        <f>IFERROR(__xludf.DUMMYFUNCTION("""COMPUTED_VALUE"""),8201921.0)</f>
        <v>8201921</v>
      </c>
      <c r="B421" s="252" t="str">
        <f>IFERROR(__xludf.DUMMYFUNCTION("""COMPUTED_VALUE"""),"BookingCom")</f>
        <v>BookingCom</v>
      </c>
      <c r="C421" s="253" t="str">
        <f>IFERROR(__xludf.DUMMYFUNCTION("""COMPUTED_VALUE"""),"Nele Minten ")</f>
        <v>Nele Minten </v>
      </c>
      <c r="D421" s="254">
        <f>IFERROR(__xludf.DUMMYFUNCTION("""COMPUTED_VALUE"""),46146.0)</f>
        <v>46146</v>
      </c>
      <c r="E421" s="251">
        <f>IFERROR(__xludf.DUMMYFUNCTION("""COMPUTED_VALUE"""),46149.0)</f>
        <v>46149</v>
      </c>
      <c r="F421" s="255">
        <f>IFERROR(__xludf.DUMMYFUNCTION("""COMPUTED_VALUE"""),3.0)</f>
        <v>3</v>
      </c>
      <c r="G421" s="255">
        <f>IFERROR(__xludf.DUMMYFUNCTION("""COMPUTED_VALUE"""),3.0)</f>
        <v>3</v>
      </c>
      <c r="H421" s="256">
        <f>IFERROR(__xludf.DUMMYFUNCTION("""COMPUTED_VALUE"""),215.97)</f>
        <v>215.97</v>
      </c>
      <c r="I421" s="256">
        <f>IFERROR(__xludf.DUMMYFUNCTION("""COMPUTED_VALUE"""),518.328)</f>
        <v>518.328</v>
      </c>
      <c r="J421" s="257">
        <f t="shared" si="1"/>
        <v>9</v>
      </c>
      <c r="K421" s="253"/>
      <c r="L421" s="253"/>
      <c r="M421" s="252"/>
      <c r="N421" s="258"/>
      <c r="O421" s="259"/>
      <c r="P421" s="259"/>
      <c r="Q421" s="262"/>
      <c r="R421" s="260"/>
      <c r="S421" s="260"/>
      <c r="T421" s="260"/>
      <c r="U421" s="261"/>
      <c r="V421" s="251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</row>
    <row r="422">
      <c r="A422" s="251">
        <f>IFERROR(__xludf.DUMMYFUNCTION("""COMPUTED_VALUE"""),6959496.0)</f>
        <v>6959496</v>
      </c>
      <c r="B422" s="252" t="str">
        <f>IFERROR(__xludf.DUMMYFUNCTION("""COMPUTED_VALUE"""),"Reseliva")</f>
        <v>Reseliva</v>
      </c>
      <c r="C422" s="253" t="str">
        <f>IFERROR(__xludf.DUMMYFUNCTION("""COMPUTED_VALUE"""),"Séverine Chevallier ")</f>
        <v>Séverine Chevallier </v>
      </c>
      <c r="D422" s="254">
        <f>IFERROR(__xludf.DUMMYFUNCTION("""COMPUTED_VALUE"""),46147.0)</f>
        <v>46147</v>
      </c>
      <c r="E422" s="251">
        <f>IFERROR(__xludf.DUMMYFUNCTION("""COMPUTED_VALUE"""),46151.0)</f>
        <v>46151</v>
      </c>
      <c r="F422" s="255">
        <f>IFERROR(__xludf.DUMMYFUNCTION("""COMPUTED_VALUE"""),4.0)</f>
        <v>4</v>
      </c>
      <c r="G422" s="255">
        <f>IFERROR(__xludf.DUMMYFUNCTION("""COMPUTED_VALUE"""),2.0)</f>
        <v>2</v>
      </c>
      <c r="H422" s="256">
        <f>IFERROR(__xludf.DUMMYFUNCTION("""COMPUTED_VALUE"""),290.2)</f>
        <v>290.2</v>
      </c>
      <c r="I422" s="256">
        <f>IFERROR(__xludf.DUMMYFUNCTION("""COMPUTED_VALUE"""),1149.192)</f>
        <v>1149.192</v>
      </c>
      <c r="J422" s="257">
        <f t="shared" si="1"/>
        <v>8</v>
      </c>
      <c r="K422" s="253"/>
      <c r="L422" s="253"/>
      <c r="M422" s="252"/>
      <c r="N422" s="258"/>
      <c r="O422" s="259"/>
      <c r="P422" s="259"/>
      <c r="Q422" s="262"/>
      <c r="R422" s="260"/>
      <c r="S422" s="260"/>
      <c r="T422" s="260"/>
      <c r="U422" s="261"/>
      <c r="V422" s="251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</row>
    <row r="423">
      <c r="A423" s="251">
        <f>IFERROR(__xludf.DUMMYFUNCTION("""COMPUTED_VALUE"""),7754661.0)</f>
        <v>7754661</v>
      </c>
      <c r="B423" s="252" t="str">
        <f>IFERROR(__xludf.DUMMYFUNCTION("""COMPUTED_VALUE"""),"BookingCom")</f>
        <v>BookingCom</v>
      </c>
      <c r="C423" s="253" t="str">
        <f>IFERROR(__xludf.DUMMYFUNCTION("""COMPUTED_VALUE"""),"Markus Feurle ")</f>
        <v>Markus Feurle </v>
      </c>
      <c r="D423" s="254">
        <f>IFERROR(__xludf.DUMMYFUNCTION("""COMPUTED_VALUE"""),46148.0)</f>
        <v>46148</v>
      </c>
      <c r="E423" s="251">
        <f>IFERROR(__xludf.DUMMYFUNCTION("""COMPUTED_VALUE"""),46152.0)</f>
        <v>46152</v>
      </c>
      <c r="F423" s="255">
        <f>IFERROR(__xludf.DUMMYFUNCTION("""COMPUTED_VALUE"""),4.0)</f>
        <v>4</v>
      </c>
      <c r="G423" s="255">
        <f>IFERROR(__xludf.DUMMYFUNCTION("""COMPUTED_VALUE"""),2.0)</f>
        <v>2</v>
      </c>
      <c r="H423" s="256">
        <f>IFERROR(__xludf.DUMMYFUNCTION("""COMPUTED_VALUE"""),138.88)</f>
        <v>138.88</v>
      </c>
      <c r="I423" s="256">
        <f>IFERROR(__xludf.DUMMYFUNCTION("""COMPUTED_VALUE"""),444.416)</f>
        <v>444.416</v>
      </c>
      <c r="J423" s="257">
        <f t="shared" si="1"/>
        <v>8</v>
      </c>
      <c r="K423" s="253"/>
      <c r="L423" s="253"/>
      <c r="M423" s="275"/>
      <c r="N423" s="258"/>
      <c r="O423" s="259"/>
      <c r="P423" s="259"/>
      <c r="Q423" s="262"/>
      <c r="R423" s="260"/>
      <c r="S423" s="260"/>
      <c r="T423" s="260"/>
      <c r="U423" s="261"/>
      <c r="V423" s="251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</row>
    <row r="424">
      <c r="A424" s="251">
        <f>IFERROR(__xludf.DUMMYFUNCTION("""COMPUTED_VALUE"""),7754661.0)</f>
        <v>7754661</v>
      </c>
      <c r="B424" s="252" t="str">
        <f>IFERROR(__xludf.DUMMYFUNCTION("""COMPUTED_VALUE"""),"BookingCom")</f>
        <v>BookingCom</v>
      </c>
      <c r="C424" s="253" t="str">
        <f>IFERROR(__xludf.DUMMYFUNCTION("""COMPUTED_VALUE"""),"Markus Feurle ")</f>
        <v>Markus Feurle </v>
      </c>
      <c r="D424" s="254">
        <f>IFERROR(__xludf.DUMMYFUNCTION("""COMPUTED_VALUE"""),46148.0)</f>
        <v>46148</v>
      </c>
      <c r="E424" s="251">
        <f>IFERROR(__xludf.DUMMYFUNCTION("""COMPUTED_VALUE"""),46152.0)</f>
        <v>46152</v>
      </c>
      <c r="F424" s="255">
        <f>IFERROR(__xludf.DUMMYFUNCTION("""COMPUTED_VALUE"""),4.0)</f>
        <v>4</v>
      </c>
      <c r="G424" s="255">
        <f>IFERROR(__xludf.DUMMYFUNCTION("""COMPUTED_VALUE"""),1.0)</f>
        <v>1</v>
      </c>
      <c r="H424" s="256">
        <f>IFERROR(__xludf.DUMMYFUNCTION("""COMPUTED_VALUE"""),200.08)</f>
        <v>200.08</v>
      </c>
      <c r="I424" s="256">
        <f>IFERROR(__xludf.DUMMYFUNCTION("""COMPUTED_VALUE"""),640.2560000000001)</f>
        <v>640.256</v>
      </c>
      <c r="J424" s="257">
        <f t="shared" si="1"/>
        <v>4</v>
      </c>
      <c r="K424" s="253"/>
      <c r="L424" s="253"/>
      <c r="M424" s="275"/>
      <c r="N424" s="258"/>
      <c r="O424" s="259"/>
      <c r="P424" s="259"/>
      <c r="Q424" s="262"/>
      <c r="R424" s="260"/>
      <c r="S424" s="260"/>
      <c r="T424" s="260"/>
      <c r="U424" s="261"/>
      <c r="V424" s="251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</row>
    <row r="425">
      <c r="A425" s="251">
        <f>IFERROR(__xludf.DUMMYFUNCTION("""COMPUTED_VALUE"""),7763716.0)</f>
        <v>7763716</v>
      </c>
      <c r="B425" s="252" t="str">
        <f>IFERROR(__xludf.DUMMYFUNCTION("""COMPUTED_VALUE"""),"BookingCom")</f>
        <v>BookingCom</v>
      </c>
      <c r="C425" s="253" t="str">
        <f>IFERROR(__xludf.DUMMYFUNCTION("""COMPUTED_VALUE"""),"Simon TESSIER ")</f>
        <v>Simon TESSIER </v>
      </c>
      <c r="D425" s="254">
        <f>IFERROR(__xludf.DUMMYFUNCTION("""COMPUTED_VALUE"""),46148.0)</f>
        <v>46148</v>
      </c>
      <c r="E425" s="251">
        <f>IFERROR(__xludf.DUMMYFUNCTION("""COMPUTED_VALUE"""),46153.0)</f>
        <v>46153</v>
      </c>
      <c r="F425" s="255">
        <f>IFERROR(__xludf.DUMMYFUNCTION("""COMPUTED_VALUE"""),5.0)</f>
        <v>5</v>
      </c>
      <c r="G425" s="255">
        <f>IFERROR(__xludf.DUMMYFUNCTION("""COMPUTED_VALUE"""),2.0)</f>
        <v>2</v>
      </c>
      <c r="H425" s="256">
        <f>IFERROR(__xludf.DUMMYFUNCTION("""COMPUTED_VALUE"""),250.2)</f>
        <v>250.2</v>
      </c>
      <c r="I425" s="256">
        <f>IFERROR(__xludf.DUMMYFUNCTION("""COMPUTED_VALUE"""),1000.8)</f>
        <v>1000.8</v>
      </c>
      <c r="J425" s="257">
        <f t="shared" si="1"/>
        <v>10</v>
      </c>
      <c r="K425" s="253"/>
      <c r="L425" s="253"/>
      <c r="M425" s="252"/>
      <c r="N425" s="258"/>
      <c r="O425" s="259"/>
      <c r="P425" s="259"/>
      <c r="Q425" s="262"/>
      <c r="R425" s="260"/>
      <c r="S425" s="260"/>
      <c r="T425" s="260"/>
      <c r="U425" s="261"/>
      <c r="V425" s="251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</row>
    <row r="426">
      <c r="A426" s="251">
        <f>IFERROR(__xludf.DUMMYFUNCTION("""COMPUTED_VALUE"""),7883167.0)</f>
        <v>7883167</v>
      </c>
      <c r="B426" s="252" t="str">
        <f>IFERROR(__xludf.DUMMYFUNCTION("""COMPUTED_VALUE"""),"Reseliva Pannel")</f>
        <v>Reseliva Pannel</v>
      </c>
      <c r="C426" s="253" t="str">
        <f>IFERROR(__xludf.DUMMYFUNCTION("""COMPUTED_VALUE"""),"Stefanie Smieskol ")</f>
        <v>Stefanie Smieskol </v>
      </c>
      <c r="D426" s="254">
        <f>IFERROR(__xludf.DUMMYFUNCTION("""COMPUTED_VALUE"""),46148.0)</f>
        <v>46148</v>
      </c>
      <c r="E426" s="251">
        <f>IFERROR(__xludf.DUMMYFUNCTION("""COMPUTED_VALUE"""),46154.0)</f>
        <v>46154</v>
      </c>
      <c r="F426" s="255">
        <f>IFERROR(__xludf.DUMMYFUNCTION("""COMPUTED_VALUE"""),6.0)</f>
        <v>6</v>
      </c>
      <c r="G426" s="255">
        <f>IFERROR(__xludf.DUMMYFUNCTION("""COMPUTED_VALUE"""),2.0)</f>
        <v>2</v>
      </c>
      <c r="H426" s="256">
        <f>IFERROR(__xludf.DUMMYFUNCTION("""COMPUTED_VALUE"""),270.0)</f>
        <v>270</v>
      </c>
      <c r="I426" s="256">
        <f>IFERROR(__xludf.DUMMYFUNCTION("""COMPUTED_VALUE"""),1620.0)</f>
        <v>1620</v>
      </c>
      <c r="J426" s="257">
        <f t="shared" si="1"/>
        <v>12</v>
      </c>
      <c r="K426" s="253"/>
      <c r="L426" s="253"/>
      <c r="M426" s="252"/>
      <c r="N426" s="258"/>
      <c r="O426" s="259"/>
      <c r="P426" s="259"/>
      <c r="Q426" s="262"/>
      <c r="R426" s="260"/>
      <c r="S426" s="260"/>
      <c r="T426" s="260"/>
      <c r="U426" s="261"/>
      <c r="V426" s="251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</row>
    <row r="427">
      <c r="A427" s="251">
        <f>IFERROR(__xludf.DUMMYFUNCTION("""COMPUTED_VALUE"""),7883167.0)</f>
        <v>7883167</v>
      </c>
      <c r="B427" s="252" t="str">
        <f>IFERROR(__xludf.DUMMYFUNCTION("""COMPUTED_VALUE"""),"Reseliva Pannel")</f>
        <v>Reseliva Pannel</v>
      </c>
      <c r="C427" s="253" t="str">
        <f>IFERROR(__xludf.DUMMYFUNCTION("""COMPUTED_VALUE"""),"Stefanie Smieskol ")</f>
        <v>Stefanie Smieskol </v>
      </c>
      <c r="D427" s="254">
        <f>IFERROR(__xludf.DUMMYFUNCTION("""COMPUTED_VALUE"""),46148.0)</f>
        <v>46148</v>
      </c>
      <c r="E427" s="251">
        <f>IFERROR(__xludf.DUMMYFUNCTION("""COMPUTED_VALUE"""),46154.0)</f>
        <v>46154</v>
      </c>
      <c r="F427" s="255">
        <f>IFERROR(__xludf.DUMMYFUNCTION("""COMPUTED_VALUE"""),6.0)</f>
        <v>6</v>
      </c>
      <c r="G427" s="255">
        <f>IFERROR(__xludf.DUMMYFUNCTION("""COMPUTED_VALUE"""),2.0)</f>
        <v>2</v>
      </c>
      <c r="H427" s="256">
        <f>IFERROR(__xludf.DUMMYFUNCTION("""COMPUTED_VALUE"""),210.24)</f>
        <v>210.24</v>
      </c>
      <c r="I427" s="256">
        <f>IFERROR(__xludf.DUMMYFUNCTION("""COMPUTED_VALUE"""),1261.44)</f>
        <v>1261.44</v>
      </c>
      <c r="J427" s="257">
        <f t="shared" si="1"/>
        <v>12</v>
      </c>
      <c r="K427" s="253"/>
      <c r="L427" s="253"/>
      <c r="M427" s="275"/>
      <c r="N427" s="258"/>
      <c r="O427" s="259"/>
      <c r="P427" s="259"/>
      <c r="Q427" s="262"/>
      <c r="R427" s="260"/>
      <c r="S427" s="260"/>
      <c r="T427" s="260"/>
      <c r="U427" s="261"/>
      <c r="V427" s="251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</row>
    <row r="428">
      <c r="A428" s="251">
        <f>IFERROR(__xludf.DUMMYFUNCTION("""COMPUTED_VALUE"""),7561942.0)</f>
        <v>7561942</v>
      </c>
      <c r="B428" s="252" t="str">
        <f>IFERROR(__xludf.DUMMYFUNCTION("""COMPUTED_VALUE"""),"BookingCom")</f>
        <v>BookingCom</v>
      </c>
      <c r="C428" s="253" t="str">
        <f>IFERROR(__xludf.DUMMYFUNCTION("""COMPUTED_VALUE"""),"Namika Endo ")</f>
        <v>Namika Endo </v>
      </c>
      <c r="D428" s="254">
        <f>IFERROR(__xludf.DUMMYFUNCTION("""COMPUTED_VALUE"""),46149.0)</f>
        <v>46149</v>
      </c>
      <c r="E428" s="251">
        <f>IFERROR(__xludf.DUMMYFUNCTION("""COMPUTED_VALUE"""),46151.0)</f>
        <v>46151</v>
      </c>
      <c r="F428" s="255">
        <f>IFERROR(__xludf.DUMMYFUNCTION("""COMPUTED_VALUE"""),2.0)</f>
        <v>2</v>
      </c>
      <c r="G428" s="255">
        <f>IFERROR(__xludf.DUMMYFUNCTION("""COMPUTED_VALUE"""),2.0)</f>
        <v>2</v>
      </c>
      <c r="H428" s="256">
        <f>IFERROR(__xludf.DUMMYFUNCTION("""COMPUTED_VALUE"""),191.97)</f>
        <v>191.97</v>
      </c>
      <c r="I428" s="256">
        <f>IFERROR(__xludf.DUMMYFUNCTION("""COMPUTED_VALUE"""),307.152)</f>
        <v>307.152</v>
      </c>
      <c r="J428" s="257">
        <f t="shared" si="1"/>
        <v>4</v>
      </c>
      <c r="K428" s="253"/>
      <c r="L428" s="253"/>
      <c r="M428" s="275"/>
      <c r="N428" s="258"/>
      <c r="O428" s="259"/>
      <c r="P428" s="259"/>
      <c r="Q428" s="262"/>
      <c r="R428" s="260"/>
      <c r="S428" s="260"/>
      <c r="T428" s="260"/>
      <c r="U428" s="261"/>
      <c r="V428" s="251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</row>
    <row r="429">
      <c r="A429" s="251">
        <f>IFERROR(__xludf.DUMMYFUNCTION("""COMPUTED_VALUE"""),7798877.0)</f>
        <v>7798877</v>
      </c>
      <c r="B429" s="252" t="str">
        <f>IFERROR(__xludf.DUMMYFUNCTION("""COMPUTED_VALUE"""),"BookingCom")</f>
        <v>BookingCom</v>
      </c>
      <c r="C429" s="253" t="str">
        <f>IFERROR(__xludf.DUMMYFUNCTION("""COMPUTED_VALUE"""),"Petra Pittery ")</f>
        <v>Petra Pittery </v>
      </c>
      <c r="D429" s="254">
        <f>IFERROR(__xludf.DUMMYFUNCTION("""COMPUTED_VALUE"""),46151.0)</f>
        <v>46151</v>
      </c>
      <c r="E429" s="251">
        <f>IFERROR(__xludf.DUMMYFUNCTION("""COMPUTED_VALUE"""),46154.0)</f>
        <v>46154</v>
      </c>
      <c r="F429" s="255">
        <f>IFERROR(__xludf.DUMMYFUNCTION("""COMPUTED_VALUE"""),3.0)</f>
        <v>3</v>
      </c>
      <c r="G429" s="255">
        <f>IFERROR(__xludf.DUMMYFUNCTION("""COMPUTED_VALUE"""),2.0)</f>
        <v>2</v>
      </c>
      <c r="H429" s="256">
        <f>IFERROR(__xludf.DUMMYFUNCTION("""COMPUTED_VALUE"""),170.10999999999999)</f>
        <v>170.11</v>
      </c>
      <c r="I429" s="256">
        <f>IFERROR(__xludf.DUMMYFUNCTION("""COMPUTED_VALUE"""),408.264)</f>
        <v>408.264</v>
      </c>
      <c r="J429" s="257">
        <f t="shared" si="1"/>
        <v>6</v>
      </c>
      <c r="K429" s="253"/>
      <c r="L429" s="253"/>
      <c r="M429" s="252"/>
      <c r="N429" s="258"/>
      <c r="O429" s="259"/>
      <c r="P429" s="259"/>
      <c r="Q429" s="257"/>
      <c r="R429" s="260"/>
      <c r="S429" s="260"/>
      <c r="T429" s="260"/>
      <c r="U429" s="261"/>
      <c r="V429" s="251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</row>
    <row r="430">
      <c r="A430" s="251">
        <f>IFERROR(__xludf.DUMMYFUNCTION("""COMPUTED_VALUE"""),8049879.0)</f>
        <v>8049879</v>
      </c>
      <c r="B430" s="252" t="str">
        <f>IFERROR(__xludf.DUMMYFUNCTION("""COMPUTED_VALUE"""),"BookingCom")</f>
        <v>BookingCom</v>
      </c>
      <c r="C430" s="253" t="str">
        <f>IFERROR(__xludf.DUMMYFUNCTION("""COMPUTED_VALUE"""),"Karen Gaydon ")</f>
        <v>Karen Gaydon </v>
      </c>
      <c r="D430" s="254">
        <f>IFERROR(__xludf.DUMMYFUNCTION("""COMPUTED_VALUE"""),46151.0)</f>
        <v>46151</v>
      </c>
      <c r="E430" s="251">
        <f>IFERROR(__xludf.DUMMYFUNCTION("""COMPUTED_VALUE"""),46152.0)</f>
        <v>46152</v>
      </c>
      <c r="F430" s="255">
        <f>IFERROR(__xludf.DUMMYFUNCTION("""COMPUTED_VALUE"""),1.0)</f>
        <v>1</v>
      </c>
      <c r="G430" s="255">
        <f>IFERROR(__xludf.DUMMYFUNCTION("""COMPUTED_VALUE"""),2.0)</f>
        <v>2</v>
      </c>
      <c r="H430" s="256">
        <f>IFERROR(__xludf.DUMMYFUNCTION("""COMPUTED_VALUE"""),197.66)</f>
        <v>197.66</v>
      </c>
      <c r="I430" s="256">
        <f>IFERROR(__xludf.DUMMYFUNCTION("""COMPUTED_VALUE"""),158.12800000000001)</f>
        <v>158.128</v>
      </c>
      <c r="J430" s="257">
        <f t="shared" si="1"/>
        <v>2</v>
      </c>
      <c r="K430" s="253"/>
      <c r="L430" s="253"/>
      <c r="M430" s="275"/>
      <c r="N430" s="258"/>
      <c r="O430" s="259"/>
      <c r="P430" s="259"/>
      <c r="Q430" s="262"/>
      <c r="R430" s="260"/>
      <c r="S430" s="260"/>
      <c r="T430" s="260"/>
      <c r="U430" s="261"/>
      <c r="V430" s="251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</row>
    <row r="431">
      <c r="A431" s="251">
        <f>IFERROR(__xludf.DUMMYFUNCTION("""COMPUTED_VALUE"""),7983923.0)</f>
        <v>7983923</v>
      </c>
      <c r="B431" s="252" t="str">
        <f>IFERROR(__xludf.DUMMYFUNCTION("""COMPUTED_VALUE"""),"BookingCom")</f>
        <v>BookingCom</v>
      </c>
      <c r="C431" s="253" t="str">
        <f>IFERROR(__xludf.DUMMYFUNCTION("""COMPUTED_VALUE"""),"gaia parlati ")</f>
        <v>gaia parlati </v>
      </c>
      <c r="D431" s="254">
        <f>IFERROR(__xludf.DUMMYFUNCTION("""COMPUTED_VALUE"""),46152.0)</f>
        <v>46152</v>
      </c>
      <c r="E431" s="251">
        <f>IFERROR(__xludf.DUMMYFUNCTION("""COMPUTED_VALUE"""),46155.0)</f>
        <v>46155</v>
      </c>
      <c r="F431" s="255">
        <f>IFERROR(__xludf.DUMMYFUNCTION("""COMPUTED_VALUE"""),3.0)</f>
        <v>3</v>
      </c>
      <c r="G431" s="255">
        <f>IFERROR(__xludf.DUMMYFUNCTION("""COMPUTED_VALUE"""),2.0)</f>
        <v>2</v>
      </c>
      <c r="H431" s="256">
        <f>IFERROR(__xludf.DUMMYFUNCTION("""COMPUTED_VALUE"""),214.44000000000003)</f>
        <v>214.44</v>
      </c>
      <c r="I431" s="256">
        <f>IFERROR(__xludf.DUMMYFUNCTION("""COMPUTED_VALUE"""),514.6560000000001)</f>
        <v>514.656</v>
      </c>
      <c r="J431" s="257">
        <f t="shared" si="1"/>
        <v>6</v>
      </c>
      <c r="K431" s="253"/>
      <c r="L431" s="253"/>
      <c r="M431" s="252"/>
      <c r="N431" s="258"/>
      <c r="O431" s="259"/>
      <c r="P431" s="259"/>
      <c r="Q431" s="262"/>
      <c r="R431" s="260"/>
      <c r="S431" s="260"/>
      <c r="T431" s="260"/>
      <c r="U431" s="261"/>
      <c r="V431" s="251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</row>
    <row r="432">
      <c r="A432" s="251">
        <f>IFERROR(__xludf.DUMMYFUNCTION("""COMPUTED_VALUE"""),8071927.0)</f>
        <v>8071927</v>
      </c>
      <c r="B432" s="252" t="str">
        <f>IFERROR(__xludf.DUMMYFUNCTION("""COMPUTED_VALUE"""),"BookingCom")</f>
        <v>BookingCom</v>
      </c>
      <c r="C432" s="253" t="str">
        <f>IFERROR(__xludf.DUMMYFUNCTION("""COMPUTED_VALUE"""),"Recep Songur ")</f>
        <v>Recep Songur </v>
      </c>
      <c r="D432" s="254">
        <f>IFERROR(__xludf.DUMMYFUNCTION("""COMPUTED_VALUE"""),46152.0)</f>
        <v>46152</v>
      </c>
      <c r="E432" s="251">
        <f>IFERROR(__xludf.DUMMYFUNCTION("""COMPUTED_VALUE"""),46156.0)</f>
        <v>46156</v>
      </c>
      <c r="F432" s="255">
        <f>IFERROR(__xludf.DUMMYFUNCTION("""COMPUTED_VALUE"""),4.0)</f>
        <v>4</v>
      </c>
      <c r="G432" s="255">
        <f>IFERROR(__xludf.DUMMYFUNCTION("""COMPUTED_VALUE"""),2.0)</f>
        <v>2</v>
      </c>
      <c r="H432" s="256">
        <f>IFERROR(__xludf.DUMMYFUNCTION("""COMPUTED_VALUE"""),198.67999999999998)</f>
        <v>198.68</v>
      </c>
      <c r="I432" s="256">
        <f>IFERROR(__xludf.DUMMYFUNCTION("""COMPUTED_VALUE"""),635.776)</f>
        <v>635.776</v>
      </c>
      <c r="J432" s="257">
        <f t="shared" si="1"/>
        <v>8</v>
      </c>
      <c r="K432" s="253"/>
      <c r="L432" s="253"/>
      <c r="M432" s="252"/>
      <c r="N432" s="258"/>
      <c r="O432" s="259"/>
      <c r="P432" s="259"/>
      <c r="Q432" s="257"/>
      <c r="R432" s="260"/>
      <c r="S432" s="260"/>
      <c r="T432" s="260"/>
      <c r="U432" s="261"/>
      <c r="V432" s="251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</row>
    <row r="433">
      <c r="A433" s="251">
        <f>IFERROR(__xludf.DUMMYFUNCTION("""COMPUTED_VALUE"""),8082139.0)</f>
        <v>8082139</v>
      </c>
      <c r="B433" s="252" t="str">
        <f>IFERROR(__xludf.DUMMYFUNCTION("""COMPUTED_VALUE"""),"BookingCom")</f>
        <v>BookingCom</v>
      </c>
      <c r="C433" s="253" t="str">
        <f>IFERROR(__xludf.DUMMYFUNCTION("""COMPUTED_VALUE"""),"Catherine Dargoubet ")</f>
        <v>Catherine Dargoubet </v>
      </c>
      <c r="D433" s="254">
        <f>IFERROR(__xludf.DUMMYFUNCTION("""COMPUTED_VALUE"""),46152.0)</f>
        <v>46152</v>
      </c>
      <c r="E433" s="251">
        <f>IFERROR(__xludf.DUMMYFUNCTION("""COMPUTED_VALUE"""),46155.0)</f>
        <v>46155</v>
      </c>
      <c r="F433" s="255">
        <f>IFERROR(__xludf.DUMMYFUNCTION("""COMPUTED_VALUE"""),3.0)</f>
        <v>3</v>
      </c>
      <c r="G433" s="255">
        <f>IFERROR(__xludf.DUMMYFUNCTION("""COMPUTED_VALUE"""),2.0)</f>
        <v>2</v>
      </c>
      <c r="H433" s="256">
        <f>IFERROR(__xludf.DUMMYFUNCTION("""COMPUTED_VALUE"""),200.33)</f>
        <v>200.33</v>
      </c>
      <c r="I433" s="256">
        <f>IFERROR(__xludf.DUMMYFUNCTION("""COMPUTED_VALUE"""),480.79200000000003)</f>
        <v>480.792</v>
      </c>
      <c r="J433" s="257">
        <f t="shared" si="1"/>
        <v>6</v>
      </c>
      <c r="K433" s="253"/>
      <c r="L433" s="253"/>
      <c r="M433" s="275"/>
      <c r="N433" s="258"/>
      <c r="O433" s="259"/>
      <c r="P433" s="259"/>
      <c r="Q433" s="262"/>
      <c r="R433" s="260"/>
      <c r="S433" s="260"/>
      <c r="T433" s="260"/>
      <c r="U433" s="261"/>
      <c r="V433" s="251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</row>
    <row r="434">
      <c r="A434" s="251">
        <f>IFERROR(__xludf.DUMMYFUNCTION("""COMPUTED_VALUE"""),8082913.0)</f>
        <v>8082913</v>
      </c>
      <c r="B434" s="252" t="str">
        <f>IFERROR(__xludf.DUMMYFUNCTION("""COMPUTED_VALUE"""),"BookingCom")</f>
        <v>BookingCom</v>
      </c>
      <c r="C434" s="253" t="str">
        <f>IFERROR(__xludf.DUMMYFUNCTION("""COMPUTED_VALUE"""),"Elettra Paolini ")</f>
        <v>Elettra Paolini </v>
      </c>
      <c r="D434" s="254">
        <f>IFERROR(__xludf.DUMMYFUNCTION("""COMPUTED_VALUE"""),46152.0)</f>
        <v>46152</v>
      </c>
      <c r="E434" s="251">
        <f>IFERROR(__xludf.DUMMYFUNCTION("""COMPUTED_VALUE"""),46154.0)</f>
        <v>46154</v>
      </c>
      <c r="F434" s="255">
        <f>IFERROR(__xludf.DUMMYFUNCTION("""COMPUTED_VALUE"""),2.0)</f>
        <v>2</v>
      </c>
      <c r="G434" s="255">
        <f>IFERROR(__xludf.DUMMYFUNCTION("""COMPUTED_VALUE"""),2.0)</f>
        <v>2</v>
      </c>
      <c r="H434" s="256">
        <f>IFERROR(__xludf.DUMMYFUNCTION("""COMPUTED_VALUE"""),151.82)</f>
        <v>151.82</v>
      </c>
      <c r="I434" s="256">
        <f>IFERROR(__xludf.DUMMYFUNCTION("""COMPUTED_VALUE"""),242.912)</f>
        <v>242.912</v>
      </c>
      <c r="J434" s="257">
        <f t="shared" si="1"/>
        <v>4</v>
      </c>
      <c r="K434" s="253"/>
      <c r="L434" s="253"/>
      <c r="M434" s="275"/>
      <c r="N434" s="258"/>
      <c r="O434" s="259"/>
      <c r="P434" s="259"/>
      <c r="Q434" s="262"/>
      <c r="R434" s="260"/>
      <c r="S434" s="260"/>
      <c r="T434" s="260"/>
      <c r="U434" s="261"/>
      <c r="V434" s="251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</row>
    <row r="435">
      <c r="A435" s="251">
        <f>IFERROR(__xludf.DUMMYFUNCTION("""COMPUTED_VALUE"""),7905775.0)</f>
        <v>7905775</v>
      </c>
      <c r="B435" s="252" t="str">
        <f>IFERROR(__xludf.DUMMYFUNCTION("""COMPUTED_VALUE"""),"BookingCom")</f>
        <v>BookingCom</v>
      </c>
      <c r="C435" s="253" t="str">
        <f>IFERROR(__xludf.DUMMYFUNCTION("""COMPUTED_VALUE"""),"Joris Coessens ")</f>
        <v>Joris Coessens </v>
      </c>
      <c r="D435" s="254">
        <f>IFERROR(__xludf.DUMMYFUNCTION("""COMPUTED_VALUE"""),46154.0)</f>
        <v>46154</v>
      </c>
      <c r="E435" s="251">
        <f>IFERROR(__xludf.DUMMYFUNCTION("""COMPUTED_VALUE"""),46158.0)</f>
        <v>46158</v>
      </c>
      <c r="F435" s="255">
        <f>IFERROR(__xludf.DUMMYFUNCTION("""COMPUTED_VALUE"""),4.0)</f>
        <v>4</v>
      </c>
      <c r="G435" s="255">
        <f>IFERROR(__xludf.DUMMYFUNCTION("""COMPUTED_VALUE"""),2.0)</f>
        <v>2</v>
      </c>
      <c r="H435" s="256">
        <f>IFERROR(__xludf.DUMMYFUNCTION("""COMPUTED_VALUE"""),220.98)</f>
        <v>220.98</v>
      </c>
      <c r="I435" s="256">
        <f>IFERROR(__xludf.DUMMYFUNCTION("""COMPUTED_VALUE"""),707.136)</f>
        <v>707.136</v>
      </c>
      <c r="J435" s="257">
        <f t="shared" si="1"/>
        <v>8</v>
      </c>
      <c r="K435" s="253"/>
      <c r="L435" s="253"/>
      <c r="M435" s="275"/>
      <c r="N435" s="258"/>
      <c r="O435" s="259"/>
      <c r="P435" s="259"/>
      <c r="Q435" s="262"/>
      <c r="R435" s="260"/>
      <c r="S435" s="260"/>
      <c r="T435" s="260"/>
      <c r="U435" s="261"/>
      <c r="V435" s="251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</row>
    <row r="436">
      <c r="A436" s="251">
        <f>IFERROR(__xludf.DUMMYFUNCTION("""COMPUTED_VALUE"""),8087116.0)</f>
        <v>8087116</v>
      </c>
      <c r="B436" s="252" t="str">
        <f>IFERROR(__xludf.DUMMYFUNCTION("""COMPUTED_VALUE"""),"BookingCom")</f>
        <v>BookingCom</v>
      </c>
      <c r="C436" s="253" t="str">
        <f>IFERROR(__xludf.DUMMYFUNCTION("""COMPUTED_VALUE"""),"Sandra Collovigh ")</f>
        <v>Sandra Collovigh </v>
      </c>
      <c r="D436" s="254">
        <f>IFERROR(__xludf.DUMMYFUNCTION("""COMPUTED_VALUE"""),46154.0)</f>
        <v>46154</v>
      </c>
      <c r="E436" s="251">
        <f>IFERROR(__xludf.DUMMYFUNCTION("""COMPUTED_VALUE"""),46156.0)</f>
        <v>46156</v>
      </c>
      <c r="F436" s="255">
        <f>IFERROR(__xludf.DUMMYFUNCTION("""COMPUTED_VALUE"""),2.0)</f>
        <v>2</v>
      </c>
      <c r="G436" s="255">
        <f>IFERROR(__xludf.DUMMYFUNCTION("""COMPUTED_VALUE"""),3.0)</f>
        <v>3</v>
      </c>
      <c r="H436" s="256">
        <f>IFERROR(__xludf.DUMMYFUNCTION("""COMPUTED_VALUE"""),217.65)</f>
        <v>217.65</v>
      </c>
      <c r="I436" s="256">
        <f>IFERROR(__xludf.DUMMYFUNCTION("""COMPUTED_VALUE"""),348.24)</f>
        <v>348.24</v>
      </c>
      <c r="J436" s="257">
        <f t="shared" si="1"/>
        <v>6</v>
      </c>
      <c r="K436" s="253"/>
      <c r="L436" s="253"/>
      <c r="M436" s="275"/>
      <c r="N436" s="258"/>
      <c r="O436" s="259"/>
      <c r="P436" s="259"/>
      <c r="Q436" s="262"/>
      <c r="R436" s="260"/>
      <c r="S436" s="260"/>
      <c r="T436" s="260"/>
      <c r="U436" s="261"/>
      <c r="V436" s="251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</row>
    <row r="437">
      <c r="A437" s="251">
        <f>IFERROR(__xludf.DUMMYFUNCTION("""COMPUTED_VALUE"""),7884622.0)</f>
        <v>7884622</v>
      </c>
      <c r="B437" s="252" t="str">
        <f>IFERROR(__xludf.DUMMYFUNCTION("""COMPUTED_VALUE"""),"BookingCom")</f>
        <v>BookingCom</v>
      </c>
      <c r="C437" s="253" t="str">
        <f>IFERROR(__xludf.DUMMYFUNCTION("""COMPUTED_VALUE"""),"Elodie Girard ")</f>
        <v>Elodie Girard </v>
      </c>
      <c r="D437" s="254">
        <f>IFERROR(__xludf.DUMMYFUNCTION("""COMPUTED_VALUE"""),46155.0)</f>
        <v>46155</v>
      </c>
      <c r="E437" s="251">
        <f>IFERROR(__xludf.DUMMYFUNCTION("""COMPUTED_VALUE"""),46158.0)</f>
        <v>46158</v>
      </c>
      <c r="F437" s="255">
        <f>IFERROR(__xludf.DUMMYFUNCTION("""COMPUTED_VALUE"""),3.0)</f>
        <v>3</v>
      </c>
      <c r="G437" s="255">
        <f>IFERROR(__xludf.DUMMYFUNCTION("""COMPUTED_VALUE"""),2.0)</f>
        <v>2</v>
      </c>
      <c r="H437" s="256">
        <f>IFERROR(__xludf.DUMMYFUNCTION("""COMPUTED_VALUE"""),174.14)</f>
        <v>174.14</v>
      </c>
      <c r="I437" s="256">
        <f>IFERROR(__xludf.DUMMYFUNCTION("""COMPUTED_VALUE"""),417.9359999999999)</f>
        <v>417.936</v>
      </c>
      <c r="J437" s="257">
        <f t="shared" si="1"/>
        <v>6</v>
      </c>
      <c r="K437" s="253"/>
      <c r="L437" s="253"/>
      <c r="M437" s="275"/>
      <c r="N437" s="258"/>
      <c r="O437" s="259"/>
      <c r="P437" s="259"/>
      <c r="Q437" s="262"/>
      <c r="R437" s="260"/>
      <c r="S437" s="260"/>
      <c r="T437" s="260"/>
      <c r="U437" s="261"/>
      <c r="V437" s="251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</row>
    <row r="438">
      <c r="A438" s="251">
        <f>IFERROR(__xludf.DUMMYFUNCTION("""COMPUTED_VALUE"""),7884622.0)</f>
        <v>7884622</v>
      </c>
      <c r="B438" s="252" t="str">
        <f>IFERROR(__xludf.DUMMYFUNCTION("""COMPUTED_VALUE"""),"BookingCom")</f>
        <v>BookingCom</v>
      </c>
      <c r="C438" s="253" t="str">
        <f>IFERROR(__xludf.DUMMYFUNCTION("""COMPUTED_VALUE"""),"Elodie Girard ")</f>
        <v>Elodie Girard </v>
      </c>
      <c r="D438" s="254">
        <f>IFERROR(__xludf.DUMMYFUNCTION("""COMPUTED_VALUE"""),46155.0)</f>
        <v>46155</v>
      </c>
      <c r="E438" s="251">
        <f>IFERROR(__xludf.DUMMYFUNCTION("""COMPUTED_VALUE"""),46158.0)</f>
        <v>46158</v>
      </c>
      <c r="F438" s="255">
        <f>IFERROR(__xludf.DUMMYFUNCTION("""COMPUTED_VALUE"""),3.0)</f>
        <v>3</v>
      </c>
      <c r="G438" s="255">
        <f>IFERROR(__xludf.DUMMYFUNCTION("""COMPUTED_VALUE"""),2.0)</f>
        <v>2</v>
      </c>
      <c r="H438" s="256">
        <f>IFERROR(__xludf.DUMMYFUNCTION("""COMPUTED_VALUE"""),174.14)</f>
        <v>174.14</v>
      </c>
      <c r="I438" s="256">
        <f>IFERROR(__xludf.DUMMYFUNCTION("""COMPUTED_VALUE"""),417.9359999999999)</f>
        <v>417.936</v>
      </c>
      <c r="J438" s="257">
        <f t="shared" si="1"/>
        <v>6</v>
      </c>
      <c r="K438" s="253"/>
      <c r="L438" s="253"/>
      <c r="M438" s="252"/>
      <c r="N438" s="258"/>
      <c r="O438" s="259"/>
      <c r="P438" s="259"/>
      <c r="Q438" s="262"/>
      <c r="R438" s="260"/>
      <c r="S438" s="260"/>
      <c r="T438" s="260"/>
      <c r="U438" s="261"/>
      <c r="V438" s="251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</row>
    <row r="439">
      <c r="A439" s="251">
        <f>IFERROR(__xludf.DUMMYFUNCTION("""COMPUTED_VALUE"""),7988128.0)</f>
        <v>7988128</v>
      </c>
      <c r="B439" s="252" t="str">
        <f>IFERROR(__xludf.DUMMYFUNCTION("""COMPUTED_VALUE"""),"BookingCom")</f>
        <v>BookingCom</v>
      </c>
      <c r="C439" s="253" t="str">
        <f>IFERROR(__xludf.DUMMYFUNCTION("""COMPUTED_VALUE"""),"Alfio Tamburello-Luca ")</f>
        <v>Alfio Tamburello-Luca </v>
      </c>
      <c r="D439" s="254">
        <f>IFERROR(__xludf.DUMMYFUNCTION("""COMPUTED_VALUE"""),46155.0)</f>
        <v>46155</v>
      </c>
      <c r="E439" s="251">
        <f>IFERROR(__xludf.DUMMYFUNCTION("""COMPUTED_VALUE"""),46158.0)</f>
        <v>46158</v>
      </c>
      <c r="F439" s="255">
        <f>IFERROR(__xludf.DUMMYFUNCTION("""COMPUTED_VALUE"""),3.0)</f>
        <v>3</v>
      </c>
      <c r="G439" s="255">
        <f>IFERROR(__xludf.DUMMYFUNCTION("""COMPUTED_VALUE"""),2.0)</f>
        <v>2</v>
      </c>
      <c r="H439" s="256">
        <f>IFERROR(__xludf.DUMMYFUNCTION("""COMPUTED_VALUE"""),267.75)</f>
        <v>267.75</v>
      </c>
      <c r="I439" s="256">
        <f>IFERROR(__xludf.DUMMYFUNCTION("""COMPUTED_VALUE"""),642.6)</f>
        <v>642.6</v>
      </c>
      <c r="J439" s="257">
        <f t="shared" si="1"/>
        <v>6</v>
      </c>
      <c r="K439" s="253"/>
      <c r="L439" s="253"/>
      <c r="M439" s="252"/>
      <c r="N439" s="258"/>
      <c r="O439" s="259"/>
      <c r="P439" s="259"/>
      <c r="Q439" s="262"/>
      <c r="R439" s="260"/>
      <c r="S439" s="260"/>
      <c r="T439" s="260"/>
      <c r="U439" s="261"/>
      <c r="V439" s="251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</row>
    <row r="440">
      <c r="A440" s="251">
        <f>IFERROR(__xludf.DUMMYFUNCTION("""COMPUTED_VALUE"""),7996567.0)</f>
        <v>7996567</v>
      </c>
      <c r="B440" s="252" t="str">
        <f>IFERROR(__xludf.DUMMYFUNCTION("""COMPUTED_VALUE"""),"Reseliva")</f>
        <v>Reseliva</v>
      </c>
      <c r="C440" s="253" t="str">
        <f>IFERROR(__xludf.DUMMYFUNCTION("""COMPUTED_VALUE"""),"Fiona Halliday-Shaw ")</f>
        <v>Fiona Halliday-Shaw </v>
      </c>
      <c r="D440" s="254">
        <f>IFERROR(__xludf.DUMMYFUNCTION("""COMPUTED_VALUE"""),46155.0)</f>
        <v>46155</v>
      </c>
      <c r="E440" s="251">
        <f>IFERROR(__xludf.DUMMYFUNCTION("""COMPUTED_VALUE"""),46156.0)</f>
        <v>46156</v>
      </c>
      <c r="F440" s="255">
        <f>IFERROR(__xludf.DUMMYFUNCTION("""COMPUTED_VALUE"""),1.0)</f>
        <v>1</v>
      </c>
      <c r="G440" s="255">
        <f>IFERROR(__xludf.DUMMYFUNCTION("""COMPUTED_VALUE"""),2.0)</f>
        <v>2</v>
      </c>
      <c r="H440" s="256">
        <f>IFERROR(__xludf.DUMMYFUNCTION("""COMPUTED_VALUE"""),170.82)</f>
        <v>170.82</v>
      </c>
      <c r="I440" s="256">
        <f>IFERROR(__xludf.DUMMYFUNCTION("""COMPUTED_VALUE"""),169.1118)</f>
        <v>169.1118</v>
      </c>
      <c r="J440" s="257">
        <f t="shared" si="1"/>
        <v>2</v>
      </c>
      <c r="K440" s="253"/>
      <c r="L440" s="253"/>
      <c r="M440" s="275"/>
      <c r="N440" s="258"/>
      <c r="O440" s="259"/>
      <c r="P440" s="259"/>
      <c r="Q440" s="262"/>
      <c r="R440" s="260"/>
      <c r="S440" s="260"/>
      <c r="T440" s="260"/>
      <c r="U440" s="261"/>
      <c r="V440" s="251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</row>
    <row r="441">
      <c r="A441" s="251">
        <f>IFERROR(__xludf.DUMMYFUNCTION("""COMPUTED_VALUE"""),8019966.0)</f>
        <v>8019966</v>
      </c>
      <c r="B441" s="252" t="str">
        <f>IFERROR(__xludf.DUMMYFUNCTION("""COMPUTED_VALUE"""),"BookingCom")</f>
        <v>BookingCom</v>
      </c>
      <c r="C441" s="253" t="str">
        <f>IFERROR(__xludf.DUMMYFUNCTION("""COMPUTED_VALUE"""),"Joel Klein ")</f>
        <v>Joel Klein </v>
      </c>
      <c r="D441" s="254">
        <f>IFERROR(__xludf.DUMMYFUNCTION("""COMPUTED_VALUE"""),46156.0)</f>
        <v>46156</v>
      </c>
      <c r="E441" s="251">
        <f>IFERROR(__xludf.DUMMYFUNCTION("""COMPUTED_VALUE"""),46161.0)</f>
        <v>46161</v>
      </c>
      <c r="F441" s="255">
        <f>IFERROR(__xludf.DUMMYFUNCTION("""COMPUTED_VALUE"""),5.0)</f>
        <v>5</v>
      </c>
      <c r="G441" s="255">
        <f>IFERROR(__xludf.DUMMYFUNCTION("""COMPUTED_VALUE"""),2.0)</f>
        <v>2</v>
      </c>
      <c r="H441" s="256">
        <f>IFERROR(__xludf.DUMMYFUNCTION("""COMPUTED_VALUE"""),182.5)</f>
        <v>182.5</v>
      </c>
      <c r="I441" s="256">
        <f>IFERROR(__xludf.DUMMYFUNCTION("""COMPUTED_VALUE"""),730.0)</f>
        <v>730</v>
      </c>
      <c r="J441" s="257">
        <f t="shared" si="1"/>
        <v>10</v>
      </c>
      <c r="K441" s="253"/>
      <c r="L441" s="253"/>
      <c r="M441" s="252"/>
      <c r="N441" s="258"/>
      <c r="O441" s="259"/>
      <c r="P441" s="259"/>
      <c r="Q441" s="262"/>
      <c r="R441" s="260"/>
      <c r="S441" s="260"/>
      <c r="T441" s="260"/>
      <c r="U441" s="261"/>
      <c r="V441" s="251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</row>
    <row r="442">
      <c r="A442" s="251">
        <f>IFERROR(__xludf.DUMMYFUNCTION("""COMPUTED_VALUE"""),8096310.0)</f>
        <v>8096310</v>
      </c>
      <c r="B442" s="252" t="str">
        <f>IFERROR(__xludf.DUMMYFUNCTION("""COMPUTED_VALUE"""),"BookingCom")</f>
        <v>BookingCom</v>
      </c>
      <c r="C442" s="253" t="str">
        <f>IFERROR(__xludf.DUMMYFUNCTION("""COMPUTED_VALUE"""),"Gaillard Marie ")</f>
        <v>Gaillard Marie </v>
      </c>
      <c r="D442" s="254">
        <f>IFERROR(__xludf.DUMMYFUNCTION("""COMPUTED_VALUE"""),46156.0)</f>
        <v>46156</v>
      </c>
      <c r="E442" s="251">
        <f>IFERROR(__xludf.DUMMYFUNCTION("""COMPUTED_VALUE"""),46158.0)</f>
        <v>46158</v>
      </c>
      <c r="F442" s="255">
        <f>IFERROR(__xludf.DUMMYFUNCTION("""COMPUTED_VALUE"""),2.0)</f>
        <v>2</v>
      </c>
      <c r="G442" s="255">
        <f>IFERROR(__xludf.DUMMYFUNCTION("""COMPUTED_VALUE"""),2.0)</f>
        <v>2</v>
      </c>
      <c r="H442" s="256">
        <f>IFERROR(__xludf.DUMMYFUNCTION("""COMPUTED_VALUE"""),210.29)</f>
        <v>210.29</v>
      </c>
      <c r="I442" s="256">
        <f>IFERROR(__xludf.DUMMYFUNCTION("""COMPUTED_VALUE"""),336.464)</f>
        <v>336.464</v>
      </c>
      <c r="J442" s="257">
        <f t="shared" si="1"/>
        <v>4</v>
      </c>
      <c r="K442" s="253"/>
      <c r="L442" s="253"/>
      <c r="M442" s="252"/>
      <c r="N442" s="258"/>
      <c r="O442" s="259"/>
      <c r="P442" s="259"/>
      <c r="Q442" s="262"/>
      <c r="R442" s="260"/>
      <c r="S442" s="260"/>
      <c r="T442" s="260"/>
      <c r="U442" s="261"/>
      <c r="V442" s="251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</row>
    <row r="443">
      <c r="A443" s="251">
        <f>IFERROR(__xludf.DUMMYFUNCTION("""COMPUTED_VALUE"""),7380562.0)</f>
        <v>7380562</v>
      </c>
      <c r="B443" s="252" t="str">
        <f>IFERROR(__xludf.DUMMYFUNCTION("""COMPUTED_VALUE"""),"HotelBeds")</f>
        <v>HotelBeds</v>
      </c>
      <c r="C443" s="253" t="str">
        <f>IFERROR(__xludf.DUMMYFUNCTION("""COMPUTED_VALUE"""),"FIONA HALLIDAY SHAW ")</f>
        <v>FIONA HALLIDAY SHAW </v>
      </c>
      <c r="D443" s="254">
        <f>IFERROR(__xludf.DUMMYFUNCTION("""COMPUTED_VALUE"""),46156.0)</f>
        <v>46156</v>
      </c>
      <c r="E443" s="251">
        <f>IFERROR(__xludf.DUMMYFUNCTION("""COMPUTED_VALUE"""),46157.0)</f>
        <v>46157</v>
      </c>
      <c r="F443" s="255">
        <f>IFERROR(__xludf.DUMMYFUNCTION("""COMPUTED_VALUE"""),1.0)</f>
        <v>1</v>
      </c>
      <c r="G443" s="255">
        <f>IFERROR(__xludf.DUMMYFUNCTION("""COMPUTED_VALUE"""),2.0)</f>
        <v>2</v>
      </c>
      <c r="H443" s="256">
        <f>IFERROR(__xludf.DUMMYFUNCTION("""COMPUTED_VALUE"""),194.4)</f>
        <v>194.4</v>
      </c>
      <c r="I443" s="256">
        <f>IFERROR(__xludf.DUMMYFUNCTION("""COMPUTED_VALUE"""),155.52)</f>
        <v>155.52</v>
      </c>
      <c r="J443" s="257">
        <f t="shared" si="1"/>
        <v>2</v>
      </c>
      <c r="K443" s="253"/>
      <c r="L443" s="253"/>
      <c r="M443" s="275"/>
      <c r="N443" s="258"/>
      <c r="O443" s="259"/>
      <c r="P443" s="259"/>
      <c r="Q443" s="262"/>
      <c r="R443" s="260"/>
      <c r="S443" s="260"/>
      <c r="T443" s="260"/>
      <c r="U443" s="261"/>
      <c r="V443" s="251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</row>
    <row r="444">
      <c r="A444" s="251">
        <f>IFERROR(__xludf.DUMMYFUNCTION("""COMPUTED_VALUE"""),8196501.0)</f>
        <v>8196501</v>
      </c>
      <c r="B444" s="252" t="str">
        <f>IFERROR(__xludf.DUMMYFUNCTION("""COMPUTED_VALUE"""),"BookingCom")</f>
        <v>BookingCom</v>
      </c>
      <c r="C444" s="253" t="str">
        <f>IFERROR(__xludf.DUMMYFUNCTION("""COMPUTED_VALUE"""),"Vivien Leuschner ")</f>
        <v>Vivien Leuschner </v>
      </c>
      <c r="D444" s="254">
        <f>IFERROR(__xludf.DUMMYFUNCTION("""COMPUTED_VALUE"""),46157.0)</f>
        <v>46157</v>
      </c>
      <c r="E444" s="251">
        <f>IFERROR(__xludf.DUMMYFUNCTION("""COMPUTED_VALUE"""),46160.0)</f>
        <v>46160</v>
      </c>
      <c r="F444" s="255">
        <f>IFERROR(__xludf.DUMMYFUNCTION("""COMPUTED_VALUE"""),3.0)</f>
        <v>3</v>
      </c>
      <c r="G444" s="255">
        <f>IFERROR(__xludf.DUMMYFUNCTION("""COMPUTED_VALUE"""),2.0)</f>
        <v>2</v>
      </c>
      <c r="H444" s="256">
        <f>IFERROR(__xludf.DUMMYFUNCTION("""COMPUTED_VALUE"""),143.28)</f>
        <v>143.28</v>
      </c>
      <c r="I444" s="256">
        <f>IFERROR(__xludf.DUMMYFUNCTION("""COMPUTED_VALUE"""),343.872)</f>
        <v>343.872</v>
      </c>
      <c r="J444" s="257">
        <f t="shared" si="1"/>
        <v>6</v>
      </c>
      <c r="K444" s="253"/>
      <c r="L444" s="253"/>
      <c r="M444" s="275"/>
      <c r="N444" s="258"/>
      <c r="O444" s="259"/>
      <c r="P444" s="259"/>
      <c r="Q444" s="262"/>
      <c r="R444" s="260"/>
      <c r="S444" s="260"/>
      <c r="T444" s="260"/>
      <c r="U444" s="261"/>
      <c r="V444" s="251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</row>
    <row r="445">
      <c r="A445" s="251">
        <f>IFERROR(__xludf.DUMMYFUNCTION("""COMPUTED_VALUE"""),7704717.0)</f>
        <v>7704717</v>
      </c>
      <c r="B445" s="252" t="str">
        <f>IFERROR(__xludf.DUMMYFUNCTION("""COMPUTED_VALUE"""),"BookingCom")</f>
        <v>BookingCom</v>
      </c>
      <c r="C445" s="253" t="str">
        <f>IFERROR(__xludf.DUMMYFUNCTION("""COMPUTED_VALUE"""),"Soufiane Laaouina ")</f>
        <v>Soufiane Laaouina </v>
      </c>
      <c r="D445" s="254">
        <f>IFERROR(__xludf.DUMMYFUNCTION("""COMPUTED_VALUE"""),46158.0)</f>
        <v>46158</v>
      </c>
      <c r="E445" s="251">
        <f>IFERROR(__xludf.DUMMYFUNCTION("""COMPUTED_VALUE"""),46159.0)</f>
        <v>46159</v>
      </c>
      <c r="F445" s="255">
        <f>IFERROR(__xludf.DUMMYFUNCTION("""COMPUTED_VALUE"""),1.0)</f>
        <v>1</v>
      </c>
      <c r="G445" s="255">
        <f>IFERROR(__xludf.DUMMYFUNCTION("""COMPUTED_VALUE"""),2.0)</f>
        <v>2</v>
      </c>
      <c r="H445" s="256">
        <f>IFERROR(__xludf.DUMMYFUNCTION("""COMPUTED_VALUE"""),160.44)</f>
        <v>160.44</v>
      </c>
      <c r="I445" s="256">
        <f>IFERROR(__xludf.DUMMYFUNCTION("""COMPUTED_VALUE"""),128.352)</f>
        <v>128.352</v>
      </c>
      <c r="J445" s="257">
        <f t="shared" si="1"/>
        <v>2</v>
      </c>
      <c r="K445" s="253"/>
      <c r="L445" s="253"/>
      <c r="M445" s="252"/>
      <c r="N445" s="258"/>
      <c r="O445" s="259"/>
      <c r="P445" s="259"/>
      <c r="Q445" s="257"/>
      <c r="R445" s="260"/>
      <c r="S445" s="260"/>
      <c r="T445" s="260"/>
      <c r="U445" s="261"/>
      <c r="V445" s="251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</row>
    <row r="446">
      <c r="A446" s="251">
        <f>IFERROR(__xludf.DUMMYFUNCTION("""COMPUTED_VALUE"""),8058032.0)</f>
        <v>8058032</v>
      </c>
      <c r="B446" s="252" t="str">
        <f>IFERROR(__xludf.DUMMYFUNCTION("""COMPUTED_VALUE"""),"BookingCom")</f>
        <v>BookingCom</v>
      </c>
      <c r="C446" s="253" t="str">
        <f>IFERROR(__xludf.DUMMYFUNCTION("""COMPUTED_VALUE"""),"Nico Hop ")</f>
        <v>Nico Hop </v>
      </c>
      <c r="D446" s="254">
        <f>IFERROR(__xludf.DUMMYFUNCTION("""COMPUTED_VALUE"""),46158.0)</f>
        <v>46158</v>
      </c>
      <c r="E446" s="251">
        <f>IFERROR(__xludf.DUMMYFUNCTION("""COMPUTED_VALUE"""),46161.0)</f>
        <v>46161</v>
      </c>
      <c r="F446" s="255">
        <f>IFERROR(__xludf.DUMMYFUNCTION("""COMPUTED_VALUE"""),3.0)</f>
        <v>3</v>
      </c>
      <c r="G446" s="255">
        <f>IFERROR(__xludf.DUMMYFUNCTION("""COMPUTED_VALUE"""),2.0)</f>
        <v>2</v>
      </c>
      <c r="H446" s="256">
        <f>IFERROR(__xludf.DUMMYFUNCTION("""COMPUTED_VALUE"""),183.6)</f>
        <v>183.6</v>
      </c>
      <c r="I446" s="256">
        <f>IFERROR(__xludf.DUMMYFUNCTION("""COMPUTED_VALUE"""),440.64)</f>
        <v>440.64</v>
      </c>
      <c r="J446" s="257">
        <f t="shared" si="1"/>
        <v>6</v>
      </c>
      <c r="K446" s="253"/>
      <c r="L446" s="253"/>
      <c r="M446" s="252"/>
      <c r="N446" s="258"/>
      <c r="O446" s="259"/>
      <c r="P446" s="259"/>
      <c r="Q446" s="262"/>
      <c r="R446" s="260"/>
      <c r="S446" s="260"/>
      <c r="T446" s="260"/>
      <c r="U446" s="261"/>
      <c r="V446" s="251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</row>
    <row r="447">
      <c r="A447" s="251">
        <f>IFERROR(__xludf.DUMMYFUNCTION("""COMPUTED_VALUE"""),8058032.0)</f>
        <v>8058032</v>
      </c>
      <c r="B447" s="252" t="str">
        <f>IFERROR(__xludf.DUMMYFUNCTION("""COMPUTED_VALUE"""),"BookingCom")</f>
        <v>BookingCom</v>
      </c>
      <c r="C447" s="253" t="str">
        <f>IFERROR(__xludf.DUMMYFUNCTION("""COMPUTED_VALUE"""),"Nico Hop ")</f>
        <v>Nico Hop </v>
      </c>
      <c r="D447" s="254">
        <f>IFERROR(__xludf.DUMMYFUNCTION("""COMPUTED_VALUE"""),46158.0)</f>
        <v>46158</v>
      </c>
      <c r="E447" s="251">
        <f>IFERROR(__xludf.DUMMYFUNCTION("""COMPUTED_VALUE"""),46161.0)</f>
        <v>46161</v>
      </c>
      <c r="F447" s="255">
        <f>IFERROR(__xludf.DUMMYFUNCTION("""COMPUTED_VALUE"""),3.0)</f>
        <v>3</v>
      </c>
      <c r="G447" s="255">
        <f>IFERROR(__xludf.DUMMYFUNCTION("""COMPUTED_VALUE"""),2.0)</f>
        <v>2</v>
      </c>
      <c r="H447" s="256">
        <f>IFERROR(__xludf.DUMMYFUNCTION("""COMPUTED_VALUE"""),163.04)</f>
        <v>163.04</v>
      </c>
      <c r="I447" s="256">
        <f>IFERROR(__xludf.DUMMYFUNCTION("""COMPUTED_VALUE"""),391.29599999999994)</f>
        <v>391.296</v>
      </c>
      <c r="J447" s="257">
        <f t="shared" si="1"/>
        <v>6</v>
      </c>
      <c r="K447" s="253"/>
      <c r="L447" s="253"/>
      <c r="M447" s="252"/>
      <c r="N447" s="258"/>
      <c r="O447" s="259"/>
      <c r="P447" s="259"/>
      <c r="Q447" s="262"/>
      <c r="R447" s="260"/>
      <c r="S447" s="260"/>
      <c r="T447" s="260"/>
      <c r="U447" s="261"/>
      <c r="V447" s="251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</row>
    <row r="448">
      <c r="A448" s="251">
        <f>IFERROR(__xludf.DUMMYFUNCTION("""COMPUTED_VALUE"""),8058032.0)</f>
        <v>8058032</v>
      </c>
      <c r="B448" s="252" t="str">
        <f>IFERROR(__xludf.DUMMYFUNCTION("""COMPUTED_VALUE"""),"BookingCom")</f>
        <v>BookingCom</v>
      </c>
      <c r="C448" s="253" t="str">
        <f>IFERROR(__xludf.DUMMYFUNCTION("""COMPUTED_VALUE"""),"Nico Hop ")</f>
        <v>Nico Hop </v>
      </c>
      <c r="D448" s="254">
        <f>IFERROR(__xludf.DUMMYFUNCTION("""COMPUTED_VALUE"""),46158.0)</f>
        <v>46158</v>
      </c>
      <c r="E448" s="251">
        <f>IFERROR(__xludf.DUMMYFUNCTION("""COMPUTED_VALUE"""),46161.0)</f>
        <v>46161</v>
      </c>
      <c r="F448" s="255">
        <f>IFERROR(__xludf.DUMMYFUNCTION("""COMPUTED_VALUE"""),3.0)</f>
        <v>3</v>
      </c>
      <c r="G448" s="255">
        <f>IFERROR(__xludf.DUMMYFUNCTION("""COMPUTED_VALUE"""),2.0)</f>
        <v>2</v>
      </c>
      <c r="H448" s="256">
        <f>IFERROR(__xludf.DUMMYFUNCTION("""COMPUTED_VALUE"""),163.04)</f>
        <v>163.04</v>
      </c>
      <c r="I448" s="256">
        <f>IFERROR(__xludf.DUMMYFUNCTION("""COMPUTED_VALUE"""),391.29599999999994)</f>
        <v>391.296</v>
      </c>
      <c r="J448" s="257">
        <f t="shared" si="1"/>
        <v>6</v>
      </c>
      <c r="K448" s="253"/>
      <c r="L448" s="253"/>
      <c r="M448" s="252"/>
      <c r="N448" s="258"/>
      <c r="O448" s="259"/>
      <c r="P448" s="259"/>
      <c r="Q448" s="262"/>
      <c r="R448" s="260"/>
      <c r="S448" s="260"/>
      <c r="T448" s="260"/>
      <c r="U448" s="261"/>
      <c r="V448" s="251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</row>
    <row r="449">
      <c r="A449" s="251">
        <f>IFERROR(__xludf.DUMMYFUNCTION("""COMPUTED_VALUE"""),8058032.0)</f>
        <v>8058032</v>
      </c>
      <c r="B449" s="252" t="str">
        <f>IFERROR(__xludf.DUMMYFUNCTION("""COMPUTED_VALUE"""),"BookingCom")</f>
        <v>BookingCom</v>
      </c>
      <c r="C449" s="253" t="str">
        <f>IFERROR(__xludf.DUMMYFUNCTION("""COMPUTED_VALUE"""),"Nico Hop ")</f>
        <v>Nico Hop </v>
      </c>
      <c r="D449" s="254">
        <f>IFERROR(__xludf.DUMMYFUNCTION("""COMPUTED_VALUE"""),46158.0)</f>
        <v>46158</v>
      </c>
      <c r="E449" s="251">
        <f>IFERROR(__xludf.DUMMYFUNCTION("""COMPUTED_VALUE"""),46161.0)</f>
        <v>46161</v>
      </c>
      <c r="F449" s="255">
        <f>IFERROR(__xludf.DUMMYFUNCTION("""COMPUTED_VALUE"""),3.0)</f>
        <v>3</v>
      </c>
      <c r="G449" s="255">
        <f>IFERROR(__xludf.DUMMYFUNCTION("""COMPUTED_VALUE"""),2.0)</f>
        <v>2</v>
      </c>
      <c r="H449" s="256">
        <f>IFERROR(__xludf.DUMMYFUNCTION("""COMPUTED_VALUE"""),163.04)</f>
        <v>163.04</v>
      </c>
      <c r="I449" s="256">
        <f>IFERROR(__xludf.DUMMYFUNCTION("""COMPUTED_VALUE"""),391.29599999999994)</f>
        <v>391.296</v>
      </c>
      <c r="J449" s="257">
        <f t="shared" si="1"/>
        <v>6</v>
      </c>
      <c r="K449" s="253"/>
      <c r="L449" s="253"/>
      <c r="M449" s="252"/>
      <c r="N449" s="258"/>
      <c r="O449" s="259"/>
      <c r="P449" s="259"/>
      <c r="Q449" s="262"/>
      <c r="R449" s="260"/>
      <c r="S449" s="260"/>
      <c r="T449" s="260"/>
      <c r="U449" s="261"/>
      <c r="V449" s="251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</row>
    <row r="450">
      <c r="A450" s="251">
        <f>IFERROR(__xludf.DUMMYFUNCTION("""COMPUTED_VALUE"""),7891759.0)</f>
        <v>7891759</v>
      </c>
      <c r="B450" s="252" t="str">
        <f>IFERROR(__xludf.DUMMYFUNCTION("""COMPUTED_VALUE"""),"BookingCom")</f>
        <v>BookingCom</v>
      </c>
      <c r="C450" s="253" t="str">
        <f>IFERROR(__xludf.DUMMYFUNCTION("""COMPUTED_VALUE"""),"Alejandra Campos ")</f>
        <v>Alejandra Campos </v>
      </c>
      <c r="D450" s="254">
        <f>IFERROR(__xludf.DUMMYFUNCTION("""COMPUTED_VALUE"""),46159.0)</f>
        <v>46159</v>
      </c>
      <c r="E450" s="251">
        <f>IFERROR(__xludf.DUMMYFUNCTION("""COMPUTED_VALUE"""),46161.0)</f>
        <v>46161</v>
      </c>
      <c r="F450" s="255">
        <f>IFERROR(__xludf.DUMMYFUNCTION("""COMPUTED_VALUE"""),2.0)</f>
        <v>2</v>
      </c>
      <c r="G450" s="255">
        <f>IFERROR(__xludf.DUMMYFUNCTION("""COMPUTED_VALUE"""),3.0)</f>
        <v>3</v>
      </c>
      <c r="H450" s="256">
        <f>IFERROR(__xludf.DUMMYFUNCTION("""COMPUTED_VALUE"""),156.92)</f>
        <v>156.92</v>
      </c>
      <c r="I450" s="256">
        <f>IFERROR(__xludf.DUMMYFUNCTION("""COMPUTED_VALUE"""),251.072)</f>
        <v>251.072</v>
      </c>
      <c r="J450" s="257">
        <f t="shared" si="1"/>
        <v>6</v>
      </c>
      <c r="K450" s="253"/>
      <c r="L450" s="253"/>
      <c r="M450" s="252"/>
      <c r="N450" s="258"/>
      <c r="O450" s="259"/>
      <c r="P450" s="259"/>
      <c r="Q450" s="257"/>
      <c r="R450" s="260"/>
      <c r="S450" s="260"/>
      <c r="T450" s="260"/>
      <c r="U450" s="261"/>
      <c r="V450" s="251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</row>
    <row r="451">
      <c r="A451" s="251">
        <f>IFERROR(__xludf.DUMMYFUNCTION("""COMPUTED_VALUE"""),7903808.0)</f>
        <v>7903808</v>
      </c>
      <c r="B451" s="252" t="str">
        <f>IFERROR(__xludf.DUMMYFUNCTION("""COMPUTED_VALUE"""),"Expedia Affiliate Network")</f>
        <v>Expedia Affiliate Network</v>
      </c>
      <c r="C451" s="253" t="str">
        <f>IFERROR(__xludf.DUMMYFUNCTION("""COMPUTED_VALUE"""),"NADINE MASSARD ")</f>
        <v>NADINE MASSARD </v>
      </c>
      <c r="D451" s="254">
        <f>IFERROR(__xludf.DUMMYFUNCTION("""COMPUTED_VALUE"""),46160.0)</f>
        <v>46160</v>
      </c>
      <c r="E451" s="251">
        <f>IFERROR(__xludf.DUMMYFUNCTION("""COMPUTED_VALUE"""),46163.0)</f>
        <v>46163</v>
      </c>
      <c r="F451" s="255">
        <f>IFERROR(__xludf.DUMMYFUNCTION("""COMPUTED_VALUE"""),3.0)</f>
        <v>3</v>
      </c>
      <c r="G451" s="255">
        <f>IFERROR(__xludf.DUMMYFUNCTION("""COMPUTED_VALUE"""),2.0)</f>
        <v>2</v>
      </c>
      <c r="H451" s="256">
        <f>IFERROR(__xludf.DUMMYFUNCTION("""COMPUTED_VALUE"""),0.0)</f>
        <v>0</v>
      </c>
      <c r="I451" s="256">
        <f>IFERROR(__xludf.DUMMYFUNCTION("""COMPUTED_VALUE"""),0.0)</f>
        <v>0</v>
      </c>
      <c r="J451" s="257">
        <f t="shared" si="1"/>
        <v>6</v>
      </c>
      <c r="K451" s="253"/>
      <c r="L451" s="253"/>
      <c r="M451" s="252"/>
      <c r="N451" s="258"/>
      <c r="O451" s="259"/>
      <c r="P451" s="259"/>
      <c r="Q451" s="262"/>
      <c r="R451" s="260"/>
      <c r="S451" s="260"/>
      <c r="T451" s="260"/>
      <c r="U451" s="261"/>
      <c r="V451" s="251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</row>
    <row r="452">
      <c r="A452" s="251">
        <f>IFERROR(__xludf.DUMMYFUNCTION("""COMPUTED_VALUE"""),7823644.0)</f>
        <v>7823644</v>
      </c>
      <c r="B452" s="252" t="str">
        <f>IFERROR(__xludf.DUMMYFUNCTION("""COMPUTED_VALUE"""),"BookingCom")</f>
        <v>BookingCom</v>
      </c>
      <c r="C452" s="253" t="str">
        <f>IFERROR(__xludf.DUMMYFUNCTION("""COMPUTED_VALUE"""),"Laura Marcel ")</f>
        <v>Laura Marcel </v>
      </c>
      <c r="D452" s="254">
        <f>IFERROR(__xludf.DUMMYFUNCTION("""COMPUTED_VALUE"""),46163.0)</f>
        <v>46163</v>
      </c>
      <c r="E452" s="251">
        <f>IFERROR(__xludf.DUMMYFUNCTION("""COMPUTED_VALUE"""),46166.0)</f>
        <v>46166</v>
      </c>
      <c r="F452" s="255">
        <f>IFERROR(__xludf.DUMMYFUNCTION("""COMPUTED_VALUE"""),3.0)</f>
        <v>3</v>
      </c>
      <c r="G452" s="255">
        <f>IFERROR(__xludf.DUMMYFUNCTION("""COMPUTED_VALUE"""),2.0)</f>
        <v>2</v>
      </c>
      <c r="H452" s="256">
        <f>IFERROR(__xludf.DUMMYFUNCTION("""COMPUTED_VALUE"""),155.74)</f>
        <v>155.74</v>
      </c>
      <c r="I452" s="256">
        <f>IFERROR(__xludf.DUMMYFUNCTION("""COMPUTED_VALUE"""),373.77600000000007)</f>
        <v>373.776</v>
      </c>
      <c r="J452" s="257">
        <f t="shared" si="1"/>
        <v>6</v>
      </c>
      <c r="K452" s="253"/>
      <c r="L452" s="253"/>
      <c r="M452" s="275"/>
      <c r="N452" s="258"/>
      <c r="O452" s="259"/>
      <c r="P452" s="259"/>
      <c r="Q452" s="262"/>
      <c r="R452" s="260"/>
      <c r="S452" s="260"/>
      <c r="T452" s="260"/>
      <c r="U452" s="261"/>
      <c r="V452" s="251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</row>
    <row r="453">
      <c r="A453" s="251">
        <f>IFERROR(__xludf.DUMMYFUNCTION("""COMPUTED_VALUE"""),7827828.0)</f>
        <v>7827828</v>
      </c>
      <c r="B453" s="252" t="str">
        <f>IFERROR(__xludf.DUMMYFUNCTION("""COMPUTED_VALUE"""),"Reseliva Pannel")</f>
        <v>Reseliva Pannel</v>
      </c>
      <c r="C453" s="253" t="str">
        <f>IFERROR(__xludf.DUMMYFUNCTION("""COMPUTED_VALUE"""),"Yosu Figueras Ayucar ")</f>
        <v>Yosu Figueras Ayucar </v>
      </c>
      <c r="D453" s="254">
        <f>IFERROR(__xludf.DUMMYFUNCTION("""COMPUTED_VALUE"""),46163.0)</f>
        <v>46163</v>
      </c>
      <c r="E453" s="251">
        <f>IFERROR(__xludf.DUMMYFUNCTION("""COMPUTED_VALUE"""),46166.0)</f>
        <v>46166</v>
      </c>
      <c r="F453" s="255">
        <f>IFERROR(__xludf.DUMMYFUNCTION("""COMPUTED_VALUE"""),3.0)</f>
        <v>3</v>
      </c>
      <c r="G453" s="255">
        <f>IFERROR(__xludf.DUMMYFUNCTION("""COMPUTED_VALUE"""),2.0)</f>
        <v>2</v>
      </c>
      <c r="H453" s="256">
        <f>IFERROR(__xludf.DUMMYFUNCTION("""COMPUTED_VALUE"""),210.24)</f>
        <v>210.24</v>
      </c>
      <c r="I453" s="256">
        <f>IFERROR(__xludf.DUMMYFUNCTION("""COMPUTED_VALUE"""),630.72)</f>
        <v>630.72</v>
      </c>
      <c r="J453" s="257">
        <f t="shared" si="1"/>
        <v>6</v>
      </c>
      <c r="K453" s="253"/>
      <c r="L453" s="253"/>
      <c r="M453" s="275"/>
      <c r="N453" s="258"/>
      <c r="O453" s="259"/>
      <c r="P453" s="259"/>
      <c r="Q453" s="262"/>
      <c r="R453" s="260"/>
      <c r="S453" s="260"/>
      <c r="T453" s="273"/>
      <c r="U453" s="274"/>
      <c r="V453" s="263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</row>
    <row r="454">
      <c r="A454" s="251">
        <f>IFERROR(__xludf.DUMMYFUNCTION("""COMPUTED_VALUE"""),7827828.0)</f>
        <v>7827828</v>
      </c>
      <c r="B454" s="252" t="str">
        <f>IFERROR(__xludf.DUMMYFUNCTION("""COMPUTED_VALUE"""),"Reseliva Pannel")</f>
        <v>Reseliva Pannel</v>
      </c>
      <c r="C454" s="253" t="str">
        <f>IFERROR(__xludf.DUMMYFUNCTION("""COMPUTED_VALUE"""),"Yosu Figueras Ayucar ")</f>
        <v>Yosu Figueras Ayucar </v>
      </c>
      <c r="D454" s="254">
        <f>IFERROR(__xludf.DUMMYFUNCTION("""COMPUTED_VALUE"""),46163.0)</f>
        <v>46163</v>
      </c>
      <c r="E454" s="251">
        <f>IFERROR(__xludf.DUMMYFUNCTION("""COMPUTED_VALUE"""),46166.0)</f>
        <v>46166</v>
      </c>
      <c r="F454" s="255">
        <f>IFERROR(__xludf.DUMMYFUNCTION("""COMPUTED_VALUE"""),3.0)</f>
        <v>3</v>
      </c>
      <c r="G454" s="255">
        <f>IFERROR(__xludf.DUMMYFUNCTION("""COMPUTED_VALUE"""),2.0)</f>
        <v>2</v>
      </c>
      <c r="H454" s="256">
        <f>IFERROR(__xludf.DUMMYFUNCTION("""COMPUTED_VALUE"""),239.76)</f>
        <v>239.76</v>
      </c>
      <c r="I454" s="256">
        <f>IFERROR(__xludf.DUMMYFUNCTION("""COMPUTED_VALUE"""),719.28)</f>
        <v>719.28</v>
      </c>
      <c r="J454" s="257">
        <f t="shared" si="1"/>
        <v>6</v>
      </c>
      <c r="K454" s="253"/>
      <c r="L454" s="253"/>
      <c r="M454" s="252"/>
      <c r="N454" s="258"/>
      <c r="O454" s="259"/>
      <c r="P454" s="259"/>
      <c r="Q454" s="257"/>
      <c r="R454" s="260"/>
      <c r="S454" s="260"/>
      <c r="T454" s="260"/>
      <c r="U454" s="261"/>
      <c r="V454" s="251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</row>
    <row r="455">
      <c r="A455" s="251">
        <f>IFERROR(__xludf.DUMMYFUNCTION("""COMPUTED_VALUE"""),7827828.0)</f>
        <v>7827828</v>
      </c>
      <c r="B455" s="252" t="str">
        <f>IFERROR(__xludf.DUMMYFUNCTION("""COMPUTED_VALUE"""),"Reseliva Pannel")</f>
        <v>Reseliva Pannel</v>
      </c>
      <c r="C455" s="253" t="str">
        <f>IFERROR(__xludf.DUMMYFUNCTION("""COMPUTED_VALUE"""),"Yosu Figueras Ayucar ")</f>
        <v>Yosu Figueras Ayucar </v>
      </c>
      <c r="D455" s="254">
        <f>IFERROR(__xludf.DUMMYFUNCTION("""COMPUTED_VALUE"""),46163.0)</f>
        <v>46163</v>
      </c>
      <c r="E455" s="251">
        <f>IFERROR(__xludf.DUMMYFUNCTION("""COMPUTED_VALUE"""),46166.0)</f>
        <v>46166</v>
      </c>
      <c r="F455" s="255">
        <f>IFERROR(__xludf.DUMMYFUNCTION("""COMPUTED_VALUE"""),3.0)</f>
        <v>3</v>
      </c>
      <c r="G455" s="255">
        <f>IFERROR(__xludf.DUMMYFUNCTION("""COMPUTED_VALUE"""),2.0)</f>
        <v>2</v>
      </c>
      <c r="H455" s="256">
        <f>IFERROR(__xludf.DUMMYFUNCTION("""COMPUTED_VALUE"""),239.76)</f>
        <v>239.76</v>
      </c>
      <c r="I455" s="256">
        <f>IFERROR(__xludf.DUMMYFUNCTION("""COMPUTED_VALUE"""),719.28)</f>
        <v>719.28</v>
      </c>
      <c r="J455" s="257">
        <f t="shared" si="1"/>
        <v>6</v>
      </c>
      <c r="K455" s="253"/>
      <c r="L455" s="253"/>
      <c r="M455" s="275"/>
      <c r="N455" s="258"/>
      <c r="O455" s="259"/>
      <c r="P455" s="259"/>
      <c r="Q455" s="262"/>
      <c r="R455" s="260"/>
      <c r="S455" s="260"/>
      <c r="T455" s="260"/>
      <c r="U455" s="261"/>
      <c r="V455" s="251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</row>
    <row r="456">
      <c r="A456" s="251">
        <f>IFERROR(__xludf.DUMMYFUNCTION("""COMPUTED_VALUE"""),7827828.0)</f>
        <v>7827828</v>
      </c>
      <c r="B456" s="252" t="str">
        <f>IFERROR(__xludf.DUMMYFUNCTION("""COMPUTED_VALUE"""),"Reseliva Pannel")</f>
        <v>Reseliva Pannel</v>
      </c>
      <c r="C456" s="253" t="str">
        <f>IFERROR(__xludf.DUMMYFUNCTION("""COMPUTED_VALUE"""),"Yosu Figueras Ayucar ")</f>
        <v>Yosu Figueras Ayucar </v>
      </c>
      <c r="D456" s="254">
        <f>IFERROR(__xludf.DUMMYFUNCTION("""COMPUTED_VALUE"""),46163.0)</f>
        <v>46163</v>
      </c>
      <c r="E456" s="251">
        <f>IFERROR(__xludf.DUMMYFUNCTION("""COMPUTED_VALUE"""),46166.0)</f>
        <v>46166</v>
      </c>
      <c r="F456" s="255">
        <f>IFERROR(__xludf.DUMMYFUNCTION("""COMPUTED_VALUE"""),3.0)</f>
        <v>3</v>
      </c>
      <c r="G456" s="255">
        <f>IFERROR(__xludf.DUMMYFUNCTION("""COMPUTED_VALUE"""),2.0)</f>
        <v>2</v>
      </c>
      <c r="H456" s="256">
        <f>IFERROR(__xludf.DUMMYFUNCTION("""COMPUTED_VALUE"""),239.76)</f>
        <v>239.76</v>
      </c>
      <c r="I456" s="256">
        <f>IFERROR(__xludf.DUMMYFUNCTION("""COMPUTED_VALUE"""),719.28)</f>
        <v>719.28</v>
      </c>
      <c r="J456" s="257">
        <f t="shared" si="1"/>
        <v>6</v>
      </c>
      <c r="K456" s="253"/>
      <c r="L456" s="253"/>
      <c r="M456" s="252"/>
      <c r="N456" s="258"/>
      <c r="O456" s="259"/>
      <c r="P456" s="259"/>
      <c r="Q456" s="262"/>
      <c r="R456" s="260"/>
      <c r="S456" s="260"/>
      <c r="T456" s="260"/>
      <c r="U456" s="261"/>
      <c r="V456" s="251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</row>
    <row r="457">
      <c r="A457" s="251">
        <f>IFERROR(__xludf.DUMMYFUNCTION("""COMPUTED_VALUE"""),7827828.0)</f>
        <v>7827828</v>
      </c>
      <c r="B457" s="252" t="str">
        <f>IFERROR(__xludf.DUMMYFUNCTION("""COMPUTED_VALUE"""),"Reseliva Pannel")</f>
        <v>Reseliva Pannel</v>
      </c>
      <c r="C457" s="253" t="str">
        <f>IFERROR(__xludf.DUMMYFUNCTION("""COMPUTED_VALUE"""),"Yosu Figueras Ayucar ")</f>
        <v>Yosu Figueras Ayucar </v>
      </c>
      <c r="D457" s="254">
        <f>IFERROR(__xludf.DUMMYFUNCTION("""COMPUTED_VALUE"""),46163.0)</f>
        <v>46163</v>
      </c>
      <c r="E457" s="251">
        <f>IFERROR(__xludf.DUMMYFUNCTION("""COMPUTED_VALUE"""),46166.0)</f>
        <v>46166</v>
      </c>
      <c r="F457" s="255">
        <f>IFERROR(__xludf.DUMMYFUNCTION("""COMPUTED_VALUE"""),3.0)</f>
        <v>3</v>
      </c>
      <c r="G457" s="255">
        <f>IFERROR(__xludf.DUMMYFUNCTION("""COMPUTED_VALUE"""),2.0)</f>
        <v>2</v>
      </c>
      <c r="H457" s="256">
        <f>IFERROR(__xludf.DUMMYFUNCTION("""COMPUTED_VALUE"""),270.0)</f>
        <v>270</v>
      </c>
      <c r="I457" s="256">
        <f>IFERROR(__xludf.DUMMYFUNCTION("""COMPUTED_VALUE"""),810.0)</f>
        <v>810</v>
      </c>
      <c r="J457" s="257">
        <f t="shared" si="1"/>
        <v>6</v>
      </c>
      <c r="K457" s="253"/>
      <c r="L457" s="253"/>
      <c r="M457" s="275"/>
      <c r="N457" s="258"/>
      <c r="O457" s="259"/>
      <c r="P457" s="259"/>
      <c r="Q457" s="262"/>
      <c r="R457" s="260"/>
      <c r="S457" s="260"/>
      <c r="T457" s="260"/>
      <c r="U457" s="261"/>
      <c r="V457" s="251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</row>
    <row r="458">
      <c r="A458" s="251">
        <f>IFERROR(__xludf.DUMMYFUNCTION("""COMPUTED_VALUE"""),7827828.0)</f>
        <v>7827828</v>
      </c>
      <c r="B458" s="252" t="str">
        <f>IFERROR(__xludf.DUMMYFUNCTION("""COMPUTED_VALUE"""),"Reseliva Pannel")</f>
        <v>Reseliva Pannel</v>
      </c>
      <c r="C458" s="253" t="str">
        <f>IFERROR(__xludf.DUMMYFUNCTION("""COMPUTED_VALUE"""),"Yosu Figueras Ayucar ")</f>
        <v>Yosu Figueras Ayucar </v>
      </c>
      <c r="D458" s="254">
        <f>IFERROR(__xludf.DUMMYFUNCTION("""COMPUTED_VALUE"""),46163.0)</f>
        <v>46163</v>
      </c>
      <c r="E458" s="251">
        <f>IFERROR(__xludf.DUMMYFUNCTION("""COMPUTED_VALUE"""),46166.0)</f>
        <v>46166</v>
      </c>
      <c r="F458" s="255">
        <f>IFERROR(__xludf.DUMMYFUNCTION("""COMPUTED_VALUE"""),3.0)</f>
        <v>3</v>
      </c>
      <c r="G458" s="255">
        <f>IFERROR(__xludf.DUMMYFUNCTION("""COMPUTED_VALUE"""),2.0)</f>
        <v>2</v>
      </c>
      <c r="H458" s="256">
        <f>IFERROR(__xludf.DUMMYFUNCTION("""COMPUTED_VALUE"""),270.0)</f>
        <v>270</v>
      </c>
      <c r="I458" s="256">
        <f>IFERROR(__xludf.DUMMYFUNCTION("""COMPUTED_VALUE"""),810.0)</f>
        <v>810</v>
      </c>
      <c r="J458" s="257">
        <f t="shared" si="1"/>
        <v>6</v>
      </c>
      <c r="K458" s="253"/>
      <c r="L458" s="253"/>
      <c r="M458" s="252"/>
      <c r="N458" s="258"/>
      <c r="O458" s="259"/>
      <c r="P458" s="259"/>
      <c r="Q458" s="262"/>
      <c r="R458" s="260"/>
      <c r="S458" s="260"/>
      <c r="T458" s="260"/>
      <c r="U458" s="261"/>
      <c r="V458" s="251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</row>
    <row r="459">
      <c r="A459" s="251">
        <f>IFERROR(__xludf.DUMMYFUNCTION("""COMPUTED_VALUE"""),8065440.0)</f>
        <v>8065440</v>
      </c>
      <c r="B459" s="252" t="str">
        <f>IFERROR(__xludf.DUMMYFUNCTION("""COMPUTED_VALUE"""),"BookingCom")</f>
        <v>BookingCom</v>
      </c>
      <c r="C459" s="253" t="str">
        <f>IFERROR(__xludf.DUMMYFUNCTION("""COMPUTED_VALUE"""),"Arnaud Muyle ")</f>
        <v>Arnaud Muyle </v>
      </c>
      <c r="D459" s="254">
        <f>IFERROR(__xludf.DUMMYFUNCTION("""COMPUTED_VALUE"""),46163.0)</f>
        <v>46163</v>
      </c>
      <c r="E459" s="251">
        <f>IFERROR(__xludf.DUMMYFUNCTION("""COMPUTED_VALUE"""),46168.0)</f>
        <v>46168</v>
      </c>
      <c r="F459" s="255">
        <f>IFERROR(__xludf.DUMMYFUNCTION("""COMPUTED_VALUE"""),5.0)</f>
        <v>5</v>
      </c>
      <c r="G459" s="255">
        <f>IFERROR(__xludf.DUMMYFUNCTION("""COMPUTED_VALUE"""),2.0)</f>
        <v>2</v>
      </c>
      <c r="H459" s="256">
        <f>IFERROR(__xludf.DUMMYFUNCTION("""COMPUTED_VALUE"""),212.84)</f>
        <v>212.84</v>
      </c>
      <c r="I459" s="256">
        <f>IFERROR(__xludf.DUMMYFUNCTION("""COMPUTED_VALUE"""),851.3600000000001)</f>
        <v>851.36</v>
      </c>
      <c r="J459" s="257">
        <f t="shared" si="1"/>
        <v>10</v>
      </c>
      <c r="K459" s="253"/>
      <c r="L459" s="253"/>
      <c r="M459" s="252"/>
      <c r="N459" s="258"/>
      <c r="O459" s="259"/>
      <c r="P459" s="259"/>
      <c r="Q459" s="262"/>
      <c r="R459" s="260"/>
      <c r="S459" s="260"/>
      <c r="T459" s="260"/>
      <c r="U459" s="261"/>
      <c r="V459" s="251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</row>
    <row r="460">
      <c r="A460" s="251">
        <f>IFERROR(__xludf.DUMMYFUNCTION("""COMPUTED_VALUE"""),7969727.0)</f>
        <v>7969727</v>
      </c>
      <c r="B460" s="252" t="str">
        <f>IFERROR(__xludf.DUMMYFUNCTION("""COMPUTED_VALUE"""),"BookingCom")</f>
        <v>BookingCom</v>
      </c>
      <c r="C460" s="253" t="str">
        <f>IFERROR(__xludf.DUMMYFUNCTION("""COMPUTED_VALUE"""),"Justine Treillet ")</f>
        <v>Justine Treillet </v>
      </c>
      <c r="D460" s="254">
        <f>IFERROR(__xludf.DUMMYFUNCTION("""COMPUTED_VALUE"""),46164.0)</f>
        <v>46164</v>
      </c>
      <c r="E460" s="251">
        <f>IFERROR(__xludf.DUMMYFUNCTION("""COMPUTED_VALUE"""),46165.0)</f>
        <v>46165</v>
      </c>
      <c r="F460" s="255">
        <f>IFERROR(__xludf.DUMMYFUNCTION("""COMPUTED_VALUE"""),1.0)</f>
        <v>1</v>
      </c>
      <c r="G460" s="255">
        <f>IFERROR(__xludf.DUMMYFUNCTION("""COMPUTED_VALUE"""),2.0)</f>
        <v>2</v>
      </c>
      <c r="H460" s="256">
        <f>IFERROR(__xludf.DUMMYFUNCTION("""COMPUTED_VALUE"""),218.98)</f>
        <v>218.98</v>
      </c>
      <c r="I460" s="256">
        <f>IFERROR(__xludf.DUMMYFUNCTION("""COMPUTED_VALUE"""),175.184)</f>
        <v>175.184</v>
      </c>
      <c r="J460" s="257">
        <f t="shared" si="1"/>
        <v>2</v>
      </c>
      <c r="K460" s="253"/>
      <c r="L460" s="253"/>
      <c r="M460" s="252"/>
      <c r="N460" s="258"/>
      <c r="O460" s="259"/>
      <c r="P460" s="259"/>
      <c r="Q460" s="262"/>
      <c r="R460" s="260"/>
      <c r="S460" s="260"/>
      <c r="T460" s="260"/>
      <c r="U460" s="261"/>
      <c r="V460" s="304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</row>
    <row r="461">
      <c r="A461" s="251">
        <f>IFERROR(__xludf.DUMMYFUNCTION("""COMPUTED_VALUE"""),8001262.0)</f>
        <v>8001262</v>
      </c>
      <c r="B461" s="252" t="str">
        <f>IFERROR(__xludf.DUMMYFUNCTION("""COMPUTED_VALUE"""),"BookingCom")</f>
        <v>BookingCom</v>
      </c>
      <c r="C461" s="253" t="str">
        <f>IFERROR(__xludf.DUMMYFUNCTION("""COMPUTED_VALUE"""),"Alexandros Roubanis ")</f>
        <v>Alexandros Roubanis </v>
      </c>
      <c r="D461" s="254">
        <f>IFERROR(__xludf.DUMMYFUNCTION("""COMPUTED_VALUE"""),46165.0)</f>
        <v>46165</v>
      </c>
      <c r="E461" s="251">
        <f>IFERROR(__xludf.DUMMYFUNCTION("""COMPUTED_VALUE"""),46167.0)</f>
        <v>46167</v>
      </c>
      <c r="F461" s="255">
        <f>IFERROR(__xludf.DUMMYFUNCTION("""COMPUTED_VALUE"""),2.0)</f>
        <v>2</v>
      </c>
      <c r="G461" s="255">
        <f>IFERROR(__xludf.DUMMYFUNCTION("""COMPUTED_VALUE"""),4.0)</f>
        <v>4</v>
      </c>
      <c r="H461" s="256">
        <f>IFERROR(__xludf.DUMMYFUNCTION("""COMPUTED_VALUE"""),453.08)</f>
        <v>453.08</v>
      </c>
      <c r="I461" s="256">
        <f>IFERROR(__xludf.DUMMYFUNCTION("""COMPUTED_VALUE"""),724.928)</f>
        <v>724.928</v>
      </c>
      <c r="J461" s="257">
        <f t="shared" si="1"/>
        <v>8</v>
      </c>
      <c r="K461" s="253"/>
      <c r="L461" s="253"/>
      <c r="M461" s="252"/>
      <c r="N461" s="258"/>
      <c r="O461" s="259"/>
      <c r="P461" s="259"/>
      <c r="Q461" s="257"/>
      <c r="R461" s="260"/>
      <c r="S461" s="260"/>
      <c r="T461" s="173"/>
      <c r="U461" s="174"/>
      <c r="V461" s="16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</row>
    <row r="462">
      <c r="A462" s="251">
        <f>IFERROR(__xludf.DUMMYFUNCTION("""COMPUTED_VALUE"""),8137166.0)</f>
        <v>8137166</v>
      </c>
      <c r="B462" s="252" t="str">
        <f>IFERROR(__xludf.DUMMYFUNCTION("""COMPUTED_VALUE"""),"Reseliva Pannel")</f>
        <v>Reseliva Pannel</v>
      </c>
      <c r="C462" s="253" t="str">
        <f>IFERROR(__xludf.DUMMYFUNCTION("""COMPUTED_VALUE"""),"marion huault ")</f>
        <v>marion huault </v>
      </c>
      <c r="D462" s="254">
        <f>IFERROR(__xludf.DUMMYFUNCTION("""COMPUTED_VALUE"""),46167.0)</f>
        <v>46167</v>
      </c>
      <c r="E462" s="251">
        <f>IFERROR(__xludf.DUMMYFUNCTION("""COMPUTED_VALUE"""),46170.0)</f>
        <v>46170</v>
      </c>
      <c r="F462" s="255">
        <f>IFERROR(__xludf.DUMMYFUNCTION("""COMPUTED_VALUE"""),3.0)</f>
        <v>3</v>
      </c>
      <c r="G462" s="255">
        <f>IFERROR(__xludf.DUMMYFUNCTION("""COMPUTED_VALUE"""),2.0)</f>
        <v>2</v>
      </c>
      <c r="H462" s="256">
        <f>IFERROR(__xludf.DUMMYFUNCTION("""COMPUTED_VALUE"""),239.76)</f>
        <v>239.76</v>
      </c>
      <c r="I462" s="256">
        <f>IFERROR(__xludf.DUMMYFUNCTION("""COMPUTED_VALUE"""),719.28)</f>
        <v>719.28</v>
      </c>
      <c r="J462" s="257">
        <f t="shared" si="1"/>
        <v>6</v>
      </c>
      <c r="K462" s="253"/>
      <c r="L462" s="253"/>
      <c r="M462" s="252"/>
      <c r="N462" s="258"/>
      <c r="O462" s="259"/>
      <c r="P462" s="259"/>
      <c r="Q462" s="262"/>
      <c r="R462" s="260"/>
      <c r="S462" s="260"/>
      <c r="T462" s="260"/>
      <c r="U462" s="261"/>
      <c r="V462" s="251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</row>
    <row r="463">
      <c r="A463" s="251">
        <f>IFERROR(__xludf.DUMMYFUNCTION("""COMPUTED_VALUE"""),8145397.0)</f>
        <v>8145397</v>
      </c>
      <c r="B463" s="252" t="str">
        <f>IFERROR(__xludf.DUMMYFUNCTION("""COMPUTED_VALUE"""),"BookingCom")</f>
        <v>BookingCom</v>
      </c>
      <c r="C463" s="253" t="str">
        <f>IFERROR(__xludf.DUMMYFUNCTION("""COMPUTED_VALUE"""),"Magali Duboux ")</f>
        <v>Magali Duboux </v>
      </c>
      <c r="D463" s="254">
        <f>IFERROR(__xludf.DUMMYFUNCTION("""COMPUTED_VALUE"""),46167.0)</f>
        <v>46167</v>
      </c>
      <c r="E463" s="251">
        <f>IFERROR(__xludf.DUMMYFUNCTION("""COMPUTED_VALUE"""),46168.0)</f>
        <v>46168</v>
      </c>
      <c r="F463" s="255">
        <f>IFERROR(__xludf.DUMMYFUNCTION("""COMPUTED_VALUE"""),1.0)</f>
        <v>1</v>
      </c>
      <c r="G463" s="255">
        <f>IFERROR(__xludf.DUMMYFUNCTION("""COMPUTED_VALUE"""),2.0)</f>
        <v>2</v>
      </c>
      <c r="H463" s="256">
        <f>IFERROR(__xludf.DUMMYFUNCTION("""COMPUTED_VALUE"""),227.49)</f>
        <v>227.49</v>
      </c>
      <c r="I463" s="256">
        <f>IFERROR(__xludf.DUMMYFUNCTION("""COMPUTED_VALUE"""),181.99200000000002)</f>
        <v>181.992</v>
      </c>
      <c r="J463" s="257">
        <f t="shared" si="1"/>
        <v>2</v>
      </c>
      <c r="K463" s="253"/>
      <c r="L463" s="253"/>
      <c r="M463" s="252"/>
      <c r="N463" s="258"/>
      <c r="O463" s="259"/>
      <c r="P463" s="259"/>
      <c r="Q463" s="262"/>
      <c r="R463" s="260"/>
      <c r="S463" s="260"/>
      <c r="T463" s="260"/>
      <c r="U463" s="261"/>
      <c r="V463" s="251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</row>
    <row r="464">
      <c r="A464" s="251">
        <f>IFERROR(__xludf.DUMMYFUNCTION("""COMPUTED_VALUE"""),8030549.0)</f>
        <v>8030549</v>
      </c>
      <c r="B464" s="252" t="str">
        <f>IFERROR(__xludf.DUMMYFUNCTION("""COMPUTED_VALUE"""),"BookingCom")</f>
        <v>BookingCom</v>
      </c>
      <c r="C464" s="253" t="str">
        <f>IFERROR(__xludf.DUMMYFUNCTION("""COMPUTED_VALUE"""),"Beatrice Barras ")</f>
        <v>Beatrice Barras </v>
      </c>
      <c r="D464" s="254">
        <f>IFERROR(__xludf.DUMMYFUNCTION("""COMPUTED_VALUE"""),46169.0)</f>
        <v>46169</v>
      </c>
      <c r="E464" s="251">
        <f>IFERROR(__xludf.DUMMYFUNCTION("""COMPUTED_VALUE"""),46171.0)</f>
        <v>46171</v>
      </c>
      <c r="F464" s="255">
        <f>IFERROR(__xludf.DUMMYFUNCTION("""COMPUTED_VALUE"""),2.0)</f>
        <v>2</v>
      </c>
      <c r="G464" s="255">
        <f>IFERROR(__xludf.DUMMYFUNCTION("""COMPUTED_VALUE"""),2.0)</f>
        <v>2</v>
      </c>
      <c r="H464" s="256">
        <f>IFERROR(__xludf.DUMMYFUNCTION("""COMPUTED_VALUE"""),184.54)</f>
        <v>184.54</v>
      </c>
      <c r="I464" s="256">
        <f>IFERROR(__xludf.DUMMYFUNCTION("""COMPUTED_VALUE"""),295.264)</f>
        <v>295.264</v>
      </c>
      <c r="J464" s="257">
        <f t="shared" si="1"/>
        <v>4</v>
      </c>
      <c r="K464" s="253"/>
      <c r="L464" s="253"/>
      <c r="M464" s="252"/>
      <c r="N464" s="258"/>
      <c r="O464" s="259"/>
      <c r="P464" s="259"/>
      <c r="Q464" s="262"/>
      <c r="R464" s="260"/>
      <c r="S464" s="260"/>
      <c r="T464" s="260"/>
      <c r="U464" s="261"/>
      <c r="V464" s="251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</row>
    <row r="465">
      <c r="A465" s="251">
        <f>IFERROR(__xludf.DUMMYFUNCTION("""COMPUTED_VALUE"""),8045625.0)</f>
        <v>8045625</v>
      </c>
      <c r="B465" s="252" t="str">
        <f>IFERROR(__xludf.DUMMYFUNCTION("""COMPUTED_VALUE"""),"BookingCom")</f>
        <v>BookingCom</v>
      </c>
      <c r="C465" s="253" t="str">
        <f>IFERROR(__xludf.DUMMYFUNCTION("""COMPUTED_VALUE"""),"ALESSANDRO SALATIN ")</f>
        <v>ALESSANDRO SALATIN </v>
      </c>
      <c r="D465" s="254">
        <f>IFERROR(__xludf.DUMMYFUNCTION("""COMPUTED_VALUE"""),46169.0)</f>
        <v>46169</v>
      </c>
      <c r="E465" s="251">
        <f>IFERROR(__xludf.DUMMYFUNCTION("""COMPUTED_VALUE"""),46171.0)</f>
        <v>46171</v>
      </c>
      <c r="F465" s="255">
        <f>IFERROR(__xludf.DUMMYFUNCTION("""COMPUTED_VALUE"""),2.0)</f>
        <v>2</v>
      </c>
      <c r="G465" s="255">
        <f>IFERROR(__xludf.DUMMYFUNCTION("""COMPUTED_VALUE"""),2.0)</f>
        <v>2</v>
      </c>
      <c r="H465" s="256">
        <f>IFERROR(__xludf.DUMMYFUNCTION("""COMPUTED_VALUE"""),201.61)</f>
        <v>201.61</v>
      </c>
      <c r="I465" s="256">
        <f>IFERROR(__xludf.DUMMYFUNCTION("""COMPUTED_VALUE"""),322.576)</f>
        <v>322.576</v>
      </c>
      <c r="J465" s="257">
        <f t="shared" si="1"/>
        <v>4</v>
      </c>
      <c r="K465" s="253"/>
      <c r="L465" s="253"/>
      <c r="M465" s="252"/>
      <c r="N465" s="258"/>
      <c r="O465" s="259"/>
      <c r="P465" s="259"/>
      <c r="Q465" s="262"/>
      <c r="R465" s="260"/>
      <c r="S465" s="260"/>
      <c r="T465" s="260"/>
      <c r="U465" s="261"/>
      <c r="V465" s="251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</row>
    <row r="466">
      <c r="A466" s="251">
        <f>IFERROR(__xludf.DUMMYFUNCTION("""COMPUTED_VALUE"""),8174242.0)</f>
        <v>8174242</v>
      </c>
      <c r="B466" s="252" t="str">
        <f>IFERROR(__xludf.DUMMYFUNCTION("""COMPUTED_VALUE"""),"BookingCom")</f>
        <v>BookingCom</v>
      </c>
      <c r="C466" s="253" t="str">
        <f>IFERROR(__xludf.DUMMYFUNCTION("""COMPUTED_VALUE"""),"Megan McShane ")</f>
        <v>Megan McShane </v>
      </c>
      <c r="D466" s="254">
        <f>IFERROR(__xludf.DUMMYFUNCTION("""COMPUTED_VALUE"""),46169.0)</f>
        <v>46169</v>
      </c>
      <c r="E466" s="251">
        <f>IFERROR(__xludf.DUMMYFUNCTION("""COMPUTED_VALUE"""),46171.0)</f>
        <v>46171</v>
      </c>
      <c r="F466" s="255">
        <f>IFERROR(__xludf.DUMMYFUNCTION("""COMPUTED_VALUE"""),2.0)</f>
        <v>2</v>
      </c>
      <c r="G466" s="255">
        <f>IFERROR(__xludf.DUMMYFUNCTION("""COMPUTED_VALUE"""),2.0)</f>
        <v>2</v>
      </c>
      <c r="H466" s="256">
        <f>IFERROR(__xludf.DUMMYFUNCTION("""COMPUTED_VALUE"""),146.93)</f>
        <v>146.93</v>
      </c>
      <c r="I466" s="256">
        <f>IFERROR(__xludf.DUMMYFUNCTION("""COMPUTED_VALUE"""),235.08800000000002)</f>
        <v>235.088</v>
      </c>
      <c r="J466" s="257">
        <f t="shared" si="1"/>
        <v>4</v>
      </c>
      <c r="K466" s="253"/>
      <c r="L466" s="253"/>
      <c r="M466" s="252"/>
      <c r="N466" s="258"/>
      <c r="O466" s="259"/>
      <c r="P466" s="259"/>
      <c r="Q466" s="262"/>
      <c r="R466" s="260"/>
      <c r="S466" s="260"/>
      <c r="T466" s="260"/>
      <c r="U466" s="261"/>
      <c r="V466" s="251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</row>
    <row r="467">
      <c r="A467" s="251">
        <f>IFERROR(__xludf.DUMMYFUNCTION("""COMPUTED_VALUE"""),7767489.0)</f>
        <v>7767489</v>
      </c>
      <c r="B467" s="252" t="str">
        <f>IFERROR(__xludf.DUMMYFUNCTION("""COMPUTED_VALUE"""),"BookingCom")</f>
        <v>BookingCom</v>
      </c>
      <c r="C467" s="253" t="str">
        <f>IFERROR(__xludf.DUMMYFUNCTION("""COMPUTED_VALUE"""),"Esther Dind-Bill ")</f>
        <v>Esther Dind-Bill </v>
      </c>
      <c r="D467" s="254">
        <f>IFERROR(__xludf.DUMMYFUNCTION("""COMPUTED_VALUE"""),46170.0)</f>
        <v>46170</v>
      </c>
      <c r="E467" s="251">
        <f>IFERROR(__xludf.DUMMYFUNCTION("""COMPUTED_VALUE"""),46173.0)</f>
        <v>46173</v>
      </c>
      <c r="F467" s="255">
        <f>IFERROR(__xludf.DUMMYFUNCTION("""COMPUTED_VALUE"""),3.0)</f>
        <v>3</v>
      </c>
      <c r="G467" s="255">
        <f>IFERROR(__xludf.DUMMYFUNCTION("""COMPUTED_VALUE"""),2.0)</f>
        <v>2</v>
      </c>
      <c r="H467" s="256">
        <f>IFERROR(__xludf.DUMMYFUNCTION("""COMPUTED_VALUE"""),138.88)</f>
        <v>138.88</v>
      </c>
      <c r="I467" s="256">
        <f>IFERROR(__xludf.DUMMYFUNCTION("""COMPUTED_VALUE"""),333.312)</f>
        <v>333.312</v>
      </c>
      <c r="J467" s="257">
        <f t="shared" si="1"/>
        <v>6</v>
      </c>
      <c r="K467" s="253"/>
      <c r="L467" s="253"/>
      <c r="M467" s="252"/>
      <c r="N467" s="258"/>
      <c r="O467" s="259"/>
      <c r="P467" s="259"/>
      <c r="Q467" s="262"/>
      <c r="R467" s="260"/>
      <c r="S467" s="260"/>
      <c r="T467" s="260"/>
      <c r="U467" s="261"/>
      <c r="V467" s="251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</row>
    <row r="468">
      <c r="A468" s="251">
        <f>IFERROR(__xludf.DUMMYFUNCTION("""COMPUTED_VALUE"""),7543133.0)</f>
        <v>7543133</v>
      </c>
      <c r="B468" s="252" t="str">
        <f>IFERROR(__xludf.DUMMYFUNCTION("""COMPUTED_VALUE"""),"BookingCom")</f>
        <v>BookingCom</v>
      </c>
      <c r="C468" s="253" t="str">
        <f>IFERROR(__xludf.DUMMYFUNCTION("""COMPUTED_VALUE"""),"Mathias Wieczisk ")</f>
        <v>Mathias Wieczisk </v>
      </c>
      <c r="D468" s="254">
        <f>IFERROR(__xludf.DUMMYFUNCTION("""COMPUTED_VALUE"""),46172.0)</f>
        <v>46172</v>
      </c>
      <c r="E468" s="251">
        <f>IFERROR(__xludf.DUMMYFUNCTION("""COMPUTED_VALUE"""),46175.0)</f>
        <v>46175</v>
      </c>
      <c r="F468" s="255">
        <f>IFERROR(__xludf.DUMMYFUNCTION("""COMPUTED_VALUE"""),3.0)</f>
        <v>3</v>
      </c>
      <c r="G468" s="255">
        <f>IFERROR(__xludf.DUMMYFUNCTION("""COMPUTED_VALUE"""),2.0)</f>
        <v>2</v>
      </c>
      <c r="H468" s="256">
        <f>IFERROR(__xludf.DUMMYFUNCTION("""COMPUTED_VALUE"""),157.46)</f>
        <v>157.46</v>
      </c>
      <c r="I468" s="256">
        <f>IFERROR(__xludf.DUMMYFUNCTION("""COMPUTED_VALUE"""),377.90400000000005)</f>
        <v>377.904</v>
      </c>
      <c r="J468" s="257">
        <f t="shared" si="1"/>
        <v>6</v>
      </c>
      <c r="K468" s="253"/>
      <c r="L468" s="253"/>
      <c r="M468" s="252"/>
      <c r="N468" s="258"/>
      <c r="O468" s="259"/>
      <c r="P468" s="259"/>
      <c r="Q468" s="262"/>
      <c r="R468" s="260"/>
      <c r="S468" s="260"/>
      <c r="T468" s="260"/>
      <c r="U468" s="261"/>
      <c r="V468" s="251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</row>
    <row r="469">
      <c r="A469" s="251">
        <f>IFERROR(__xludf.DUMMYFUNCTION("""COMPUTED_VALUE"""),7679109.0)</f>
        <v>7679109</v>
      </c>
      <c r="B469" s="252" t="str">
        <f>IFERROR(__xludf.DUMMYFUNCTION("""COMPUTED_VALUE"""),"BookingCom")</f>
        <v>BookingCom</v>
      </c>
      <c r="C469" s="253" t="str">
        <f>IFERROR(__xludf.DUMMYFUNCTION("""COMPUTED_VALUE"""),"Wolfgang Herzel ")</f>
        <v>Wolfgang Herzel </v>
      </c>
      <c r="D469" s="254">
        <f>IFERROR(__xludf.DUMMYFUNCTION("""COMPUTED_VALUE"""),46172.0)</f>
        <v>46172</v>
      </c>
      <c r="E469" s="251">
        <f>IFERROR(__xludf.DUMMYFUNCTION("""COMPUTED_VALUE"""),46176.0)</f>
        <v>46176</v>
      </c>
      <c r="F469" s="255">
        <f>IFERROR(__xludf.DUMMYFUNCTION("""COMPUTED_VALUE"""),4.0)</f>
        <v>4</v>
      </c>
      <c r="G469" s="255">
        <f>IFERROR(__xludf.DUMMYFUNCTION("""COMPUTED_VALUE"""),2.0)</f>
        <v>2</v>
      </c>
      <c r="H469" s="256">
        <f>IFERROR(__xludf.DUMMYFUNCTION("""COMPUTED_VALUE"""),122.56)</f>
        <v>122.56</v>
      </c>
      <c r="I469" s="256">
        <f>IFERROR(__xludf.DUMMYFUNCTION("""COMPUTED_VALUE"""),392.192)</f>
        <v>392.192</v>
      </c>
      <c r="J469" s="257">
        <f t="shared" si="1"/>
        <v>8</v>
      </c>
      <c r="K469" s="253"/>
      <c r="L469" s="253"/>
      <c r="M469" s="252"/>
      <c r="N469" s="258"/>
      <c r="O469" s="259"/>
      <c r="P469" s="259"/>
      <c r="Q469" s="262"/>
      <c r="R469" s="260"/>
      <c r="S469" s="260"/>
      <c r="T469" s="260"/>
      <c r="U469" s="261"/>
      <c r="V469" s="251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</row>
    <row r="470">
      <c r="A470" s="251">
        <f>IFERROR(__xludf.DUMMYFUNCTION("""COMPUTED_VALUE"""),8075933.0)</f>
        <v>8075933</v>
      </c>
      <c r="B470" s="252" t="str">
        <f>IFERROR(__xludf.DUMMYFUNCTION("""COMPUTED_VALUE"""),"BookingCom")</f>
        <v>BookingCom</v>
      </c>
      <c r="C470" s="253" t="str">
        <f>IFERROR(__xludf.DUMMYFUNCTION("""COMPUTED_VALUE"""),"ALESSANDRO SALATIN ")</f>
        <v>ALESSANDRO SALATIN </v>
      </c>
      <c r="D470" s="254">
        <f>IFERROR(__xludf.DUMMYFUNCTION("""COMPUTED_VALUE"""),46172.0)</f>
        <v>46172</v>
      </c>
      <c r="E470" s="251">
        <f>IFERROR(__xludf.DUMMYFUNCTION("""COMPUTED_VALUE"""),46173.0)</f>
        <v>46173</v>
      </c>
      <c r="F470" s="255">
        <f>IFERROR(__xludf.DUMMYFUNCTION("""COMPUTED_VALUE"""),1.0)</f>
        <v>1</v>
      </c>
      <c r="G470" s="255">
        <f>IFERROR(__xludf.DUMMYFUNCTION("""COMPUTED_VALUE"""),2.0)</f>
        <v>2</v>
      </c>
      <c r="H470" s="256">
        <f>IFERROR(__xludf.DUMMYFUNCTION("""COMPUTED_VALUE"""),239.95999999999998)</f>
        <v>239.96</v>
      </c>
      <c r="I470" s="256">
        <f>IFERROR(__xludf.DUMMYFUNCTION("""COMPUTED_VALUE"""),191.968)</f>
        <v>191.968</v>
      </c>
      <c r="J470" s="257">
        <f t="shared" si="1"/>
        <v>2</v>
      </c>
      <c r="K470" s="253"/>
      <c r="L470" s="253"/>
      <c r="M470" s="252"/>
      <c r="N470" s="258"/>
      <c r="O470" s="259"/>
      <c r="P470" s="259"/>
      <c r="Q470" s="257"/>
      <c r="R470" s="260"/>
      <c r="S470" s="260"/>
      <c r="T470" s="260"/>
      <c r="U470" s="261"/>
      <c r="V470" s="251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</row>
    <row r="471">
      <c r="A471" s="251">
        <f>IFERROR(__xludf.DUMMYFUNCTION("""COMPUTED_VALUE"""),8194594.0)</f>
        <v>8194594</v>
      </c>
      <c r="B471" s="252" t="str">
        <f>IFERROR(__xludf.DUMMYFUNCTION("""COMPUTED_VALUE"""),"BookingCom")</f>
        <v>BookingCom</v>
      </c>
      <c r="C471" s="253" t="str">
        <f>IFERROR(__xludf.DUMMYFUNCTION("""COMPUTED_VALUE"""),"DAVID LEO ")</f>
        <v>DAVID LEO </v>
      </c>
      <c r="D471" s="254">
        <f>IFERROR(__xludf.DUMMYFUNCTION("""COMPUTED_VALUE"""),46172.0)</f>
        <v>46172</v>
      </c>
      <c r="E471" s="251">
        <f>IFERROR(__xludf.DUMMYFUNCTION("""COMPUTED_VALUE"""),46179.0)</f>
        <v>46179</v>
      </c>
      <c r="F471" s="255">
        <f>IFERROR(__xludf.DUMMYFUNCTION("""COMPUTED_VALUE"""),7.0)</f>
        <v>7</v>
      </c>
      <c r="G471" s="255">
        <f>IFERROR(__xludf.DUMMYFUNCTION("""COMPUTED_VALUE"""),3.0)</f>
        <v>3</v>
      </c>
      <c r="H471" s="256">
        <f>IFERROR(__xludf.DUMMYFUNCTION("""COMPUTED_VALUE"""),197.27428571428572)</f>
        <v>197.2742857</v>
      </c>
      <c r="I471" s="256">
        <f>IFERROR(__xludf.DUMMYFUNCTION("""COMPUTED_VALUE"""),1104.7360000000003)</f>
        <v>1104.736</v>
      </c>
      <c r="J471" s="257">
        <f t="shared" si="1"/>
        <v>21</v>
      </c>
      <c r="K471" s="253"/>
      <c r="L471" s="253"/>
      <c r="M471" s="252"/>
      <c r="N471" s="258"/>
      <c r="O471" s="259"/>
      <c r="P471" s="259"/>
      <c r="Q471" s="262"/>
      <c r="R471" s="260"/>
      <c r="S471" s="260"/>
      <c r="T471" s="260"/>
      <c r="U471" s="261"/>
      <c r="V471" s="251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</row>
    <row r="472">
      <c r="A472" s="251">
        <f>IFERROR(__xludf.DUMMYFUNCTION("""COMPUTED_VALUE"""),7720838.0)</f>
        <v>7720838</v>
      </c>
      <c r="B472" s="252" t="str">
        <f>IFERROR(__xludf.DUMMYFUNCTION("""COMPUTED_VALUE"""),"BookingCom")</f>
        <v>BookingCom</v>
      </c>
      <c r="C472" s="253" t="str">
        <f>IFERROR(__xludf.DUMMYFUNCTION("""COMPUTED_VALUE"""),"Mattia Cavallazzi ")</f>
        <v>Mattia Cavallazzi </v>
      </c>
      <c r="D472" s="254">
        <f>IFERROR(__xludf.DUMMYFUNCTION("""COMPUTED_VALUE"""),46173.0)</f>
        <v>46173</v>
      </c>
      <c r="E472" s="251">
        <f>IFERROR(__xludf.DUMMYFUNCTION("""COMPUTED_VALUE"""),46176.0)</f>
        <v>46176</v>
      </c>
      <c r="F472" s="255">
        <f>IFERROR(__xludf.DUMMYFUNCTION("""COMPUTED_VALUE"""),3.0)</f>
        <v>3</v>
      </c>
      <c r="G472" s="255">
        <f>IFERROR(__xludf.DUMMYFUNCTION("""COMPUTED_VALUE"""),2.0)</f>
        <v>2</v>
      </c>
      <c r="H472" s="256">
        <f>IFERROR(__xludf.DUMMYFUNCTION("""COMPUTED_VALUE"""),91.81)</f>
        <v>91.81</v>
      </c>
      <c r="I472" s="256">
        <f>IFERROR(__xludf.DUMMYFUNCTION("""COMPUTED_VALUE"""),220.34400000000002)</f>
        <v>220.344</v>
      </c>
      <c r="J472" s="257">
        <f t="shared" si="1"/>
        <v>6</v>
      </c>
      <c r="K472" s="253"/>
      <c r="L472" s="253"/>
      <c r="M472" s="252"/>
      <c r="N472" s="258"/>
      <c r="O472" s="259"/>
      <c r="P472" s="259"/>
      <c r="Q472" s="257"/>
      <c r="R472" s="260"/>
      <c r="S472" s="260"/>
      <c r="T472" s="260"/>
      <c r="U472" s="261"/>
      <c r="V472" s="251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</row>
    <row r="473">
      <c r="A473" s="251">
        <f>IFERROR(__xludf.DUMMYFUNCTION("""COMPUTED_VALUE"""),7635576.0)</f>
        <v>7635576</v>
      </c>
      <c r="B473" s="252" t="str">
        <f>IFERROR(__xludf.DUMMYFUNCTION("""COMPUTED_VALUE"""),"BookingCom")</f>
        <v>BookingCom</v>
      </c>
      <c r="C473" s="253" t="str">
        <f>IFERROR(__xludf.DUMMYFUNCTION("""COMPUTED_VALUE"""),"Rachel Howard ")</f>
        <v>Rachel Howard </v>
      </c>
      <c r="D473" s="254">
        <f>IFERROR(__xludf.DUMMYFUNCTION("""COMPUTED_VALUE"""),46175.0)</f>
        <v>46175</v>
      </c>
      <c r="E473" s="251">
        <f>IFERROR(__xludf.DUMMYFUNCTION("""COMPUTED_VALUE"""),46183.0)</f>
        <v>46183</v>
      </c>
      <c r="F473" s="255">
        <f>IFERROR(__xludf.DUMMYFUNCTION("""COMPUTED_VALUE"""),8.0)</f>
        <v>8</v>
      </c>
      <c r="G473" s="255">
        <f>IFERROR(__xludf.DUMMYFUNCTION("""COMPUTED_VALUE"""),2.0)</f>
        <v>2</v>
      </c>
      <c r="H473" s="256">
        <f>IFERROR(__xludf.DUMMYFUNCTION("""COMPUTED_VALUE"""),81.03)</f>
        <v>81.03</v>
      </c>
      <c r="I473" s="256">
        <f>IFERROR(__xludf.DUMMYFUNCTION("""COMPUTED_VALUE"""),518.592)</f>
        <v>518.592</v>
      </c>
      <c r="J473" s="257">
        <f t="shared" si="1"/>
        <v>16</v>
      </c>
      <c r="K473" s="253"/>
      <c r="L473" s="253"/>
      <c r="M473" s="252"/>
      <c r="N473" s="258"/>
      <c r="O473" s="259"/>
      <c r="P473" s="259"/>
      <c r="Q473" s="257"/>
      <c r="R473" s="260"/>
      <c r="S473" s="260"/>
      <c r="T473" s="260"/>
      <c r="U473" s="261"/>
      <c r="V473" s="251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</row>
    <row r="474">
      <c r="A474" s="251">
        <f>IFERROR(__xludf.DUMMYFUNCTION("""COMPUTED_VALUE"""),8131649.0)</f>
        <v>8131649</v>
      </c>
      <c r="B474" s="252" t="str">
        <f>IFERROR(__xludf.DUMMYFUNCTION("""COMPUTED_VALUE"""),"BookingCom")</f>
        <v>BookingCom</v>
      </c>
      <c r="C474" s="253" t="str">
        <f>IFERROR(__xludf.DUMMYFUNCTION("""COMPUTED_VALUE"""),"Marina Perdigao ")</f>
        <v>Marina Perdigao </v>
      </c>
      <c r="D474" s="254">
        <f>IFERROR(__xludf.DUMMYFUNCTION("""COMPUTED_VALUE"""),46175.0)</f>
        <v>46175</v>
      </c>
      <c r="E474" s="251">
        <f>IFERROR(__xludf.DUMMYFUNCTION("""COMPUTED_VALUE"""),46179.0)</f>
        <v>46179</v>
      </c>
      <c r="F474" s="255">
        <f>IFERROR(__xludf.DUMMYFUNCTION("""COMPUTED_VALUE"""),4.0)</f>
        <v>4</v>
      </c>
      <c r="G474" s="255">
        <f>IFERROR(__xludf.DUMMYFUNCTION("""COMPUTED_VALUE"""),2.0)</f>
        <v>2</v>
      </c>
      <c r="H474" s="256">
        <f>IFERROR(__xludf.DUMMYFUNCTION("""COMPUTED_VALUE"""),143.78)</f>
        <v>143.78</v>
      </c>
      <c r="I474" s="256">
        <f>IFERROR(__xludf.DUMMYFUNCTION("""COMPUTED_VALUE"""),460.096)</f>
        <v>460.096</v>
      </c>
      <c r="J474" s="257">
        <f t="shared" si="1"/>
        <v>8</v>
      </c>
      <c r="K474" s="253"/>
      <c r="L474" s="253"/>
      <c r="M474" s="252"/>
      <c r="N474" s="258"/>
      <c r="O474" s="259"/>
      <c r="P474" s="259"/>
      <c r="Q474" s="262"/>
      <c r="R474" s="260"/>
      <c r="S474" s="260"/>
      <c r="T474" s="260"/>
      <c r="U474" s="261"/>
      <c r="V474" s="251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</row>
    <row r="475">
      <c r="A475" s="251">
        <f>IFERROR(__xludf.DUMMYFUNCTION("""COMPUTED_VALUE"""),7583091.0)</f>
        <v>7583091</v>
      </c>
      <c r="B475" s="252" t="str">
        <f>IFERROR(__xludf.DUMMYFUNCTION("""COMPUTED_VALUE"""),"BookingCom")</f>
        <v>BookingCom</v>
      </c>
      <c r="C475" s="253" t="str">
        <f>IFERROR(__xludf.DUMMYFUNCTION("""COMPUTED_VALUE"""),"Nataliya Strap ")</f>
        <v>Nataliya Strap </v>
      </c>
      <c r="D475" s="254">
        <f>IFERROR(__xludf.DUMMYFUNCTION("""COMPUTED_VALUE"""),46176.0)</f>
        <v>46176</v>
      </c>
      <c r="E475" s="251">
        <f>IFERROR(__xludf.DUMMYFUNCTION("""COMPUTED_VALUE"""),46180.0)</f>
        <v>46180</v>
      </c>
      <c r="F475" s="255">
        <f>IFERROR(__xludf.DUMMYFUNCTION("""COMPUTED_VALUE"""),4.0)</f>
        <v>4</v>
      </c>
      <c r="G475" s="255">
        <f>IFERROR(__xludf.DUMMYFUNCTION("""COMPUTED_VALUE"""),2.0)</f>
        <v>2</v>
      </c>
      <c r="H475" s="256">
        <f>IFERROR(__xludf.DUMMYFUNCTION("""COMPUTED_VALUE"""),94.4)</f>
        <v>94.4</v>
      </c>
      <c r="I475" s="256">
        <f>IFERROR(__xludf.DUMMYFUNCTION("""COMPUTED_VALUE"""),302.08000000000004)</f>
        <v>302.08</v>
      </c>
      <c r="J475" s="257">
        <f t="shared" si="1"/>
        <v>8</v>
      </c>
      <c r="K475" s="253"/>
      <c r="L475" s="253"/>
      <c r="M475" s="252"/>
      <c r="N475" s="258"/>
      <c r="O475" s="259"/>
      <c r="P475" s="259"/>
      <c r="Q475" s="262"/>
      <c r="R475" s="260"/>
      <c r="S475" s="260"/>
      <c r="T475" s="260"/>
      <c r="U475" s="261"/>
      <c r="V475" s="251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</row>
    <row r="476">
      <c r="A476" s="251">
        <f>IFERROR(__xludf.DUMMYFUNCTION("""COMPUTED_VALUE"""),7692250.0)</f>
        <v>7692250</v>
      </c>
      <c r="B476" s="252" t="str">
        <f>IFERROR(__xludf.DUMMYFUNCTION("""COMPUTED_VALUE"""),"BookingCom")</f>
        <v>BookingCom</v>
      </c>
      <c r="C476" s="253" t="str">
        <f>IFERROR(__xludf.DUMMYFUNCTION("""COMPUTED_VALUE"""),"bercelli silvia ")</f>
        <v>bercelli silvia </v>
      </c>
      <c r="D476" s="254">
        <f>IFERROR(__xludf.DUMMYFUNCTION("""COMPUTED_VALUE"""),46178.0)</f>
        <v>46178</v>
      </c>
      <c r="E476" s="251">
        <f>IFERROR(__xludf.DUMMYFUNCTION("""COMPUTED_VALUE"""),46183.0)</f>
        <v>46183</v>
      </c>
      <c r="F476" s="255">
        <f>IFERROR(__xludf.DUMMYFUNCTION("""COMPUTED_VALUE"""),5.0)</f>
        <v>5</v>
      </c>
      <c r="G476" s="255">
        <f>IFERROR(__xludf.DUMMYFUNCTION("""COMPUTED_VALUE"""),2.0)</f>
        <v>2</v>
      </c>
      <c r="H476" s="256">
        <f>IFERROR(__xludf.DUMMYFUNCTION("""COMPUTED_VALUE"""),136.0)</f>
        <v>136</v>
      </c>
      <c r="I476" s="256">
        <f>IFERROR(__xludf.DUMMYFUNCTION("""COMPUTED_VALUE"""),544.0)</f>
        <v>544</v>
      </c>
      <c r="J476" s="257">
        <f t="shared" si="1"/>
        <v>10</v>
      </c>
      <c r="K476" s="253"/>
      <c r="L476" s="253"/>
      <c r="M476" s="275"/>
      <c r="N476" s="258"/>
      <c r="O476" s="259"/>
      <c r="P476" s="259"/>
      <c r="Q476" s="262"/>
      <c r="R476" s="260"/>
      <c r="S476" s="260"/>
      <c r="T476" s="260"/>
      <c r="U476" s="261"/>
      <c r="V476" s="251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</row>
    <row r="477">
      <c r="A477" s="251">
        <f>IFERROR(__xludf.DUMMYFUNCTION("""COMPUTED_VALUE"""),8029841.0)</f>
        <v>8029841</v>
      </c>
      <c r="B477" s="252" t="str">
        <f>IFERROR(__xludf.DUMMYFUNCTION("""COMPUTED_VALUE"""),"BookingCom")</f>
        <v>BookingCom</v>
      </c>
      <c r="C477" s="253" t="str">
        <f>IFERROR(__xludf.DUMMYFUNCTION("""COMPUTED_VALUE"""),"Kuno Blaser ")</f>
        <v>Kuno Blaser </v>
      </c>
      <c r="D477" s="254">
        <f>IFERROR(__xludf.DUMMYFUNCTION("""COMPUTED_VALUE"""),46178.0)</f>
        <v>46178</v>
      </c>
      <c r="E477" s="251">
        <f>IFERROR(__xludf.DUMMYFUNCTION("""COMPUTED_VALUE"""),46180.0)</f>
        <v>46180</v>
      </c>
      <c r="F477" s="255">
        <f>IFERROR(__xludf.DUMMYFUNCTION("""COMPUTED_VALUE"""),2.0)</f>
        <v>2</v>
      </c>
      <c r="G477" s="255">
        <f>IFERROR(__xludf.DUMMYFUNCTION("""COMPUTED_VALUE"""),2.0)</f>
        <v>2</v>
      </c>
      <c r="H477" s="256">
        <f>IFERROR(__xludf.DUMMYFUNCTION("""COMPUTED_VALUE"""),169.68)</f>
        <v>169.68</v>
      </c>
      <c r="I477" s="256">
        <f>IFERROR(__xludf.DUMMYFUNCTION("""COMPUTED_VALUE"""),271.488)</f>
        <v>271.488</v>
      </c>
      <c r="J477" s="257">
        <f t="shared" si="1"/>
        <v>4</v>
      </c>
      <c r="K477" s="253"/>
      <c r="L477" s="253"/>
      <c r="M477" s="275"/>
      <c r="N477" s="258"/>
      <c r="O477" s="259"/>
      <c r="P477" s="259"/>
      <c r="Q477" s="262"/>
      <c r="R477" s="260"/>
      <c r="S477" s="260"/>
      <c r="T477" s="260"/>
      <c r="U477" s="261"/>
      <c r="V477" s="251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</row>
    <row r="478">
      <c r="A478" s="251">
        <f>IFERROR(__xludf.DUMMYFUNCTION("""COMPUTED_VALUE"""),8126438.0)</f>
        <v>8126438</v>
      </c>
      <c r="B478" s="252" t="str">
        <f>IFERROR(__xludf.DUMMYFUNCTION("""COMPUTED_VALUE"""),"BookingCom")</f>
        <v>BookingCom</v>
      </c>
      <c r="C478" s="253" t="str">
        <f>IFERROR(__xludf.DUMMYFUNCTION("""COMPUTED_VALUE"""),"virginie MEVEL ")</f>
        <v>virginie MEVEL </v>
      </c>
      <c r="D478" s="254">
        <f>IFERROR(__xludf.DUMMYFUNCTION("""COMPUTED_VALUE"""),46178.0)</f>
        <v>46178</v>
      </c>
      <c r="E478" s="251">
        <f>IFERROR(__xludf.DUMMYFUNCTION("""COMPUTED_VALUE"""),46181.0)</f>
        <v>46181</v>
      </c>
      <c r="F478" s="255">
        <f>IFERROR(__xludf.DUMMYFUNCTION("""COMPUTED_VALUE"""),3.0)</f>
        <v>3</v>
      </c>
      <c r="G478" s="255">
        <f>IFERROR(__xludf.DUMMYFUNCTION("""COMPUTED_VALUE"""),2.0)</f>
        <v>2</v>
      </c>
      <c r="H478" s="256">
        <f>IFERROR(__xludf.DUMMYFUNCTION("""COMPUTED_VALUE"""),172.29999999999998)</f>
        <v>172.3</v>
      </c>
      <c r="I478" s="256">
        <f>IFERROR(__xludf.DUMMYFUNCTION("""COMPUTED_VALUE"""),413.52)</f>
        <v>413.52</v>
      </c>
      <c r="J478" s="257">
        <f t="shared" si="1"/>
        <v>6</v>
      </c>
      <c r="K478" s="253"/>
      <c r="L478" s="253"/>
      <c r="M478" s="252"/>
      <c r="N478" s="258"/>
      <c r="O478" s="259"/>
      <c r="P478" s="259"/>
      <c r="Q478" s="262"/>
      <c r="R478" s="260"/>
      <c r="S478" s="260"/>
      <c r="T478" s="260"/>
      <c r="U478" s="261"/>
      <c r="V478" s="251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</row>
    <row r="479">
      <c r="A479" s="251">
        <f>IFERROR(__xludf.DUMMYFUNCTION("""COMPUTED_VALUE"""),8169279.0)</f>
        <v>8169279</v>
      </c>
      <c r="B479" s="252" t="str">
        <f>IFERROR(__xludf.DUMMYFUNCTION("""COMPUTED_VALUE"""),"BookingCom")</f>
        <v>BookingCom</v>
      </c>
      <c r="C479" s="253" t="str">
        <f>IFERROR(__xludf.DUMMYFUNCTION("""COMPUTED_VALUE"""),"John Hazenbroek ")</f>
        <v>John Hazenbroek </v>
      </c>
      <c r="D479" s="254">
        <f>IFERROR(__xludf.DUMMYFUNCTION("""COMPUTED_VALUE"""),46178.0)</f>
        <v>46178</v>
      </c>
      <c r="E479" s="251">
        <f>IFERROR(__xludf.DUMMYFUNCTION("""COMPUTED_VALUE"""),46181.0)</f>
        <v>46181</v>
      </c>
      <c r="F479" s="255">
        <f>IFERROR(__xludf.DUMMYFUNCTION("""COMPUTED_VALUE"""),3.0)</f>
        <v>3</v>
      </c>
      <c r="G479" s="255">
        <f>IFERROR(__xludf.DUMMYFUNCTION("""COMPUTED_VALUE"""),2.0)</f>
        <v>2</v>
      </c>
      <c r="H479" s="256">
        <f>IFERROR(__xludf.DUMMYFUNCTION("""COMPUTED_VALUE"""),176.05999999999997)</f>
        <v>176.06</v>
      </c>
      <c r="I479" s="256">
        <f>IFERROR(__xludf.DUMMYFUNCTION("""COMPUTED_VALUE"""),422.544)</f>
        <v>422.544</v>
      </c>
      <c r="J479" s="257">
        <f t="shared" si="1"/>
        <v>6</v>
      </c>
      <c r="K479" s="253"/>
      <c r="L479" s="253"/>
      <c r="M479" s="252"/>
      <c r="N479" s="258"/>
      <c r="O479" s="259"/>
      <c r="P479" s="259"/>
      <c r="Q479" s="257"/>
      <c r="R479" s="260"/>
      <c r="S479" s="260"/>
      <c r="T479" s="260"/>
      <c r="U479" s="261"/>
      <c r="V479" s="251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</row>
    <row r="480">
      <c r="A480" s="251">
        <f>IFERROR(__xludf.DUMMYFUNCTION("""COMPUTED_VALUE"""),7585170.0)</f>
        <v>7585170</v>
      </c>
      <c r="B480" s="252" t="str">
        <f>IFERROR(__xludf.DUMMYFUNCTION("""COMPUTED_VALUE"""),"BookingCom")</f>
        <v>BookingCom</v>
      </c>
      <c r="C480" s="253" t="str">
        <f>IFERROR(__xludf.DUMMYFUNCTION("""COMPUTED_VALUE"""),"emeline Pierron ")</f>
        <v>emeline Pierron </v>
      </c>
      <c r="D480" s="254">
        <f>IFERROR(__xludf.DUMMYFUNCTION("""COMPUTED_VALUE"""),46179.0)</f>
        <v>46179</v>
      </c>
      <c r="E480" s="251">
        <f>IFERROR(__xludf.DUMMYFUNCTION("""COMPUTED_VALUE"""),46183.0)</f>
        <v>46183</v>
      </c>
      <c r="F480" s="255">
        <f>IFERROR(__xludf.DUMMYFUNCTION("""COMPUTED_VALUE"""),4.0)</f>
        <v>4</v>
      </c>
      <c r="G480" s="255">
        <f>IFERROR(__xludf.DUMMYFUNCTION("""COMPUTED_VALUE"""),2.0)</f>
        <v>2</v>
      </c>
      <c r="H480" s="256">
        <f>IFERROR(__xludf.DUMMYFUNCTION("""COMPUTED_VALUE"""),94.4)</f>
        <v>94.4</v>
      </c>
      <c r="I480" s="256">
        <f>IFERROR(__xludf.DUMMYFUNCTION("""COMPUTED_VALUE"""),302.08000000000004)</f>
        <v>302.08</v>
      </c>
      <c r="J480" s="257">
        <f t="shared" si="1"/>
        <v>8</v>
      </c>
      <c r="K480" s="253"/>
      <c r="L480" s="253"/>
      <c r="M480" s="252"/>
      <c r="N480" s="258"/>
      <c r="O480" s="259"/>
      <c r="P480" s="259"/>
      <c r="Q480" s="262"/>
      <c r="R480" s="260"/>
      <c r="S480" s="260"/>
      <c r="T480" s="260"/>
      <c r="U480" s="261"/>
      <c r="V480" s="251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</row>
    <row r="481">
      <c r="A481" s="251">
        <f>IFERROR(__xludf.DUMMYFUNCTION("""COMPUTED_VALUE"""),7985845.0)</f>
        <v>7985845</v>
      </c>
      <c r="B481" s="252" t="str">
        <f>IFERROR(__xludf.DUMMYFUNCTION("""COMPUTED_VALUE"""),"BookingCom")</f>
        <v>BookingCom</v>
      </c>
      <c r="C481" s="253" t="str">
        <f>IFERROR(__xludf.DUMMYFUNCTION("""COMPUTED_VALUE"""),"Franziska Daubler ")</f>
        <v>Franziska Daubler </v>
      </c>
      <c r="D481" s="254">
        <f>IFERROR(__xludf.DUMMYFUNCTION("""COMPUTED_VALUE"""),46180.0)</f>
        <v>46180</v>
      </c>
      <c r="E481" s="251">
        <f>IFERROR(__xludf.DUMMYFUNCTION("""COMPUTED_VALUE"""),46182.0)</f>
        <v>46182</v>
      </c>
      <c r="F481" s="255">
        <f>IFERROR(__xludf.DUMMYFUNCTION("""COMPUTED_VALUE"""),2.0)</f>
        <v>2</v>
      </c>
      <c r="G481" s="255">
        <f>IFERROR(__xludf.DUMMYFUNCTION("""COMPUTED_VALUE"""),3.0)</f>
        <v>3</v>
      </c>
      <c r="H481" s="256">
        <f>IFERROR(__xludf.DUMMYFUNCTION("""COMPUTED_VALUE"""),127.43)</f>
        <v>127.43</v>
      </c>
      <c r="I481" s="256">
        <f>IFERROR(__xludf.DUMMYFUNCTION("""COMPUTED_VALUE"""),203.88800000000003)</f>
        <v>203.888</v>
      </c>
      <c r="J481" s="257">
        <f t="shared" si="1"/>
        <v>6</v>
      </c>
      <c r="K481" s="253"/>
      <c r="L481" s="253"/>
      <c r="M481" s="252"/>
      <c r="N481" s="258"/>
      <c r="O481" s="259"/>
      <c r="P481" s="259"/>
      <c r="Q481" s="262"/>
      <c r="R481" s="260"/>
      <c r="S481" s="260"/>
      <c r="T481" s="260"/>
      <c r="U481" s="261"/>
      <c r="V481" s="251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</row>
    <row r="482">
      <c r="A482" s="251">
        <f>IFERROR(__xludf.DUMMYFUNCTION("""COMPUTED_VALUE"""),7732197.0)</f>
        <v>7732197</v>
      </c>
      <c r="B482" s="252" t="str">
        <f>IFERROR(__xludf.DUMMYFUNCTION("""COMPUTED_VALUE"""),"BookingCom")</f>
        <v>BookingCom</v>
      </c>
      <c r="C482" s="253" t="str">
        <f>IFERROR(__xludf.DUMMYFUNCTION("""COMPUTED_VALUE"""),"Simon FEILLEL ")</f>
        <v>Simon FEILLEL </v>
      </c>
      <c r="D482" s="254">
        <f>IFERROR(__xludf.DUMMYFUNCTION("""COMPUTED_VALUE"""),46181.0)</f>
        <v>46181</v>
      </c>
      <c r="E482" s="251">
        <f>IFERROR(__xludf.DUMMYFUNCTION("""COMPUTED_VALUE"""),46187.0)</f>
        <v>46187</v>
      </c>
      <c r="F482" s="255">
        <f>IFERROR(__xludf.DUMMYFUNCTION("""COMPUTED_VALUE"""),6.0)</f>
        <v>6</v>
      </c>
      <c r="G482" s="255">
        <f>IFERROR(__xludf.DUMMYFUNCTION("""COMPUTED_VALUE"""),2.0)</f>
        <v>2</v>
      </c>
      <c r="H482" s="256">
        <f>IFERROR(__xludf.DUMMYFUNCTION("""COMPUTED_VALUE"""),144.79999999999998)</f>
        <v>144.8</v>
      </c>
      <c r="I482" s="256">
        <f>IFERROR(__xludf.DUMMYFUNCTION("""COMPUTED_VALUE"""),695.04)</f>
        <v>695.04</v>
      </c>
      <c r="J482" s="257">
        <f t="shared" si="1"/>
        <v>12</v>
      </c>
      <c r="K482" s="253"/>
      <c r="L482" s="253"/>
      <c r="M482" s="252"/>
      <c r="N482" s="258"/>
      <c r="O482" s="259"/>
      <c r="P482" s="259"/>
      <c r="Q482" s="262"/>
      <c r="R482" s="260"/>
      <c r="S482" s="260"/>
      <c r="T482" s="260"/>
      <c r="U482" s="261"/>
      <c r="V482" s="251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</row>
    <row r="483">
      <c r="A483" s="251">
        <f>IFERROR(__xludf.DUMMYFUNCTION("""COMPUTED_VALUE"""),7971333.0)</f>
        <v>7971333</v>
      </c>
      <c r="B483" s="252" t="str">
        <f>IFERROR(__xludf.DUMMYFUNCTION("""COMPUTED_VALUE"""),"BookingCom")</f>
        <v>BookingCom</v>
      </c>
      <c r="C483" s="253" t="str">
        <f>IFERROR(__xludf.DUMMYFUNCTION("""COMPUTED_VALUE"""),"Sarah Pyne ")</f>
        <v>Sarah Pyne </v>
      </c>
      <c r="D483" s="308">
        <f>IFERROR(__xludf.DUMMYFUNCTION("""COMPUTED_VALUE"""),46181.0)</f>
        <v>46181</v>
      </c>
      <c r="E483" s="251">
        <f>IFERROR(__xludf.DUMMYFUNCTION("""COMPUTED_VALUE"""),46184.0)</f>
        <v>46184</v>
      </c>
      <c r="F483" s="255">
        <f>IFERROR(__xludf.DUMMYFUNCTION("""COMPUTED_VALUE"""),3.0)</f>
        <v>3</v>
      </c>
      <c r="G483" s="255">
        <f>IFERROR(__xludf.DUMMYFUNCTION("""COMPUTED_VALUE"""),2.0)</f>
        <v>2</v>
      </c>
      <c r="H483" s="256">
        <f>IFERROR(__xludf.DUMMYFUNCTION("""COMPUTED_VALUE"""),171.9)</f>
        <v>171.9</v>
      </c>
      <c r="I483" s="256">
        <f>IFERROR(__xludf.DUMMYFUNCTION("""COMPUTED_VALUE"""),412.56000000000006)</f>
        <v>412.56</v>
      </c>
      <c r="J483" s="257">
        <f t="shared" si="1"/>
        <v>6</v>
      </c>
      <c r="K483" s="253"/>
      <c r="L483" s="253"/>
      <c r="M483" s="252"/>
      <c r="N483" s="258"/>
      <c r="O483" s="259"/>
      <c r="P483" s="259"/>
      <c r="Q483" s="262"/>
      <c r="R483" s="260"/>
      <c r="S483" s="260"/>
      <c r="T483" s="260"/>
      <c r="U483" s="261"/>
      <c r="V483" s="251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</row>
    <row r="484">
      <c r="A484" s="251">
        <f>IFERROR(__xludf.DUMMYFUNCTION("""COMPUTED_VALUE"""),7652322.0)</f>
        <v>7652322</v>
      </c>
      <c r="B484" s="252" t="str">
        <f>IFERROR(__xludf.DUMMYFUNCTION("""COMPUTED_VALUE"""),"BookingCom")</f>
        <v>BookingCom</v>
      </c>
      <c r="C484" s="253" t="str">
        <f>IFERROR(__xludf.DUMMYFUNCTION("""COMPUTED_VALUE"""),"Lucia Rubial ")</f>
        <v>Lucia Rubial </v>
      </c>
      <c r="D484" s="254">
        <f>IFERROR(__xludf.DUMMYFUNCTION("""COMPUTED_VALUE"""),46182.0)</f>
        <v>46182</v>
      </c>
      <c r="E484" s="251">
        <f>IFERROR(__xludf.DUMMYFUNCTION("""COMPUTED_VALUE"""),46185.0)</f>
        <v>46185</v>
      </c>
      <c r="F484" s="255">
        <f>IFERROR(__xludf.DUMMYFUNCTION("""COMPUTED_VALUE"""),3.0)</f>
        <v>3</v>
      </c>
      <c r="G484" s="255">
        <f>IFERROR(__xludf.DUMMYFUNCTION("""COMPUTED_VALUE"""),2.0)</f>
        <v>2</v>
      </c>
      <c r="H484" s="256">
        <f>IFERROR(__xludf.DUMMYFUNCTION("""COMPUTED_VALUE"""),81.06)</f>
        <v>81.06</v>
      </c>
      <c r="I484" s="256">
        <f>IFERROR(__xludf.DUMMYFUNCTION("""COMPUTED_VALUE"""),194.54399999999998)</f>
        <v>194.544</v>
      </c>
      <c r="J484" s="257">
        <f t="shared" si="1"/>
        <v>6</v>
      </c>
      <c r="K484" s="253"/>
      <c r="L484" s="253"/>
      <c r="M484" s="252"/>
      <c r="N484" s="258"/>
      <c r="O484" s="259"/>
      <c r="P484" s="259"/>
      <c r="Q484" s="262"/>
      <c r="R484" s="260"/>
      <c r="S484" s="260"/>
      <c r="T484" s="260"/>
      <c r="U484" s="261"/>
      <c r="V484" s="251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</row>
    <row r="485">
      <c r="A485" s="251">
        <f>IFERROR(__xludf.DUMMYFUNCTION("""COMPUTED_VALUE"""),7877171.0)</f>
        <v>7877171</v>
      </c>
      <c r="B485" s="252" t="str">
        <f>IFERROR(__xludf.DUMMYFUNCTION("""COMPUTED_VALUE"""),"BookingCom")</f>
        <v>BookingCom</v>
      </c>
      <c r="C485" s="253" t="str">
        <f>IFERROR(__xludf.DUMMYFUNCTION("""COMPUTED_VALUE"""),"Gloria Francesca Galli ")</f>
        <v>Gloria Francesca Galli </v>
      </c>
      <c r="D485" s="254">
        <f>IFERROR(__xludf.DUMMYFUNCTION("""COMPUTED_VALUE"""),46182.0)</f>
        <v>46182</v>
      </c>
      <c r="E485" s="251">
        <f>IFERROR(__xludf.DUMMYFUNCTION("""COMPUTED_VALUE"""),46185.0)</f>
        <v>46185</v>
      </c>
      <c r="F485" s="255">
        <f>IFERROR(__xludf.DUMMYFUNCTION("""COMPUTED_VALUE"""),3.0)</f>
        <v>3</v>
      </c>
      <c r="G485" s="255">
        <f>IFERROR(__xludf.DUMMYFUNCTION("""COMPUTED_VALUE"""),3.0)</f>
        <v>3</v>
      </c>
      <c r="H485" s="256">
        <f>IFERROR(__xludf.DUMMYFUNCTION("""COMPUTED_VALUE"""),229.67999999999998)</f>
        <v>229.68</v>
      </c>
      <c r="I485" s="256">
        <f>IFERROR(__xludf.DUMMYFUNCTION("""COMPUTED_VALUE"""),551.232)</f>
        <v>551.232</v>
      </c>
      <c r="J485" s="257">
        <f t="shared" si="1"/>
        <v>9</v>
      </c>
      <c r="K485" s="253"/>
      <c r="L485" s="253"/>
      <c r="M485" s="252"/>
      <c r="N485" s="258"/>
      <c r="O485" s="259"/>
      <c r="P485" s="259"/>
      <c r="Q485" s="257"/>
      <c r="R485" s="260"/>
      <c r="S485" s="260"/>
      <c r="T485" s="260"/>
      <c r="U485" s="261"/>
      <c r="V485" s="251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>
      <c r="A486" s="251">
        <f>IFERROR(__xludf.DUMMYFUNCTION("""COMPUTED_VALUE"""),7899570.0)</f>
        <v>7899570</v>
      </c>
      <c r="B486" s="252" t="str">
        <f>IFERROR(__xludf.DUMMYFUNCTION("""COMPUTED_VALUE"""),"BookingCom")</f>
        <v>BookingCom</v>
      </c>
      <c r="C486" s="253" t="str">
        <f>IFERROR(__xludf.DUMMYFUNCTION("""COMPUTED_VALUE"""),"Sullivan Plaete ")</f>
        <v>Sullivan Plaete </v>
      </c>
      <c r="D486" s="254">
        <f>IFERROR(__xludf.DUMMYFUNCTION("""COMPUTED_VALUE"""),46183.0)</f>
        <v>46183</v>
      </c>
      <c r="E486" s="251">
        <f>IFERROR(__xludf.DUMMYFUNCTION("""COMPUTED_VALUE"""),46187.0)</f>
        <v>46187</v>
      </c>
      <c r="F486" s="255">
        <f>IFERROR(__xludf.DUMMYFUNCTION("""COMPUTED_VALUE"""),4.0)</f>
        <v>4</v>
      </c>
      <c r="G486" s="255">
        <f>IFERROR(__xludf.DUMMYFUNCTION("""COMPUTED_VALUE"""),3.0)</f>
        <v>3</v>
      </c>
      <c r="H486" s="256">
        <f>IFERROR(__xludf.DUMMYFUNCTION("""COMPUTED_VALUE"""),151.98)</f>
        <v>151.98</v>
      </c>
      <c r="I486" s="256">
        <f>IFERROR(__xludf.DUMMYFUNCTION("""COMPUTED_VALUE"""),486.336)</f>
        <v>486.336</v>
      </c>
      <c r="J486" s="257">
        <f t="shared" si="1"/>
        <v>12</v>
      </c>
      <c r="K486" s="253"/>
      <c r="L486" s="253"/>
      <c r="M486" s="252"/>
      <c r="N486" s="258"/>
      <c r="O486" s="259"/>
      <c r="P486" s="259"/>
      <c r="Q486" s="257"/>
      <c r="R486" s="260"/>
      <c r="S486" s="260"/>
      <c r="T486" s="260"/>
      <c r="U486" s="261"/>
      <c r="V486" s="251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</row>
    <row r="487">
      <c r="A487" s="251">
        <f>IFERROR(__xludf.DUMMYFUNCTION("""COMPUTED_VALUE"""),8073754.0)</f>
        <v>8073754</v>
      </c>
      <c r="B487" s="252" t="str">
        <f>IFERROR(__xludf.DUMMYFUNCTION("""COMPUTED_VALUE"""),"Reseliva")</f>
        <v>Reseliva</v>
      </c>
      <c r="C487" s="253" t="str">
        <f>IFERROR(__xludf.DUMMYFUNCTION("""COMPUTED_VALUE"""),"Floriane VALENZA ")</f>
        <v>Floriane VALENZA </v>
      </c>
      <c r="D487" s="254">
        <f>IFERROR(__xludf.DUMMYFUNCTION("""COMPUTED_VALUE"""),46184.0)</f>
        <v>46184</v>
      </c>
      <c r="E487" s="251">
        <f>IFERROR(__xludf.DUMMYFUNCTION("""COMPUTED_VALUE"""),46188.0)</f>
        <v>46188</v>
      </c>
      <c r="F487" s="255">
        <f>IFERROR(__xludf.DUMMYFUNCTION("""COMPUTED_VALUE"""),4.0)</f>
        <v>4</v>
      </c>
      <c r="G487" s="255">
        <f>IFERROR(__xludf.DUMMYFUNCTION("""COMPUTED_VALUE"""),2.0)</f>
        <v>2</v>
      </c>
      <c r="H487" s="256">
        <f>IFERROR(__xludf.DUMMYFUNCTION("""COMPUTED_VALUE"""),159.12)</f>
        <v>159.12</v>
      </c>
      <c r="I487" s="256">
        <f>IFERROR(__xludf.DUMMYFUNCTION("""COMPUTED_VALUE"""),630.1152)</f>
        <v>630.1152</v>
      </c>
      <c r="J487" s="257">
        <f t="shared" si="1"/>
        <v>8</v>
      </c>
      <c r="K487" s="253"/>
      <c r="L487" s="253"/>
      <c r="M487" s="252"/>
      <c r="N487" s="258"/>
      <c r="O487" s="259"/>
      <c r="P487" s="259"/>
      <c r="Q487" s="262"/>
      <c r="R487" s="260"/>
      <c r="S487" s="260"/>
      <c r="T487" s="260"/>
      <c r="U487" s="261"/>
      <c r="V487" s="251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</row>
    <row r="488">
      <c r="A488" s="251">
        <f>IFERROR(__xludf.DUMMYFUNCTION("""COMPUTED_VALUE"""),8113384.0)</f>
        <v>8113384</v>
      </c>
      <c r="B488" s="252" t="str">
        <f>IFERROR(__xludf.DUMMYFUNCTION("""COMPUTED_VALUE"""),"Agoda2")</f>
        <v>Agoda2</v>
      </c>
      <c r="C488" s="253" t="str">
        <f>IFERROR(__xludf.DUMMYFUNCTION("""COMPUTED_VALUE"""),"Sabine Weber ")</f>
        <v>Sabine Weber </v>
      </c>
      <c r="D488" s="254">
        <f>IFERROR(__xludf.DUMMYFUNCTION("""COMPUTED_VALUE"""),46185.0)</f>
        <v>46185</v>
      </c>
      <c r="E488" s="251">
        <f>IFERROR(__xludf.DUMMYFUNCTION("""COMPUTED_VALUE"""),46187.0)</f>
        <v>46187</v>
      </c>
      <c r="F488" s="255">
        <f>IFERROR(__xludf.DUMMYFUNCTION("""COMPUTED_VALUE"""),2.0)</f>
        <v>2</v>
      </c>
      <c r="G488" s="255">
        <f>IFERROR(__xludf.DUMMYFUNCTION("""COMPUTED_VALUE"""),2.0)</f>
        <v>2</v>
      </c>
      <c r="H488" s="256">
        <f>IFERROR(__xludf.DUMMYFUNCTION("""COMPUTED_VALUE"""),173.4)</f>
        <v>173.4</v>
      </c>
      <c r="I488" s="256">
        <f>IFERROR(__xludf.DUMMYFUNCTION("""COMPUTED_VALUE"""),277.44)</f>
        <v>277.44</v>
      </c>
      <c r="J488" s="257">
        <f t="shared" si="1"/>
        <v>4</v>
      </c>
      <c r="K488" s="253"/>
      <c r="L488" s="253"/>
      <c r="M488" s="252"/>
      <c r="N488" s="258"/>
      <c r="O488" s="259"/>
      <c r="P488" s="259"/>
      <c r="Q488" s="262"/>
      <c r="R488" s="260"/>
      <c r="S488" s="260"/>
      <c r="T488" s="260"/>
      <c r="U488" s="261"/>
      <c r="V488" s="251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</row>
    <row r="489">
      <c r="A489" s="251">
        <f>IFERROR(__xludf.DUMMYFUNCTION("""COMPUTED_VALUE"""),7503764.0)</f>
        <v>7503764</v>
      </c>
      <c r="B489" s="252" t="str">
        <f>IFERROR(__xludf.DUMMYFUNCTION("""COMPUTED_VALUE"""),"BookingCom")</f>
        <v>BookingCom</v>
      </c>
      <c r="C489" s="253" t="str">
        <f>IFERROR(__xludf.DUMMYFUNCTION("""COMPUTED_VALUE"""),"Casandra Nash ")</f>
        <v>Casandra Nash </v>
      </c>
      <c r="D489" s="254">
        <f>IFERROR(__xludf.DUMMYFUNCTION("""COMPUTED_VALUE"""),46189.0)</f>
        <v>46189</v>
      </c>
      <c r="E489" s="251">
        <f>IFERROR(__xludf.DUMMYFUNCTION("""COMPUTED_VALUE"""),46192.0)</f>
        <v>46192</v>
      </c>
      <c r="F489" s="255">
        <f>IFERROR(__xludf.DUMMYFUNCTION("""COMPUTED_VALUE"""),3.0)</f>
        <v>3</v>
      </c>
      <c r="G489" s="255">
        <f>IFERROR(__xludf.DUMMYFUNCTION("""COMPUTED_VALUE"""),2.0)</f>
        <v>2</v>
      </c>
      <c r="H489" s="256">
        <f>IFERROR(__xludf.DUMMYFUNCTION("""COMPUTED_VALUE"""),154.85)</f>
        <v>154.85</v>
      </c>
      <c r="I489" s="256">
        <f>IFERROR(__xludf.DUMMYFUNCTION("""COMPUTED_VALUE"""),371.64)</f>
        <v>371.64</v>
      </c>
      <c r="J489" s="257">
        <f t="shared" si="1"/>
        <v>6</v>
      </c>
      <c r="K489" s="253"/>
      <c r="L489" s="253"/>
      <c r="M489" s="252"/>
      <c r="N489" s="258"/>
      <c r="O489" s="259"/>
      <c r="P489" s="259"/>
      <c r="Q489" s="262"/>
      <c r="R489" s="260"/>
      <c r="S489" s="260"/>
      <c r="T489" s="260"/>
      <c r="U489" s="261"/>
      <c r="V489" s="251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</row>
    <row r="490">
      <c r="A490" s="251">
        <f>IFERROR(__xludf.DUMMYFUNCTION("""COMPUTED_VALUE"""),7503764.0)</f>
        <v>7503764</v>
      </c>
      <c r="B490" s="252" t="str">
        <f>IFERROR(__xludf.DUMMYFUNCTION("""COMPUTED_VALUE"""),"BookingCom")</f>
        <v>BookingCom</v>
      </c>
      <c r="C490" s="253" t="str">
        <f>IFERROR(__xludf.DUMMYFUNCTION("""COMPUTED_VALUE"""),"Casandra Nash ")</f>
        <v>Casandra Nash </v>
      </c>
      <c r="D490" s="254">
        <f>IFERROR(__xludf.DUMMYFUNCTION("""COMPUTED_VALUE"""),46189.0)</f>
        <v>46189</v>
      </c>
      <c r="E490" s="251">
        <f>IFERROR(__xludf.DUMMYFUNCTION("""COMPUTED_VALUE"""),46192.0)</f>
        <v>46192</v>
      </c>
      <c r="F490" s="255">
        <f>IFERROR(__xludf.DUMMYFUNCTION("""COMPUTED_VALUE"""),3.0)</f>
        <v>3</v>
      </c>
      <c r="G490" s="255">
        <f>IFERROR(__xludf.DUMMYFUNCTION("""COMPUTED_VALUE"""),2.0)</f>
        <v>2</v>
      </c>
      <c r="H490" s="256">
        <f>IFERROR(__xludf.DUMMYFUNCTION("""COMPUTED_VALUE"""),154.85)</f>
        <v>154.85</v>
      </c>
      <c r="I490" s="256">
        <f>IFERROR(__xludf.DUMMYFUNCTION("""COMPUTED_VALUE"""),371.64)</f>
        <v>371.64</v>
      </c>
      <c r="J490" s="257">
        <f t="shared" si="1"/>
        <v>6</v>
      </c>
      <c r="K490" s="253"/>
      <c r="L490" s="253"/>
      <c r="M490" s="252"/>
      <c r="N490" s="258"/>
      <c r="O490" s="259"/>
      <c r="P490" s="259"/>
      <c r="Q490" s="257"/>
      <c r="R490" s="260"/>
      <c r="S490" s="260"/>
      <c r="T490" s="260"/>
      <c r="U490" s="261"/>
      <c r="V490" s="251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</row>
    <row r="491">
      <c r="A491" s="251">
        <f>IFERROR(__xludf.DUMMYFUNCTION("""COMPUTED_VALUE"""),7503764.0)</f>
        <v>7503764</v>
      </c>
      <c r="B491" s="252" t="str">
        <f>IFERROR(__xludf.DUMMYFUNCTION("""COMPUTED_VALUE"""),"BookingCom")</f>
        <v>BookingCom</v>
      </c>
      <c r="C491" s="253" t="str">
        <f>IFERROR(__xludf.DUMMYFUNCTION("""COMPUTED_VALUE"""),"Casandra Nash ")</f>
        <v>Casandra Nash </v>
      </c>
      <c r="D491" s="254">
        <f>IFERROR(__xludf.DUMMYFUNCTION("""COMPUTED_VALUE"""),46189.0)</f>
        <v>46189</v>
      </c>
      <c r="E491" s="251">
        <f>IFERROR(__xludf.DUMMYFUNCTION("""COMPUTED_VALUE"""),46192.0)</f>
        <v>46192</v>
      </c>
      <c r="F491" s="255">
        <f>IFERROR(__xludf.DUMMYFUNCTION("""COMPUTED_VALUE"""),3.0)</f>
        <v>3</v>
      </c>
      <c r="G491" s="255">
        <f>IFERROR(__xludf.DUMMYFUNCTION("""COMPUTED_VALUE"""),1.0)</f>
        <v>1</v>
      </c>
      <c r="H491" s="256">
        <f>IFERROR(__xludf.DUMMYFUNCTION("""COMPUTED_VALUE"""),213.1)</f>
        <v>213.1</v>
      </c>
      <c r="I491" s="256">
        <f>IFERROR(__xludf.DUMMYFUNCTION("""COMPUTED_VALUE"""),511.44000000000005)</f>
        <v>511.44</v>
      </c>
      <c r="J491" s="257">
        <f t="shared" si="1"/>
        <v>3</v>
      </c>
      <c r="K491" s="253"/>
      <c r="L491" s="253"/>
      <c r="M491" s="275"/>
      <c r="N491" s="258"/>
      <c r="O491" s="259"/>
      <c r="P491" s="259"/>
      <c r="Q491" s="262"/>
      <c r="R491" s="260"/>
      <c r="S491" s="260"/>
      <c r="T491" s="260"/>
      <c r="U491" s="261"/>
      <c r="V491" s="251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</row>
    <row r="492">
      <c r="A492" s="251">
        <f>IFERROR(__xludf.DUMMYFUNCTION("""COMPUTED_VALUE"""),7503764.0)</f>
        <v>7503764</v>
      </c>
      <c r="B492" s="252" t="str">
        <f>IFERROR(__xludf.DUMMYFUNCTION("""COMPUTED_VALUE"""),"BookingCom")</f>
        <v>BookingCom</v>
      </c>
      <c r="C492" s="253" t="str">
        <f>IFERROR(__xludf.DUMMYFUNCTION("""COMPUTED_VALUE"""),"Casandra Nash ")</f>
        <v>Casandra Nash </v>
      </c>
      <c r="D492" s="254">
        <f>IFERROR(__xludf.DUMMYFUNCTION("""COMPUTED_VALUE"""),46189.0)</f>
        <v>46189</v>
      </c>
      <c r="E492" s="251">
        <f>IFERROR(__xludf.DUMMYFUNCTION("""COMPUTED_VALUE"""),46192.0)</f>
        <v>46192</v>
      </c>
      <c r="F492" s="255">
        <f>IFERROR(__xludf.DUMMYFUNCTION("""COMPUTED_VALUE"""),3.0)</f>
        <v>3</v>
      </c>
      <c r="G492" s="255">
        <f>IFERROR(__xludf.DUMMYFUNCTION("""COMPUTED_VALUE"""),2.0)</f>
        <v>2</v>
      </c>
      <c r="H492" s="256">
        <f>IFERROR(__xludf.DUMMYFUNCTION("""COMPUTED_VALUE"""),154.85)</f>
        <v>154.85</v>
      </c>
      <c r="I492" s="256">
        <f>IFERROR(__xludf.DUMMYFUNCTION("""COMPUTED_VALUE"""),371.64)</f>
        <v>371.64</v>
      </c>
      <c r="J492" s="257">
        <f t="shared" si="1"/>
        <v>6</v>
      </c>
      <c r="K492" s="253"/>
      <c r="L492" s="253"/>
      <c r="M492" s="252"/>
      <c r="N492" s="258"/>
      <c r="O492" s="259"/>
      <c r="P492" s="259"/>
      <c r="Q492" s="262"/>
      <c r="R492" s="260"/>
      <c r="S492" s="260"/>
      <c r="T492" s="260"/>
      <c r="U492" s="261"/>
      <c r="V492" s="251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</row>
    <row r="493">
      <c r="A493" s="251">
        <f>IFERROR(__xludf.DUMMYFUNCTION("""COMPUTED_VALUE"""),7503764.0)</f>
        <v>7503764</v>
      </c>
      <c r="B493" s="252" t="str">
        <f>IFERROR(__xludf.DUMMYFUNCTION("""COMPUTED_VALUE"""),"BookingCom")</f>
        <v>BookingCom</v>
      </c>
      <c r="C493" s="253" t="str">
        <f>IFERROR(__xludf.DUMMYFUNCTION("""COMPUTED_VALUE"""),"Casandra Nash ")</f>
        <v>Casandra Nash </v>
      </c>
      <c r="D493" s="254">
        <f>IFERROR(__xludf.DUMMYFUNCTION("""COMPUTED_VALUE"""),46189.0)</f>
        <v>46189</v>
      </c>
      <c r="E493" s="251">
        <f>IFERROR(__xludf.DUMMYFUNCTION("""COMPUTED_VALUE"""),46192.0)</f>
        <v>46192</v>
      </c>
      <c r="F493" s="255">
        <f>IFERROR(__xludf.DUMMYFUNCTION("""COMPUTED_VALUE"""),3.0)</f>
        <v>3</v>
      </c>
      <c r="G493" s="255">
        <f>IFERROR(__xludf.DUMMYFUNCTION("""COMPUTED_VALUE"""),2.0)</f>
        <v>2</v>
      </c>
      <c r="H493" s="256">
        <f>IFERROR(__xludf.DUMMYFUNCTION("""COMPUTED_VALUE"""),130.54999999999998)</f>
        <v>130.55</v>
      </c>
      <c r="I493" s="256">
        <f>IFERROR(__xludf.DUMMYFUNCTION("""COMPUTED_VALUE"""),313.32)</f>
        <v>313.32</v>
      </c>
      <c r="J493" s="257">
        <f t="shared" si="1"/>
        <v>6</v>
      </c>
      <c r="K493" s="253"/>
      <c r="L493" s="253"/>
      <c r="M493" s="252"/>
      <c r="N493" s="258"/>
      <c r="O493" s="259"/>
      <c r="P493" s="259"/>
      <c r="Q493" s="262"/>
      <c r="R493" s="260"/>
      <c r="S493" s="260"/>
      <c r="T493" s="260"/>
      <c r="U493" s="261"/>
      <c r="V493" s="251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</row>
    <row r="494">
      <c r="A494" s="251">
        <f>IFERROR(__xludf.DUMMYFUNCTION("""COMPUTED_VALUE"""),7503764.0)</f>
        <v>7503764</v>
      </c>
      <c r="B494" s="252" t="str">
        <f>IFERROR(__xludf.DUMMYFUNCTION("""COMPUTED_VALUE"""),"BookingCom")</f>
        <v>BookingCom</v>
      </c>
      <c r="C494" s="253" t="str">
        <f>IFERROR(__xludf.DUMMYFUNCTION("""COMPUTED_VALUE"""),"Casandra Nash ")</f>
        <v>Casandra Nash </v>
      </c>
      <c r="D494" s="254">
        <f>IFERROR(__xludf.DUMMYFUNCTION("""COMPUTED_VALUE"""),46189.0)</f>
        <v>46189</v>
      </c>
      <c r="E494" s="251">
        <f>IFERROR(__xludf.DUMMYFUNCTION("""COMPUTED_VALUE"""),46192.0)</f>
        <v>46192</v>
      </c>
      <c r="F494" s="255">
        <f>IFERROR(__xludf.DUMMYFUNCTION("""COMPUTED_VALUE"""),3.0)</f>
        <v>3</v>
      </c>
      <c r="G494" s="255">
        <f>IFERROR(__xludf.DUMMYFUNCTION("""COMPUTED_VALUE"""),2.0)</f>
        <v>2</v>
      </c>
      <c r="H494" s="256">
        <f>IFERROR(__xludf.DUMMYFUNCTION("""COMPUTED_VALUE"""),183.20000000000002)</f>
        <v>183.2</v>
      </c>
      <c r="I494" s="256">
        <f>IFERROR(__xludf.DUMMYFUNCTION("""COMPUTED_VALUE"""),439.68000000000006)</f>
        <v>439.68</v>
      </c>
      <c r="J494" s="257">
        <f t="shared" si="1"/>
        <v>6</v>
      </c>
      <c r="K494" s="253"/>
      <c r="L494" s="253"/>
      <c r="M494" s="275"/>
      <c r="N494" s="258"/>
      <c r="O494" s="259"/>
      <c r="P494" s="259"/>
      <c r="Q494" s="262"/>
      <c r="R494" s="260"/>
      <c r="S494" s="260"/>
      <c r="T494" s="260"/>
      <c r="U494" s="261"/>
      <c r="V494" s="251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</row>
    <row r="495">
      <c r="A495" s="251">
        <f>IFERROR(__xludf.DUMMYFUNCTION("""COMPUTED_VALUE"""),8131584.0)</f>
        <v>8131584</v>
      </c>
      <c r="B495" s="252" t="str">
        <f>IFERROR(__xludf.DUMMYFUNCTION("""COMPUTED_VALUE"""),"BookingCom")</f>
        <v>BookingCom</v>
      </c>
      <c r="C495" s="253" t="str">
        <f>IFERROR(__xludf.DUMMYFUNCTION("""COMPUTED_VALUE"""),"Anais Cunha ")</f>
        <v>Anais Cunha </v>
      </c>
      <c r="D495" s="254">
        <f>IFERROR(__xludf.DUMMYFUNCTION("""COMPUTED_VALUE"""),46191.0)</f>
        <v>46191</v>
      </c>
      <c r="E495" s="251">
        <f>IFERROR(__xludf.DUMMYFUNCTION("""COMPUTED_VALUE"""),46195.0)</f>
        <v>46195</v>
      </c>
      <c r="F495" s="255">
        <f>IFERROR(__xludf.DUMMYFUNCTION("""COMPUTED_VALUE"""),4.0)</f>
        <v>4</v>
      </c>
      <c r="G495" s="255">
        <f>IFERROR(__xludf.DUMMYFUNCTION("""COMPUTED_VALUE"""),2.0)</f>
        <v>2</v>
      </c>
      <c r="H495" s="256">
        <f>IFERROR(__xludf.DUMMYFUNCTION("""COMPUTED_VALUE"""),127.43)</f>
        <v>127.43</v>
      </c>
      <c r="I495" s="256">
        <f>IFERROR(__xludf.DUMMYFUNCTION("""COMPUTED_VALUE"""),407.77600000000007)</f>
        <v>407.776</v>
      </c>
      <c r="J495" s="257">
        <f t="shared" si="1"/>
        <v>8</v>
      </c>
      <c r="K495" s="253"/>
      <c r="L495" s="253"/>
      <c r="M495" s="275"/>
      <c r="N495" s="258"/>
      <c r="O495" s="259"/>
      <c r="P495" s="259"/>
      <c r="Q495" s="262"/>
      <c r="R495" s="260"/>
      <c r="S495" s="260"/>
      <c r="T495" s="260"/>
      <c r="U495" s="261"/>
      <c r="V495" s="251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</row>
    <row r="496">
      <c r="A496" s="251">
        <f>IFERROR(__xludf.DUMMYFUNCTION("""COMPUTED_VALUE"""),7706246.0)</f>
        <v>7706246</v>
      </c>
      <c r="B496" s="252" t="str">
        <f>IFERROR(__xludf.DUMMYFUNCTION("""COMPUTED_VALUE"""),"BookingCom")</f>
        <v>BookingCom</v>
      </c>
      <c r="C496" s="253" t="str">
        <f>IFERROR(__xludf.DUMMYFUNCTION("""COMPUTED_VALUE"""),"Mounia nati ")</f>
        <v>Mounia nati </v>
      </c>
      <c r="D496" s="254">
        <f>IFERROR(__xludf.DUMMYFUNCTION("""COMPUTED_VALUE"""),46194.0)</f>
        <v>46194</v>
      </c>
      <c r="E496" s="251">
        <f>IFERROR(__xludf.DUMMYFUNCTION("""COMPUTED_VALUE"""),46198.0)</f>
        <v>46198</v>
      </c>
      <c r="F496" s="255">
        <f>IFERROR(__xludf.DUMMYFUNCTION("""COMPUTED_VALUE"""),4.0)</f>
        <v>4</v>
      </c>
      <c r="G496" s="255">
        <f>IFERROR(__xludf.DUMMYFUNCTION("""COMPUTED_VALUE"""),2.0)</f>
        <v>2</v>
      </c>
      <c r="H496" s="256">
        <f>IFERROR(__xludf.DUMMYFUNCTION("""COMPUTED_VALUE"""),110.36)</f>
        <v>110.36</v>
      </c>
      <c r="I496" s="256">
        <f>IFERROR(__xludf.DUMMYFUNCTION("""COMPUTED_VALUE"""),353.15200000000004)</f>
        <v>353.152</v>
      </c>
      <c r="J496" s="257">
        <f t="shared" si="1"/>
        <v>8</v>
      </c>
      <c r="K496" s="253"/>
      <c r="L496" s="253"/>
      <c r="M496" s="252"/>
      <c r="N496" s="258"/>
      <c r="O496" s="259"/>
      <c r="P496" s="259"/>
      <c r="Q496" s="262"/>
      <c r="R496" s="260"/>
      <c r="S496" s="260"/>
      <c r="T496" s="260"/>
      <c r="U496" s="261"/>
      <c r="V496" s="251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</row>
    <row r="497">
      <c r="A497" s="251">
        <f>IFERROR(__xludf.DUMMYFUNCTION("""COMPUTED_VALUE"""),8153817.0)</f>
        <v>8153817</v>
      </c>
      <c r="B497" s="252" t="str">
        <f>IFERROR(__xludf.DUMMYFUNCTION("""COMPUTED_VALUE"""),"Reseliva Pannel")</f>
        <v>Reseliva Pannel</v>
      </c>
      <c r="C497" s="253" t="str">
        <f>IFERROR(__xludf.DUMMYFUNCTION("""COMPUTED_VALUE"""),"Harry Pang ")</f>
        <v>Harry Pang </v>
      </c>
      <c r="D497" s="254">
        <f>IFERROR(__xludf.DUMMYFUNCTION("""COMPUTED_VALUE"""),46200.0)</f>
        <v>46200</v>
      </c>
      <c r="E497" s="251">
        <f>IFERROR(__xludf.DUMMYFUNCTION("""COMPUTED_VALUE"""),46204.0)</f>
        <v>46204</v>
      </c>
      <c r="F497" s="255">
        <f>IFERROR(__xludf.DUMMYFUNCTION("""COMPUTED_VALUE"""),4.0)</f>
        <v>4</v>
      </c>
      <c r="G497" s="255">
        <f>IFERROR(__xludf.DUMMYFUNCTION("""COMPUTED_VALUE"""),2.0)</f>
        <v>2</v>
      </c>
      <c r="H497" s="256">
        <f>IFERROR(__xludf.DUMMYFUNCTION("""COMPUTED_VALUE"""),195.84)</f>
        <v>195.84</v>
      </c>
      <c r="I497" s="256">
        <f>IFERROR(__xludf.DUMMYFUNCTION("""COMPUTED_VALUE"""),783.36)</f>
        <v>783.36</v>
      </c>
      <c r="J497" s="257">
        <f t="shared" si="1"/>
        <v>8</v>
      </c>
      <c r="K497" s="253"/>
      <c r="L497" s="253"/>
      <c r="M497" s="252"/>
      <c r="N497" s="258"/>
      <c r="O497" s="259"/>
      <c r="P497" s="259"/>
      <c r="Q497" s="262"/>
      <c r="R497" s="260"/>
      <c r="S497" s="260"/>
      <c r="T497" s="260"/>
      <c r="U497" s="261"/>
      <c r="V497" s="251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</row>
    <row r="498">
      <c r="A498" s="251">
        <f>IFERROR(__xludf.DUMMYFUNCTION("""COMPUTED_VALUE"""),7682598.0)</f>
        <v>7682598</v>
      </c>
      <c r="B498" s="252" t="str">
        <f>IFERROR(__xludf.DUMMYFUNCTION("""COMPUTED_VALUE"""),"BookingCom")</f>
        <v>BookingCom</v>
      </c>
      <c r="C498" s="253" t="str">
        <f>IFERROR(__xludf.DUMMYFUNCTION("""COMPUTED_VALUE"""),"Laura MOKHTARI ")</f>
        <v>Laura MOKHTARI </v>
      </c>
      <c r="D498" s="254">
        <f>IFERROR(__xludf.DUMMYFUNCTION("""COMPUTED_VALUE"""),46202.0)</f>
        <v>46202</v>
      </c>
      <c r="E498" s="251">
        <f>IFERROR(__xludf.DUMMYFUNCTION("""COMPUTED_VALUE"""),46203.0)</f>
        <v>46203</v>
      </c>
      <c r="F498" s="255">
        <f>IFERROR(__xludf.DUMMYFUNCTION("""COMPUTED_VALUE"""),1.0)</f>
        <v>1</v>
      </c>
      <c r="G498" s="255">
        <f>IFERROR(__xludf.DUMMYFUNCTION("""COMPUTED_VALUE"""),2.0)</f>
        <v>2</v>
      </c>
      <c r="H498" s="256">
        <f>IFERROR(__xludf.DUMMYFUNCTION("""COMPUTED_VALUE"""),81.06)</f>
        <v>81.06</v>
      </c>
      <c r="I498" s="256">
        <f>IFERROR(__xludf.DUMMYFUNCTION("""COMPUTED_VALUE"""),64.848)</f>
        <v>64.848</v>
      </c>
      <c r="J498" s="257">
        <f t="shared" si="1"/>
        <v>2</v>
      </c>
      <c r="K498" s="253"/>
      <c r="L498" s="253"/>
      <c r="M498" s="252"/>
      <c r="N498" s="258"/>
      <c r="O498" s="259"/>
      <c r="P498" s="259"/>
      <c r="Q498" s="262"/>
      <c r="R498" s="260"/>
      <c r="S498" s="260"/>
      <c r="T498" s="260"/>
      <c r="U498" s="261"/>
      <c r="V498" s="251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</row>
    <row r="499">
      <c r="A499" s="251">
        <f>IFERROR(__xludf.DUMMYFUNCTION("""COMPUTED_VALUE"""),7997136.0)</f>
        <v>7997136</v>
      </c>
      <c r="B499" s="252" t="str">
        <f>IFERROR(__xludf.DUMMYFUNCTION("""COMPUTED_VALUE"""),"BookingCom")</f>
        <v>BookingCom</v>
      </c>
      <c r="C499" s="253" t="str">
        <f>IFERROR(__xludf.DUMMYFUNCTION("""COMPUTED_VALUE"""),"Dianne Silvestro ")</f>
        <v>Dianne Silvestro </v>
      </c>
      <c r="D499" s="254">
        <f>IFERROR(__xludf.DUMMYFUNCTION("""COMPUTED_VALUE"""),46203.0)</f>
        <v>46203</v>
      </c>
      <c r="E499" s="251">
        <f>IFERROR(__xludf.DUMMYFUNCTION("""COMPUTED_VALUE"""),46206.0)</f>
        <v>46206</v>
      </c>
      <c r="F499" s="255">
        <f>IFERROR(__xludf.DUMMYFUNCTION("""COMPUTED_VALUE"""),3.0)</f>
        <v>3</v>
      </c>
      <c r="G499" s="255">
        <f>IFERROR(__xludf.DUMMYFUNCTION("""COMPUTED_VALUE"""),2.0)</f>
        <v>2</v>
      </c>
      <c r="H499" s="256">
        <f>IFERROR(__xludf.DUMMYFUNCTION("""COMPUTED_VALUE"""),174.78)</f>
        <v>174.78</v>
      </c>
      <c r="I499" s="256">
        <f>IFERROR(__xludf.DUMMYFUNCTION("""COMPUTED_VALUE"""),419.47200000000004)</f>
        <v>419.472</v>
      </c>
      <c r="J499" s="257">
        <f t="shared" si="1"/>
        <v>6</v>
      </c>
      <c r="K499" s="253"/>
      <c r="L499" s="253"/>
      <c r="M499" s="252"/>
      <c r="N499" s="258"/>
      <c r="O499" s="259"/>
      <c r="P499" s="259"/>
      <c r="Q499" s="262"/>
      <c r="R499" s="260"/>
      <c r="S499" s="260"/>
      <c r="T499" s="260"/>
      <c r="U499" s="261"/>
      <c r="V499" s="276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</row>
    <row r="500">
      <c r="A500" s="251">
        <f>IFERROR(__xludf.DUMMYFUNCTION("""COMPUTED_VALUE"""),7997138.0)</f>
        <v>7997138</v>
      </c>
      <c r="B500" s="252" t="str">
        <f>IFERROR(__xludf.DUMMYFUNCTION("""COMPUTED_VALUE"""),"BookingCom")</f>
        <v>BookingCom</v>
      </c>
      <c r="C500" s="253" t="str">
        <f>IFERROR(__xludf.DUMMYFUNCTION("""COMPUTED_VALUE"""),"Jackie Costello ")</f>
        <v>Jackie Costello </v>
      </c>
      <c r="D500" s="254">
        <f>IFERROR(__xludf.DUMMYFUNCTION("""COMPUTED_VALUE"""),46203.0)</f>
        <v>46203</v>
      </c>
      <c r="E500" s="251">
        <f>IFERROR(__xludf.DUMMYFUNCTION("""COMPUTED_VALUE"""),46206.0)</f>
        <v>46206</v>
      </c>
      <c r="F500" s="255">
        <f>IFERROR(__xludf.DUMMYFUNCTION("""COMPUTED_VALUE"""),3.0)</f>
        <v>3</v>
      </c>
      <c r="G500" s="255">
        <f>IFERROR(__xludf.DUMMYFUNCTION("""COMPUTED_VALUE"""),2.0)</f>
        <v>2</v>
      </c>
      <c r="H500" s="256">
        <f>IFERROR(__xludf.DUMMYFUNCTION("""COMPUTED_VALUE"""),212.4)</f>
        <v>212.4</v>
      </c>
      <c r="I500" s="256">
        <f>IFERROR(__xludf.DUMMYFUNCTION("""COMPUTED_VALUE"""),509.76000000000005)</f>
        <v>509.76</v>
      </c>
      <c r="J500" s="257">
        <f t="shared" si="1"/>
        <v>6</v>
      </c>
      <c r="K500" s="253"/>
      <c r="L500" s="253"/>
      <c r="M500" s="275"/>
      <c r="N500" s="258"/>
      <c r="O500" s="259"/>
      <c r="P500" s="259"/>
      <c r="Q500" s="262"/>
      <c r="R500" s="260"/>
      <c r="S500" s="260"/>
      <c r="T500" s="260"/>
      <c r="U500" s="261"/>
      <c r="V500" s="251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</row>
    <row r="501">
      <c r="A501" s="251">
        <f>IFERROR(__xludf.DUMMYFUNCTION("""COMPUTED_VALUE"""),7815833.0)</f>
        <v>7815833</v>
      </c>
      <c r="B501" s="252" t="str">
        <f>IFERROR(__xludf.DUMMYFUNCTION("""COMPUTED_VALUE"""),"BookingCom")</f>
        <v>BookingCom</v>
      </c>
      <c r="C501" s="253" t="str">
        <f>IFERROR(__xludf.DUMMYFUNCTION("""COMPUTED_VALUE"""),"Gaia Frattini ")</f>
        <v>Gaia Frattini </v>
      </c>
      <c r="D501" s="254">
        <f>IFERROR(__xludf.DUMMYFUNCTION("""COMPUTED_VALUE"""),46207.0)</f>
        <v>46207</v>
      </c>
      <c r="E501" s="251">
        <f>IFERROR(__xludf.DUMMYFUNCTION("""COMPUTED_VALUE"""),46211.0)</f>
        <v>46211</v>
      </c>
      <c r="F501" s="255">
        <f>IFERROR(__xludf.DUMMYFUNCTION("""COMPUTED_VALUE"""),4.0)</f>
        <v>4</v>
      </c>
      <c r="G501" s="255">
        <f>IFERROR(__xludf.DUMMYFUNCTION("""COMPUTED_VALUE"""),2.0)</f>
        <v>2</v>
      </c>
      <c r="H501" s="256">
        <f>IFERROR(__xludf.DUMMYFUNCTION("""COMPUTED_VALUE"""),134.39999999999998)</f>
        <v>134.4</v>
      </c>
      <c r="I501" s="256">
        <f>IFERROR(__xludf.DUMMYFUNCTION("""COMPUTED_VALUE"""),430.0799999999999)</f>
        <v>430.08</v>
      </c>
      <c r="J501" s="257">
        <f t="shared" si="1"/>
        <v>8</v>
      </c>
      <c r="K501" s="253"/>
      <c r="L501" s="253"/>
      <c r="M501" s="252"/>
      <c r="N501" s="258"/>
      <c r="O501" s="259"/>
      <c r="P501" s="259"/>
      <c r="Q501" s="262"/>
      <c r="R501" s="260"/>
      <c r="S501" s="260"/>
      <c r="T501" s="260"/>
      <c r="U501" s="261"/>
      <c r="V501" s="251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</row>
    <row r="502">
      <c r="A502" s="251">
        <f>IFERROR(__xludf.DUMMYFUNCTION("""COMPUTED_VALUE"""),7815833.0)</f>
        <v>7815833</v>
      </c>
      <c r="B502" s="252" t="str">
        <f>IFERROR(__xludf.DUMMYFUNCTION("""COMPUTED_VALUE"""),"BookingCom")</f>
        <v>BookingCom</v>
      </c>
      <c r="C502" s="253" t="str">
        <f>IFERROR(__xludf.DUMMYFUNCTION("""COMPUTED_VALUE"""),"Gaia Frattini ")</f>
        <v>Gaia Frattini </v>
      </c>
      <c r="D502" s="254">
        <f>IFERROR(__xludf.DUMMYFUNCTION("""COMPUTED_VALUE"""),46207.0)</f>
        <v>46207</v>
      </c>
      <c r="E502" s="251">
        <f>IFERROR(__xludf.DUMMYFUNCTION("""COMPUTED_VALUE"""),46211.0)</f>
        <v>46211</v>
      </c>
      <c r="F502" s="255">
        <f>IFERROR(__xludf.DUMMYFUNCTION("""COMPUTED_VALUE"""),4.0)</f>
        <v>4</v>
      </c>
      <c r="G502" s="255">
        <f>IFERROR(__xludf.DUMMYFUNCTION("""COMPUTED_VALUE"""),2.0)</f>
        <v>2</v>
      </c>
      <c r="H502" s="256">
        <f>IFERROR(__xludf.DUMMYFUNCTION("""COMPUTED_VALUE"""),175.2)</f>
        <v>175.2</v>
      </c>
      <c r="I502" s="256">
        <f>IFERROR(__xludf.DUMMYFUNCTION("""COMPUTED_VALUE"""),560.64)</f>
        <v>560.64</v>
      </c>
      <c r="J502" s="257">
        <f t="shared" si="1"/>
        <v>8</v>
      </c>
      <c r="K502" s="253"/>
      <c r="L502" s="253"/>
      <c r="M502" s="252"/>
      <c r="N502" s="258"/>
      <c r="O502" s="259"/>
      <c r="P502" s="259"/>
      <c r="Q502" s="262"/>
      <c r="R502" s="260"/>
      <c r="S502" s="260"/>
      <c r="T502" s="260"/>
      <c r="U502" s="261"/>
      <c r="V502" s="251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</row>
    <row r="503">
      <c r="A503" s="251">
        <f>IFERROR(__xludf.DUMMYFUNCTION("""COMPUTED_VALUE"""),7859693.0)</f>
        <v>7859693</v>
      </c>
      <c r="B503" s="252" t="str">
        <f>IFERROR(__xludf.DUMMYFUNCTION("""COMPUTED_VALUE"""),"BookingCom")</f>
        <v>BookingCom</v>
      </c>
      <c r="C503" s="253" t="str">
        <f>IFERROR(__xludf.DUMMYFUNCTION("""COMPUTED_VALUE"""),"Mar Tomas ")</f>
        <v>Mar Tomas </v>
      </c>
      <c r="D503" s="254">
        <f>IFERROR(__xludf.DUMMYFUNCTION("""COMPUTED_VALUE"""),46208.0)</f>
        <v>46208</v>
      </c>
      <c r="E503" s="251">
        <f>IFERROR(__xludf.DUMMYFUNCTION("""COMPUTED_VALUE"""),46209.0)</f>
        <v>46209</v>
      </c>
      <c r="F503" s="255">
        <f>IFERROR(__xludf.DUMMYFUNCTION("""COMPUTED_VALUE"""),1.0)</f>
        <v>1</v>
      </c>
      <c r="G503" s="255">
        <f>IFERROR(__xludf.DUMMYFUNCTION("""COMPUTED_VALUE"""),2.0)</f>
        <v>2</v>
      </c>
      <c r="H503" s="256">
        <f>IFERROR(__xludf.DUMMYFUNCTION("""COMPUTED_VALUE"""),129.5)</f>
        <v>129.5</v>
      </c>
      <c r="I503" s="256">
        <f>IFERROR(__xludf.DUMMYFUNCTION("""COMPUTED_VALUE"""),103.60000000000001)</f>
        <v>103.6</v>
      </c>
      <c r="J503" s="257">
        <f t="shared" si="1"/>
        <v>2</v>
      </c>
      <c r="K503" s="253"/>
      <c r="L503" s="253"/>
      <c r="M503" s="275"/>
      <c r="N503" s="258"/>
      <c r="O503" s="259"/>
      <c r="P503" s="259"/>
      <c r="Q503" s="262"/>
      <c r="R503" s="260"/>
      <c r="S503" s="260"/>
      <c r="T503" s="260"/>
      <c r="U503" s="261"/>
      <c r="V503" s="251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</row>
    <row r="504">
      <c r="A504" s="251">
        <f>IFERROR(__xludf.DUMMYFUNCTION("""COMPUTED_VALUE"""),7859693.0)</f>
        <v>7859693</v>
      </c>
      <c r="B504" s="252" t="str">
        <f>IFERROR(__xludf.DUMMYFUNCTION("""COMPUTED_VALUE"""),"BookingCom")</f>
        <v>BookingCom</v>
      </c>
      <c r="C504" s="253" t="str">
        <f>IFERROR(__xludf.DUMMYFUNCTION("""COMPUTED_VALUE"""),"Mar Tomas ")</f>
        <v>Mar Tomas </v>
      </c>
      <c r="D504" s="254">
        <f>IFERROR(__xludf.DUMMYFUNCTION("""COMPUTED_VALUE"""),46208.0)</f>
        <v>46208</v>
      </c>
      <c r="E504" s="251">
        <f>IFERROR(__xludf.DUMMYFUNCTION("""COMPUTED_VALUE"""),46209.0)</f>
        <v>46209</v>
      </c>
      <c r="F504" s="255">
        <f>IFERROR(__xludf.DUMMYFUNCTION("""COMPUTED_VALUE"""),1.0)</f>
        <v>1</v>
      </c>
      <c r="G504" s="255">
        <f>IFERROR(__xludf.DUMMYFUNCTION("""COMPUTED_VALUE"""),2.0)</f>
        <v>2</v>
      </c>
      <c r="H504" s="256">
        <f>IFERROR(__xludf.DUMMYFUNCTION("""COMPUTED_VALUE"""),129.5)</f>
        <v>129.5</v>
      </c>
      <c r="I504" s="256">
        <f>IFERROR(__xludf.DUMMYFUNCTION("""COMPUTED_VALUE"""),103.60000000000001)</f>
        <v>103.6</v>
      </c>
      <c r="J504" s="257">
        <f t="shared" si="1"/>
        <v>2</v>
      </c>
      <c r="K504" s="253"/>
      <c r="L504" s="253"/>
      <c r="M504" s="252"/>
      <c r="N504" s="258"/>
      <c r="O504" s="259"/>
      <c r="P504" s="259"/>
      <c r="Q504" s="262"/>
      <c r="R504" s="260"/>
      <c r="S504" s="260"/>
      <c r="T504" s="260"/>
      <c r="U504" s="261"/>
      <c r="V504" s="251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</row>
    <row r="505">
      <c r="A505" s="251">
        <f>IFERROR(__xludf.DUMMYFUNCTION("""COMPUTED_VALUE"""),7859693.0)</f>
        <v>7859693</v>
      </c>
      <c r="B505" s="252" t="str">
        <f>IFERROR(__xludf.DUMMYFUNCTION("""COMPUTED_VALUE"""),"BookingCom")</f>
        <v>BookingCom</v>
      </c>
      <c r="C505" s="253" t="str">
        <f>IFERROR(__xludf.DUMMYFUNCTION("""COMPUTED_VALUE"""),"Mar Tomas ")</f>
        <v>Mar Tomas </v>
      </c>
      <c r="D505" s="254">
        <f>IFERROR(__xludf.DUMMYFUNCTION("""COMPUTED_VALUE"""),46208.0)</f>
        <v>46208</v>
      </c>
      <c r="E505" s="251">
        <f>IFERROR(__xludf.DUMMYFUNCTION("""COMPUTED_VALUE"""),46209.0)</f>
        <v>46209</v>
      </c>
      <c r="F505" s="255">
        <f>IFERROR(__xludf.DUMMYFUNCTION("""COMPUTED_VALUE"""),1.0)</f>
        <v>1</v>
      </c>
      <c r="G505" s="255">
        <f>IFERROR(__xludf.DUMMYFUNCTION("""COMPUTED_VALUE"""),2.0)</f>
        <v>2</v>
      </c>
      <c r="H505" s="256">
        <f>IFERROR(__xludf.DUMMYFUNCTION("""COMPUTED_VALUE"""),108.5)</f>
        <v>108.5</v>
      </c>
      <c r="I505" s="256">
        <f>IFERROR(__xludf.DUMMYFUNCTION("""COMPUTED_VALUE"""),86.80000000000001)</f>
        <v>86.8</v>
      </c>
      <c r="J505" s="257">
        <f t="shared" si="1"/>
        <v>2</v>
      </c>
      <c r="K505" s="253"/>
      <c r="L505" s="253"/>
      <c r="M505" s="252"/>
      <c r="N505" s="258"/>
      <c r="O505" s="259"/>
      <c r="P505" s="259"/>
      <c r="Q505" s="257"/>
      <c r="R505" s="260"/>
      <c r="S505" s="260"/>
      <c r="T505" s="260"/>
      <c r="U505" s="261"/>
      <c r="V505" s="251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</row>
    <row r="506">
      <c r="A506" s="251">
        <f>IFERROR(__xludf.DUMMYFUNCTION("""COMPUTED_VALUE"""),7844692.0)</f>
        <v>7844692</v>
      </c>
      <c r="B506" s="252" t="str">
        <f>IFERROR(__xludf.DUMMYFUNCTION("""COMPUTED_VALUE"""),"BookingCom")</f>
        <v>BookingCom</v>
      </c>
      <c r="C506" s="253" t="str">
        <f>IFERROR(__xludf.DUMMYFUNCTION("""COMPUTED_VALUE"""),"Natasha English ")</f>
        <v>Natasha English </v>
      </c>
      <c r="D506" s="254">
        <f>IFERROR(__xludf.DUMMYFUNCTION("""COMPUTED_VALUE"""),46210.0)</f>
        <v>46210</v>
      </c>
      <c r="E506" s="251">
        <f>IFERROR(__xludf.DUMMYFUNCTION("""COMPUTED_VALUE"""),46212.0)</f>
        <v>46212</v>
      </c>
      <c r="F506" s="255">
        <f>IFERROR(__xludf.DUMMYFUNCTION("""COMPUTED_VALUE"""),2.0)</f>
        <v>2</v>
      </c>
      <c r="G506" s="255">
        <f>IFERROR(__xludf.DUMMYFUNCTION("""COMPUTED_VALUE"""),2.0)</f>
        <v>2</v>
      </c>
      <c r="H506" s="256">
        <f>IFERROR(__xludf.DUMMYFUNCTION("""COMPUTED_VALUE"""),165.9)</f>
        <v>165.9</v>
      </c>
      <c r="I506" s="256">
        <f>IFERROR(__xludf.DUMMYFUNCTION("""COMPUTED_VALUE"""),265.44)</f>
        <v>265.44</v>
      </c>
      <c r="J506" s="257">
        <f t="shared" si="1"/>
        <v>4</v>
      </c>
      <c r="K506" s="253"/>
      <c r="L506" s="253"/>
      <c r="M506" s="275"/>
      <c r="N506" s="258"/>
      <c r="O506" s="259"/>
      <c r="P506" s="259"/>
      <c r="Q506" s="262"/>
      <c r="R506" s="260"/>
      <c r="S506" s="260"/>
      <c r="T506" s="260"/>
      <c r="U506" s="261"/>
      <c r="V506" s="251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</row>
    <row r="507">
      <c r="A507" s="251">
        <f>IFERROR(__xludf.DUMMYFUNCTION("""COMPUTED_VALUE"""),7816569.0)</f>
        <v>7816569</v>
      </c>
      <c r="B507" s="252" t="str">
        <f>IFERROR(__xludf.DUMMYFUNCTION("""COMPUTED_VALUE"""),"BookingCom")</f>
        <v>BookingCom</v>
      </c>
      <c r="C507" s="253" t="str">
        <f>IFERROR(__xludf.DUMMYFUNCTION("""COMPUTED_VALUE"""),"Jan Van Regenmortel ")</f>
        <v>Jan Van Regenmortel </v>
      </c>
      <c r="D507" s="254">
        <f>IFERROR(__xludf.DUMMYFUNCTION("""COMPUTED_VALUE"""),46212.0)</f>
        <v>46212</v>
      </c>
      <c r="E507" s="251">
        <f>IFERROR(__xludf.DUMMYFUNCTION("""COMPUTED_VALUE"""),46219.0)</f>
        <v>46219</v>
      </c>
      <c r="F507" s="255">
        <f>IFERROR(__xludf.DUMMYFUNCTION("""COMPUTED_VALUE"""),7.0)</f>
        <v>7</v>
      </c>
      <c r="G507" s="255">
        <f>IFERROR(__xludf.DUMMYFUNCTION("""COMPUTED_VALUE"""),2.0)</f>
        <v>2</v>
      </c>
      <c r="H507" s="256">
        <f>IFERROR(__xludf.DUMMYFUNCTION("""COMPUTED_VALUE"""),97.16)</f>
        <v>97.16</v>
      </c>
      <c r="I507" s="256">
        <f>IFERROR(__xludf.DUMMYFUNCTION("""COMPUTED_VALUE"""),544.096)</f>
        <v>544.096</v>
      </c>
      <c r="J507" s="257">
        <f t="shared" si="1"/>
        <v>14</v>
      </c>
      <c r="K507" s="253"/>
      <c r="L507" s="253"/>
      <c r="M507" s="275"/>
      <c r="N507" s="258"/>
      <c r="O507" s="259"/>
      <c r="P507" s="259"/>
      <c r="Q507" s="262"/>
      <c r="R507" s="260"/>
      <c r="S507" s="260"/>
      <c r="T507" s="260"/>
      <c r="U507" s="261"/>
      <c r="V507" s="251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</row>
    <row r="508">
      <c r="A508" s="251">
        <f>IFERROR(__xludf.DUMMYFUNCTION("""COMPUTED_VALUE"""),7816569.0)</f>
        <v>7816569</v>
      </c>
      <c r="B508" s="252" t="str">
        <f>IFERROR(__xludf.DUMMYFUNCTION("""COMPUTED_VALUE"""),"BookingCom")</f>
        <v>BookingCom</v>
      </c>
      <c r="C508" s="253" t="str">
        <f>IFERROR(__xludf.DUMMYFUNCTION("""COMPUTED_VALUE"""),"Jan Van Regenmortel ")</f>
        <v>Jan Van Regenmortel </v>
      </c>
      <c r="D508" s="308">
        <f>IFERROR(__xludf.DUMMYFUNCTION("""COMPUTED_VALUE"""),46212.0)</f>
        <v>46212</v>
      </c>
      <c r="E508" s="251">
        <f>IFERROR(__xludf.DUMMYFUNCTION("""COMPUTED_VALUE"""),46219.0)</f>
        <v>46219</v>
      </c>
      <c r="F508" s="255">
        <f>IFERROR(__xludf.DUMMYFUNCTION("""COMPUTED_VALUE"""),7.0)</f>
        <v>7</v>
      </c>
      <c r="G508" s="255">
        <f>IFERROR(__xludf.DUMMYFUNCTION("""COMPUTED_VALUE"""),1.0)</f>
        <v>1</v>
      </c>
      <c r="H508" s="256">
        <f>IFERROR(__xludf.DUMMYFUNCTION("""COMPUTED_VALUE"""),94.66)</f>
        <v>94.66</v>
      </c>
      <c r="I508" s="256">
        <f>IFERROR(__xludf.DUMMYFUNCTION("""COMPUTED_VALUE"""),530.096)</f>
        <v>530.096</v>
      </c>
      <c r="J508" s="257">
        <f t="shared" si="1"/>
        <v>7</v>
      </c>
      <c r="K508" s="253"/>
      <c r="L508" s="253"/>
      <c r="M508" s="252"/>
      <c r="N508" s="258"/>
      <c r="O508" s="259"/>
      <c r="P508" s="259"/>
      <c r="Q508" s="257"/>
      <c r="R508" s="260"/>
      <c r="S508" s="260"/>
      <c r="T508" s="260"/>
      <c r="U508" s="261"/>
      <c r="V508" s="251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</row>
    <row r="509">
      <c r="A509" s="251">
        <f>IFERROR(__xludf.DUMMYFUNCTION("""COMPUTED_VALUE"""),7816569.0)</f>
        <v>7816569</v>
      </c>
      <c r="B509" s="252" t="str">
        <f>IFERROR(__xludf.DUMMYFUNCTION("""COMPUTED_VALUE"""),"BookingCom")</f>
        <v>BookingCom</v>
      </c>
      <c r="C509" s="253" t="str">
        <f>IFERROR(__xludf.DUMMYFUNCTION("""COMPUTED_VALUE"""),"Jan Van Regenmortel ")</f>
        <v>Jan Van Regenmortel </v>
      </c>
      <c r="D509" s="254">
        <f>IFERROR(__xludf.DUMMYFUNCTION("""COMPUTED_VALUE"""),46212.0)</f>
        <v>46212</v>
      </c>
      <c r="E509" s="251">
        <f>IFERROR(__xludf.DUMMYFUNCTION("""COMPUTED_VALUE"""),46219.0)</f>
        <v>46219</v>
      </c>
      <c r="F509" s="255">
        <f>IFERROR(__xludf.DUMMYFUNCTION("""COMPUTED_VALUE"""),7.0)</f>
        <v>7</v>
      </c>
      <c r="G509" s="255">
        <f>IFERROR(__xludf.DUMMYFUNCTION("""COMPUTED_VALUE"""),2.0)</f>
        <v>2</v>
      </c>
      <c r="H509" s="256">
        <f>IFERROR(__xludf.DUMMYFUNCTION("""COMPUTED_VALUE"""),97.16)</f>
        <v>97.16</v>
      </c>
      <c r="I509" s="256">
        <f>IFERROR(__xludf.DUMMYFUNCTION("""COMPUTED_VALUE"""),544.096)</f>
        <v>544.096</v>
      </c>
      <c r="J509" s="257">
        <f t="shared" si="1"/>
        <v>14</v>
      </c>
      <c r="K509" s="253"/>
      <c r="L509" s="253"/>
      <c r="M509" s="252"/>
      <c r="N509" s="258"/>
      <c r="O509" s="259"/>
      <c r="P509" s="259"/>
      <c r="Q509" s="262"/>
      <c r="R509" s="260"/>
      <c r="S509" s="260"/>
      <c r="T509" s="260"/>
      <c r="U509" s="261"/>
      <c r="V509" s="251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</row>
    <row r="510">
      <c r="A510" s="251">
        <f>IFERROR(__xludf.DUMMYFUNCTION("""COMPUTED_VALUE"""),7859721.0)</f>
        <v>7859721</v>
      </c>
      <c r="B510" s="252" t="str">
        <f>IFERROR(__xludf.DUMMYFUNCTION("""COMPUTED_VALUE"""),"BookingCom")</f>
        <v>BookingCom</v>
      </c>
      <c r="C510" s="253" t="str">
        <f>IFERROR(__xludf.DUMMYFUNCTION("""COMPUTED_VALUE"""),"Mar Tomas ")</f>
        <v>Mar Tomas </v>
      </c>
      <c r="D510" s="254">
        <f>IFERROR(__xludf.DUMMYFUNCTION("""COMPUTED_VALUE"""),46212.0)</f>
        <v>46212</v>
      </c>
      <c r="E510" s="251">
        <f>IFERROR(__xludf.DUMMYFUNCTION("""COMPUTED_VALUE"""),46214.0)</f>
        <v>46214</v>
      </c>
      <c r="F510" s="255">
        <f>IFERROR(__xludf.DUMMYFUNCTION("""COMPUTED_VALUE"""),2.0)</f>
        <v>2</v>
      </c>
      <c r="G510" s="255">
        <f>IFERROR(__xludf.DUMMYFUNCTION("""COMPUTED_VALUE"""),2.0)</f>
        <v>2</v>
      </c>
      <c r="H510" s="256">
        <f>IFERROR(__xludf.DUMMYFUNCTION("""COMPUTED_VALUE"""),108.5)</f>
        <v>108.5</v>
      </c>
      <c r="I510" s="256">
        <f>IFERROR(__xludf.DUMMYFUNCTION("""COMPUTED_VALUE"""),173.60000000000002)</f>
        <v>173.6</v>
      </c>
      <c r="J510" s="257">
        <f t="shared" si="1"/>
        <v>4</v>
      </c>
      <c r="K510" s="253"/>
      <c r="L510" s="253"/>
      <c r="M510" s="275"/>
      <c r="N510" s="258"/>
      <c r="O510" s="259"/>
      <c r="P510" s="259"/>
      <c r="Q510" s="262"/>
      <c r="R510" s="260"/>
      <c r="S510" s="260"/>
      <c r="T510" s="260"/>
      <c r="U510" s="261"/>
      <c r="V510" s="251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</row>
    <row r="511">
      <c r="A511" s="251">
        <f>IFERROR(__xludf.DUMMYFUNCTION("""COMPUTED_VALUE"""),7859721.0)</f>
        <v>7859721</v>
      </c>
      <c r="B511" s="252" t="str">
        <f>IFERROR(__xludf.DUMMYFUNCTION("""COMPUTED_VALUE"""),"BookingCom")</f>
        <v>BookingCom</v>
      </c>
      <c r="C511" s="253" t="str">
        <f>IFERROR(__xludf.DUMMYFUNCTION("""COMPUTED_VALUE"""),"Mar Tomas ")</f>
        <v>Mar Tomas </v>
      </c>
      <c r="D511" s="254">
        <f>IFERROR(__xludf.DUMMYFUNCTION("""COMPUTED_VALUE"""),46212.0)</f>
        <v>46212</v>
      </c>
      <c r="E511" s="251">
        <f>IFERROR(__xludf.DUMMYFUNCTION("""COMPUTED_VALUE"""),46214.0)</f>
        <v>46214</v>
      </c>
      <c r="F511" s="255">
        <f>IFERROR(__xludf.DUMMYFUNCTION("""COMPUTED_VALUE"""),2.0)</f>
        <v>2</v>
      </c>
      <c r="G511" s="255">
        <f>IFERROR(__xludf.DUMMYFUNCTION("""COMPUTED_VALUE"""),2.0)</f>
        <v>2</v>
      </c>
      <c r="H511" s="256">
        <f>IFERROR(__xludf.DUMMYFUNCTION("""COMPUTED_VALUE"""),129.5)</f>
        <v>129.5</v>
      </c>
      <c r="I511" s="256">
        <f>IFERROR(__xludf.DUMMYFUNCTION("""COMPUTED_VALUE"""),207.20000000000002)</f>
        <v>207.2</v>
      </c>
      <c r="J511" s="257">
        <f t="shared" si="1"/>
        <v>4</v>
      </c>
      <c r="K511" s="253"/>
      <c r="L511" s="253"/>
      <c r="M511" s="252"/>
      <c r="N511" s="258"/>
      <c r="O511" s="259"/>
      <c r="P511" s="259"/>
      <c r="Q511" s="262"/>
      <c r="R511" s="260"/>
      <c r="S511" s="260"/>
      <c r="T511" s="260"/>
      <c r="U511" s="261"/>
      <c r="V511" s="251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</row>
    <row r="512">
      <c r="A512" s="251">
        <f>IFERROR(__xludf.DUMMYFUNCTION("""COMPUTED_VALUE"""),7859721.0)</f>
        <v>7859721</v>
      </c>
      <c r="B512" s="252" t="str">
        <f>IFERROR(__xludf.DUMMYFUNCTION("""COMPUTED_VALUE"""),"BookingCom")</f>
        <v>BookingCom</v>
      </c>
      <c r="C512" s="253" t="str">
        <f>IFERROR(__xludf.DUMMYFUNCTION("""COMPUTED_VALUE"""),"Mar Tomas ")</f>
        <v>Mar Tomas </v>
      </c>
      <c r="D512" s="254">
        <f>IFERROR(__xludf.DUMMYFUNCTION("""COMPUTED_VALUE"""),46212.0)</f>
        <v>46212</v>
      </c>
      <c r="E512" s="251">
        <f>IFERROR(__xludf.DUMMYFUNCTION("""COMPUTED_VALUE"""),46214.0)</f>
        <v>46214</v>
      </c>
      <c r="F512" s="255">
        <f>IFERROR(__xludf.DUMMYFUNCTION("""COMPUTED_VALUE"""),2.0)</f>
        <v>2</v>
      </c>
      <c r="G512" s="255">
        <f>IFERROR(__xludf.DUMMYFUNCTION("""COMPUTED_VALUE"""),2.0)</f>
        <v>2</v>
      </c>
      <c r="H512" s="256">
        <f>IFERROR(__xludf.DUMMYFUNCTION("""COMPUTED_VALUE"""),129.5)</f>
        <v>129.5</v>
      </c>
      <c r="I512" s="256">
        <f>IFERROR(__xludf.DUMMYFUNCTION("""COMPUTED_VALUE"""),207.20000000000002)</f>
        <v>207.2</v>
      </c>
      <c r="J512" s="257">
        <f t="shared" si="1"/>
        <v>4</v>
      </c>
      <c r="K512" s="253"/>
      <c r="L512" s="253"/>
      <c r="M512" s="252"/>
      <c r="N512" s="258"/>
      <c r="O512" s="259"/>
      <c r="P512" s="259"/>
      <c r="Q512" s="257"/>
      <c r="R512" s="260"/>
      <c r="S512" s="260"/>
      <c r="T512" s="260"/>
      <c r="U512" s="261"/>
      <c r="V512" s="251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</row>
    <row r="513">
      <c r="A513" s="251">
        <f>IFERROR(__xludf.DUMMYFUNCTION("""COMPUTED_VALUE"""),7618239.0)</f>
        <v>7618239</v>
      </c>
      <c r="B513" s="252" t="str">
        <f>IFERROR(__xludf.DUMMYFUNCTION("""COMPUTED_VALUE"""),"BookingCom")</f>
        <v>BookingCom</v>
      </c>
      <c r="C513" s="253" t="str">
        <f>IFERROR(__xludf.DUMMYFUNCTION("""COMPUTED_VALUE"""),"Barbara Osterreicher ")</f>
        <v>Barbara Osterreicher </v>
      </c>
      <c r="D513" s="254">
        <f>IFERROR(__xludf.DUMMYFUNCTION("""COMPUTED_VALUE"""),46215.0)</f>
        <v>46215</v>
      </c>
      <c r="E513" s="251">
        <f>IFERROR(__xludf.DUMMYFUNCTION("""COMPUTED_VALUE"""),46218.0)</f>
        <v>46218</v>
      </c>
      <c r="F513" s="255">
        <f>IFERROR(__xludf.DUMMYFUNCTION("""COMPUTED_VALUE"""),3.0)</f>
        <v>3</v>
      </c>
      <c r="G513" s="255">
        <f>IFERROR(__xludf.DUMMYFUNCTION("""COMPUTED_VALUE"""),3.0)</f>
        <v>3</v>
      </c>
      <c r="H513" s="256">
        <f>IFERROR(__xludf.DUMMYFUNCTION("""COMPUTED_VALUE"""),136.0)</f>
        <v>136</v>
      </c>
      <c r="I513" s="256">
        <f>IFERROR(__xludf.DUMMYFUNCTION("""COMPUTED_VALUE"""),326.40000000000003)</f>
        <v>326.4</v>
      </c>
      <c r="J513" s="257">
        <f t="shared" si="1"/>
        <v>9</v>
      </c>
      <c r="K513" s="253"/>
      <c r="L513" s="253"/>
      <c r="M513" s="275"/>
      <c r="N513" s="258"/>
      <c r="O513" s="259"/>
      <c r="P513" s="259"/>
      <c r="Q513" s="262"/>
      <c r="R513" s="260"/>
      <c r="S513" s="260"/>
      <c r="T513" s="260"/>
      <c r="U513" s="261"/>
      <c r="V513" s="251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</row>
    <row r="514">
      <c r="A514" s="251">
        <f>IFERROR(__xludf.DUMMYFUNCTION("""COMPUTED_VALUE"""),7856977.0)</f>
        <v>7856977</v>
      </c>
      <c r="B514" s="252" t="str">
        <f>IFERROR(__xludf.DUMMYFUNCTION("""COMPUTED_VALUE"""),"BookingCom")</f>
        <v>BookingCom</v>
      </c>
      <c r="C514" s="253" t="str">
        <f>IFERROR(__xludf.DUMMYFUNCTION("""COMPUTED_VALUE"""),"Simon Reissmuller ")</f>
        <v>Simon Reissmuller </v>
      </c>
      <c r="D514" s="254">
        <f>IFERROR(__xludf.DUMMYFUNCTION("""COMPUTED_VALUE"""),46215.0)</f>
        <v>46215</v>
      </c>
      <c r="E514" s="251">
        <f>IFERROR(__xludf.DUMMYFUNCTION("""COMPUTED_VALUE"""),46217.0)</f>
        <v>46217</v>
      </c>
      <c r="F514" s="255">
        <f>IFERROR(__xludf.DUMMYFUNCTION("""COMPUTED_VALUE"""),2.0)</f>
        <v>2</v>
      </c>
      <c r="G514" s="255">
        <f>IFERROR(__xludf.DUMMYFUNCTION("""COMPUTED_VALUE"""),3.0)</f>
        <v>3</v>
      </c>
      <c r="H514" s="256">
        <f>IFERROR(__xludf.DUMMYFUNCTION("""COMPUTED_VALUE"""),90.58)</f>
        <v>90.58</v>
      </c>
      <c r="I514" s="256">
        <f>IFERROR(__xludf.DUMMYFUNCTION("""COMPUTED_VALUE"""),144.928)</f>
        <v>144.928</v>
      </c>
      <c r="J514" s="257">
        <f t="shared" si="1"/>
        <v>6</v>
      </c>
      <c r="K514" s="253"/>
      <c r="L514" s="253"/>
      <c r="M514" s="252"/>
      <c r="N514" s="258"/>
      <c r="O514" s="259"/>
      <c r="P514" s="259"/>
      <c r="Q514" s="262"/>
      <c r="R514" s="260"/>
      <c r="S514" s="260"/>
      <c r="T514" s="260"/>
      <c r="U514" s="261"/>
      <c r="V514" s="251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</row>
    <row r="515">
      <c r="A515" s="251">
        <f>IFERROR(__xludf.DUMMYFUNCTION("""COMPUTED_VALUE"""),7618281.0)</f>
        <v>7618281</v>
      </c>
      <c r="B515" s="252" t="str">
        <f>IFERROR(__xludf.DUMMYFUNCTION("""COMPUTED_VALUE"""),"BookingCom")</f>
        <v>BookingCom</v>
      </c>
      <c r="C515" s="253" t="str">
        <f>IFERROR(__xludf.DUMMYFUNCTION("""COMPUTED_VALUE"""),"Barbara Osterreicher ")</f>
        <v>Barbara Osterreicher </v>
      </c>
      <c r="D515" s="254">
        <f>IFERROR(__xludf.DUMMYFUNCTION("""COMPUTED_VALUE"""),46220.0)</f>
        <v>46220</v>
      </c>
      <c r="E515" s="251">
        <f>IFERROR(__xludf.DUMMYFUNCTION("""COMPUTED_VALUE"""),46221.0)</f>
        <v>46221</v>
      </c>
      <c r="F515" s="255">
        <f>IFERROR(__xludf.DUMMYFUNCTION("""COMPUTED_VALUE"""),1.0)</f>
        <v>1</v>
      </c>
      <c r="G515" s="255">
        <f>IFERROR(__xludf.DUMMYFUNCTION("""COMPUTED_VALUE"""),3.0)</f>
        <v>3</v>
      </c>
      <c r="H515" s="256">
        <f>IFERROR(__xludf.DUMMYFUNCTION("""COMPUTED_VALUE"""),113.6)</f>
        <v>113.6</v>
      </c>
      <c r="I515" s="256">
        <f>IFERROR(__xludf.DUMMYFUNCTION("""COMPUTED_VALUE"""),90.88)</f>
        <v>90.88</v>
      </c>
      <c r="J515" s="257">
        <f t="shared" si="1"/>
        <v>3</v>
      </c>
      <c r="K515" s="253"/>
      <c r="L515" s="253"/>
      <c r="M515" s="252"/>
      <c r="N515" s="258"/>
      <c r="O515" s="259"/>
      <c r="P515" s="259"/>
      <c r="Q515" s="262"/>
      <c r="R515" s="260"/>
      <c r="S515" s="260"/>
      <c r="T515" s="260"/>
      <c r="U515" s="261"/>
      <c r="V515" s="251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</row>
    <row r="516">
      <c r="A516" s="251">
        <f>IFERROR(__xludf.DUMMYFUNCTION("""COMPUTED_VALUE"""),7845874.0)</f>
        <v>7845874</v>
      </c>
      <c r="B516" s="252" t="str">
        <f>IFERROR(__xludf.DUMMYFUNCTION("""COMPUTED_VALUE"""),"BookingCom")</f>
        <v>BookingCom</v>
      </c>
      <c r="C516" s="253" t="str">
        <f>IFERROR(__xludf.DUMMYFUNCTION("""COMPUTED_VALUE"""),"Bianca Jansen ")</f>
        <v>Bianca Jansen </v>
      </c>
      <c r="D516" s="254">
        <f>IFERROR(__xludf.DUMMYFUNCTION("""COMPUTED_VALUE"""),46223.0)</f>
        <v>46223</v>
      </c>
      <c r="E516" s="251">
        <f>IFERROR(__xludf.DUMMYFUNCTION("""COMPUTED_VALUE"""),46227.0)</f>
        <v>46227</v>
      </c>
      <c r="F516" s="255">
        <f>IFERROR(__xludf.DUMMYFUNCTION("""COMPUTED_VALUE"""),4.0)</f>
        <v>4</v>
      </c>
      <c r="G516" s="255">
        <f>IFERROR(__xludf.DUMMYFUNCTION("""COMPUTED_VALUE"""),2.0)</f>
        <v>2</v>
      </c>
      <c r="H516" s="256">
        <f>IFERROR(__xludf.DUMMYFUNCTION("""COMPUTED_VALUE"""),85.61)</f>
        <v>85.61</v>
      </c>
      <c r="I516" s="256">
        <f>IFERROR(__xludf.DUMMYFUNCTION("""COMPUTED_VALUE"""),273.952)</f>
        <v>273.952</v>
      </c>
      <c r="J516" s="257">
        <f t="shared" si="1"/>
        <v>8</v>
      </c>
      <c r="K516" s="253"/>
      <c r="L516" s="253"/>
      <c r="M516" s="275"/>
      <c r="N516" s="258"/>
      <c r="O516" s="259"/>
      <c r="P516" s="259"/>
      <c r="Q516" s="262"/>
      <c r="R516" s="260"/>
      <c r="S516" s="260"/>
      <c r="T516" s="260"/>
      <c r="U516" s="261"/>
      <c r="V516" s="251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</row>
    <row r="517">
      <c r="A517" s="251">
        <f>IFERROR(__xludf.DUMMYFUNCTION("""COMPUTED_VALUE"""),7942634.0)</f>
        <v>7942634</v>
      </c>
      <c r="B517" s="252" t="str">
        <f>IFERROR(__xludf.DUMMYFUNCTION("""COMPUTED_VALUE"""),"BookingCom")</f>
        <v>BookingCom</v>
      </c>
      <c r="C517" s="253" t="str">
        <f>IFERROR(__xludf.DUMMYFUNCTION("""COMPUTED_VALUE"""),"Femke Koch ")</f>
        <v>Femke Koch </v>
      </c>
      <c r="D517" s="254">
        <f>IFERROR(__xludf.DUMMYFUNCTION("""COMPUTED_VALUE"""),46226.0)</f>
        <v>46226</v>
      </c>
      <c r="E517" s="251">
        <f>IFERROR(__xludf.DUMMYFUNCTION("""COMPUTED_VALUE"""),46228.0)</f>
        <v>46228</v>
      </c>
      <c r="F517" s="255">
        <f>IFERROR(__xludf.DUMMYFUNCTION("""COMPUTED_VALUE"""),2.0)</f>
        <v>2</v>
      </c>
      <c r="G517" s="255">
        <f>IFERROR(__xludf.DUMMYFUNCTION("""COMPUTED_VALUE"""),2.0)</f>
        <v>2</v>
      </c>
      <c r="H517" s="256">
        <f>IFERROR(__xludf.DUMMYFUNCTION("""COMPUTED_VALUE"""),144.72)</f>
        <v>144.72</v>
      </c>
      <c r="I517" s="256">
        <f>IFERROR(__xludf.DUMMYFUNCTION("""COMPUTED_VALUE"""),231.55200000000002)</f>
        <v>231.552</v>
      </c>
      <c r="J517" s="257">
        <f t="shared" si="1"/>
        <v>4</v>
      </c>
      <c r="K517" s="253"/>
      <c r="L517" s="253"/>
      <c r="M517" s="252"/>
      <c r="N517" s="258"/>
      <c r="O517" s="259"/>
      <c r="P517" s="259"/>
      <c r="Q517" s="262"/>
      <c r="R517" s="260"/>
      <c r="S517" s="260"/>
      <c r="T517" s="260"/>
      <c r="U517" s="261"/>
      <c r="V517" s="251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</row>
    <row r="518">
      <c r="A518" s="251">
        <f>IFERROR(__xludf.DUMMYFUNCTION("""COMPUTED_VALUE"""),7942634.0)</f>
        <v>7942634</v>
      </c>
      <c r="B518" s="252" t="str">
        <f>IFERROR(__xludf.DUMMYFUNCTION("""COMPUTED_VALUE"""),"BookingCom")</f>
        <v>BookingCom</v>
      </c>
      <c r="C518" s="253" t="str">
        <f>IFERROR(__xludf.DUMMYFUNCTION("""COMPUTED_VALUE"""),"Femke Koch ")</f>
        <v>Femke Koch </v>
      </c>
      <c r="D518" s="254">
        <f>IFERROR(__xludf.DUMMYFUNCTION("""COMPUTED_VALUE"""),46226.0)</f>
        <v>46226</v>
      </c>
      <c r="E518" s="251">
        <f>IFERROR(__xludf.DUMMYFUNCTION("""COMPUTED_VALUE"""),46228.0)</f>
        <v>46228</v>
      </c>
      <c r="F518" s="255">
        <f>IFERROR(__xludf.DUMMYFUNCTION("""COMPUTED_VALUE"""),2.0)</f>
        <v>2</v>
      </c>
      <c r="G518" s="255">
        <f>IFERROR(__xludf.DUMMYFUNCTION("""COMPUTED_VALUE"""),2.0)</f>
        <v>2</v>
      </c>
      <c r="H518" s="256">
        <f>IFERROR(__xludf.DUMMYFUNCTION("""COMPUTED_VALUE"""),129.29)</f>
        <v>129.29</v>
      </c>
      <c r="I518" s="256">
        <f>IFERROR(__xludf.DUMMYFUNCTION("""COMPUTED_VALUE"""),206.864)</f>
        <v>206.864</v>
      </c>
      <c r="J518" s="257">
        <f t="shared" si="1"/>
        <v>4</v>
      </c>
      <c r="K518" s="253"/>
      <c r="L518" s="253"/>
      <c r="M518" s="252"/>
      <c r="N518" s="258"/>
      <c r="O518" s="259"/>
      <c r="P518" s="259"/>
      <c r="Q518" s="257"/>
      <c r="R518" s="260"/>
      <c r="S518" s="260"/>
      <c r="T518" s="260"/>
      <c r="U518" s="261"/>
      <c r="V518" s="251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</row>
    <row r="519">
      <c r="A519" s="251">
        <f>IFERROR(__xludf.DUMMYFUNCTION("""COMPUTED_VALUE"""),7942634.0)</f>
        <v>7942634</v>
      </c>
      <c r="B519" s="252" t="str">
        <f>IFERROR(__xludf.DUMMYFUNCTION("""COMPUTED_VALUE"""),"BookingCom")</f>
        <v>BookingCom</v>
      </c>
      <c r="C519" s="253" t="str">
        <f>IFERROR(__xludf.DUMMYFUNCTION("""COMPUTED_VALUE"""),"Femke Koch ")</f>
        <v>Femke Koch </v>
      </c>
      <c r="D519" s="254">
        <f>IFERROR(__xludf.DUMMYFUNCTION("""COMPUTED_VALUE"""),46226.0)</f>
        <v>46226</v>
      </c>
      <c r="E519" s="251">
        <f>IFERROR(__xludf.DUMMYFUNCTION("""COMPUTED_VALUE"""),46228.0)</f>
        <v>46228</v>
      </c>
      <c r="F519" s="255">
        <f>IFERROR(__xludf.DUMMYFUNCTION("""COMPUTED_VALUE"""),2.0)</f>
        <v>2</v>
      </c>
      <c r="G519" s="255">
        <f>IFERROR(__xludf.DUMMYFUNCTION("""COMPUTED_VALUE"""),2.0)</f>
        <v>2</v>
      </c>
      <c r="H519" s="256">
        <f>IFERROR(__xludf.DUMMYFUNCTION("""COMPUTED_VALUE"""),144.72)</f>
        <v>144.72</v>
      </c>
      <c r="I519" s="256">
        <f>IFERROR(__xludf.DUMMYFUNCTION("""COMPUTED_VALUE"""),231.55200000000002)</f>
        <v>231.552</v>
      </c>
      <c r="J519" s="257">
        <f t="shared" si="1"/>
        <v>4</v>
      </c>
      <c r="K519" s="253"/>
      <c r="L519" s="253"/>
      <c r="M519" s="275"/>
      <c r="N519" s="258"/>
      <c r="O519" s="259"/>
      <c r="P519" s="259"/>
      <c r="Q519" s="262"/>
      <c r="R519" s="260"/>
      <c r="S519" s="260"/>
      <c r="T519" s="260"/>
      <c r="U519" s="261"/>
      <c r="V519" s="251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</row>
    <row r="520">
      <c r="A520" s="251">
        <f>IFERROR(__xludf.DUMMYFUNCTION("""COMPUTED_VALUE"""),7662447.0)</f>
        <v>7662447</v>
      </c>
      <c r="B520" s="252" t="str">
        <f>IFERROR(__xludf.DUMMYFUNCTION("""COMPUTED_VALUE"""),"BookingCom")</f>
        <v>BookingCom</v>
      </c>
      <c r="C520" s="253" t="str">
        <f>IFERROR(__xludf.DUMMYFUNCTION("""COMPUTED_VALUE"""),"Sietske Wolters ")</f>
        <v>Sietske Wolters </v>
      </c>
      <c r="D520" s="254">
        <f>IFERROR(__xludf.DUMMYFUNCTION("""COMPUTED_VALUE"""),46230.0)</f>
        <v>46230</v>
      </c>
      <c r="E520" s="251">
        <f>IFERROR(__xludf.DUMMYFUNCTION("""COMPUTED_VALUE"""),46237.0)</f>
        <v>46237</v>
      </c>
      <c r="F520" s="255">
        <f>IFERROR(__xludf.DUMMYFUNCTION("""COMPUTED_VALUE"""),7.0)</f>
        <v>7</v>
      </c>
      <c r="G520" s="255">
        <f>IFERROR(__xludf.DUMMYFUNCTION("""COMPUTED_VALUE"""),2.0)</f>
        <v>2</v>
      </c>
      <c r="H520" s="256">
        <f>IFERROR(__xludf.DUMMYFUNCTION("""COMPUTED_VALUE"""),107.89)</f>
        <v>107.89</v>
      </c>
      <c r="I520" s="256">
        <f>IFERROR(__xludf.DUMMYFUNCTION("""COMPUTED_VALUE"""),604.1840000000001)</f>
        <v>604.184</v>
      </c>
      <c r="J520" s="257">
        <f t="shared" si="1"/>
        <v>14</v>
      </c>
      <c r="K520" s="253"/>
      <c r="L520" s="253"/>
      <c r="M520" s="252"/>
      <c r="N520" s="258"/>
      <c r="O520" s="259"/>
      <c r="P520" s="259"/>
      <c r="Q520" s="257"/>
      <c r="R520" s="260"/>
      <c r="S520" s="260"/>
      <c r="T520" s="260"/>
      <c r="U520" s="261"/>
      <c r="V520" s="251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</row>
    <row r="521">
      <c r="A521" s="251">
        <f>IFERROR(__xludf.DUMMYFUNCTION("""COMPUTED_VALUE"""),7778318.0)</f>
        <v>7778318</v>
      </c>
      <c r="B521" s="252" t="str">
        <f>IFERROR(__xludf.DUMMYFUNCTION("""COMPUTED_VALUE"""),"BookingCom")</f>
        <v>BookingCom</v>
      </c>
      <c r="C521" s="253" t="str">
        <f>IFERROR(__xludf.DUMMYFUNCTION("""COMPUTED_VALUE"""),"Soukaina benlemkaddem ")</f>
        <v>Soukaina benlemkaddem </v>
      </c>
      <c r="D521" s="254">
        <f>IFERROR(__xludf.DUMMYFUNCTION("""COMPUTED_VALUE"""),46231.0)</f>
        <v>46231</v>
      </c>
      <c r="E521" s="251">
        <f>IFERROR(__xludf.DUMMYFUNCTION("""COMPUTED_VALUE"""),46234.0)</f>
        <v>46234</v>
      </c>
      <c r="F521" s="255">
        <f>IFERROR(__xludf.DUMMYFUNCTION("""COMPUTED_VALUE"""),3.0)</f>
        <v>3</v>
      </c>
      <c r="G521" s="255">
        <f>IFERROR(__xludf.DUMMYFUNCTION("""COMPUTED_VALUE"""),3.0)</f>
        <v>3</v>
      </c>
      <c r="H521" s="256">
        <f>IFERROR(__xludf.DUMMYFUNCTION("""COMPUTED_VALUE"""),131.60999999999996)</f>
        <v>131.61</v>
      </c>
      <c r="I521" s="256">
        <f>IFERROR(__xludf.DUMMYFUNCTION("""COMPUTED_VALUE"""),315.8639999999999)</f>
        <v>315.864</v>
      </c>
      <c r="J521" s="257">
        <f t="shared" si="1"/>
        <v>9</v>
      </c>
      <c r="K521" s="253"/>
      <c r="L521" s="253"/>
      <c r="M521" s="275"/>
      <c r="N521" s="258"/>
      <c r="O521" s="259"/>
      <c r="P521" s="259"/>
      <c r="Q521" s="262"/>
      <c r="R521" s="260"/>
      <c r="S521" s="260"/>
      <c r="T521" s="173"/>
      <c r="U521" s="174"/>
      <c r="V521" s="16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</row>
    <row r="522">
      <c r="A522" s="251">
        <f>IFERROR(__xludf.DUMMYFUNCTION("""COMPUTED_VALUE"""),7860343.0)</f>
        <v>7860343</v>
      </c>
      <c r="B522" s="252" t="str">
        <f>IFERROR(__xludf.DUMMYFUNCTION("""COMPUTED_VALUE"""),"BookingCom")</f>
        <v>BookingCom</v>
      </c>
      <c r="C522" s="253" t="str">
        <f>IFERROR(__xludf.DUMMYFUNCTION("""COMPUTED_VALUE"""),"Martijn Van der Hoeven ")</f>
        <v>Martijn Van der Hoeven </v>
      </c>
      <c r="D522" s="254">
        <f>IFERROR(__xludf.DUMMYFUNCTION("""COMPUTED_VALUE"""),46233.0)</f>
        <v>46233</v>
      </c>
      <c r="E522" s="251">
        <f>IFERROR(__xludf.DUMMYFUNCTION("""COMPUTED_VALUE"""),46236.0)</f>
        <v>46236</v>
      </c>
      <c r="F522" s="255">
        <f>IFERROR(__xludf.DUMMYFUNCTION("""COMPUTED_VALUE"""),3.0)</f>
        <v>3</v>
      </c>
      <c r="G522" s="255">
        <f>IFERROR(__xludf.DUMMYFUNCTION("""COMPUTED_VALUE"""),2.0)</f>
        <v>2</v>
      </c>
      <c r="H522" s="256">
        <f>IFERROR(__xludf.DUMMYFUNCTION("""COMPUTED_VALUE"""),85.37)</f>
        <v>85.37</v>
      </c>
      <c r="I522" s="256">
        <f>IFERROR(__xludf.DUMMYFUNCTION("""COMPUTED_VALUE"""),204.88800000000003)</f>
        <v>204.888</v>
      </c>
      <c r="J522" s="257">
        <f t="shared" si="1"/>
        <v>6</v>
      </c>
      <c r="K522" s="253"/>
      <c r="L522" s="253"/>
      <c r="M522" s="252"/>
      <c r="N522" s="258"/>
      <c r="O522" s="259"/>
      <c r="P522" s="259"/>
      <c r="Q522" s="262"/>
      <c r="R522" s="260"/>
      <c r="S522" s="260"/>
      <c r="T522" s="260"/>
      <c r="U522" s="261"/>
      <c r="V522" s="251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</row>
    <row r="523">
      <c r="A523" s="251">
        <f>IFERROR(__xludf.DUMMYFUNCTION("""COMPUTED_VALUE"""),7860343.0)</f>
        <v>7860343</v>
      </c>
      <c r="B523" s="252" t="str">
        <f>IFERROR(__xludf.DUMMYFUNCTION("""COMPUTED_VALUE"""),"BookingCom")</f>
        <v>BookingCom</v>
      </c>
      <c r="C523" s="253" t="str">
        <f>IFERROR(__xludf.DUMMYFUNCTION("""COMPUTED_VALUE"""),"Martijn Van der Hoeven ")</f>
        <v>Martijn Van der Hoeven </v>
      </c>
      <c r="D523" s="254">
        <f>IFERROR(__xludf.DUMMYFUNCTION("""COMPUTED_VALUE"""),46233.0)</f>
        <v>46233</v>
      </c>
      <c r="E523" s="251">
        <f>IFERROR(__xludf.DUMMYFUNCTION("""COMPUTED_VALUE"""),46236.0)</f>
        <v>46236</v>
      </c>
      <c r="F523" s="255">
        <f>IFERROR(__xludf.DUMMYFUNCTION("""COMPUTED_VALUE"""),3.0)</f>
        <v>3</v>
      </c>
      <c r="G523" s="255">
        <f>IFERROR(__xludf.DUMMYFUNCTION("""COMPUTED_VALUE"""),2.0)</f>
        <v>2</v>
      </c>
      <c r="H523" s="256">
        <f>IFERROR(__xludf.DUMMYFUNCTION("""COMPUTED_VALUE"""),101.89999999999999)</f>
        <v>101.9</v>
      </c>
      <c r="I523" s="256">
        <f>IFERROR(__xludf.DUMMYFUNCTION("""COMPUTED_VALUE"""),244.56)</f>
        <v>244.56</v>
      </c>
      <c r="J523" s="257">
        <f t="shared" si="1"/>
        <v>6</v>
      </c>
      <c r="K523" s="253"/>
      <c r="L523" s="253"/>
      <c r="M523" s="252"/>
      <c r="N523" s="258"/>
      <c r="O523" s="259"/>
      <c r="P523" s="259"/>
      <c r="Q523" s="262"/>
      <c r="R523" s="260"/>
      <c r="S523" s="260"/>
      <c r="T523" s="260"/>
      <c r="U523" s="261"/>
      <c r="V523" s="251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</row>
    <row r="524">
      <c r="A524" s="251">
        <f>IFERROR(__xludf.DUMMYFUNCTION("""COMPUTED_VALUE"""),7304702.0)</f>
        <v>7304702</v>
      </c>
      <c r="B524" s="252" t="str">
        <f>IFERROR(__xludf.DUMMYFUNCTION("""COMPUTED_VALUE"""),"BookingCom")</f>
        <v>BookingCom</v>
      </c>
      <c r="C524" s="253" t="str">
        <f>IFERROR(__xludf.DUMMYFUNCTION("""COMPUTED_VALUE"""),"Julie Pierru ")</f>
        <v>Julie Pierru </v>
      </c>
      <c r="D524" s="254">
        <f>IFERROR(__xludf.DUMMYFUNCTION("""COMPUTED_VALUE"""),46242.0)</f>
        <v>46242</v>
      </c>
      <c r="E524" s="251">
        <f>IFERROR(__xludf.DUMMYFUNCTION("""COMPUTED_VALUE"""),46244.0)</f>
        <v>46244</v>
      </c>
      <c r="F524" s="255">
        <f>IFERROR(__xludf.DUMMYFUNCTION("""COMPUTED_VALUE"""),2.0)</f>
        <v>2</v>
      </c>
      <c r="G524" s="255">
        <f>IFERROR(__xludf.DUMMYFUNCTION("""COMPUTED_VALUE"""),2.0)</f>
        <v>2</v>
      </c>
      <c r="H524" s="256">
        <f>IFERROR(__xludf.DUMMYFUNCTION("""COMPUTED_VALUE"""),183.43)</f>
        <v>183.43</v>
      </c>
      <c r="I524" s="256">
        <f>IFERROR(__xludf.DUMMYFUNCTION("""COMPUTED_VALUE"""),293.488)</f>
        <v>293.488</v>
      </c>
      <c r="J524" s="257">
        <f t="shared" si="1"/>
        <v>4</v>
      </c>
      <c r="K524" s="253"/>
      <c r="L524" s="253"/>
      <c r="M524" s="252"/>
      <c r="N524" s="258"/>
      <c r="O524" s="259"/>
      <c r="P524" s="259"/>
      <c r="Q524" s="262"/>
      <c r="R524" s="260"/>
      <c r="S524" s="260"/>
      <c r="T524" s="260"/>
      <c r="U524" s="261"/>
      <c r="V524" s="251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</row>
    <row r="525">
      <c r="A525" s="251">
        <f>IFERROR(__xludf.DUMMYFUNCTION("""COMPUTED_VALUE"""),7304702.0)</f>
        <v>7304702</v>
      </c>
      <c r="B525" s="252" t="str">
        <f>IFERROR(__xludf.DUMMYFUNCTION("""COMPUTED_VALUE"""),"BookingCom")</f>
        <v>BookingCom</v>
      </c>
      <c r="C525" s="253" t="str">
        <f>IFERROR(__xludf.DUMMYFUNCTION("""COMPUTED_VALUE"""),"Julie Pierru ")</f>
        <v>Julie Pierru </v>
      </c>
      <c r="D525" s="254">
        <f>IFERROR(__xludf.DUMMYFUNCTION("""COMPUTED_VALUE"""),46242.0)</f>
        <v>46242</v>
      </c>
      <c r="E525" s="251">
        <f>IFERROR(__xludf.DUMMYFUNCTION("""COMPUTED_VALUE"""),46244.0)</f>
        <v>46244</v>
      </c>
      <c r="F525" s="255">
        <f>IFERROR(__xludf.DUMMYFUNCTION("""COMPUTED_VALUE"""),2.0)</f>
        <v>2</v>
      </c>
      <c r="G525" s="255">
        <f>IFERROR(__xludf.DUMMYFUNCTION("""COMPUTED_VALUE"""),2.0)</f>
        <v>2</v>
      </c>
      <c r="H525" s="256">
        <f>IFERROR(__xludf.DUMMYFUNCTION("""COMPUTED_VALUE"""),183.43)</f>
        <v>183.43</v>
      </c>
      <c r="I525" s="256">
        <f>IFERROR(__xludf.DUMMYFUNCTION("""COMPUTED_VALUE"""),293.488)</f>
        <v>293.488</v>
      </c>
      <c r="J525" s="257">
        <f t="shared" si="1"/>
        <v>4</v>
      </c>
      <c r="K525" s="253"/>
      <c r="L525" s="253"/>
      <c r="M525" s="275"/>
      <c r="N525" s="258"/>
      <c r="O525" s="259"/>
      <c r="P525" s="259"/>
      <c r="Q525" s="262"/>
      <c r="R525" s="260"/>
      <c r="S525" s="260"/>
      <c r="T525" s="260"/>
      <c r="U525" s="261"/>
      <c r="V525" s="251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</row>
    <row r="526">
      <c r="A526" s="251">
        <f>IFERROR(__xludf.DUMMYFUNCTION("""COMPUTED_VALUE"""),7398675.0)</f>
        <v>7398675</v>
      </c>
      <c r="B526" s="252" t="str">
        <f>IFERROR(__xludf.DUMMYFUNCTION("""COMPUTED_VALUE"""),"A-Expedia")</f>
        <v>A-Expedia</v>
      </c>
      <c r="C526" s="253" t="str">
        <f>IFERROR(__xludf.DUMMYFUNCTION("""COMPUTED_VALUE"""),"Ariel Powers ")</f>
        <v>Ariel Powers </v>
      </c>
      <c r="D526" s="254">
        <f>IFERROR(__xludf.DUMMYFUNCTION("""COMPUTED_VALUE"""),46246.0)</f>
        <v>46246</v>
      </c>
      <c r="E526" s="251">
        <f>IFERROR(__xludf.DUMMYFUNCTION("""COMPUTED_VALUE"""),46251.0)</f>
        <v>46251</v>
      </c>
      <c r="F526" s="255">
        <f>IFERROR(__xludf.DUMMYFUNCTION("""COMPUTED_VALUE"""),5.0)</f>
        <v>5</v>
      </c>
      <c r="G526" s="255">
        <f>IFERROR(__xludf.DUMMYFUNCTION("""COMPUTED_VALUE"""),1.0)</f>
        <v>1</v>
      </c>
      <c r="H526" s="256">
        <f>IFERROR(__xludf.DUMMYFUNCTION("""COMPUTED_VALUE"""),185.0)</f>
        <v>185</v>
      </c>
      <c r="I526" s="256">
        <f>IFERROR(__xludf.DUMMYFUNCTION("""COMPUTED_VALUE"""),740.0)</f>
        <v>740</v>
      </c>
      <c r="J526" s="257">
        <f t="shared" si="1"/>
        <v>5</v>
      </c>
      <c r="K526" s="253"/>
      <c r="L526" s="253"/>
      <c r="M526" s="252"/>
      <c r="N526" s="258"/>
      <c r="O526" s="259"/>
      <c r="P526" s="259"/>
      <c r="Q526" s="262"/>
      <c r="R526" s="260"/>
      <c r="S526" s="260"/>
      <c r="T526" s="260"/>
      <c r="U526" s="261"/>
      <c r="V526" s="276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</row>
    <row r="527">
      <c r="A527" s="251">
        <f>IFERROR(__xludf.DUMMYFUNCTION("""COMPUTED_VALUE"""),7398677.0)</f>
        <v>7398677</v>
      </c>
      <c r="B527" s="252" t="str">
        <f>IFERROR(__xludf.DUMMYFUNCTION("""COMPUTED_VALUE"""),"A-Expedia")</f>
        <v>A-Expedia</v>
      </c>
      <c r="C527" s="253" t="str">
        <f>IFERROR(__xludf.DUMMYFUNCTION("""COMPUTED_VALUE"""),"Ariel Powers ")</f>
        <v>Ariel Powers </v>
      </c>
      <c r="D527" s="254">
        <f>IFERROR(__xludf.DUMMYFUNCTION("""COMPUTED_VALUE"""),46246.0)</f>
        <v>46246</v>
      </c>
      <c r="E527" s="251">
        <f>IFERROR(__xludf.DUMMYFUNCTION("""COMPUTED_VALUE"""),46251.0)</f>
        <v>46251</v>
      </c>
      <c r="F527" s="255">
        <f>IFERROR(__xludf.DUMMYFUNCTION("""COMPUTED_VALUE"""),5.0)</f>
        <v>5</v>
      </c>
      <c r="G527" s="255">
        <f>IFERROR(__xludf.DUMMYFUNCTION("""COMPUTED_VALUE"""),1.0)</f>
        <v>1</v>
      </c>
      <c r="H527" s="256">
        <f>IFERROR(__xludf.DUMMYFUNCTION("""COMPUTED_VALUE"""),185.0)</f>
        <v>185</v>
      </c>
      <c r="I527" s="256">
        <f>IFERROR(__xludf.DUMMYFUNCTION("""COMPUTED_VALUE"""),740.0)</f>
        <v>740</v>
      </c>
      <c r="J527" s="257">
        <f t="shared" si="1"/>
        <v>5</v>
      </c>
      <c r="K527" s="253"/>
      <c r="L527" s="253"/>
      <c r="M527" s="275"/>
      <c r="N527" s="258"/>
      <c r="O527" s="259"/>
      <c r="P527" s="259"/>
      <c r="Q527" s="262"/>
      <c r="R527" s="260"/>
      <c r="S527" s="260"/>
      <c r="T527" s="260"/>
      <c r="U527" s="261"/>
      <c r="V527" s="251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</row>
    <row r="528">
      <c r="A528" s="251">
        <f>IFERROR(__xludf.DUMMYFUNCTION("""COMPUTED_VALUE"""),7398678.0)</f>
        <v>7398678</v>
      </c>
      <c r="B528" s="252" t="str">
        <f>IFERROR(__xludf.DUMMYFUNCTION("""COMPUTED_VALUE"""),"A-Expedia")</f>
        <v>A-Expedia</v>
      </c>
      <c r="C528" s="253" t="str">
        <f>IFERROR(__xludf.DUMMYFUNCTION("""COMPUTED_VALUE"""),"Ariel Powers ")</f>
        <v>Ariel Powers </v>
      </c>
      <c r="D528" s="254">
        <f>IFERROR(__xludf.DUMMYFUNCTION("""COMPUTED_VALUE"""),46246.0)</f>
        <v>46246</v>
      </c>
      <c r="E528" s="251">
        <f>IFERROR(__xludf.DUMMYFUNCTION("""COMPUTED_VALUE"""),46251.0)</f>
        <v>46251</v>
      </c>
      <c r="F528" s="255">
        <f>IFERROR(__xludf.DUMMYFUNCTION("""COMPUTED_VALUE"""),5.0)</f>
        <v>5</v>
      </c>
      <c r="G528" s="255">
        <f>IFERROR(__xludf.DUMMYFUNCTION("""COMPUTED_VALUE"""),1.0)</f>
        <v>1</v>
      </c>
      <c r="H528" s="256">
        <f>IFERROR(__xludf.DUMMYFUNCTION("""COMPUTED_VALUE"""),185.0)</f>
        <v>185</v>
      </c>
      <c r="I528" s="256">
        <f>IFERROR(__xludf.DUMMYFUNCTION("""COMPUTED_VALUE"""),740.0)</f>
        <v>740</v>
      </c>
      <c r="J528" s="257">
        <f t="shared" si="1"/>
        <v>5</v>
      </c>
      <c r="K528" s="253"/>
      <c r="L528" s="253"/>
      <c r="M528" s="252"/>
      <c r="N528" s="258"/>
      <c r="O528" s="259"/>
      <c r="P528" s="259"/>
      <c r="Q528" s="262"/>
      <c r="R528" s="260"/>
      <c r="S528" s="260"/>
      <c r="T528" s="260"/>
      <c r="U528" s="261"/>
      <c r="V528" s="276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</row>
    <row r="529">
      <c r="A529" s="251">
        <f>IFERROR(__xludf.DUMMYFUNCTION("""COMPUTED_VALUE"""),7398680.0)</f>
        <v>7398680</v>
      </c>
      <c r="B529" s="252" t="str">
        <f>IFERROR(__xludf.DUMMYFUNCTION("""COMPUTED_VALUE"""),"A-Expedia")</f>
        <v>A-Expedia</v>
      </c>
      <c r="C529" s="253" t="str">
        <f>IFERROR(__xludf.DUMMYFUNCTION("""COMPUTED_VALUE"""),"Ariel Powers ")</f>
        <v>Ariel Powers </v>
      </c>
      <c r="D529" s="254">
        <f>IFERROR(__xludf.DUMMYFUNCTION("""COMPUTED_VALUE"""),46246.0)</f>
        <v>46246</v>
      </c>
      <c r="E529" s="251">
        <f>IFERROR(__xludf.DUMMYFUNCTION("""COMPUTED_VALUE"""),46251.0)</f>
        <v>46251</v>
      </c>
      <c r="F529" s="255">
        <f>IFERROR(__xludf.DUMMYFUNCTION("""COMPUTED_VALUE"""),5.0)</f>
        <v>5</v>
      </c>
      <c r="G529" s="255">
        <f>IFERROR(__xludf.DUMMYFUNCTION("""COMPUTED_VALUE"""),1.0)</f>
        <v>1</v>
      </c>
      <c r="H529" s="256">
        <f>IFERROR(__xludf.DUMMYFUNCTION("""COMPUTED_VALUE"""),185.0)</f>
        <v>185</v>
      </c>
      <c r="I529" s="256">
        <f>IFERROR(__xludf.DUMMYFUNCTION("""COMPUTED_VALUE"""),740.0)</f>
        <v>740</v>
      </c>
      <c r="J529" s="257">
        <f t="shared" si="1"/>
        <v>5</v>
      </c>
      <c r="K529" s="253"/>
      <c r="L529" s="253"/>
      <c r="M529" s="252"/>
      <c r="N529" s="258"/>
      <c r="O529" s="259"/>
      <c r="P529" s="259"/>
      <c r="Q529" s="257"/>
      <c r="R529" s="260"/>
      <c r="S529" s="260"/>
      <c r="T529" s="260"/>
      <c r="U529" s="261"/>
      <c r="V529" s="251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</row>
    <row r="530">
      <c r="A530" s="251">
        <f>IFERROR(__xludf.DUMMYFUNCTION("""COMPUTED_VALUE"""),7398679.0)</f>
        <v>7398679</v>
      </c>
      <c r="B530" s="252" t="str">
        <f>IFERROR(__xludf.DUMMYFUNCTION("""COMPUTED_VALUE"""),"A-Expedia")</f>
        <v>A-Expedia</v>
      </c>
      <c r="C530" s="253" t="str">
        <f>IFERROR(__xludf.DUMMYFUNCTION("""COMPUTED_VALUE"""),"Ariel Powers ")</f>
        <v>Ariel Powers </v>
      </c>
      <c r="D530" s="254">
        <f>IFERROR(__xludf.DUMMYFUNCTION("""COMPUTED_VALUE"""),46246.0)</f>
        <v>46246</v>
      </c>
      <c r="E530" s="251">
        <f>IFERROR(__xludf.DUMMYFUNCTION("""COMPUTED_VALUE"""),46251.0)</f>
        <v>46251</v>
      </c>
      <c r="F530" s="255">
        <f>IFERROR(__xludf.DUMMYFUNCTION("""COMPUTED_VALUE"""),5.0)</f>
        <v>5</v>
      </c>
      <c r="G530" s="255">
        <f>IFERROR(__xludf.DUMMYFUNCTION("""COMPUTED_VALUE"""),1.0)</f>
        <v>1</v>
      </c>
      <c r="H530" s="256">
        <f>IFERROR(__xludf.DUMMYFUNCTION("""COMPUTED_VALUE"""),185.0)</f>
        <v>185</v>
      </c>
      <c r="I530" s="256">
        <f>IFERROR(__xludf.DUMMYFUNCTION("""COMPUTED_VALUE"""),740.0)</f>
        <v>740</v>
      </c>
      <c r="J530" s="257">
        <f t="shared" si="1"/>
        <v>5</v>
      </c>
      <c r="K530" s="253"/>
      <c r="L530" s="253"/>
      <c r="M530" s="275"/>
      <c r="N530" s="258"/>
      <c r="O530" s="259"/>
      <c r="P530" s="259"/>
      <c r="Q530" s="262"/>
      <c r="R530" s="260"/>
      <c r="S530" s="260"/>
      <c r="T530" s="260"/>
      <c r="U530" s="261"/>
      <c r="V530" s="251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</row>
    <row r="531">
      <c r="A531" s="251">
        <f>IFERROR(__xludf.DUMMYFUNCTION("""COMPUTED_VALUE"""),7739326.0)</f>
        <v>7739326</v>
      </c>
      <c r="B531" s="252" t="str">
        <f>IFERROR(__xludf.DUMMYFUNCTION("""COMPUTED_VALUE"""),"BookingCom")</f>
        <v>BookingCom</v>
      </c>
      <c r="C531" s="253" t="str">
        <f>IFERROR(__xludf.DUMMYFUNCTION("""COMPUTED_VALUE"""),"Vadsana Huang ")</f>
        <v>Vadsana Huang </v>
      </c>
      <c r="D531" s="254">
        <f>IFERROR(__xludf.DUMMYFUNCTION("""COMPUTED_VALUE"""),46248.0)</f>
        <v>46248</v>
      </c>
      <c r="E531" s="251">
        <f>IFERROR(__xludf.DUMMYFUNCTION("""COMPUTED_VALUE"""),46251.0)</f>
        <v>46251</v>
      </c>
      <c r="F531" s="255">
        <f>IFERROR(__xludf.DUMMYFUNCTION("""COMPUTED_VALUE"""),3.0)</f>
        <v>3</v>
      </c>
      <c r="G531" s="255">
        <f>IFERROR(__xludf.DUMMYFUNCTION("""COMPUTED_VALUE"""),2.0)</f>
        <v>2</v>
      </c>
      <c r="H531" s="256">
        <f>IFERROR(__xludf.DUMMYFUNCTION("""COMPUTED_VALUE"""),85.37)</f>
        <v>85.37</v>
      </c>
      <c r="I531" s="256">
        <f>IFERROR(__xludf.DUMMYFUNCTION("""COMPUTED_VALUE"""),204.88800000000003)</f>
        <v>204.888</v>
      </c>
      <c r="J531" s="257">
        <f t="shared" si="1"/>
        <v>6</v>
      </c>
      <c r="K531" s="253"/>
      <c r="L531" s="253"/>
      <c r="M531" s="252"/>
      <c r="N531" s="258"/>
      <c r="O531" s="259"/>
      <c r="P531" s="259"/>
      <c r="Q531" s="257"/>
      <c r="R531" s="260"/>
      <c r="S531" s="260"/>
      <c r="T531" s="260"/>
      <c r="U531" s="261"/>
      <c r="V531" s="276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</row>
    <row r="532">
      <c r="A532" s="251">
        <f>IFERROR(__xludf.DUMMYFUNCTION("""COMPUTED_VALUE"""),7852171.0)</f>
        <v>7852171</v>
      </c>
      <c r="B532" s="252" t="str">
        <f>IFERROR(__xludf.DUMMYFUNCTION("""COMPUTED_VALUE"""),"BookingCom")</f>
        <v>BookingCom</v>
      </c>
      <c r="C532" s="253" t="str">
        <f>IFERROR(__xludf.DUMMYFUNCTION("""COMPUTED_VALUE"""),"Nick Carter ")</f>
        <v>Nick Carter </v>
      </c>
      <c r="D532" s="254">
        <f>IFERROR(__xludf.DUMMYFUNCTION("""COMPUTED_VALUE"""),46255.0)</f>
        <v>46255</v>
      </c>
      <c r="E532" s="251">
        <f>IFERROR(__xludf.DUMMYFUNCTION("""COMPUTED_VALUE"""),46259.0)</f>
        <v>46259</v>
      </c>
      <c r="F532" s="255">
        <f>IFERROR(__xludf.DUMMYFUNCTION("""COMPUTED_VALUE"""),4.0)</f>
        <v>4</v>
      </c>
      <c r="G532" s="255">
        <f>IFERROR(__xludf.DUMMYFUNCTION("""COMPUTED_VALUE"""),2.0)</f>
        <v>2</v>
      </c>
      <c r="H532" s="256">
        <f>IFERROR(__xludf.DUMMYFUNCTION("""COMPUTED_VALUE"""),94.4)</f>
        <v>94.4</v>
      </c>
      <c r="I532" s="256">
        <f>IFERROR(__xludf.DUMMYFUNCTION("""COMPUTED_VALUE"""),302.08000000000004)</f>
        <v>302.08</v>
      </c>
      <c r="J532" s="257">
        <f t="shared" si="1"/>
        <v>8</v>
      </c>
      <c r="K532" s="253"/>
      <c r="L532" s="253"/>
      <c r="M532" s="252"/>
      <c r="N532" s="258"/>
      <c r="O532" s="259"/>
      <c r="P532" s="259"/>
      <c r="Q532" s="257"/>
      <c r="R532" s="260"/>
      <c r="S532" s="260"/>
      <c r="T532" s="273"/>
      <c r="U532" s="274"/>
      <c r="V532" s="263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</row>
    <row r="533">
      <c r="A533" s="251">
        <f>IFERROR(__xludf.DUMMYFUNCTION("""COMPUTED_VALUE"""),7981242.0)</f>
        <v>7981242</v>
      </c>
      <c r="B533" s="252" t="str">
        <f>IFERROR(__xludf.DUMMYFUNCTION("""COMPUTED_VALUE"""),"BookingCom")</f>
        <v>BookingCom</v>
      </c>
      <c r="C533" s="253" t="str">
        <f>IFERROR(__xludf.DUMMYFUNCTION("""COMPUTED_VALUE"""),"Wei Gan ")</f>
        <v>Wei Gan </v>
      </c>
      <c r="D533" s="254">
        <f>IFERROR(__xludf.DUMMYFUNCTION("""COMPUTED_VALUE"""),46255.0)</f>
        <v>46255</v>
      </c>
      <c r="E533" s="251">
        <f>IFERROR(__xludf.DUMMYFUNCTION("""COMPUTED_VALUE"""),46257.0)</f>
        <v>46257</v>
      </c>
      <c r="F533" s="255">
        <f>IFERROR(__xludf.DUMMYFUNCTION("""COMPUTED_VALUE"""),2.0)</f>
        <v>2</v>
      </c>
      <c r="G533" s="255">
        <f>IFERROR(__xludf.DUMMYFUNCTION("""COMPUTED_VALUE"""),2.0)</f>
        <v>2</v>
      </c>
      <c r="H533" s="256">
        <f>IFERROR(__xludf.DUMMYFUNCTION("""COMPUTED_VALUE"""),119.46)</f>
        <v>119.46</v>
      </c>
      <c r="I533" s="256">
        <f>IFERROR(__xludf.DUMMYFUNCTION("""COMPUTED_VALUE"""),191.136)</f>
        <v>191.136</v>
      </c>
      <c r="J533" s="257">
        <f t="shared" si="1"/>
        <v>4</v>
      </c>
      <c r="K533" s="253"/>
      <c r="L533" s="253"/>
      <c r="M533" s="275"/>
      <c r="N533" s="258"/>
      <c r="O533" s="259"/>
      <c r="P533" s="259"/>
      <c r="Q533" s="262"/>
      <c r="R533" s="260"/>
      <c r="S533" s="260"/>
      <c r="T533" s="260"/>
      <c r="U533" s="253"/>
      <c r="V533" s="251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</row>
    <row r="534">
      <c r="A534" s="251">
        <f>IFERROR(__xludf.DUMMYFUNCTION("""COMPUTED_VALUE"""),7868252.0)</f>
        <v>7868252</v>
      </c>
      <c r="B534" s="252" t="str">
        <f>IFERROR(__xludf.DUMMYFUNCTION("""COMPUTED_VALUE"""),"BookingCom")</f>
        <v>BookingCom</v>
      </c>
      <c r="C534" s="253" t="str">
        <f>IFERROR(__xludf.DUMMYFUNCTION("""COMPUTED_VALUE"""),"YOLANDA GIL ESQUER ")</f>
        <v>YOLANDA GIL ESQUER </v>
      </c>
      <c r="D534" s="254">
        <f>IFERROR(__xludf.DUMMYFUNCTION("""COMPUTED_VALUE"""),46258.0)</f>
        <v>46258</v>
      </c>
      <c r="E534" s="251">
        <f>IFERROR(__xludf.DUMMYFUNCTION("""COMPUTED_VALUE"""),46261.0)</f>
        <v>46261</v>
      </c>
      <c r="F534" s="255">
        <f>IFERROR(__xludf.DUMMYFUNCTION("""COMPUTED_VALUE"""),3.0)</f>
        <v>3</v>
      </c>
      <c r="G534" s="255">
        <f>IFERROR(__xludf.DUMMYFUNCTION("""COMPUTED_VALUE"""),2.0)</f>
        <v>2</v>
      </c>
      <c r="H534" s="256">
        <f>IFERROR(__xludf.DUMMYFUNCTION("""COMPUTED_VALUE"""),99.39999999999999)</f>
        <v>99.4</v>
      </c>
      <c r="I534" s="256">
        <f>IFERROR(__xludf.DUMMYFUNCTION("""COMPUTED_VALUE"""),238.56)</f>
        <v>238.56</v>
      </c>
      <c r="J534" s="257">
        <f t="shared" si="1"/>
        <v>6</v>
      </c>
      <c r="K534" s="253"/>
      <c r="L534" s="253"/>
      <c r="M534" s="252"/>
      <c r="N534" s="258"/>
      <c r="O534" s="259"/>
      <c r="P534" s="259"/>
      <c r="Q534" s="262"/>
      <c r="R534" s="260"/>
      <c r="S534" s="260"/>
      <c r="T534" s="260"/>
      <c r="U534" s="261"/>
      <c r="V534" s="251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</row>
    <row r="535">
      <c r="A535" s="251">
        <f>IFERROR(__xludf.DUMMYFUNCTION("""COMPUTED_VALUE"""),7879577.0)</f>
        <v>7879577</v>
      </c>
      <c r="B535" s="252" t="str">
        <f>IFERROR(__xludf.DUMMYFUNCTION("""COMPUTED_VALUE"""),"BookingCom")</f>
        <v>BookingCom</v>
      </c>
      <c r="C535" s="253" t="str">
        <f>IFERROR(__xludf.DUMMYFUNCTION("""COMPUTED_VALUE"""),"aimee simon ")</f>
        <v>aimee simon </v>
      </c>
      <c r="D535" s="254">
        <f>IFERROR(__xludf.DUMMYFUNCTION("""COMPUTED_VALUE"""),46259.0)</f>
        <v>46259</v>
      </c>
      <c r="E535" s="251">
        <f>IFERROR(__xludf.DUMMYFUNCTION("""COMPUTED_VALUE"""),46260.0)</f>
        <v>46260</v>
      </c>
      <c r="F535" s="255">
        <f>IFERROR(__xludf.DUMMYFUNCTION("""COMPUTED_VALUE"""),1.0)</f>
        <v>1</v>
      </c>
      <c r="G535" s="255">
        <f>IFERROR(__xludf.DUMMYFUNCTION("""COMPUTED_VALUE"""),1.0)</f>
        <v>1</v>
      </c>
      <c r="H535" s="256">
        <f>IFERROR(__xludf.DUMMYFUNCTION("""COMPUTED_VALUE"""),113.6)</f>
        <v>113.6</v>
      </c>
      <c r="I535" s="256">
        <f>IFERROR(__xludf.DUMMYFUNCTION("""COMPUTED_VALUE"""),90.88)</f>
        <v>90.88</v>
      </c>
      <c r="J535" s="257">
        <f t="shared" si="1"/>
        <v>1</v>
      </c>
      <c r="K535" s="253"/>
      <c r="L535" s="253"/>
      <c r="M535" s="252"/>
      <c r="N535" s="258"/>
      <c r="O535" s="259"/>
      <c r="P535" s="259"/>
      <c r="Q535" s="262"/>
      <c r="R535" s="260"/>
      <c r="S535" s="260"/>
      <c r="T535" s="260"/>
      <c r="U535" s="261"/>
      <c r="V535" s="251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</row>
    <row r="536">
      <c r="A536" s="251">
        <f>IFERROR(__xludf.DUMMYFUNCTION("""COMPUTED_VALUE"""),7879577.0)</f>
        <v>7879577</v>
      </c>
      <c r="B536" s="252" t="str">
        <f>IFERROR(__xludf.DUMMYFUNCTION("""COMPUTED_VALUE"""),"BookingCom")</f>
        <v>BookingCom</v>
      </c>
      <c r="C536" s="253" t="str">
        <f>IFERROR(__xludf.DUMMYFUNCTION("""COMPUTED_VALUE"""),"aimee simon ")</f>
        <v>aimee simon </v>
      </c>
      <c r="D536" s="254">
        <f>IFERROR(__xludf.DUMMYFUNCTION("""COMPUTED_VALUE"""),46259.0)</f>
        <v>46259</v>
      </c>
      <c r="E536" s="251">
        <f>IFERROR(__xludf.DUMMYFUNCTION("""COMPUTED_VALUE"""),46260.0)</f>
        <v>46260</v>
      </c>
      <c r="F536" s="255">
        <f>IFERROR(__xludf.DUMMYFUNCTION("""COMPUTED_VALUE"""),1.0)</f>
        <v>1</v>
      </c>
      <c r="G536" s="255">
        <f>IFERROR(__xludf.DUMMYFUNCTION("""COMPUTED_VALUE"""),2.0)</f>
        <v>2</v>
      </c>
      <c r="H536" s="256">
        <f>IFERROR(__xludf.DUMMYFUNCTION("""COMPUTED_VALUE"""),94.4)</f>
        <v>94.4</v>
      </c>
      <c r="I536" s="256">
        <f>IFERROR(__xludf.DUMMYFUNCTION("""COMPUTED_VALUE"""),75.52000000000001)</f>
        <v>75.52</v>
      </c>
      <c r="J536" s="257">
        <f t="shared" si="1"/>
        <v>2</v>
      </c>
      <c r="K536" s="253"/>
      <c r="L536" s="253"/>
      <c r="M536" s="252"/>
      <c r="N536" s="258"/>
      <c r="O536" s="259"/>
      <c r="P536" s="259"/>
      <c r="Q536" s="262"/>
      <c r="R536" s="260"/>
      <c r="S536" s="260"/>
      <c r="T536" s="260"/>
      <c r="U536" s="261"/>
      <c r="V536" s="276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</row>
    <row r="537">
      <c r="A537" s="251">
        <f>IFERROR(__xludf.DUMMYFUNCTION("""COMPUTED_VALUE"""),7407954.0)</f>
        <v>7407954</v>
      </c>
      <c r="B537" s="252" t="str">
        <f>IFERROR(__xludf.DUMMYFUNCTION("""COMPUTED_VALUE"""),"Reseliva")</f>
        <v>Reseliva</v>
      </c>
      <c r="C537" s="253" t="str">
        <f>IFERROR(__xludf.DUMMYFUNCTION("""COMPUTED_VALUE"""),"Graham Johnstone ")</f>
        <v>Graham Johnstone </v>
      </c>
      <c r="D537" s="254">
        <f>IFERROR(__xludf.DUMMYFUNCTION("""COMPUTED_VALUE"""),46263.0)</f>
        <v>46263</v>
      </c>
      <c r="E537" s="251">
        <f>IFERROR(__xludf.DUMMYFUNCTION("""COMPUTED_VALUE"""),46264.0)</f>
        <v>46264</v>
      </c>
      <c r="F537" s="255">
        <f>IFERROR(__xludf.DUMMYFUNCTION("""COMPUTED_VALUE"""),1.0)</f>
        <v>1</v>
      </c>
      <c r="G537" s="255">
        <f>IFERROR(__xludf.DUMMYFUNCTION("""COMPUTED_VALUE"""),2.0)</f>
        <v>2</v>
      </c>
      <c r="H537" s="256">
        <f>IFERROR(__xludf.DUMMYFUNCTION("""COMPUTED_VALUE"""),158.4)</f>
        <v>158.4</v>
      </c>
      <c r="I537" s="256">
        <f>IFERROR(__xludf.DUMMYFUNCTION("""COMPUTED_VALUE"""),156.816)</f>
        <v>156.816</v>
      </c>
      <c r="J537" s="257">
        <f t="shared" si="1"/>
        <v>2</v>
      </c>
      <c r="K537" s="253"/>
      <c r="L537" s="253"/>
      <c r="M537" s="275"/>
      <c r="N537" s="258"/>
      <c r="O537" s="259"/>
      <c r="P537" s="259"/>
      <c r="Q537" s="262"/>
      <c r="R537" s="260"/>
      <c r="S537" s="260"/>
      <c r="T537" s="260"/>
      <c r="U537" s="261"/>
      <c r="V537" s="251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</row>
    <row r="538">
      <c r="A538" s="251">
        <f>IFERROR(__xludf.DUMMYFUNCTION("""COMPUTED_VALUE"""),8204266.0)</f>
        <v>8204266</v>
      </c>
      <c r="B538" s="252" t="str">
        <f>IFERROR(__xludf.DUMMYFUNCTION("""COMPUTED_VALUE"""),"BookingCom")</f>
        <v>BookingCom</v>
      </c>
      <c r="C538" s="253" t="str">
        <f>IFERROR(__xludf.DUMMYFUNCTION("""COMPUTED_VALUE"""),"Eduard Filippi ")</f>
        <v>Eduard Filippi </v>
      </c>
      <c r="D538" s="254">
        <f>IFERROR(__xludf.DUMMYFUNCTION("""COMPUTED_VALUE"""),46266.0)</f>
        <v>46266</v>
      </c>
      <c r="E538" s="251">
        <f>IFERROR(__xludf.DUMMYFUNCTION("""COMPUTED_VALUE"""),46269.0)</f>
        <v>46269</v>
      </c>
      <c r="F538" s="255">
        <f>IFERROR(__xludf.DUMMYFUNCTION("""COMPUTED_VALUE"""),3.0)</f>
        <v>3</v>
      </c>
      <c r="G538" s="255">
        <f>IFERROR(__xludf.DUMMYFUNCTION("""COMPUTED_VALUE"""),2.0)</f>
        <v>2</v>
      </c>
      <c r="H538" s="256">
        <f>IFERROR(__xludf.DUMMYFUNCTION("""COMPUTED_VALUE"""),118.49000000000001)</f>
        <v>118.49</v>
      </c>
      <c r="I538" s="256">
        <f>IFERROR(__xludf.DUMMYFUNCTION("""COMPUTED_VALUE"""),284.37600000000003)</f>
        <v>284.376</v>
      </c>
      <c r="J538" s="257">
        <f t="shared" si="1"/>
        <v>6</v>
      </c>
      <c r="K538" s="253"/>
      <c r="L538" s="253"/>
      <c r="M538" s="252"/>
      <c r="N538" s="258"/>
      <c r="O538" s="259"/>
      <c r="P538" s="259"/>
      <c r="Q538" s="262"/>
      <c r="R538" s="260"/>
      <c r="S538" s="260"/>
      <c r="T538" s="260"/>
      <c r="U538" s="261"/>
      <c r="V538" s="251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</row>
    <row r="539">
      <c r="A539" s="251">
        <f>IFERROR(__xludf.DUMMYFUNCTION("""COMPUTED_VALUE"""),7678141.0)</f>
        <v>7678141</v>
      </c>
      <c r="B539" s="252" t="str">
        <f>IFERROR(__xludf.DUMMYFUNCTION("""COMPUTED_VALUE"""),"BookingCom")</f>
        <v>BookingCom</v>
      </c>
      <c r="C539" s="253" t="str">
        <f>IFERROR(__xludf.DUMMYFUNCTION("""COMPUTED_VALUE"""),"Thierry Brynaert ")</f>
        <v>Thierry Brynaert </v>
      </c>
      <c r="D539" s="254">
        <f>IFERROR(__xludf.DUMMYFUNCTION("""COMPUTED_VALUE"""),46268.0)</f>
        <v>46268</v>
      </c>
      <c r="E539" s="251">
        <f>IFERROR(__xludf.DUMMYFUNCTION("""COMPUTED_VALUE"""),46271.0)</f>
        <v>46271</v>
      </c>
      <c r="F539" s="255">
        <f>IFERROR(__xludf.DUMMYFUNCTION("""COMPUTED_VALUE"""),3.0)</f>
        <v>3</v>
      </c>
      <c r="G539" s="255">
        <f>IFERROR(__xludf.DUMMYFUNCTION("""COMPUTED_VALUE"""),2.0)</f>
        <v>2</v>
      </c>
      <c r="H539" s="256">
        <f>IFERROR(__xludf.DUMMYFUNCTION("""COMPUTED_VALUE"""),112.83999999999999)</f>
        <v>112.84</v>
      </c>
      <c r="I539" s="256">
        <f>IFERROR(__xludf.DUMMYFUNCTION("""COMPUTED_VALUE"""),270.816)</f>
        <v>270.816</v>
      </c>
      <c r="J539" s="257">
        <f t="shared" si="1"/>
        <v>6</v>
      </c>
      <c r="K539" s="253"/>
      <c r="L539" s="253"/>
      <c r="M539" s="252"/>
      <c r="N539" s="258"/>
      <c r="O539" s="259"/>
      <c r="P539" s="259"/>
      <c r="Q539" s="257"/>
      <c r="R539" s="260"/>
      <c r="S539" s="260"/>
      <c r="T539" s="260"/>
      <c r="U539" s="261"/>
      <c r="V539" s="251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</row>
    <row r="540">
      <c r="A540" s="251">
        <f>IFERROR(__xludf.DUMMYFUNCTION("""COMPUTED_VALUE"""),8114243.0)</f>
        <v>8114243</v>
      </c>
      <c r="B540" s="307" t="str">
        <f>IFERROR(__xludf.DUMMYFUNCTION("""COMPUTED_VALUE"""),"Hotels.com")</f>
        <v>Hotels.com</v>
      </c>
      <c r="C540" s="253" t="str">
        <f>IFERROR(__xludf.DUMMYFUNCTION("""COMPUTED_VALUE"""),"Bob Thompson ")</f>
        <v>Bob Thompson </v>
      </c>
      <c r="D540" s="254">
        <f>IFERROR(__xludf.DUMMYFUNCTION("""COMPUTED_VALUE"""),46270.0)</f>
        <v>46270</v>
      </c>
      <c r="E540" s="251">
        <f>IFERROR(__xludf.DUMMYFUNCTION("""COMPUTED_VALUE"""),46271.0)</f>
        <v>46271</v>
      </c>
      <c r="F540" s="255">
        <f>IFERROR(__xludf.DUMMYFUNCTION("""COMPUTED_VALUE"""),1.0)</f>
        <v>1</v>
      </c>
      <c r="G540" s="255">
        <f>IFERROR(__xludf.DUMMYFUNCTION("""COMPUTED_VALUE"""),1.0)</f>
        <v>1</v>
      </c>
      <c r="H540" s="256">
        <f>IFERROR(__xludf.DUMMYFUNCTION("""COMPUTED_VALUE"""),216.0)</f>
        <v>216</v>
      </c>
      <c r="I540" s="256">
        <f>IFERROR(__xludf.DUMMYFUNCTION("""COMPUTED_VALUE"""),172.8)</f>
        <v>172.8</v>
      </c>
      <c r="J540" s="257">
        <f t="shared" si="1"/>
        <v>1</v>
      </c>
      <c r="K540" s="253"/>
      <c r="L540" s="253"/>
      <c r="M540" s="252"/>
      <c r="N540" s="258"/>
      <c r="O540" s="259"/>
      <c r="P540" s="259"/>
      <c r="Q540" s="262"/>
      <c r="R540" s="260"/>
      <c r="S540" s="260"/>
      <c r="T540" s="260"/>
      <c r="U540" s="261"/>
      <c r="V540" s="309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</row>
    <row r="541">
      <c r="A541" s="251">
        <f>IFERROR(__xludf.DUMMYFUNCTION("""COMPUTED_VALUE"""),7839296.0)</f>
        <v>7839296</v>
      </c>
      <c r="B541" s="252" t="str">
        <f>IFERROR(__xludf.DUMMYFUNCTION("""COMPUTED_VALUE"""),"BookingCom")</f>
        <v>BookingCom</v>
      </c>
      <c r="C541" s="253" t="str">
        <f>IFERROR(__xludf.DUMMYFUNCTION("""COMPUTED_VALUE"""),"Speck Lauren ")</f>
        <v>Speck Lauren </v>
      </c>
      <c r="D541" s="254">
        <f>IFERROR(__xludf.DUMMYFUNCTION("""COMPUTED_VALUE"""),46277.0)</f>
        <v>46277</v>
      </c>
      <c r="E541" s="251">
        <f>IFERROR(__xludf.DUMMYFUNCTION("""COMPUTED_VALUE"""),46279.0)</f>
        <v>46279</v>
      </c>
      <c r="F541" s="255">
        <f>IFERROR(__xludf.DUMMYFUNCTION("""COMPUTED_VALUE"""),2.0)</f>
        <v>2</v>
      </c>
      <c r="G541" s="255">
        <f>IFERROR(__xludf.DUMMYFUNCTION("""COMPUTED_VALUE"""),2.0)</f>
        <v>2</v>
      </c>
      <c r="H541" s="256">
        <f>IFERROR(__xludf.DUMMYFUNCTION("""COMPUTED_VALUE"""),162.72)</f>
        <v>162.72</v>
      </c>
      <c r="I541" s="256">
        <f>IFERROR(__xludf.DUMMYFUNCTION("""COMPUTED_VALUE"""),260.35200000000003)</f>
        <v>260.352</v>
      </c>
      <c r="J541" s="257">
        <f t="shared" si="1"/>
        <v>4</v>
      </c>
      <c r="K541" s="253"/>
      <c r="L541" s="253"/>
      <c r="M541" s="252"/>
      <c r="N541" s="258"/>
      <c r="O541" s="259"/>
      <c r="P541" s="259"/>
      <c r="Q541" s="262"/>
      <c r="R541" s="260"/>
      <c r="S541" s="260"/>
      <c r="T541" s="260"/>
      <c r="U541" s="261"/>
      <c r="V541" s="309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</row>
    <row r="542">
      <c r="A542" s="251">
        <f>IFERROR(__xludf.DUMMYFUNCTION("""COMPUTED_VALUE"""),8038165.0)</f>
        <v>8038165</v>
      </c>
      <c r="B542" s="252" t="str">
        <f>IFERROR(__xludf.DUMMYFUNCTION("""COMPUTED_VALUE"""),"BookingCom")</f>
        <v>BookingCom</v>
      </c>
      <c r="C542" s="253" t="str">
        <f>IFERROR(__xludf.DUMMYFUNCTION("""COMPUTED_VALUE"""),"Jackson Trehearne ")</f>
        <v>Jackson Trehearne </v>
      </c>
      <c r="D542" s="254">
        <f>IFERROR(__xludf.DUMMYFUNCTION("""COMPUTED_VALUE"""),46279.0)</f>
        <v>46279</v>
      </c>
      <c r="E542" s="251">
        <f>IFERROR(__xludf.DUMMYFUNCTION("""COMPUTED_VALUE"""),46281.0)</f>
        <v>46281</v>
      </c>
      <c r="F542" s="255">
        <f>IFERROR(__xludf.DUMMYFUNCTION("""COMPUTED_VALUE"""),2.0)</f>
        <v>2</v>
      </c>
      <c r="G542" s="255">
        <f>IFERROR(__xludf.DUMMYFUNCTION("""COMPUTED_VALUE"""),2.0)</f>
        <v>2</v>
      </c>
      <c r="H542" s="256">
        <f>IFERROR(__xludf.DUMMYFUNCTION("""COMPUTED_VALUE"""),204.12)</f>
        <v>204.12</v>
      </c>
      <c r="I542" s="256">
        <f>IFERROR(__xludf.DUMMYFUNCTION("""COMPUTED_VALUE"""),326.59200000000004)</f>
        <v>326.592</v>
      </c>
      <c r="J542" s="257">
        <f t="shared" si="1"/>
        <v>4</v>
      </c>
      <c r="K542" s="253"/>
      <c r="L542" s="253"/>
      <c r="M542" s="252"/>
      <c r="N542" s="258"/>
      <c r="O542" s="259"/>
      <c r="P542" s="259"/>
      <c r="Q542" s="262"/>
      <c r="R542" s="260"/>
      <c r="S542" s="260"/>
      <c r="T542" s="260"/>
      <c r="U542" s="261"/>
      <c r="V542" s="251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</row>
    <row r="543">
      <c r="A543" s="251">
        <f>IFERROR(__xludf.DUMMYFUNCTION("""COMPUTED_VALUE"""),8038165.0)</f>
        <v>8038165</v>
      </c>
      <c r="B543" s="252" t="str">
        <f>IFERROR(__xludf.DUMMYFUNCTION("""COMPUTED_VALUE"""),"BookingCom")</f>
        <v>BookingCom</v>
      </c>
      <c r="C543" s="253" t="str">
        <f>IFERROR(__xludf.DUMMYFUNCTION("""COMPUTED_VALUE"""),"Jackson Trehearne ")</f>
        <v>Jackson Trehearne </v>
      </c>
      <c r="D543" s="254">
        <f>IFERROR(__xludf.DUMMYFUNCTION("""COMPUTED_VALUE"""),46279.0)</f>
        <v>46279</v>
      </c>
      <c r="E543" s="251">
        <f>IFERROR(__xludf.DUMMYFUNCTION("""COMPUTED_VALUE"""),46281.0)</f>
        <v>46281</v>
      </c>
      <c r="F543" s="255">
        <f>IFERROR(__xludf.DUMMYFUNCTION("""COMPUTED_VALUE"""),2.0)</f>
        <v>2</v>
      </c>
      <c r="G543" s="255">
        <f>IFERROR(__xludf.DUMMYFUNCTION("""COMPUTED_VALUE"""),2.0)</f>
        <v>2</v>
      </c>
      <c r="H543" s="256">
        <f>IFERROR(__xludf.DUMMYFUNCTION("""COMPUTED_VALUE"""),204.12)</f>
        <v>204.12</v>
      </c>
      <c r="I543" s="256">
        <f>IFERROR(__xludf.DUMMYFUNCTION("""COMPUTED_VALUE"""),326.59200000000004)</f>
        <v>326.592</v>
      </c>
      <c r="J543" s="257">
        <f t="shared" si="1"/>
        <v>4</v>
      </c>
      <c r="K543" s="253"/>
      <c r="L543" s="253"/>
      <c r="M543" s="252"/>
      <c r="N543" s="258"/>
      <c r="O543" s="259"/>
      <c r="P543" s="259"/>
      <c r="Q543" s="262"/>
      <c r="R543" s="260"/>
      <c r="S543" s="260"/>
      <c r="T543" s="260"/>
      <c r="U543" s="261"/>
      <c r="V543" s="251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</row>
    <row r="544">
      <c r="A544" s="251">
        <f>IFERROR(__xludf.DUMMYFUNCTION("""COMPUTED_VALUE"""),8081900.0)</f>
        <v>8081900</v>
      </c>
      <c r="B544" s="252" t="str">
        <f>IFERROR(__xludf.DUMMYFUNCTION("""COMPUTED_VALUE"""),"BookingCom")</f>
        <v>BookingCom</v>
      </c>
      <c r="C544" s="253" t="str">
        <f>IFERROR(__xludf.DUMMYFUNCTION("""COMPUTED_VALUE"""),"Cecilia Berteaud ")</f>
        <v>Cecilia Berteaud </v>
      </c>
      <c r="D544" s="254">
        <f>IFERROR(__xludf.DUMMYFUNCTION("""COMPUTED_VALUE"""),46281.0)</f>
        <v>46281</v>
      </c>
      <c r="E544" s="251">
        <f>IFERROR(__xludf.DUMMYFUNCTION("""COMPUTED_VALUE"""),46284.0)</f>
        <v>46284</v>
      </c>
      <c r="F544" s="255">
        <f>IFERROR(__xludf.DUMMYFUNCTION("""COMPUTED_VALUE"""),3.0)</f>
        <v>3</v>
      </c>
      <c r="G544" s="255">
        <f>IFERROR(__xludf.DUMMYFUNCTION("""COMPUTED_VALUE"""),2.0)</f>
        <v>2</v>
      </c>
      <c r="H544" s="256">
        <f>IFERROR(__xludf.DUMMYFUNCTION("""COMPUTED_VALUE"""),142.38)</f>
        <v>142.38</v>
      </c>
      <c r="I544" s="256">
        <f>IFERROR(__xludf.DUMMYFUNCTION("""COMPUTED_VALUE"""),341.712)</f>
        <v>341.712</v>
      </c>
      <c r="J544" s="257">
        <f t="shared" si="1"/>
        <v>6</v>
      </c>
      <c r="K544" s="253"/>
      <c r="L544" s="253"/>
      <c r="M544" s="275"/>
      <c r="N544" s="258"/>
      <c r="O544" s="259"/>
      <c r="P544" s="259"/>
      <c r="Q544" s="262"/>
      <c r="R544" s="260"/>
      <c r="S544" s="260"/>
      <c r="T544" s="273"/>
      <c r="U544" s="274"/>
      <c r="V544" s="263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</row>
    <row r="545">
      <c r="A545" s="251">
        <f>IFERROR(__xludf.DUMMYFUNCTION("""COMPUTED_VALUE"""),7704654.0)</f>
        <v>7704654</v>
      </c>
      <c r="B545" s="252" t="str">
        <f>IFERROR(__xludf.DUMMYFUNCTION("""COMPUTED_VALUE"""),"BookingCom")</f>
        <v>BookingCom</v>
      </c>
      <c r="C545" s="253" t="str">
        <f>IFERROR(__xludf.DUMMYFUNCTION("""COMPUTED_VALUE"""),"rascalon jaison ")</f>
        <v>rascalon jaison </v>
      </c>
      <c r="D545" s="254">
        <f>IFERROR(__xludf.DUMMYFUNCTION("""COMPUTED_VALUE"""),46283.0)</f>
        <v>46283</v>
      </c>
      <c r="E545" s="251">
        <f>IFERROR(__xludf.DUMMYFUNCTION("""COMPUTED_VALUE"""),46290.0)</f>
        <v>46290</v>
      </c>
      <c r="F545" s="255">
        <f>IFERROR(__xludf.DUMMYFUNCTION("""COMPUTED_VALUE"""),3.0)</f>
        <v>3</v>
      </c>
      <c r="G545" s="255">
        <f>IFERROR(__xludf.DUMMYFUNCTION("""COMPUTED_VALUE"""),2.0)</f>
        <v>2</v>
      </c>
      <c r="H545" s="256">
        <f>IFERROR(__xludf.DUMMYFUNCTION("""COMPUTED_VALUE"""),124.48)</f>
        <v>124.48</v>
      </c>
      <c r="I545" s="256">
        <f>IFERROR(__xludf.DUMMYFUNCTION("""COMPUTED_VALUE"""),298.752)</f>
        <v>298.752</v>
      </c>
      <c r="J545" s="257">
        <f t="shared" si="1"/>
        <v>6</v>
      </c>
      <c r="K545" s="253"/>
      <c r="L545" s="253"/>
      <c r="M545" s="275"/>
      <c r="N545" s="258"/>
      <c r="O545" s="259"/>
      <c r="P545" s="259"/>
      <c r="Q545" s="262"/>
      <c r="R545" s="260"/>
      <c r="S545" s="260"/>
      <c r="T545" s="260"/>
      <c r="U545" s="261"/>
      <c r="V545" s="251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</row>
    <row r="546">
      <c r="A546" s="251">
        <f>IFERROR(__xludf.DUMMYFUNCTION("""COMPUTED_VALUE"""),8158508.0)</f>
        <v>8158508</v>
      </c>
      <c r="B546" s="252" t="str">
        <f>IFERROR(__xludf.DUMMYFUNCTION("""COMPUTED_VALUE"""),"BookingCom")</f>
        <v>BookingCom</v>
      </c>
      <c r="C546" s="253" t="str">
        <f>IFERROR(__xludf.DUMMYFUNCTION("""COMPUTED_VALUE"""),"Grazina Thompson ")</f>
        <v>Grazina Thompson </v>
      </c>
      <c r="D546" s="254">
        <f>IFERROR(__xludf.DUMMYFUNCTION("""COMPUTED_VALUE"""),46283.0)</f>
        <v>46283</v>
      </c>
      <c r="E546" s="251">
        <f>IFERROR(__xludf.DUMMYFUNCTION("""COMPUTED_VALUE"""),46290.0)</f>
        <v>46290</v>
      </c>
      <c r="F546" s="255">
        <f>IFERROR(__xludf.DUMMYFUNCTION("""COMPUTED_VALUE"""),3.0)</f>
        <v>3</v>
      </c>
      <c r="G546" s="255">
        <f>IFERROR(__xludf.DUMMYFUNCTION("""COMPUTED_VALUE"""),2.0)</f>
        <v>2</v>
      </c>
      <c r="H546" s="256">
        <f>IFERROR(__xludf.DUMMYFUNCTION("""COMPUTED_VALUE"""),172.26)</f>
        <v>172.26</v>
      </c>
      <c r="I546" s="256">
        <f>IFERROR(__xludf.DUMMYFUNCTION("""COMPUTED_VALUE"""),413.424)</f>
        <v>413.424</v>
      </c>
      <c r="J546" s="257">
        <f t="shared" si="1"/>
        <v>6</v>
      </c>
      <c r="K546" s="253"/>
      <c r="L546" s="253"/>
      <c r="M546" s="275"/>
      <c r="N546" s="258"/>
      <c r="O546" s="259"/>
      <c r="P546" s="259"/>
      <c r="Q546" s="262"/>
      <c r="R546" s="260"/>
      <c r="S546" s="260"/>
      <c r="T546" s="260"/>
      <c r="U546" s="261"/>
      <c r="V546" s="251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</row>
    <row r="547">
      <c r="A547" s="251">
        <f>IFERROR(__xludf.DUMMYFUNCTION("""COMPUTED_VALUE"""),8158557.0)</f>
        <v>8158557</v>
      </c>
      <c r="B547" s="252" t="str">
        <f>IFERROR(__xludf.DUMMYFUNCTION("""COMPUTED_VALUE"""),"BookingCom")</f>
        <v>BookingCom</v>
      </c>
      <c r="C547" s="253" t="str">
        <f>IFERROR(__xludf.DUMMYFUNCTION("""COMPUTED_VALUE"""),"Alvia Turney ")</f>
        <v>Alvia Turney </v>
      </c>
      <c r="D547" s="254">
        <f>IFERROR(__xludf.DUMMYFUNCTION("""COMPUTED_VALUE"""),46283.0)</f>
        <v>46283</v>
      </c>
      <c r="E547" s="251">
        <f>IFERROR(__xludf.DUMMYFUNCTION("""COMPUTED_VALUE"""),46290.0)</f>
        <v>46290</v>
      </c>
      <c r="F547" s="255">
        <f>IFERROR(__xludf.DUMMYFUNCTION("""COMPUTED_VALUE"""),3.0)</f>
        <v>3</v>
      </c>
      <c r="G547" s="255">
        <f>IFERROR(__xludf.DUMMYFUNCTION("""COMPUTED_VALUE"""),2.0)</f>
        <v>2</v>
      </c>
      <c r="H547" s="256">
        <f>IFERROR(__xludf.DUMMYFUNCTION("""COMPUTED_VALUE"""),161.15)</f>
        <v>161.15</v>
      </c>
      <c r="I547" s="256">
        <f>IFERROR(__xludf.DUMMYFUNCTION("""COMPUTED_VALUE"""),386.76000000000005)</f>
        <v>386.76</v>
      </c>
      <c r="J547" s="257">
        <f t="shared" si="1"/>
        <v>6</v>
      </c>
      <c r="K547" s="253"/>
      <c r="L547" s="253"/>
      <c r="M547" s="252"/>
      <c r="N547" s="258"/>
      <c r="O547" s="259"/>
      <c r="P547" s="259"/>
      <c r="Q547" s="262"/>
      <c r="R547" s="260"/>
      <c r="S547" s="260"/>
      <c r="T547" s="260"/>
      <c r="U547" s="261"/>
      <c r="V547" s="251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</row>
    <row r="548">
      <c r="A548" s="251">
        <f>IFERROR(__xludf.DUMMYFUNCTION("""COMPUTED_VALUE"""),7837641.0)</f>
        <v>7837641</v>
      </c>
      <c r="B548" s="252" t="str">
        <f>IFERROR(__xludf.DUMMYFUNCTION("""COMPUTED_VALUE"""),"BookingCom")</f>
        <v>BookingCom</v>
      </c>
      <c r="C548" s="253" t="str">
        <f>IFERROR(__xludf.DUMMYFUNCTION("""COMPUTED_VALUE"""),"Sandra Krone ")</f>
        <v>Sandra Krone </v>
      </c>
      <c r="D548" s="254">
        <f>IFERROR(__xludf.DUMMYFUNCTION("""COMPUTED_VALUE"""),46290.0)</f>
        <v>46290</v>
      </c>
      <c r="E548" s="251">
        <f>IFERROR(__xludf.DUMMYFUNCTION("""COMPUTED_VALUE"""),46296.0)</f>
        <v>46296</v>
      </c>
      <c r="F548" s="255">
        <f>IFERROR(__xludf.DUMMYFUNCTION("""COMPUTED_VALUE"""),6.0)</f>
        <v>6</v>
      </c>
      <c r="G548" s="255">
        <f>IFERROR(__xludf.DUMMYFUNCTION("""COMPUTED_VALUE"""),2.0)</f>
        <v>2</v>
      </c>
      <c r="H548" s="256">
        <f>IFERROR(__xludf.DUMMYFUNCTION("""COMPUTED_VALUE"""),148.88)</f>
        <v>148.88</v>
      </c>
      <c r="I548" s="256">
        <f>IFERROR(__xludf.DUMMYFUNCTION("""COMPUTED_VALUE"""),714.624)</f>
        <v>714.624</v>
      </c>
      <c r="J548" s="257">
        <f t="shared" si="1"/>
        <v>12</v>
      </c>
      <c r="K548" s="253"/>
      <c r="L548" s="253"/>
      <c r="M548" s="252"/>
      <c r="N548" s="258"/>
      <c r="O548" s="259"/>
      <c r="P548" s="259"/>
      <c r="Q548" s="257"/>
      <c r="R548" s="260"/>
      <c r="S548" s="260"/>
      <c r="T548" s="260"/>
      <c r="U548" s="261"/>
      <c r="V548" s="251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</row>
    <row r="549">
      <c r="A549" s="251">
        <f>IFERROR(__xludf.DUMMYFUNCTION("""COMPUTED_VALUE"""),7879039.0)</f>
        <v>7879039</v>
      </c>
      <c r="B549" s="252" t="str">
        <f>IFERROR(__xludf.DUMMYFUNCTION("""COMPUTED_VALUE"""),"Reseliva Pannel")</f>
        <v>Reseliva Pannel</v>
      </c>
      <c r="C549" s="253" t="str">
        <f>IFERROR(__xludf.DUMMYFUNCTION("""COMPUTED_VALUE"""),"Maryem Anna ")</f>
        <v>Maryem Anna </v>
      </c>
      <c r="D549" s="254">
        <f>IFERROR(__xludf.DUMMYFUNCTION("""COMPUTED_VALUE"""),46290.0)</f>
        <v>46290</v>
      </c>
      <c r="E549" s="251">
        <f>IFERROR(__xludf.DUMMYFUNCTION("""COMPUTED_VALUE"""),46291.0)</f>
        <v>46291</v>
      </c>
      <c r="F549" s="255">
        <f>IFERROR(__xludf.DUMMYFUNCTION("""COMPUTED_VALUE"""),1.0)</f>
        <v>1</v>
      </c>
      <c r="G549" s="255">
        <f>IFERROR(__xludf.DUMMYFUNCTION("""COMPUTED_VALUE"""),2.0)</f>
        <v>2</v>
      </c>
      <c r="H549" s="256">
        <f>IFERROR(__xludf.DUMMYFUNCTION("""COMPUTED_VALUE"""),181.44)</f>
        <v>181.44</v>
      </c>
      <c r="I549" s="256">
        <f>IFERROR(__xludf.DUMMYFUNCTION("""COMPUTED_VALUE"""),181.44)</f>
        <v>181.44</v>
      </c>
      <c r="J549" s="257">
        <f t="shared" si="1"/>
        <v>2</v>
      </c>
      <c r="K549" s="253"/>
      <c r="L549" s="253"/>
      <c r="M549" s="252"/>
      <c r="N549" s="258"/>
      <c r="O549" s="259"/>
      <c r="P549" s="259"/>
      <c r="Q549" s="257"/>
      <c r="R549" s="260"/>
      <c r="S549" s="260"/>
      <c r="T549" s="260"/>
      <c r="U549" s="261"/>
      <c r="V549" s="251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</row>
    <row r="550">
      <c r="A550" s="251">
        <f>IFERROR(__xludf.DUMMYFUNCTION("""COMPUTED_VALUE"""),7879039.0)</f>
        <v>7879039</v>
      </c>
      <c r="B550" s="252" t="str">
        <f>IFERROR(__xludf.DUMMYFUNCTION("""COMPUTED_VALUE"""),"Reseliva Pannel")</f>
        <v>Reseliva Pannel</v>
      </c>
      <c r="C550" s="253" t="str">
        <f>IFERROR(__xludf.DUMMYFUNCTION("""COMPUTED_VALUE"""),"Maryem Anna ")</f>
        <v>Maryem Anna </v>
      </c>
      <c r="D550" s="254">
        <f>IFERROR(__xludf.DUMMYFUNCTION("""COMPUTED_VALUE"""),46290.0)</f>
        <v>46290</v>
      </c>
      <c r="E550" s="251">
        <f>IFERROR(__xludf.DUMMYFUNCTION("""COMPUTED_VALUE"""),46291.0)</f>
        <v>46291</v>
      </c>
      <c r="F550" s="255">
        <f>IFERROR(__xludf.DUMMYFUNCTION("""COMPUTED_VALUE"""),1.0)</f>
        <v>1</v>
      </c>
      <c r="G550" s="255">
        <f>IFERROR(__xludf.DUMMYFUNCTION("""COMPUTED_VALUE"""),2.0)</f>
        <v>2</v>
      </c>
      <c r="H550" s="256">
        <f>IFERROR(__xludf.DUMMYFUNCTION("""COMPUTED_VALUE"""),181.44)</f>
        <v>181.44</v>
      </c>
      <c r="I550" s="256">
        <f>IFERROR(__xludf.DUMMYFUNCTION("""COMPUTED_VALUE"""),181.44)</f>
        <v>181.44</v>
      </c>
      <c r="J550" s="257">
        <f t="shared" si="1"/>
        <v>2</v>
      </c>
      <c r="K550" s="253"/>
      <c r="L550" s="253"/>
      <c r="M550" s="252"/>
      <c r="N550" s="258"/>
      <c r="O550" s="259"/>
      <c r="P550" s="259"/>
      <c r="Q550" s="262"/>
      <c r="R550" s="260"/>
      <c r="S550" s="260"/>
      <c r="T550" s="260"/>
      <c r="U550" s="261"/>
      <c r="V550" s="251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</row>
    <row r="551">
      <c r="A551" s="251">
        <f>IFERROR(__xludf.DUMMYFUNCTION("""COMPUTED_VALUE"""),7879039.0)</f>
        <v>7879039</v>
      </c>
      <c r="B551" s="252" t="str">
        <f>IFERROR(__xludf.DUMMYFUNCTION("""COMPUTED_VALUE"""),"Reseliva Pannel")</f>
        <v>Reseliva Pannel</v>
      </c>
      <c r="C551" s="253" t="str">
        <f>IFERROR(__xludf.DUMMYFUNCTION("""COMPUTED_VALUE"""),"Maryem Anna ")</f>
        <v>Maryem Anna </v>
      </c>
      <c r="D551" s="254">
        <f>IFERROR(__xludf.DUMMYFUNCTION("""COMPUTED_VALUE"""),46290.0)</f>
        <v>46290</v>
      </c>
      <c r="E551" s="251">
        <f>IFERROR(__xludf.DUMMYFUNCTION("""COMPUTED_VALUE"""),46291.0)</f>
        <v>46291</v>
      </c>
      <c r="F551" s="255">
        <f>IFERROR(__xludf.DUMMYFUNCTION("""COMPUTED_VALUE"""),1.0)</f>
        <v>1</v>
      </c>
      <c r="G551" s="255">
        <f>IFERROR(__xludf.DUMMYFUNCTION("""COMPUTED_VALUE"""),2.0)</f>
        <v>2</v>
      </c>
      <c r="H551" s="256">
        <f>IFERROR(__xludf.DUMMYFUNCTION("""COMPUTED_VALUE"""),181.44)</f>
        <v>181.44</v>
      </c>
      <c r="I551" s="256">
        <f>IFERROR(__xludf.DUMMYFUNCTION("""COMPUTED_VALUE"""),181.44)</f>
        <v>181.44</v>
      </c>
      <c r="J551" s="257">
        <f t="shared" si="1"/>
        <v>2</v>
      </c>
      <c r="K551" s="253"/>
      <c r="L551" s="253"/>
      <c r="M551" s="275"/>
      <c r="N551" s="258"/>
      <c r="O551" s="259"/>
      <c r="P551" s="259"/>
      <c r="Q551" s="262"/>
      <c r="R551" s="260"/>
      <c r="S551" s="260"/>
      <c r="T551" s="260"/>
      <c r="U551" s="261"/>
      <c r="V551" s="251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</row>
    <row r="552">
      <c r="A552" s="251">
        <f>IFERROR(__xludf.DUMMYFUNCTION("""COMPUTED_VALUE"""),7879039.0)</f>
        <v>7879039</v>
      </c>
      <c r="B552" s="252" t="str">
        <f>IFERROR(__xludf.DUMMYFUNCTION("""COMPUTED_VALUE"""),"Reseliva Pannel")</f>
        <v>Reseliva Pannel</v>
      </c>
      <c r="C552" s="253" t="str">
        <f>IFERROR(__xludf.DUMMYFUNCTION("""COMPUTED_VALUE"""),"Maryem Anna ")</f>
        <v>Maryem Anna </v>
      </c>
      <c r="D552" s="254">
        <f>IFERROR(__xludf.DUMMYFUNCTION("""COMPUTED_VALUE"""),46290.0)</f>
        <v>46290</v>
      </c>
      <c r="E552" s="251">
        <f>IFERROR(__xludf.DUMMYFUNCTION("""COMPUTED_VALUE"""),46291.0)</f>
        <v>46291</v>
      </c>
      <c r="F552" s="255">
        <f>IFERROR(__xludf.DUMMYFUNCTION("""COMPUTED_VALUE"""),1.0)</f>
        <v>1</v>
      </c>
      <c r="G552" s="255">
        <f>IFERROR(__xludf.DUMMYFUNCTION("""COMPUTED_VALUE"""),2.0)</f>
        <v>2</v>
      </c>
      <c r="H552" s="256">
        <f>IFERROR(__xludf.DUMMYFUNCTION("""COMPUTED_VALUE"""),181.44)</f>
        <v>181.44</v>
      </c>
      <c r="I552" s="256">
        <f>IFERROR(__xludf.DUMMYFUNCTION("""COMPUTED_VALUE"""),181.44)</f>
        <v>181.44</v>
      </c>
      <c r="J552" s="257">
        <f t="shared" si="1"/>
        <v>2</v>
      </c>
      <c r="K552" s="253"/>
      <c r="L552" s="253"/>
      <c r="M552" s="252"/>
      <c r="N552" s="258"/>
      <c r="O552" s="259"/>
      <c r="P552" s="259"/>
      <c r="Q552" s="257"/>
      <c r="R552" s="260"/>
      <c r="S552" s="260"/>
      <c r="T552" s="260"/>
      <c r="U552" s="261"/>
      <c r="V552" s="251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</row>
    <row r="553">
      <c r="A553" s="251">
        <f>IFERROR(__xludf.DUMMYFUNCTION("""COMPUTED_VALUE"""),7879039.0)</f>
        <v>7879039</v>
      </c>
      <c r="B553" s="252" t="str">
        <f>IFERROR(__xludf.DUMMYFUNCTION("""COMPUTED_VALUE"""),"Reseliva Pannel")</f>
        <v>Reseliva Pannel</v>
      </c>
      <c r="C553" s="253" t="str">
        <f>IFERROR(__xludf.DUMMYFUNCTION("""COMPUTED_VALUE"""),"Maryem Anna ")</f>
        <v>Maryem Anna </v>
      </c>
      <c r="D553" s="254">
        <f>IFERROR(__xludf.DUMMYFUNCTION("""COMPUTED_VALUE"""),46290.0)</f>
        <v>46290</v>
      </c>
      <c r="E553" s="251">
        <f>IFERROR(__xludf.DUMMYFUNCTION("""COMPUTED_VALUE"""),46291.0)</f>
        <v>46291</v>
      </c>
      <c r="F553" s="255">
        <f>IFERROR(__xludf.DUMMYFUNCTION("""COMPUTED_VALUE"""),1.0)</f>
        <v>1</v>
      </c>
      <c r="G553" s="255">
        <f>IFERROR(__xludf.DUMMYFUNCTION("""COMPUTED_VALUE"""),2.0)</f>
        <v>2</v>
      </c>
      <c r="H553" s="256">
        <f>IFERROR(__xludf.DUMMYFUNCTION("""COMPUTED_VALUE"""),200.16)</f>
        <v>200.16</v>
      </c>
      <c r="I553" s="256">
        <f>IFERROR(__xludf.DUMMYFUNCTION("""COMPUTED_VALUE"""),200.16)</f>
        <v>200.16</v>
      </c>
      <c r="J553" s="257">
        <f t="shared" si="1"/>
        <v>2</v>
      </c>
      <c r="K553" s="253"/>
      <c r="L553" s="253"/>
      <c r="M553" s="252"/>
      <c r="N553" s="258"/>
      <c r="O553" s="259"/>
      <c r="P553" s="259"/>
      <c r="Q553" s="262"/>
      <c r="R553" s="260"/>
      <c r="S553" s="260"/>
      <c r="T553" s="260"/>
      <c r="U553" s="261"/>
      <c r="V553" s="251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</row>
    <row r="554">
      <c r="A554" s="251">
        <f>IFERROR(__xludf.DUMMYFUNCTION("""COMPUTED_VALUE"""),8173093.0)</f>
        <v>8173093</v>
      </c>
      <c r="B554" s="252" t="str">
        <f>IFERROR(__xludf.DUMMYFUNCTION("""COMPUTED_VALUE"""),"BookingCom")</f>
        <v>BookingCom</v>
      </c>
      <c r="C554" s="253" t="str">
        <f>IFERROR(__xludf.DUMMYFUNCTION("""COMPUTED_VALUE"""),"Nicole Huber ")</f>
        <v>Nicole Huber </v>
      </c>
      <c r="D554" s="254">
        <f>IFERROR(__xludf.DUMMYFUNCTION("""COMPUTED_VALUE"""),46291.0)</f>
        <v>46291</v>
      </c>
      <c r="E554" s="251">
        <f>IFERROR(__xludf.DUMMYFUNCTION("""COMPUTED_VALUE"""),46294.0)</f>
        <v>46294</v>
      </c>
      <c r="F554" s="255">
        <f>IFERROR(__xludf.DUMMYFUNCTION("""COMPUTED_VALUE"""),3.0)</f>
        <v>3</v>
      </c>
      <c r="G554" s="255">
        <f>IFERROR(__xludf.DUMMYFUNCTION("""COMPUTED_VALUE"""),2.0)</f>
        <v>2</v>
      </c>
      <c r="H554" s="256">
        <f>IFERROR(__xludf.DUMMYFUNCTION("""COMPUTED_VALUE"""),171.89)</f>
        <v>171.89</v>
      </c>
      <c r="I554" s="256">
        <f>IFERROR(__xludf.DUMMYFUNCTION("""COMPUTED_VALUE"""),412.536)</f>
        <v>412.536</v>
      </c>
      <c r="J554" s="257">
        <f t="shared" si="1"/>
        <v>6</v>
      </c>
      <c r="K554" s="253"/>
      <c r="L554" s="253"/>
      <c r="M554" s="252"/>
      <c r="N554" s="258"/>
      <c r="O554" s="259"/>
      <c r="P554" s="259"/>
      <c r="Q554" s="262"/>
      <c r="R554" s="260"/>
      <c r="S554" s="260"/>
      <c r="T554" s="260"/>
      <c r="U554" s="261"/>
      <c r="V554" s="251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</row>
    <row r="555">
      <c r="A555" s="251">
        <f>IFERROR(__xludf.DUMMYFUNCTION("""COMPUTED_VALUE"""),8193696.0)</f>
        <v>8193696</v>
      </c>
      <c r="B555" s="252" t="str">
        <f>IFERROR(__xludf.DUMMYFUNCTION("""COMPUTED_VALUE"""),"Agoda2")</f>
        <v>Agoda2</v>
      </c>
      <c r="C555" s="253" t="str">
        <f>IFERROR(__xludf.DUMMYFUNCTION("""COMPUTED_VALUE"""),"Julia Aloui ")</f>
        <v>Julia Aloui </v>
      </c>
      <c r="D555" s="254">
        <f>IFERROR(__xludf.DUMMYFUNCTION("""COMPUTED_VALUE"""),46293.0)</f>
        <v>46293</v>
      </c>
      <c r="E555" s="251">
        <f>IFERROR(__xludf.DUMMYFUNCTION("""COMPUTED_VALUE"""),46296.0)</f>
        <v>46296</v>
      </c>
      <c r="F555" s="255">
        <f>IFERROR(__xludf.DUMMYFUNCTION("""COMPUTED_VALUE"""),3.0)</f>
        <v>3</v>
      </c>
      <c r="G555" s="255">
        <f>IFERROR(__xludf.DUMMYFUNCTION("""COMPUTED_VALUE"""),3.0)</f>
        <v>3</v>
      </c>
      <c r="H555" s="256">
        <f>IFERROR(__xludf.DUMMYFUNCTION("""COMPUTED_VALUE"""),144.07)</f>
        <v>144.07</v>
      </c>
      <c r="I555" s="256">
        <f>IFERROR(__xludf.DUMMYFUNCTION("""COMPUTED_VALUE"""),345.76800000000003)</f>
        <v>345.768</v>
      </c>
      <c r="J555" s="257">
        <f t="shared" si="1"/>
        <v>9</v>
      </c>
      <c r="K555" s="253"/>
      <c r="L555" s="253"/>
      <c r="M555" s="252"/>
      <c r="N555" s="258"/>
      <c r="O555" s="259"/>
      <c r="P555" s="259"/>
      <c r="Q555" s="262"/>
      <c r="R555" s="260"/>
      <c r="S555" s="260"/>
      <c r="T555" s="260"/>
      <c r="U555" s="261"/>
      <c r="V555" s="251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</row>
    <row r="556">
      <c r="A556" s="251">
        <f>IFERROR(__xludf.DUMMYFUNCTION("""COMPUTED_VALUE"""),8159428.0)</f>
        <v>8159428</v>
      </c>
      <c r="B556" s="252" t="str">
        <f>IFERROR(__xludf.DUMMYFUNCTION("""COMPUTED_VALUE"""),"BookingCom")</f>
        <v>BookingCom</v>
      </c>
      <c r="C556" s="253" t="str">
        <f>IFERROR(__xludf.DUMMYFUNCTION("""COMPUTED_VALUE"""),"Amaury FERARD ")</f>
        <v>Amaury FERARD </v>
      </c>
      <c r="D556" s="254">
        <f>IFERROR(__xludf.DUMMYFUNCTION("""COMPUTED_VALUE"""),46293.0)</f>
        <v>46293</v>
      </c>
      <c r="E556" s="251">
        <f>IFERROR(__xludf.DUMMYFUNCTION("""COMPUTED_VALUE"""),46294.0)</f>
        <v>46294</v>
      </c>
      <c r="F556" s="255">
        <f>IFERROR(__xludf.DUMMYFUNCTION("""COMPUTED_VALUE"""),1.0)</f>
        <v>1</v>
      </c>
      <c r="G556" s="255">
        <f>IFERROR(__xludf.DUMMYFUNCTION("""COMPUTED_VALUE"""),2.0)</f>
        <v>2</v>
      </c>
      <c r="H556" s="256">
        <f>IFERROR(__xludf.DUMMYFUNCTION("""COMPUTED_VALUE"""),106.57)</f>
        <v>106.57</v>
      </c>
      <c r="I556" s="256">
        <f>IFERROR(__xludf.DUMMYFUNCTION("""COMPUTED_VALUE"""),85.256)</f>
        <v>85.256</v>
      </c>
      <c r="J556" s="257">
        <f t="shared" si="1"/>
        <v>2</v>
      </c>
      <c r="K556" s="253"/>
      <c r="L556" s="253"/>
      <c r="M556" s="252"/>
      <c r="N556" s="258"/>
      <c r="O556" s="259"/>
      <c r="P556" s="259"/>
      <c r="Q556" s="262"/>
      <c r="R556" s="260"/>
      <c r="S556" s="260"/>
      <c r="T556" s="260"/>
      <c r="U556" s="253"/>
      <c r="V556" s="251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</row>
    <row r="557">
      <c r="A557" s="251">
        <f>IFERROR(__xludf.DUMMYFUNCTION("""COMPUTED_VALUE"""),7807806.0)</f>
        <v>7807806</v>
      </c>
      <c r="B557" s="252" t="str">
        <f>IFERROR(__xludf.DUMMYFUNCTION("""COMPUTED_VALUE"""),"BookingCom")</f>
        <v>BookingCom</v>
      </c>
      <c r="C557" s="253" t="str">
        <f>IFERROR(__xludf.DUMMYFUNCTION("""COMPUTED_VALUE"""),"Bianca Koreman-Askes ")</f>
        <v>Bianca Koreman-Askes </v>
      </c>
      <c r="D557" s="254">
        <f>IFERROR(__xludf.DUMMYFUNCTION("""COMPUTED_VALUE"""),46294.0)</f>
        <v>46294</v>
      </c>
      <c r="E557" s="251">
        <f>IFERROR(__xludf.DUMMYFUNCTION("""COMPUTED_VALUE"""),46297.0)</f>
        <v>46297</v>
      </c>
      <c r="F557" s="255">
        <f>IFERROR(__xludf.DUMMYFUNCTION("""COMPUTED_VALUE"""),3.0)</f>
        <v>3</v>
      </c>
      <c r="G557" s="255">
        <f>IFERROR(__xludf.DUMMYFUNCTION("""COMPUTED_VALUE"""),2.0)</f>
        <v>2</v>
      </c>
      <c r="H557" s="256">
        <f>IFERROR(__xludf.DUMMYFUNCTION("""COMPUTED_VALUE"""),139.84)</f>
        <v>139.84</v>
      </c>
      <c r="I557" s="256">
        <f>IFERROR(__xludf.DUMMYFUNCTION("""COMPUTED_VALUE"""),335.61600000000004)</f>
        <v>335.616</v>
      </c>
      <c r="J557" s="257">
        <f t="shared" si="1"/>
        <v>6</v>
      </c>
      <c r="K557" s="253"/>
      <c r="L557" s="253"/>
      <c r="M557" s="252"/>
      <c r="N557" s="258"/>
      <c r="O557" s="259"/>
      <c r="P557" s="259"/>
      <c r="Q557" s="262"/>
      <c r="R557" s="260"/>
      <c r="S557" s="260"/>
      <c r="T557" s="260"/>
      <c r="U557" s="261"/>
      <c r="V557" s="251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</row>
    <row r="558">
      <c r="A558" s="251">
        <f>IFERROR(__xludf.DUMMYFUNCTION("""COMPUTED_VALUE"""),7807809.0)</f>
        <v>7807809</v>
      </c>
      <c r="B558" s="252" t="str">
        <f>IFERROR(__xludf.DUMMYFUNCTION("""COMPUTED_VALUE"""),"BookingCom")</f>
        <v>BookingCom</v>
      </c>
      <c r="C558" s="253" t="str">
        <f>IFERROR(__xludf.DUMMYFUNCTION("""COMPUTED_VALUE"""),"Bianca Koreman-Askes ")</f>
        <v>Bianca Koreman-Askes </v>
      </c>
      <c r="D558" s="254">
        <f>IFERROR(__xludf.DUMMYFUNCTION("""COMPUTED_VALUE"""),46294.0)</f>
        <v>46294</v>
      </c>
      <c r="E558" s="251">
        <f>IFERROR(__xludf.DUMMYFUNCTION("""COMPUTED_VALUE"""),46297.0)</f>
        <v>46297</v>
      </c>
      <c r="F558" s="255">
        <f>IFERROR(__xludf.DUMMYFUNCTION("""COMPUTED_VALUE"""),3.0)</f>
        <v>3</v>
      </c>
      <c r="G558" s="255">
        <f>IFERROR(__xludf.DUMMYFUNCTION("""COMPUTED_VALUE"""),2.0)</f>
        <v>2</v>
      </c>
      <c r="H558" s="256">
        <f>IFERROR(__xludf.DUMMYFUNCTION("""COMPUTED_VALUE"""),139.84)</f>
        <v>139.84</v>
      </c>
      <c r="I558" s="256">
        <f>IFERROR(__xludf.DUMMYFUNCTION("""COMPUTED_VALUE"""),335.61600000000004)</f>
        <v>335.616</v>
      </c>
      <c r="J558" s="257">
        <f t="shared" si="1"/>
        <v>6</v>
      </c>
      <c r="K558" s="253"/>
      <c r="L558" s="253"/>
      <c r="M558" s="275"/>
      <c r="N558" s="258"/>
      <c r="O558" s="259"/>
      <c r="P558" s="259"/>
      <c r="Q558" s="262"/>
      <c r="R558" s="260"/>
      <c r="S558" s="260"/>
      <c r="T558" s="260"/>
      <c r="U558" s="261"/>
      <c r="V558" s="309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</row>
    <row r="559">
      <c r="A559" s="251">
        <f>IFERROR(__xludf.DUMMYFUNCTION("""COMPUTED_VALUE"""),7862695.0)</f>
        <v>7862695</v>
      </c>
      <c r="B559" s="252" t="str">
        <f>IFERROR(__xludf.DUMMYFUNCTION("""COMPUTED_VALUE"""),"BookingCom")</f>
        <v>BookingCom</v>
      </c>
      <c r="C559" s="253" t="str">
        <f>IFERROR(__xludf.DUMMYFUNCTION("""COMPUTED_VALUE"""),"Nicola Commander ")</f>
        <v>Nicola Commander </v>
      </c>
      <c r="D559" s="254">
        <f>IFERROR(__xludf.DUMMYFUNCTION("""COMPUTED_VALUE"""),46295.0)</f>
        <v>46295</v>
      </c>
      <c r="E559" s="251">
        <f>IFERROR(__xludf.DUMMYFUNCTION("""COMPUTED_VALUE"""),46297.0)</f>
        <v>46297</v>
      </c>
      <c r="F559" s="255">
        <f>IFERROR(__xludf.DUMMYFUNCTION("""COMPUTED_VALUE"""),2.0)</f>
        <v>2</v>
      </c>
      <c r="G559" s="255">
        <f>IFERROR(__xludf.DUMMYFUNCTION("""COMPUTED_VALUE"""),2.0)</f>
        <v>2</v>
      </c>
      <c r="H559" s="256">
        <f>IFERROR(__xludf.DUMMYFUNCTION("""COMPUTED_VALUE"""),119.38)</f>
        <v>119.38</v>
      </c>
      <c r="I559" s="256">
        <f>IFERROR(__xludf.DUMMYFUNCTION("""COMPUTED_VALUE"""),191.008)</f>
        <v>191.008</v>
      </c>
      <c r="J559" s="257">
        <f t="shared" si="1"/>
        <v>4</v>
      </c>
      <c r="K559" s="253"/>
      <c r="L559" s="253"/>
      <c r="M559" s="252"/>
      <c r="N559" s="258"/>
      <c r="O559" s="259"/>
      <c r="P559" s="259"/>
      <c r="Q559" s="262"/>
      <c r="R559" s="260"/>
      <c r="S559" s="260"/>
      <c r="T559" s="260"/>
      <c r="U559" s="261"/>
      <c r="V559" s="251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</row>
    <row r="560">
      <c r="A560" s="251">
        <f>IFERROR(__xludf.DUMMYFUNCTION("""COMPUTED_VALUE"""),8000690.0)</f>
        <v>8000690</v>
      </c>
      <c r="B560" s="252" t="str">
        <f>IFERROR(__xludf.DUMMYFUNCTION("""COMPUTED_VALUE"""),"BookingCom")</f>
        <v>BookingCom</v>
      </c>
      <c r="C560" s="253" t="str">
        <f>IFERROR(__xludf.DUMMYFUNCTION("""COMPUTED_VALUE"""),"Jonathan Betrix ")</f>
        <v>Jonathan Betrix </v>
      </c>
      <c r="D560" s="254">
        <f>IFERROR(__xludf.DUMMYFUNCTION("""COMPUTED_VALUE"""),46295.0)</f>
        <v>46295</v>
      </c>
      <c r="E560" s="251">
        <f>IFERROR(__xludf.DUMMYFUNCTION("""COMPUTED_VALUE"""),46299.0)</f>
        <v>46299</v>
      </c>
      <c r="F560" s="255">
        <f>IFERROR(__xludf.DUMMYFUNCTION("""COMPUTED_VALUE"""),4.0)</f>
        <v>4</v>
      </c>
      <c r="G560" s="255">
        <f>IFERROR(__xludf.DUMMYFUNCTION("""COMPUTED_VALUE"""),3.0)</f>
        <v>3</v>
      </c>
      <c r="H560" s="256">
        <f>IFERROR(__xludf.DUMMYFUNCTION("""COMPUTED_VALUE"""),140.54)</f>
        <v>140.54</v>
      </c>
      <c r="I560" s="256">
        <f>IFERROR(__xludf.DUMMYFUNCTION("""COMPUTED_VALUE"""),449.728)</f>
        <v>449.728</v>
      </c>
      <c r="J560" s="257">
        <f t="shared" si="1"/>
        <v>12</v>
      </c>
      <c r="K560" s="253"/>
      <c r="L560" s="253"/>
      <c r="M560" s="252"/>
      <c r="N560" s="258"/>
      <c r="O560" s="259"/>
      <c r="P560" s="259"/>
      <c r="Q560" s="262"/>
      <c r="R560" s="260"/>
      <c r="S560" s="260"/>
      <c r="T560" s="260"/>
      <c r="U560" s="261"/>
      <c r="V560" s="251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</row>
    <row r="561">
      <c r="A561" s="251">
        <f>IFERROR(__xludf.DUMMYFUNCTION("""COMPUTED_VALUE"""),8191737.0)</f>
        <v>8191737</v>
      </c>
      <c r="B561" s="252" t="str">
        <f>IFERROR(__xludf.DUMMYFUNCTION("""COMPUTED_VALUE"""),"BookingCom")</f>
        <v>BookingCom</v>
      </c>
      <c r="C561" s="253" t="str">
        <f>IFERROR(__xludf.DUMMYFUNCTION("""COMPUTED_VALUE"""),"Rainer Theuerkauf ")</f>
        <v>Rainer Theuerkauf </v>
      </c>
      <c r="D561" s="254">
        <f>IFERROR(__xludf.DUMMYFUNCTION("""COMPUTED_VALUE"""),46296.0)</f>
        <v>46296</v>
      </c>
      <c r="E561" s="251">
        <f>IFERROR(__xludf.DUMMYFUNCTION("""COMPUTED_VALUE"""),46300.0)</f>
        <v>46300</v>
      </c>
      <c r="F561" s="255">
        <f>IFERROR(__xludf.DUMMYFUNCTION("""COMPUTED_VALUE"""),4.0)</f>
        <v>4</v>
      </c>
      <c r="G561" s="255">
        <f>IFERROR(__xludf.DUMMYFUNCTION("""COMPUTED_VALUE"""),2.0)</f>
        <v>2</v>
      </c>
      <c r="H561" s="256">
        <f>IFERROR(__xludf.DUMMYFUNCTION("""COMPUTED_VALUE"""),132.01)</f>
        <v>132.01</v>
      </c>
      <c r="I561" s="256">
        <f>IFERROR(__xludf.DUMMYFUNCTION("""COMPUTED_VALUE"""),422.432)</f>
        <v>422.432</v>
      </c>
      <c r="J561" s="257">
        <f t="shared" si="1"/>
        <v>8</v>
      </c>
      <c r="K561" s="253"/>
      <c r="L561" s="253"/>
      <c r="M561" s="252"/>
      <c r="N561" s="258"/>
      <c r="O561" s="259"/>
      <c r="P561" s="259"/>
      <c r="Q561" s="262"/>
      <c r="R561" s="260"/>
      <c r="S561" s="260"/>
      <c r="T561" s="260"/>
      <c r="U561" s="261"/>
      <c r="V561" s="251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</row>
    <row r="562">
      <c r="A562" s="251">
        <f>IFERROR(__xludf.DUMMYFUNCTION("""COMPUTED_VALUE"""),8201322.0)</f>
        <v>8201322</v>
      </c>
      <c r="B562" s="252" t="str">
        <f>IFERROR(__xludf.DUMMYFUNCTION("""COMPUTED_VALUE"""),"Expedia Affiliate Network")</f>
        <v>Expedia Affiliate Network</v>
      </c>
      <c r="C562" s="253" t="str">
        <f>IFERROR(__xludf.DUMMYFUNCTION("""COMPUTED_VALUE"""),"JOSEPH LAFLAMME ")</f>
        <v>JOSEPH LAFLAMME </v>
      </c>
      <c r="D562" s="254">
        <f>IFERROR(__xludf.DUMMYFUNCTION("""COMPUTED_VALUE"""),46296.0)</f>
        <v>46296</v>
      </c>
      <c r="E562" s="251">
        <f>IFERROR(__xludf.DUMMYFUNCTION("""COMPUTED_VALUE"""),46299.0)</f>
        <v>46299</v>
      </c>
      <c r="F562" s="255">
        <f>IFERROR(__xludf.DUMMYFUNCTION("""COMPUTED_VALUE"""),3.0)</f>
        <v>3</v>
      </c>
      <c r="G562" s="255">
        <f>IFERROR(__xludf.DUMMYFUNCTION("""COMPUTED_VALUE"""),1.0)</f>
        <v>1</v>
      </c>
      <c r="H562" s="256">
        <f>IFERROR(__xludf.DUMMYFUNCTION("""COMPUTED_VALUE"""),180.79999999999998)</f>
        <v>180.8</v>
      </c>
      <c r="I562" s="256">
        <f>IFERROR(__xludf.DUMMYFUNCTION("""COMPUTED_VALUE"""),433.91999999999996)</f>
        <v>433.92</v>
      </c>
      <c r="J562" s="257">
        <f t="shared" si="1"/>
        <v>3</v>
      </c>
      <c r="K562" s="253"/>
      <c r="L562" s="253"/>
      <c r="M562" s="252"/>
      <c r="N562" s="258"/>
      <c r="O562" s="259"/>
      <c r="P562" s="259"/>
      <c r="Q562" s="262"/>
      <c r="R562" s="260"/>
      <c r="S562" s="260"/>
      <c r="T562" s="260"/>
      <c r="U562" s="261"/>
      <c r="V562" s="276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</row>
    <row r="563">
      <c r="A563" s="251">
        <f>IFERROR(__xludf.DUMMYFUNCTION("""COMPUTED_VALUE"""),7863829.0)</f>
        <v>7863829</v>
      </c>
      <c r="B563" s="252" t="str">
        <f>IFERROR(__xludf.DUMMYFUNCTION("""COMPUTED_VALUE"""),"BookingCom")</f>
        <v>BookingCom</v>
      </c>
      <c r="C563" s="253" t="str">
        <f>IFERROR(__xludf.DUMMYFUNCTION("""COMPUTED_VALUE"""),"Nicola Commander ")</f>
        <v>Nicola Commander </v>
      </c>
      <c r="D563" s="254">
        <f>IFERROR(__xludf.DUMMYFUNCTION("""COMPUTED_VALUE"""),46299.0)</f>
        <v>46299</v>
      </c>
      <c r="E563" s="251">
        <f>IFERROR(__xludf.DUMMYFUNCTION("""COMPUTED_VALUE"""),46300.0)</f>
        <v>46300</v>
      </c>
      <c r="F563" s="255">
        <f>IFERROR(__xludf.DUMMYFUNCTION("""COMPUTED_VALUE"""),1.0)</f>
        <v>1</v>
      </c>
      <c r="G563" s="255">
        <f>IFERROR(__xludf.DUMMYFUNCTION("""COMPUTED_VALUE"""),2.0)</f>
        <v>2</v>
      </c>
      <c r="H563" s="256">
        <f>IFERROR(__xludf.DUMMYFUNCTION("""COMPUTED_VALUE"""),119.38)</f>
        <v>119.38</v>
      </c>
      <c r="I563" s="256">
        <f>IFERROR(__xludf.DUMMYFUNCTION("""COMPUTED_VALUE"""),95.504)</f>
        <v>95.504</v>
      </c>
      <c r="J563" s="257">
        <f t="shared" si="1"/>
        <v>2</v>
      </c>
      <c r="K563" s="253"/>
      <c r="L563" s="253"/>
      <c r="M563" s="252"/>
      <c r="N563" s="258"/>
      <c r="O563" s="259"/>
      <c r="P563" s="259"/>
      <c r="Q563" s="262"/>
      <c r="R563" s="260"/>
      <c r="S563" s="260"/>
      <c r="T563" s="260"/>
      <c r="U563" s="261"/>
      <c r="V563" s="251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</row>
    <row r="564">
      <c r="A564" s="251">
        <f>IFERROR(__xludf.DUMMYFUNCTION("""COMPUTED_VALUE"""),7834020.0)</f>
        <v>7834020</v>
      </c>
      <c r="B564" s="252" t="str">
        <f>IFERROR(__xludf.DUMMYFUNCTION("""COMPUTED_VALUE"""),"BookingCom")</f>
        <v>BookingCom</v>
      </c>
      <c r="C564" s="253" t="str">
        <f>IFERROR(__xludf.DUMMYFUNCTION("""COMPUTED_VALUE"""),"Andre Abegglen ")</f>
        <v>Andre Abegglen </v>
      </c>
      <c r="D564" s="254">
        <f>IFERROR(__xludf.DUMMYFUNCTION("""COMPUTED_VALUE"""),46301.0)</f>
        <v>46301</v>
      </c>
      <c r="E564" s="251">
        <f>IFERROR(__xludf.DUMMYFUNCTION("""COMPUTED_VALUE"""),46303.0)</f>
        <v>46303</v>
      </c>
      <c r="F564" s="255">
        <f>IFERROR(__xludf.DUMMYFUNCTION("""COMPUTED_VALUE"""),2.0)</f>
        <v>2</v>
      </c>
      <c r="G564" s="255">
        <f>IFERROR(__xludf.DUMMYFUNCTION("""COMPUTED_VALUE"""),2.0)</f>
        <v>2</v>
      </c>
      <c r="H564" s="256">
        <f>IFERROR(__xludf.DUMMYFUNCTION("""COMPUTED_VALUE"""),128.74)</f>
        <v>128.74</v>
      </c>
      <c r="I564" s="256">
        <f>IFERROR(__xludf.DUMMYFUNCTION("""COMPUTED_VALUE"""),205.98400000000004)</f>
        <v>205.984</v>
      </c>
      <c r="J564" s="257">
        <f t="shared" si="1"/>
        <v>4</v>
      </c>
      <c r="K564" s="253"/>
      <c r="L564" s="253"/>
      <c r="M564" s="252"/>
      <c r="N564" s="258"/>
      <c r="O564" s="259"/>
      <c r="P564" s="259"/>
      <c r="Q564" s="262"/>
      <c r="R564" s="260"/>
      <c r="S564" s="260"/>
      <c r="T564" s="260"/>
      <c r="U564" s="261"/>
      <c r="V564" s="251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</row>
    <row r="565">
      <c r="A565" s="251">
        <f>IFERROR(__xludf.DUMMYFUNCTION("""COMPUTED_VALUE"""),7834026.0)</f>
        <v>7834026</v>
      </c>
      <c r="B565" s="252" t="str">
        <f>IFERROR(__xludf.DUMMYFUNCTION("""COMPUTED_VALUE"""),"BookingCom")</f>
        <v>BookingCom</v>
      </c>
      <c r="C565" s="253" t="str">
        <f>IFERROR(__xludf.DUMMYFUNCTION("""COMPUTED_VALUE"""),"Andre Abegglen ")</f>
        <v>Andre Abegglen </v>
      </c>
      <c r="D565" s="254">
        <f>IFERROR(__xludf.DUMMYFUNCTION("""COMPUTED_VALUE"""),46301.0)</f>
        <v>46301</v>
      </c>
      <c r="E565" s="251">
        <f>IFERROR(__xludf.DUMMYFUNCTION("""COMPUTED_VALUE"""),46303.0)</f>
        <v>46303</v>
      </c>
      <c r="F565" s="255">
        <f>IFERROR(__xludf.DUMMYFUNCTION("""COMPUTED_VALUE"""),2.0)</f>
        <v>2</v>
      </c>
      <c r="G565" s="255">
        <f>IFERROR(__xludf.DUMMYFUNCTION("""COMPUTED_VALUE"""),2.0)</f>
        <v>2</v>
      </c>
      <c r="H565" s="256">
        <f>IFERROR(__xludf.DUMMYFUNCTION("""COMPUTED_VALUE"""),128.74)</f>
        <v>128.74</v>
      </c>
      <c r="I565" s="256">
        <f>IFERROR(__xludf.DUMMYFUNCTION("""COMPUTED_VALUE"""),205.98400000000004)</f>
        <v>205.984</v>
      </c>
      <c r="J565" s="257">
        <f t="shared" si="1"/>
        <v>4</v>
      </c>
      <c r="K565" s="253"/>
      <c r="L565" s="253"/>
      <c r="M565" s="252"/>
      <c r="N565" s="258"/>
      <c r="O565" s="259"/>
      <c r="P565" s="259"/>
      <c r="Q565" s="262"/>
      <c r="R565" s="260"/>
      <c r="S565" s="260"/>
      <c r="T565" s="260"/>
      <c r="U565" s="261"/>
      <c r="V565" s="251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</row>
    <row r="566">
      <c r="A566" s="251">
        <f>IFERROR(__xludf.DUMMYFUNCTION("""COMPUTED_VALUE"""),8172718.0)</f>
        <v>8172718</v>
      </c>
      <c r="B566" s="252" t="str">
        <f>IFERROR(__xludf.DUMMYFUNCTION("""COMPUTED_VALUE"""),"BookingCom")</f>
        <v>BookingCom</v>
      </c>
      <c r="C566" s="253" t="str">
        <f>IFERROR(__xludf.DUMMYFUNCTION("""COMPUTED_VALUE"""),"Eva Hartwich ")</f>
        <v>Eva Hartwich </v>
      </c>
      <c r="D566" s="254">
        <f>IFERROR(__xludf.DUMMYFUNCTION("""COMPUTED_VALUE"""),46301.0)</f>
        <v>46301</v>
      </c>
      <c r="E566" s="251">
        <f>IFERROR(__xludf.DUMMYFUNCTION("""COMPUTED_VALUE"""),46303.0)</f>
        <v>46303</v>
      </c>
      <c r="F566" s="255">
        <f>IFERROR(__xludf.DUMMYFUNCTION("""COMPUTED_VALUE"""),2.0)</f>
        <v>2</v>
      </c>
      <c r="G566" s="255">
        <f>IFERROR(__xludf.DUMMYFUNCTION("""COMPUTED_VALUE"""),2.0)</f>
        <v>2</v>
      </c>
      <c r="H566" s="256">
        <f>IFERROR(__xludf.DUMMYFUNCTION("""COMPUTED_VALUE"""),178.08)</f>
        <v>178.08</v>
      </c>
      <c r="I566" s="256">
        <f>IFERROR(__xludf.DUMMYFUNCTION("""COMPUTED_VALUE"""),284.92800000000005)</f>
        <v>284.928</v>
      </c>
      <c r="J566" s="257">
        <f t="shared" si="1"/>
        <v>4</v>
      </c>
      <c r="K566" s="253"/>
      <c r="L566" s="253"/>
      <c r="M566" s="252"/>
      <c r="N566" s="258"/>
      <c r="O566" s="259"/>
      <c r="P566" s="259"/>
      <c r="Q566" s="262"/>
      <c r="R566" s="260"/>
      <c r="S566" s="260"/>
      <c r="T566" s="260"/>
      <c r="U566" s="261"/>
      <c r="V566" s="251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</row>
    <row r="567">
      <c r="A567" s="251">
        <f>IFERROR(__xludf.DUMMYFUNCTION("""COMPUTED_VALUE"""),8015794.0)</f>
        <v>8015794</v>
      </c>
      <c r="B567" s="252" t="str">
        <f>IFERROR(__xludf.DUMMYFUNCTION("""COMPUTED_VALUE"""),"Reseliva Pannel")</f>
        <v>Reseliva Pannel</v>
      </c>
      <c r="C567" s="253" t="str">
        <f>IFERROR(__xludf.DUMMYFUNCTION("""COMPUTED_VALUE"""),"Alle Grillo ")</f>
        <v>Alle Grillo </v>
      </c>
      <c r="D567" s="254">
        <f>IFERROR(__xludf.DUMMYFUNCTION("""COMPUTED_VALUE"""),46307.0)</f>
        <v>46307</v>
      </c>
      <c r="E567" s="251">
        <f>IFERROR(__xludf.DUMMYFUNCTION("""COMPUTED_VALUE"""),46310.0)</f>
        <v>46310</v>
      </c>
      <c r="F567" s="255">
        <f>IFERROR(__xludf.DUMMYFUNCTION("""COMPUTED_VALUE"""),3.0)</f>
        <v>3</v>
      </c>
      <c r="G567" s="255">
        <f>IFERROR(__xludf.DUMMYFUNCTION("""COMPUTED_VALUE"""),2.0)</f>
        <v>2</v>
      </c>
      <c r="H567" s="256">
        <f>IFERROR(__xludf.DUMMYFUNCTION("""COMPUTED_VALUE"""),174.96)</f>
        <v>174.96</v>
      </c>
      <c r="I567" s="256">
        <f>IFERROR(__xludf.DUMMYFUNCTION("""COMPUTED_VALUE"""),524.88)</f>
        <v>524.88</v>
      </c>
      <c r="J567" s="257">
        <f t="shared" si="1"/>
        <v>6</v>
      </c>
      <c r="K567" s="253"/>
      <c r="L567" s="253"/>
      <c r="M567" s="252"/>
      <c r="N567" s="258"/>
      <c r="O567" s="259"/>
      <c r="P567" s="259"/>
      <c r="Q567" s="262"/>
      <c r="R567" s="260"/>
      <c r="S567" s="260"/>
      <c r="T567" s="260"/>
      <c r="U567" s="261"/>
      <c r="V567" s="276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</row>
    <row r="568">
      <c r="A568" s="251">
        <f>IFERROR(__xludf.DUMMYFUNCTION("""COMPUTED_VALUE"""),8015794.0)</f>
        <v>8015794</v>
      </c>
      <c r="B568" s="252" t="str">
        <f>IFERROR(__xludf.DUMMYFUNCTION("""COMPUTED_VALUE"""),"Reseliva Pannel")</f>
        <v>Reseliva Pannel</v>
      </c>
      <c r="C568" s="253" t="str">
        <f>IFERROR(__xludf.DUMMYFUNCTION("""COMPUTED_VALUE"""),"Alle Grillo ")</f>
        <v>Alle Grillo </v>
      </c>
      <c r="D568" s="254">
        <f>IFERROR(__xludf.DUMMYFUNCTION("""COMPUTED_VALUE"""),46307.0)</f>
        <v>46307</v>
      </c>
      <c r="E568" s="251">
        <f>IFERROR(__xludf.DUMMYFUNCTION("""COMPUTED_VALUE"""),46310.0)</f>
        <v>46310</v>
      </c>
      <c r="F568" s="255">
        <f>IFERROR(__xludf.DUMMYFUNCTION("""COMPUTED_VALUE"""),3.0)</f>
        <v>3</v>
      </c>
      <c r="G568" s="255">
        <f>IFERROR(__xludf.DUMMYFUNCTION("""COMPUTED_VALUE"""),2.0)</f>
        <v>2</v>
      </c>
      <c r="H568" s="256">
        <f>IFERROR(__xludf.DUMMYFUNCTION("""COMPUTED_VALUE"""),225.36)</f>
        <v>225.36</v>
      </c>
      <c r="I568" s="256">
        <f>IFERROR(__xludf.DUMMYFUNCTION("""COMPUTED_VALUE"""),676.08)</f>
        <v>676.08</v>
      </c>
      <c r="J568" s="257">
        <f t="shared" si="1"/>
        <v>6</v>
      </c>
      <c r="K568" s="253"/>
      <c r="L568" s="253"/>
      <c r="M568" s="275"/>
      <c r="N568" s="258"/>
      <c r="O568" s="259"/>
      <c r="P568" s="259"/>
      <c r="Q568" s="262"/>
      <c r="R568" s="260"/>
      <c r="S568" s="260"/>
      <c r="T568" s="260"/>
      <c r="U568" s="261"/>
      <c r="V568" s="309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</row>
    <row r="569">
      <c r="A569" s="251">
        <f>IFERROR(__xludf.DUMMYFUNCTION("""COMPUTED_VALUE"""),8015794.0)</f>
        <v>8015794</v>
      </c>
      <c r="B569" s="252" t="str">
        <f>IFERROR(__xludf.DUMMYFUNCTION("""COMPUTED_VALUE"""),"Reseliva Pannel")</f>
        <v>Reseliva Pannel</v>
      </c>
      <c r="C569" s="253" t="str">
        <f>IFERROR(__xludf.DUMMYFUNCTION("""COMPUTED_VALUE"""),"Alle Grillo ")</f>
        <v>Alle Grillo </v>
      </c>
      <c r="D569" s="254">
        <f>IFERROR(__xludf.DUMMYFUNCTION("""COMPUTED_VALUE"""),46307.0)</f>
        <v>46307</v>
      </c>
      <c r="E569" s="251">
        <f>IFERROR(__xludf.DUMMYFUNCTION("""COMPUTED_VALUE"""),46310.0)</f>
        <v>46310</v>
      </c>
      <c r="F569" s="255">
        <f>IFERROR(__xludf.DUMMYFUNCTION("""COMPUTED_VALUE"""),3.0)</f>
        <v>3</v>
      </c>
      <c r="G569" s="255">
        <f>IFERROR(__xludf.DUMMYFUNCTION("""COMPUTED_VALUE"""),2.0)</f>
        <v>2</v>
      </c>
      <c r="H569" s="256">
        <f>IFERROR(__xludf.DUMMYFUNCTION("""COMPUTED_VALUE"""),225.36)</f>
        <v>225.36</v>
      </c>
      <c r="I569" s="256">
        <f>IFERROR(__xludf.DUMMYFUNCTION("""COMPUTED_VALUE"""),676.08)</f>
        <v>676.08</v>
      </c>
      <c r="J569" s="257">
        <f t="shared" si="1"/>
        <v>6</v>
      </c>
      <c r="K569" s="253"/>
      <c r="L569" s="253"/>
      <c r="M569" s="275"/>
      <c r="N569" s="258"/>
      <c r="O569" s="259"/>
      <c r="P569" s="259"/>
      <c r="Q569" s="262"/>
      <c r="R569" s="260"/>
      <c r="S569" s="260"/>
      <c r="T569" s="260"/>
      <c r="U569" s="261"/>
      <c r="V569" s="309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</row>
    <row r="570">
      <c r="A570" s="251">
        <f>IFERROR(__xludf.DUMMYFUNCTION("""COMPUTED_VALUE"""),8015794.0)</f>
        <v>8015794</v>
      </c>
      <c r="B570" s="252" t="str">
        <f>IFERROR(__xludf.DUMMYFUNCTION("""COMPUTED_VALUE"""),"Reseliva Pannel")</f>
        <v>Reseliva Pannel</v>
      </c>
      <c r="C570" s="253" t="str">
        <f>IFERROR(__xludf.DUMMYFUNCTION("""COMPUTED_VALUE"""),"Alle Grillo ")</f>
        <v>Alle Grillo </v>
      </c>
      <c r="D570" s="254">
        <f>IFERROR(__xludf.DUMMYFUNCTION("""COMPUTED_VALUE"""),46307.0)</f>
        <v>46307</v>
      </c>
      <c r="E570" s="251">
        <f>IFERROR(__xludf.DUMMYFUNCTION("""COMPUTED_VALUE"""),46310.0)</f>
        <v>46310</v>
      </c>
      <c r="F570" s="255">
        <f>IFERROR(__xludf.DUMMYFUNCTION("""COMPUTED_VALUE"""),3.0)</f>
        <v>3</v>
      </c>
      <c r="G570" s="255">
        <f>IFERROR(__xludf.DUMMYFUNCTION("""COMPUTED_VALUE"""),2.0)</f>
        <v>2</v>
      </c>
      <c r="H570" s="256">
        <f>IFERROR(__xludf.DUMMYFUNCTION("""COMPUTED_VALUE"""),249.84)</f>
        <v>249.84</v>
      </c>
      <c r="I570" s="256">
        <f>IFERROR(__xludf.DUMMYFUNCTION("""COMPUTED_VALUE"""),749.52)</f>
        <v>749.52</v>
      </c>
      <c r="J570" s="257">
        <f t="shared" si="1"/>
        <v>6</v>
      </c>
      <c r="K570" s="253"/>
      <c r="L570" s="253"/>
      <c r="M570" s="252"/>
      <c r="N570" s="258"/>
      <c r="O570" s="259"/>
      <c r="P570" s="259"/>
      <c r="Q570" s="262"/>
      <c r="R570" s="260"/>
      <c r="S570" s="260"/>
      <c r="T570" s="260"/>
      <c r="U570" s="261"/>
      <c r="V570" s="251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</row>
    <row r="571">
      <c r="A571" s="251">
        <f>IFERROR(__xludf.DUMMYFUNCTION("""COMPUTED_VALUE"""),8015794.0)</f>
        <v>8015794</v>
      </c>
      <c r="B571" s="252" t="str">
        <f>IFERROR(__xludf.DUMMYFUNCTION("""COMPUTED_VALUE"""),"Reseliva Pannel")</f>
        <v>Reseliva Pannel</v>
      </c>
      <c r="C571" s="253" t="str">
        <f>IFERROR(__xludf.DUMMYFUNCTION("""COMPUTED_VALUE"""),"Alle Grillo ")</f>
        <v>Alle Grillo </v>
      </c>
      <c r="D571" s="254">
        <f>IFERROR(__xludf.DUMMYFUNCTION("""COMPUTED_VALUE"""),46307.0)</f>
        <v>46307</v>
      </c>
      <c r="E571" s="251">
        <f>IFERROR(__xludf.DUMMYFUNCTION("""COMPUTED_VALUE"""),46310.0)</f>
        <v>46310</v>
      </c>
      <c r="F571" s="255">
        <f>IFERROR(__xludf.DUMMYFUNCTION("""COMPUTED_VALUE"""),3.0)</f>
        <v>3</v>
      </c>
      <c r="G571" s="255">
        <f>IFERROR(__xludf.DUMMYFUNCTION("""COMPUTED_VALUE"""),2.0)</f>
        <v>2</v>
      </c>
      <c r="H571" s="256">
        <f>IFERROR(__xludf.DUMMYFUNCTION("""COMPUTED_VALUE"""),499.68)</f>
        <v>499.68</v>
      </c>
      <c r="I571" s="256">
        <f>IFERROR(__xludf.DUMMYFUNCTION("""COMPUTED_VALUE"""),1499.04)</f>
        <v>1499.04</v>
      </c>
      <c r="J571" s="257">
        <f t="shared" si="1"/>
        <v>6</v>
      </c>
      <c r="K571" s="253"/>
      <c r="L571" s="253"/>
      <c r="M571" s="252"/>
      <c r="N571" s="258"/>
      <c r="O571" s="259"/>
      <c r="P571" s="259"/>
      <c r="Q571" s="262"/>
      <c r="R571" s="260"/>
      <c r="S571" s="260"/>
      <c r="T571" s="260"/>
      <c r="U571" s="261"/>
      <c r="V571" s="251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</row>
    <row r="572">
      <c r="A572" s="251">
        <f>IFERROR(__xludf.DUMMYFUNCTION("""COMPUTED_VALUE"""),8051376.0)</f>
        <v>8051376</v>
      </c>
      <c r="B572" s="252" t="str">
        <f>IFERROR(__xludf.DUMMYFUNCTION("""COMPUTED_VALUE"""),"Reseliva")</f>
        <v>Reseliva</v>
      </c>
      <c r="C572" s="253" t="str">
        <f>IFERROR(__xludf.DUMMYFUNCTION("""COMPUTED_VALUE"""),"Rebecca Schmidt ")</f>
        <v>Rebecca Schmidt </v>
      </c>
      <c r="D572" s="254">
        <f>IFERROR(__xludf.DUMMYFUNCTION("""COMPUTED_VALUE"""),46307.0)</f>
        <v>46307</v>
      </c>
      <c r="E572" s="251">
        <f>IFERROR(__xludf.DUMMYFUNCTION("""COMPUTED_VALUE"""),46309.0)</f>
        <v>46309</v>
      </c>
      <c r="F572" s="255">
        <f>IFERROR(__xludf.DUMMYFUNCTION("""COMPUTED_VALUE"""),2.0)</f>
        <v>2</v>
      </c>
      <c r="G572" s="255">
        <f>IFERROR(__xludf.DUMMYFUNCTION("""COMPUTED_VALUE"""),2.0)</f>
        <v>2</v>
      </c>
      <c r="H572" s="256">
        <f>IFERROR(__xludf.DUMMYFUNCTION("""COMPUTED_VALUE"""),200.16)</f>
        <v>200.16</v>
      </c>
      <c r="I572" s="256">
        <f>IFERROR(__xludf.DUMMYFUNCTION("""COMPUTED_VALUE"""),396.3168)</f>
        <v>396.3168</v>
      </c>
      <c r="J572" s="257">
        <f t="shared" si="1"/>
        <v>4</v>
      </c>
      <c r="K572" s="253"/>
      <c r="L572" s="253"/>
      <c r="M572" s="252"/>
      <c r="N572" s="258"/>
      <c r="O572" s="259"/>
      <c r="P572" s="259"/>
      <c r="Q572" s="257"/>
      <c r="R572" s="260"/>
      <c r="S572" s="260"/>
      <c r="T572" s="260"/>
      <c r="U572" s="261"/>
      <c r="V572" s="251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</row>
    <row r="573">
      <c r="A573" s="251">
        <f>IFERROR(__xludf.DUMMYFUNCTION("""COMPUTED_VALUE"""),8013501.0)</f>
        <v>8013501</v>
      </c>
      <c r="B573" s="252" t="str">
        <f>IFERROR(__xludf.DUMMYFUNCTION("""COMPUTED_VALUE"""),"BookingCom")</f>
        <v>BookingCom</v>
      </c>
      <c r="C573" s="253" t="str">
        <f>IFERROR(__xludf.DUMMYFUNCTION("""COMPUTED_VALUE"""),"Marie Schell ")</f>
        <v>Marie Schell </v>
      </c>
      <c r="D573" s="254">
        <f>IFERROR(__xludf.DUMMYFUNCTION("""COMPUTED_VALUE"""),46308.0)</f>
        <v>46308</v>
      </c>
      <c r="E573" s="251">
        <f>IFERROR(__xludf.DUMMYFUNCTION("""COMPUTED_VALUE"""),46309.0)</f>
        <v>46309</v>
      </c>
      <c r="F573" s="255">
        <f>IFERROR(__xludf.DUMMYFUNCTION("""COMPUTED_VALUE"""),1.0)</f>
        <v>1</v>
      </c>
      <c r="G573" s="255">
        <f>IFERROR(__xludf.DUMMYFUNCTION("""COMPUTED_VALUE"""),2.0)</f>
        <v>2</v>
      </c>
      <c r="H573" s="256">
        <f>IFERROR(__xludf.DUMMYFUNCTION("""COMPUTED_VALUE"""),303.21)</f>
        <v>303.21</v>
      </c>
      <c r="I573" s="256">
        <f>IFERROR(__xludf.DUMMYFUNCTION("""COMPUTED_VALUE"""),242.56799999999998)</f>
        <v>242.568</v>
      </c>
      <c r="J573" s="257">
        <f t="shared" si="1"/>
        <v>2</v>
      </c>
      <c r="K573" s="253"/>
      <c r="L573" s="253"/>
      <c r="M573" s="252"/>
      <c r="N573" s="258"/>
      <c r="O573" s="259"/>
      <c r="P573" s="259"/>
      <c r="Q573" s="262"/>
      <c r="R573" s="260"/>
      <c r="S573" s="260"/>
      <c r="T573" s="260"/>
      <c r="U573" s="261"/>
      <c r="V573" s="309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</row>
    <row r="574">
      <c r="A574" s="251">
        <f>IFERROR(__xludf.DUMMYFUNCTION("""COMPUTED_VALUE"""),8212070.0)</f>
        <v>8212070</v>
      </c>
      <c r="B574" s="252" t="str">
        <f>IFERROR(__xludf.DUMMYFUNCTION("""COMPUTED_VALUE"""),"Expedia Affiliate Network")</f>
        <v>Expedia Affiliate Network</v>
      </c>
      <c r="C574" s="253" t="str">
        <f>IFERROR(__xludf.DUMMYFUNCTION("""COMPUTED_VALUE"""),"JOCELYNE PAULIS ")</f>
        <v>JOCELYNE PAULIS </v>
      </c>
      <c r="D574" s="254">
        <f>IFERROR(__xludf.DUMMYFUNCTION("""COMPUTED_VALUE"""),46308.0)</f>
        <v>46308</v>
      </c>
      <c r="E574" s="251">
        <f>IFERROR(__xludf.DUMMYFUNCTION("""COMPUTED_VALUE"""),46309.0)</f>
        <v>46309</v>
      </c>
      <c r="F574" s="255">
        <f>IFERROR(__xludf.DUMMYFUNCTION("""COMPUTED_VALUE"""),1.0)</f>
        <v>1</v>
      </c>
      <c r="G574" s="255">
        <f>IFERROR(__xludf.DUMMYFUNCTION("""COMPUTED_VALUE"""),2.0)</f>
        <v>2</v>
      </c>
      <c r="H574" s="256">
        <f>IFERROR(__xludf.DUMMYFUNCTION("""COMPUTED_VALUE"""),200.16)</f>
        <v>200.16</v>
      </c>
      <c r="I574" s="256">
        <f>IFERROR(__xludf.DUMMYFUNCTION("""COMPUTED_VALUE"""),160.12800000000001)</f>
        <v>160.128</v>
      </c>
      <c r="J574" s="257">
        <f t="shared" si="1"/>
        <v>2</v>
      </c>
      <c r="K574" s="253"/>
      <c r="L574" s="253"/>
      <c r="M574" s="275"/>
      <c r="N574" s="258"/>
      <c r="O574" s="259"/>
      <c r="P574" s="259"/>
      <c r="Q574" s="262"/>
      <c r="R574" s="260"/>
      <c r="S574" s="260"/>
      <c r="T574" s="260"/>
      <c r="U574" s="261"/>
      <c r="V574" s="251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</row>
    <row r="575">
      <c r="A575" s="251">
        <f>IFERROR(__xludf.DUMMYFUNCTION("""COMPUTED_VALUE"""),8212072.0)</f>
        <v>8212072</v>
      </c>
      <c r="B575" s="252" t="str">
        <f>IFERROR(__xludf.DUMMYFUNCTION("""COMPUTED_VALUE"""),"Expedia Affiliate Network")</f>
        <v>Expedia Affiliate Network</v>
      </c>
      <c r="C575" s="253" t="str">
        <f>IFERROR(__xludf.DUMMYFUNCTION("""COMPUTED_VALUE"""),"NADINE ANTOINE ")</f>
        <v>NADINE ANTOINE </v>
      </c>
      <c r="D575" s="254">
        <f>IFERROR(__xludf.DUMMYFUNCTION("""COMPUTED_VALUE"""),46308.0)</f>
        <v>46308</v>
      </c>
      <c r="E575" s="251">
        <f>IFERROR(__xludf.DUMMYFUNCTION("""COMPUTED_VALUE"""),46309.0)</f>
        <v>46309</v>
      </c>
      <c r="F575" s="255">
        <f>IFERROR(__xludf.DUMMYFUNCTION("""COMPUTED_VALUE"""),1.0)</f>
        <v>1</v>
      </c>
      <c r="G575" s="255">
        <f>IFERROR(__xludf.DUMMYFUNCTION("""COMPUTED_VALUE"""),2.0)</f>
        <v>2</v>
      </c>
      <c r="H575" s="256">
        <f>IFERROR(__xludf.DUMMYFUNCTION("""COMPUTED_VALUE"""),200.16)</f>
        <v>200.16</v>
      </c>
      <c r="I575" s="256">
        <f>IFERROR(__xludf.DUMMYFUNCTION("""COMPUTED_VALUE"""),160.12800000000001)</f>
        <v>160.128</v>
      </c>
      <c r="J575" s="257">
        <f t="shared" si="1"/>
        <v>2</v>
      </c>
      <c r="K575" s="253"/>
      <c r="L575" s="253"/>
      <c r="M575" s="252"/>
      <c r="N575" s="258"/>
      <c r="O575" s="259"/>
      <c r="P575" s="259"/>
      <c r="Q575" s="262"/>
      <c r="R575" s="260"/>
      <c r="S575" s="260"/>
      <c r="T575" s="260"/>
      <c r="U575" s="261"/>
      <c r="V575" s="309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</row>
    <row r="576">
      <c r="A576" s="251">
        <f>IFERROR(__xludf.DUMMYFUNCTION("""COMPUTED_VALUE"""),7879060.0)</f>
        <v>7879060</v>
      </c>
      <c r="B576" s="252" t="str">
        <f>IFERROR(__xludf.DUMMYFUNCTION("""COMPUTED_VALUE"""),"Reseliva Pannel")</f>
        <v>Reseliva Pannel</v>
      </c>
      <c r="C576" s="253" t="str">
        <f>IFERROR(__xludf.DUMMYFUNCTION("""COMPUTED_VALUE"""),"Maryem Anna ")</f>
        <v>Maryem Anna </v>
      </c>
      <c r="D576" s="254">
        <f>IFERROR(__xludf.DUMMYFUNCTION("""COMPUTED_VALUE"""),46309.0)</f>
        <v>46309</v>
      </c>
      <c r="E576" s="251">
        <f>IFERROR(__xludf.DUMMYFUNCTION("""COMPUTED_VALUE"""),46310.0)</f>
        <v>46310</v>
      </c>
      <c r="F576" s="255">
        <f>IFERROR(__xludf.DUMMYFUNCTION("""COMPUTED_VALUE"""),1.0)</f>
        <v>1</v>
      </c>
      <c r="G576" s="255">
        <f>IFERROR(__xludf.DUMMYFUNCTION("""COMPUTED_VALUE"""),2.0)</f>
        <v>2</v>
      </c>
      <c r="H576" s="256">
        <f>IFERROR(__xludf.DUMMYFUNCTION("""COMPUTED_VALUE"""),249.84)</f>
        <v>249.84</v>
      </c>
      <c r="I576" s="256">
        <f>IFERROR(__xludf.DUMMYFUNCTION("""COMPUTED_VALUE"""),249.84)</f>
        <v>249.84</v>
      </c>
      <c r="J576" s="257">
        <f t="shared" si="1"/>
        <v>2</v>
      </c>
      <c r="K576" s="253"/>
      <c r="L576" s="253"/>
      <c r="M576" s="252"/>
      <c r="N576" s="258"/>
      <c r="O576" s="259"/>
      <c r="P576" s="259"/>
      <c r="Q576" s="262"/>
      <c r="R576" s="260"/>
      <c r="S576" s="260"/>
      <c r="T576" s="260"/>
      <c r="U576" s="261"/>
      <c r="V576" s="251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</row>
    <row r="577">
      <c r="A577" s="251">
        <f>IFERROR(__xludf.DUMMYFUNCTION("""COMPUTED_VALUE"""),7879060.0)</f>
        <v>7879060</v>
      </c>
      <c r="B577" s="252" t="str">
        <f>IFERROR(__xludf.DUMMYFUNCTION("""COMPUTED_VALUE"""),"Reseliva Pannel")</f>
        <v>Reseliva Pannel</v>
      </c>
      <c r="C577" s="253" t="str">
        <f>IFERROR(__xludf.DUMMYFUNCTION("""COMPUTED_VALUE"""),"Maryem Anna ")</f>
        <v>Maryem Anna </v>
      </c>
      <c r="D577" s="254">
        <f>IFERROR(__xludf.DUMMYFUNCTION("""COMPUTED_VALUE"""),46309.0)</f>
        <v>46309</v>
      </c>
      <c r="E577" s="251">
        <f>IFERROR(__xludf.DUMMYFUNCTION("""COMPUTED_VALUE"""),46310.0)</f>
        <v>46310</v>
      </c>
      <c r="F577" s="255">
        <f>IFERROR(__xludf.DUMMYFUNCTION("""COMPUTED_VALUE"""),1.0)</f>
        <v>1</v>
      </c>
      <c r="G577" s="255">
        <f>IFERROR(__xludf.DUMMYFUNCTION("""COMPUTED_VALUE"""),2.0)</f>
        <v>2</v>
      </c>
      <c r="H577" s="256">
        <f>IFERROR(__xludf.DUMMYFUNCTION("""COMPUTED_VALUE"""),200.16)</f>
        <v>200.16</v>
      </c>
      <c r="I577" s="256">
        <f>IFERROR(__xludf.DUMMYFUNCTION("""COMPUTED_VALUE"""),200.16)</f>
        <v>200.16</v>
      </c>
      <c r="J577" s="257">
        <f t="shared" si="1"/>
        <v>2</v>
      </c>
      <c r="K577" s="253"/>
      <c r="L577" s="253"/>
      <c r="M577" s="275"/>
      <c r="N577" s="258"/>
      <c r="O577" s="259"/>
      <c r="P577" s="259"/>
      <c r="Q577" s="262"/>
      <c r="R577" s="260"/>
      <c r="S577" s="260"/>
      <c r="T577" s="260"/>
      <c r="U577" s="261"/>
      <c r="V577" s="251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</row>
    <row r="578">
      <c r="A578" s="251">
        <f>IFERROR(__xludf.DUMMYFUNCTION("""COMPUTED_VALUE"""),7879060.0)</f>
        <v>7879060</v>
      </c>
      <c r="B578" s="252" t="str">
        <f>IFERROR(__xludf.DUMMYFUNCTION("""COMPUTED_VALUE"""),"Reseliva Pannel")</f>
        <v>Reseliva Pannel</v>
      </c>
      <c r="C578" s="253" t="str">
        <f>IFERROR(__xludf.DUMMYFUNCTION("""COMPUTED_VALUE"""),"Maryem Anna ")</f>
        <v>Maryem Anna </v>
      </c>
      <c r="D578" s="254">
        <f>IFERROR(__xludf.DUMMYFUNCTION("""COMPUTED_VALUE"""),46309.0)</f>
        <v>46309</v>
      </c>
      <c r="E578" s="251">
        <f>IFERROR(__xludf.DUMMYFUNCTION("""COMPUTED_VALUE"""),46310.0)</f>
        <v>46310</v>
      </c>
      <c r="F578" s="255">
        <f>IFERROR(__xludf.DUMMYFUNCTION("""COMPUTED_VALUE"""),1.0)</f>
        <v>1</v>
      </c>
      <c r="G578" s="255">
        <f>IFERROR(__xludf.DUMMYFUNCTION("""COMPUTED_VALUE"""),2.0)</f>
        <v>2</v>
      </c>
      <c r="H578" s="256">
        <f>IFERROR(__xludf.DUMMYFUNCTION("""COMPUTED_VALUE"""),200.16)</f>
        <v>200.16</v>
      </c>
      <c r="I578" s="256">
        <f>IFERROR(__xludf.DUMMYFUNCTION("""COMPUTED_VALUE"""),200.16)</f>
        <v>200.16</v>
      </c>
      <c r="J578" s="257">
        <f t="shared" si="1"/>
        <v>2</v>
      </c>
      <c r="K578" s="253"/>
      <c r="L578" s="253"/>
      <c r="M578" s="252"/>
      <c r="N578" s="258"/>
      <c r="O578" s="259"/>
      <c r="P578" s="259"/>
      <c r="Q578" s="262"/>
      <c r="R578" s="260"/>
      <c r="S578" s="260"/>
      <c r="T578" s="260"/>
      <c r="U578" s="261"/>
      <c r="V578" s="251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</row>
    <row r="579">
      <c r="A579" s="251">
        <f>IFERROR(__xludf.DUMMYFUNCTION("""COMPUTED_VALUE"""),7879060.0)</f>
        <v>7879060</v>
      </c>
      <c r="B579" s="252" t="str">
        <f>IFERROR(__xludf.DUMMYFUNCTION("""COMPUTED_VALUE"""),"Reseliva Pannel")</f>
        <v>Reseliva Pannel</v>
      </c>
      <c r="C579" s="253" t="str">
        <f>IFERROR(__xludf.DUMMYFUNCTION("""COMPUTED_VALUE"""),"Maryem Anna ")</f>
        <v>Maryem Anna </v>
      </c>
      <c r="D579" s="254">
        <f>IFERROR(__xludf.DUMMYFUNCTION("""COMPUTED_VALUE"""),46309.0)</f>
        <v>46309</v>
      </c>
      <c r="E579" s="251">
        <f>IFERROR(__xludf.DUMMYFUNCTION("""COMPUTED_VALUE"""),46310.0)</f>
        <v>46310</v>
      </c>
      <c r="F579" s="255">
        <f>IFERROR(__xludf.DUMMYFUNCTION("""COMPUTED_VALUE"""),1.0)</f>
        <v>1</v>
      </c>
      <c r="G579" s="255">
        <f>IFERROR(__xludf.DUMMYFUNCTION("""COMPUTED_VALUE"""),2.0)</f>
        <v>2</v>
      </c>
      <c r="H579" s="256">
        <f>IFERROR(__xludf.DUMMYFUNCTION("""COMPUTED_VALUE"""),200.16)</f>
        <v>200.16</v>
      </c>
      <c r="I579" s="256">
        <f>IFERROR(__xludf.DUMMYFUNCTION("""COMPUTED_VALUE"""),200.16)</f>
        <v>200.16</v>
      </c>
      <c r="J579" s="257">
        <f t="shared" si="1"/>
        <v>2</v>
      </c>
      <c r="K579" s="253"/>
      <c r="L579" s="253"/>
      <c r="M579" s="252"/>
      <c r="N579" s="258"/>
      <c r="O579" s="259"/>
      <c r="P579" s="259"/>
      <c r="Q579" s="262"/>
      <c r="R579" s="260"/>
      <c r="S579" s="260"/>
      <c r="T579" s="260"/>
      <c r="U579" s="261"/>
      <c r="V579" s="251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</row>
    <row r="580">
      <c r="A580" s="251">
        <f>IFERROR(__xludf.DUMMYFUNCTION("""COMPUTED_VALUE"""),7879060.0)</f>
        <v>7879060</v>
      </c>
      <c r="B580" s="252" t="str">
        <f>IFERROR(__xludf.DUMMYFUNCTION("""COMPUTED_VALUE"""),"Reseliva Pannel")</f>
        <v>Reseliva Pannel</v>
      </c>
      <c r="C580" s="253" t="str">
        <f>IFERROR(__xludf.DUMMYFUNCTION("""COMPUTED_VALUE"""),"Maryem Anna ")</f>
        <v>Maryem Anna </v>
      </c>
      <c r="D580" s="254">
        <f>IFERROR(__xludf.DUMMYFUNCTION("""COMPUTED_VALUE"""),46309.0)</f>
        <v>46309</v>
      </c>
      <c r="E580" s="251">
        <f>IFERROR(__xludf.DUMMYFUNCTION("""COMPUTED_VALUE"""),46310.0)</f>
        <v>46310</v>
      </c>
      <c r="F580" s="255">
        <f>IFERROR(__xludf.DUMMYFUNCTION("""COMPUTED_VALUE"""),1.0)</f>
        <v>1</v>
      </c>
      <c r="G580" s="255">
        <f>IFERROR(__xludf.DUMMYFUNCTION("""COMPUTED_VALUE"""),2.0)</f>
        <v>2</v>
      </c>
      <c r="H580" s="256">
        <f>IFERROR(__xludf.DUMMYFUNCTION("""COMPUTED_VALUE"""),200.16)</f>
        <v>200.16</v>
      </c>
      <c r="I580" s="256">
        <f>IFERROR(__xludf.DUMMYFUNCTION("""COMPUTED_VALUE"""),200.16)</f>
        <v>200.16</v>
      </c>
      <c r="J580" s="257">
        <f t="shared" si="1"/>
        <v>2</v>
      </c>
      <c r="K580" s="253"/>
      <c r="L580" s="253"/>
      <c r="M580" s="275"/>
      <c r="N580" s="258"/>
      <c r="O580" s="259"/>
      <c r="P580" s="259"/>
      <c r="Q580" s="262"/>
      <c r="R580" s="260"/>
      <c r="S580" s="260"/>
      <c r="T580" s="260"/>
      <c r="U580" s="261"/>
      <c r="V580" s="251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</row>
    <row r="581">
      <c r="A581" s="251">
        <f>IFERROR(__xludf.DUMMYFUNCTION("""COMPUTED_VALUE"""),7920733.0)</f>
        <v>7920733</v>
      </c>
      <c r="B581" s="252" t="str">
        <f>IFERROR(__xludf.DUMMYFUNCTION("""COMPUTED_VALUE"""),"BookingCom")</f>
        <v>BookingCom</v>
      </c>
      <c r="C581" s="253" t="str">
        <f>IFERROR(__xludf.DUMMYFUNCTION("""COMPUTED_VALUE"""),"Kevin Scimeca ")</f>
        <v>Kevin Scimeca </v>
      </c>
      <c r="D581" s="254">
        <f>IFERROR(__xludf.DUMMYFUNCTION("""COMPUTED_VALUE"""),46309.0)</f>
        <v>46309</v>
      </c>
      <c r="E581" s="251">
        <f>IFERROR(__xludf.DUMMYFUNCTION("""COMPUTED_VALUE"""),46312.0)</f>
        <v>46312</v>
      </c>
      <c r="F581" s="255">
        <f>IFERROR(__xludf.DUMMYFUNCTION("""COMPUTED_VALUE"""),3.0)</f>
        <v>3</v>
      </c>
      <c r="G581" s="255">
        <f>IFERROR(__xludf.DUMMYFUNCTION("""COMPUTED_VALUE"""),2.0)</f>
        <v>2</v>
      </c>
      <c r="H581" s="256">
        <f>IFERROR(__xludf.DUMMYFUNCTION("""COMPUTED_VALUE"""),155.72)</f>
        <v>155.72</v>
      </c>
      <c r="I581" s="256">
        <f>IFERROR(__xludf.DUMMYFUNCTION("""COMPUTED_VALUE"""),373.728)</f>
        <v>373.728</v>
      </c>
      <c r="J581" s="257">
        <f t="shared" si="1"/>
        <v>6</v>
      </c>
      <c r="K581" s="253"/>
      <c r="L581" s="253"/>
      <c r="M581" s="252"/>
      <c r="N581" s="258"/>
      <c r="O581" s="259"/>
      <c r="P581" s="259"/>
      <c r="Q581" s="262"/>
      <c r="R581" s="260"/>
      <c r="S581" s="260"/>
      <c r="T581" s="260"/>
      <c r="U581" s="261"/>
      <c r="V581" s="251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</row>
    <row r="582">
      <c r="A582" s="251">
        <f>IFERROR(__xludf.DUMMYFUNCTION("""COMPUTED_VALUE"""),8207066.0)</f>
        <v>8207066</v>
      </c>
      <c r="B582" s="252" t="str">
        <f>IFERROR(__xludf.DUMMYFUNCTION("""COMPUTED_VALUE"""),"BookingCom")</f>
        <v>BookingCom</v>
      </c>
      <c r="C582" s="253" t="str">
        <f>IFERROR(__xludf.DUMMYFUNCTION("""COMPUTED_VALUE"""),"Julide Cetinkaya ")</f>
        <v>Julide Cetinkaya </v>
      </c>
      <c r="D582" s="254">
        <f>IFERROR(__xludf.DUMMYFUNCTION("""COMPUTED_VALUE"""),46309.0)</f>
        <v>46309</v>
      </c>
      <c r="E582" s="251">
        <f>IFERROR(__xludf.DUMMYFUNCTION("""COMPUTED_VALUE"""),46310.0)</f>
        <v>46310</v>
      </c>
      <c r="F582" s="255">
        <f>IFERROR(__xludf.DUMMYFUNCTION("""COMPUTED_VALUE"""),1.0)</f>
        <v>1</v>
      </c>
      <c r="G582" s="255">
        <f>IFERROR(__xludf.DUMMYFUNCTION("""COMPUTED_VALUE"""),2.0)</f>
        <v>2</v>
      </c>
      <c r="H582" s="256">
        <f>IFERROR(__xludf.DUMMYFUNCTION("""COMPUTED_VALUE"""),128.74)</f>
        <v>128.74</v>
      </c>
      <c r="I582" s="256">
        <f>IFERROR(__xludf.DUMMYFUNCTION("""COMPUTED_VALUE"""),102.99200000000002)</f>
        <v>102.992</v>
      </c>
      <c r="J582" s="257">
        <f t="shared" si="1"/>
        <v>2</v>
      </c>
      <c r="K582" s="253"/>
      <c r="L582" s="253"/>
      <c r="M582" s="275"/>
      <c r="N582" s="258"/>
      <c r="O582" s="259"/>
      <c r="P582" s="259"/>
      <c r="Q582" s="262"/>
      <c r="R582" s="260"/>
      <c r="S582" s="260"/>
      <c r="T582" s="260"/>
      <c r="U582" s="261"/>
      <c r="V582" s="251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</row>
    <row r="583">
      <c r="A583" s="251">
        <f>IFERROR(__xludf.DUMMYFUNCTION("""COMPUTED_VALUE"""),8015801.0)</f>
        <v>8015801</v>
      </c>
      <c r="B583" s="252" t="str">
        <f>IFERROR(__xludf.DUMMYFUNCTION("""COMPUTED_VALUE"""),"Reseliva Pannel")</f>
        <v>Reseliva Pannel</v>
      </c>
      <c r="C583" s="253" t="str">
        <f>IFERROR(__xludf.DUMMYFUNCTION("""COMPUTED_VALUE"""),"Ale Grillo ")</f>
        <v>Ale Grillo </v>
      </c>
      <c r="D583" s="254">
        <f>IFERROR(__xludf.DUMMYFUNCTION("""COMPUTED_VALUE"""),46310.0)</f>
        <v>46310</v>
      </c>
      <c r="E583" s="251">
        <f>IFERROR(__xludf.DUMMYFUNCTION("""COMPUTED_VALUE"""),46311.0)</f>
        <v>46311</v>
      </c>
      <c r="F583" s="255">
        <f>IFERROR(__xludf.DUMMYFUNCTION("""COMPUTED_VALUE"""),1.0)</f>
        <v>1</v>
      </c>
      <c r="G583" s="255">
        <f>IFERROR(__xludf.DUMMYFUNCTION("""COMPUTED_VALUE"""),2.0)</f>
        <v>2</v>
      </c>
      <c r="H583" s="256">
        <f>IFERROR(__xludf.DUMMYFUNCTION("""COMPUTED_VALUE"""),225.36)</f>
        <v>225.36</v>
      </c>
      <c r="I583" s="256">
        <f>IFERROR(__xludf.DUMMYFUNCTION("""COMPUTED_VALUE"""),225.36)</f>
        <v>225.36</v>
      </c>
      <c r="J583" s="257">
        <f t="shared" si="1"/>
        <v>2</v>
      </c>
      <c r="K583" s="253"/>
      <c r="L583" s="253"/>
      <c r="M583" s="252"/>
      <c r="N583" s="258"/>
      <c r="O583" s="259"/>
      <c r="P583" s="259"/>
      <c r="Q583" s="262"/>
      <c r="R583" s="260"/>
      <c r="S583" s="260"/>
      <c r="T583" s="260"/>
      <c r="U583" s="261"/>
      <c r="V583" s="251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</row>
    <row r="584">
      <c r="A584" s="251">
        <f>IFERROR(__xludf.DUMMYFUNCTION("""COMPUTED_VALUE"""),8015801.0)</f>
        <v>8015801</v>
      </c>
      <c r="B584" s="252" t="str">
        <f>IFERROR(__xludf.DUMMYFUNCTION("""COMPUTED_VALUE"""),"Reseliva Pannel")</f>
        <v>Reseliva Pannel</v>
      </c>
      <c r="C584" s="253" t="str">
        <f>IFERROR(__xludf.DUMMYFUNCTION("""COMPUTED_VALUE"""),"Ale Grillo ")</f>
        <v>Ale Grillo </v>
      </c>
      <c r="D584" s="254">
        <f>IFERROR(__xludf.DUMMYFUNCTION("""COMPUTED_VALUE"""),46310.0)</f>
        <v>46310</v>
      </c>
      <c r="E584" s="251">
        <f>IFERROR(__xludf.DUMMYFUNCTION("""COMPUTED_VALUE"""),46311.0)</f>
        <v>46311</v>
      </c>
      <c r="F584" s="255">
        <f>IFERROR(__xludf.DUMMYFUNCTION("""COMPUTED_VALUE"""),1.0)</f>
        <v>1</v>
      </c>
      <c r="G584" s="255">
        <f>IFERROR(__xludf.DUMMYFUNCTION("""COMPUTED_VALUE"""),2.0)</f>
        <v>2</v>
      </c>
      <c r="H584" s="256">
        <f>IFERROR(__xludf.DUMMYFUNCTION("""COMPUTED_VALUE"""),249.84)</f>
        <v>249.84</v>
      </c>
      <c r="I584" s="256">
        <f>IFERROR(__xludf.DUMMYFUNCTION("""COMPUTED_VALUE"""),249.84)</f>
        <v>249.84</v>
      </c>
      <c r="J584" s="257">
        <f t="shared" si="1"/>
        <v>2</v>
      </c>
      <c r="K584" s="253"/>
      <c r="L584" s="253"/>
      <c r="M584" s="252"/>
      <c r="N584" s="258"/>
      <c r="O584" s="259"/>
      <c r="P584" s="259"/>
      <c r="Q584" s="262"/>
      <c r="R584" s="260"/>
      <c r="S584" s="260"/>
      <c r="T584" s="260"/>
      <c r="U584" s="261"/>
      <c r="V584" s="251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</row>
    <row r="585">
      <c r="A585" s="251">
        <f>IFERROR(__xludf.DUMMYFUNCTION("""COMPUTED_VALUE"""),8199455.0)</f>
        <v>8199455</v>
      </c>
      <c r="B585" s="252" t="str">
        <f>IFERROR(__xludf.DUMMYFUNCTION("""COMPUTED_VALUE"""),"BookingCom")</f>
        <v>BookingCom</v>
      </c>
      <c r="C585" s="253" t="str">
        <f>IFERROR(__xludf.DUMMYFUNCTION("""COMPUTED_VALUE"""),"Paula Fletcher ")</f>
        <v>Paula Fletcher </v>
      </c>
      <c r="D585" s="254">
        <f>IFERROR(__xludf.DUMMYFUNCTION("""COMPUTED_VALUE"""),46310.0)</f>
        <v>46310</v>
      </c>
      <c r="E585" s="251">
        <f>IFERROR(__xludf.DUMMYFUNCTION("""COMPUTED_VALUE"""),46313.0)</f>
        <v>46313</v>
      </c>
      <c r="F585" s="255">
        <f>IFERROR(__xludf.DUMMYFUNCTION("""COMPUTED_VALUE"""),3.0)</f>
        <v>3</v>
      </c>
      <c r="G585" s="255">
        <f>IFERROR(__xludf.DUMMYFUNCTION("""COMPUTED_VALUE"""),2.0)</f>
        <v>2</v>
      </c>
      <c r="H585" s="256">
        <f>IFERROR(__xludf.DUMMYFUNCTION("""COMPUTED_VALUE"""),153.12)</f>
        <v>153.12</v>
      </c>
      <c r="I585" s="256">
        <f>IFERROR(__xludf.DUMMYFUNCTION("""COMPUTED_VALUE"""),367.48800000000006)</f>
        <v>367.488</v>
      </c>
      <c r="J585" s="257">
        <f t="shared" si="1"/>
        <v>6</v>
      </c>
      <c r="K585" s="253"/>
      <c r="L585" s="253"/>
      <c r="M585" s="252"/>
      <c r="N585" s="258"/>
      <c r="O585" s="259"/>
      <c r="P585" s="259"/>
      <c r="Q585" s="262"/>
      <c r="R585" s="260"/>
      <c r="S585" s="260"/>
      <c r="T585" s="260"/>
      <c r="U585" s="261"/>
      <c r="V585" s="251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</row>
    <row r="586">
      <c r="A586" s="251">
        <f>IFERROR(__xludf.DUMMYFUNCTION("""COMPUTED_VALUE"""),8076677.0)</f>
        <v>8076677</v>
      </c>
      <c r="B586" s="252" t="str">
        <f>IFERROR(__xludf.DUMMYFUNCTION("""COMPUTED_VALUE"""),"BookingCom")</f>
        <v>BookingCom</v>
      </c>
      <c r="C586" s="253" t="str">
        <f>IFERROR(__xludf.DUMMYFUNCTION("""COMPUTED_VALUE"""),"Sandrine Defranoux ")</f>
        <v>Sandrine Defranoux </v>
      </c>
      <c r="D586" s="254">
        <f>IFERROR(__xludf.DUMMYFUNCTION("""COMPUTED_VALUE"""),46311.0)</f>
        <v>46311</v>
      </c>
      <c r="E586" s="251">
        <f>IFERROR(__xludf.DUMMYFUNCTION("""COMPUTED_VALUE"""),46315.0)</f>
        <v>46315</v>
      </c>
      <c r="F586" s="255">
        <f>IFERROR(__xludf.DUMMYFUNCTION("""COMPUTED_VALUE"""),4.0)</f>
        <v>4</v>
      </c>
      <c r="G586" s="255">
        <f>IFERROR(__xludf.DUMMYFUNCTION("""COMPUTED_VALUE"""),2.0)</f>
        <v>2</v>
      </c>
      <c r="H586" s="256">
        <f>IFERROR(__xludf.DUMMYFUNCTION("""COMPUTED_VALUE"""),114.89)</f>
        <v>114.89</v>
      </c>
      <c r="I586" s="256">
        <f>IFERROR(__xludf.DUMMYFUNCTION("""COMPUTED_VALUE"""),367.648)</f>
        <v>367.648</v>
      </c>
      <c r="J586" s="257">
        <f t="shared" si="1"/>
        <v>8</v>
      </c>
      <c r="K586" s="253"/>
      <c r="L586" s="253"/>
      <c r="M586" s="252"/>
      <c r="N586" s="258"/>
      <c r="O586" s="259"/>
      <c r="P586" s="259"/>
      <c r="Q586" s="257"/>
      <c r="R586" s="260"/>
      <c r="S586" s="260"/>
      <c r="T586" s="260"/>
      <c r="U586" s="261"/>
      <c r="V586" s="309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</row>
    <row r="587">
      <c r="A587" s="251">
        <f>IFERROR(__xludf.DUMMYFUNCTION("""COMPUTED_VALUE"""),8106723.0)</f>
        <v>8106723</v>
      </c>
      <c r="B587" s="252" t="str">
        <f>IFERROR(__xludf.DUMMYFUNCTION("""COMPUTED_VALUE"""),"BookingCom")</f>
        <v>BookingCom</v>
      </c>
      <c r="C587" s="253" t="str">
        <f>IFERROR(__xludf.DUMMYFUNCTION("""COMPUTED_VALUE"""),"Benjamin Worner ")</f>
        <v>Benjamin Worner </v>
      </c>
      <c r="D587" s="254">
        <f>IFERROR(__xludf.DUMMYFUNCTION("""COMPUTED_VALUE"""),46311.0)</f>
        <v>46311</v>
      </c>
      <c r="E587" s="251">
        <f>IFERROR(__xludf.DUMMYFUNCTION("""COMPUTED_VALUE"""),46315.0)</f>
        <v>46315</v>
      </c>
      <c r="F587" s="255">
        <f>IFERROR(__xludf.DUMMYFUNCTION("""COMPUTED_VALUE"""),4.0)</f>
        <v>4</v>
      </c>
      <c r="G587" s="255">
        <f>IFERROR(__xludf.DUMMYFUNCTION("""COMPUTED_VALUE"""),2.0)</f>
        <v>2</v>
      </c>
      <c r="H587" s="256">
        <f>IFERROR(__xludf.DUMMYFUNCTION("""COMPUTED_VALUE"""),158.75)</f>
        <v>158.75</v>
      </c>
      <c r="I587" s="256">
        <f>IFERROR(__xludf.DUMMYFUNCTION("""COMPUTED_VALUE"""),508.0)</f>
        <v>508</v>
      </c>
      <c r="J587" s="257">
        <f t="shared" si="1"/>
        <v>8</v>
      </c>
      <c r="K587" s="253"/>
      <c r="L587" s="253"/>
      <c r="M587" s="252"/>
      <c r="N587" s="258"/>
      <c r="O587" s="259"/>
      <c r="P587" s="259"/>
      <c r="Q587" s="262"/>
      <c r="R587" s="260"/>
      <c r="S587" s="260"/>
      <c r="T587" s="260"/>
      <c r="U587" s="261"/>
      <c r="V587" s="251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</row>
    <row r="588">
      <c r="A588" s="251">
        <f>IFERROR(__xludf.DUMMYFUNCTION("""COMPUTED_VALUE"""),7952219.0)</f>
        <v>7952219</v>
      </c>
      <c r="B588" s="252" t="str">
        <f>IFERROR(__xludf.DUMMYFUNCTION("""COMPUTED_VALUE"""),"BookingCom")</f>
        <v>BookingCom</v>
      </c>
      <c r="C588" s="253" t="str">
        <f>IFERROR(__xludf.DUMMYFUNCTION("""COMPUTED_VALUE"""),"Lydia Aquarone ")</f>
        <v>Lydia Aquarone </v>
      </c>
      <c r="D588" s="254">
        <f>IFERROR(__xludf.DUMMYFUNCTION("""COMPUTED_VALUE"""),46312.0)</f>
        <v>46312</v>
      </c>
      <c r="E588" s="251">
        <f>IFERROR(__xludf.DUMMYFUNCTION("""COMPUTED_VALUE"""),46314.0)</f>
        <v>46314</v>
      </c>
      <c r="F588" s="255">
        <f>IFERROR(__xludf.DUMMYFUNCTION("""COMPUTED_VALUE"""),2.0)</f>
        <v>2</v>
      </c>
      <c r="G588" s="255">
        <f>IFERROR(__xludf.DUMMYFUNCTION("""COMPUTED_VALUE"""),2.0)</f>
        <v>2</v>
      </c>
      <c r="H588" s="256">
        <f>IFERROR(__xludf.DUMMYFUNCTION("""COMPUTED_VALUE"""),164.14)</f>
        <v>164.14</v>
      </c>
      <c r="I588" s="256">
        <f>IFERROR(__xludf.DUMMYFUNCTION("""COMPUTED_VALUE"""),262.62399999999997)</f>
        <v>262.624</v>
      </c>
      <c r="J588" s="257">
        <f t="shared" si="1"/>
        <v>4</v>
      </c>
      <c r="K588" s="253"/>
      <c r="L588" s="253"/>
      <c r="M588" s="252"/>
      <c r="N588" s="258"/>
      <c r="O588" s="259"/>
      <c r="P588" s="259"/>
      <c r="Q588" s="262"/>
      <c r="R588" s="260"/>
      <c r="S588" s="260"/>
      <c r="T588" s="260"/>
      <c r="U588" s="261"/>
      <c r="V588" s="251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</row>
    <row r="589">
      <c r="A589" s="251">
        <f>IFERROR(__xludf.DUMMYFUNCTION("""COMPUTED_VALUE"""),7745271.0)</f>
        <v>7745271</v>
      </c>
      <c r="B589" s="252" t="str">
        <f>IFERROR(__xludf.DUMMYFUNCTION("""COMPUTED_VALUE"""),"BookingCom")</f>
        <v>BookingCom</v>
      </c>
      <c r="C589" s="253" t="str">
        <f>IFERROR(__xludf.DUMMYFUNCTION("""COMPUTED_VALUE"""),"Josephine Kuhnemund ")</f>
        <v>Josephine Kuhnemund </v>
      </c>
      <c r="D589" s="254">
        <f>IFERROR(__xludf.DUMMYFUNCTION("""COMPUTED_VALUE"""),46313.0)</f>
        <v>46313</v>
      </c>
      <c r="E589" s="251">
        <f>IFERROR(__xludf.DUMMYFUNCTION("""COMPUTED_VALUE"""),46317.0)</f>
        <v>46317</v>
      </c>
      <c r="F589" s="255">
        <f>IFERROR(__xludf.DUMMYFUNCTION("""COMPUTED_VALUE"""),4.0)</f>
        <v>4</v>
      </c>
      <c r="G589" s="255">
        <f>IFERROR(__xludf.DUMMYFUNCTION("""COMPUTED_VALUE"""),2.0)</f>
        <v>2</v>
      </c>
      <c r="H589" s="256">
        <f>IFERROR(__xludf.DUMMYFUNCTION("""COMPUTED_VALUE"""),114.89)</f>
        <v>114.89</v>
      </c>
      <c r="I589" s="256">
        <f>IFERROR(__xludf.DUMMYFUNCTION("""COMPUTED_VALUE"""),367.648)</f>
        <v>367.648</v>
      </c>
      <c r="J589" s="257">
        <f t="shared" si="1"/>
        <v>8</v>
      </c>
      <c r="K589" s="253"/>
      <c r="L589" s="253"/>
      <c r="M589" s="275"/>
      <c r="N589" s="258"/>
      <c r="O589" s="259"/>
      <c r="P589" s="259"/>
      <c r="Q589" s="262"/>
      <c r="R589" s="260"/>
      <c r="S589" s="260"/>
      <c r="T589" s="260"/>
      <c r="U589" s="261"/>
      <c r="V589" s="251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</row>
    <row r="590">
      <c r="A590" s="251">
        <f>IFERROR(__xludf.DUMMYFUNCTION("""COMPUTED_VALUE"""),7920737.0)</f>
        <v>7920737</v>
      </c>
      <c r="B590" s="252" t="str">
        <f>IFERROR(__xludf.DUMMYFUNCTION("""COMPUTED_VALUE"""),"BookingCom")</f>
        <v>BookingCom</v>
      </c>
      <c r="C590" s="253" t="str">
        <f>IFERROR(__xludf.DUMMYFUNCTION("""COMPUTED_VALUE"""),"Kevin Scimeca ")</f>
        <v>Kevin Scimeca </v>
      </c>
      <c r="D590" s="254">
        <f>IFERROR(__xludf.DUMMYFUNCTION("""COMPUTED_VALUE"""),46313.0)</f>
        <v>46313</v>
      </c>
      <c r="E590" s="251">
        <f>IFERROR(__xludf.DUMMYFUNCTION("""COMPUTED_VALUE"""),46314.0)</f>
        <v>46314</v>
      </c>
      <c r="F590" s="255">
        <f>IFERROR(__xludf.DUMMYFUNCTION("""COMPUTED_VALUE"""),1.0)</f>
        <v>1</v>
      </c>
      <c r="G590" s="255">
        <f>IFERROR(__xludf.DUMMYFUNCTION("""COMPUTED_VALUE"""),2.0)</f>
        <v>2</v>
      </c>
      <c r="H590" s="256">
        <f>IFERROR(__xludf.DUMMYFUNCTION("""COMPUTED_VALUE"""),150.72)</f>
        <v>150.72</v>
      </c>
      <c r="I590" s="256">
        <f>IFERROR(__xludf.DUMMYFUNCTION("""COMPUTED_VALUE"""),120.57600000000001)</f>
        <v>120.576</v>
      </c>
      <c r="J590" s="257">
        <f t="shared" si="1"/>
        <v>2</v>
      </c>
      <c r="K590" s="253"/>
      <c r="L590" s="253"/>
      <c r="M590" s="275"/>
      <c r="N590" s="258"/>
      <c r="O590" s="259"/>
      <c r="P590" s="259"/>
      <c r="Q590" s="262"/>
      <c r="R590" s="260"/>
      <c r="S590" s="260"/>
      <c r="T590" s="260"/>
      <c r="U590" s="261"/>
      <c r="V590" s="251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</row>
    <row r="591">
      <c r="A591" s="251">
        <f>IFERROR(__xludf.DUMMYFUNCTION("""COMPUTED_VALUE"""),8209211.0)</f>
        <v>8209211</v>
      </c>
      <c r="B591" s="252" t="str">
        <f>IFERROR(__xludf.DUMMYFUNCTION("""COMPUTED_VALUE"""),"BookingCom")</f>
        <v>BookingCom</v>
      </c>
      <c r="C591" s="253" t="str">
        <f>IFERROR(__xludf.DUMMYFUNCTION("""COMPUTED_VALUE"""),"Andrew Colpman ")</f>
        <v>Andrew Colpman </v>
      </c>
      <c r="D591" s="254">
        <f>IFERROR(__xludf.DUMMYFUNCTION("""COMPUTED_VALUE"""),46314.0)</f>
        <v>46314</v>
      </c>
      <c r="E591" s="251">
        <f>IFERROR(__xludf.DUMMYFUNCTION("""COMPUTED_VALUE"""),46318.0)</f>
        <v>46318</v>
      </c>
      <c r="F591" s="255">
        <f>IFERROR(__xludf.DUMMYFUNCTION("""COMPUTED_VALUE"""),4.0)</f>
        <v>4</v>
      </c>
      <c r="G591" s="255">
        <f>IFERROR(__xludf.DUMMYFUNCTION("""COMPUTED_VALUE"""),2.0)</f>
        <v>2</v>
      </c>
      <c r="H591" s="256">
        <f>IFERROR(__xludf.DUMMYFUNCTION("""COMPUTED_VALUE"""),149.16)</f>
        <v>149.16</v>
      </c>
      <c r="I591" s="256">
        <f>IFERROR(__xludf.DUMMYFUNCTION("""COMPUTED_VALUE"""),477.312)</f>
        <v>477.312</v>
      </c>
      <c r="J591" s="257">
        <f t="shared" si="1"/>
        <v>8</v>
      </c>
      <c r="K591" s="253"/>
      <c r="L591" s="253"/>
      <c r="M591" s="252"/>
      <c r="N591" s="258"/>
      <c r="O591" s="259"/>
      <c r="P591" s="259"/>
      <c r="Q591" s="262"/>
      <c r="R591" s="260"/>
      <c r="S591" s="260"/>
      <c r="T591" s="260"/>
      <c r="U591" s="261"/>
      <c r="V591" s="251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</row>
    <row r="592">
      <c r="A592" s="251">
        <f>IFERROR(__xludf.DUMMYFUNCTION("""COMPUTED_VALUE"""),7945143.0)</f>
        <v>7945143</v>
      </c>
      <c r="B592" s="252" t="str">
        <f>IFERROR(__xludf.DUMMYFUNCTION("""COMPUTED_VALUE"""),"Reseliva")</f>
        <v>Reseliva</v>
      </c>
      <c r="C592" s="253" t="str">
        <f>IFERROR(__xludf.DUMMYFUNCTION("""COMPUTED_VALUE"""),"Mareile Reisch ")</f>
        <v>Mareile Reisch </v>
      </c>
      <c r="D592" s="254">
        <f>IFERROR(__xludf.DUMMYFUNCTION("""COMPUTED_VALUE"""),46317.0)</f>
        <v>46317</v>
      </c>
      <c r="E592" s="251">
        <f>IFERROR(__xludf.DUMMYFUNCTION("""COMPUTED_VALUE"""),46321.0)</f>
        <v>46321</v>
      </c>
      <c r="F592" s="255">
        <f>IFERROR(__xludf.DUMMYFUNCTION("""COMPUTED_VALUE"""),4.0)</f>
        <v>4</v>
      </c>
      <c r="G592" s="255">
        <f>IFERROR(__xludf.DUMMYFUNCTION("""COMPUTED_VALUE"""),2.0)</f>
        <v>2</v>
      </c>
      <c r="H592" s="256">
        <f>IFERROR(__xludf.DUMMYFUNCTION("""COMPUTED_VALUE"""),162.63)</f>
        <v>162.63</v>
      </c>
      <c r="I592" s="256">
        <f>IFERROR(__xludf.DUMMYFUNCTION("""COMPUTED_VALUE"""),644.0147999999999)</f>
        <v>644.0148</v>
      </c>
      <c r="J592" s="257">
        <f t="shared" si="1"/>
        <v>8</v>
      </c>
      <c r="K592" s="253"/>
      <c r="L592" s="253"/>
      <c r="M592" s="252"/>
      <c r="N592" s="258"/>
      <c r="O592" s="259"/>
      <c r="P592" s="259"/>
      <c r="Q592" s="262"/>
      <c r="R592" s="260"/>
      <c r="S592" s="260"/>
      <c r="T592" s="260"/>
      <c r="U592" s="261"/>
      <c r="V592" s="251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</row>
    <row r="593">
      <c r="A593" s="251">
        <f>IFERROR(__xludf.DUMMYFUNCTION("""COMPUTED_VALUE"""),7980614.0)</f>
        <v>7980614</v>
      </c>
      <c r="B593" s="252" t="str">
        <f>IFERROR(__xludf.DUMMYFUNCTION("""COMPUTED_VALUE"""),"BookingCom")</f>
        <v>BookingCom</v>
      </c>
      <c r="C593" s="253" t="str">
        <f>IFERROR(__xludf.DUMMYFUNCTION("""COMPUTED_VALUE"""),"Joanna Damen-Wendholt ")</f>
        <v>Joanna Damen-Wendholt </v>
      </c>
      <c r="D593" s="254">
        <f>IFERROR(__xludf.DUMMYFUNCTION("""COMPUTED_VALUE"""),46318.0)</f>
        <v>46318</v>
      </c>
      <c r="E593" s="251">
        <f>IFERROR(__xludf.DUMMYFUNCTION("""COMPUTED_VALUE"""),46323.0)</f>
        <v>46323</v>
      </c>
      <c r="F593" s="255">
        <f>IFERROR(__xludf.DUMMYFUNCTION("""COMPUTED_VALUE"""),5.0)</f>
        <v>5</v>
      </c>
      <c r="G593" s="255">
        <f>IFERROR(__xludf.DUMMYFUNCTION("""COMPUTED_VALUE"""),2.0)</f>
        <v>2</v>
      </c>
      <c r="H593" s="256">
        <f>IFERROR(__xludf.DUMMYFUNCTION("""COMPUTED_VALUE"""),200.32)</f>
        <v>200.32</v>
      </c>
      <c r="I593" s="256">
        <f>IFERROR(__xludf.DUMMYFUNCTION("""COMPUTED_VALUE"""),801.28)</f>
        <v>801.28</v>
      </c>
      <c r="J593" s="257">
        <f t="shared" si="1"/>
        <v>10</v>
      </c>
      <c r="K593" s="253"/>
      <c r="L593" s="253"/>
      <c r="M593" s="275"/>
      <c r="N593" s="258"/>
      <c r="O593" s="259"/>
      <c r="P593" s="259"/>
      <c r="Q593" s="262"/>
      <c r="R593" s="260"/>
      <c r="S593" s="260"/>
      <c r="T593" s="260"/>
      <c r="U593" s="261"/>
      <c r="V593" s="251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</row>
    <row r="594">
      <c r="A594" s="251">
        <f>IFERROR(__xludf.DUMMYFUNCTION("""COMPUTED_VALUE"""),7980614.0)</f>
        <v>7980614</v>
      </c>
      <c r="B594" s="252" t="str">
        <f>IFERROR(__xludf.DUMMYFUNCTION("""COMPUTED_VALUE"""),"BookingCom")</f>
        <v>BookingCom</v>
      </c>
      <c r="C594" s="253" t="str">
        <f>IFERROR(__xludf.DUMMYFUNCTION("""COMPUTED_VALUE"""),"Joanna Damen-Wendholt ")</f>
        <v>Joanna Damen-Wendholt </v>
      </c>
      <c r="D594" s="254">
        <f>IFERROR(__xludf.DUMMYFUNCTION("""COMPUTED_VALUE"""),46318.0)</f>
        <v>46318</v>
      </c>
      <c r="E594" s="251">
        <f>IFERROR(__xludf.DUMMYFUNCTION("""COMPUTED_VALUE"""),46323.0)</f>
        <v>46323</v>
      </c>
      <c r="F594" s="255">
        <f>IFERROR(__xludf.DUMMYFUNCTION("""COMPUTED_VALUE"""),5.0)</f>
        <v>5</v>
      </c>
      <c r="G594" s="255">
        <f>IFERROR(__xludf.DUMMYFUNCTION("""COMPUTED_VALUE"""),2.0)</f>
        <v>2</v>
      </c>
      <c r="H594" s="256">
        <f>IFERROR(__xludf.DUMMYFUNCTION("""COMPUTED_VALUE"""),155.52)</f>
        <v>155.52</v>
      </c>
      <c r="I594" s="256">
        <f>IFERROR(__xludf.DUMMYFUNCTION("""COMPUTED_VALUE"""),622.08)</f>
        <v>622.08</v>
      </c>
      <c r="J594" s="257">
        <f t="shared" si="1"/>
        <v>10</v>
      </c>
      <c r="K594" s="253"/>
      <c r="L594" s="253"/>
      <c r="M594" s="275"/>
      <c r="N594" s="258"/>
      <c r="O594" s="259"/>
      <c r="P594" s="259"/>
      <c r="Q594" s="262"/>
      <c r="R594" s="260"/>
      <c r="S594" s="260"/>
      <c r="T594" s="260"/>
      <c r="U594" s="261"/>
      <c r="V594" s="251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</row>
    <row r="595">
      <c r="A595" s="251">
        <f>IFERROR(__xludf.DUMMYFUNCTION("""COMPUTED_VALUE"""),8023695.0)</f>
        <v>8023695</v>
      </c>
      <c r="B595" s="252" t="str">
        <f>IFERROR(__xludf.DUMMYFUNCTION("""COMPUTED_VALUE"""),"BookingCom")</f>
        <v>BookingCom</v>
      </c>
      <c r="C595" s="253" t="str">
        <f>IFERROR(__xludf.DUMMYFUNCTION("""COMPUTED_VALUE"""),"Fanny Sitarz ")</f>
        <v>Fanny Sitarz </v>
      </c>
      <c r="D595" s="254">
        <f>IFERROR(__xludf.DUMMYFUNCTION("""COMPUTED_VALUE"""),46318.0)</f>
        <v>46318</v>
      </c>
      <c r="E595" s="251">
        <f>IFERROR(__xludf.DUMMYFUNCTION("""COMPUTED_VALUE"""),46321.0)</f>
        <v>46321</v>
      </c>
      <c r="F595" s="255">
        <f>IFERROR(__xludf.DUMMYFUNCTION("""COMPUTED_VALUE"""),3.0)</f>
        <v>3</v>
      </c>
      <c r="G595" s="255">
        <f>IFERROR(__xludf.DUMMYFUNCTION("""COMPUTED_VALUE"""),2.0)</f>
        <v>2</v>
      </c>
      <c r="H595" s="256">
        <f>IFERROR(__xludf.DUMMYFUNCTION("""COMPUTED_VALUE"""),126.41000000000001)</f>
        <v>126.41</v>
      </c>
      <c r="I595" s="256">
        <f>IFERROR(__xludf.DUMMYFUNCTION("""COMPUTED_VALUE"""),303.384)</f>
        <v>303.384</v>
      </c>
      <c r="J595" s="257">
        <f t="shared" si="1"/>
        <v>6</v>
      </c>
      <c r="K595" s="253"/>
      <c r="L595" s="253"/>
      <c r="M595" s="275"/>
      <c r="N595" s="258"/>
      <c r="O595" s="259"/>
      <c r="P595" s="259"/>
      <c r="Q595" s="262"/>
      <c r="R595" s="260"/>
      <c r="S595" s="260"/>
      <c r="T595" s="260"/>
      <c r="U595" s="261"/>
      <c r="V595" s="251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</row>
    <row r="596">
      <c r="A596" s="251">
        <f>IFERROR(__xludf.DUMMYFUNCTION("""COMPUTED_VALUE"""),8054740.0)</f>
        <v>8054740</v>
      </c>
      <c r="B596" s="252" t="str">
        <f>IFERROR(__xludf.DUMMYFUNCTION("""COMPUTED_VALUE"""),"HotelBeds")</f>
        <v>HotelBeds</v>
      </c>
      <c r="C596" s="253" t="str">
        <f>IFERROR(__xludf.DUMMYFUNCTION("""COMPUTED_VALUE"""),"TANJA ROSWITHA STEINBACH ")</f>
        <v>TANJA ROSWITHA STEINBACH </v>
      </c>
      <c r="D596" s="254">
        <f>IFERROR(__xludf.DUMMYFUNCTION("""COMPUTED_VALUE"""),46318.0)</f>
        <v>46318</v>
      </c>
      <c r="E596" s="251">
        <f>IFERROR(__xludf.DUMMYFUNCTION("""COMPUTED_VALUE"""),46322.0)</f>
        <v>46322</v>
      </c>
      <c r="F596" s="255">
        <f>IFERROR(__xludf.DUMMYFUNCTION("""COMPUTED_VALUE"""),4.0)</f>
        <v>4</v>
      </c>
      <c r="G596" s="255">
        <f>IFERROR(__xludf.DUMMYFUNCTION("""COMPUTED_VALUE"""),3.0)</f>
        <v>3</v>
      </c>
      <c r="H596" s="256">
        <f>IFERROR(__xludf.DUMMYFUNCTION("""COMPUTED_VALUE"""),282.88)</f>
        <v>282.88</v>
      </c>
      <c r="I596" s="256">
        <f>IFERROR(__xludf.DUMMYFUNCTION("""COMPUTED_VALUE"""),905.216)</f>
        <v>905.216</v>
      </c>
      <c r="J596" s="257">
        <f t="shared" si="1"/>
        <v>12</v>
      </c>
      <c r="K596" s="253"/>
      <c r="L596" s="253"/>
      <c r="M596" s="252"/>
      <c r="N596" s="258"/>
      <c r="O596" s="259"/>
      <c r="P596" s="259"/>
      <c r="Q596" s="262"/>
      <c r="R596" s="260"/>
      <c r="S596" s="260"/>
      <c r="T596" s="260"/>
      <c r="U596" s="261"/>
      <c r="V596" s="251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</row>
    <row r="597">
      <c r="A597" s="251">
        <f>IFERROR(__xludf.DUMMYFUNCTION("""COMPUTED_VALUE"""),7965695.0)</f>
        <v>7965695</v>
      </c>
      <c r="B597" s="252" t="str">
        <f>IFERROR(__xludf.DUMMYFUNCTION("""COMPUTED_VALUE"""),"BookingCom")</f>
        <v>BookingCom</v>
      </c>
      <c r="C597" s="253" t="str">
        <f>IFERROR(__xludf.DUMMYFUNCTION("""COMPUTED_VALUE"""),"Mate Dr Flaskay ")</f>
        <v>Mate Dr Flaskay </v>
      </c>
      <c r="D597" s="254">
        <f>IFERROR(__xludf.DUMMYFUNCTION("""COMPUTED_VALUE"""),46320.0)</f>
        <v>46320</v>
      </c>
      <c r="E597" s="251">
        <f>IFERROR(__xludf.DUMMYFUNCTION("""COMPUTED_VALUE"""),46323.0)</f>
        <v>46323</v>
      </c>
      <c r="F597" s="255">
        <f>IFERROR(__xludf.DUMMYFUNCTION("""COMPUTED_VALUE"""),3.0)</f>
        <v>3</v>
      </c>
      <c r="G597" s="255">
        <f>IFERROR(__xludf.DUMMYFUNCTION("""COMPUTED_VALUE"""),2.0)</f>
        <v>2</v>
      </c>
      <c r="H597" s="256">
        <f>IFERROR(__xludf.DUMMYFUNCTION("""COMPUTED_VALUE"""),225.17999999999998)</f>
        <v>225.18</v>
      </c>
      <c r="I597" s="256">
        <f>IFERROR(__xludf.DUMMYFUNCTION("""COMPUTED_VALUE"""),540.432)</f>
        <v>540.432</v>
      </c>
      <c r="J597" s="257">
        <f t="shared" si="1"/>
        <v>6</v>
      </c>
      <c r="K597" s="253"/>
      <c r="L597" s="253"/>
      <c r="M597" s="252"/>
      <c r="N597" s="258"/>
      <c r="O597" s="259"/>
      <c r="P597" s="259"/>
      <c r="Q597" s="262"/>
      <c r="R597" s="260"/>
      <c r="S597" s="260"/>
      <c r="T597" s="260"/>
      <c r="U597" s="261"/>
      <c r="V597" s="251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</row>
    <row r="598">
      <c r="A598" s="251">
        <f>IFERROR(__xludf.DUMMYFUNCTION("""COMPUTED_VALUE"""),8057065.0)</f>
        <v>8057065</v>
      </c>
      <c r="B598" s="252" t="str">
        <f>IFERROR(__xludf.DUMMYFUNCTION("""COMPUTED_VALUE"""),"BookingCom")</f>
        <v>BookingCom</v>
      </c>
      <c r="C598" s="253" t="str">
        <f>IFERROR(__xludf.DUMMYFUNCTION("""COMPUTED_VALUE"""),"Thaddeus Zayatz ")</f>
        <v>Thaddeus Zayatz </v>
      </c>
      <c r="D598" s="254">
        <f>IFERROR(__xludf.DUMMYFUNCTION("""COMPUTED_VALUE"""),46320.0)</f>
        <v>46320</v>
      </c>
      <c r="E598" s="251">
        <f>IFERROR(__xludf.DUMMYFUNCTION("""COMPUTED_VALUE"""),46321.0)</f>
        <v>46321</v>
      </c>
      <c r="F598" s="255">
        <f>IFERROR(__xludf.DUMMYFUNCTION("""COMPUTED_VALUE"""),1.0)</f>
        <v>1</v>
      </c>
      <c r="G598" s="255">
        <f>IFERROR(__xludf.DUMMYFUNCTION("""COMPUTED_VALUE"""),2.0)</f>
        <v>2</v>
      </c>
      <c r="H598" s="256">
        <f>IFERROR(__xludf.DUMMYFUNCTION("""COMPUTED_VALUE"""),148.72)</f>
        <v>148.72</v>
      </c>
      <c r="I598" s="256">
        <f>IFERROR(__xludf.DUMMYFUNCTION("""COMPUTED_VALUE"""),118.976)</f>
        <v>118.976</v>
      </c>
      <c r="J598" s="257">
        <f t="shared" si="1"/>
        <v>2</v>
      </c>
      <c r="K598" s="253"/>
      <c r="L598" s="253"/>
      <c r="M598" s="252"/>
      <c r="N598" s="258"/>
      <c r="O598" s="259"/>
      <c r="P598" s="259"/>
      <c r="Q598" s="262"/>
      <c r="R598" s="260"/>
      <c r="S598" s="260"/>
      <c r="T598" s="260"/>
      <c r="U598" s="261"/>
      <c r="V598" s="251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</row>
    <row r="599">
      <c r="A599" s="251">
        <f>IFERROR(__xludf.DUMMYFUNCTION("""COMPUTED_VALUE"""),7995837.0)</f>
        <v>7995837</v>
      </c>
      <c r="B599" s="252" t="str">
        <f>IFERROR(__xludf.DUMMYFUNCTION("""COMPUTED_VALUE"""),"BookingCom")</f>
        <v>BookingCom</v>
      </c>
      <c r="C599" s="253" t="str">
        <f>IFERROR(__xludf.DUMMYFUNCTION("""COMPUTED_VALUE"""),"Neofidos Neophytou ")</f>
        <v>Neofidos Neophytou </v>
      </c>
      <c r="D599" s="254">
        <f>IFERROR(__xludf.DUMMYFUNCTION("""COMPUTED_VALUE"""),46321.0)</f>
        <v>46321</v>
      </c>
      <c r="E599" s="251">
        <f>IFERROR(__xludf.DUMMYFUNCTION("""COMPUTED_VALUE"""),46325.0)</f>
        <v>46325</v>
      </c>
      <c r="F599" s="255">
        <f>IFERROR(__xludf.DUMMYFUNCTION("""COMPUTED_VALUE"""),4.0)</f>
        <v>4</v>
      </c>
      <c r="G599" s="255">
        <f>IFERROR(__xludf.DUMMYFUNCTION("""COMPUTED_VALUE"""),2.0)</f>
        <v>2</v>
      </c>
      <c r="H599" s="256">
        <f>IFERROR(__xludf.DUMMYFUNCTION("""COMPUTED_VALUE"""),122.33)</f>
        <v>122.33</v>
      </c>
      <c r="I599" s="256">
        <f>IFERROR(__xludf.DUMMYFUNCTION("""COMPUTED_VALUE"""),391.456)</f>
        <v>391.456</v>
      </c>
      <c r="J599" s="257">
        <f t="shared" si="1"/>
        <v>8</v>
      </c>
      <c r="K599" s="253"/>
      <c r="L599" s="253"/>
      <c r="M599" s="252"/>
      <c r="N599" s="258"/>
      <c r="O599" s="259"/>
      <c r="P599" s="259"/>
      <c r="Q599" s="262"/>
      <c r="R599" s="260"/>
      <c r="S599" s="260"/>
      <c r="T599" s="260"/>
      <c r="U599" s="261"/>
      <c r="V599" s="251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</row>
    <row r="600">
      <c r="A600" s="251">
        <f>IFERROR(__xludf.DUMMYFUNCTION("""COMPUTED_VALUE"""),8192989.0)</f>
        <v>8192989</v>
      </c>
      <c r="B600" s="252" t="str">
        <f>IFERROR(__xludf.DUMMYFUNCTION("""COMPUTED_VALUE"""),"BookingCom")</f>
        <v>BookingCom</v>
      </c>
      <c r="C600" s="253" t="str">
        <f>IFERROR(__xludf.DUMMYFUNCTION("""COMPUTED_VALUE"""),"Julia Walser ")</f>
        <v>Julia Walser </v>
      </c>
      <c r="D600" s="254">
        <f>IFERROR(__xludf.DUMMYFUNCTION("""COMPUTED_VALUE"""),46322.0)</f>
        <v>46322</v>
      </c>
      <c r="E600" s="251">
        <f>IFERROR(__xludf.DUMMYFUNCTION("""COMPUTED_VALUE"""),46325.0)</f>
        <v>46325</v>
      </c>
      <c r="F600" s="255">
        <f>IFERROR(__xludf.DUMMYFUNCTION("""COMPUTED_VALUE"""),3.0)</f>
        <v>3</v>
      </c>
      <c r="G600" s="255">
        <f>IFERROR(__xludf.DUMMYFUNCTION("""COMPUTED_VALUE"""),2.0)</f>
        <v>2</v>
      </c>
      <c r="H600" s="256">
        <f>IFERROR(__xludf.DUMMYFUNCTION("""COMPUTED_VALUE"""),217.28)</f>
        <v>217.28</v>
      </c>
      <c r="I600" s="256">
        <f>IFERROR(__xludf.DUMMYFUNCTION("""COMPUTED_VALUE"""),521.472)</f>
        <v>521.472</v>
      </c>
      <c r="J600" s="257">
        <f t="shared" si="1"/>
        <v>6</v>
      </c>
      <c r="K600" s="253"/>
      <c r="L600" s="253"/>
      <c r="M600" s="252"/>
      <c r="N600" s="258"/>
      <c r="O600" s="259"/>
      <c r="P600" s="259"/>
      <c r="Q600" s="262"/>
      <c r="R600" s="260"/>
      <c r="S600" s="260"/>
      <c r="T600" s="260"/>
      <c r="U600" s="261"/>
      <c r="V600" s="251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</row>
    <row r="601">
      <c r="A601" s="251">
        <f>IFERROR(__xludf.DUMMYFUNCTION("""COMPUTED_VALUE"""),7859629.0)</f>
        <v>7859629</v>
      </c>
      <c r="B601" s="252" t="str">
        <f>IFERROR(__xludf.DUMMYFUNCTION("""COMPUTED_VALUE"""),"BookingCom")</f>
        <v>BookingCom</v>
      </c>
      <c r="C601" s="253" t="str">
        <f>IFERROR(__xludf.DUMMYFUNCTION("""COMPUTED_VALUE"""),"Foteini Progia ")</f>
        <v>Foteini Progia </v>
      </c>
      <c r="D601" s="254">
        <f>IFERROR(__xludf.DUMMYFUNCTION("""COMPUTED_VALUE"""),46323.0)</f>
        <v>46323</v>
      </c>
      <c r="E601" s="251">
        <f>IFERROR(__xludf.DUMMYFUNCTION("""COMPUTED_VALUE"""),46326.0)</f>
        <v>46326</v>
      </c>
      <c r="F601" s="255">
        <f>IFERROR(__xludf.DUMMYFUNCTION("""COMPUTED_VALUE"""),3.0)</f>
        <v>3</v>
      </c>
      <c r="G601" s="255">
        <f>IFERROR(__xludf.DUMMYFUNCTION("""COMPUTED_VALUE"""),2.0)</f>
        <v>2</v>
      </c>
      <c r="H601" s="256">
        <f>IFERROR(__xludf.DUMMYFUNCTION("""COMPUTED_VALUE"""),242.9)</f>
        <v>242.9</v>
      </c>
      <c r="I601" s="256">
        <f>IFERROR(__xludf.DUMMYFUNCTION("""COMPUTED_VALUE"""),582.96)</f>
        <v>582.96</v>
      </c>
      <c r="J601" s="257">
        <f t="shared" si="1"/>
        <v>6</v>
      </c>
      <c r="K601" s="253"/>
      <c r="L601" s="253"/>
      <c r="M601" s="275"/>
      <c r="N601" s="258"/>
      <c r="O601" s="259"/>
      <c r="P601" s="259"/>
      <c r="Q601" s="262"/>
      <c r="R601" s="260"/>
      <c r="S601" s="260"/>
      <c r="T601" s="260"/>
      <c r="U601" s="261"/>
      <c r="V601" s="309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</row>
    <row r="602">
      <c r="A602" s="251">
        <f>IFERROR(__xludf.DUMMYFUNCTION("""COMPUTED_VALUE"""),8019755.0)</f>
        <v>8019755</v>
      </c>
      <c r="B602" s="252" t="str">
        <f>IFERROR(__xludf.DUMMYFUNCTION("""COMPUTED_VALUE"""),"BookingCom")</f>
        <v>BookingCom</v>
      </c>
      <c r="C602" s="253" t="str">
        <f>IFERROR(__xludf.DUMMYFUNCTION("""COMPUTED_VALUE"""),"Joanna Damen-Wendholt ")</f>
        <v>Joanna Damen-Wendholt </v>
      </c>
      <c r="D602" s="254">
        <f>IFERROR(__xludf.DUMMYFUNCTION("""COMPUTED_VALUE"""),46323.0)</f>
        <v>46323</v>
      </c>
      <c r="E602" s="251">
        <f>IFERROR(__xludf.DUMMYFUNCTION("""COMPUTED_VALUE"""),46324.0)</f>
        <v>46324</v>
      </c>
      <c r="F602" s="255">
        <f>IFERROR(__xludf.DUMMYFUNCTION("""COMPUTED_VALUE"""),1.0)</f>
        <v>1</v>
      </c>
      <c r="G602" s="255">
        <f>IFERROR(__xludf.DUMMYFUNCTION("""COMPUTED_VALUE"""),2.0)</f>
        <v>2</v>
      </c>
      <c r="H602" s="256">
        <f>IFERROR(__xludf.DUMMYFUNCTION("""COMPUTED_VALUE"""),155.52)</f>
        <v>155.52</v>
      </c>
      <c r="I602" s="256">
        <f>IFERROR(__xludf.DUMMYFUNCTION("""COMPUTED_VALUE"""),124.41600000000001)</f>
        <v>124.416</v>
      </c>
      <c r="J602" s="257">
        <f t="shared" si="1"/>
        <v>2</v>
      </c>
      <c r="K602" s="253"/>
      <c r="L602" s="253"/>
      <c r="M602" s="252"/>
      <c r="N602" s="258"/>
      <c r="O602" s="259"/>
      <c r="P602" s="259"/>
      <c r="Q602" s="262"/>
      <c r="R602" s="260"/>
      <c r="S602" s="260"/>
      <c r="T602" s="260"/>
      <c r="U602" s="261"/>
      <c r="V602" s="251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</row>
    <row r="603">
      <c r="A603" s="251">
        <f>IFERROR(__xludf.DUMMYFUNCTION("""COMPUTED_VALUE"""),8019755.0)</f>
        <v>8019755</v>
      </c>
      <c r="B603" s="252" t="str">
        <f>IFERROR(__xludf.DUMMYFUNCTION("""COMPUTED_VALUE"""),"BookingCom")</f>
        <v>BookingCom</v>
      </c>
      <c r="C603" s="253" t="str">
        <f>IFERROR(__xludf.DUMMYFUNCTION("""COMPUTED_VALUE"""),"Joanna Damen-Wendholt ")</f>
        <v>Joanna Damen-Wendholt </v>
      </c>
      <c r="D603" s="254">
        <f>IFERROR(__xludf.DUMMYFUNCTION("""COMPUTED_VALUE"""),46323.0)</f>
        <v>46323</v>
      </c>
      <c r="E603" s="251">
        <f>IFERROR(__xludf.DUMMYFUNCTION("""COMPUTED_VALUE"""),46324.0)</f>
        <v>46324</v>
      </c>
      <c r="F603" s="255">
        <f>IFERROR(__xludf.DUMMYFUNCTION("""COMPUTED_VALUE"""),1.0)</f>
        <v>1</v>
      </c>
      <c r="G603" s="255">
        <f>IFERROR(__xludf.DUMMYFUNCTION("""COMPUTED_VALUE"""),2.0)</f>
        <v>2</v>
      </c>
      <c r="H603" s="256">
        <f>IFERROR(__xludf.DUMMYFUNCTION("""COMPUTED_VALUE"""),200.32)</f>
        <v>200.32</v>
      </c>
      <c r="I603" s="256">
        <f>IFERROR(__xludf.DUMMYFUNCTION("""COMPUTED_VALUE"""),160.256)</f>
        <v>160.256</v>
      </c>
      <c r="J603" s="257">
        <f t="shared" si="1"/>
        <v>2</v>
      </c>
      <c r="K603" s="253"/>
      <c r="L603" s="253"/>
      <c r="M603" s="252"/>
      <c r="N603" s="258"/>
      <c r="O603" s="259"/>
      <c r="P603" s="259"/>
      <c r="Q603" s="262"/>
      <c r="R603" s="260"/>
      <c r="S603" s="260"/>
      <c r="T603" s="260"/>
      <c r="U603" s="261"/>
      <c r="V603" s="251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</row>
    <row r="604">
      <c r="A604" s="251">
        <f>IFERROR(__xludf.DUMMYFUNCTION("""COMPUTED_VALUE"""),8051727.0)</f>
        <v>8051727</v>
      </c>
      <c r="B604" s="252" t="str">
        <f>IFERROR(__xludf.DUMMYFUNCTION("""COMPUTED_VALUE"""),"BookingCom")</f>
        <v>BookingCom</v>
      </c>
      <c r="C604" s="253" t="str">
        <f>IFERROR(__xludf.DUMMYFUNCTION("""COMPUTED_VALUE"""),"Lidia Petrics ")</f>
        <v>Lidia Petrics </v>
      </c>
      <c r="D604" s="254">
        <f>IFERROR(__xludf.DUMMYFUNCTION("""COMPUTED_VALUE"""),46323.0)</f>
        <v>46323</v>
      </c>
      <c r="E604" s="251">
        <f>IFERROR(__xludf.DUMMYFUNCTION("""COMPUTED_VALUE"""),46325.0)</f>
        <v>46325</v>
      </c>
      <c r="F604" s="255">
        <f>IFERROR(__xludf.DUMMYFUNCTION("""COMPUTED_VALUE"""),2.0)</f>
        <v>2</v>
      </c>
      <c r="G604" s="255">
        <f>IFERROR(__xludf.DUMMYFUNCTION("""COMPUTED_VALUE"""),2.0)</f>
        <v>2</v>
      </c>
      <c r="H604" s="256">
        <f>IFERROR(__xludf.DUMMYFUNCTION("""COMPUTED_VALUE"""),162.82)</f>
        <v>162.82</v>
      </c>
      <c r="I604" s="256">
        <f>IFERROR(__xludf.DUMMYFUNCTION("""COMPUTED_VALUE"""),260.512)</f>
        <v>260.512</v>
      </c>
      <c r="J604" s="257">
        <f t="shared" si="1"/>
        <v>4</v>
      </c>
      <c r="K604" s="253"/>
      <c r="L604" s="253"/>
      <c r="M604" s="252"/>
      <c r="N604" s="258"/>
      <c r="O604" s="259"/>
      <c r="P604" s="259"/>
      <c r="Q604" s="262"/>
      <c r="R604" s="260"/>
      <c r="S604" s="260"/>
      <c r="T604" s="260"/>
      <c r="U604" s="261"/>
      <c r="V604" s="251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</row>
    <row r="605">
      <c r="A605" s="251">
        <f>IFERROR(__xludf.DUMMYFUNCTION("""COMPUTED_VALUE"""),7863229.0)</f>
        <v>7863229</v>
      </c>
      <c r="B605" s="252" t="str">
        <f>IFERROR(__xludf.DUMMYFUNCTION("""COMPUTED_VALUE"""),"BookingCom")</f>
        <v>BookingCom</v>
      </c>
      <c r="C605" s="253" t="str">
        <f>IFERROR(__xludf.DUMMYFUNCTION("""COMPUTED_VALUE"""),"Sebastian Scholz ")</f>
        <v>Sebastian Scholz </v>
      </c>
      <c r="D605" s="254">
        <f>IFERROR(__xludf.DUMMYFUNCTION("""COMPUTED_VALUE"""),46324.0)</f>
        <v>46324</v>
      </c>
      <c r="E605" s="251">
        <f>IFERROR(__xludf.DUMMYFUNCTION("""COMPUTED_VALUE"""),46326.0)</f>
        <v>46326</v>
      </c>
      <c r="F605" s="255">
        <f>IFERROR(__xludf.DUMMYFUNCTION("""COMPUTED_VALUE"""),2.0)</f>
        <v>2</v>
      </c>
      <c r="G605" s="255">
        <f>IFERROR(__xludf.DUMMYFUNCTION("""COMPUTED_VALUE"""),2.0)</f>
        <v>2</v>
      </c>
      <c r="H605" s="256">
        <f>IFERROR(__xludf.DUMMYFUNCTION("""COMPUTED_VALUE"""),128.74)</f>
        <v>128.74</v>
      </c>
      <c r="I605" s="256">
        <f>IFERROR(__xludf.DUMMYFUNCTION("""COMPUTED_VALUE"""),205.98400000000004)</f>
        <v>205.984</v>
      </c>
      <c r="J605" s="257">
        <f t="shared" si="1"/>
        <v>4</v>
      </c>
      <c r="K605" s="253"/>
      <c r="L605" s="253"/>
      <c r="M605" s="252"/>
      <c r="N605" s="258"/>
      <c r="O605" s="259"/>
      <c r="P605" s="259"/>
      <c r="Q605" s="262"/>
      <c r="R605" s="260"/>
      <c r="S605" s="260"/>
      <c r="T605" s="260"/>
      <c r="U605" s="261"/>
      <c r="V605" s="251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</row>
    <row r="606">
      <c r="A606" s="251">
        <f>IFERROR(__xludf.DUMMYFUNCTION("""COMPUTED_VALUE"""),7863322.0)</f>
        <v>7863322</v>
      </c>
      <c r="B606" s="252" t="str">
        <f>IFERROR(__xludf.DUMMYFUNCTION("""COMPUTED_VALUE"""),"BookingCom")</f>
        <v>BookingCom</v>
      </c>
      <c r="C606" s="253" t="str">
        <f>IFERROR(__xludf.DUMMYFUNCTION("""COMPUTED_VALUE"""),"Sebastian Scholz ")</f>
        <v>Sebastian Scholz </v>
      </c>
      <c r="D606" s="254">
        <f>IFERROR(__xludf.DUMMYFUNCTION("""COMPUTED_VALUE"""),46324.0)</f>
        <v>46324</v>
      </c>
      <c r="E606" s="251">
        <f>IFERROR(__xludf.DUMMYFUNCTION("""COMPUTED_VALUE"""),46326.0)</f>
        <v>46326</v>
      </c>
      <c r="F606" s="255">
        <f>IFERROR(__xludf.DUMMYFUNCTION("""COMPUTED_VALUE"""),2.0)</f>
        <v>2</v>
      </c>
      <c r="G606" s="255">
        <f>IFERROR(__xludf.DUMMYFUNCTION("""COMPUTED_VALUE"""),2.0)</f>
        <v>2</v>
      </c>
      <c r="H606" s="256">
        <f>IFERROR(__xludf.DUMMYFUNCTION("""COMPUTED_VALUE"""),128.74)</f>
        <v>128.74</v>
      </c>
      <c r="I606" s="256">
        <f>IFERROR(__xludf.DUMMYFUNCTION("""COMPUTED_VALUE"""),205.98400000000004)</f>
        <v>205.984</v>
      </c>
      <c r="J606" s="257">
        <f t="shared" si="1"/>
        <v>4</v>
      </c>
      <c r="K606" s="253"/>
      <c r="L606" s="253"/>
      <c r="M606" s="252"/>
      <c r="N606" s="258"/>
      <c r="O606" s="259"/>
      <c r="P606" s="259"/>
      <c r="Q606" s="262"/>
      <c r="R606" s="260"/>
      <c r="S606" s="260"/>
      <c r="T606" s="260"/>
      <c r="U606" s="261"/>
      <c r="V606" s="251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</row>
    <row r="607">
      <c r="A607" s="251">
        <f>IFERROR(__xludf.DUMMYFUNCTION("""COMPUTED_VALUE"""),7863352.0)</f>
        <v>7863352</v>
      </c>
      <c r="B607" s="252" t="str">
        <f>IFERROR(__xludf.DUMMYFUNCTION("""COMPUTED_VALUE"""),"BookingCom")</f>
        <v>BookingCom</v>
      </c>
      <c r="C607" s="253" t="str">
        <f>IFERROR(__xludf.DUMMYFUNCTION("""COMPUTED_VALUE"""),"Sebastian Scholz ")</f>
        <v>Sebastian Scholz </v>
      </c>
      <c r="D607" s="254">
        <f>IFERROR(__xludf.DUMMYFUNCTION("""COMPUTED_VALUE"""),46324.0)</f>
        <v>46324</v>
      </c>
      <c r="E607" s="251">
        <f>IFERROR(__xludf.DUMMYFUNCTION("""COMPUTED_VALUE"""),46326.0)</f>
        <v>46326</v>
      </c>
      <c r="F607" s="255">
        <f>IFERROR(__xludf.DUMMYFUNCTION("""COMPUTED_VALUE"""),2.0)</f>
        <v>2</v>
      </c>
      <c r="G607" s="255">
        <f>IFERROR(__xludf.DUMMYFUNCTION("""COMPUTED_VALUE"""),2.0)</f>
        <v>2</v>
      </c>
      <c r="H607" s="256">
        <f>IFERROR(__xludf.DUMMYFUNCTION("""COMPUTED_VALUE"""),128.74)</f>
        <v>128.74</v>
      </c>
      <c r="I607" s="256">
        <f>IFERROR(__xludf.DUMMYFUNCTION("""COMPUTED_VALUE"""),205.98400000000004)</f>
        <v>205.984</v>
      </c>
      <c r="J607" s="257">
        <f t="shared" si="1"/>
        <v>4</v>
      </c>
      <c r="K607" s="253"/>
      <c r="L607" s="253"/>
      <c r="M607" s="252"/>
      <c r="N607" s="258"/>
      <c r="O607" s="259"/>
      <c r="P607" s="259"/>
      <c r="Q607" s="262"/>
      <c r="R607" s="260"/>
      <c r="S607" s="260"/>
      <c r="T607" s="260"/>
      <c r="U607" s="261"/>
      <c r="V607" s="251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</row>
    <row r="608">
      <c r="A608" s="251">
        <f>IFERROR(__xludf.DUMMYFUNCTION("""COMPUTED_VALUE"""),7863376.0)</f>
        <v>7863376</v>
      </c>
      <c r="B608" s="252" t="str">
        <f>IFERROR(__xludf.DUMMYFUNCTION("""COMPUTED_VALUE"""),"BookingCom")</f>
        <v>BookingCom</v>
      </c>
      <c r="C608" s="253" t="str">
        <f>IFERROR(__xludf.DUMMYFUNCTION("""COMPUTED_VALUE"""),"Sebastian Scholz ")</f>
        <v>Sebastian Scholz </v>
      </c>
      <c r="D608" s="254">
        <f>IFERROR(__xludf.DUMMYFUNCTION("""COMPUTED_VALUE"""),46324.0)</f>
        <v>46324</v>
      </c>
      <c r="E608" s="251">
        <f>IFERROR(__xludf.DUMMYFUNCTION("""COMPUTED_VALUE"""),46326.0)</f>
        <v>46326</v>
      </c>
      <c r="F608" s="255">
        <f>IFERROR(__xludf.DUMMYFUNCTION("""COMPUTED_VALUE"""),2.0)</f>
        <v>2</v>
      </c>
      <c r="G608" s="255">
        <f>IFERROR(__xludf.DUMMYFUNCTION("""COMPUTED_VALUE"""),2.0)</f>
        <v>2</v>
      </c>
      <c r="H608" s="256">
        <f>IFERROR(__xludf.DUMMYFUNCTION("""COMPUTED_VALUE"""),128.74)</f>
        <v>128.74</v>
      </c>
      <c r="I608" s="256">
        <f>IFERROR(__xludf.DUMMYFUNCTION("""COMPUTED_VALUE"""),205.98400000000004)</f>
        <v>205.984</v>
      </c>
      <c r="J608" s="257">
        <f t="shared" si="1"/>
        <v>4</v>
      </c>
      <c r="K608" s="253"/>
      <c r="L608" s="253"/>
      <c r="M608" s="275"/>
      <c r="N608" s="258"/>
      <c r="O608" s="259"/>
      <c r="P608" s="259"/>
      <c r="Q608" s="262"/>
      <c r="R608" s="260"/>
      <c r="S608" s="260"/>
      <c r="T608" s="260"/>
      <c r="U608" s="261"/>
      <c r="V608" s="251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</row>
    <row r="609">
      <c r="A609" s="251">
        <f>IFERROR(__xludf.DUMMYFUNCTION("""COMPUTED_VALUE"""),8076547.0)</f>
        <v>8076547</v>
      </c>
      <c r="B609" s="252" t="str">
        <f>IFERROR(__xludf.DUMMYFUNCTION("""COMPUTED_VALUE"""),"BookingCom")</f>
        <v>BookingCom</v>
      </c>
      <c r="C609" s="253" t="str">
        <f>IFERROR(__xludf.DUMMYFUNCTION("""COMPUTED_VALUE"""),"Neel Singh ")</f>
        <v>Neel Singh </v>
      </c>
      <c r="D609" s="254">
        <f>IFERROR(__xludf.DUMMYFUNCTION("""COMPUTED_VALUE"""),46324.0)</f>
        <v>46324</v>
      </c>
      <c r="E609" s="251">
        <f>IFERROR(__xludf.DUMMYFUNCTION("""COMPUTED_VALUE"""),46328.0)</f>
        <v>46328</v>
      </c>
      <c r="F609" s="255">
        <f>IFERROR(__xludf.DUMMYFUNCTION("""COMPUTED_VALUE"""),4.0)</f>
        <v>4</v>
      </c>
      <c r="G609" s="255">
        <f>IFERROR(__xludf.DUMMYFUNCTION("""COMPUTED_VALUE"""),2.0)</f>
        <v>2</v>
      </c>
      <c r="H609" s="256">
        <f>IFERROR(__xludf.DUMMYFUNCTION("""COMPUTED_VALUE"""),148.72)</f>
        <v>148.72</v>
      </c>
      <c r="I609" s="256">
        <f>IFERROR(__xludf.DUMMYFUNCTION("""COMPUTED_VALUE"""),475.904)</f>
        <v>475.904</v>
      </c>
      <c r="J609" s="257">
        <f t="shared" si="1"/>
        <v>8</v>
      </c>
      <c r="K609" s="253"/>
      <c r="L609" s="253"/>
      <c r="M609" s="252"/>
      <c r="N609" s="258"/>
      <c r="O609" s="259"/>
      <c r="P609" s="259"/>
      <c r="Q609" s="262"/>
      <c r="R609" s="260"/>
      <c r="S609" s="260"/>
      <c r="T609" s="260"/>
      <c r="U609" s="261"/>
      <c r="V609" s="251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</row>
    <row r="610">
      <c r="A610" s="251">
        <f>IFERROR(__xludf.DUMMYFUNCTION("""COMPUTED_VALUE"""),8061077.0)</f>
        <v>8061077</v>
      </c>
      <c r="B610" s="252" t="str">
        <f>IFERROR(__xludf.DUMMYFUNCTION("""COMPUTED_VALUE"""),"BookingCom")</f>
        <v>BookingCom</v>
      </c>
      <c r="C610" s="253" t="str">
        <f>IFERROR(__xludf.DUMMYFUNCTION("""COMPUTED_VALUE"""),"Carrick Andreas ")</f>
        <v>Carrick Andreas </v>
      </c>
      <c r="D610" s="254">
        <f>IFERROR(__xludf.DUMMYFUNCTION("""COMPUTED_VALUE"""),46325.0)</f>
        <v>46325</v>
      </c>
      <c r="E610" s="251">
        <f>IFERROR(__xludf.DUMMYFUNCTION("""COMPUTED_VALUE"""),46330.0)</f>
        <v>46330</v>
      </c>
      <c r="F610" s="255">
        <f>IFERROR(__xludf.DUMMYFUNCTION("""COMPUTED_VALUE"""),5.0)</f>
        <v>5</v>
      </c>
      <c r="G610" s="255">
        <f>IFERROR(__xludf.DUMMYFUNCTION("""COMPUTED_VALUE"""),4.0)</f>
        <v>4</v>
      </c>
      <c r="H610" s="256">
        <f>IFERROR(__xludf.DUMMYFUNCTION("""COMPUTED_VALUE"""),361.02)</f>
        <v>361.02</v>
      </c>
      <c r="I610" s="256">
        <f>IFERROR(__xludf.DUMMYFUNCTION("""COMPUTED_VALUE"""),1444.08)</f>
        <v>1444.08</v>
      </c>
      <c r="J610" s="257">
        <f t="shared" si="1"/>
        <v>20</v>
      </c>
      <c r="K610" s="253"/>
      <c r="L610" s="253"/>
      <c r="M610" s="252"/>
      <c r="N610" s="258"/>
      <c r="O610" s="259"/>
      <c r="P610" s="259"/>
      <c r="Q610" s="262"/>
      <c r="R610" s="260"/>
      <c r="S610" s="260"/>
      <c r="T610" s="260"/>
      <c r="U610" s="261"/>
      <c r="V610" s="251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</row>
    <row r="611">
      <c r="A611" s="251">
        <f>IFERROR(__xludf.DUMMYFUNCTION("""COMPUTED_VALUE"""),8111803.0)</f>
        <v>8111803</v>
      </c>
      <c r="B611" s="252" t="str">
        <f>IFERROR(__xludf.DUMMYFUNCTION("""COMPUTED_VALUE"""),"BookingCom")</f>
        <v>BookingCom</v>
      </c>
      <c r="C611" s="253" t="str">
        <f>IFERROR(__xludf.DUMMYFUNCTION("""COMPUTED_VALUE"""),"Harriet Pinon ")</f>
        <v>Harriet Pinon </v>
      </c>
      <c r="D611" s="254">
        <f>IFERROR(__xludf.DUMMYFUNCTION("""COMPUTED_VALUE"""),46325.0)</f>
        <v>46325</v>
      </c>
      <c r="E611" s="251">
        <f>IFERROR(__xludf.DUMMYFUNCTION("""COMPUTED_VALUE"""),46328.0)</f>
        <v>46328</v>
      </c>
      <c r="F611" s="255">
        <f>IFERROR(__xludf.DUMMYFUNCTION("""COMPUTED_VALUE"""),3.0)</f>
        <v>3</v>
      </c>
      <c r="G611" s="255">
        <f>IFERROR(__xludf.DUMMYFUNCTION("""COMPUTED_VALUE"""),2.0)</f>
        <v>2</v>
      </c>
      <c r="H611" s="256">
        <f>IFERROR(__xludf.DUMMYFUNCTION("""COMPUTED_VALUE"""),172.26)</f>
        <v>172.26</v>
      </c>
      <c r="I611" s="256">
        <f>IFERROR(__xludf.DUMMYFUNCTION("""COMPUTED_VALUE"""),413.424)</f>
        <v>413.424</v>
      </c>
      <c r="J611" s="257">
        <f t="shared" si="1"/>
        <v>6</v>
      </c>
      <c r="K611" s="253"/>
      <c r="L611" s="253"/>
      <c r="M611" s="252"/>
      <c r="N611" s="258"/>
      <c r="O611" s="259"/>
      <c r="P611" s="259"/>
      <c r="Q611" s="262"/>
      <c r="R611" s="260"/>
      <c r="S611" s="260"/>
      <c r="T611" s="260"/>
      <c r="U611" s="261"/>
      <c r="V611" s="251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</row>
    <row r="612">
      <c r="A612" s="251">
        <f>IFERROR(__xludf.DUMMYFUNCTION("""COMPUTED_VALUE"""),7990384.0)</f>
        <v>7990384</v>
      </c>
      <c r="B612" s="252" t="str">
        <f>IFERROR(__xludf.DUMMYFUNCTION("""COMPUTED_VALUE"""),"BookingCom")</f>
        <v>BookingCom</v>
      </c>
      <c r="C612" s="253" t="str">
        <f>IFERROR(__xludf.DUMMYFUNCTION("""COMPUTED_VALUE"""),"Henriette van Wijk ")</f>
        <v>Henriette van Wijk </v>
      </c>
      <c r="D612" s="254">
        <f>IFERROR(__xludf.DUMMYFUNCTION("""COMPUTED_VALUE"""),46327.0)</f>
        <v>46327</v>
      </c>
      <c r="E612" s="251">
        <f>IFERROR(__xludf.DUMMYFUNCTION("""COMPUTED_VALUE"""),46331.0)</f>
        <v>46331</v>
      </c>
      <c r="F612" s="255">
        <f>IFERROR(__xludf.DUMMYFUNCTION("""COMPUTED_VALUE"""),4.0)</f>
        <v>4</v>
      </c>
      <c r="G612" s="255">
        <f>IFERROR(__xludf.DUMMYFUNCTION("""COMPUTED_VALUE"""),2.0)</f>
        <v>2</v>
      </c>
      <c r="H612" s="256">
        <f>IFERROR(__xludf.DUMMYFUNCTION("""COMPUTED_VALUE"""),132.03)</f>
        <v>132.03</v>
      </c>
      <c r="I612" s="256">
        <f>IFERROR(__xludf.DUMMYFUNCTION("""COMPUTED_VALUE"""),422.49600000000004)</f>
        <v>422.496</v>
      </c>
      <c r="J612" s="257">
        <f t="shared" si="1"/>
        <v>8</v>
      </c>
      <c r="K612" s="253"/>
      <c r="L612" s="253"/>
      <c r="M612" s="252"/>
      <c r="N612" s="258"/>
      <c r="O612" s="259"/>
      <c r="P612" s="259"/>
      <c r="Q612" s="262"/>
      <c r="R612" s="260"/>
      <c r="S612" s="260"/>
      <c r="T612" s="260"/>
      <c r="U612" s="261"/>
      <c r="V612" s="251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</row>
    <row r="613">
      <c r="A613" s="251">
        <f>IFERROR(__xludf.DUMMYFUNCTION("""COMPUTED_VALUE"""),7966366.0)</f>
        <v>7966366</v>
      </c>
      <c r="B613" s="252" t="str">
        <f>IFERROR(__xludf.DUMMYFUNCTION("""COMPUTED_VALUE"""),"Expedia Affiliate Network")</f>
        <v>Expedia Affiliate Network</v>
      </c>
      <c r="C613" s="253" t="str">
        <f>IFERROR(__xludf.DUMMYFUNCTION("""COMPUTED_VALUE"""),"Elisa Nelles ")</f>
        <v>Elisa Nelles </v>
      </c>
      <c r="D613" s="254">
        <f>IFERROR(__xludf.DUMMYFUNCTION("""COMPUTED_VALUE"""),46328.0)</f>
        <v>46328</v>
      </c>
      <c r="E613" s="251">
        <f>IFERROR(__xludf.DUMMYFUNCTION("""COMPUTED_VALUE"""),46331.0)</f>
        <v>46331</v>
      </c>
      <c r="F613" s="255">
        <f>IFERROR(__xludf.DUMMYFUNCTION("""COMPUTED_VALUE"""),3.0)</f>
        <v>3</v>
      </c>
      <c r="G613" s="255">
        <f>IFERROR(__xludf.DUMMYFUNCTION("""COMPUTED_VALUE"""),3.0)</f>
        <v>3</v>
      </c>
      <c r="H613" s="256">
        <f>IFERROR(__xludf.DUMMYFUNCTION("""COMPUTED_VALUE"""),219.11)</f>
        <v>219.11</v>
      </c>
      <c r="I613" s="256">
        <f>IFERROR(__xludf.DUMMYFUNCTION("""COMPUTED_VALUE"""),525.864)</f>
        <v>525.864</v>
      </c>
      <c r="J613" s="257">
        <f t="shared" si="1"/>
        <v>9</v>
      </c>
      <c r="K613" s="253"/>
      <c r="L613" s="253"/>
      <c r="M613" s="252"/>
      <c r="N613" s="258"/>
      <c r="O613" s="259"/>
      <c r="P613" s="259"/>
      <c r="Q613" s="262"/>
      <c r="R613" s="260"/>
      <c r="S613" s="260"/>
      <c r="T613" s="260"/>
      <c r="U613" s="261"/>
      <c r="V613" s="251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</row>
    <row r="614">
      <c r="A614" s="251">
        <f>IFERROR(__xludf.DUMMYFUNCTION("""COMPUTED_VALUE"""),7966367.0)</f>
        <v>7966367</v>
      </c>
      <c r="B614" s="252" t="str">
        <f>IFERROR(__xludf.DUMMYFUNCTION("""COMPUTED_VALUE"""),"Expedia Affiliate Network")</f>
        <v>Expedia Affiliate Network</v>
      </c>
      <c r="C614" s="253" t="str">
        <f>IFERROR(__xludf.DUMMYFUNCTION("""COMPUTED_VALUE"""),"Ali Özaykir ")</f>
        <v>Ali Özaykir </v>
      </c>
      <c r="D614" s="254">
        <f>IFERROR(__xludf.DUMMYFUNCTION("""COMPUTED_VALUE"""),46328.0)</f>
        <v>46328</v>
      </c>
      <c r="E614" s="251">
        <f>IFERROR(__xludf.DUMMYFUNCTION("""COMPUTED_VALUE"""),46331.0)</f>
        <v>46331</v>
      </c>
      <c r="F614" s="255">
        <f>IFERROR(__xludf.DUMMYFUNCTION("""COMPUTED_VALUE"""),3.0)</f>
        <v>3</v>
      </c>
      <c r="G614" s="255">
        <f>IFERROR(__xludf.DUMMYFUNCTION("""COMPUTED_VALUE"""),2.0)</f>
        <v>2</v>
      </c>
      <c r="H614" s="256">
        <f>IFERROR(__xludf.DUMMYFUNCTION("""COMPUTED_VALUE"""),170.1)</f>
        <v>170.1</v>
      </c>
      <c r="I614" s="256">
        <f>IFERROR(__xludf.DUMMYFUNCTION("""COMPUTED_VALUE"""),408.24)</f>
        <v>408.24</v>
      </c>
      <c r="J614" s="257">
        <f t="shared" si="1"/>
        <v>6</v>
      </c>
      <c r="K614" s="253"/>
      <c r="L614" s="253"/>
      <c r="M614" s="252"/>
      <c r="N614" s="258"/>
      <c r="O614" s="259"/>
      <c r="P614" s="259"/>
      <c r="Q614" s="262"/>
      <c r="R614" s="260"/>
      <c r="S614" s="260"/>
      <c r="T614" s="260"/>
      <c r="U614" s="261"/>
      <c r="V614" s="251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</row>
    <row r="615">
      <c r="A615" s="251">
        <f>IFERROR(__xludf.DUMMYFUNCTION("""COMPUTED_VALUE"""),7905410.0)</f>
        <v>7905410</v>
      </c>
      <c r="B615" s="252" t="str">
        <f>IFERROR(__xludf.DUMMYFUNCTION("""COMPUTED_VALUE"""),"BookingCom")</f>
        <v>BookingCom</v>
      </c>
      <c r="C615" s="253" t="str">
        <f>IFERROR(__xludf.DUMMYFUNCTION("""COMPUTED_VALUE"""),"Scott Mason ")</f>
        <v>Scott Mason </v>
      </c>
      <c r="D615" s="254">
        <f>IFERROR(__xludf.DUMMYFUNCTION("""COMPUTED_VALUE"""),46329.0)</f>
        <v>46329</v>
      </c>
      <c r="E615" s="251">
        <f>IFERROR(__xludf.DUMMYFUNCTION("""COMPUTED_VALUE"""),46332.0)</f>
        <v>46332</v>
      </c>
      <c r="F615" s="255">
        <f>IFERROR(__xludf.DUMMYFUNCTION("""COMPUTED_VALUE"""),3.0)</f>
        <v>3</v>
      </c>
      <c r="G615" s="255">
        <f>IFERROR(__xludf.DUMMYFUNCTION("""COMPUTED_VALUE"""),2.0)</f>
        <v>2</v>
      </c>
      <c r="H615" s="256">
        <f>IFERROR(__xludf.DUMMYFUNCTION("""COMPUTED_VALUE"""),217.28)</f>
        <v>217.28</v>
      </c>
      <c r="I615" s="256">
        <f>IFERROR(__xludf.DUMMYFUNCTION("""COMPUTED_VALUE"""),521.472)</f>
        <v>521.472</v>
      </c>
      <c r="J615" s="257">
        <f t="shared" si="1"/>
        <v>6</v>
      </c>
      <c r="K615" s="253"/>
      <c r="L615" s="253"/>
      <c r="M615" s="275"/>
      <c r="N615" s="258"/>
      <c r="O615" s="259"/>
      <c r="P615" s="259"/>
      <c r="Q615" s="262"/>
      <c r="R615" s="260"/>
      <c r="S615" s="260"/>
      <c r="T615" s="260"/>
      <c r="U615" s="261"/>
      <c r="V615" s="251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</row>
    <row r="616">
      <c r="A616" s="251">
        <f>IFERROR(__xludf.DUMMYFUNCTION("""COMPUTED_VALUE"""),8022736.0)</f>
        <v>8022736</v>
      </c>
      <c r="B616" s="252" t="str">
        <f>IFERROR(__xludf.DUMMYFUNCTION("""COMPUTED_VALUE"""),"BookingCom")</f>
        <v>BookingCom</v>
      </c>
      <c r="C616" s="253" t="str">
        <f>IFERROR(__xludf.DUMMYFUNCTION("""COMPUTED_VALUE"""),"Andras Papp ")</f>
        <v>Andras Papp </v>
      </c>
      <c r="D616" s="254">
        <f>IFERROR(__xludf.DUMMYFUNCTION("""COMPUTED_VALUE"""),46330.0)</f>
        <v>46330</v>
      </c>
      <c r="E616" s="251">
        <f>IFERROR(__xludf.DUMMYFUNCTION("""COMPUTED_VALUE"""),46332.0)</f>
        <v>46332</v>
      </c>
      <c r="F616" s="255">
        <f>IFERROR(__xludf.DUMMYFUNCTION("""COMPUTED_VALUE"""),2.0)</f>
        <v>2</v>
      </c>
      <c r="G616" s="255">
        <f>IFERROR(__xludf.DUMMYFUNCTION("""COMPUTED_VALUE"""),2.0)</f>
        <v>2</v>
      </c>
      <c r="H616" s="256">
        <f>IFERROR(__xludf.DUMMYFUNCTION("""COMPUTED_VALUE"""),194.16)</f>
        <v>194.16</v>
      </c>
      <c r="I616" s="256">
        <f>IFERROR(__xludf.DUMMYFUNCTION("""COMPUTED_VALUE"""),310.656)</f>
        <v>310.656</v>
      </c>
      <c r="J616" s="257">
        <f t="shared" si="1"/>
        <v>4</v>
      </c>
      <c r="K616" s="253"/>
      <c r="L616" s="253"/>
      <c r="M616" s="252"/>
      <c r="N616" s="258"/>
      <c r="O616" s="259"/>
      <c r="P616" s="259"/>
      <c r="Q616" s="262"/>
      <c r="R616" s="260"/>
      <c r="S616" s="260"/>
      <c r="T616" s="260"/>
      <c r="U616" s="261"/>
      <c r="V616" s="251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</row>
    <row r="617">
      <c r="A617" s="251">
        <f>IFERROR(__xludf.DUMMYFUNCTION("""COMPUTED_VALUE"""),8022736.0)</f>
        <v>8022736</v>
      </c>
      <c r="B617" s="252" t="str">
        <f>IFERROR(__xludf.DUMMYFUNCTION("""COMPUTED_VALUE"""),"BookingCom")</f>
        <v>BookingCom</v>
      </c>
      <c r="C617" s="253" t="str">
        <f>IFERROR(__xludf.DUMMYFUNCTION("""COMPUTED_VALUE"""),"Andras Papp ")</f>
        <v>Andras Papp </v>
      </c>
      <c r="D617" s="254">
        <f>IFERROR(__xludf.DUMMYFUNCTION("""COMPUTED_VALUE"""),46330.0)</f>
        <v>46330</v>
      </c>
      <c r="E617" s="251">
        <f>IFERROR(__xludf.DUMMYFUNCTION("""COMPUTED_VALUE"""),46332.0)</f>
        <v>46332</v>
      </c>
      <c r="F617" s="255">
        <f>IFERROR(__xludf.DUMMYFUNCTION("""COMPUTED_VALUE"""),2.0)</f>
        <v>2</v>
      </c>
      <c r="G617" s="255">
        <f>IFERROR(__xludf.DUMMYFUNCTION("""COMPUTED_VALUE"""),2.0)</f>
        <v>2</v>
      </c>
      <c r="H617" s="256">
        <f>IFERROR(__xludf.DUMMYFUNCTION("""COMPUTED_VALUE"""),194.16)</f>
        <v>194.16</v>
      </c>
      <c r="I617" s="256">
        <f>IFERROR(__xludf.DUMMYFUNCTION("""COMPUTED_VALUE"""),310.656)</f>
        <v>310.656</v>
      </c>
      <c r="J617" s="257">
        <f t="shared" si="1"/>
        <v>4</v>
      </c>
      <c r="K617" s="253"/>
      <c r="L617" s="253"/>
      <c r="M617" s="275"/>
      <c r="N617" s="258"/>
      <c r="O617" s="259"/>
      <c r="P617" s="259"/>
      <c r="Q617" s="262"/>
      <c r="R617" s="260"/>
      <c r="S617" s="260"/>
      <c r="T617" s="260"/>
      <c r="U617" s="261"/>
      <c r="V617" s="251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</row>
    <row r="618">
      <c r="A618" s="251">
        <f>IFERROR(__xludf.DUMMYFUNCTION("""COMPUTED_VALUE"""),8022736.0)</f>
        <v>8022736</v>
      </c>
      <c r="B618" s="252" t="str">
        <f>IFERROR(__xludf.DUMMYFUNCTION("""COMPUTED_VALUE"""),"BookingCom")</f>
        <v>BookingCom</v>
      </c>
      <c r="C618" s="253" t="str">
        <f>IFERROR(__xludf.DUMMYFUNCTION("""COMPUTED_VALUE"""),"Andras Papp ")</f>
        <v>Andras Papp </v>
      </c>
      <c r="D618" s="254">
        <f>IFERROR(__xludf.DUMMYFUNCTION("""COMPUTED_VALUE"""),46330.0)</f>
        <v>46330</v>
      </c>
      <c r="E618" s="251">
        <f>IFERROR(__xludf.DUMMYFUNCTION("""COMPUTED_VALUE"""),46332.0)</f>
        <v>46332</v>
      </c>
      <c r="F618" s="255">
        <f>IFERROR(__xludf.DUMMYFUNCTION("""COMPUTED_VALUE"""),2.0)</f>
        <v>2</v>
      </c>
      <c r="G618" s="255">
        <f>IFERROR(__xludf.DUMMYFUNCTION("""COMPUTED_VALUE"""),2.0)</f>
        <v>2</v>
      </c>
      <c r="H618" s="256">
        <f>IFERROR(__xludf.DUMMYFUNCTION("""COMPUTED_VALUE"""),194.16)</f>
        <v>194.16</v>
      </c>
      <c r="I618" s="256">
        <f>IFERROR(__xludf.DUMMYFUNCTION("""COMPUTED_VALUE"""),310.656)</f>
        <v>310.656</v>
      </c>
      <c r="J618" s="257">
        <f t="shared" si="1"/>
        <v>4</v>
      </c>
      <c r="K618" s="253"/>
      <c r="L618" s="253"/>
      <c r="M618" s="252"/>
      <c r="N618" s="258"/>
      <c r="O618" s="259"/>
      <c r="P618" s="259"/>
      <c r="Q618" s="262"/>
      <c r="R618" s="260"/>
      <c r="S618" s="260"/>
      <c r="T618" s="260"/>
      <c r="U618" s="261"/>
      <c r="V618" s="251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</row>
    <row r="619">
      <c r="A619" s="251">
        <f>IFERROR(__xludf.DUMMYFUNCTION("""COMPUTED_VALUE"""),8167856.0)</f>
        <v>8167856</v>
      </c>
      <c r="B619" s="252" t="str">
        <f>IFERROR(__xludf.DUMMYFUNCTION("""COMPUTED_VALUE"""),"BookingCom")</f>
        <v>BookingCom</v>
      </c>
      <c r="C619" s="253" t="str">
        <f>IFERROR(__xludf.DUMMYFUNCTION("""COMPUTED_VALUE"""),"Solveig Hermann ")</f>
        <v>Solveig Hermann </v>
      </c>
      <c r="D619" s="254">
        <f>IFERROR(__xludf.DUMMYFUNCTION("""COMPUTED_VALUE"""),46332.0)</f>
        <v>46332</v>
      </c>
      <c r="E619" s="251">
        <f>IFERROR(__xludf.DUMMYFUNCTION("""COMPUTED_VALUE"""),46338.0)</f>
        <v>46338</v>
      </c>
      <c r="F619" s="255">
        <f>IFERROR(__xludf.DUMMYFUNCTION("""COMPUTED_VALUE"""),6.0)</f>
        <v>6</v>
      </c>
      <c r="G619" s="255">
        <f>IFERROR(__xludf.DUMMYFUNCTION("""COMPUTED_VALUE"""),2.0)</f>
        <v>2</v>
      </c>
      <c r="H619" s="256">
        <f>IFERROR(__xludf.DUMMYFUNCTION("""COMPUTED_VALUE"""),182.4)</f>
        <v>182.4</v>
      </c>
      <c r="I619" s="256">
        <f>IFERROR(__xludf.DUMMYFUNCTION("""COMPUTED_VALUE"""),875.5200000000001)</f>
        <v>875.52</v>
      </c>
      <c r="J619" s="257">
        <f t="shared" si="1"/>
        <v>12</v>
      </c>
      <c r="K619" s="253"/>
      <c r="L619" s="253"/>
      <c r="M619" s="252"/>
      <c r="N619" s="258"/>
      <c r="O619" s="259"/>
      <c r="P619" s="259"/>
      <c r="Q619" s="257"/>
      <c r="R619" s="260"/>
      <c r="S619" s="260"/>
      <c r="T619" s="260"/>
      <c r="U619" s="261"/>
      <c r="V619" s="251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</row>
    <row r="620">
      <c r="A620" s="251">
        <f>IFERROR(__xludf.DUMMYFUNCTION("""COMPUTED_VALUE"""),7949793.0)</f>
        <v>7949793</v>
      </c>
      <c r="B620" s="252" t="str">
        <f>IFERROR(__xludf.DUMMYFUNCTION("""COMPUTED_VALUE"""),"BookingCom")</f>
        <v>BookingCom</v>
      </c>
      <c r="C620" s="253" t="str">
        <f>IFERROR(__xludf.DUMMYFUNCTION("""COMPUTED_VALUE"""),"Conrad ONeill ")</f>
        <v>Conrad ONeill </v>
      </c>
      <c r="D620" s="254">
        <f>IFERROR(__xludf.DUMMYFUNCTION("""COMPUTED_VALUE"""),46333.0)</f>
        <v>46333</v>
      </c>
      <c r="E620" s="251">
        <f>IFERROR(__xludf.DUMMYFUNCTION("""COMPUTED_VALUE"""),46334.0)</f>
        <v>46334</v>
      </c>
      <c r="F620" s="255">
        <f>IFERROR(__xludf.DUMMYFUNCTION("""COMPUTED_VALUE"""),1.0)</f>
        <v>1</v>
      </c>
      <c r="G620" s="255">
        <f>IFERROR(__xludf.DUMMYFUNCTION("""COMPUTED_VALUE"""),2.0)</f>
        <v>2</v>
      </c>
      <c r="H620" s="256">
        <f>IFERROR(__xludf.DUMMYFUNCTION("""COMPUTED_VALUE"""),126.41)</f>
        <v>126.41</v>
      </c>
      <c r="I620" s="256">
        <f>IFERROR(__xludf.DUMMYFUNCTION("""COMPUTED_VALUE"""),101.128)</f>
        <v>101.128</v>
      </c>
      <c r="J620" s="257">
        <f t="shared" si="1"/>
        <v>2</v>
      </c>
      <c r="K620" s="253"/>
      <c r="L620" s="253"/>
      <c r="M620" s="252"/>
      <c r="N620" s="258"/>
      <c r="O620" s="259"/>
      <c r="P620" s="259"/>
      <c r="Q620" s="262"/>
      <c r="R620" s="260"/>
      <c r="S620" s="260"/>
      <c r="T620" s="260"/>
      <c r="U620" s="261"/>
      <c r="V620" s="251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</row>
    <row r="621">
      <c r="A621" s="251">
        <f>IFERROR(__xludf.DUMMYFUNCTION("""COMPUTED_VALUE"""),7648840.0)</f>
        <v>7648840</v>
      </c>
      <c r="B621" s="252" t="str">
        <f>IFERROR(__xludf.DUMMYFUNCTION("""COMPUTED_VALUE"""),"BookingCom")</f>
        <v>BookingCom</v>
      </c>
      <c r="C621" s="253" t="str">
        <f>IFERROR(__xludf.DUMMYFUNCTION("""COMPUTED_VALUE"""),"Catherine Nertz ")</f>
        <v>Catherine Nertz </v>
      </c>
      <c r="D621" s="254">
        <f>IFERROR(__xludf.DUMMYFUNCTION("""COMPUTED_VALUE"""),46335.0)</f>
        <v>46335</v>
      </c>
      <c r="E621" s="251">
        <f>IFERROR(__xludf.DUMMYFUNCTION("""COMPUTED_VALUE"""),46338.0)</f>
        <v>46338</v>
      </c>
      <c r="F621" s="255">
        <f>IFERROR(__xludf.DUMMYFUNCTION("""COMPUTED_VALUE"""),3.0)</f>
        <v>3</v>
      </c>
      <c r="G621" s="255">
        <f>IFERROR(__xludf.DUMMYFUNCTION("""COMPUTED_VALUE"""),2.0)</f>
        <v>2</v>
      </c>
      <c r="H621" s="256">
        <f>IFERROR(__xludf.DUMMYFUNCTION("""COMPUTED_VALUE"""),200.51999999999998)</f>
        <v>200.52</v>
      </c>
      <c r="I621" s="256">
        <f>IFERROR(__xludf.DUMMYFUNCTION("""COMPUTED_VALUE"""),481.248)</f>
        <v>481.248</v>
      </c>
      <c r="J621" s="257">
        <f t="shared" si="1"/>
        <v>6</v>
      </c>
      <c r="K621" s="253"/>
      <c r="L621" s="253"/>
      <c r="M621" s="252"/>
      <c r="N621" s="258"/>
      <c r="O621" s="259"/>
      <c r="P621" s="259"/>
      <c r="Q621" s="262"/>
      <c r="R621" s="260"/>
      <c r="S621" s="260"/>
      <c r="T621" s="260"/>
      <c r="U621" s="261"/>
      <c r="V621" s="251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</row>
    <row r="622">
      <c r="A622" s="251">
        <f>IFERROR(__xludf.DUMMYFUNCTION("""COMPUTED_VALUE"""),8003447.0)</f>
        <v>8003447</v>
      </c>
      <c r="B622" s="252" t="str">
        <f>IFERROR(__xludf.DUMMYFUNCTION("""COMPUTED_VALUE"""),"BookingCom")</f>
        <v>BookingCom</v>
      </c>
      <c r="C622" s="253" t="str">
        <f>IFERROR(__xludf.DUMMYFUNCTION("""COMPUTED_VALUE"""),"Ian Hale ")</f>
        <v>Ian Hale </v>
      </c>
      <c r="D622" s="254">
        <f>IFERROR(__xludf.DUMMYFUNCTION("""COMPUTED_VALUE"""),46336.0)</f>
        <v>46336</v>
      </c>
      <c r="E622" s="251">
        <f>IFERROR(__xludf.DUMMYFUNCTION("""COMPUTED_VALUE"""),46337.0)</f>
        <v>46337</v>
      </c>
      <c r="F622" s="255">
        <f>IFERROR(__xludf.DUMMYFUNCTION("""COMPUTED_VALUE"""),1.0)</f>
        <v>1</v>
      </c>
      <c r="G622" s="255">
        <f>IFERROR(__xludf.DUMMYFUNCTION("""COMPUTED_VALUE"""),2.0)</f>
        <v>2</v>
      </c>
      <c r="H622" s="256">
        <f>IFERROR(__xludf.DUMMYFUNCTION("""COMPUTED_VALUE"""),150.72)</f>
        <v>150.72</v>
      </c>
      <c r="I622" s="256">
        <f>IFERROR(__xludf.DUMMYFUNCTION("""COMPUTED_VALUE"""),120.57600000000001)</f>
        <v>120.576</v>
      </c>
      <c r="J622" s="257">
        <f t="shared" si="1"/>
        <v>2</v>
      </c>
      <c r="K622" s="253"/>
      <c r="L622" s="253"/>
      <c r="M622" s="252"/>
      <c r="N622" s="258"/>
      <c r="O622" s="259"/>
      <c r="P622" s="259"/>
      <c r="Q622" s="262"/>
      <c r="R622" s="260"/>
      <c r="S622" s="260"/>
      <c r="T622" s="260"/>
      <c r="U622" s="261"/>
      <c r="V622" s="251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</row>
    <row r="623">
      <c r="A623" s="251">
        <f>IFERROR(__xludf.DUMMYFUNCTION("""COMPUTED_VALUE"""),7982617.0)</f>
        <v>7982617</v>
      </c>
      <c r="B623" s="252" t="str">
        <f>IFERROR(__xludf.DUMMYFUNCTION("""COMPUTED_VALUE"""),"BookingCom")</f>
        <v>BookingCom</v>
      </c>
      <c r="C623" s="253" t="str">
        <f>IFERROR(__xludf.DUMMYFUNCTION("""COMPUTED_VALUE"""),"Andreas Sigrist ")</f>
        <v>Andreas Sigrist </v>
      </c>
      <c r="D623" s="254">
        <f>IFERROR(__xludf.DUMMYFUNCTION("""COMPUTED_VALUE"""),46338.0)</f>
        <v>46338</v>
      </c>
      <c r="E623" s="251">
        <f>IFERROR(__xludf.DUMMYFUNCTION("""COMPUTED_VALUE"""),46343.0)</f>
        <v>46343</v>
      </c>
      <c r="F623" s="255">
        <f>IFERROR(__xludf.DUMMYFUNCTION("""COMPUTED_VALUE"""),5.0)</f>
        <v>5</v>
      </c>
      <c r="G623" s="255">
        <f>IFERROR(__xludf.DUMMYFUNCTION("""COMPUTED_VALUE"""),2.0)</f>
        <v>2</v>
      </c>
      <c r="H623" s="256">
        <f>IFERROR(__xludf.DUMMYFUNCTION("""COMPUTED_VALUE"""),179.95999999999998)</f>
        <v>179.96</v>
      </c>
      <c r="I623" s="256">
        <f>IFERROR(__xludf.DUMMYFUNCTION("""COMPUTED_VALUE"""),719.8399999999999)</f>
        <v>719.84</v>
      </c>
      <c r="J623" s="257">
        <f t="shared" si="1"/>
        <v>10</v>
      </c>
      <c r="K623" s="253"/>
      <c r="L623" s="253"/>
      <c r="M623" s="252"/>
      <c r="N623" s="258"/>
      <c r="O623" s="259"/>
      <c r="P623" s="259"/>
      <c r="Q623" s="262"/>
      <c r="R623" s="260"/>
      <c r="S623" s="260"/>
      <c r="T623" s="260"/>
      <c r="U623" s="261"/>
      <c r="V623" s="251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</row>
    <row r="624">
      <c r="A624" s="251">
        <f>IFERROR(__xludf.DUMMYFUNCTION("""COMPUTED_VALUE"""),8095535.0)</f>
        <v>8095535</v>
      </c>
      <c r="B624" s="252" t="str">
        <f>IFERROR(__xludf.DUMMYFUNCTION("""COMPUTED_VALUE"""),"BookingCom")</f>
        <v>BookingCom</v>
      </c>
      <c r="C624" s="253" t="str">
        <f>IFERROR(__xludf.DUMMYFUNCTION("""COMPUTED_VALUE"""),"Stephen Goodhead ")</f>
        <v>Stephen Goodhead </v>
      </c>
      <c r="D624" s="254">
        <f>IFERROR(__xludf.DUMMYFUNCTION("""COMPUTED_VALUE"""),46339.0)</f>
        <v>46339</v>
      </c>
      <c r="E624" s="251">
        <f>IFERROR(__xludf.DUMMYFUNCTION("""COMPUTED_VALUE"""),46342.0)</f>
        <v>46342</v>
      </c>
      <c r="F624" s="255">
        <f>IFERROR(__xludf.DUMMYFUNCTION("""COMPUTED_VALUE"""),3.0)</f>
        <v>3</v>
      </c>
      <c r="G624" s="255">
        <f>IFERROR(__xludf.DUMMYFUNCTION("""COMPUTED_VALUE"""),2.0)</f>
        <v>2</v>
      </c>
      <c r="H624" s="256">
        <f>IFERROR(__xludf.DUMMYFUNCTION("""COMPUTED_VALUE"""),153.12)</f>
        <v>153.12</v>
      </c>
      <c r="I624" s="256">
        <f>IFERROR(__xludf.DUMMYFUNCTION("""COMPUTED_VALUE"""),367.48800000000006)</f>
        <v>367.488</v>
      </c>
      <c r="J624" s="257">
        <f t="shared" si="1"/>
        <v>6</v>
      </c>
      <c r="K624" s="253"/>
      <c r="L624" s="253"/>
      <c r="M624" s="252"/>
      <c r="N624" s="258"/>
      <c r="O624" s="259"/>
      <c r="P624" s="259"/>
      <c r="Q624" s="262"/>
      <c r="R624" s="260"/>
      <c r="S624" s="260"/>
      <c r="T624" s="260"/>
      <c r="U624" s="261"/>
      <c r="V624" s="251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</row>
    <row r="625">
      <c r="A625" s="251">
        <f>IFERROR(__xludf.DUMMYFUNCTION("""COMPUTED_VALUE"""),7968679.0)</f>
        <v>7968679</v>
      </c>
      <c r="B625" s="252" t="str">
        <f>IFERROR(__xludf.DUMMYFUNCTION("""COMPUTED_VALUE"""),"BookingCom")</f>
        <v>BookingCom</v>
      </c>
      <c r="C625" s="253" t="str">
        <f>IFERROR(__xludf.DUMMYFUNCTION("""COMPUTED_VALUE"""),"Amber Carchedi ")</f>
        <v>Amber Carchedi </v>
      </c>
      <c r="D625" s="254">
        <f>IFERROR(__xludf.DUMMYFUNCTION("""COMPUTED_VALUE"""),46341.0)</f>
        <v>46341</v>
      </c>
      <c r="E625" s="251">
        <f>IFERROR(__xludf.DUMMYFUNCTION("""COMPUTED_VALUE"""),46345.0)</f>
        <v>46345</v>
      </c>
      <c r="F625" s="255">
        <f>IFERROR(__xludf.DUMMYFUNCTION("""COMPUTED_VALUE"""),4.0)</f>
        <v>4</v>
      </c>
      <c r="G625" s="255">
        <f>IFERROR(__xludf.DUMMYFUNCTION("""COMPUTED_VALUE"""),2.0)</f>
        <v>2</v>
      </c>
      <c r="H625" s="256">
        <f>IFERROR(__xludf.DUMMYFUNCTION("""COMPUTED_VALUE"""),150.72)</f>
        <v>150.72</v>
      </c>
      <c r="I625" s="256">
        <f>IFERROR(__xludf.DUMMYFUNCTION("""COMPUTED_VALUE"""),482.30400000000003)</f>
        <v>482.304</v>
      </c>
      <c r="J625" s="257">
        <f t="shared" si="1"/>
        <v>8</v>
      </c>
      <c r="K625" s="253"/>
      <c r="L625" s="253"/>
      <c r="M625" s="275"/>
      <c r="N625" s="258"/>
      <c r="O625" s="259"/>
      <c r="P625" s="259"/>
      <c r="Q625" s="262"/>
      <c r="R625" s="260"/>
      <c r="S625" s="260"/>
      <c r="T625" s="260"/>
      <c r="U625" s="261"/>
      <c r="V625" s="251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</row>
    <row r="626">
      <c r="A626" s="251">
        <f>IFERROR(__xludf.DUMMYFUNCTION("""COMPUTED_VALUE"""),8003485.0)</f>
        <v>8003485</v>
      </c>
      <c r="B626" s="252" t="str">
        <f>IFERROR(__xludf.DUMMYFUNCTION("""COMPUTED_VALUE"""),"BookingCom")</f>
        <v>BookingCom</v>
      </c>
      <c r="C626" s="253" t="str">
        <f>IFERROR(__xludf.DUMMYFUNCTION("""COMPUTED_VALUE"""),"Ian Hale ")</f>
        <v>Ian Hale </v>
      </c>
      <c r="D626" s="254">
        <f>IFERROR(__xludf.DUMMYFUNCTION("""COMPUTED_VALUE"""),46344.0)</f>
        <v>46344</v>
      </c>
      <c r="E626" s="251">
        <f>IFERROR(__xludf.DUMMYFUNCTION("""COMPUTED_VALUE"""),46346.0)</f>
        <v>46346</v>
      </c>
      <c r="F626" s="255">
        <f>IFERROR(__xludf.DUMMYFUNCTION("""COMPUTED_VALUE"""),2.0)</f>
        <v>2</v>
      </c>
      <c r="G626" s="255">
        <f>IFERROR(__xludf.DUMMYFUNCTION("""COMPUTED_VALUE"""),2.0)</f>
        <v>2</v>
      </c>
      <c r="H626" s="256">
        <f>IFERROR(__xludf.DUMMYFUNCTION("""COMPUTED_VALUE"""),150.72)</f>
        <v>150.72</v>
      </c>
      <c r="I626" s="256">
        <f>IFERROR(__xludf.DUMMYFUNCTION("""COMPUTED_VALUE"""),241.15200000000002)</f>
        <v>241.152</v>
      </c>
      <c r="J626" s="257">
        <f t="shared" si="1"/>
        <v>4</v>
      </c>
      <c r="K626" s="253"/>
      <c r="L626" s="253"/>
      <c r="M626" s="275"/>
      <c r="N626" s="258"/>
      <c r="O626" s="259"/>
      <c r="P626" s="259"/>
      <c r="Q626" s="262"/>
      <c r="R626" s="260"/>
      <c r="S626" s="260"/>
      <c r="T626" s="260"/>
      <c r="U626" s="261"/>
      <c r="V626" s="251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</row>
    <row r="627">
      <c r="A627" s="251">
        <f>IFERROR(__xludf.DUMMYFUNCTION("""COMPUTED_VALUE"""),8125355.0)</f>
        <v>8125355</v>
      </c>
      <c r="B627" s="252" t="str">
        <f>IFERROR(__xludf.DUMMYFUNCTION("""COMPUTED_VALUE"""),"HotelBeds")</f>
        <v>HotelBeds</v>
      </c>
      <c r="C627" s="253" t="str">
        <f>IFERROR(__xludf.DUMMYFUNCTION("""COMPUTED_VALUE"""),"FAUSTINA PELZERS ")</f>
        <v>FAUSTINA PELZERS </v>
      </c>
      <c r="D627" s="254">
        <f>IFERROR(__xludf.DUMMYFUNCTION("""COMPUTED_VALUE"""),46346.0)</f>
        <v>46346</v>
      </c>
      <c r="E627" s="251">
        <f>IFERROR(__xludf.DUMMYFUNCTION("""COMPUTED_VALUE"""),46350.0)</f>
        <v>46350</v>
      </c>
      <c r="F627" s="255">
        <f>IFERROR(__xludf.DUMMYFUNCTION("""COMPUTED_VALUE"""),4.0)</f>
        <v>4</v>
      </c>
      <c r="G627" s="255">
        <f>IFERROR(__xludf.DUMMYFUNCTION("""COMPUTED_VALUE"""),3.0)</f>
        <v>3</v>
      </c>
      <c r="H627" s="256">
        <f>IFERROR(__xludf.DUMMYFUNCTION("""COMPUTED_VALUE"""),191.56)</f>
        <v>191.56</v>
      </c>
      <c r="I627" s="256">
        <f>IFERROR(__xludf.DUMMYFUNCTION("""COMPUTED_VALUE"""),612.9920000000001)</f>
        <v>612.992</v>
      </c>
      <c r="J627" s="257">
        <f t="shared" si="1"/>
        <v>12</v>
      </c>
      <c r="K627" s="253"/>
      <c r="L627" s="253"/>
      <c r="M627" s="252"/>
      <c r="N627" s="258"/>
      <c r="O627" s="259"/>
      <c r="P627" s="259"/>
      <c r="Q627" s="257"/>
      <c r="R627" s="260"/>
      <c r="S627" s="260"/>
      <c r="T627" s="260"/>
      <c r="U627" s="261"/>
      <c r="V627" s="251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</row>
    <row r="628">
      <c r="A628" s="251">
        <f>IFERROR(__xludf.DUMMYFUNCTION("""COMPUTED_VALUE"""),8004026.0)</f>
        <v>8004026</v>
      </c>
      <c r="B628" s="252" t="str">
        <f>IFERROR(__xludf.DUMMYFUNCTION("""COMPUTED_VALUE"""),"BookingCom")</f>
        <v>BookingCom</v>
      </c>
      <c r="C628" s="253" t="str">
        <f>IFERROR(__xludf.DUMMYFUNCTION("""COMPUTED_VALUE"""),"Alysia Vanic ")</f>
        <v>Alysia Vanic </v>
      </c>
      <c r="D628" s="254">
        <f>IFERROR(__xludf.DUMMYFUNCTION("""COMPUTED_VALUE"""),46348.0)</f>
        <v>46348</v>
      </c>
      <c r="E628" s="251">
        <f>IFERROR(__xludf.DUMMYFUNCTION("""COMPUTED_VALUE"""),46350.0)</f>
        <v>46350</v>
      </c>
      <c r="F628" s="255">
        <f>IFERROR(__xludf.DUMMYFUNCTION("""COMPUTED_VALUE"""),2.0)</f>
        <v>2</v>
      </c>
      <c r="G628" s="255">
        <f>IFERROR(__xludf.DUMMYFUNCTION("""COMPUTED_VALUE"""),1.0)</f>
        <v>1</v>
      </c>
      <c r="H628" s="256">
        <f>IFERROR(__xludf.DUMMYFUNCTION("""COMPUTED_VALUE"""),160.44)</f>
        <v>160.44</v>
      </c>
      <c r="I628" s="256">
        <f>IFERROR(__xludf.DUMMYFUNCTION("""COMPUTED_VALUE"""),256.704)</f>
        <v>256.704</v>
      </c>
      <c r="J628" s="257">
        <f t="shared" si="1"/>
        <v>2</v>
      </c>
      <c r="K628" s="253"/>
      <c r="L628" s="253"/>
      <c r="M628" s="252"/>
      <c r="N628" s="258"/>
      <c r="O628" s="259"/>
      <c r="P628" s="259"/>
      <c r="Q628" s="262"/>
      <c r="R628" s="260"/>
      <c r="S628" s="260"/>
      <c r="T628" s="260"/>
      <c r="U628" s="261"/>
      <c r="V628" s="251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</row>
    <row r="629">
      <c r="A629" s="251">
        <f>IFERROR(__xludf.DUMMYFUNCTION("""COMPUTED_VALUE"""),8143252.0)</f>
        <v>8143252</v>
      </c>
      <c r="B629" s="252" t="str">
        <f>IFERROR(__xludf.DUMMYFUNCTION("""COMPUTED_VALUE"""),"BookingCom")</f>
        <v>BookingCom</v>
      </c>
      <c r="C629" s="253" t="str">
        <f>IFERROR(__xludf.DUMMYFUNCTION("""COMPUTED_VALUE"""),"Jessica Lamorere Leroy ")</f>
        <v>Jessica Lamorere Leroy </v>
      </c>
      <c r="D629" s="254">
        <f>IFERROR(__xludf.DUMMYFUNCTION("""COMPUTED_VALUE"""),46351.0)</f>
        <v>46351</v>
      </c>
      <c r="E629" s="251">
        <f>IFERROR(__xludf.DUMMYFUNCTION("""COMPUTED_VALUE"""),46353.0)</f>
        <v>46353</v>
      </c>
      <c r="F629" s="255">
        <f>IFERROR(__xludf.DUMMYFUNCTION("""COMPUTED_VALUE"""),2.0)</f>
        <v>2</v>
      </c>
      <c r="G629" s="255">
        <f>IFERROR(__xludf.DUMMYFUNCTION("""COMPUTED_VALUE"""),2.0)</f>
        <v>2</v>
      </c>
      <c r="H629" s="256">
        <f>IFERROR(__xludf.DUMMYFUNCTION("""COMPUTED_VALUE"""),126.41)</f>
        <v>126.41</v>
      </c>
      <c r="I629" s="256">
        <f>IFERROR(__xludf.DUMMYFUNCTION("""COMPUTED_VALUE"""),202.256)</f>
        <v>202.256</v>
      </c>
      <c r="J629" s="257">
        <f t="shared" si="1"/>
        <v>4</v>
      </c>
      <c r="K629" s="253"/>
      <c r="L629" s="253"/>
      <c r="M629" s="275"/>
      <c r="N629" s="258"/>
      <c r="O629" s="259"/>
      <c r="P629" s="259"/>
      <c r="Q629" s="262"/>
      <c r="R629" s="260"/>
      <c r="S629" s="260"/>
      <c r="T629" s="260"/>
      <c r="U629" s="261"/>
      <c r="V629" s="251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</row>
    <row r="630">
      <c r="A630" s="251">
        <f>IFERROR(__xludf.DUMMYFUNCTION("""COMPUTED_VALUE"""),7953895.0)</f>
        <v>7953895</v>
      </c>
      <c r="B630" s="252" t="str">
        <f>IFERROR(__xludf.DUMMYFUNCTION("""COMPUTED_VALUE"""),"BookingCom")</f>
        <v>BookingCom</v>
      </c>
      <c r="C630" s="253" t="str">
        <f>IFERROR(__xludf.DUMMYFUNCTION("""COMPUTED_VALUE"""),"Celine Bonvin ")</f>
        <v>Celine Bonvin </v>
      </c>
      <c r="D630" s="254">
        <f>IFERROR(__xludf.DUMMYFUNCTION("""COMPUTED_VALUE"""),46356.0)</f>
        <v>46356</v>
      </c>
      <c r="E630" s="251">
        <f>IFERROR(__xludf.DUMMYFUNCTION("""COMPUTED_VALUE"""),46359.0)</f>
        <v>46359</v>
      </c>
      <c r="F630" s="255">
        <f>IFERROR(__xludf.DUMMYFUNCTION("""COMPUTED_VALUE"""),3.0)</f>
        <v>3</v>
      </c>
      <c r="G630" s="255">
        <f>IFERROR(__xludf.DUMMYFUNCTION("""COMPUTED_VALUE"""),2.0)</f>
        <v>2</v>
      </c>
      <c r="H630" s="256">
        <f>IFERROR(__xludf.DUMMYFUNCTION("""COMPUTED_VALUE"""),165.24)</f>
        <v>165.24</v>
      </c>
      <c r="I630" s="256">
        <f>IFERROR(__xludf.DUMMYFUNCTION("""COMPUTED_VALUE"""),396.576)</f>
        <v>396.576</v>
      </c>
      <c r="J630" s="257">
        <f t="shared" si="1"/>
        <v>6</v>
      </c>
      <c r="K630" s="253"/>
      <c r="L630" s="253"/>
      <c r="M630" s="275"/>
      <c r="N630" s="258"/>
      <c r="O630" s="259"/>
      <c r="P630" s="259"/>
      <c r="Q630" s="262"/>
      <c r="R630" s="260"/>
      <c r="S630" s="260"/>
      <c r="T630" s="260"/>
      <c r="U630" s="261"/>
      <c r="V630" s="251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</row>
    <row r="631">
      <c r="A631" s="251">
        <f>IFERROR(__xludf.DUMMYFUNCTION("""COMPUTED_VALUE"""),8116745.0)</f>
        <v>8116745</v>
      </c>
      <c r="B631" s="252" t="str">
        <f>IFERROR(__xludf.DUMMYFUNCTION("""COMPUTED_VALUE"""),"BookingCom")</f>
        <v>BookingCom</v>
      </c>
      <c r="C631" s="253" t="str">
        <f>IFERROR(__xludf.DUMMYFUNCTION("""COMPUTED_VALUE"""),"alessia arosio ")</f>
        <v>alessia arosio </v>
      </c>
      <c r="D631" s="254">
        <f>IFERROR(__xludf.DUMMYFUNCTION("""COMPUTED_VALUE"""),46365.0)</f>
        <v>46365</v>
      </c>
      <c r="E631" s="251">
        <f>IFERROR(__xludf.DUMMYFUNCTION("""COMPUTED_VALUE"""),46368.0)</f>
        <v>46368</v>
      </c>
      <c r="F631" s="255">
        <f>IFERROR(__xludf.DUMMYFUNCTION("""COMPUTED_VALUE"""),3.0)</f>
        <v>3</v>
      </c>
      <c r="G631" s="255">
        <f>IFERROR(__xludf.DUMMYFUNCTION("""COMPUTED_VALUE"""),2.0)</f>
        <v>2</v>
      </c>
      <c r="H631" s="256">
        <f>IFERROR(__xludf.DUMMYFUNCTION("""COMPUTED_VALUE"""),122.33)</f>
        <v>122.33</v>
      </c>
      <c r="I631" s="256">
        <f>IFERROR(__xludf.DUMMYFUNCTION("""COMPUTED_VALUE"""),293.592)</f>
        <v>293.592</v>
      </c>
      <c r="J631" s="257">
        <f t="shared" si="1"/>
        <v>6</v>
      </c>
      <c r="K631" s="253"/>
      <c r="L631" s="253"/>
      <c r="M631" s="252"/>
      <c r="N631" s="258"/>
      <c r="O631" s="259"/>
      <c r="P631" s="259"/>
      <c r="Q631" s="262"/>
      <c r="R631" s="260"/>
      <c r="S631" s="260"/>
      <c r="T631" s="260"/>
      <c r="U631" s="261"/>
      <c r="V631" s="276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</row>
    <row r="632">
      <c r="A632" s="251">
        <f>IFERROR(__xludf.DUMMYFUNCTION("""COMPUTED_VALUE"""),8206804.0)</f>
        <v>8206804</v>
      </c>
      <c r="B632" s="252" t="str">
        <f>IFERROR(__xludf.DUMMYFUNCTION("""COMPUTED_VALUE"""),"BookingCom")</f>
        <v>BookingCom</v>
      </c>
      <c r="C632" s="253" t="str">
        <f>IFERROR(__xludf.DUMMYFUNCTION("""COMPUTED_VALUE"""),"Michelle Reyneke ")</f>
        <v>Michelle Reyneke </v>
      </c>
      <c r="D632" s="254">
        <f>IFERROR(__xludf.DUMMYFUNCTION("""COMPUTED_VALUE"""),46379.0)</f>
        <v>46379</v>
      </c>
      <c r="E632" s="251">
        <f>IFERROR(__xludf.DUMMYFUNCTION("""COMPUTED_VALUE"""),46382.0)</f>
        <v>46382</v>
      </c>
      <c r="F632" s="255">
        <f>IFERROR(__xludf.DUMMYFUNCTION("""COMPUTED_VALUE"""),3.0)</f>
        <v>3</v>
      </c>
      <c r="G632" s="255">
        <f>IFERROR(__xludf.DUMMYFUNCTION("""COMPUTED_VALUE"""),2.0)</f>
        <v>2</v>
      </c>
      <c r="H632" s="256">
        <f>IFERROR(__xludf.DUMMYFUNCTION("""COMPUTED_VALUE"""),177.23333333333335)</f>
        <v>177.2333333</v>
      </c>
      <c r="I632" s="256">
        <f>IFERROR(__xludf.DUMMYFUNCTION("""COMPUTED_VALUE"""),425.36000000000007)</f>
        <v>425.36</v>
      </c>
      <c r="J632" s="257">
        <f t="shared" si="1"/>
        <v>6</v>
      </c>
      <c r="K632" s="253"/>
      <c r="L632" s="253"/>
      <c r="M632" s="252"/>
      <c r="N632" s="258"/>
      <c r="O632" s="259"/>
      <c r="P632" s="259"/>
      <c r="Q632" s="262"/>
      <c r="R632" s="260"/>
      <c r="S632" s="260"/>
      <c r="T632" s="260"/>
      <c r="U632" s="261"/>
      <c r="V632" s="251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</row>
    <row r="633">
      <c r="A633" s="251">
        <f>IFERROR(__xludf.DUMMYFUNCTION("""COMPUTED_VALUE"""),8206815.0)</f>
        <v>8206815</v>
      </c>
      <c r="B633" s="252" t="str">
        <f>IFERROR(__xludf.DUMMYFUNCTION("""COMPUTED_VALUE"""),"BookingCom")</f>
        <v>BookingCom</v>
      </c>
      <c r="C633" s="253" t="str">
        <f>IFERROR(__xludf.DUMMYFUNCTION("""COMPUTED_VALUE"""),"Annemarie Oosthuizen ")</f>
        <v>Annemarie Oosthuizen </v>
      </c>
      <c r="D633" s="308">
        <f>IFERROR(__xludf.DUMMYFUNCTION("""COMPUTED_VALUE"""),46381.0)</f>
        <v>46381</v>
      </c>
      <c r="E633" s="251">
        <f>IFERROR(__xludf.DUMMYFUNCTION("""COMPUTED_VALUE"""),46382.0)</f>
        <v>46382</v>
      </c>
      <c r="F633" s="255">
        <f>IFERROR(__xludf.DUMMYFUNCTION("""COMPUTED_VALUE"""),1.0)</f>
        <v>1</v>
      </c>
      <c r="G633" s="255">
        <f>IFERROR(__xludf.DUMMYFUNCTION("""COMPUTED_VALUE"""),1.0)</f>
        <v>1</v>
      </c>
      <c r="H633" s="256">
        <f>IFERROR(__xludf.DUMMYFUNCTION("""COMPUTED_VALUE"""),195.52)</f>
        <v>195.52</v>
      </c>
      <c r="I633" s="256">
        <f>IFERROR(__xludf.DUMMYFUNCTION("""COMPUTED_VALUE"""),156.41600000000003)</f>
        <v>156.416</v>
      </c>
      <c r="J633" s="257">
        <f t="shared" si="1"/>
        <v>1</v>
      </c>
      <c r="K633" s="253"/>
      <c r="L633" s="253"/>
      <c r="M633" s="252"/>
      <c r="N633" s="258"/>
      <c r="O633" s="259"/>
      <c r="P633" s="259"/>
      <c r="Q633" s="262"/>
      <c r="R633" s="260"/>
      <c r="S633" s="260"/>
      <c r="T633" s="260"/>
      <c r="U633" s="261"/>
      <c r="V633" s="251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</row>
    <row r="634">
      <c r="A634" s="251">
        <f>IFERROR(__xludf.DUMMYFUNCTION("""COMPUTED_VALUE"""),8143882.0)</f>
        <v>8143882</v>
      </c>
      <c r="B634" s="252" t="str">
        <f>IFERROR(__xludf.DUMMYFUNCTION("""COMPUTED_VALUE"""),"BookingCom")</f>
        <v>BookingCom</v>
      </c>
      <c r="C634" s="253" t="str">
        <f>IFERROR(__xludf.DUMMYFUNCTION("""COMPUTED_VALUE"""),"Stephane Lotz ")</f>
        <v>Stephane Lotz </v>
      </c>
      <c r="D634" s="254">
        <f>IFERROR(__xludf.DUMMYFUNCTION("""COMPUTED_VALUE"""),46381.0)</f>
        <v>46381</v>
      </c>
      <c r="E634" s="251">
        <f>IFERROR(__xludf.DUMMYFUNCTION("""COMPUTED_VALUE"""),46383.0)</f>
        <v>46383</v>
      </c>
      <c r="F634" s="255">
        <f>IFERROR(__xludf.DUMMYFUNCTION("""COMPUTED_VALUE"""),2.0)</f>
        <v>2</v>
      </c>
      <c r="G634" s="255">
        <f>IFERROR(__xludf.DUMMYFUNCTION("""COMPUTED_VALUE"""),2.0)</f>
        <v>2</v>
      </c>
      <c r="H634" s="256">
        <f>IFERROR(__xludf.DUMMYFUNCTION("""COMPUTED_VALUE"""),262.08)</f>
        <v>262.08</v>
      </c>
      <c r="I634" s="256">
        <f>IFERROR(__xludf.DUMMYFUNCTION("""COMPUTED_VALUE"""),419.328)</f>
        <v>419.328</v>
      </c>
      <c r="J634" s="257">
        <f t="shared" si="1"/>
        <v>4</v>
      </c>
      <c r="K634" s="253"/>
      <c r="L634" s="253"/>
      <c r="M634" s="252"/>
      <c r="N634" s="258"/>
      <c r="O634" s="259"/>
      <c r="P634" s="259"/>
      <c r="Q634" s="262"/>
      <c r="R634" s="260"/>
      <c r="S634" s="260"/>
      <c r="T634" s="260"/>
      <c r="U634" s="261"/>
      <c r="V634" s="251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</row>
    <row r="635">
      <c r="A635" s="251">
        <f>IFERROR(__xludf.DUMMYFUNCTION("""COMPUTED_VALUE"""),8143882.0)</f>
        <v>8143882</v>
      </c>
      <c r="B635" s="252" t="str">
        <f>IFERROR(__xludf.DUMMYFUNCTION("""COMPUTED_VALUE"""),"BookingCom")</f>
        <v>BookingCom</v>
      </c>
      <c r="C635" s="253" t="str">
        <f>IFERROR(__xludf.DUMMYFUNCTION("""COMPUTED_VALUE"""),"Stephane Lotz ")</f>
        <v>Stephane Lotz </v>
      </c>
      <c r="D635" s="254">
        <f>IFERROR(__xludf.DUMMYFUNCTION("""COMPUTED_VALUE"""),46381.0)</f>
        <v>46381</v>
      </c>
      <c r="E635" s="251">
        <f>IFERROR(__xludf.DUMMYFUNCTION("""COMPUTED_VALUE"""),46383.0)</f>
        <v>46383</v>
      </c>
      <c r="F635" s="255">
        <f>IFERROR(__xludf.DUMMYFUNCTION("""COMPUTED_VALUE"""),2.0)</f>
        <v>2</v>
      </c>
      <c r="G635" s="255">
        <f>IFERROR(__xludf.DUMMYFUNCTION("""COMPUTED_VALUE"""),2.0)</f>
        <v>2</v>
      </c>
      <c r="H635" s="256">
        <f>IFERROR(__xludf.DUMMYFUNCTION("""COMPUTED_VALUE"""),195.52)</f>
        <v>195.52</v>
      </c>
      <c r="I635" s="256">
        <f>IFERROR(__xludf.DUMMYFUNCTION("""COMPUTED_VALUE"""),312.83200000000005)</f>
        <v>312.832</v>
      </c>
      <c r="J635" s="257">
        <f t="shared" si="1"/>
        <v>4</v>
      </c>
      <c r="K635" s="253"/>
      <c r="L635" s="253"/>
      <c r="M635" s="275"/>
      <c r="N635" s="258"/>
      <c r="O635" s="259"/>
      <c r="P635" s="259"/>
      <c r="Q635" s="262"/>
      <c r="R635" s="260"/>
      <c r="S635" s="260"/>
      <c r="T635" s="260"/>
      <c r="U635" s="261"/>
      <c r="V635" s="251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</row>
    <row r="636">
      <c r="A636" s="251">
        <f>IFERROR(__xludf.DUMMYFUNCTION("""COMPUTED_VALUE"""),8206786.0)</f>
        <v>8206786</v>
      </c>
      <c r="B636" s="252" t="str">
        <f>IFERROR(__xludf.DUMMYFUNCTION("""COMPUTED_VALUE"""),"BookingCom")</f>
        <v>BookingCom</v>
      </c>
      <c r="C636" s="253" t="str">
        <f>IFERROR(__xludf.DUMMYFUNCTION("""COMPUTED_VALUE"""),"Sebastian Reyneke ")</f>
        <v>Sebastian Reyneke </v>
      </c>
      <c r="D636" s="254">
        <f>IFERROR(__xludf.DUMMYFUNCTION("""COMPUTED_VALUE"""),46381.0)</f>
        <v>46381</v>
      </c>
      <c r="E636" s="251">
        <f>IFERROR(__xludf.DUMMYFUNCTION("""COMPUTED_VALUE"""),46382.0)</f>
        <v>46382</v>
      </c>
      <c r="F636" s="255">
        <f>IFERROR(__xludf.DUMMYFUNCTION("""COMPUTED_VALUE"""),1.0)</f>
        <v>1</v>
      </c>
      <c r="G636" s="255">
        <f>IFERROR(__xludf.DUMMYFUNCTION("""COMPUTED_VALUE"""),2.0)</f>
        <v>2</v>
      </c>
      <c r="H636" s="256">
        <f>IFERROR(__xludf.DUMMYFUNCTION("""COMPUTED_VALUE"""),149.16)</f>
        <v>149.16</v>
      </c>
      <c r="I636" s="256">
        <f>IFERROR(__xludf.DUMMYFUNCTION("""COMPUTED_VALUE"""),119.328)</f>
        <v>119.328</v>
      </c>
      <c r="J636" s="257">
        <f t="shared" si="1"/>
        <v>2</v>
      </c>
      <c r="K636" s="253"/>
      <c r="L636" s="253"/>
      <c r="M636" s="252"/>
      <c r="N636" s="258"/>
      <c r="O636" s="259"/>
      <c r="P636" s="259"/>
      <c r="Q636" s="262"/>
      <c r="R636" s="260"/>
      <c r="S636" s="260"/>
      <c r="T636" s="260"/>
      <c r="U636" s="261"/>
      <c r="V636" s="251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</row>
    <row r="637">
      <c r="A637" s="251">
        <f>IFERROR(__xludf.DUMMYFUNCTION("""COMPUTED_VALUE"""),7999396.0)</f>
        <v>7999396</v>
      </c>
      <c r="B637" s="252" t="str">
        <f>IFERROR(__xludf.DUMMYFUNCTION("""COMPUTED_VALUE"""),"Reseliva")</f>
        <v>Reseliva</v>
      </c>
      <c r="C637" s="253" t="str">
        <f>IFERROR(__xludf.DUMMYFUNCTION("""COMPUTED_VALUE"""),"Franz und Melanie Wagner ")</f>
        <v>Franz und Melanie Wagner </v>
      </c>
      <c r="D637" s="254">
        <f>IFERROR(__xludf.DUMMYFUNCTION("""COMPUTED_VALUE"""),46386.0)</f>
        <v>46386</v>
      </c>
      <c r="E637" s="251">
        <f>IFERROR(__xludf.DUMMYFUNCTION("""COMPUTED_VALUE"""),46389.0)</f>
        <v>46389</v>
      </c>
      <c r="F637" s="255">
        <f>IFERROR(__xludf.DUMMYFUNCTION("""COMPUTED_VALUE"""),3.0)</f>
        <v>3</v>
      </c>
      <c r="G637" s="255">
        <f>IFERROR(__xludf.DUMMYFUNCTION("""COMPUTED_VALUE"""),2.0)</f>
        <v>2</v>
      </c>
      <c r="H637" s="256">
        <f>IFERROR(__xludf.DUMMYFUNCTION("""COMPUTED_VALUE"""),268.84999999999997)</f>
        <v>268.85</v>
      </c>
      <c r="I637" s="256">
        <f>IFERROR(__xludf.DUMMYFUNCTION("""COMPUTED_VALUE"""),798.4845)</f>
        <v>798.4845</v>
      </c>
      <c r="J637" s="257">
        <f t="shared" si="1"/>
        <v>6</v>
      </c>
      <c r="K637" s="253"/>
      <c r="L637" s="253"/>
      <c r="M637" s="252"/>
      <c r="N637" s="258"/>
      <c r="O637" s="259"/>
      <c r="P637" s="259"/>
      <c r="Q637" s="262"/>
      <c r="R637" s="260"/>
      <c r="S637" s="260"/>
      <c r="T637" s="260"/>
      <c r="U637" s="261"/>
      <c r="V637" s="251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</row>
    <row r="638">
      <c r="A638" s="251">
        <f>IFERROR(__xludf.DUMMYFUNCTION("""COMPUTED_VALUE"""),8186468.0)</f>
        <v>8186468</v>
      </c>
      <c r="B638" s="252" t="str">
        <f>IFERROR(__xludf.DUMMYFUNCTION("""COMPUTED_VALUE"""),"BookingCom")</f>
        <v>BookingCom</v>
      </c>
      <c r="C638" s="253" t="str">
        <f>IFERROR(__xludf.DUMMYFUNCTION("""COMPUTED_VALUE"""),"Emma DORIVAL ")</f>
        <v>Emma DORIVAL </v>
      </c>
      <c r="D638" s="254">
        <f>IFERROR(__xludf.DUMMYFUNCTION("""COMPUTED_VALUE"""),46405.0)</f>
        <v>46405</v>
      </c>
      <c r="E638" s="251">
        <f>IFERROR(__xludf.DUMMYFUNCTION("""COMPUTED_VALUE"""),46409.0)</f>
        <v>46409</v>
      </c>
      <c r="F638" s="255">
        <f>IFERROR(__xludf.DUMMYFUNCTION("""COMPUTED_VALUE"""),4.0)</f>
        <v>4</v>
      </c>
      <c r="G638" s="255">
        <f>IFERROR(__xludf.DUMMYFUNCTION("""COMPUTED_VALUE"""),2.0)</f>
        <v>2</v>
      </c>
      <c r="H638" s="256">
        <f>IFERROR(__xludf.DUMMYFUNCTION("""COMPUTED_VALUE"""),175.56)</f>
        <v>175.56</v>
      </c>
      <c r="I638" s="256">
        <f>IFERROR(__xludf.DUMMYFUNCTION("""COMPUTED_VALUE"""),561.792)</f>
        <v>561.792</v>
      </c>
      <c r="J638" s="257">
        <f t="shared" si="1"/>
        <v>8</v>
      </c>
      <c r="K638" s="253"/>
      <c r="L638" s="253"/>
      <c r="M638" s="275"/>
      <c r="N638" s="258"/>
      <c r="O638" s="259"/>
      <c r="P638" s="259"/>
      <c r="Q638" s="262"/>
      <c r="R638" s="260"/>
      <c r="S638" s="260"/>
      <c r="T638" s="260"/>
      <c r="U638" s="261"/>
      <c r="V638" s="251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</row>
    <row r="639">
      <c r="A639" s="251">
        <f>IFERROR(__xludf.DUMMYFUNCTION("""COMPUTED_VALUE"""),8211918.0)</f>
        <v>8211918</v>
      </c>
      <c r="B639" s="252" t="str">
        <f>IFERROR(__xludf.DUMMYFUNCTION("""COMPUTED_VALUE"""),"BookingCom")</f>
        <v>BookingCom</v>
      </c>
      <c r="C639" s="253" t="str">
        <f>IFERROR(__xludf.DUMMYFUNCTION("""COMPUTED_VALUE"""),"Greg Steele ")</f>
        <v>Greg Steele </v>
      </c>
      <c r="D639" s="254">
        <f>IFERROR(__xludf.DUMMYFUNCTION("""COMPUTED_VALUE"""),46415.0)</f>
        <v>46415</v>
      </c>
      <c r="E639" s="251">
        <f>IFERROR(__xludf.DUMMYFUNCTION("""COMPUTED_VALUE"""),46420.0)</f>
        <v>46420</v>
      </c>
      <c r="F639" s="255">
        <f>IFERROR(__xludf.DUMMYFUNCTION("""COMPUTED_VALUE"""),5.0)</f>
        <v>5</v>
      </c>
      <c r="G639" s="255">
        <f>IFERROR(__xludf.DUMMYFUNCTION("""COMPUTED_VALUE"""),2.0)</f>
        <v>2</v>
      </c>
      <c r="H639" s="256">
        <f>IFERROR(__xludf.DUMMYFUNCTION("""COMPUTED_VALUE"""),150.72)</f>
        <v>150.72</v>
      </c>
      <c r="I639" s="256">
        <f>IFERROR(__xludf.DUMMYFUNCTION("""COMPUTED_VALUE"""),602.88)</f>
        <v>602.88</v>
      </c>
      <c r="J639" s="257">
        <f t="shared" si="1"/>
        <v>10</v>
      </c>
      <c r="K639" s="253"/>
      <c r="L639" s="253"/>
      <c r="M639" s="252"/>
      <c r="N639" s="258"/>
      <c r="O639" s="259"/>
      <c r="P639" s="259"/>
      <c r="Q639" s="262"/>
      <c r="R639" s="260"/>
      <c r="S639" s="260"/>
      <c r="T639" s="260"/>
      <c r="U639" s="261"/>
      <c r="V639" s="251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</row>
    <row r="640">
      <c r="A640" s="251">
        <f>IFERROR(__xludf.DUMMYFUNCTION("""COMPUTED_VALUE"""),8177292.0)</f>
        <v>8177292</v>
      </c>
      <c r="B640" s="252" t="str">
        <f>IFERROR(__xludf.DUMMYFUNCTION("""COMPUTED_VALUE"""),"BookingCom")</f>
        <v>BookingCom</v>
      </c>
      <c r="C640" s="253" t="str">
        <f>IFERROR(__xludf.DUMMYFUNCTION("""COMPUTED_VALUE"""),"Nici Muller ")</f>
        <v>Nici Muller </v>
      </c>
      <c r="D640" s="254">
        <f>IFERROR(__xludf.DUMMYFUNCTION("""COMPUTED_VALUE"""),46512.0)</f>
        <v>46512</v>
      </c>
      <c r="E640" s="251">
        <f>IFERROR(__xludf.DUMMYFUNCTION("""COMPUTED_VALUE"""),46517.0)</f>
        <v>46517</v>
      </c>
      <c r="F640" s="255">
        <f>IFERROR(__xludf.DUMMYFUNCTION("""COMPUTED_VALUE"""),5.0)</f>
        <v>5</v>
      </c>
      <c r="G640" s="255">
        <f>IFERROR(__xludf.DUMMYFUNCTION("""COMPUTED_VALUE"""),2.0)</f>
        <v>2</v>
      </c>
      <c r="H640" s="256">
        <f>IFERROR(__xludf.DUMMYFUNCTION("""COMPUTED_VALUE"""),195.52)</f>
        <v>195.52</v>
      </c>
      <c r="I640" s="256">
        <f>IFERROR(__xludf.DUMMYFUNCTION("""COMPUTED_VALUE"""),782.0800000000002)</f>
        <v>782.08</v>
      </c>
      <c r="J640" s="257">
        <f t="shared" si="1"/>
        <v>10</v>
      </c>
      <c r="K640" s="253"/>
      <c r="L640" s="253"/>
      <c r="M640" s="252"/>
      <c r="N640" s="258"/>
      <c r="O640" s="259"/>
      <c r="P640" s="259"/>
      <c r="Q640" s="262"/>
      <c r="R640" s="260"/>
      <c r="S640" s="260"/>
      <c r="T640" s="260"/>
      <c r="U640" s="261"/>
      <c r="V640" s="251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</row>
    <row r="641">
      <c r="A641" s="251">
        <f>IFERROR(__xludf.DUMMYFUNCTION("""COMPUTED_VALUE"""),8177665.0)</f>
        <v>8177665</v>
      </c>
      <c r="B641" s="252" t="str">
        <f>IFERROR(__xludf.DUMMYFUNCTION("""COMPUTED_VALUE"""),"BookingCom")</f>
        <v>BookingCom</v>
      </c>
      <c r="C641" s="253" t="str">
        <f>IFERROR(__xludf.DUMMYFUNCTION("""COMPUTED_VALUE"""),"Mirjam Guther-Riedmuller ")</f>
        <v>Mirjam Guther-Riedmuller </v>
      </c>
      <c r="D641" s="254">
        <f>IFERROR(__xludf.DUMMYFUNCTION("""COMPUTED_VALUE"""),46512.0)</f>
        <v>46512</v>
      </c>
      <c r="E641" s="251">
        <f>IFERROR(__xludf.DUMMYFUNCTION("""COMPUTED_VALUE"""),46517.0)</f>
        <v>46517</v>
      </c>
      <c r="F641" s="255">
        <f>IFERROR(__xludf.DUMMYFUNCTION("""COMPUTED_VALUE"""),5.0)</f>
        <v>5</v>
      </c>
      <c r="G641" s="255">
        <f>IFERROR(__xludf.DUMMYFUNCTION("""COMPUTED_VALUE"""),2.0)</f>
        <v>2</v>
      </c>
      <c r="H641" s="256">
        <f>IFERROR(__xludf.DUMMYFUNCTION("""COMPUTED_VALUE"""),160.44)</f>
        <v>160.44</v>
      </c>
      <c r="I641" s="256">
        <f>IFERROR(__xludf.DUMMYFUNCTION("""COMPUTED_VALUE"""),641.76)</f>
        <v>641.76</v>
      </c>
      <c r="J641" s="257">
        <f t="shared" si="1"/>
        <v>10</v>
      </c>
      <c r="K641" s="253"/>
      <c r="L641" s="253"/>
      <c r="M641" s="252"/>
      <c r="N641" s="258"/>
      <c r="O641" s="259"/>
      <c r="P641" s="259"/>
      <c r="Q641" s="262"/>
      <c r="R641" s="260"/>
      <c r="S641" s="260"/>
      <c r="T641" s="260"/>
      <c r="U641" s="261"/>
      <c r="V641" s="251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</row>
    <row r="642">
      <c r="A642" s="251">
        <f>IFERROR(__xludf.DUMMYFUNCTION("""COMPUTED_VALUE"""),8217522.0)</f>
        <v>8217522</v>
      </c>
      <c r="B642" s="252" t="str">
        <f>IFERROR(__xludf.DUMMYFUNCTION("""COMPUTED_VALUE"""),"BookingCom")</f>
        <v>BookingCom</v>
      </c>
      <c r="C642" s="253" t="str">
        <f>IFERROR(__xludf.DUMMYFUNCTION("""COMPUTED_VALUE"""),"James Smither ")</f>
        <v>James Smither </v>
      </c>
      <c r="D642" s="254">
        <f>IFERROR(__xludf.DUMMYFUNCTION("""COMPUTED_VALUE"""),46160.0)</f>
        <v>46160</v>
      </c>
      <c r="E642" s="251">
        <f>IFERROR(__xludf.DUMMYFUNCTION("""COMPUTED_VALUE"""),46163.0)</f>
        <v>46163</v>
      </c>
      <c r="F642" s="255">
        <f>IFERROR(__xludf.DUMMYFUNCTION("""COMPUTED_VALUE"""),3.0)</f>
        <v>3</v>
      </c>
      <c r="G642" s="255">
        <f>IFERROR(__xludf.DUMMYFUNCTION("""COMPUTED_VALUE"""),2.0)</f>
        <v>2</v>
      </c>
      <c r="H642" s="256">
        <f>IFERROR(__xludf.DUMMYFUNCTION("""COMPUTED_VALUE"""),323.43)</f>
        <v>323.43</v>
      </c>
      <c r="I642" s="256">
        <f>IFERROR(__xludf.DUMMYFUNCTION("""COMPUTED_VALUE"""),776.2320000000001)</f>
        <v>776.232</v>
      </c>
      <c r="J642" s="257">
        <f t="shared" si="1"/>
        <v>6</v>
      </c>
      <c r="K642" s="253"/>
      <c r="L642" s="253"/>
      <c r="M642" s="275"/>
      <c r="N642" s="258"/>
      <c r="O642" s="259"/>
      <c r="P642" s="259"/>
      <c r="Q642" s="262"/>
      <c r="R642" s="260"/>
      <c r="S642" s="260"/>
      <c r="T642" s="260"/>
      <c r="U642" s="261"/>
      <c r="V642" s="309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</row>
    <row r="643">
      <c r="A643" s="251">
        <f>IFERROR(__xludf.DUMMYFUNCTION("""COMPUTED_VALUE"""),8218263.0)</f>
        <v>8218263</v>
      </c>
      <c r="B643" s="252" t="str">
        <f>IFERROR(__xludf.DUMMYFUNCTION("""COMPUTED_VALUE"""),"BookingCom")</f>
        <v>BookingCom</v>
      </c>
      <c r="C643" s="253" t="str">
        <f>IFERROR(__xludf.DUMMYFUNCTION("""COMPUTED_VALUE"""),"Sabine Zielonka ")</f>
        <v>Sabine Zielonka </v>
      </c>
      <c r="D643" s="254">
        <f>IFERROR(__xludf.DUMMYFUNCTION("""COMPUTED_VALUE"""),46128.0)</f>
        <v>46128</v>
      </c>
      <c r="E643" s="251">
        <f>IFERROR(__xludf.DUMMYFUNCTION("""COMPUTED_VALUE"""),46129.0)</f>
        <v>46129</v>
      </c>
      <c r="F643" s="255">
        <f>IFERROR(__xludf.DUMMYFUNCTION("""COMPUTED_VALUE"""),1.0)</f>
        <v>1</v>
      </c>
      <c r="G643" s="255">
        <f>IFERROR(__xludf.DUMMYFUNCTION("""COMPUTED_VALUE"""),2.0)</f>
        <v>2</v>
      </c>
      <c r="H643" s="256">
        <f>IFERROR(__xludf.DUMMYFUNCTION("""COMPUTED_VALUE"""),154.88)</f>
        <v>154.88</v>
      </c>
      <c r="I643" s="256">
        <f>IFERROR(__xludf.DUMMYFUNCTION("""COMPUTED_VALUE"""),123.904)</f>
        <v>123.904</v>
      </c>
      <c r="J643" s="257">
        <f t="shared" si="1"/>
        <v>2</v>
      </c>
      <c r="K643" s="253"/>
      <c r="L643" s="253"/>
      <c r="M643" s="252"/>
      <c r="N643" s="258"/>
      <c r="O643" s="259"/>
      <c r="P643" s="259"/>
      <c r="Q643" s="262"/>
      <c r="R643" s="260"/>
      <c r="S643" s="260"/>
      <c r="T643" s="260"/>
      <c r="U643" s="261"/>
      <c r="V643" s="251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</row>
    <row r="644">
      <c r="A644" s="251">
        <f>IFERROR(__xludf.DUMMYFUNCTION("""COMPUTED_VALUE"""),8218799.0)</f>
        <v>8218799</v>
      </c>
      <c r="B644" s="252" t="str">
        <f>IFERROR(__xludf.DUMMYFUNCTION("""COMPUTED_VALUE"""),"BookingCom")</f>
        <v>BookingCom</v>
      </c>
      <c r="C644" s="253" t="str">
        <f>IFERROR(__xludf.DUMMYFUNCTION("""COMPUTED_VALUE"""),"Tammy Kershaw ")</f>
        <v>Tammy Kershaw </v>
      </c>
      <c r="D644" s="254">
        <f>IFERROR(__xludf.DUMMYFUNCTION("""COMPUTED_VALUE"""),46302.0)</f>
        <v>46302</v>
      </c>
      <c r="E644" s="251">
        <f>IFERROR(__xludf.DUMMYFUNCTION("""COMPUTED_VALUE"""),46305.0)</f>
        <v>46305</v>
      </c>
      <c r="F644" s="255">
        <f>IFERROR(__xludf.DUMMYFUNCTION("""COMPUTED_VALUE"""),3.0)</f>
        <v>3</v>
      </c>
      <c r="G644" s="255">
        <f>IFERROR(__xludf.DUMMYFUNCTION("""COMPUTED_VALUE"""),2.0)</f>
        <v>2</v>
      </c>
      <c r="H644" s="256">
        <f>IFERROR(__xludf.DUMMYFUNCTION("""COMPUTED_VALUE"""),128.74)</f>
        <v>128.74</v>
      </c>
      <c r="I644" s="256">
        <f>IFERROR(__xludf.DUMMYFUNCTION("""COMPUTED_VALUE"""),308.97600000000006)</f>
        <v>308.976</v>
      </c>
      <c r="J644" s="257">
        <f t="shared" si="1"/>
        <v>6</v>
      </c>
      <c r="K644" s="253"/>
      <c r="L644" s="253"/>
      <c r="M644" s="252"/>
      <c r="N644" s="258"/>
      <c r="O644" s="259"/>
      <c r="P644" s="259"/>
      <c r="Q644" s="262"/>
      <c r="R644" s="260"/>
      <c r="S644" s="260"/>
      <c r="T644" s="260"/>
      <c r="U644" s="261"/>
      <c r="V644" s="251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</row>
    <row r="645">
      <c r="A645" s="251">
        <f>IFERROR(__xludf.DUMMYFUNCTION("""COMPUTED_VALUE"""),8219991.0)</f>
        <v>8219991</v>
      </c>
      <c r="B645" s="252" t="str">
        <f>IFERROR(__xludf.DUMMYFUNCTION("""COMPUTED_VALUE"""),"BookingCom")</f>
        <v>BookingCom</v>
      </c>
      <c r="C645" s="253" t="str">
        <f>IFERROR(__xludf.DUMMYFUNCTION("""COMPUTED_VALUE"""),"JOSEP SALVAT ")</f>
        <v>JOSEP SALVAT </v>
      </c>
      <c r="D645" s="254">
        <f>IFERROR(__xludf.DUMMYFUNCTION("""COMPUTED_VALUE"""),46311.0)</f>
        <v>46311</v>
      </c>
      <c r="E645" s="251">
        <f>IFERROR(__xludf.DUMMYFUNCTION("""COMPUTED_VALUE"""),46313.0)</f>
        <v>46313</v>
      </c>
      <c r="F645" s="255">
        <f>IFERROR(__xludf.DUMMYFUNCTION("""COMPUTED_VALUE"""),2.0)</f>
        <v>2</v>
      </c>
      <c r="G645" s="255">
        <f>IFERROR(__xludf.DUMMYFUNCTION("""COMPUTED_VALUE"""),2.0)</f>
        <v>2</v>
      </c>
      <c r="H645" s="256">
        <f>IFERROR(__xludf.DUMMYFUNCTION("""COMPUTED_VALUE"""),225.18)</f>
        <v>225.18</v>
      </c>
      <c r="I645" s="256">
        <f>IFERROR(__xludf.DUMMYFUNCTION("""COMPUTED_VALUE"""),360.288)</f>
        <v>360.288</v>
      </c>
      <c r="J645" s="257">
        <f t="shared" si="1"/>
        <v>4</v>
      </c>
      <c r="K645" s="253"/>
      <c r="L645" s="253"/>
      <c r="M645" s="252"/>
      <c r="N645" s="258"/>
      <c r="O645" s="259"/>
      <c r="P645" s="259"/>
      <c r="Q645" s="262"/>
      <c r="R645" s="260"/>
      <c r="S645" s="260"/>
      <c r="T645" s="260"/>
      <c r="U645" s="261"/>
      <c r="V645" s="251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</row>
    <row r="646">
      <c r="A646" s="251">
        <f>IFERROR(__xludf.DUMMYFUNCTION("""COMPUTED_VALUE"""),8219991.0)</f>
        <v>8219991</v>
      </c>
      <c r="B646" s="252" t="str">
        <f>IFERROR(__xludf.DUMMYFUNCTION("""COMPUTED_VALUE"""),"BookingCom")</f>
        <v>BookingCom</v>
      </c>
      <c r="C646" s="253" t="str">
        <f>IFERROR(__xludf.DUMMYFUNCTION("""COMPUTED_VALUE"""),"JOSEP SALVAT ")</f>
        <v>JOSEP SALVAT </v>
      </c>
      <c r="D646" s="254">
        <f>IFERROR(__xludf.DUMMYFUNCTION("""COMPUTED_VALUE"""),46311.0)</f>
        <v>46311</v>
      </c>
      <c r="E646" s="251">
        <f>IFERROR(__xludf.DUMMYFUNCTION("""COMPUTED_VALUE"""),46313.0)</f>
        <v>46313</v>
      </c>
      <c r="F646" s="255">
        <f>IFERROR(__xludf.DUMMYFUNCTION("""COMPUTED_VALUE"""),2.0)</f>
        <v>2</v>
      </c>
      <c r="G646" s="255">
        <f>IFERROR(__xludf.DUMMYFUNCTION("""COMPUTED_VALUE"""),2.0)</f>
        <v>2</v>
      </c>
      <c r="H646" s="256">
        <f>IFERROR(__xludf.DUMMYFUNCTION("""COMPUTED_VALUE"""),196.83)</f>
        <v>196.83</v>
      </c>
      <c r="I646" s="256">
        <f>IFERROR(__xludf.DUMMYFUNCTION("""COMPUTED_VALUE"""),314.92800000000005)</f>
        <v>314.928</v>
      </c>
      <c r="J646" s="257">
        <f t="shared" si="1"/>
        <v>4</v>
      </c>
      <c r="K646" s="253"/>
      <c r="L646" s="253"/>
      <c r="M646" s="252"/>
      <c r="N646" s="258"/>
      <c r="O646" s="259"/>
      <c r="P646" s="259"/>
      <c r="Q646" s="262"/>
      <c r="R646" s="260"/>
      <c r="S646" s="260"/>
      <c r="T646" s="260"/>
      <c r="U646" s="261"/>
      <c r="V646" s="309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</row>
    <row r="647">
      <c r="A647" s="251">
        <f>IFERROR(__xludf.DUMMYFUNCTION("""COMPUTED_VALUE"""),8219991.0)</f>
        <v>8219991</v>
      </c>
      <c r="B647" s="252" t="str">
        <f>IFERROR(__xludf.DUMMYFUNCTION("""COMPUTED_VALUE"""),"BookingCom")</f>
        <v>BookingCom</v>
      </c>
      <c r="C647" s="253" t="str">
        <f>IFERROR(__xludf.DUMMYFUNCTION("""COMPUTED_VALUE"""),"JOSEP SALVAT ")</f>
        <v>JOSEP SALVAT </v>
      </c>
      <c r="D647" s="254">
        <f>IFERROR(__xludf.DUMMYFUNCTION("""COMPUTED_VALUE"""),46311.0)</f>
        <v>46311</v>
      </c>
      <c r="E647" s="251">
        <f>IFERROR(__xludf.DUMMYFUNCTION("""COMPUTED_VALUE"""),46313.0)</f>
        <v>46313</v>
      </c>
      <c r="F647" s="255">
        <f>IFERROR(__xludf.DUMMYFUNCTION("""COMPUTED_VALUE"""),2.0)</f>
        <v>2</v>
      </c>
      <c r="G647" s="255">
        <f>IFERROR(__xludf.DUMMYFUNCTION("""COMPUTED_VALUE"""),2.0)</f>
        <v>2</v>
      </c>
      <c r="H647" s="256">
        <f>IFERROR(__xludf.DUMMYFUNCTION("""COMPUTED_VALUE"""),225.18)</f>
        <v>225.18</v>
      </c>
      <c r="I647" s="256">
        <f>IFERROR(__xludf.DUMMYFUNCTION("""COMPUTED_VALUE"""),360.288)</f>
        <v>360.288</v>
      </c>
      <c r="J647" s="257">
        <f t="shared" si="1"/>
        <v>4</v>
      </c>
      <c r="K647" s="253"/>
      <c r="L647" s="253"/>
      <c r="M647" s="275"/>
      <c r="N647" s="258"/>
      <c r="O647" s="259"/>
      <c r="P647" s="259"/>
      <c r="Q647" s="262"/>
      <c r="R647" s="260"/>
      <c r="S647" s="260"/>
      <c r="T647" s="260"/>
      <c r="U647" s="261"/>
      <c r="V647" s="309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</row>
    <row r="648">
      <c r="A648" s="251">
        <f>IFERROR(__xludf.DUMMYFUNCTION("""COMPUTED_VALUE"""),8219991.0)</f>
        <v>8219991</v>
      </c>
      <c r="B648" s="252" t="str">
        <f>IFERROR(__xludf.DUMMYFUNCTION("""COMPUTED_VALUE"""),"BookingCom")</f>
        <v>BookingCom</v>
      </c>
      <c r="C648" s="253" t="str">
        <f>IFERROR(__xludf.DUMMYFUNCTION("""COMPUTED_VALUE"""),"JOSEP SALVAT ")</f>
        <v>JOSEP SALVAT </v>
      </c>
      <c r="D648" s="254">
        <f>IFERROR(__xludf.DUMMYFUNCTION("""COMPUTED_VALUE"""),46311.0)</f>
        <v>46311</v>
      </c>
      <c r="E648" s="251">
        <f>IFERROR(__xludf.DUMMYFUNCTION("""COMPUTED_VALUE"""),46313.0)</f>
        <v>46313</v>
      </c>
      <c r="F648" s="255">
        <f>IFERROR(__xludf.DUMMYFUNCTION("""COMPUTED_VALUE"""),2.0)</f>
        <v>2</v>
      </c>
      <c r="G648" s="255">
        <f>IFERROR(__xludf.DUMMYFUNCTION("""COMPUTED_VALUE"""),2.0)</f>
        <v>2</v>
      </c>
      <c r="H648" s="256">
        <f>IFERROR(__xludf.DUMMYFUNCTION("""COMPUTED_VALUE"""),253.53)</f>
        <v>253.53</v>
      </c>
      <c r="I648" s="256">
        <f>IFERROR(__xludf.DUMMYFUNCTION("""COMPUTED_VALUE"""),405.648)</f>
        <v>405.648</v>
      </c>
      <c r="J648" s="257">
        <f t="shared" si="1"/>
        <v>4</v>
      </c>
      <c r="K648" s="253"/>
      <c r="L648" s="253"/>
      <c r="M648" s="275"/>
      <c r="N648" s="258"/>
      <c r="O648" s="259"/>
      <c r="P648" s="259"/>
      <c r="Q648" s="262"/>
      <c r="R648" s="260"/>
      <c r="S648" s="260"/>
      <c r="T648" s="260"/>
      <c r="U648" s="261"/>
      <c r="V648" s="309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</row>
    <row r="649">
      <c r="A649" s="251">
        <f>IFERROR(__xludf.DUMMYFUNCTION("""COMPUTED_VALUE"""),8220031.0)</f>
        <v>8220031</v>
      </c>
      <c r="B649" s="252" t="str">
        <f>IFERROR(__xludf.DUMMYFUNCTION("""COMPUTED_VALUE"""),"Reseliva Pannel")</f>
        <v>Reseliva Pannel</v>
      </c>
      <c r="C649" s="253" t="str">
        <f>IFERROR(__xludf.DUMMYFUNCTION("""COMPUTED_VALUE"""),"Susan Clarke-Tizzard ")</f>
        <v>Susan Clarke-Tizzard </v>
      </c>
      <c r="D649" s="254">
        <f>IFERROR(__xludf.DUMMYFUNCTION("""COMPUTED_VALUE"""),46082.0)</f>
        <v>46082</v>
      </c>
      <c r="E649" s="251">
        <f>IFERROR(__xludf.DUMMYFUNCTION("""COMPUTED_VALUE"""),46083.0)</f>
        <v>46083</v>
      </c>
      <c r="F649" s="255">
        <f>IFERROR(__xludf.DUMMYFUNCTION("""COMPUTED_VALUE"""),1.0)</f>
        <v>1</v>
      </c>
      <c r="G649" s="255">
        <f>IFERROR(__xludf.DUMMYFUNCTION("""COMPUTED_VALUE"""),2.0)</f>
        <v>2</v>
      </c>
      <c r="H649" s="256">
        <f>IFERROR(__xludf.DUMMYFUNCTION("""COMPUTED_VALUE"""),239.76)</f>
        <v>239.76</v>
      </c>
      <c r="I649" s="256">
        <f>IFERROR(__xludf.DUMMYFUNCTION("""COMPUTED_VALUE"""),239.76)</f>
        <v>239.76</v>
      </c>
      <c r="J649" s="257">
        <f t="shared" si="1"/>
        <v>2</v>
      </c>
      <c r="K649" s="253"/>
      <c r="L649" s="253"/>
      <c r="M649" s="252"/>
      <c r="N649" s="258"/>
      <c r="O649" s="259"/>
      <c r="P649" s="259"/>
      <c r="Q649" s="262"/>
      <c r="R649" s="260"/>
      <c r="S649" s="260"/>
      <c r="T649" s="260"/>
      <c r="U649" s="261"/>
      <c r="V649" s="309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</row>
    <row r="650">
      <c r="A650" s="251">
        <f>IFERROR(__xludf.DUMMYFUNCTION("""COMPUTED_VALUE"""),8225216.0)</f>
        <v>8225216</v>
      </c>
      <c r="B650" s="252" t="str">
        <f>IFERROR(__xludf.DUMMYFUNCTION("""COMPUTED_VALUE"""),"BookingCom")</f>
        <v>BookingCom</v>
      </c>
      <c r="C650" s="253" t="str">
        <f>IFERROR(__xludf.DUMMYFUNCTION("""COMPUTED_VALUE"""),"Dixon Peter ")</f>
        <v>Dixon Peter </v>
      </c>
      <c r="D650" s="254">
        <f>IFERROR(__xludf.DUMMYFUNCTION("""COMPUTED_VALUE"""),46336.0)</f>
        <v>46336</v>
      </c>
      <c r="E650" s="251">
        <f>IFERROR(__xludf.DUMMYFUNCTION("""COMPUTED_VALUE"""),46337.0)</f>
        <v>46337</v>
      </c>
      <c r="F650" s="255">
        <f>IFERROR(__xludf.DUMMYFUNCTION("""COMPUTED_VALUE"""),1.0)</f>
        <v>1</v>
      </c>
      <c r="G650" s="255">
        <f>IFERROR(__xludf.DUMMYFUNCTION("""COMPUTED_VALUE"""),2.0)</f>
        <v>2</v>
      </c>
      <c r="H650" s="256">
        <f>IFERROR(__xludf.DUMMYFUNCTION("""COMPUTED_VALUE"""),150.72)</f>
        <v>150.72</v>
      </c>
      <c r="I650" s="256">
        <f>IFERROR(__xludf.DUMMYFUNCTION("""COMPUTED_VALUE"""),120.57600000000001)</f>
        <v>120.576</v>
      </c>
      <c r="J650" s="257">
        <f t="shared" si="1"/>
        <v>2</v>
      </c>
      <c r="K650" s="253"/>
      <c r="L650" s="253"/>
      <c r="M650" s="275"/>
      <c r="N650" s="258"/>
      <c r="O650" s="259"/>
      <c r="P650" s="259"/>
      <c r="Q650" s="262"/>
      <c r="R650" s="260"/>
      <c r="S650" s="260"/>
      <c r="T650" s="260"/>
      <c r="U650" s="261"/>
      <c r="V650" s="251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</row>
    <row r="651">
      <c r="A651" s="251">
        <f>IFERROR(__xludf.DUMMYFUNCTION("""COMPUTED_VALUE"""),8225242.0)</f>
        <v>8225242</v>
      </c>
      <c r="B651" s="252" t="str">
        <f>IFERROR(__xludf.DUMMYFUNCTION("""COMPUTED_VALUE"""),"BookingCom")</f>
        <v>BookingCom</v>
      </c>
      <c r="C651" s="253" t="str">
        <f>IFERROR(__xludf.DUMMYFUNCTION("""COMPUTED_VALUE"""),"Dixon Peter ")</f>
        <v>Dixon Peter </v>
      </c>
      <c r="D651" s="254">
        <f>IFERROR(__xludf.DUMMYFUNCTION("""COMPUTED_VALUE"""),46343.0)</f>
        <v>46343</v>
      </c>
      <c r="E651" s="251">
        <f>IFERROR(__xludf.DUMMYFUNCTION("""COMPUTED_VALUE"""),46346.0)</f>
        <v>46346</v>
      </c>
      <c r="F651" s="255">
        <f>IFERROR(__xludf.DUMMYFUNCTION("""COMPUTED_VALUE"""),3.0)</f>
        <v>3</v>
      </c>
      <c r="G651" s="255">
        <f>IFERROR(__xludf.DUMMYFUNCTION("""COMPUTED_VALUE"""),2.0)</f>
        <v>2</v>
      </c>
      <c r="H651" s="256">
        <f>IFERROR(__xludf.DUMMYFUNCTION("""COMPUTED_VALUE"""),114.89)</f>
        <v>114.89</v>
      </c>
      <c r="I651" s="256">
        <f>IFERROR(__xludf.DUMMYFUNCTION("""COMPUTED_VALUE"""),275.736)</f>
        <v>275.736</v>
      </c>
      <c r="J651" s="257">
        <f t="shared" si="1"/>
        <v>6</v>
      </c>
      <c r="K651" s="253"/>
      <c r="L651" s="253"/>
      <c r="M651" s="275"/>
      <c r="N651" s="258"/>
      <c r="O651" s="259"/>
      <c r="P651" s="259"/>
      <c r="Q651" s="262"/>
      <c r="R651" s="260"/>
      <c r="S651" s="260"/>
      <c r="T651" s="260"/>
      <c r="U651" s="261"/>
      <c r="V651" s="276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</row>
    <row r="652">
      <c r="A652" s="251">
        <f>IFERROR(__xludf.DUMMYFUNCTION("""COMPUTED_VALUE"""),8231794.0)</f>
        <v>8231794</v>
      </c>
      <c r="B652" s="252" t="str">
        <f>IFERROR(__xludf.DUMMYFUNCTION("""COMPUTED_VALUE"""),"BookingCom")</f>
        <v>BookingCom</v>
      </c>
      <c r="C652" s="253" t="str">
        <f>IFERROR(__xludf.DUMMYFUNCTION("""COMPUTED_VALUE"""),"Michelle Reyneke ")</f>
        <v>Michelle Reyneke </v>
      </c>
      <c r="D652" s="254">
        <f>IFERROR(__xludf.DUMMYFUNCTION("""COMPUTED_VALUE"""),46389.0)</f>
        <v>46389</v>
      </c>
      <c r="E652" s="251">
        <f>IFERROR(__xludf.DUMMYFUNCTION("""COMPUTED_VALUE"""),46393.0)</f>
        <v>46393</v>
      </c>
      <c r="F652" s="255">
        <f>IFERROR(__xludf.DUMMYFUNCTION("""COMPUTED_VALUE"""),4.0)</f>
        <v>4</v>
      </c>
      <c r="G652" s="255">
        <f>IFERROR(__xludf.DUMMYFUNCTION("""COMPUTED_VALUE"""),2.0)</f>
        <v>2</v>
      </c>
      <c r="H652" s="256">
        <f>IFERROR(__xludf.DUMMYFUNCTION("""COMPUTED_VALUE"""),211.85)</f>
        <v>211.85</v>
      </c>
      <c r="I652" s="256">
        <f>IFERROR(__xludf.DUMMYFUNCTION("""COMPUTED_VALUE"""),677.9200000000001)</f>
        <v>677.92</v>
      </c>
      <c r="J652" s="257">
        <f t="shared" si="1"/>
        <v>8</v>
      </c>
      <c r="K652" s="253"/>
      <c r="L652" s="253"/>
      <c r="M652" s="275"/>
      <c r="N652" s="258"/>
      <c r="O652" s="259"/>
      <c r="P652" s="259"/>
      <c r="Q652" s="262"/>
      <c r="R652" s="260"/>
      <c r="S652" s="260"/>
      <c r="T652" s="260"/>
      <c r="U652" s="261"/>
      <c r="V652" s="251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</row>
    <row r="653">
      <c r="A653" s="251">
        <f>IFERROR(__xludf.DUMMYFUNCTION("""COMPUTED_VALUE"""),8232809.0)</f>
        <v>8232809</v>
      </c>
      <c r="B653" s="252" t="str">
        <f>IFERROR(__xludf.DUMMYFUNCTION("""COMPUTED_VALUE"""),"BookingCom")</f>
        <v>BookingCom</v>
      </c>
      <c r="C653" s="253" t="str">
        <f>IFERROR(__xludf.DUMMYFUNCTION("""COMPUTED_VALUE"""),"Rolf Korner ")</f>
        <v>Rolf Korner </v>
      </c>
      <c r="D653" s="254">
        <f>IFERROR(__xludf.DUMMYFUNCTION("""COMPUTED_VALUE"""),46319.0)</f>
        <v>46319</v>
      </c>
      <c r="E653" s="251">
        <f>IFERROR(__xludf.DUMMYFUNCTION("""COMPUTED_VALUE"""),46321.0)</f>
        <v>46321</v>
      </c>
      <c r="F653" s="255">
        <f>IFERROR(__xludf.DUMMYFUNCTION("""COMPUTED_VALUE"""),2.0)</f>
        <v>2</v>
      </c>
      <c r="G653" s="255">
        <f>IFERROR(__xludf.DUMMYFUNCTION("""COMPUTED_VALUE"""),1.0)</f>
        <v>1</v>
      </c>
      <c r="H653" s="256">
        <f>IFERROR(__xludf.DUMMYFUNCTION("""COMPUTED_VALUE"""),170.14)</f>
        <v>170.14</v>
      </c>
      <c r="I653" s="256">
        <f>IFERROR(__xludf.DUMMYFUNCTION("""COMPUTED_VALUE"""),272.224)</f>
        <v>272.224</v>
      </c>
      <c r="J653" s="257">
        <f t="shared" si="1"/>
        <v>2</v>
      </c>
      <c r="K653" s="253"/>
      <c r="L653" s="253"/>
      <c r="M653" s="252"/>
      <c r="N653" s="258"/>
      <c r="O653" s="259"/>
      <c r="P653" s="259"/>
      <c r="Q653" s="262"/>
      <c r="R653" s="260"/>
      <c r="S653" s="260"/>
      <c r="T653" s="260"/>
      <c r="U653" s="261"/>
      <c r="V653" s="251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</row>
    <row r="654">
      <c r="A654" s="251">
        <f>IFERROR(__xludf.DUMMYFUNCTION("""COMPUTED_VALUE"""),8232918.0)</f>
        <v>8232918</v>
      </c>
      <c r="B654" s="252" t="str">
        <f>IFERROR(__xludf.DUMMYFUNCTION("""COMPUTED_VALUE"""),"BookingCom")</f>
        <v>BookingCom</v>
      </c>
      <c r="C654" s="253" t="str">
        <f>IFERROR(__xludf.DUMMYFUNCTION("""COMPUTED_VALUE"""),"Kylie Colvin ")</f>
        <v>Kylie Colvin </v>
      </c>
      <c r="D654" s="254">
        <f>IFERROR(__xludf.DUMMYFUNCTION("""COMPUTED_VALUE"""),46089.0)</f>
        <v>46089</v>
      </c>
      <c r="E654" s="251">
        <f>IFERROR(__xludf.DUMMYFUNCTION("""COMPUTED_VALUE"""),46090.0)</f>
        <v>46090</v>
      </c>
      <c r="F654" s="255">
        <f>IFERROR(__xludf.DUMMYFUNCTION("""COMPUTED_VALUE"""),1.0)</f>
        <v>1</v>
      </c>
      <c r="G654" s="255">
        <f>IFERROR(__xludf.DUMMYFUNCTION("""COMPUTED_VALUE"""),2.0)</f>
        <v>2</v>
      </c>
      <c r="H654" s="256">
        <f>IFERROR(__xludf.DUMMYFUNCTION("""COMPUTED_VALUE"""),170.22)</f>
        <v>170.22</v>
      </c>
      <c r="I654" s="256">
        <f>IFERROR(__xludf.DUMMYFUNCTION("""COMPUTED_VALUE"""),136.17600000000002)</f>
        <v>136.176</v>
      </c>
      <c r="J654" s="257">
        <f t="shared" si="1"/>
        <v>2</v>
      </c>
      <c r="K654" s="253"/>
      <c r="L654" s="253"/>
      <c r="M654" s="252"/>
      <c r="N654" s="258"/>
      <c r="O654" s="259"/>
      <c r="P654" s="259"/>
      <c r="Q654" s="262"/>
      <c r="R654" s="260"/>
      <c r="S654" s="260"/>
      <c r="T654" s="260"/>
      <c r="U654" s="261"/>
      <c r="V654" s="309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</row>
    <row r="655">
      <c r="A655" s="251">
        <f>IFERROR(__xludf.DUMMYFUNCTION("""COMPUTED_VALUE"""),8235294.0)</f>
        <v>8235294</v>
      </c>
      <c r="B655" s="252" t="str">
        <f>IFERROR(__xludf.DUMMYFUNCTION("""COMPUTED_VALUE"""),"BookingCom")</f>
        <v>BookingCom</v>
      </c>
      <c r="C655" s="253" t="str">
        <f>IFERROR(__xludf.DUMMYFUNCTION("""COMPUTED_VALUE"""),"Gabriel Solignac ")</f>
        <v>Gabriel Solignac </v>
      </c>
      <c r="D655" s="254">
        <f>IFERROR(__xludf.DUMMYFUNCTION("""COMPUTED_VALUE"""),46129.0)</f>
        <v>46129</v>
      </c>
      <c r="E655" s="251">
        <f>IFERROR(__xludf.DUMMYFUNCTION("""COMPUTED_VALUE"""),46132.0)</f>
        <v>46132</v>
      </c>
      <c r="F655" s="255">
        <f>IFERROR(__xludf.DUMMYFUNCTION("""COMPUTED_VALUE"""),3.0)</f>
        <v>3</v>
      </c>
      <c r="G655" s="255">
        <f>IFERROR(__xludf.DUMMYFUNCTION("""COMPUTED_VALUE"""),2.0)</f>
        <v>2</v>
      </c>
      <c r="H655" s="256">
        <f>IFERROR(__xludf.DUMMYFUNCTION("""COMPUTED_VALUE"""),183.07000000000002)</f>
        <v>183.07</v>
      </c>
      <c r="I655" s="256">
        <f>IFERROR(__xludf.DUMMYFUNCTION("""COMPUTED_VALUE"""),439.36800000000005)</f>
        <v>439.368</v>
      </c>
      <c r="J655" s="257">
        <f t="shared" si="1"/>
        <v>6</v>
      </c>
      <c r="K655" s="253"/>
      <c r="L655" s="253"/>
      <c r="M655" s="252"/>
      <c r="N655" s="258"/>
      <c r="O655" s="259"/>
      <c r="P655" s="259"/>
      <c r="Q655" s="257"/>
      <c r="R655" s="260"/>
      <c r="S655" s="260"/>
      <c r="T655" s="260"/>
      <c r="U655" s="261"/>
      <c r="V655" s="251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</row>
    <row r="656">
      <c r="A656" s="251">
        <f>IFERROR(__xludf.DUMMYFUNCTION("""COMPUTED_VALUE"""),8237237.0)</f>
        <v>8237237</v>
      </c>
      <c r="B656" s="252" t="str">
        <f>IFERROR(__xludf.DUMMYFUNCTION("""COMPUTED_VALUE"""),"BookingCom")</f>
        <v>BookingCom</v>
      </c>
      <c r="C656" s="253" t="str">
        <f>IFERROR(__xludf.DUMMYFUNCTION("""COMPUTED_VALUE"""),"camille bacquet ")</f>
        <v>camille bacquet </v>
      </c>
      <c r="D656" s="254">
        <f>IFERROR(__xludf.DUMMYFUNCTION("""COMPUTED_VALUE"""),46093.0)</f>
        <v>46093</v>
      </c>
      <c r="E656" s="251">
        <f>IFERROR(__xludf.DUMMYFUNCTION("""COMPUTED_VALUE"""),46094.0)</f>
        <v>46094</v>
      </c>
      <c r="F656" s="255">
        <f>IFERROR(__xludf.DUMMYFUNCTION("""COMPUTED_VALUE"""),1.0)</f>
        <v>1</v>
      </c>
      <c r="G656" s="255">
        <f>IFERROR(__xludf.DUMMYFUNCTION("""COMPUTED_VALUE"""),3.0)</f>
        <v>3</v>
      </c>
      <c r="H656" s="256">
        <f>IFERROR(__xludf.DUMMYFUNCTION("""COMPUTED_VALUE"""),167.82)</f>
        <v>167.82</v>
      </c>
      <c r="I656" s="256">
        <f>IFERROR(__xludf.DUMMYFUNCTION("""COMPUTED_VALUE"""),134.256)</f>
        <v>134.256</v>
      </c>
      <c r="J656" s="257">
        <f t="shared" si="1"/>
        <v>3</v>
      </c>
      <c r="K656" s="253"/>
      <c r="L656" s="253"/>
      <c r="M656" s="252"/>
      <c r="N656" s="258"/>
      <c r="O656" s="259"/>
      <c r="P656" s="259"/>
      <c r="Q656" s="262"/>
      <c r="R656" s="260"/>
      <c r="S656" s="260"/>
      <c r="T656" s="260"/>
      <c r="U656" s="261"/>
      <c r="V656" s="251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</row>
    <row r="657">
      <c r="A657" s="251">
        <f>IFERROR(__xludf.DUMMYFUNCTION("""COMPUTED_VALUE"""),8237495.0)</f>
        <v>8237495</v>
      </c>
      <c r="B657" s="252" t="str">
        <f>IFERROR(__xludf.DUMMYFUNCTION("""COMPUTED_VALUE"""),"Reseliva")</f>
        <v>Reseliva</v>
      </c>
      <c r="C657" s="253" t="str">
        <f>IFERROR(__xludf.DUMMYFUNCTION("""COMPUTED_VALUE"""),"Gunther Coppens ")</f>
        <v>Gunther Coppens </v>
      </c>
      <c r="D657" s="254">
        <f>IFERROR(__xludf.DUMMYFUNCTION("""COMPUTED_VALUE"""),46086.0)</f>
        <v>46086</v>
      </c>
      <c r="E657" s="251">
        <f>IFERROR(__xludf.DUMMYFUNCTION("""COMPUTED_VALUE"""),46087.0)</f>
        <v>46087</v>
      </c>
      <c r="F657" s="255">
        <f>IFERROR(__xludf.DUMMYFUNCTION("""COMPUTED_VALUE"""),1.0)</f>
        <v>1</v>
      </c>
      <c r="G657" s="255">
        <f>IFERROR(__xludf.DUMMYFUNCTION("""COMPUTED_VALUE"""),2.0)</f>
        <v>2</v>
      </c>
      <c r="H657" s="256">
        <f>IFERROR(__xludf.DUMMYFUNCTION("""COMPUTED_VALUE"""),239.76)</f>
        <v>239.76</v>
      </c>
      <c r="I657" s="256">
        <f>IFERROR(__xludf.DUMMYFUNCTION("""COMPUTED_VALUE"""),237.36239999999998)</f>
        <v>237.3624</v>
      </c>
      <c r="J657" s="257">
        <f t="shared" si="1"/>
        <v>2</v>
      </c>
      <c r="K657" s="253"/>
      <c r="L657" s="253"/>
      <c r="M657" s="275"/>
      <c r="N657" s="258"/>
      <c r="O657" s="259"/>
      <c r="P657" s="259"/>
      <c r="Q657" s="262"/>
      <c r="R657" s="260"/>
      <c r="S657" s="260"/>
      <c r="T657" s="260"/>
      <c r="U657" s="261"/>
      <c r="V657" s="251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</row>
    <row r="658">
      <c r="A658" s="251">
        <f>IFERROR(__xludf.DUMMYFUNCTION("""COMPUTED_VALUE"""),8238107.0)</f>
        <v>8238107</v>
      </c>
      <c r="B658" s="252" t="str">
        <f>IFERROR(__xludf.DUMMYFUNCTION("""COMPUTED_VALUE"""),"BookingCom")</f>
        <v>BookingCom</v>
      </c>
      <c r="C658" s="253" t="str">
        <f>IFERROR(__xludf.DUMMYFUNCTION("""COMPUTED_VALUE"""),"Brigitte Schaerfe ")</f>
        <v>Brigitte Schaerfe </v>
      </c>
      <c r="D658" s="254">
        <f>IFERROR(__xludf.DUMMYFUNCTION("""COMPUTED_VALUE"""),46293.0)</f>
        <v>46293</v>
      </c>
      <c r="E658" s="251">
        <f>IFERROR(__xludf.DUMMYFUNCTION("""COMPUTED_VALUE"""),46294.0)</f>
        <v>46294</v>
      </c>
      <c r="F658" s="255">
        <f>IFERROR(__xludf.DUMMYFUNCTION("""COMPUTED_VALUE"""),1.0)</f>
        <v>1</v>
      </c>
      <c r="G658" s="255">
        <f>IFERROR(__xludf.DUMMYFUNCTION("""COMPUTED_VALUE"""),2.0)</f>
        <v>2</v>
      </c>
      <c r="H658" s="256">
        <f>IFERROR(__xludf.DUMMYFUNCTION("""COMPUTED_VALUE"""),172.26)</f>
        <v>172.26</v>
      </c>
      <c r="I658" s="256">
        <f>IFERROR(__xludf.DUMMYFUNCTION("""COMPUTED_VALUE"""),137.808)</f>
        <v>137.808</v>
      </c>
      <c r="J658" s="257">
        <f t="shared" si="1"/>
        <v>2</v>
      </c>
      <c r="K658" s="253"/>
      <c r="L658" s="253"/>
      <c r="M658" s="252"/>
      <c r="N658" s="258"/>
      <c r="O658" s="259"/>
      <c r="P658" s="259"/>
      <c r="Q658" s="262"/>
      <c r="R658" s="260"/>
      <c r="S658" s="260"/>
      <c r="T658" s="260"/>
      <c r="U658" s="261"/>
      <c r="V658" s="251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</row>
    <row r="659">
      <c r="A659" s="251">
        <f>IFERROR(__xludf.DUMMYFUNCTION("""COMPUTED_VALUE"""),8238107.0)</f>
        <v>8238107</v>
      </c>
      <c r="B659" s="252" t="str">
        <f>IFERROR(__xludf.DUMMYFUNCTION("""COMPUTED_VALUE"""),"BookingCom")</f>
        <v>BookingCom</v>
      </c>
      <c r="C659" s="253" t="str">
        <f>IFERROR(__xludf.DUMMYFUNCTION("""COMPUTED_VALUE"""),"Brigitte Schaerfe ")</f>
        <v>Brigitte Schaerfe </v>
      </c>
      <c r="D659" s="308">
        <f>IFERROR(__xludf.DUMMYFUNCTION("""COMPUTED_VALUE"""),46293.0)</f>
        <v>46293</v>
      </c>
      <c r="E659" s="251">
        <f>IFERROR(__xludf.DUMMYFUNCTION("""COMPUTED_VALUE"""),46294.0)</f>
        <v>46294</v>
      </c>
      <c r="F659" s="255">
        <f>IFERROR(__xludf.DUMMYFUNCTION("""COMPUTED_VALUE"""),1.0)</f>
        <v>1</v>
      </c>
      <c r="G659" s="255">
        <f>IFERROR(__xludf.DUMMYFUNCTION("""COMPUTED_VALUE"""),2.0)</f>
        <v>2</v>
      </c>
      <c r="H659" s="256">
        <f>IFERROR(__xludf.DUMMYFUNCTION("""COMPUTED_VALUE"""),172.26)</f>
        <v>172.26</v>
      </c>
      <c r="I659" s="256">
        <f>IFERROR(__xludf.DUMMYFUNCTION("""COMPUTED_VALUE"""),137.808)</f>
        <v>137.808</v>
      </c>
      <c r="J659" s="257">
        <f t="shared" si="1"/>
        <v>2</v>
      </c>
      <c r="K659" s="253"/>
      <c r="L659" s="253"/>
      <c r="M659" s="252"/>
      <c r="N659" s="258"/>
      <c r="O659" s="259"/>
      <c r="P659" s="259"/>
      <c r="Q659" s="262"/>
      <c r="R659" s="260"/>
      <c r="S659" s="260"/>
      <c r="T659" s="260"/>
      <c r="U659" s="261"/>
      <c r="V659" s="251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</row>
    <row r="660">
      <c r="A660" s="251">
        <f>IFERROR(__xludf.DUMMYFUNCTION("""COMPUTED_VALUE"""),8238230.0)</f>
        <v>8238230</v>
      </c>
      <c r="B660" s="252" t="str">
        <f>IFERROR(__xludf.DUMMYFUNCTION("""COMPUTED_VALUE"""),"BookingCom")</f>
        <v>BookingCom</v>
      </c>
      <c r="C660" s="253" t="str">
        <f>IFERROR(__xludf.DUMMYFUNCTION("""COMPUTED_VALUE"""),"Jo Shackleton ")</f>
        <v>Jo Shackleton </v>
      </c>
      <c r="D660" s="308">
        <f>IFERROR(__xludf.DUMMYFUNCTION("""COMPUTED_VALUE"""),46173.0)</f>
        <v>46173</v>
      </c>
      <c r="E660" s="251">
        <f>IFERROR(__xludf.DUMMYFUNCTION("""COMPUTED_VALUE"""),46174.0)</f>
        <v>46174</v>
      </c>
      <c r="F660" s="255">
        <f>IFERROR(__xludf.DUMMYFUNCTION("""COMPUTED_VALUE"""),1.0)</f>
        <v>1</v>
      </c>
      <c r="G660" s="255">
        <f>IFERROR(__xludf.DUMMYFUNCTION("""COMPUTED_VALUE"""),2.0)</f>
        <v>2</v>
      </c>
      <c r="H660" s="256">
        <f>IFERROR(__xludf.DUMMYFUNCTION("""COMPUTED_VALUE"""),156.92)</f>
        <v>156.92</v>
      </c>
      <c r="I660" s="256">
        <f>IFERROR(__xludf.DUMMYFUNCTION("""COMPUTED_VALUE"""),125.536)</f>
        <v>125.536</v>
      </c>
      <c r="J660" s="257">
        <f t="shared" si="1"/>
        <v>2</v>
      </c>
      <c r="K660" s="253"/>
      <c r="L660" s="253"/>
      <c r="M660" s="275"/>
      <c r="N660" s="258"/>
      <c r="O660" s="259"/>
      <c r="P660" s="259"/>
      <c r="Q660" s="262"/>
      <c r="R660" s="260"/>
      <c r="S660" s="260"/>
      <c r="T660" s="260"/>
      <c r="U660" s="261"/>
      <c r="V660" s="251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</row>
    <row r="661">
      <c r="A661" s="251">
        <f>IFERROR(__xludf.DUMMYFUNCTION("""COMPUTED_VALUE"""),8238230.0)</f>
        <v>8238230</v>
      </c>
      <c r="B661" s="252" t="str">
        <f>IFERROR(__xludf.DUMMYFUNCTION("""COMPUTED_VALUE"""),"BookingCom")</f>
        <v>BookingCom</v>
      </c>
      <c r="C661" s="253" t="str">
        <f>IFERROR(__xludf.DUMMYFUNCTION("""COMPUTED_VALUE"""),"Jo Shackleton ")</f>
        <v>Jo Shackleton </v>
      </c>
      <c r="D661" s="254">
        <f>IFERROR(__xludf.DUMMYFUNCTION("""COMPUTED_VALUE"""),46173.0)</f>
        <v>46173</v>
      </c>
      <c r="E661" s="251">
        <f>IFERROR(__xludf.DUMMYFUNCTION("""COMPUTED_VALUE"""),46174.0)</f>
        <v>46174</v>
      </c>
      <c r="F661" s="255">
        <f>IFERROR(__xludf.DUMMYFUNCTION("""COMPUTED_VALUE"""),1.0)</f>
        <v>1</v>
      </c>
      <c r="G661" s="255">
        <f>IFERROR(__xludf.DUMMYFUNCTION("""COMPUTED_VALUE"""),2.0)</f>
        <v>2</v>
      </c>
      <c r="H661" s="256">
        <f>IFERROR(__xludf.DUMMYFUNCTION("""COMPUTED_VALUE"""),197.53)</f>
        <v>197.53</v>
      </c>
      <c r="I661" s="256">
        <f>IFERROR(__xludf.DUMMYFUNCTION("""COMPUTED_VALUE"""),158.024)</f>
        <v>158.024</v>
      </c>
      <c r="J661" s="257">
        <f t="shared" si="1"/>
        <v>2</v>
      </c>
      <c r="K661" s="253"/>
      <c r="L661" s="253"/>
      <c r="M661" s="252"/>
      <c r="N661" s="258"/>
      <c r="O661" s="259"/>
      <c r="P661" s="259"/>
      <c r="Q661" s="257"/>
      <c r="R661" s="260"/>
      <c r="S661" s="260"/>
      <c r="T661" s="260"/>
      <c r="U661" s="261"/>
      <c r="V661" s="251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</row>
    <row r="662">
      <c r="A662" s="251">
        <f>IFERROR(__xludf.DUMMYFUNCTION("""COMPUTED_VALUE"""),8238556.0)</f>
        <v>8238556</v>
      </c>
      <c r="B662" s="252" t="str">
        <f>IFERROR(__xludf.DUMMYFUNCTION("""COMPUTED_VALUE"""),"BookingCom")</f>
        <v>BookingCom</v>
      </c>
      <c r="C662" s="253" t="str">
        <f>IFERROR(__xludf.DUMMYFUNCTION("""COMPUTED_VALUE"""),"Carola Hesse ")</f>
        <v>Carola Hesse </v>
      </c>
      <c r="D662" s="254">
        <f>IFERROR(__xludf.DUMMYFUNCTION("""COMPUTED_VALUE"""),46260.0)</f>
        <v>46260</v>
      </c>
      <c r="E662" s="251">
        <f>IFERROR(__xludf.DUMMYFUNCTION("""COMPUTED_VALUE"""),46263.0)</f>
        <v>46263</v>
      </c>
      <c r="F662" s="255">
        <f>IFERROR(__xludf.DUMMYFUNCTION("""COMPUTED_VALUE"""),3.0)</f>
        <v>3</v>
      </c>
      <c r="G662" s="255">
        <f>IFERROR(__xludf.DUMMYFUNCTION("""COMPUTED_VALUE"""),2.0)</f>
        <v>2</v>
      </c>
      <c r="H662" s="256">
        <f>IFERROR(__xludf.DUMMYFUNCTION("""COMPUTED_VALUE"""),118.86)</f>
        <v>118.86</v>
      </c>
      <c r="I662" s="256">
        <f>IFERROR(__xludf.DUMMYFUNCTION("""COMPUTED_VALUE"""),285.264)</f>
        <v>285.264</v>
      </c>
      <c r="J662" s="257">
        <f t="shared" si="1"/>
        <v>6</v>
      </c>
      <c r="K662" s="253"/>
      <c r="L662" s="253"/>
      <c r="M662" s="252"/>
      <c r="N662" s="258"/>
      <c r="O662" s="259"/>
      <c r="P662" s="259"/>
      <c r="Q662" s="262"/>
      <c r="R662" s="260"/>
      <c r="S662" s="260"/>
      <c r="T662" s="260"/>
      <c r="U662" s="261"/>
      <c r="V662" s="251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</row>
    <row r="663">
      <c r="A663" s="251">
        <f>IFERROR(__xludf.DUMMYFUNCTION("""COMPUTED_VALUE"""),8238556.0)</f>
        <v>8238556</v>
      </c>
      <c r="B663" s="252" t="str">
        <f>IFERROR(__xludf.DUMMYFUNCTION("""COMPUTED_VALUE"""),"BookingCom")</f>
        <v>BookingCom</v>
      </c>
      <c r="C663" s="253" t="str">
        <f>IFERROR(__xludf.DUMMYFUNCTION("""COMPUTED_VALUE"""),"Carola Hesse ")</f>
        <v>Carola Hesse </v>
      </c>
      <c r="D663" s="254">
        <f>IFERROR(__xludf.DUMMYFUNCTION("""COMPUTED_VALUE"""),46260.0)</f>
        <v>46260</v>
      </c>
      <c r="E663" s="251">
        <f>IFERROR(__xludf.DUMMYFUNCTION("""COMPUTED_VALUE"""),46263.0)</f>
        <v>46263</v>
      </c>
      <c r="F663" s="255">
        <f>IFERROR(__xludf.DUMMYFUNCTION("""COMPUTED_VALUE"""),3.0)</f>
        <v>3</v>
      </c>
      <c r="G663" s="255">
        <f>IFERROR(__xludf.DUMMYFUNCTION("""COMPUTED_VALUE"""),2.0)</f>
        <v>2</v>
      </c>
      <c r="H663" s="256">
        <f>IFERROR(__xludf.DUMMYFUNCTION("""COMPUTED_VALUE"""),147.38)</f>
        <v>147.38</v>
      </c>
      <c r="I663" s="256">
        <f>IFERROR(__xludf.DUMMYFUNCTION("""COMPUTED_VALUE"""),353.712)</f>
        <v>353.712</v>
      </c>
      <c r="J663" s="257">
        <f t="shared" si="1"/>
        <v>6</v>
      </c>
      <c r="K663" s="253"/>
      <c r="L663" s="253"/>
      <c r="M663" s="252"/>
      <c r="N663" s="258"/>
      <c r="O663" s="259"/>
      <c r="P663" s="259"/>
      <c r="Q663" s="262"/>
      <c r="R663" s="260"/>
      <c r="S663" s="260"/>
      <c r="T663" s="260"/>
      <c r="U663" s="261"/>
      <c r="V663" s="251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</row>
    <row r="664">
      <c r="A664" s="251">
        <f>IFERROR(__xludf.DUMMYFUNCTION("""COMPUTED_VALUE"""),8240720.0)</f>
        <v>8240720</v>
      </c>
      <c r="B664" s="252" t="str">
        <f>IFERROR(__xludf.DUMMYFUNCTION("""COMPUTED_VALUE"""),"BookingCom")</f>
        <v>BookingCom</v>
      </c>
      <c r="C664" s="253" t="str">
        <f>IFERROR(__xludf.DUMMYFUNCTION("""COMPUTED_VALUE"""),"David Manzanera Pastor ")</f>
        <v>David Manzanera Pastor </v>
      </c>
      <c r="D664" s="254">
        <f>IFERROR(__xludf.DUMMYFUNCTION("""COMPUTED_VALUE"""),46099.0)</f>
        <v>46099</v>
      </c>
      <c r="E664" s="251">
        <f>IFERROR(__xludf.DUMMYFUNCTION("""COMPUTED_VALUE"""),46100.0)</f>
        <v>46100</v>
      </c>
      <c r="F664" s="255">
        <f>IFERROR(__xludf.DUMMYFUNCTION("""COMPUTED_VALUE"""),1.0)</f>
        <v>1</v>
      </c>
      <c r="G664" s="255">
        <f>IFERROR(__xludf.DUMMYFUNCTION("""COMPUTED_VALUE"""),2.0)</f>
        <v>2</v>
      </c>
      <c r="H664" s="256">
        <f>IFERROR(__xludf.DUMMYFUNCTION("""COMPUTED_VALUE"""),209.83)</f>
        <v>209.83</v>
      </c>
      <c r="I664" s="256">
        <f>IFERROR(__xludf.DUMMYFUNCTION("""COMPUTED_VALUE"""),167.86400000000003)</f>
        <v>167.864</v>
      </c>
      <c r="J664" s="257">
        <f t="shared" si="1"/>
        <v>2</v>
      </c>
      <c r="K664" s="253"/>
      <c r="L664" s="253"/>
      <c r="M664" s="252"/>
      <c r="N664" s="258"/>
      <c r="O664" s="259"/>
      <c r="P664" s="259"/>
      <c r="Q664" s="257"/>
      <c r="R664" s="260"/>
      <c r="S664" s="260"/>
      <c r="T664" s="260"/>
      <c r="U664" s="261"/>
      <c r="V664" s="251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</row>
    <row r="665">
      <c r="A665" s="251">
        <f>IFERROR(__xludf.DUMMYFUNCTION("""COMPUTED_VALUE"""),8241974.0)</f>
        <v>8241974</v>
      </c>
      <c r="B665" s="252" t="str">
        <f>IFERROR(__xludf.DUMMYFUNCTION("""COMPUTED_VALUE"""),"BookingCom")</f>
        <v>BookingCom</v>
      </c>
      <c r="C665" s="253" t="str">
        <f>IFERROR(__xludf.DUMMYFUNCTION("""COMPUTED_VALUE"""),"Maria Grazia Gambini ")</f>
        <v>Maria Grazia Gambini </v>
      </c>
      <c r="D665" s="254">
        <f>IFERROR(__xludf.DUMMYFUNCTION("""COMPUTED_VALUE"""),46302.0)</f>
        <v>46302</v>
      </c>
      <c r="E665" s="251">
        <f>IFERROR(__xludf.DUMMYFUNCTION("""COMPUTED_VALUE"""),46304.0)</f>
        <v>46304</v>
      </c>
      <c r="F665" s="255">
        <f>IFERROR(__xludf.DUMMYFUNCTION("""COMPUTED_VALUE"""),2.0)</f>
        <v>2</v>
      </c>
      <c r="G665" s="255">
        <f>IFERROR(__xludf.DUMMYFUNCTION("""COMPUTED_VALUE"""),2.0)</f>
        <v>2</v>
      </c>
      <c r="H665" s="256">
        <f>IFERROR(__xludf.DUMMYFUNCTION("""COMPUTED_VALUE"""),150.72)</f>
        <v>150.72</v>
      </c>
      <c r="I665" s="256">
        <f>IFERROR(__xludf.DUMMYFUNCTION("""COMPUTED_VALUE"""),241.15200000000002)</f>
        <v>241.152</v>
      </c>
      <c r="J665" s="257">
        <f t="shared" si="1"/>
        <v>4</v>
      </c>
      <c r="K665" s="253"/>
      <c r="L665" s="253"/>
      <c r="M665" s="252"/>
      <c r="N665" s="258"/>
      <c r="O665" s="259"/>
      <c r="P665" s="259"/>
      <c r="Q665" s="262"/>
      <c r="R665" s="260"/>
      <c r="S665" s="260"/>
      <c r="T665" s="260"/>
      <c r="U665" s="261"/>
      <c r="V665" s="251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</row>
    <row r="666">
      <c r="A666" s="251">
        <f>IFERROR(__xludf.DUMMYFUNCTION("""COMPUTED_VALUE"""),8242247.0)</f>
        <v>8242247</v>
      </c>
      <c r="B666" s="252" t="str">
        <f>IFERROR(__xludf.DUMMYFUNCTION("""COMPUTED_VALUE"""),"BookingCom")</f>
        <v>BookingCom</v>
      </c>
      <c r="C666" s="253" t="str">
        <f>IFERROR(__xludf.DUMMYFUNCTION("""COMPUTED_VALUE"""),"Jean-Patrick Rampon ")</f>
        <v>Jean-Patrick Rampon </v>
      </c>
      <c r="D666" s="254">
        <f>IFERROR(__xludf.DUMMYFUNCTION("""COMPUTED_VALUE"""),46264.0)</f>
        <v>46264</v>
      </c>
      <c r="E666" s="251">
        <f>IFERROR(__xludf.DUMMYFUNCTION("""COMPUTED_VALUE"""),46269.0)</f>
        <v>46269</v>
      </c>
      <c r="F666" s="255">
        <f>IFERROR(__xludf.DUMMYFUNCTION("""COMPUTED_VALUE"""),5.0)</f>
        <v>5</v>
      </c>
      <c r="G666" s="255">
        <f>IFERROR(__xludf.DUMMYFUNCTION("""COMPUTED_VALUE"""),2.0)</f>
        <v>2</v>
      </c>
      <c r="H666" s="256">
        <f>IFERROR(__xludf.DUMMYFUNCTION("""COMPUTED_VALUE"""),118.49000000000001)</f>
        <v>118.49</v>
      </c>
      <c r="I666" s="256">
        <f>IFERROR(__xludf.DUMMYFUNCTION("""COMPUTED_VALUE"""),473.9600000000001)</f>
        <v>473.96</v>
      </c>
      <c r="J666" s="257">
        <f t="shared" si="1"/>
        <v>10</v>
      </c>
      <c r="K666" s="253"/>
      <c r="L666" s="253"/>
      <c r="M666" s="252"/>
      <c r="N666" s="258"/>
      <c r="O666" s="259"/>
      <c r="P666" s="259"/>
      <c r="Q666" s="262"/>
      <c r="R666" s="260"/>
      <c r="S666" s="260"/>
      <c r="T666" s="260"/>
      <c r="U666" s="261"/>
      <c r="V666" s="251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</row>
    <row r="667">
      <c r="A667" s="251">
        <f>IFERROR(__xludf.DUMMYFUNCTION("""COMPUTED_VALUE"""),8242526.0)</f>
        <v>8242526</v>
      </c>
      <c r="B667" s="252" t="str">
        <f>IFERROR(__xludf.DUMMYFUNCTION("""COMPUTED_VALUE"""),"BookingCom")</f>
        <v>BookingCom</v>
      </c>
      <c r="C667" s="253" t="str">
        <f>IFERROR(__xludf.DUMMYFUNCTION("""COMPUTED_VALUE"""),"Hongyu Chen ")</f>
        <v>Hongyu Chen </v>
      </c>
      <c r="D667" s="254">
        <f>IFERROR(__xludf.DUMMYFUNCTION("""COMPUTED_VALUE"""),46110.0)</f>
        <v>46110</v>
      </c>
      <c r="E667" s="251">
        <f>IFERROR(__xludf.DUMMYFUNCTION("""COMPUTED_VALUE"""),46112.0)</f>
        <v>46112</v>
      </c>
      <c r="F667" s="255">
        <f>IFERROR(__xludf.DUMMYFUNCTION("""COMPUTED_VALUE"""),2.0)</f>
        <v>2</v>
      </c>
      <c r="G667" s="255">
        <f>IFERROR(__xludf.DUMMYFUNCTION("""COMPUTED_VALUE"""),3.0)</f>
        <v>3</v>
      </c>
      <c r="H667" s="256">
        <f>IFERROR(__xludf.DUMMYFUNCTION("""COMPUTED_VALUE"""),216.31)</f>
        <v>216.31</v>
      </c>
      <c r="I667" s="256">
        <f>IFERROR(__xludf.DUMMYFUNCTION("""COMPUTED_VALUE"""),346.096)</f>
        <v>346.096</v>
      </c>
      <c r="J667" s="257">
        <f t="shared" si="1"/>
        <v>6</v>
      </c>
      <c r="K667" s="253"/>
      <c r="L667" s="253"/>
      <c r="M667" s="275"/>
      <c r="N667" s="258"/>
      <c r="O667" s="259"/>
      <c r="P667" s="259"/>
      <c r="Q667" s="262"/>
      <c r="R667" s="260"/>
      <c r="S667" s="260"/>
      <c r="T667" s="260"/>
      <c r="U667" s="261"/>
      <c r="V667" s="251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</row>
    <row r="668">
      <c r="A668" s="251">
        <f>IFERROR(__xludf.DUMMYFUNCTION("""COMPUTED_VALUE"""),8244229.0)</f>
        <v>8244229</v>
      </c>
      <c r="B668" s="252" t="str">
        <f>IFERROR(__xludf.DUMMYFUNCTION("""COMPUTED_VALUE"""),"BookingCom")</f>
        <v>BookingCom</v>
      </c>
      <c r="C668" s="253" t="str">
        <f>IFERROR(__xludf.DUMMYFUNCTION("""COMPUTED_VALUE"""),"Celine Hochstrasser ")</f>
        <v>Celine Hochstrasser </v>
      </c>
      <c r="D668" s="254">
        <f>IFERROR(__xludf.DUMMYFUNCTION("""COMPUTED_VALUE"""),46104.0)</f>
        <v>46104</v>
      </c>
      <c r="E668" s="251">
        <f>IFERROR(__xludf.DUMMYFUNCTION("""COMPUTED_VALUE"""),46106.0)</f>
        <v>46106</v>
      </c>
      <c r="F668" s="255">
        <f>IFERROR(__xludf.DUMMYFUNCTION("""COMPUTED_VALUE"""),2.0)</f>
        <v>2</v>
      </c>
      <c r="G668" s="255">
        <f>IFERROR(__xludf.DUMMYFUNCTION("""COMPUTED_VALUE"""),2.0)</f>
        <v>2</v>
      </c>
      <c r="H668" s="256">
        <f>IFERROR(__xludf.DUMMYFUNCTION("""COMPUTED_VALUE"""),217.2)</f>
        <v>217.2</v>
      </c>
      <c r="I668" s="256">
        <f>IFERROR(__xludf.DUMMYFUNCTION("""COMPUTED_VALUE"""),347.52)</f>
        <v>347.52</v>
      </c>
      <c r="J668" s="257">
        <f t="shared" si="1"/>
        <v>4</v>
      </c>
      <c r="K668" s="253"/>
      <c r="L668" s="253"/>
      <c r="M668" s="275"/>
      <c r="N668" s="258"/>
      <c r="O668" s="259"/>
      <c r="P668" s="259"/>
      <c r="Q668" s="262"/>
      <c r="R668" s="260"/>
      <c r="S668" s="260"/>
      <c r="T668" s="260"/>
      <c r="U668" s="261"/>
      <c r="V668" s="276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</row>
    <row r="669">
      <c r="A669" s="251">
        <f>IFERROR(__xludf.DUMMYFUNCTION("""COMPUTED_VALUE"""),8245714.0)</f>
        <v>8245714</v>
      </c>
      <c r="B669" s="252" t="str">
        <f>IFERROR(__xludf.DUMMYFUNCTION("""COMPUTED_VALUE"""),"BookingCom")</f>
        <v>BookingCom</v>
      </c>
      <c r="C669" s="253" t="str">
        <f>IFERROR(__xludf.DUMMYFUNCTION("""COMPUTED_VALUE"""),"Katia Roccarino ")</f>
        <v>Katia Roccarino </v>
      </c>
      <c r="D669" s="254">
        <f>IFERROR(__xludf.DUMMYFUNCTION("""COMPUTED_VALUE"""),46253.0)</f>
        <v>46253</v>
      </c>
      <c r="E669" s="251">
        <f>IFERROR(__xludf.DUMMYFUNCTION("""COMPUTED_VALUE"""),46256.0)</f>
        <v>46256</v>
      </c>
      <c r="F669" s="255">
        <f>IFERROR(__xludf.DUMMYFUNCTION("""COMPUTED_VALUE"""),3.0)</f>
        <v>3</v>
      </c>
      <c r="G669" s="255">
        <f>IFERROR(__xludf.DUMMYFUNCTION("""COMPUTED_VALUE"""),2.0)</f>
        <v>2</v>
      </c>
      <c r="H669" s="256">
        <f>IFERROR(__xludf.DUMMYFUNCTION("""COMPUTED_VALUE"""),118.49000000000001)</f>
        <v>118.49</v>
      </c>
      <c r="I669" s="256">
        <f>IFERROR(__xludf.DUMMYFUNCTION("""COMPUTED_VALUE"""),284.37600000000003)</f>
        <v>284.376</v>
      </c>
      <c r="J669" s="257">
        <f t="shared" si="1"/>
        <v>6</v>
      </c>
      <c r="K669" s="253"/>
      <c r="L669" s="253"/>
      <c r="M669" s="275"/>
      <c r="N669" s="258"/>
      <c r="O669" s="259"/>
      <c r="P669" s="259"/>
      <c r="Q669" s="262"/>
      <c r="R669" s="260"/>
      <c r="S669" s="260"/>
      <c r="T669" s="273"/>
      <c r="U669" s="274"/>
      <c r="V669" s="263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</row>
    <row r="670">
      <c r="A670" s="251">
        <f>IFERROR(__xludf.DUMMYFUNCTION("""COMPUTED_VALUE"""),8249917.0)</f>
        <v>8249917</v>
      </c>
      <c r="B670" s="252" t="str">
        <f>IFERROR(__xludf.DUMMYFUNCTION("""COMPUTED_VALUE"""),"BookingCom")</f>
        <v>BookingCom</v>
      </c>
      <c r="C670" s="253" t="str">
        <f>IFERROR(__xludf.DUMMYFUNCTION("""COMPUTED_VALUE"""),"ANDREA MARTORELLI ")</f>
        <v>ANDREA MARTORELLI </v>
      </c>
      <c r="D670" s="254">
        <f>IFERROR(__xludf.DUMMYFUNCTION("""COMPUTED_VALUE"""),46255.0)</f>
        <v>46255</v>
      </c>
      <c r="E670" s="251">
        <f>IFERROR(__xludf.DUMMYFUNCTION("""COMPUTED_VALUE"""),46257.0)</f>
        <v>46257</v>
      </c>
      <c r="F670" s="255">
        <f>IFERROR(__xludf.DUMMYFUNCTION("""COMPUTED_VALUE"""),2.0)</f>
        <v>2</v>
      </c>
      <c r="G670" s="255">
        <f>IFERROR(__xludf.DUMMYFUNCTION("""COMPUTED_VALUE"""),2.0)</f>
        <v>2</v>
      </c>
      <c r="H670" s="256">
        <f>IFERROR(__xludf.DUMMYFUNCTION("""COMPUTED_VALUE"""),148.88)</f>
        <v>148.88</v>
      </c>
      <c r="I670" s="256">
        <f>IFERROR(__xludf.DUMMYFUNCTION("""COMPUTED_VALUE"""),238.208)</f>
        <v>238.208</v>
      </c>
      <c r="J670" s="257">
        <f t="shared" si="1"/>
        <v>4</v>
      </c>
      <c r="K670" s="253"/>
      <c r="L670" s="253"/>
      <c r="M670" s="252"/>
      <c r="N670" s="258"/>
      <c r="O670" s="259"/>
      <c r="P670" s="259"/>
      <c r="Q670" s="262"/>
      <c r="R670" s="260"/>
      <c r="S670" s="260"/>
      <c r="T670" s="260"/>
      <c r="U670" s="261"/>
      <c r="V670" s="309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</row>
    <row r="671">
      <c r="A671" s="351">
        <f>IFERROR(__xludf.DUMMYFUNCTION("""COMPUTED_VALUE"""),8250602.0)</f>
        <v>8250602</v>
      </c>
      <c r="B671" s="290" t="str">
        <f>IFERROR(__xludf.DUMMYFUNCTION("""COMPUTED_VALUE"""),"BookingCom")</f>
        <v>BookingCom</v>
      </c>
      <c r="C671" s="291" t="str">
        <f>IFERROR(__xludf.DUMMYFUNCTION("""COMPUTED_VALUE"""),"Michael Weitz ")</f>
        <v>Michael Weitz </v>
      </c>
      <c r="D671" s="352">
        <f>IFERROR(__xludf.DUMMYFUNCTION("""COMPUTED_VALUE"""),46139.0)</f>
        <v>46139</v>
      </c>
      <c r="E671" s="351">
        <f>IFERROR(__xludf.DUMMYFUNCTION("""COMPUTED_VALUE"""),46141.0)</f>
        <v>46141</v>
      </c>
      <c r="F671" s="353">
        <f>IFERROR(__xludf.DUMMYFUNCTION("""COMPUTED_VALUE"""),2.0)</f>
        <v>2</v>
      </c>
      <c r="G671" s="353">
        <f>IFERROR(__xludf.DUMMYFUNCTION("""COMPUTED_VALUE"""),3.0)</f>
        <v>3</v>
      </c>
      <c r="H671" s="354">
        <f>IFERROR(__xludf.DUMMYFUNCTION("""COMPUTED_VALUE"""),206.62)</f>
        <v>206.62</v>
      </c>
      <c r="I671" s="354">
        <f>IFERROR(__xludf.DUMMYFUNCTION("""COMPUTED_VALUE"""),330.59200000000004)</f>
        <v>330.592</v>
      </c>
      <c r="J671" s="257">
        <f t="shared" si="1"/>
        <v>6</v>
      </c>
      <c r="K671" s="291"/>
      <c r="L671" s="291"/>
      <c r="M671" s="290"/>
      <c r="N671" s="295"/>
      <c r="O671" s="296"/>
      <c r="P671" s="296"/>
      <c r="Q671" s="301"/>
      <c r="R671" s="297"/>
      <c r="S671" s="297"/>
      <c r="T671" s="297"/>
      <c r="U671" s="298"/>
      <c r="V671" s="351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</row>
    <row r="672">
      <c r="A672" s="351">
        <f>IFERROR(__xludf.DUMMYFUNCTION("""COMPUTED_VALUE"""),8251313.0)</f>
        <v>8251313</v>
      </c>
      <c r="B672" s="290" t="str">
        <f>IFERROR(__xludf.DUMMYFUNCTION("""COMPUTED_VALUE"""),"BookingCom")</f>
        <v>BookingCom</v>
      </c>
      <c r="C672" s="291" t="str">
        <f>IFERROR(__xludf.DUMMYFUNCTION("""COMPUTED_VALUE"""),"melissa coventry ")</f>
        <v>melissa coventry </v>
      </c>
      <c r="D672" s="352">
        <f>IFERROR(__xludf.DUMMYFUNCTION("""COMPUTED_VALUE"""),46111.0)</f>
        <v>46111</v>
      </c>
      <c r="E672" s="351">
        <f>IFERROR(__xludf.DUMMYFUNCTION("""COMPUTED_VALUE"""),46112.0)</f>
        <v>46112</v>
      </c>
      <c r="F672" s="353">
        <f>IFERROR(__xludf.DUMMYFUNCTION("""COMPUTED_VALUE"""),1.0)</f>
        <v>1</v>
      </c>
      <c r="G672" s="353">
        <f>IFERROR(__xludf.DUMMYFUNCTION("""COMPUTED_VALUE"""),2.0)</f>
        <v>2</v>
      </c>
      <c r="H672" s="354">
        <f>IFERROR(__xludf.DUMMYFUNCTION("""COMPUTED_VALUE"""),260.41)</f>
        <v>260.41</v>
      </c>
      <c r="I672" s="354">
        <f>IFERROR(__xludf.DUMMYFUNCTION("""COMPUTED_VALUE"""),208.32800000000003)</f>
        <v>208.328</v>
      </c>
      <c r="J672" s="257">
        <f t="shared" si="1"/>
        <v>2</v>
      </c>
      <c r="K672" s="291"/>
      <c r="L672" s="291"/>
      <c r="M672" s="290"/>
      <c r="N672" s="295"/>
      <c r="O672" s="296"/>
      <c r="P672" s="296"/>
      <c r="Q672" s="301"/>
      <c r="R672" s="297"/>
      <c r="S672" s="297"/>
      <c r="T672" s="297"/>
      <c r="U672" s="298"/>
      <c r="V672" s="351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</row>
    <row r="673">
      <c r="A673" s="251">
        <f>IFERROR(__xludf.DUMMYFUNCTION("""COMPUTED_VALUE"""),8251707.0)</f>
        <v>8251707</v>
      </c>
      <c r="B673" s="252" t="str">
        <f>IFERROR(__xludf.DUMMYFUNCTION("""COMPUTED_VALUE"""),"BookingCom")</f>
        <v>BookingCom</v>
      </c>
      <c r="C673" s="253" t="str">
        <f>IFERROR(__xludf.DUMMYFUNCTION("""COMPUTED_VALUE"""),"Valeria Meraviglia ")</f>
        <v>Valeria Meraviglia </v>
      </c>
      <c r="D673" s="254">
        <f>IFERROR(__xludf.DUMMYFUNCTION("""COMPUTED_VALUE"""),46089.0)</f>
        <v>46089</v>
      </c>
      <c r="E673" s="251">
        <f>IFERROR(__xludf.DUMMYFUNCTION("""COMPUTED_VALUE"""),46091.0)</f>
        <v>46091</v>
      </c>
      <c r="F673" s="255">
        <f>IFERROR(__xludf.DUMMYFUNCTION("""COMPUTED_VALUE"""),2.0)</f>
        <v>2</v>
      </c>
      <c r="G673" s="255">
        <f>IFERROR(__xludf.DUMMYFUNCTION("""COMPUTED_VALUE"""),2.0)</f>
        <v>2</v>
      </c>
      <c r="H673" s="256">
        <f>IFERROR(__xludf.DUMMYFUNCTION("""COMPUTED_VALUE"""),205.8)</f>
        <v>205.8</v>
      </c>
      <c r="I673" s="256">
        <f>IFERROR(__xludf.DUMMYFUNCTION("""COMPUTED_VALUE"""),329.28000000000003)</f>
        <v>329.28</v>
      </c>
      <c r="J673" s="257">
        <f t="shared" si="1"/>
        <v>4</v>
      </c>
      <c r="K673" s="253"/>
      <c r="L673" s="253"/>
      <c r="M673" s="252"/>
      <c r="N673" s="258"/>
      <c r="O673" s="259"/>
      <c r="P673" s="259"/>
      <c r="Q673" s="262"/>
      <c r="R673" s="260"/>
      <c r="S673" s="260"/>
      <c r="T673" s="260"/>
      <c r="U673" s="261"/>
      <c r="V673" s="251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</row>
    <row r="674">
      <c r="A674" s="351">
        <f>IFERROR(__xludf.DUMMYFUNCTION("""COMPUTED_VALUE"""),8251843.0)</f>
        <v>8251843</v>
      </c>
      <c r="B674" s="290" t="str">
        <f>IFERROR(__xludf.DUMMYFUNCTION("""COMPUTED_VALUE"""),"BookingCom")</f>
        <v>BookingCom</v>
      </c>
      <c r="C674" s="291" t="str">
        <f>IFERROR(__xludf.DUMMYFUNCTION("""COMPUTED_VALUE"""),"Sanne Drogtrop ")</f>
        <v>Sanne Drogtrop </v>
      </c>
      <c r="D674" s="352">
        <f>IFERROR(__xludf.DUMMYFUNCTION("""COMPUTED_VALUE"""),46123.0)</f>
        <v>46123</v>
      </c>
      <c r="E674" s="351">
        <f>IFERROR(__xludf.DUMMYFUNCTION("""COMPUTED_VALUE"""),46125.0)</f>
        <v>46125</v>
      </c>
      <c r="F674" s="353">
        <f>IFERROR(__xludf.DUMMYFUNCTION("""COMPUTED_VALUE"""),2.0)</f>
        <v>2</v>
      </c>
      <c r="G674" s="353">
        <f>IFERROR(__xludf.DUMMYFUNCTION("""COMPUTED_VALUE"""),3.0)</f>
        <v>3</v>
      </c>
      <c r="H674" s="354">
        <f>IFERROR(__xludf.DUMMYFUNCTION("""COMPUTED_VALUE"""),182.22)</f>
        <v>182.22</v>
      </c>
      <c r="I674" s="354">
        <f>IFERROR(__xludf.DUMMYFUNCTION("""COMPUTED_VALUE"""),291.552)</f>
        <v>291.552</v>
      </c>
      <c r="J674" s="257">
        <f t="shared" si="1"/>
        <v>6</v>
      </c>
      <c r="K674" s="291"/>
      <c r="L674" s="291"/>
      <c r="M674" s="290"/>
      <c r="N674" s="295"/>
      <c r="O674" s="296"/>
      <c r="P674" s="296"/>
      <c r="Q674" s="301"/>
      <c r="R674" s="297"/>
      <c r="S674" s="297"/>
      <c r="T674" s="297"/>
      <c r="U674" s="298"/>
      <c r="V674" s="351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</row>
    <row r="675">
      <c r="A675" s="351">
        <f>IFERROR(__xludf.DUMMYFUNCTION("""COMPUTED_VALUE"""),8251862.0)</f>
        <v>8251862</v>
      </c>
      <c r="B675" s="290" t="str">
        <f>IFERROR(__xludf.DUMMYFUNCTION("""COMPUTED_VALUE"""),"BookingCom")</f>
        <v>BookingCom</v>
      </c>
      <c r="C675" s="291" t="str">
        <f>IFERROR(__xludf.DUMMYFUNCTION("""COMPUTED_VALUE"""),"Oscar Lauz ")</f>
        <v>Oscar Lauz </v>
      </c>
      <c r="D675" s="352">
        <f>IFERROR(__xludf.DUMMYFUNCTION("""COMPUTED_VALUE"""),46169.0)</f>
        <v>46169</v>
      </c>
      <c r="E675" s="351">
        <f>IFERROR(__xludf.DUMMYFUNCTION("""COMPUTED_VALUE"""),46171.0)</f>
        <v>46171</v>
      </c>
      <c r="F675" s="353">
        <f>IFERROR(__xludf.DUMMYFUNCTION("""COMPUTED_VALUE"""),2.0)</f>
        <v>2</v>
      </c>
      <c r="G675" s="353">
        <f>IFERROR(__xludf.DUMMYFUNCTION("""COMPUTED_VALUE"""),2.0)</f>
        <v>2</v>
      </c>
      <c r="H675" s="354">
        <f>IFERROR(__xludf.DUMMYFUNCTION("""COMPUTED_VALUE"""),216.07)</f>
        <v>216.07</v>
      </c>
      <c r="I675" s="354">
        <f>IFERROR(__xludf.DUMMYFUNCTION("""COMPUTED_VALUE"""),345.712)</f>
        <v>345.712</v>
      </c>
      <c r="J675" s="257">
        <f t="shared" si="1"/>
        <v>4</v>
      </c>
      <c r="K675" s="291"/>
      <c r="L675" s="291"/>
      <c r="M675" s="290"/>
      <c r="N675" s="295"/>
      <c r="O675" s="296"/>
      <c r="P675" s="296"/>
      <c r="Q675" s="294"/>
      <c r="R675" s="297"/>
      <c r="S675" s="297"/>
      <c r="T675" s="297"/>
      <c r="U675" s="298"/>
      <c r="V675" s="351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</row>
    <row r="676">
      <c r="A676" s="351">
        <f>IFERROR(__xludf.DUMMYFUNCTION("""COMPUTED_VALUE"""),8253015.0)</f>
        <v>8253015</v>
      </c>
      <c r="B676" s="290" t="str">
        <f>IFERROR(__xludf.DUMMYFUNCTION("""COMPUTED_VALUE"""),"BookingCom")</f>
        <v>BookingCom</v>
      </c>
      <c r="C676" s="291" t="str">
        <f>IFERROR(__xludf.DUMMYFUNCTION("""COMPUTED_VALUE"""),"Patrick Wohlhauser ")</f>
        <v>Patrick Wohlhauser </v>
      </c>
      <c r="D676" s="352">
        <f>IFERROR(__xludf.DUMMYFUNCTION("""COMPUTED_VALUE"""),46134.0)</f>
        <v>46134</v>
      </c>
      <c r="E676" s="351">
        <f>IFERROR(__xludf.DUMMYFUNCTION("""COMPUTED_VALUE"""),46135.0)</f>
        <v>46135</v>
      </c>
      <c r="F676" s="353">
        <f>IFERROR(__xludf.DUMMYFUNCTION("""COMPUTED_VALUE"""),1.0)</f>
        <v>1</v>
      </c>
      <c r="G676" s="353">
        <f>IFERROR(__xludf.DUMMYFUNCTION("""COMPUTED_VALUE"""),2.0)</f>
        <v>2</v>
      </c>
      <c r="H676" s="354">
        <f>IFERROR(__xludf.DUMMYFUNCTION("""COMPUTED_VALUE"""),212.78)</f>
        <v>212.78</v>
      </c>
      <c r="I676" s="354">
        <f>IFERROR(__xludf.DUMMYFUNCTION("""COMPUTED_VALUE"""),170.22400000000002)</f>
        <v>170.224</v>
      </c>
      <c r="J676" s="257">
        <f t="shared" si="1"/>
        <v>2</v>
      </c>
      <c r="K676" s="291"/>
      <c r="L676" s="291"/>
      <c r="M676" s="290"/>
      <c r="N676" s="295"/>
      <c r="O676" s="296"/>
      <c r="P676" s="296"/>
      <c r="Q676" s="301"/>
      <c r="R676" s="297"/>
      <c r="S676" s="297"/>
      <c r="T676" s="297"/>
      <c r="U676" s="298"/>
      <c r="V676" s="351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</row>
    <row r="677">
      <c r="A677" s="351">
        <f>IFERROR(__xludf.DUMMYFUNCTION("""COMPUTED_VALUE"""),8254428.0)</f>
        <v>8254428</v>
      </c>
      <c r="B677" s="290" t="str">
        <f>IFERROR(__xludf.DUMMYFUNCTION("""COMPUTED_VALUE"""),"Reseliva Pannel")</f>
        <v>Reseliva Pannel</v>
      </c>
      <c r="C677" s="291" t="str">
        <f>IFERROR(__xludf.DUMMYFUNCTION("""COMPUTED_VALUE"""),"Catherina Schütt ")</f>
        <v>Catherina Schütt </v>
      </c>
      <c r="D677" s="352">
        <f>IFERROR(__xludf.DUMMYFUNCTION("""COMPUTED_VALUE"""),46120.0)</f>
        <v>46120</v>
      </c>
      <c r="E677" s="351">
        <f>IFERROR(__xludf.DUMMYFUNCTION("""COMPUTED_VALUE"""),46121.0)</f>
        <v>46121</v>
      </c>
      <c r="F677" s="353">
        <f>IFERROR(__xludf.DUMMYFUNCTION("""COMPUTED_VALUE"""),1.0)</f>
        <v>1</v>
      </c>
      <c r="G677" s="353">
        <f>IFERROR(__xludf.DUMMYFUNCTION("""COMPUTED_VALUE"""),2.0)</f>
        <v>2</v>
      </c>
      <c r="H677" s="354">
        <f>IFERROR(__xludf.DUMMYFUNCTION("""COMPUTED_VALUE"""),300.24)</f>
        <v>300.24</v>
      </c>
      <c r="I677" s="354">
        <f>IFERROR(__xludf.DUMMYFUNCTION("""COMPUTED_VALUE"""),300.24)</f>
        <v>300.24</v>
      </c>
      <c r="J677" s="257">
        <f t="shared" si="1"/>
        <v>2</v>
      </c>
      <c r="K677" s="291"/>
      <c r="L677" s="291"/>
      <c r="M677" s="290"/>
      <c r="N677" s="295"/>
      <c r="O677" s="296"/>
      <c r="P677" s="296"/>
      <c r="Q677" s="301"/>
      <c r="R677" s="297"/>
      <c r="S677" s="297"/>
      <c r="T677" s="297"/>
      <c r="U677" s="298"/>
      <c r="V677" s="351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</row>
    <row r="678">
      <c r="A678" s="351">
        <f>IFERROR(__xludf.DUMMYFUNCTION("""COMPUTED_VALUE"""),8260012.0)</f>
        <v>8260012</v>
      </c>
      <c r="B678" s="290" t="str">
        <f>IFERROR(__xludf.DUMMYFUNCTION("""COMPUTED_VALUE"""),"BookingCom")</f>
        <v>BookingCom</v>
      </c>
      <c r="C678" s="291" t="str">
        <f>IFERROR(__xludf.DUMMYFUNCTION("""COMPUTED_VALUE"""),"Annamarie Oosthuizen ")</f>
        <v>Annamarie Oosthuizen </v>
      </c>
      <c r="D678" s="352">
        <f>IFERROR(__xludf.DUMMYFUNCTION("""COMPUTED_VALUE"""),46389.0)</f>
        <v>46389</v>
      </c>
      <c r="E678" s="351">
        <f>IFERROR(__xludf.DUMMYFUNCTION("""COMPUTED_VALUE"""),46392.0)</f>
        <v>46392</v>
      </c>
      <c r="F678" s="353">
        <f>IFERROR(__xludf.DUMMYFUNCTION("""COMPUTED_VALUE"""),3.0)</f>
        <v>3</v>
      </c>
      <c r="G678" s="353">
        <f>IFERROR(__xludf.DUMMYFUNCTION("""COMPUTED_VALUE"""),2.0)</f>
        <v>2</v>
      </c>
      <c r="H678" s="354">
        <f>IFERROR(__xludf.DUMMYFUNCTION("""COMPUTED_VALUE"""),217.28)</f>
        <v>217.28</v>
      </c>
      <c r="I678" s="354">
        <f>IFERROR(__xludf.DUMMYFUNCTION("""COMPUTED_VALUE"""),521.472)</f>
        <v>521.472</v>
      </c>
      <c r="J678" s="257">
        <f t="shared" si="1"/>
        <v>6</v>
      </c>
      <c r="K678" s="291"/>
      <c r="L678" s="291"/>
      <c r="M678" s="290"/>
      <c r="N678" s="295"/>
      <c r="O678" s="296"/>
      <c r="P678" s="296"/>
      <c r="Q678" s="301"/>
      <c r="R678" s="297"/>
      <c r="S678" s="297"/>
      <c r="T678" s="297"/>
      <c r="U678" s="298"/>
      <c r="V678" s="351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</row>
    <row r="679">
      <c r="A679" s="251">
        <f>IFERROR(__xludf.DUMMYFUNCTION("""COMPUTED_VALUE"""),8263993.0)</f>
        <v>8263993</v>
      </c>
      <c r="B679" s="252" t="str">
        <f>IFERROR(__xludf.DUMMYFUNCTION("""COMPUTED_VALUE"""),"BookingCom")</f>
        <v>BookingCom</v>
      </c>
      <c r="C679" s="253" t="str">
        <f>IFERROR(__xludf.DUMMYFUNCTION("""COMPUTED_VALUE"""),"Thibaut Vanderbeke ")</f>
        <v>Thibaut Vanderbeke </v>
      </c>
      <c r="D679" s="254">
        <f>IFERROR(__xludf.DUMMYFUNCTION("""COMPUTED_VALUE"""),46263.0)</f>
        <v>46263</v>
      </c>
      <c r="E679" s="251">
        <f>IFERROR(__xludf.DUMMYFUNCTION("""COMPUTED_VALUE"""),46267.0)</f>
        <v>46267</v>
      </c>
      <c r="F679" s="255">
        <f>IFERROR(__xludf.DUMMYFUNCTION("""COMPUTED_VALUE"""),4.0)</f>
        <v>4</v>
      </c>
      <c r="G679" s="255">
        <f>IFERROR(__xludf.DUMMYFUNCTION("""COMPUTED_VALUE"""),2.0)</f>
        <v>2</v>
      </c>
      <c r="H679" s="256">
        <f>IFERROR(__xludf.DUMMYFUNCTION("""COMPUTED_VALUE"""),119.38)</f>
        <v>119.38</v>
      </c>
      <c r="I679" s="256">
        <f>IFERROR(__xludf.DUMMYFUNCTION("""COMPUTED_VALUE"""),382.016)</f>
        <v>382.016</v>
      </c>
      <c r="J679" s="257">
        <f t="shared" si="1"/>
        <v>8</v>
      </c>
      <c r="K679" s="253"/>
      <c r="L679" s="253"/>
      <c r="M679" s="252"/>
      <c r="N679" s="258"/>
      <c r="O679" s="259"/>
      <c r="P679" s="259"/>
      <c r="Q679" s="257"/>
      <c r="R679" s="260"/>
      <c r="S679" s="260"/>
      <c r="T679" s="260"/>
      <c r="U679" s="261"/>
      <c r="V679" s="251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</row>
    <row r="680">
      <c r="A680" s="351">
        <f>IFERROR(__xludf.DUMMYFUNCTION("""COMPUTED_VALUE"""),8264302.0)</f>
        <v>8264302</v>
      </c>
      <c r="B680" s="290" t="str">
        <f>IFERROR(__xludf.DUMMYFUNCTION("""COMPUTED_VALUE"""),"BookingCom")</f>
        <v>BookingCom</v>
      </c>
      <c r="C680" s="291" t="str">
        <f>IFERROR(__xludf.DUMMYFUNCTION("""COMPUTED_VALUE"""),"Florian Mager ")</f>
        <v>Florian Mager </v>
      </c>
      <c r="D680" s="352">
        <f>IFERROR(__xludf.DUMMYFUNCTION("""COMPUTED_VALUE"""),46128.0)</f>
        <v>46128</v>
      </c>
      <c r="E680" s="351">
        <f>IFERROR(__xludf.DUMMYFUNCTION("""COMPUTED_VALUE"""),46129.0)</f>
        <v>46129</v>
      </c>
      <c r="F680" s="353">
        <f>IFERROR(__xludf.DUMMYFUNCTION("""COMPUTED_VALUE"""),1.0)</f>
        <v>1</v>
      </c>
      <c r="G680" s="353">
        <f>IFERROR(__xludf.DUMMYFUNCTION("""COMPUTED_VALUE"""),2.0)</f>
        <v>2</v>
      </c>
      <c r="H680" s="354">
        <f>IFERROR(__xludf.DUMMYFUNCTION("""COMPUTED_VALUE"""),146.73)</f>
        <v>146.73</v>
      </c>
      <c r="I680" s="354">
        <f>IFERROR(__xludf.DUMMYFUNCTION("""COMPUTED_VALUE"""),117.384)</f>
        <v>117.384</v>
      </c>
      <c r="J680" s="257">
        <f t="shared" si="1"/>
        <v>2</v>
      </c>
      <c r="K680" s="291"/>
      <c r="L680" s="291"/>
      <c r="M680" s="290"/>
      <c r="N680" s="295"/>
      <c r="O680" s="296"/>
      <c r="P680" s="296"/>
      <c r="Q680" s="294"/>
      <c r="R680" s="297"/>
      <c r="S680" s="297"/>
      <c r="T680" s="297"/>
      <c r="U680" s="298"/>
      <c r="V680" s="351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</row>
    <row r="681">
      <c r="A681" s="251">
        <f>IFERROR(__xludf.DUMMYFUNCTION("""COMPUTED_VALUE"""),8265158.0)</f>
        <v>8265158</v>
      </c>
      <c r="B681" s="252" t="str">
        <f>IFERROR(__xludf.DUMMYFUNCTION("""COMPUTED_VALUE"""),"Reseliva")</f>
        <v>Reseliva</v>
      </c>
      <c r="C681" s="253" t="str">
        <f>IFERROR(__xludf.DUMMYFUNCTION("""COMPUTED_VALUE"""),"Marc Janson ")</f>
        <v>Marc Janson </v>
      </c>
      <c r="D681" s="254">
        <f>IFERROR(__xludf.DUMMYFUNCTION("""COMPUTED_VALUE"""),46089.0)</f>
        <v>46089</v>
      </c>
      <c r="E681" s="251">
        <f>IFERROR(__xludf.DUMMYFUNCTION("""COMPUTED_VALUE"""),46090.0)</f>
        <v>46090</v>
      </c>
      <c r="F681" s="255">
        <f>IFERROR(__xludf.DUMMYFUNCTION("""COMPUTED_VALUE"""),1.0)</f>
        <v>1</v>
      </c>
      <c r="G681" s="255">
        <f>IFERROR(__xludf.DUMMYFUNCTION("""COMPUTED_VALUE"""),2.0)</f>
        <v>2</v>
      </c>
      <c r="H681" s="256">
        <f>IFERROR(__xludf.DUMMYFUNCTION("""COMPUTED_VALUE"""),270.0)</f>
        <v>270</v>
      </c>
      <c r="I681" s="256">
        <f>IFERROR(__xludf.DUMMYFUNCTION("""COMPUTED_VALUE"""),267.3)</f>
        <v>267.3</v>
      </c>
      <c r="J681" s="257">
        <f t="shared" si="1"/>
        <v>2</v>
      </c>
      <c r="K681" s="253"/>
      <c r="L681" s="253"/>
      <c r="M681" s="252"/>
      <c r="N681" s="258"/>
      <c r="O681" s="259"/>
      <c r="P681" s="259"/>
      <c r="Q681" s="257"/>
      <c r="R681" s="260"/>
      <c r="S681" s="260"/>
      <c r="T681" s="260"/>
      <c r="U681" s="261"/>
      <c r="V681" s="251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</row>
    <row r="682">
      <c r="A682" s="251">
        <f>IFERROR(__xludf.DUMMYFUNCTION("""COMPUTED_VALUE"""),8265188.0)</f>
        <v>8265188</v>
      </c>
      <c r="B682" s="252" t="str">
        <f>IFERROR(__xludf.DUMMYFUNCTION("""COMPUTED_VALUE"""),"BookingCom")</f>
        <v>BookingCom</v>
      </c>
      <c r="C682" s="253" t="str">
        <f>IFERROR(__xludf.DUMMYFUNCTION("""COMPUTED_VALUE"""),"Lehner Robin Michael ")</f>
        <v>Lehner Robin Michael </v>
      </c>
      <c r="D682" s="254">
        <f>IFERROR(__xludf.DUMMYFUNCTION("""COMPUTED_VALUE"""),46306.0)</f>
        <v>46306</v>
      </c>
      <c r="E682" s="251">
        <f>IFERROR(__xludf.DUMMYFUNCTION("""COMPUTED_VALUE"""),46308.0)</f>
        <v>46308</v>
      </c>
      <c r="F682" s="255">
        <f>IFERROR(__xludf.DUMMYFUNCTION("""COMPUTED_VALUE"""),2.0)</f>
        <v>2</v>
      </c>
      <c r="G682" s="255">
        <f>IFERROR(__xludf.DUMMYFUNCTION("""COMPUTED_VALUE"""),2.0)</f>
        <v>2</v>
      </c>
      <c r="H682" s="256">
        <f>IFERROR(__xludf.DUMMYFUNCTION("""COMPUTED_VALUE"""),140.54)</f>
        <v>140.54</v>
      </c>
      <c r="I682" s="256">
        <f>IFERROR(__xludf.DUMMYFUNCTION("""COMPUTED_VALUE"""),224.864)</f>
        <v>224.864</v>
      </c>
      <c r="J682" s="257">
        <f t="shared" si="1"/>
        <v>4</v>
      </c>
      <c r="K682" s="253"/>
      <c r="L682" s="253"/>
      <c r="M682" s="275"/>
      <c r="N682" s="258"/>
      <c r="O682" s="259"/>
      <c r="P682" s="259"/>
      <c r="Q682" s="262"/>
      <c r="R682" s="260"/>
      <c r="S682" s="260"/>
      <c r="T682" s="260"/>
      <c r="U682" s="261"/>
      <c r="V682" s="276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</row>
    <row r="683">
      <c r="A683" s="351">
        <f>IFERROR(__xludf.DUMMYFUNCTION("""COMPUTED_VALUE"""),8265502.0)</f>
        <v>8265502</v>
      </c>
      <c r="B683" s="290" t="str">
        <f>IFERROR(__xludf.DUMMYFUNCTION("""COMPUTED_VALUE"""),"BookingCom")</f>
        <v>BookingCom</v>
      </c>
      <c r="C683" s="291" t="str">
        <f>IFERROR(__xludf.DUMMYFUNCTION("""COMPUTED_VALUE"""),"Giuseppe Sbano ")</f>
        <v>Giuseppe Sbano </v>
      </c>
      <c r="D683" s="352">
        <f>IFERROR(__xludf.DUMMYFUNCTION("""COMPUTED_VALUE"""),46112.0)</f>
        <v>46112</v>
      </c>
      <c r="E683" s="351">
        <f>IFERROR(__xludf.DUMMYFUNCTION("""COMPUTED_VALUE"""),46113.0)</f>
        <v>46113</v>
      </c>
      <c r="F683" s="353">
        <f>IFERROR(__xludf.DUMMYFUNCTION("""COMPUTED_VALUE"""),1.0)</f>
        <v>1</v>
      </c>
      <c r="G683" s="353">
        <f>IFERROR(__xludf.DUMMYFUNCTION("""COMPUTED_VALUE"""),2.0)</f>
        <v>2</v>
      </c>
      <c r="H683" s="354">
        <f>IFERROR(__xludf.DUMMYFUNCTION("""COMPUTED_VALUE"""),232.2)</f>
        <v>232.2</v>
      </c>
      <c r="I683" s="354">
        <f>IFERROR(__xludf.DUMMYFUNCTION("""COMPUTED_VALUE"""),185.76)</f>
        <v>185.76</v>
      </c>
      <c r="J683" s="257">
        <f t="shared" si="1"/>
        <v>2</v>
      </c>
      <c r="K683" s="291"/>
      <c r="L683" s="291"/>
      <c r="M683" s="290"/>
      <c r="N683" s="295"/>
      <c r="O683" s="296"/>
      <c r="P683" s="296"/>
      <c r="Q683" s="301"/>
      <c r="R683" s="297"/>
      <c r="S683" s="297"/>
      <c r="T683" s="297"/>
      <c r="U683" s="298"/>
      <c r="V683" s="351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</row>
    <row r="684">
      <c r="A684" s="351">
        <f>IFERROR(__xludf.DUMMYFUNCTION("""COMPUTED_VALUE"""),8265917.0)</f>
        <v>8265917</v>
      </c>
      <c r="B684" s="290" t="str">
        <f>IFERROR(__xludf.DUMMYFUNCTION("""COMPUTED_VALUE"""),"BookingCom")</f>
        <v>BookingCom</v>
      </c>
      <c r="C684" s="291" t="str">
        <f>IFERROR(__xludf.DUMMYFUNCTION("""COMPUTED_VALUE"""),"Moxuan WAN ")</f>
        <v>Moxuan WAN </v>
      </c>
      <c r="D684" s="352">
        <f>IFERROR(__xludf.DUMMYFUNCTION("""COMPUTED_VALUE"""),46143.0)</f>
        <v>46143</v>
      </c>
      <c r="E684" s="351">
        <f>IFERROR(__xludf.DUMMYFUNCTION("""COMPUTED_VALUE"""),46146.0)</f>
        <v>46146</v>
      </c>
      <c r="F684" s="353">
        <f>IFERROR(__xludf.DUMMYFUNCTION("""COMPUTED_VALUE"""),3.0)</f>
        <v>3</v>
      </c>
      <c r="G684" s="353">
        <f>IFERROR(__xludf.DUMMYFUNCTION("""COMPUTED_VALUE"""),3.0)</f>
        <v>3</v>
      </c>
      <c r="H684" s="354">
        <f>IFERROR(__xludf.DUMMYFUNCTION("""COMPUTED_VALUE"""),161.70000000000002)</f>
        <v>161.7</v>
      </c>
      <c r="I684" s="354">
        <f>IFERROR(__xludf.DUMMYFUNCTION("""COMPUTED_VALUE"""),388.08000000000004)</f>
        <v>388.08</v>
      </c>
      <c r="J684" s="257">
        <f t="shared" si="1"/>
        <v>9</v>
      </c>
      <c r="K684" s="291"/>
      <c r="L684" s="291"/>
      <c r="M684" s="290"/>
      <c r="N684" s="295"/>
      <c r="O684" s="296"/>
      <c r="P684" s="296"/>
      <c r="Q684" s="301"/>
      <c r="R684" s="297"/>
      <c r="S684" s="297"/>
      <c r="T684" s="297"/>
      <c r="U684" s="298"/>
      <c r="V684" s="351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</row>
    <row r="685">
      <c r="A685" s="351">
        <f>IFERROR(__xludf.DUMMYFUNCTION("""COMPUTED_VALUE"""),8267207.0)</f>
        <v>8267207</v>
      </c>
      <c r="B685" s="290" t="str">
        <f>IFERROR(__xludf.DUMMYFUNCTION("""COMPUTED_VALUE"""),"BookingCom")</f>
        <v>BookingCom</v>
      </c>
      <c r="C685" s="291" t="str">
        <f>IFERROR(__xludf.DUMMYFUNCTION("""COMPUTED_VALUE"""),"Geri-Leigh Shearman ")</f>
        <v>Geri-Leigh Shearman </v>
      </c>
      <c r="D685" s="352">
        <f>IFERROR(__xludf.DUMMYFUNCTION("""COMPUTED_VALUE"""),46388.0)</f>
        <v>46388</v>
      </c>
      <c r="E685" s="351">
        <f>IFERROR(__xludf.DUMMYFUNCTION("""COMPUTED_VALUE"""),46394.0)</f>
        <v>46394</v>
      </c>
      <c r="F685" s="353">
        <f>IFERROR(__xludf.DUMMYFUNCTION("""COMPUTED_VALUE"""),6.0)</f>
        <v>6</v>
      </c>
      <c r="G685" s="353">
        <f>IFERROR(__xludf.DUMMYFUNCTION("""COMPUTED_VALUE"""),2.0)</f>
        <v>2</v>
      </c>
      <c r="H685" s="354">
        <f>IFERROR(__xludf.DUMMYFUNCTION("""COMPUTED_VALUE"""),275.04)</f>
        <v>275.04</v>
      </c>
      <c r="I685" s="354">
        <f>IFERROR(__xludf.DUMMYFUNCTION("""COMPUTED_VALUE"""),1320.1920000000002)</f>
        <v>1320.192</v>
      </c>
      <c r="J685" s="257">
        <f t="shared" si="1"/>
        <v>12</v>
      </c>
      <c r="K685" s="291"/>
      <c r="L685" s="291"/>
      <c r="M685" s="290"/>
      <c r="N685" s="295"/>
      <c r="O685" s="296"/>
      <c r="P685" s="296"/>
      <c r="Q685" s="301"/>
      <c r="R685" s="297"/>
      <c r="S685" s="297"/>
      <c r="T685" s="297"/>
      <c r="U685" s="298"/>
      <c r="V685" s="351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</row>
    <row r="686">
      <c r="A686" s="351">
        <f>IFERROR(__xludf.DUMMYFUNCTION("""COMPUTED_VALUE"""),8269170.0)</f>
        <v>8269170</v>
      </c>
      <c r="B686" s="290" t="str">
        <f>IFERROR(__xludf.DUMMYFUNCTION("""COMPUTED_VALUE"""),"BookingCom")</f>
        <v>BookingCom</v>
      </c>
      <c r="C686" s="291" t="str">
        <f>IFERROR(__xludf.DUMMYFUNCTION("""COMPUTED_VALUE"""),"Monique Van \' t Hullenaar ")</f>
        <v>Monique Van \' t Hullenaar </v>
      </c>
      <c r="D686" s="352">
        <f>IFERROR(__xludf.DUMMYFUNCTION("""COMPUTED_VALUE"""),46340.0)</f>
        <v>46340</v>
      </c>
      <c r="E686" s="351">
        <f>IFERROR(__xludf.DUMMYFUNCTION("""COMPUTED_VALUE"""),46343.0)</f>
        <v>46343</v>
      </c>
      <c r="F686" s="353">
        <f>IFERROR(__xludf.DUMMYFUNCTION("""COMPUTED_VALUE"""),3.0)</f>
        <v>3</v>
      </c>
      <c r="G686" s="353">
        <f>IFERROR(__xludf.DUMMYFUNCTION("""COMPUTED_VALUE"""),3.0)</f>
        <v>3</v>
      </c>
      <c r="H686" s="354">
        <f>IFERROR(__xludf.DUMMYFUNCTION("""COMPUTED_VALUE"""),424.73)</f>
        <v>424.73</v>
      </c>
      <c r="I686" s="354">
        <f>IFERROR(__xludf.DUMMYFUNCTION("""COMPUTED_VALUE"""),1019.3520000000001)</f>
        <v>1019.352</v>
      </c>
      <c r="J686" s="257">
        <f t="shared" si="1"/>
        <v>9</v>
      </c>
      <c r="K686" s="291"/>
      <c r="L686" s="291"/>
      <c r="M686" s="290"/>
      <c r="N686" s="295"/>
      <c r="O686" s="296"/>
      <c r="P686" s="296"/>
      <c r="Q686" s="301"/>
      <c r="R686" s="297"/>
      <c r="S686" s="297"/>
      <c r="T686" s="297"/>
      <c r="U686" s="298"/>
      <c r="V686" s="351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</row>
    <row r="687">
      <c r="A687" s="351">
        <f>IFERROR(__xludf.DUMMYFUNCTION("""COMPUTED_VALUE"""),8269181.0)</f>
        <v>8269181</v>
      </c>
      <c r="B687" s="290" t="str">
        <f>IFERROR(__xludf.DUMMYFUNCTION("""COMPUTED_VALUE"""),"BookingCom")</f>
        <v>BookingCom</v>
      </c>
      <c r="C687" s="291" t="str">
        <f>IFERROR(__xludf.DUMMYFUNCTION("""COMPUTED_VALUE"""),"Monique Van \' t Hullenaar ")</f>
        <v>Monique Van \' t Hullenaar </v>
      </c>
      <c r="D687" s="352">
        <f>IFERROR(__xludf.DUMMYFUNCTION("""COMPUTED_VALUE"""),46342.0)</f>
        <v>46342</v>
      </c>
      <c r="E687" s="351">
        <f>IFERROR(__xludf.DUMMYFUNCTION("""COMPUTED_VALUE"""),46343.0)</f>
        <v>46343</v>
      </c>
      <c r="F687" s="353">
        <f>IFERROR(__xludf.DUMMYFUNCTION("""COMPUTED_VALUE"""),1.0)</f>
        <v>1</v>
      </c>
      <c r="G687" s="353">
        <f>IFERROR(__xludf.DUMMYFUNCTION("""COMPUTED_VALUE"""),2.0)</f>
        <v>2</v>
      </c>
      <c r="H687" s="354">
        <f>IFERROR(__xludf.DUMMYFUNCTION("""COMPUTED_VALUE"""),170.14)</f>
        <v>170.14</v>
      </c>
      <c r="I687" s="354">
        <f>IFERROR(__xludf.DUMMYFUNCTION("""COMPUTED_VALUE"""),136.112)</f>
        <v>136.112</v>
      </c>
      <c r="J687" s="257">
        <f t="shared" si="1"/>
        <v>2</v>
      </c>
      <c r="K687" s="291"/>
      <c r="L687" s="291"/>
      <c r="M687" s="290"/>
      <c r="N687" s="295"/>
      <c r="O687" s="296"/>
      <c r="P687" s="296"/>
      <c r="Q687" s="301"/>
      <c r="R687" s="297"/>
      <c r="S687" s="297"/>
      <c r="T687" s="297"/>
      <c r="U687" s="298"/>
      <c r="V687" s="351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</row>
    <row r="688">
      <c r="A688" s="351">
        <f>IFERROR(__xludf.DUMMYFUNCTION("""COMPUTED_VALUE"""),8269873.0)</f>
        <v>8269873</v>
      </c>
      <c r="B688" s="290" t="str">
        <f>IFERROR(__xludf.DUMMYFUNCTION("""COMPUTED_VALUE"""),"BookingCom")</f>
        <v>BookingCom</v>
      </c>
      <c r="C688" s="291" t="str">
        <f>IFERROR(__xludf.DUMMYFUNCTION("""COMPUTED_VALUE"""),"Katarzyna Rylewicz ")</f>
        <v>Katarzyna Rylewicz </v>
      </c>
      <c r="D688" s="352">
        <f>IFERROR(__xludf.DUMMYFUNCTION("""COMPUTED_VALUE"""),46102.0)</f>
        <v>46102</v>
      </c>
      <c r="E688" s="351">
        <f>IFERROR(__xludf.DUMMYFUNCTION("""COMPUTED_VALUE"""),46104.0)</f>
        <v>46104</v>
      </c>
      <c r="F688" s="353">
        <f>IFERROR(__xludf.DUMMYFUNCTION("""COMPUTED_VALUE"""),2.0)</f>
        <v>2</v>
      </c>
      <c r="G688" s="353">
        <f>IFERROR(__xludf.DUMMYFUNCTION("""COMPUTED_VALUE"""),2.0)</f>
        <v>2</v>
      </c>
      <c r="H688" s="354">
        <f>IFERROR(__xludf.DUMMYFUNCTION("""COMPUTED_VALUE"""),215.25)</f>
        <v>215.25</v>
      </c>
      <c r="I688" s="354">
        <f>IFERROR(__xludf.DUMMYFUNCTION("""COMPUTED_VALUE"""),344.40000000000003)</f>
        <v>344.4</v>
      </c>
      <c r="J688" s="257">
        <f t="shared" si="1"/>
        <v>4</v>
      </c>
      <c r="K688" s="291"/>
      <c r="L688" s="291"/>
      <c r="M688" s="290"/>
      <c r="N688" s="295"/>
      <c r="O688" s="296"/>
      <c r="P688" s="296"/>
      <c r="Q688" s="301"/>
      <c r="R688" s="297"/>
      <c r="S688" s="297"/>
      <c r="T688" s="297"/>
      <c r="U688" s="298"/>
      <c r="V688" s="351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</row>
    <row r="689">
      <c r="A689" s="351">
        <f>IFERROR(__xludf.DUMMYFUNCTION("""COMPUTED_VALUE"""),8271957.0)</f>
        <v>8271957</v>
      </c>
      <c r="B689" s="290" t="str">
        <f>IFERROR(__xludf.DUMMYFUNCTION("""COMPUTED_VALUE"""),"BookingCom")</f>
        <v>BookingCom</v>
      </c>
      <c r="C689" s="291" t="str">
        <f>IFERROR(__xludf.DUMMYFUNCTION("""COMPUTED_VALUE"""),"Nada Hammami ")</f>
        <v>Nada Hammami </v>
      </c>
      <c r="D689" s="352">
        <f>IFERROR(__xludf.DUMMYFUNCTION("""COMPUTED_VALUE"""),46102.0)</f>
        <v>46102</v>
      </c>
      <c r="E689" s="351">
        <f>IFERROR(__xludf.DUMMYFUNCTION("""COMPUTED_VALUE"""),46106.0)</f>
        <v>46106</v>
      </c>
      <c r="F689" s="353">
        <f>IFERROR(__xludf.DUMMYFUNCTION("""COMPUTED_VALUE"""),4.0)</f>
        <v>4</v>
      </c>
      <c r="G689" s="353">
        <f>IFERROR(__xludf.DUMMYFUNCTION("""COMPUTED_VALUE"""),3.0)</f>
        <v>3</v>
      </c>
      <c r="H689" s="354">
        <f>IFERROR(__xludf.DUMMYFUNCTION("""COMPUTED_VALUE"""),425.22)</f>
        <v>425.22</v>
      </c>
      <c r="I689" s="354">
        <f>IFERROR(__xludf.DUMMYFUNCTION("""COMPUTED_VALUE"""),1360.7040000000002)</f>
        <v>1360.704</v>
      </c>
      <c r="J689" s="257">
        <f t="shared" si="1"/>
        <v>12</v>
      </c>
      <c r="K689" s="291"/>
      <c r="L689" s="291"/>
      <c r="M689" s="290"/>
      <c r="N689" s="295"/>
      <c r="O689" s="296"/>
      <c r="P689" s="296"/>
      <c r="Q689" s="301"/>
      <c r="R689" s="297"/>
      <c r="S689" s="297"/>
      <c r="T689" s="297"/>
      <c r="U689" s="298"/>
      <c r="V689" s="351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</row>
    <row r="690">
      <c r="A690" s="351">
        <f>IFERROR(__xludf.DUMMYFUNCTION("""COMPUTED_VALUE"""),8278708.0)</f>
        <v>8278708</v>
      </c>
      <c r="B690" s="290" t="str">
        <f>IFERROR(__xludf.DUMMYFUNCTION("""COMPUTED_VALUE"""),"BookingCom")</f>
        <v>BookingCom</v>
      </c>
      <c r="C690" s="291" t="str">
        <f>IFERROR(__xludf.DUMMYFUNCTION("""COMPUTED_VALUE"""),"Judith Tirado ")</f>
        <v>Judith Tirado </v>
      </c>
      <c r="D690" s="352">
        <f>IFERROR(__xludf.DUMMYFUNCTION("""COMPUTED_VALUE"""),46094.0)</f>
        <v>46094</v>
      </c>
      <c r="E690" s="351">
        <f>IFERROR(__xludf.DUMMYFUNCTION("""COMPUTED_VALUE"""),46096.0)</f>
        <v>46096</v>
      </c>
      <c r="F690" s="353">
        <f>IFERROR(__xludf.DUMMYFUNCTION("""COMPUTED_VALUE"""),2.0)</f>
        <v>2</v>
      </c>
      <c r="G690" s="353">
        <f>IFERROR(__xludf.DUMMYFUNCTION("""COMPUTED_VALUE"""),2.0)</f>
        <v>2</v>
      </c>
      <c r="H690" s="354">
        <f>IFERROR(__xludf.DUMMYFUNCTION("""COMPUTED_VALUE"""),443.82)</f>
        <v>443.82</v>
      </c>
      <c r="I690" s="354">
        <f>IFERROR(__xludf.DUMMYFUNCTION("""COMPUTED_VALUE"""),710.1120000000001)</f>
        <v>710.112</v>
      </c>
      <c r="J690" s="257">
        <f t="shared" si="1"/>
        <v>4</v>
      </c>
      <c r="K690" s="291"/>
      <c r="L690" s="291"/>
      <c r="M690" s="290"/>
      <c r="N690" s="295"/>
      <c r="O690" s="296"/>
      <c r="P690" s="296"/>
      <c r="Q690" s="294"/>
      <c r="R690" s="297"/>
      <c r="S690" s="297"/>
      <c r="T690" s="297"/>
      <c r="U690" s="298"/>
      <c r="V690" s="351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</row>
    <row r="691">
      <c r="A691" s="351">
        <f>IFERROR(__xludf.DUMMYFUNCTION("""COMPUTED_VALUE"""),8280224.0)</f>
        <v>8280224</v>
      </c>
      <c r="B691" s="290" t="str">
        <f>IFERROR(__xludf.DUMMYFUNCTION("""COMPUTED_VALUE"""),"Reseliva Pannel")</f>
        <v>Reseliva Pannel</v>
      </c>
      <c r="C691" s="291" t="str">
        <f>IFERROR(__xludf.DUMMYFUNCTION("""COMPUTED_VALUE"""),"Thomas Christopher ")</f>
        <v>Thomas Christopher </v>
      </c>
      <c r="D691" s="352">
        <f>IFERROR(__xludf.DUMMYFUNCTION("""COMPUTED_VALUE"""),46094.0)</f>
        <v>46094</v>
      </c>
      <c r="E691" s="351">
        <f>IFERROR(__xludf.DUMMYFUNCTION("""COMPUTED_VALUE"""),46095.0)</f>
        <v>46095</v>
      </c>
      <c r="F691" s="353">
        <f>IFERROR(__xludf.DUMMYFUNCTION("""COMPUTED_VALUE"""),1.0)</f>
        <v>1</v>
      </c>
      <c r="G691" s="353">
        <f>IFERROR(__xludf.DUMMYFUNCTION("""COMPUTED_VALUE"""),2.0)</f>
        <v>2</v>
      </c>
      <c r="H691" s="354">
        <f>IFERROR(__xludf.DUMMYFUNCTION("""COMPUTED_VALUE"""),270.0)</f>
        <v>270</v>
      </c>
      <c r="I691" s="354">
        <f>IFERROR(__xludf.DUMMYFUNCTION("""COMPUTED_VALUE"""),270.0)</f>
        <v>270</v>
      </c>
      <c r="J691" s="257">
        <f t="shared" si="1"/>
        <v>2</v>
      </c>
      <c r="K691" s="291"/>
      <c r="L691" s="291"/>
      <c r="M691" s="290"/>
      <c r="N691" s="295"/>
      <c r="O691" s="296"/>
      <c r="P691" s="296"/>
      <c r="Q691" s="301"/>
      <c r="R691" s="297"/>
      <c r="S691" s="297"/>
      <c r="T691" s="297"/>
      <c r="U691" s="298"/>
      <c r="V691" s="351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</row>
    <row r="692">
      <c r="A692" s="351">
        <f>IFERROR(__xludf.DUMMYFUNCTION("""COMPUTED_VALUE"""),8281224.0)</f>
        <v>8281224</v>
      </c>
      <c r="B692" s="290" t="str">
        <f>IFERROR(__xludf.DUMMYFUNCTION("""COMPUTED_VALUE"""),"BookingCom")</f>
        <v>BookingCom</v>
      </c>
      <c r="C692" s="291" t="str">
        <f>IFERROR(__xludf.DUMMYFUNCTION("""COMPUTED_VALUE"""),"Fanny Cornut ")</f>
        <v>Fanny Cornut </v>
      </c>
      <c r="D692" s="352">
        <f>IFERROR(__xludf.DUMMYFUNCTION("""COMPUTED_VALUE"""),46117.0)</f>
        <v>46117</v>
      </c>
      <c r="E692" s="351">
        <f>IFERROR(__xludf.DUMMYFUNCTION("""COMPUTED_VALUE"""),46121.0)</f>
        <v>46121</v>
      </c>
      <c r="F692" s="353">
        <f>IFERROR(__xludf.DUMMYFUNCTION("""COMPUTED_VALUE"""),4.0)</f>
        <v>4</v>
      </c>
      <c r="G692" s="353">
        <f>IFERROR(__xludf.DUMMYFUNCTION("""COMPUTED_VALUE"""),4.0)</f>
        <v>4</v>
      </c>
      <c r="H692" s="354">
        <f>IFERROR(__xludf.DUMMYFUNCTION("""COMPUTED_VALUE"""),502.72)</f>
        <v>502.72</v>
      </c>
      <c r="I692" s="354">
        <f>IFERROR(__xludf.DUMMYFUNCTION("""COMPUTED_VALUE"""),1608.7040000000002)</f>
        <v>1608.704</v>
      </c>
      <c r="J692" s="257">
        <f t="shared" si="1"/>
        <v>16</v>
      </c>
      <c r="K692" s="291"/>
      <c r="L692" s="291"/>
      <c r="M692" s="290"/>
      <c r="N692" s="295"/>
      <c r="O692" s="296"/>
      <c r="P692" s="296"/>
      <c r="Q692" s="294"/>
      <c r="R692" s="297"/>
      <c r="S692" s="297"/>
      <c r="T692" s="297"/>
      <c r="U692" s="298"/>
      <c r="V692" s="351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</row>
    <row r="693">
      <c r="A693" s="351">
        <f>IFERROR(__xludf.DUMMYFUNCTION("""COMPUTED_VALUE"""),8281943.0)</f>
        <v>8281943</v>
      </c>
      <c r="B693" s="290" t="str">
        <f>IFERROR(__xludf.DUMMYFUNCTION("""COMPUTED_VALUE"""),"HotelBeds")</f>
        <v>HotelBeds</v>
      </c>
      <c r="C693" s="291" t="str">
        <f>IFERROR(__xludf.DUMMYFUNCTION("""COMPUTED_VALUE"""),"VICTOR DADOLLE ")</f>
        <v>VICTOR DADOLLE </v>
      </c>
      <c r="D693" s="352">
        <f>IFERROR(__xludf.DUMMYFUNCTION("""COMPUTED_VALUE"""),46134.0)</f>
        <v>46134</v>
      </c>
      <c r="E693" s="351">
        <f>IFERROR(__xludf.DUMMYFUNCTION("""COMPUTED_VALUE"""),46135.0)</f>
        <v>46135</v>
      </c>
      <c r="F693" s="353">
        <f>IFERROR(__xludf.DUMMYFUNCTION("""COMPUTED_VALUE"""),1.0)</f>
        <v>1</v>
      </c>
      <c r="G693" s="353">
        <f>IFERROR(__xludf.DUMMYFUNCTION("""COMPUTED_VALUE"""),3.0)</f>
        <v>3</v>
      </c>
      <c r="H693" s="354">
        <f>IFERROR(__xludf.DUMMYFUNCTION("""COMPUTED_VALUE"""),229.5)</f>
        <v>229.5</v>
      </c>
      <c r="I693" s="354">
        <f>IFERROR(__xludf.DUMMYFUNCTION("""COMPUTED_VALUE"""),183.60000000000002)</f>
        <v>183.6</v>
      </c>
      <c r="J693" s="257">
        <f t="shared" si="1"/>
        <v>3</v>
      </c>
      <c r="K693" s="291"/>
      <c r="L693" s="291"/>
      <c r="M693" s="290"/>
      <c r="N693" s="295"/>
      <c r="O693" s="296"/>
      <c r="P693" s="296"/>
      <c r="Q693" s="301"/>
      <c r="R693" s="297"/>
      <c r="S693" s="297"/>
      <c r="T693" s="297"/>
      <c r="U693" s="298"/>
      <c r="V693" s="351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</row>
    <row r="694">
      <c r="A694" s="351">
        <f>IFERROR(__xludf.DUMMYFUNCTION("""COMPUTED_VALUE"""),8282960.0)</f>
        <v>8282960</v>
      </c>
      <c r="B694" s="290" t="str">
        <f>IFERROR(__xludf.DUMMYFUNCTION("""COMPUTED_VALUE"""),"BookingCom")</f>
        <v>BookingCom</v>
      </c>
      <c r="C694" s="291" t="str">
        <f>IFERROR(__xludf.DUMMYFUNCTION("""COMPUTED_VALUE"""),"Laura Mason ")</f>
        <v>Laura Mason </v>
      </c>
      <c r="D694" s="352">
        <f>IFERROR(__xludf.DUMMYFUNCTION("""COMPUTED_VALUE"""),46143.0)</f>
        <v>46143</v>
      </c>
      <c r="E694" s="351">
        <f>IFERROR(__xludf.DUMMYFUNCTION("""COMPUTED_VALUE"""),46144.0)</f>
        <v>46144</v>
      </c>
      <c r="F694" s="353">
        <f>IFERROR(__xludf.DUMMYFUNCTION("""COMPUTED_VALUE"""),1.0)</f>
        <v>1</v>
      </c>
      <c r="G694" s="353">
        <f>IFERROR(__xludf.DUMMYFUNCTION("""COMPUTED_VALUE"""),2.0)</f>
        <v>2</v>
      </c>
      <c r="H694" s="354">
        <f>IFERROR(__xludf.DUMMYFUNCTION("""COMPUTED_VALUE"""),163.03)</f>
        <v>163.03</v>
      </c>
      <c r="I694" s="354">
        <f>IFERROR(__xludf.DUMMYFUNCTION("""COMPUTED_VALUE"""),130.424)</f>
        <v>130.424</v>
      </c>
      <c r="J694" s="257">
        <f t="shared" si="1"/>
        <v>2</v>
      </c>
      <c r="K694" s="291"/>
      <c r="L694" s="291"/>
      <c r="M694" s="290"/>
      <c r="N694" s="295"/>
      <c r="O694" s="296"/>
      <c r="P694" s="296"/>
      <c r="Q694" s="301"/>
      <c r="R694" s="297"/>
      <c r="S694" s="297"/>
      <c r="T694" s="297"/>
      <c r="U694" s="298"/>
      <c r="V694" s="351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</row>
    <row r="695">
      <c r="A695" s="351">
        <f>IFERROR(__xludf.DUMMYFUNCTION("""COMPUTED_VALUE"""),8284043.0)</f>
        <v>8284043</v>
      </c>
      <c r="B695" s="290" t="str">
        <f>IFERROR(__xludf.DUMMYFUNCTION("""COMPUTED_VALUE"""),"BookingCom")</f>
        <v>BookingCom</v>
      </c>
      <c r="C695" s="291" t="str">
        <f>IFERROR(__xludf.DUMMYFUNCTION("""COMPUTED_VALUE"""),"Amalia Van der heijden ")</f>
        <v>Amalia Van der heijden </v>
      </c>
      <c r="D695" s="352">
        <f>IFERROR(__xludf.DUMMYFUNCTION("""COMPUTED_VALUE"""),46202.0)</f>
        <v>46202</v>
      </c>
      <c r="E695" s="351">
        <f>IFERROR(__xludf.DUMMYFUNCTION("""COMPUTED_VALUE"""),46205.0)</f>
        <v>46205</v>
      </c>
      <c r="F695" s="353">
        <f>IFERROR(__xludf.DUMMYFUNCTION("""COMPUTED_VALUE"""),3.0)</f>
        <v>3</v>
      </c>
      <c r="G695" s="353">
        <f>IFERROR(__xludf.DUMMYFUNCTION("""COMPUTED_VALUE"""),2.0)</f>
        <v>2</v>
      </c>
      <c r="H695" s="354">
        <f>IFERROR(__xludf.DUMMYFUNCTION("""COMPUTED_VALUE"""),117.83)</f>
        <v>117.83</v>
      </c>
      <c r="I695" s="354">
        <f>IFERROR(__xludf.DUMMYFUNCTION("""COMPUTED_VALUE"""),282.79200000000003)</f>
        <v>282.792</v>
      </c>
      <c r="J695" s="257">
        <f t="shared" si="1"/>
        <v>6</v>
      </c>
      <c r="K695" s="291"/>
      <c r="L695" s="291"/>
      <c r="M695" s="290"/>
      <c r="N695" s="295"/>
      <c r="O695" s="296"/>
      <c r="P695" s="296"/>
      <c r="Q695" s="301"/>
      <c r="R695" s="297"/>
      <c r="S695" s="297"/>
      <c r="T695" s="297"/>
      <c r="U695" s="298"/>
      <c r="V695" s="351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</row>
    <row r="696">
      <c r="A696" s="351">
        <f>IFERROR(__xludf.DUMMYFUNCTION("""COMPUTED_VALUE"""),8285079.0)</f>
        <v>8285079</v>
      </c>
      <c r="B696" s="290" t="str">
        <f>IFERROR(__xludf.DUMMYFUNCTION("""COMPUTED_VALUE"""),"Expedia Affiliate Network")</f>
        <v>Expedia Affiliate Network</v>
      </c>
      <c r="C696" s="291" t="str">
        <f>IFERROR(__xludf.DUMMYFUNCTION("""COMPUTED_VALUE"""),"Thomas Guareschi ")</f>
        <v>Thomas Guareschi </v>
      </c>
      <c r="D696" s="352">
        <f>IFERROR(__xludf.DUMMYFUNCTION("""COMPUTED_VALUE"""),46095.0)</f>
        <v>46095</v>
      </c>
      <c r="E696" s="351">
        <f>IFERROR(__xludf.DUMMYFUNCTION("""COMPUTED_VALUE"""),46097.0)</f>
        <v>46097</v>
      </c>
      <c r="F696" s="353">
        <f>IFERROR(__xludf.DUMMYFUNCTION("""COMPUTED_VALUE"""),2.0)</f>
        <v>2</v>
      </c>
      <c r="G696" s="353">
        <f>IFERROR(__xludf.DUMMYFUNCTION("""COMPUTED_VALUE"""),3.0)</f>
        <v>3</v>
      </c>
      <c r="H696" s="354">
        <f>IFERROR(__xludf.DUMMYFUNCTION("""COMPUTED_VALUE"""),0.0)</f>
        <v>0</v>
      </c>
      <c r="I696" s="354">
        <f>IFERROR(__xludf.DUMMYFUNCTION("""COMPUTED_VALUE"""),0.0)</f>
        <v>0</v>
      </c>
      <c r="J696" s="257">
        <f t="shared" si="1"/>
        <v>6</v>
      </c>
      <c r="K696" s="291"/>
      <c r="L696" s="291"/>
      <c r="M696" s="290"/>
      <c r="N696" s="295"/>
      <c r="O696" s="296"/>
      <c r="P696" s="296"/>
      <c r="Q696" s="301"/>
      <c r="R696" s="297"/>
      <c r="S696" s="297"/>
      <c r="T696" s="297"/>
      <c r="U696" s="298"/>
      <c r="V696" s="351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</row>
    <row r="697">
      <c r="A697" s="351">
        <f>IFERROR(__xludf.DUMMYFUNCTION("""COMPUTED_VALUE"""),8285411.0)</f>
        <v>8285411</v>
      </c>
      <c r="B697" s="290" t="str">
        <f>IFERROR(__xludf.DUMMYFUNCTION("""COMPUTED_VALUE"""),"Agoda2")</f>
        <v>Agoda2</v>
      </c>
      <c r="C697" s="291" t="str">
        <f>IFERROR(__xludf.DUMMYFUNCTION("""COMPUTED_VALUE"""),"Ying Feng ")</f>
        <v>Ying Feng </v>
      </c>
      <c r="D697" s="352">
        <f>IFERROR(__xludf.DUMMYFUNCTION("""COMPUTED_VALUE"""),46127.0)</f>
        <v>46127</v>
      </c>
      <c r="E697" s="351">
        <f>IFERROR(__xludf.DUMMYFUNCTION("""COMPUTED_VALUE"""),46128.0)</f>
        <v>46128</v>
      </c>
      <c r="F697" s="353">
        <f>IFERROR(__xludf.DUMMYFUNCTION("""COMPUTED_VALUE"""),1.0)</f>
        <v>1</v>
      </c>
      <c r="G697" s="353">
        <f>IFERROR(__xludf.DUMMYFUNCTION("""COMPUTED_VALUE"""),2.0)</f>
        <v>2</v>
      </c>
      <c r="H697" s="354">
        <f>IFERROR(__xludf.DUMMYFUNCTION("""COMPUTED_VALUE"""),212.29)</f>
        <v>212.29</v>
      </c>
      <c r="I697" s="354">
        <f>IFERROR(__xludf.DUMMYFUNCTION("""COMPUTED_VALUE"""),169.832)</f>
        <v>169.832</v>
      </c>
      <c r="J697" s="257">
        <f t="shared" si="1"/>
        <v>2</v>
      </c>
      <c r="K697" s="291"/>
      <c r="L697" s="291"/>
      <c r="M697" s="290"/>
      <c r="N697" s="295"/>
      <c r="O697" s="296"/>
      <c r="P697" s="296"/>
      <c r="Q697" s="301"/>
      <c r="R697" s="297"/>
      <c r="S697" s="297"/>
      <c r="T697" s="297"/>
      <c r="U697" s="298"/>
      <c r="V697" s="351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</row>
    <row r="698">
      <c r="A698" s="351">
        <f>IFERROR(__xludf.DUMMYFUNCTION("""COMPUTED_VALUE"""),8287375.0)</f>
        <v>8287375</v>
      </c>
      <c r="B698" s="290" t="str">
        <f>IFERROR(__xludf.DUMMYFUNCTION("""COMPUTED_VALUE"""),"Reseliva")</f>
        <v>Reseliva</v>
      </c>
      <c r="C698" s="291" t="str">
        <f>IFERROR(__xludf.DUMMYFUNCTION("""COMPUTED_VALUE"""),"Laetitia Utz ")</f>
        <v>Laetitia Utz </v>
      </c>
      <c r="D698" s="352">
        <f>IFERROR(__xludf.DUMMYFUNCTION("""COMPUTED_VALUE"""),46103.0)</f>
        <v>46103</v>
      </c>
      <c r="E698" s="351">
        <f>IFERROR(__xludf.DUMMYFUNCTION("""COMPUTED_VALUE"""),46104.0)</f>
        <v>46104</v>
      </c>
      <c r="F698" s="353">
        <f>IFERROR(__xludf.DUMMYFUNCTION("""COMPUTED_VALUE"""),1.0)</f>
        <v>1</v>
      </c>
      <c r="G698" s="353">
        <f>IFERROR(__xludf.DUMMYFUNCTION("""COMPUTED_VALUE"""),2.0)</f>
        <v>2</v>
      </c>
      <c r="H698" s="354">
        <f>IFERROR(__xludf.DUMMYFUNCTION("""COMPUTED_VALUE"""),300.24)</f>
        <v>300.24</v>
      </c>
      <c r="I698" s="354">
        <f>IFERROR(__xludf.DUMMYFUNCTION("""COMPUTED_VALUE"""),297.2376)</f>
        <v>297.2376</v>
      </c>
      <c r="J698" s="257">
        <f t="shared" si="1"/>
        <v>2</v>
      </c>
      <c r="K698" s="291"/>
      <c r="L698" s="291"/>
      <c r="M698" s="290"/>
      <c r="N698" s="295"/>
      <c r="O698" s="296"/>
      <c r="P698" s="296"/>
      <c r="Q698" s="301"/>
      <c r="R698" s="297"/>
      <c r="S698" s="297"/>
      <c r="T698" s="297"/>
      <c r="U698" s="298"/>
      <c r="V698" s="351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</row>
    <row r="699">
      <c r="A699" s="351">
        <f>IFERROR(__xludf.DUMMYFUNCTION("""COMPUTED_VALUE"""),8287385.0)</f>
        <v>8287385</v>
      </c>
      <c r="B699" s="290" t="str">
        <f>IFERROR(__xludf.DUMMYFUNCTION("""COMPUTED_VALUE"""),"Reseliva Pannel")</f>
        <v>Reseliva Pannel</v>
      </c>
      <c r="C699" s="291" t="str">
        <f>IFERROR(__xludf.DUMMYFUNCTION("""COMPUTED_VALUE"""),"Laetitia Utz ")</f>
        <v>Laetitia Utz </v>
      </c>
      <c r="D699" s="352">
        <f>IFERROR(__xludf.DUMMYFUNCTION("""COMPUTED_VALUE"""),46104.0)</f>
        <v>46104</v>
      </c>
      <c r="E699" s="351">
        <f>IFERROR(__xludf.DUMMYFUNCTION("""COMPUTED_VALUE"""),46105.0)</f>
        <v>46105</v>
      </c>
      <c r="F699" s="353">
        <f>IFERROR(__xludf.DUMMYFUNCTION("""COMPUTED_VALUE"""),1.0)</f>
        <v>1</v>
      </c>
      <c r="G699" s="353">
        <f>IFERROR(__xludf.DUMMYFUNCTION("""COMPUTED_VALUE"""),2.0)</f>
        <v>2</v>
      </c>
      <c r="H699" s="354">
        <f>IFERROR(__xludf.DUMMYFUNCTION("""COMPUTED_VALUE"""),270.0)</f>
        <v>270</v>
      </c>
      <c r="I699" s="354">
        <f>IFERROR(__xludf.DUMMYFUNCTION("""COMPUTED_VALUE"""),270.0)</f>
        <v>270</v>
      </c>
      <c r="J699" s="257">
        <f t="shared" si="1"/>
        <v>2</v>
      </c>
      <c r="K699" s="291"/>
      <c r="L699" s="291"/>
      <c r="M699" s="290"/>
      <c r="N699" s="295"/>
      <c r="O699" s="296"/>
      <c r="P699" s="296"/>
      <c r="Q699" s="301"/>
      <c r="R699" s="297"/>
      <c r="S699" s="297"/>
      <c r="T699" s="297"/>
      <c r="U699" s="298"/>
      <c r="V699" s="351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</row>
    <row r="700">
      <c r="A700" s="351">
        <f>IFERROR(__xludf.DUMMYFUNCTION("""COMPUTED_VALUE"""),8287392.0)</f>
        <v>8287392</v>
      </c>
      <c r="B700" s="290" t="str">
        <f>IFERROR(__xludf.DUMMYFUNCTION("""COMPUTED_VALUE"""),"Reseliva Pannel")</f>
        <v>Reseliva Pannel</v>
      </c>
      <c r="C700" s="291" t="str">
        <f>IFERROR(__xludf.DUMMYFUNCTION("""COMPUTED_VALUE"""),"Laetitia Utz ")</f>
        <v>Laetitia Utz </v>
      </c>
      <c r="D700" s="352">
        <f>IFERROR(__xludf.DUMMYFUNCTION("""COMPUTED_VALUE"""),46106.0)</f>
        <v>46106</v>
      </c>
      <c r="E700" s="351">
        <f>IFERROR(__xludf.DUMMYFUNCTION("""COMPUTED_VALUE"""),46108.0)</f>
        <v>46108</v>
      </c>
      <c r="F700" s="353">
        <f>IFERROR(__xludf.DUMMYFUNCTION("""COMPUTED_VALUE"""),2.0)</f>
        <v>2</v>
      </c>
      <c r="G700" s="353">
        <f>IFERROR(__xludf.DUMMYFUNCTION("""COMPUTED_VALUE"""),2.0)</f>
        <v>2</v>
      </c>
      <c r="H700" s="354">
        <f>IFERROR(__xludf.DUMMYFUNCTION("""COMPUTED_VALUE"""),300.24)</f>
        <v>300.24</v>
      </c>
      <c r="I700" s="354">
        <f>IFERROR(__xludf.DUMMYFUNCTION("""COMPUTED_VALUE"""),600.48)</f>
        <v>600.48</v>
      </c>
      <c r="J700" s="257">
        <f t="shared" si="1"/>
        <v>4</v>
      </c>
      <c r="K700" s="291"/>
      <c r="L700" s="291"/>
      <c r="M700" s="300"/>
      <c r="N700" s="295"/>
      <c r="O700" s="296"/>
      <c r="P700" s="296"/>
      <c r="Q700" s="301"/>
      <c r="R700" s="297"/>
      <c r="S700" s="297"/>
      <c r="T700" s="297"/>
      <c r="U700" s="298"/>
      <c r="V700" s="351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</row>
    <row r="701">
      <c r="A701" s="351">
        <f>IFERROR(__xludf.DUMMYFUNCTION("""COMPUTED_VALUE"""),8287394.0)</f>
        <v>8287394</v>
      </c>
      <c r="B701" s="290" t="str">
        <f>IFERROR(__xludf.DUMMYFUNCTION("""COMPUTED_VALUE"""),"Reseliva Pannel")</f>
        <v>Reseliva Pannel</v>
      </c>
      <c r="C701" s="291" t="str">
        <f>IFERROR(__xludf.DUMMYFUNCTION("""COMPUTED_VALUE"""),"Laetitia Utz ")</f>
        <v>Laetitia Utz </v>
      </c>
      <c r="D701" s="352">
        <f>IFERROR(__xludf.DUMMYFUNCTION("""COMPUTED_VALUE"""),46108.0)</f>
        <v>46108</v>
      </c>
      <c r="E701" s="351">
        <f>IFERROR(__xludf.DUMMYFUNCTION("""COMPUTED_VALUE"""),46109.0)</f>
        <v>46109</v>
      </c>
      <c r="F701" s="353">
        <f>IFERROR(__xludf.DUMMYFUNCTION("""COMPUTED_VALUE"""),1.0)</f>
        <v>1</v>
      </c>
      <c r="G701" s="353">
        <f>IFERROR(__xludf.DUMMYFUNCTION("""COMPUTED_VALUE"""),2.0)</f>
        <v>2</v>
      </c>
      <c r="H701" s="354">
        <f>IFERROR(__xludf.DUMMYFUNCTION("""COMPUTED_VALUE"""),270.0)</f>
        <v>270</v>
      </c>
      <c r="I701" s="354">
        <f>IFERROR(__xludf.DUMMYFUNCTION("""COMPUTED_VALUE"""),270.0)</f>
        <v>270</v>
      </c>
      <c r="J701" s="257">
        <f t="shared" si="1"/>
        <v>2</v>
      </c>
      <c r="K701" s="291"/>
      <c r="L701" s="291"/>
      <c r="M701" s="290"/>
      <c r="N701" s="295"/>
      <c r="O701" s="296"/>
      <c r="P701" s="296"/>
      <c r="Q701" s="294"/>
      <c r="R701" s="297"/>
      <c r="S701" s="297"/>
      <c r="T701" s="297"/>
      <c r="U701" s="298"/>
      <c r="V701" s="351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</row>
    <row r="702">
      <c r="A702" s="351">
        <f>IFERROR(__xludf.DUMMYFUNCTION("""COMPUTED_VALUE"""),8290150.0)</f>
        <v>8290150</v>
      </c>
      <c r="B702" s="290" t="str">
        <f>IFERROR(__xludf.DUMMYFUNCTION("""COMPUTED_VALUE"""),"BookingCom")</f>
        <v>BookingCom</v>
      </c>
      <c r="C702" s="291" t="str">
        <f>IFERROR(__xludf.DUMMYFUNCTION("""COMPUTED_VALUE"""),"Ludmila Voortmeijer ")</f>
        <v>Ludmila Voortmeijer </v>
      </c>
      <c r="D702" s="352">
        <f>IFERROR(__xludf.DUMMYFUNCTION("""COMPUTED_VALUE"""),46200.0)</f>
        <v>46200</v>
      </c>
      <c r="E702" s="351">
        <f>IFERROR(__xludf.DUMMYFUNCTION("""COMPUTED_VALUE"""),46206.0)</f>
        <v>46206</v>
      </c>
      <c r="F702" s="353">
        <f>IFERROR(__xludf.DUMMYFUNCTION("""COMPUTED_VALUE"""),6.0)</f>
        <v>6</v>
      </c>
      <c r="G702" s="353">
        <f>IFERROR(__xludf.DUMMYFUNCTION("""COMPUTED_VALUE"""),2.0)</f>
        <v>2</v>
      </c>
      <c r="H702" s="354">
        <f>IFERROR(__xludf.DUMMYFUNCTION("""COMPUTED_VALUE"""),117.83)</f>
        <v>117.83</v>
      </c>
      <c r="I702" s="354">
        <f>IFERROR(__xludf.DUMMYFUNCTION("""COMPUTED_VALUE"""),565.5840000000001)</f>
        <v>565.584</v>
      </c>
      <c r="J702" s="257">
        <f t="shared" si="1"/>
        <v>12</v>
      </c>
      <c r="K702" s="291"/>
      <c r="L702" s="291"/>
      <c r="M702" s="290"/>
      <c r="N702" s="295"/>
      <c r="O702" s="296"/>
      <c r="P702" s="296"/>
      <c r="Q702" s="301"/>
      <c r="R702" s="297"/>
      <c r="S702" s="297"/>
      <c r="T702" s="297"/>
      <c r="U702" s="298"/>
      <c r="V702" s="351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</row>
    <row r="703">
      <c r="A703" s="351">
        <f>IFERROR(__xludf.DUMMYFUNCTION("""COMPUTED_VALUE"""),8290150.0)</f>
        <v>8290150</v>
      </c>
      <c r="B703" s="290" t="str">
        <f>IFERROR(__xludf.DUMMYFUNCTION("""COMPUTED_VALUE"""),"BookingCom")</f>
        <v>BookingCom</v>
      </c>
      <c r="C703" s="291" t="str">
        <f>IFERROR(__xludf.DUMMYFUNCTION("""COMPUTED_VALUE"""),"Ludmila Voortmeijer ")</f>
        <v>Ludmila Voortmeijer </v>
      </c>
      <c r="D703" s="352">
        <f>IFERROR(__xludf.DUMMYFUNCTION("""COMPUTED_VALUE"""),46200.0)</f>
        <v>46200</v>
      </c>
      <c r="E703" s="351">
        <f>IFERROR(__xludf.DUMMYFUNCTION("""COMPUTED_VALUE"""),46206.0)</f>
        <v>46206</v>
      </c>
      <c r="F703" s="353">
        <f>IFERROR(__xludf.DUMMYFUNCTION("""COMPUTED_VALUE"""),6.0)</f>
        <v>6</v>
      </c>
      <c r="G703" s="353">
        <f>IFERROR(__xludf.DUMMYFUNCTION("""COMPUTED_VALUE"""),2.0)</f>
        <v>2</v>
      </c>
      <c r="H703" s="354">
        <f>IFERROR(__xludf.DUMMYFUNCTION("""COMPUTED_VALUE"""),117.83)</f>
        <v>117.83</v>
      </c>
      <c r="I703" s="354">
        <f>IFERROR(__xludf.DUMMYFUNCTION("""COMPUTED_VALUE"""),565.5840000000001)</f>
        <v>565.584</v>
      </c>
      <c r="J703" s="257">
        <f t="shared" si="1"/>
        <v>12</v>
      </c>
      <c r="K703" s="291"/>
      <c r="L703" s="291"/>
      <c r="M703" s="290"/>
      <c r="N703" s="295"/>
      <c r="O703" s="296"/>
      <c r="P703" s="296"/>
      <c r="Q703" s="301"/>
      <c r="R703" s="297"/>
      <c r="S703" s="297"/>
      <c r="T703" s="297"/>
      <c r="U703" s="298"/>
      <c r="V703" s="351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</row>
    <row r="704">
      <c r="A704" s="351">
        <f>IFERROR(__xludf.DUMMYFUNCTION("""COMPUTED_VALUE"""),8290848.0)</f>
        <v>8290848</v>
      </c>
      <c r="B704" s="290" t="str">
        <f>IFERROR(__xludf.DUMMYFUNCTION("""COMPUTED_VALUE"""),"BookingCom")</f>
        <v>BookingCom</v>
      </c>
      <c r="C704" s="291" t="str">
        <f>IFERROR(__xludf.DUMMYFUNCTION("""COMPUTED_VALUE"""),"Armin Fanzott ")</f>
        <v>Armin Fanzott </v>
      </c>
      <c r="D704" s="352">
        <f>IFERROR(__xludf.DUMMYFUNCTION("""COMPUTED_VALUE"""),46128.0)</f>
        <v>46128</v>
      </c>
      <c r="E704" s="351">
        <f>IFERROR(__xludf.DUMMYFUNCTION("""COMPUTED_VALUE"""),46130.0)</f>
        <v>46130</v>
      </c>
      <c r="F704" s="353">
        <f>IFERROR(__xludf.DUMMYFUNCTION("""COMPUTED_VALUE"""),2.0)</f>
        <v>2</v>
      </c>
      <c r="G704" s="353">
        <f>IFERROR(__xludf.DUMMYFUNCTION("""COMPUTED_VALUE"""),2.0)</f>
        <v>2</v>
      </c>
      <c r="H704" s="354">
        <f>IFERROR(__xludf.DUMMYFUNCTION("""COMPUTED_VALUE"""),161.12)</f>
        <v>161.12</v>
      </c>
      <c r="I704" s="354">
        <f>IFERROR(__xludf.DUMMYFUNCTION("""COMPUTED_VALUE"""),257.79200000000003)</f>
        <v>257.792</v>
      </c>
      <c r="J704" s="257">
        <f t="shared" si="1"/>
        <v>4</v>
      </c>
      <c r="K704" s="291"/>
      <c r="L704" s="291"/>
      <c r="M704" s="290"/>
      <c r="N704" s="295"/>
      <c r="O704" s="296"/>
      <c r="P704" s="296"/>
      <c r="Q704" s="294"/>
      <c r="R704" s="297"/>
      <c r="S704" s="297"/>
      <c r="T704" s="297"/>
      <c r="U704" s="298"/>
      <c r="V704" s="351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</row>
    <row r="705">
      <c r="A705" s="351">
        <f>IFERROR(__xludf.DUMMYFUNCTION("""COMPUTED_VALUE"""),8291674.0)</f>
        <v>8291674</v>
      </c>
      <c r="B705" s="290" t="str">
        <f>IFERROR(__xludf.DUMMYFUNCTION("""COMPUTED_VALUE"""),"BookingCom")</f>
        <v>BookingCom</v>
      </c>
      <c r="C705" s="291" t="str">
        <f>IFERROR(__xludf.DUMMYFUNCTION("""COMPUTED_VALUE"""),"Monica Rentsch-Calvo ")</f>
        <v>Monica Rentsch-Calvo </v>
      </c>
      <c r="D705" s="352">
        <f>IFERROR(__xludf.DUMMYFUNCTION("""COMPUTED_VALUE"""),46314.0)</f>
        <v>46314</v>
      </c>
      <c r="E705" s="351">
        <f>IFERROR(__xludf.DUMMYFUNCTION("""COMPUTED_VALUE"""),46318.0)</f>
        <v>46318</v>
      </c>
      <c r="F705" s="353">
        <f>IFERROR(__xludf.DUMMYFUNCTION("""COMPUTED_VALUE"""),4.0)</f>
        <v>4</v>
      </c>
      <c r="G705" s="353">
        <f>IFERROR(__xludf.DUMMYFUNCTION("""COMPUTED_VALUE"""),2.0)</f>
        <v>2</v>
      </c>
      <c r="H705" s="354">
        <f>IFERROR(__xludf.DUMMYFUNCTION("""COMPUTED_VALUE"""),231.16)</f>
        <v>231.16</v>
      </c>
      <c r="I705" s="354">
        <f>IFERROR(__xludf.DUMMYFUNCTION("""COMPUTED_VALUE"""),739.712)</f>
        <v>739.712</v>
      </c>
      <c r="J705" s="257">
        <f t="shared" si="1"/>
        <v>8</v>
      </c>
      <c r="K705" s="291"/>
      <c r="L705" s="291"/>
      <c r="M705" s="300"/>
      <c r="N705" s="295"/>
      <c r="O705" s="296"/>
      <c r="P705" s="296"/>
      <c r="Q705" s="301"/>
      <c r="R705" s="297"/>
      <c r="S705" s="297"/>
      <c r="T705" s="297"/>
      <c r="U705" s="298"/>
      <c r="V705" s="351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</row>
    <row r="706">
      <c r="A706" s="351">
        <f>IFERROR(__xludf.DUMMYFUNCTION("""COMPUTED_VALUE"""),8292340.0)</f>
        <v>8292340</v>
      </c>
      <c r="B706" s="290" t="str">
        <f>IFERROR(__xludf.DUMMYFUNCTION("""COMPUTED_VALUE"""),"BookingCom")</f>
        <v>BookingCom</v>
      </c>
      <c r="C706" s="291" t="str">
        <f>IFERROR(__xludf.DUMMYFUNCTION("""COMPUTED_VALUE"""),"Wendy Murray ")</f>
        <v>Wendy Murray </v>
      </c>
      <c r="D706" s="352">
        <f>IFERROR(__xludf.DUMMYFUNCTION("""COMPUTED_VALUE"""),46193.0)</f>
        <v>46193</v>
      </c>
      <c r="E706" s="351">
        <f>IFERROR(__xludf.DUMMYFUNCTION("""COMPUTED_VALUE"""),46195.0)</f>
        <v>46195</v>
      </c>
      <c r="F706" s="353">
        <f>IFERROR(__xludf.DUMMYFUNCTION("""COMPUTED_VALUE"""),2.0)</f>
        <v>2</v>
      </c>
      <c r="G706" s="353">
        <f>IFERROR(__xludf.DUMMYFUNCTION("""COMPUTED_VALUE"""),2.0)</f>
        <v>2</v>
      </c>
      <c r="H706" s="354">
        <f>IFERROR(__xludf.DUMMYFUNCTION("""COMPUTED_VALUE"""),178.08)</f>
        <v>178.08</v>
      </c>
      <c r="I706" s="354">
        <f>IFERROR(__xludf.DUMMYFUNCTION("""COMPUTED_VALUE"""),284.92800000000005)</f>
        <v>284.928</v>
      </c>
      <c r="J706" s="257">
        <f t="shared" si="1"/>
        <v>4</v>
      </c>
      <c r="K706" s="291"/>
      <c r="L706" s="291"/>
      <c r="M706" s="290"/>
      <c r="N706" s="295"/>
      <c r="O706" s="296"/>
      <c r="P706" s="296"/>
      <c r="Q706" s="301"/>
      <c r="R706" s="297"/>
      <c r="S706" s="297"/>
      <c r="T706" s="297"/>
      <c r="U706" s="298"/>
      <c r="V706" s="351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</row>
    <row r="707">
      <c r="A707" s="351">
        <f>IFERROR(__xludf.DUMMYFUNCTION("""COMPUTED_VALUE"""),8299558.0)</f>
        <v>8299558</v>
      </c>
      <c r="B707" s="290" t="str">
        <f>IFERROR(__xludf.DUMMYFUNCTION("""COMPUTED_VALUE"""),"BookingCom")</f>
        <v>BookingCom</v>
      </c>
      <c r="C707" s="291" t="str">
        <f>IFERROR(__xludf.DUMMYFUNCTION("""COMPUTED_VALUE"""),"Pascale Rousset ")</f>
        <v>Pascale Rousset </v>
      </c>
      <c r="D707" s="352">
        <f>IFERROR(__xludf.DUMMYFUNCTION("""COMPUTED_VALUE"""),46178.0)</f>
        <v>46178</v>
      </c>
      <c r="E707" s="351">
        <f>IFERROR(__xludf.DUMMYFUNCTION("""COMPUTED_VALUE"""),46180.0)</f>
        <v>46180</v>
      </c>
      <c r="F707" s="353">
        <f>IFERROR(__xludf.DUMMYFUNCTION("""COMPUTED_VALUE"""),2.0)</f>
        <v>2</v>
      </c>
      <c r="G707" s="353">
        <f>IFERROR(__xludf.DUMMYFUNCTION("""COMPUTED_VALUE"""),2.0)</f>
        <v>2</v>
      </c>
      <c r="H707" s="354">
        <f>IFERROR(__xludf.DUMMYFUNCTION("""COMPUTED_VALUE"""),166.67)</f>
        <v>166.67</v>
      </c>
      <c r="I707" s="354">
        <f>IFERROR(__xludf.DUMMYFUNCTION("""COMPUTED_VALUE"""),266.67199999999997)</f>
        <v>266.672</v>
      </c>
      <c r="J707" s="257">
        <f t="shared" si="1"/>
        <v>4</v>
      </c>
      <c r="K707" s="291"/>
      <c r="L707" s="291"/>
      <c r="M707" s="290"/>
      <c r="N707" s="295"/>
      <c r="O707" s="296"/>
      <c r="P707" s="296"/>
      <c r="Q707" s="294"/>
      <c r="R707" s="297"/>
      <c r="S707" s="297"/>
      <c r="T707" s="297"/>
      <c r="U707" s="298"/>
      <c r="V707" s="351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</row>
    <row r="708">
      <c r="A708" s="351">
        <f>IFERROR(__xludf.DUMMYFUNCTION("""COMPUTED_VALUE"""),8300963.0)</f>
        <v>8300963</v>
      </c>
      <c r="B708" s="290" t="str">
        <f>IFERROR(__xludf.DUMMYFUNCTION("""COMPUTED_VALUE"""),"Expedia Affiliate Network")</f>
        <v>Expedia Affiliate Network</v>
      </c>
      <c r="C708" s="291" t="str">
        <f>IFERROR(__xludf.DUMMYFUNCTION("""COMPUTED_VALUE"""),"Walter Jarzabek ")</f>
        <v>Walter Jarzabek </v>
      </c>
      <c r="D708" s="352">
        <f>IFERROR(__xludf.DUMMYFUNCTION("""COMPUTED_VALUE"""),46130.0)</f>
        <v>46130</v>
      </c>
      <c r="E708" s="351">
        <f>IFERROR(__xludf.DUMMYFUNCTION("""COMPUTED_VALUE"""),46133.0)</f>
        <v>46133</v>
      </c>
      <c r="F708" s="353">
        <f>IFERROR(__xludf.DUMMYFUNCTION("""COMPUTED_VALUE"""),3.0)</f>
        <v>3</v>
      </c>
      <c r="G708" s="353">
        <f>IFERROR(__xludf.DUMMYFUNCTION("""COMPUTED_VALUE"""),2.0)</f>
        <v>2</v>
      </c>
      <c r="H708" s="354">
        <f>IFERROR(__xludf.DUMMYFUNCTION("""COMPUTED_VALUE"""),0.0)</f>
        <v>0</v>
      </c>
      <c r="I708" s="354">
        <f>IFERROR(__xludf.DUMMYFUNCTION("""COMPUTED_VALUE"""),0.0)</f>
        <v>0</v>
      </c>
      <c r="J708" s="257">
        <f t="shared" si="1"/>
        <v>6</v>
      </c>
      <c r="K708" s="291"/>
      <c r="L708" s="291"/>
      <c r="M708" s="300"/>
      <c r="N708" s="295"/>
      <c r="O708" s="296"/>
      <c r="P708" s="296"/>
      <c r="Q708" s="301"/>
      <c r="R708" s="297"/>
      <c r="S708" s="297"/>
      <c r="T708" s="297"/>
      <c r="U708" s="298"/>
      <c r="V708" s="351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</row>
    <row r="709">
      <c r="A709" s="351">
        <f>IFERROR(__xludf.DUMMYFUNCTION("""COMPUTED_VALUE"""),8301842.0)</f>
        <v>8301842</v>
      </c>
      <c r="B709" s="290" t="str">
        <f>IFERROR(__xludf.DUMMYFUNCTION("""COMPUTED_VALUE"""),"Agoda2")</f>
        <v>Agoda2</v>
      </c>
      <c r="C709" s="291" t="str">
        <f>IFERROR(__xludf.DUMMYFUNCTION("""COMPUTED_VALUE"""),"Jan-Luca Hatesuer ")</f>
        <v>Jan-Luca Hatesuer </v>
      </c>
      <c r="D709" s="352">
        <f>IFERROR(__xludf.DUMMYFUNCTION("""COMPUTED_VALUE"""),46100.0)</f>
        <v>46100</v>
      </c>
      <c r="E709" s="351">
        <f>IFERROR(__xludf.DUMMYFUNCTION("""COMPUTED_VALUE"""),46102.0)</f>
        <v>46102</v>
      </c>
      <c r="F709" s="353">
        <f>IFERROR(__xludf.DUMMYFUNCTION("""COMPUTED_VALUE"""),2.0)</f>
        <v>2</v>
      </c>
      <c r="G709" s="353">
        <f>IFERROR(__xludf.DUMMYFUNCTION("""COMPUTED_VALUE"""),1.0)</f>
        <v>1</v>
      </c>
      <c r="H709" s="354">
        <f>IFERROR(__xludf.DUMMYFUNCTION("""COMPUTED_VALUE"""),212.29)</f>
        <v>212.29</v>
      </c>
      <c r="I709" s="354">
        <f>IFERROR(__xludf.DUMMYFUNCTION("""COMPUTED_VALUE"""),339.664)</f>
        <v>339.664</v>
      </c>
      <c r="J709" s="257">
        <f t="shared" si="1"/>
        <v>2</v>
      </c>
      <c r="K709" s="291"/>
      <c r="L709" s="291"/>
      <c r="M709" s="290"/>
      <c r="N709" s="295"/>
      <c r="O709" s="296"/>
      <c r="P709" s="296"/>
      <c r="Q709" s="301"/>
      <c r="R709" s="297"/>
      <c r="S709" s="297"/>
      <c r="T709" s="297"/>
      <c r="U709" s="291"/>
      <c r="V709" s="351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</row>
    <row r="710">
      <c r="A710" s="351">
        <f>IFERROR(__xludf.DUMMYFUNCTION("""COMPUTED_VALUE"""),8304601.0)</f>
        <v>8304601</v>
      </c>
      <c r="B710" s="290" t="str">
        <f>IFERROR(__xludf.DUMMYFUNCTION("""COMPUTED_VALUE"""),"BookingCom")</f>
        <v>BookingCom</v>
      </c>
      <c r="C710" s="291" t="str">
        <f>IFERROR(__xludf.DUMMYFUNCTION("""COMPUTED_VALUE"""),"Fabienne Luongo ")</f>
        <v>Fabienne Luongo </v>
      </c>
      <c r="D710" s="352">
        <f>IFERROR(__xludf.DUMMYFUNCTION("""COMPUTED_VALUE"""),46296.0)</f>
        <v>46296</v>
      </c>
      <c r="E710" s="351">
        <f>IFERROR(__xludf.DUMMYFUNCTION("""COMPUTED_VALUE"""),46301.0)</f>
        <v>46301</v>
      </c>
      <c r="F710" s="353">
        <f>IFERROR(__xludf.DUMMYFUNCTION("""COMPUTED_VALUE"""),5.0)</f>
        <v>5</v>
      </c>
      <c r="G710" s="353">
        <f>IFERROR(__xludf.DUMMYFUNCTION("""COMPUTED_VALUE"""),3.0)</f>
        <v>3</v>
      </c>
      <c r="H710" s="354">
        <f>IFERROR(__xludf.DUMMYFUNCTION("""COMPUTED_VALUE"""),207.37199999999999)</f>
        <v>207.372</v>
      </c>
      <c r="I710" s="354">
        <f>IFERROR(__xludf.DUMMYFUNCTION("""COMPUTED_VALUE"""),829.488)</f>
        <v>829.488</v>
      </c>
      <c r="J710" s="257">
        <f t="shared" si="1"/>
        <v>15</v>
      </c>
      <c r="K710" s="291"/>
      <c r="L710" s="291"/>
      <c r="M710" s="290"/>
      <c r="N710" s="295"/>
      <c r="O710" s="296"/>
      <c r="P710" s="296"/>
      <c r="Q710" s="301"/>
      <c r="R710" s="297"/>
      <c r="S710" s="297"/>
      <c r="T710" s="297"/>
      <c r="U710" s="298"/>
      <c r="V710" s="351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</row>
    <row r="711">
      <c r="A711" s="351">
        <f>IFERROR(__xludf.DUMMYFUNCTION("""COMPUTED_VALUE"""),8304637.0)</f>
        <v>8304637</v>
      </c>
      <c r="B711" s="290" t="str">
        <f>IFERROR(__xludf.DUMMYFUNCTION("""COMPUTED_VALUE"""),"BookingCom")</f>
        <v>BookingCom</v>
      </c>
      <c r="C711" s="291" t="str">
        <f>IFERROR(__xludf.DUMMYFUNCTION("""COMPUTED_VALUE"""),"Kamila Land ")</f>
        <v>Kamila Land </v>
      </c>
      <c r="D711" s="352">
        <f>IFERROR(__xludf.DUMMYFUNCTION("""COMPUTED_VALUE"""),46170.0)</f>
        <v>46170</v>
      </c>
      <c r="E711" s="351">
        <f>IFERROR(__xludf.DUMMYFUNCTION("""COMPUTED_VALUE"""),46173.0)</f>
        <v>46173</v>
      </c>
      <c r="F711" s="353">
        <f>IFERROR(__xludf.DUMMYFUNCTION("""COMPUTED_VALUE"""),3.0)</f>
        <v>3</v>
      </c>
      <c r="G711" s="353">
        <f>IFERROR(__xludf.DUMMYFUNCTION("""COMPUTED_VALUE"""),2.0)</f>
        <v>2</v>
      </c>
      <c r="H711" s="354">
        <f>IFERROR(__xludf.DUMMYFUNCTION("""COMPUTED_VALUE"""),137.09)</f>
        <v>137.09</v>
      </c>
      <c r="I711" s="354">
        <f>IFERROR(__xludf.DUMMYFUNCTION("""COMPUTED_VALUE"""),329.016)</f>
        <v>329.016</v>
      </c>
      <c r="J711" s="257">
        <f t="shared" si="1"/>
        <v>6</v>
      </c>
      <c r="K711" s="291"/>
      <c r="L711" s="291"/>
      <c r="M711" s="290"/>
      <c r="N711" s="295"/>
      <c r="O711" s="296"/>
      <c r="P711" s="296"/>
      <c r="Q711" s="301"/>
      <c r="R711" s="297"/>
      <c r="S711" s="297"/>
      <c r="T711" s="297"/>
      <c r="U711" s="298"/>
      <c r="V711" s="351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</row>
    <row r="712">
      <c r="A712" s="351">
        <f>IFERROR(__xludf.DUMMYFUNCTION("""COMPUTED_VALUE"""),8304726.0)</f>
        <v>8304726</v>
      </c>
      <c r="B712" s="290" t="str">
        <f>IFERROR(__xludf.DUMMYFUNCTION("""COMPUTED_VALUE"""),"Reseliva Pannel")</f>
        <v>Reseliva Pannel</v>
      </c>
      <c r="C712" s="291" t="str">
        <f>IFERROR(__xludf.DUMMYFUNCTION("""COMPUTED_VALUE"""),"Pavels Kuzmins ")</f>
        <v>Pavels Kuzmins </v>
      </c>
      <c r="D712" s="352">
        <f>IFERROR(__xludf.DUMMYFUNCTION("""COMPUTED_VALUE"""),46099.0)</f>
        <v>46099</v>
      </c>
      <c r="E712" s="351">
        <f>IFERROR(__xludf.DUMMYFUNCTION("""COMPUTED_VALUE"""),46100.0)</f>
        <v>46100</v>
      </c>
      <c r="F712" s="353">
        <f>IFERROR(__xludf.DUMMYFUNCTION("""COMPUTED_VALUE"""),1.0)</f>
        <v>1</v>
      </c>
      <c r="G712" s="353">
        <f>IFERROR(__xludf.DUMMYFUNCTION("""COMPUTED_VALUE"""),2.0)</f>
        <v>2</v>
      </c>
      <c r="H712" s="354">
        <f>IFERROR(__xludf.DUMMYFUNCTION("""COMPUTED_VALUE"""),239.76)</f>
        <v>239.76</v>
      </c>
      <c r="I712" s="354">
        <f>IFERROR(__xludf.DUMMYFUNCTION("""COMPUTED_VALUE"""),239.76)</f>
        <v>239.76</v>
      </c>
      <c r="J712" s="257">
        <f t="shared" si="1"/>
        <v>2</v>
      </c>
      <c r="K712" s="291"/>
      <c r="L712" s="291"/>
      <c r="M712" s="290"/>
      <c r="N712" s="295"/>
      <c r="O712" s="296"/>
      <c r="P712" s="296"/>
      <c r="Q712" s="301"/>
      <c r="R712" s="297"/>
      <c r="S712" s="297"/>
      <c r="T712" s="297"/>
      <c r="U712" s="298"/>
      <c r="V712" s="351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</row>
    <row r="713">
      <c r="A713" s="351">
        <f>IFERROR(__xludf.DUMMYFUNCTION("""COMPUTED_VALUE"""),8305102.0)</f>
        <v>8305102</v>
      </c>
      <c r="B713" s="290" t="str">
        <f>IFERROR(__xludf.DUMMYFUNCTION("""COMPUTED_VALUE"""),"BookingCom")</f>
        <v>BookingCom</v>
      </c>
      <c r="C713" s="291" t="str">
        <f>IFERROR(__xludf.DUMMYFUNCTION("""COMPUTED_VALUE"""),"Kelly Custer ")</f>
        <v>Kelly Custer </v>
      </c>
      <c r="D713" s="352">
        <f>IFERROR(__xludf.DUMMYFUNCTION("""COMPUTED_VALUE"""),46153.0)</f>
        <v>46153</v>
      </c>
      <c r="E713" s="351">
        <f>IFERROR(__xludf.DUMMYFUNCTION("""COMPUTED_VALUE"""),46155.0)</f>
        <v>46155</v>
      </c>
      <c r="F713" s="353">
        <f>IFERROR(__xludf.DUMMYFUNCTION("""COMPUTED_VALUE"""),2.0)</f>
        <v>2</v>
      </c>
      <c r="G713" s="353">
        <f>IFERROR(__xludf.DUMMYFUNCTION("""COMPUTED_VALUE"""),2.0)</f>
        <v>2</v>
      </c>
      <c r="H713" s="354">
        <f>IFERROR(__xludf.DUMMYFUNCTION("""COMPUTED_VALUE"""),171.49)</f>
        <v>171.49</v>
      </c>
      <c r="I713" s="354">
        <f>IFERROR(__xludf.DUMMYFUNCTION("""COMPUTED_VALUE"""),274.384)</f>
        <v>274.384</v>
      </c>
      <c r="J713" s="257">
        <f t="shared" si="1"/>
        <v>4</v>
      </c>
      <c r="K713" s="291"/>
      <c r="L713" s="291"/>
      <c r="M713" s="290"/>
      <c r="N713" s="295"/>
      <c r="O713" s="296"/>
      <c r="P713" s="296"/>
      <c r="Q713" s="301"/>
      <c r="R713" s="297"/>
      <c r="S713" s="297"/>
      <c r="T713" s="297"/>
      <c r="U713" s="298"/>
      <c r="V713" s="351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</row>
    <row r="714">
      <c r="A714" s="351">
        <f>IFERROR(__xludf.DUMMYFUNCTION("""COMPUTED_VALUE"""),8306964.0)</f>
        <v>8306964</v>
      </c>
      <c r="B714" s="290" t="str">
        <f>IFERROR(__xludf.DUMMYFUNCTION("""COMPUTED_VALUE"""),"Agoda2")</f>
        <v>Agoda2</v>
      </c>
      <c r="C714" s="291" t="str">
        <f>IFERROR(__xludf.DUMMYFUNCTION("""COMPUTED_VALUE"""),"Riccardo Strino ")</f>
        <v>Riccardo Strino </v>
      </c>
      <c r="D714" s="352">
        <f>IFERROR(__xludf.DUMMYFUNCTION("""COMPUTED_VALUE"""),46100.0)</f>
        <v>46100</v>
      </c>
      <c r="E714" s="351">
        <f>IFERROR(__xludf.DUMMYFUNCTION("""COMPUTED_VALUE"""),46102.0)</f>
        <v>46102</v>
      </c>
      <c r="F714" s="353">
        <f>IFERROR(__xludf.DUMMYFUNCTION("""COMPUTED_VALUE"""),2.0)</f>
        <v>2</v>
      </c>
      <c r="G714" s="353">
        <f>IFERROR(__xludf.DUMMYFUNCTION("""COMPUTED_VALUE"""),2.0)</f>
        <v>2</v>
      </c>
      <c r="H714" s="354">
        <f>IFERROR(__xludf.DUMMYFUNCTION("""COMPUTED_VALUE"""),186.15)</f>
        <v>186.15</v>
      </c>
      <c r="I714" s="354">
        <f>IFERROR(__xludf.DUMMYFUNCTION("""COMPUTED_VALUE"""),297.84000000000003)</f>
        <v>297.84</v>
      </c>
      <c r="J714" s="257">
        <f t="shared" si="1"/>
        <v>4</v>
      </c>
      <c r="K714" s="291"/>
      <c r="L714" s="291"/>
      <c r="M714" s="290"/>
      <c r="N714" s="295"/>
      <c r="O714" s="296"/>
      <c r="P714" s="296"/>
      <c r="Q714" s="301"/>
      <c r="R714" s="297"/>
      <c r="S714" s="297"/>
      <c r="T714" s="297"/>
      <c r="U714" s="298"/>
      <c r="V714" s="351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</row>
    <row r="715">
      <c r="A715" s="351">
        <f>IFERROR(__xludf.DUMMYFUNCTION("""COMPUTED_VALUE"""),8308070.0)</f>
        <v>8308070</v>
      </c>
      <c r="B715" s="290" t="str">
        <f>IFERROR(__xludf.DUMMYFUNCTION("""COMPUTED_VALUE"""),"Reseliva")</f>
        <v>Reseliva</v>
      </c>
      <c r="C715" s="291" t="str">
        <f>IFERROR(__xludf.DUMMYFUNCTION("""COMPUTED_VALUE"""),"Michiel Kroes ")</f>
        <v>Michiel Kroes </v>
      </c>
      <c r="D715" s="352">
        <f>IFERROR(__xludf.DUMMYFUNCTION("""COMPUTED_VALUE"""),46334.0)</f>
        <v>46334</v>
      </c>
      <c r="E715" s="351">
        <f>IFERROR(__xludf.DUMMYFUNCTION("""COMPUTED_VALUE"""),46338.0)</f>
        <v>46338</v>
      </c>
      <c r="F715" s="353">
        <f>IFERROR(__xludf.DUMMYFUNCTION("""COMPUTED_VALUE"""),4.0)</f>
        <v>4</v>
      </c>
      <c r="G715" s="353">
        <f>IFERROR(__xludf.DUMMYFUNCTION("""COMPUTED_VALUE"""),2.0)</f>
        <v>2</v>
      </c>
      <c r="H715" s="354">
        <f>IFERROR(__xludf.DUMMYFUNCTION("""COMPUTED_VALUE"""),219.375)</f>
        <v>219.375</v>
      </c>
      <c r="I715" s="354">
        <f>IFERROR(__xludf.DUMMYFUNCTION("""COMPUTED_VALUE"""),868.725)</f>
        <v>868.725</v>
      </c>
      <c r="J715" s="257">
        <f t="shared" si="1"/>
        <v>8</v>
      </c>
      <c r="K715" s="291"/>
      <c r="L715" s="291"/>
      <c r="M715" s="300"/>
      <c r="N715" s="295"/>
      <c r="O715" s="296"/>
      <c r="P715" s="296"/>
      <c r="Q715" s="301"/>
      <c r="R715" s="297"/>
      <c r="S715" s="297"/>
      <c r="T715" s="297"/>
      <c r="U715" s="298"/>
      <c r="V715" s="351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</row>
    <row r="716">
      <c r="A716" s="351">
        <f>IFERROR(__xludf.DUMMYFUNCTION("""COMPUTED_VALUE"""),8308932.0)</f>
        <v>8308932</v>
      </c>
      <c r="B716" s="290" t="str">
        <f>IFERROR(__xludf.DUMMYFUNCTION("""COMPUTED_VALUE"""),"BookingCom")</f>
        <v>BookingCom</v>
      </c>
      <c r="C716" s="291" t="str">
        <f>IFERROR(__xludf.DUMMYFUNCTION("""COMPUTED_VALUE"""),"vince Ratcliffe ")</f>
        <v>vince Ratcliffe </v>
      </c>
      <c r="D716" s="352">
        <f>IFERROR(__xludf.DUMMYFUNCTION("""COMPUTED_VALUE"""),46110.0)</f>
        <v>46110</v>
      </c>
      <c r="E716" s="351">
        <f>IFERROR(__xludf.DUMMYFUNCTION("""COMPUTED_VALUE"""),46111.0)</f>
        <v>46111</v>
      </c>
      <c r="F716" s="353">
        <f>IFERROR(__xludf.DUMMYFUNCTION("""COMPUTED_VALUE"""),1.0)</f>
        <v>1</v>
      </c>
      <c r="G716" s="353">
        <f>IFERROR(__xludf.DUMMYFUNCTION("""COMPUTED_VALUE"""),2.0)</f>
        <v>2</v>
      </c>
      <c r="H716" s="354">
        <f>IFERROR(__xludf.DUMMYFUNCTION("""COMPUTED_VALUE"""),206.19)</f>
        <v>206.19</v>
      </c>
      <c r="I716" s="354">
        <f>IFERROR(__xludf.DUMMYFUNCTION("""COMPUTED_VALUE"""),164.952)</f>
        <v>164.952</v>
      </c>
      <c r="J716" s="257">
        <f t="shared" si="1"/>
        <v>2</v>
      </c>
      <c r="K716" s="291"/>
      <c r="L716" s="291"/>
      <c r="M716" s="290"/>
      <c r="N716" s="295"/>
      <c r="O716" s="296"/>
      <c r="P716" s="296"/>
      <c r="Q716" s="301"/>
      <c r="R716" s="297"/>
      <c r="S716" s="297"/>
      <c r="T716" s="297"/>
      <c r="U716" s="298"/>
      <c r="V716" s="351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</row>
    <row r="717">
      <c r="A717" s="351">
        <f>IFERROR(__xludf.DUMMYFUNCTION("""COMPUTED_VALUE"""),8310321.0)</f>
        <v>8310321</v>
      </c>
      <c r="B717" s="290" t="str">
        <f>IFERROR(__xludf.DUMMYFUNCTION("""COMPUTED_VALUE"""),"BookingCom")</f>
        <v>BookingCom</v>
      </c>
      <c r="C717" s="291" t="str">
        <f>IFERROR(__xludf.DUMMYFUNCTION("""COMPUTED_VALUE"""),"DIANA CARVALHIDO ")</f>
        <v>DIANA CARVALHIDO </v>
      </c>
      <c r="D717" s="352">
        <f>IFERROR(__xludf.DUMMYFUNCTION("""COMPUTED_VALUE"""),46300.0)</f>
        <v>46300</v>
      </c>
      <c r="E717" s="351">
        <f>IFERROR(__xludf.DUMMYFUNCTION("""COMPUTED_VALUE"""),46304.0)</f>
        <v>46304</v>
      </c>
      <c r="F717" s="353">
        <f>IFERROR(__xludf.DUMMYFUNCTION("""COMPUTED_VALUE"""),4.0)</f>
        <v>4</v>
      </c>
      <c r="G717" s="353">
        <f>IFERROR(__xludf.DUMMYFUNCTION("""COMPUTED_VALUE"""),4.0)</f>
        <v>4</v>
      </c>
      <c r="H717" s="354">
        <f>IFERROR(__xludf.DUMMYFUNCTION("""COMPUTED_VALUE"""),395.95)</f>
        <v>395.95</v>
      </c>
      <c r="I717" s="354">
        <f>IFERROR(__xludf.DUMMYFUNCTION("""COMPUTED_VALUE"""),1267.04)</f>
        <v>1267.04</v>
      </c>
      <c r="J717" s="257">
        <f t="shared" si="1"/>
        <v>16</v>
      </c>
      <c r="K717" s="291"/>
      <c r="L717" s="291"/>
      <c r="M717" s="300"/>
      <c r="N717" s="295"/>
      <c r="O717" s="296"/>
      <c r="P717" s="296"/>
      <c r="Q717" s="301"/>
      <c r="R717" s="297"/>
      <c r="S717" s="297"/>
      <c r="T717" s="297"/>
      <c r="U717" s="298"/>
      <c r="V717" s="351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</row>
    <row r="718">
      <c r="A718" s="351">
        <f>IFERROR(__xludf.DUMMYFUNCTION("""COMPUTED_VALUE"""),8311598.0)</f>
        <v>8311598</v>
      </c>
      <c r="B718" s="290" t="str">
        <f>IFERROR(__xludf.DUMMYFUNCTION("""COMPUTED_VALUE"""),"BookingCom")</f>
        <v>BookingCom</v>
      </c>
      <c r="C718" s="291" t="str">
        <f>IFERROR(__xludf.DUMMYFUNCTION("""COMPUTED_VALUE"""),"Diana Vejina ")</f>
        <v>Diana Vejina </v>
      </c>
      <c r="D718" s="352">
        <f>IFERROR(__xludf.DUMMYFUNCTION("""COMPUTED_VALUE"""),46195.0)</f>
        <v>46195</v>
      </c>
      <c r="E718" s="351">
        <f>IFERROR(__xludf.DUMMYFUNCTION("""COMPUTED_VALUE"""),46197.0)</f>
        <v>46197</v>
      </c>
      <c r="F718" s="353">
        <f>IFERROR(__xludf.DUMMYFUNCTION("""COMPUTED_VALUE"""),2.0)</f>
        <v>2</v>
      </c>
      <c r="G718" s="353">
        <f>IFERROR(__xludf.DUMMYFUNCTION("""COMPUTED_VALUE"""),2.0)</f>
        <v>2</v>
      </c>
      <c r="H718" s="354">
        <f>IFERROR(__xludf.DUMMYFUNCTION("""COMPUTED_VALUE"""),106.57)</f>
        <v>106.57</v>
      </c>
      <c r="I718" s="354">
        <f>IFERROR(__xludf.DUMMYFUNCTION("""COMPUTED_VALUE"""),170.512)</f>
        <v>170.512</v>
      </c>
      <c r="J718" s="257">
        <f t="shared" si="1"/>
        <v>4</v>
      </c>
      <c r="K718" s="291"/>
      <c r="L718" s="291"/>
      <c r="M718" s="290"/>
      <c r="N718" s="295"/>
      <c r="O718" s="296"/>
      <c r="P718" s="296"/>
      <c r="Q718" s="301"/>
      <c r="R718" s="297"/>
      <c r="S718" s="297"/>
      <c r="T718" s="297"/>
      <c r="U718" s="298"/>
      <c r="V718" s="351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</row>
    <row r="719">
      <c r="A719" s="351">
        <f>IFERROR(__xludf.DUMMYFUNCTION("""COMPUTED_VALUE"""),8313132.0)</f>
        <v>8313132</v>
      </c>
      <c r="B719" s="290" t="str">
        <f>IFERROR(__xludf.DUMMYFUNCTION("""COMPUTED_VALUE"""),"BookingCom")</f>
        <v>BookingCom</v>
      </c>
      <c r="C719" s="291" t="str">
        <f>IFERROR(__xludf.DUMMYFUNCTION("""COMPUTED_VALUE"""),"Vincenzo Mirto ")</f>
        <v>Vincenzo Mirto </v>
      </c>
      <c r="D719" s="352">
        <f>IFERROR(__xludf.DUMMYFUNCTION("""COMPUTED_VALUE"""),46487.0)</f>
        <v>46487</v>
      </c>
      <c r="E719" s="351">
        <f>IFERROR(__xludf.DUMMYFUNCTION("""COMPUTED_VALUE"""),46490.0)</f>
        <v>46490</v>
      </c>
      <c r="F719" s="353">
        <f>IFERROR(__xludf.DUMMYFUNCTION("""COMPUTED_VALUE"""),3.0)</f>
        <v>3</v>
      </c>
      <c r="G719" s="353">
        <f>IFERROR(__xludf.DUMMYFUNCTION("""COMPUTED_VALUE"""),2.0)</f>
        <v>2</v>
      </c>
      <c r="H719" s="354">
        <f>IFERROR(__xludf.DUMMYFUNCTION("""COMPUTED_VALUE"""),135.66)</f>
        <v>135.66</v>
      </c>
      <c r="I719" s="354">
        <f>IFERROR(__xludf.DUMMYFUNCTION("""COMPUTED_VALUE"""),325.584)</f>
        <v>325.584</v>
      </c>
      <c r="J719" s="257">
        <f t="shared" si="1"/>
        <v>6</v>
      </c>
      <c r="K719" s="291"/>
      <c r="L719" s="291"/>
      <c r="M719" s="290"/>
      <c r="N719" s="295"/>
      <c r="O719" s="296"/>
      <c r="P719" s="296"/>
      <c r="Q719" s="301"/>
      <c r="R719" s="297"/>
      <c r="S719" s="297"/>
      <c r="T719" s="297"/>
      <c r="U719" s="298"/>
      <c r="V719" s="351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</row>
    <row r="720">
      <c r="A720" s="351">
        <f>IFERROR(__xludf.DUMMYFUNCTION("""COMPUTED_VALUE"""),8313941.0)</f>
        <v>8313941</v>
      </c>
      <c r="B720" s="290" t="str">
        <f>IFERROR(__xludf.DUMMYFUNCTION("""COMPUTED_VALUE"""),"BookingCom")</f>
        <v>BookingCom</v>
      </c>
      <c r="C720" s="291" t="str">
        <f>IFERROR(__xludf.DUMMYFUNCTION("""COMPUTED_VALUE"""),"Isabelle Koch Breidahl ")</f>
        <v>Isabelle Koch Breidahl </v>
      </c>
      <c r="D720" s="352">
        <f>IFERROR(__xludf.DUMMYFUNCTION("""COMPUTED_VALUE"""),46140.0)</f>
        <v>46140</v>
      </c>
      <c r="E720" s="351">
        <f>IFERROR(__xludf.DUMMYFUNCTION("""COMPUTED_VALUE"""),46142.0)</f>
        <v>46142</v>
      </c>
      <c r="F720" s="353">
        <f>IFERROR(__xludf.DUMMYFUNCTION("""COMPUTED_VALUE"""),2.0)</f>
        <v>2</v>
      </c>
      <c r="G720" s="353">
        <f>IFERROR(__xludf.DUMMYFUNCTION("""COMPUTED_VALUE"""),2.0)</f>
        <v>2</v>
      </c>
      <c r="H720" s="354">
        <f>IFERROR(__xludf.DUMMYFUNCTION("""COMPUTED_VALUE"""),144.69)</f>
        <v>144.69</v>
      </c>
      <c r="I720" s="354">
        <f>IFERROR(__xludf.DUMMYFUNCTION("""COMPUTED_VALUE"""),231.50400000000002)</f>
        <v>231.504</v>
      </c>
      <c r="J720" s="257">
        <f t="shared" si="1"/>
        <v>4</v>
      </c>
      <c r="K720" s="291"/>
      <c r="L720" s="291"/>
      <c r="M720" s="300"/>
      <c r="N720" s="295"/>
      <c r="O720" s="296"/>
      <c r="P720" s="296"/>
      <c r="Q720" s="294"/>
      <c r="R720" s="297"/>
      <c r="S720" s="297"/>
      <c r="T720" s="297"/>
      <c r="U720" s="298"/>
      <c r="V720" s="351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</row>
    <row r="721">
      <c r="A721" s="351">
        <f>IFERROR(__xludf.DUMMYFUNCTION("""COMPUTED_VALUE"""),8314073.0)</f>
        <v>8314073</v>
      </c>
      <c r="B721" s="290" t="str">
        <f>IFERROR(__xludf.DUMMYFUNCTION("""COMPUTED_VALUE"""),"BookingCom")</f>
        <v>BookingCom</v>
      </c>
      <c r="C721" s="291" t="str">
        <f>IFERROR(__xludf.DUMMYFUNCTION("""COMPUTED_VALUE"""),"Sarah Zaki ")</f>
        <v>Sarah Zaki </v>
      </c>
      <c r="D721" s="352">
        <f>IFERROR(__xludf.DUMMYFUNCTION("""COMPUTED_VALUE"""),46168.0)</f>
        <v>46168</v>
      </c>
      <c r="E721" s="351">
        <f>IFERROR(__xludf.DUMMYFUNCTION("""COMPUTED_VALUE"""),46172.0)</f>
        <v>46172</v>
      </c>
      <c r="F721" s="353">
        <f>IFERROR(__xludf.DUMMYFUNCTION("""COMPUTED_VALUE"""),4.0)</f>
        <v>4</v>
      </c>
      <c r="G721" s="353">
        <f>IFERROR(__xludf.DUMMYFUNCTION("""COMPUTED_VALUE"""),3.0)</f>
        <v>3</v>
      </c>
      <c r="H721" s="354">
        <f>IFERROR(__xludf.DUMMYFUNCTION("""COMPUTED_VALUE"""),188.13)</f>
        <v>188.13</v>
      </c>
      <c r="I721" s="354">
        <f>IFERROR(__xludf.DUMMYFUNCTION("""COMPUTED_VALUE"""),602.016)</f>
        <v>602.016</v>
      </c>
      <c r="J721" s="257">
        <f t="shared" si="1"/>
        <v>12</v>
      </c>
      <c r="K721" s="291"/>
      <c r="L721" s="291"/>
      <c r="M721" s="290"/>
      <c r="N721" s="295"/>
      <c r="O721" s="296"/>
      <c r="P721" s="296"/>
      <c r="Q721" s="294"/>
      <c r="R721" s="297"/>
      <c r="S721" s="297"/>
      <c r="T721" s="297"/>
      <c r="U721" s="298"/>
      <c r="V721" s="351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</row>
    <row r="722">
      <c r="A722" s="351">
        <f>IFERROR(__xludf.DUMMYFUNCTION("""COMPUTED_VALUE"""),8314096.0)</f>
        <v>8314096</v>
      </c>
      <c r="B722" s="290" t="str">
        <f>IFERROR(__xludf.DUMMYFUNCTION("""COMPUTED_VALUE"""),"BookingCom")</f>
        <v>BookingCom</v>
      </c>
      <c r="C722" s="291" t="str">
        <f>IFERROR(__xludf.DUMMYFUNCTION("""COMPUTED_VALUE"""),"Hasham Khan ")</f>
        <v>Hasham Khan </v>
      </c>
      <c r="D722" s="352">
        <f>IFERROR(__xludf.DUMMYFUNCTION("""COMPUTED_VALUE"""),46128.0)</f>
        <v>46128</v>
      </c>
      <c r="E722" s="351">
        <f>IFERROR(__xludf.DUMMYFUNCTION("""COMPUTED_VALUE"""),46129.0)</f>
        <v>46129</v>
      </c>
      <c r="F722" s="353">
        <f>IFERROR(__xludf.DUMMYFUNCTION("""COMPUTED_VALUE"""),1.0)</f>
        <v>1</v>
      </c>
      <c r="G722" s="353">
        <f>IFERROR(__xludf.DUMMYFUNCTION("""COMPUTED_VALUE"""),2.0)</f>
        <v>2</v>
      </c>
      <c r="H722" s="354">
        <f>IFERROR(__xludf.DUMMYFUNCTION("""COMPUTED_VALUE"""),214.2)</f>
        <v>214.2</v>
      </c>
      <c r="I722" s="354">
        <f>IFERROR(__xludf.DUMMYFUNCTION("""COMPUTED_VALUE"""),171.36)</f>
        <v>171.36</v>
      </c>
      <c r="J722" s="257">
        <f t="shared" si="1"/>
        <v>2</v>
      </c>
      <c r="K722" s="291"/>
      <c r="L722" s="291"/>
      <c r="M722" s="290"/>
      <c r="N722" s="295"/>
      <c r="O722" s="296"/>
      <c r="P722" s="296"/>
      <c r="Q722" s="301"/>
      <c r="R722" s="297"/>
      <c r="S722" s="297"/>
      <c r="T722" s="297"/>
      <c r="U722" s="298"/>
      <c r="V722" s="351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</row>
    <row r="723">
      <c r="A723" s="351">
        <f>IFERROR(__xludf.DUMMYFUNCTION("""COMPUTED_VALUE"""),8314833.0)</f>
        <v>8314833</v>
      </c>
      <c r="B723" s="290" t="str">
        <f>IFERROR(__xludf.DUMMYFUNCTION("""COMPUTED_VALUE"""),"Reseliva")</f>
        <v>Reseliva</v>
      </c>
      <c r="C723" s="291" t="str">
        <f>IFERROR(__xludf.DUMMYFUNCTION("""COMPUTED_VALUE"""),"Jonathon Puzey ")</f>
        <v>Jonathon Puzey </v>
      </c>
      <c r="D723" s="352">
        <f>IFERROR(__xludf.DUMMYFUNCTION("""COMPUTED_VALUE"""),46260.0)</f>
        <v>46260</v>
      </c>
      <c r="E723" s="351">
        <f>IFERROR(__xludf.DUMMYFUNCTION("""COMPUTED_VALUE"""),46263.0)</f>
        <v>46263</v>
      </c>
      <c r="F723" s="353">
        <f>IFERROR(__xludf.DUMMYFUNCTION("""COMPUTED_VALUE"""),3.0)</f>
        <v>3</v>
      </c>
      <c r="G723" s="353">
        <f>IFERROR(__xludf.DUMMYFUNCTION("""COMPUTED_VALUE"""),1.0)</f>
        <v>1</v>
      </c>
      <c r="H723" s="354">
        <f>IFERROR(__xludf.DUMMYFUNCTION("""COMPUTED_VALUE"""),162.72)</f>
        <v>162.72</v>
      </c>
      <c r="I723" s="354">
        <f>IFERROR(__xludf.DUMMYFUNCTION("""COMPUTED_VALUE"""),483.27840000000003)</f>
        <v>483.2784</v>
      </c>
      <c r="J723" s="257">
        <f t="shared" si="1"/>
        <v>3</v>
      </c>
      <c r="K723" s="291"/>
      <c r="L723" s="291"/>
      <c r="M723" s="290"/>
      <c r="N723" s="295"/>
      <c r="O723" s="296"/>
      <c r="P723" s="296"/>
      <c r="Q723" s="301"/>
      <c r="R723" s="297"/>
      <c r="S723" s="297"/>
      <c r="T723" s="297"/>
      <c r="U723" s="298"/>
      <c r="V723" s="351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</row>
    <row r="724">
      <c r="A724" s="351">
        <f>IFERROR(__xludf.DUMMYFUNCTION("""COMPUTED_VALUE"""),8314833.0)</f>
        <v>8314833</v>
      </c>
      <c r="B724" s="290" t="str">
        <f>IFERROR(__xludf.DUMMYFUNCTION("""COMPUTED_VALUE"""),"Reseliva")</f>
        <v>Reseliva</v>
      </c>
      <c r="C724" s="291" t="str">
        <f>IFERROR(__xludf.DUMMYFUNCTION("""COMPUTED_VALUE"""),"Jonathon Puzey ")</f>
        <v>Jonathon Puzey </v>
      </c>
      <c r="D724" s="352">
        <f>IFERROR(__xludf.DUMMYFUNCTION("""COMPUTED_VALUE"""),46260.0)</f>
        <v>46260</v>
      </c>
      <c r="E724" s="351">
        <f>IFERROR(__xludf.DUMMYFUNCTION("""COMPUTED_VALUE"""),46263.0)</f>
        <v>46263</v>
      </c>
      <c r="F724" s="353">
        <f>IFERROR(__xludf.DUMMYFUNCTION("""COMPUTED_VALUE"""),3.0)</f>
        <v>3</v>
      </c>
      <c r="G724" s="353">
        <f>IFERROR(__xludf.DUMMYFUNCTION("""COMPUTED_VALUE"""),2.0)</f>
        <v>2</v>
      </c>
      <c r="H724" s="354">
        <f>IFERROR(__xludf.DUMMYFUNCTION("""COMPUTED_VALUE"""),181.44000000000003)</f>
        <v>181.44</v>
      </c>
      <c r="I724" s="354">
        <f>IFERROR(__xludf.DUMMYFUNCTION("""COMPUTED_VALUE"""),538.8768)</f>
        <v>538.8768</v>
      </c>
      <c r="J724" s="257">
        <f t="shared" si="1"/>
        <v>6</v>
      </c>
      <c r="K724" s="291"/>
      <c r="L724" s="291"/>
      <c r="M724" s="290"/>
      <c r="N724" s="295"/>
      <c r="O724" s="296"/>
      <c r="P724" s="296"/>
      <c r="Q724" s="294"/>
      <c r="R724" s="297"/>
      <c r="S724" s="297"/>
      <c r="T724" s="297"/>
      <c r="U724" s="298"/>
      <c r="V724" s="351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</row>
    <row r="725">
      <c r="A725" s="351">
        <f>IFERROR(__xludf.DUMMYFUNCTION("""COMPUTED_VALUE"""),8314833.0)</f>
        <v>8314833</v>
      </c>
      <c r="B725" s="290" t="str">
        <f>IFERROR(__xludf.DUMMYFUNCTION("""COMPUTED_VALUE"""),"Reseliva")</f>
        <v>Reseliva</v>
      </c>
      <c r="C725" s="291" t="str">
        <f>IFERROR(__xludf.DUMMYFUNCTION("""COMPUTED_VALUE"""),"Jonathon Puzey ")</f>
        <v>Jonathon Puzey </v>
      </c>
      <c r="D725" s="352">
        <f>IFERROR(__xludf.DUMMYFUNCTION("""COMPUTED_VALUE"""),46260.0)</f>
        <v>46260</v>
      </c>
      <c r="E725" s="351">
        <f>IFERROR(__xludf.DUMMYFUNCTION("""COMPUTED_VALUE"""),46263.0)</f>
        <v>46263</v>
      </c>
      <c r="F725" s="353">
        <f>IFERROR(__xludf.DUMMYFUNCTION("""COMPUTED_VALUE"""),3.0)</f>
        <v>3</v>
      </c>
      <c r="G725" s="353">
        <f>IFERROR(__xludf.DUMMYFUNCTION("""COMPUTED_VALUE"""),2.0)</f>
        <v>2</v>
      </c>
      <c r="H725" s="354">
        <f>IFERROR(__xludf.DUMMYFUNCTION("""COMPUTED_VALUE"""),181.44000000000003)</f>
        <v>181.44</v>
      </c>
      <c r="I725" s="354">
        <f>IFERROR(__xludf.DUMMYFUNCTION("""COMPUTED_VALUE"""),538.8768)</f>
        <v>538.8768</v>
      </c>
      <c r="J725" s="257">
        <f t="shared" si="1"/>
        <v>6</v>
      </c>
      <c r="K725" s="291"/>
      <c r="L725" s="291"/>
      <c r="M725" s="300"/>
      <c r="N725" s="295"/>
      <c r="O725" s="296"/>
      <c r="P725" s="296"/>
      <c r="Q725" s="301"/>
      <c r="R725" s="297"/>
      <c r="S725" s="297"/>
      <c r="T725" s="297"/>
      <c r="U725" s="298"/>
      <c r="V725" s="351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</row>
    <row r="726">
      <c r="A726" s="351">
        <f>IFERROR(__xludf.DUMMYFUNCTION("""COMPUTED_VALUE"""),8314964.0)</f>
        <v>8314964</v>
      </c>
      <c r="B726" s="290" t="str">
        <f>IFERROR(__xludf.DUMMYFUNCTION("""COMPUTED_VALUE"""),"BookingCom")</f>
        <v>BookingCom</v>
      </c>
      <c r="C726" s="291" t="str">
        <f>IFERROR(__xludf.DUMMYFUNCTION("""COMPUTED_VALUE"""),"Lisa Ryan ")</f>
        <v>Lisa Ryan </v>
      </c>
      <c r="D726" s="352">
        <f>IFERROR(__xludf.DUMMYFUNCTION("""COMPUTED_VALUE"""),46579.0)</f>
        <v>46579</v>
      </c>
      <c r="E726" s="351">
        <f>IFERROR(__xludf.DUMMYFUNCTION("""COMPUTED_VALUE"""),46585.0)</f>
        <v>46585</v>
      </c>
      <c r="F726" s="353">
        <f>IFERROR(__xludf.DUMMYFUNCTION("""COMPUTED_VALUE"""),6.0)</f>
        <v>6</v>
      </c>
      <c r="G726" s="353">
        <f>IFERROR(__xludf.DUMMYFUNCTION("""COMPUTED_VALUE"""),2.0)</f>
        <v>2</v>
      </c>
      <c r="H726" s="354">
        <f>IFERROR(__xludf.DUMMYFUNCTION("""COMPUTED_VALUE"""),111.60000000000001)</f>
        <v>111.6</v>
      </c>
      <c r="I726" s="354">
        <f>IFERROR(__xludf.DUMMYFUNCTION("""COMPUTED_VALUE"""),535.6800000000001)</f>
        <v>535.68</v>
      </c>
      <c r="J726" s="257">
        <f t="shared" si="1"/>
        <v>12</v>
      </c>
      <c r="K726" s="291"/>
      <c r="L726" s="291"/>
      <c r="M726" s="290"/>
      <c r="N726" s="295"/>
      <c r="O726" s="296"/>
      <c r="P726" s="296"/>
      <c r="Q726" s="301"/>
      <c r="R726" s="297"/>
      <c r="S726" s="297"/>
      <c r="T726" s="297"/>
      <c r="U726" s="298"/>
      <c r="V726" s="351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</row>
    <row r="727">
      <c r="A727" s="351">
        <f>IFERROR(__xludf.DUMMYFUNCTION("""COMPUTED_VALUE"""),8315806.0)</f>
        <v>8315806</v>
      </c>
      <c r="B727" s="290" t="str">
        <f>IFERROR(__xludf.DUMMYFUNCTION("""COMPUTED_VALUE"""),"BookingCom")</f>
        <v>BookingCom</v>
      </c>
      <c r="C727" s="291" t="str">
        <f>IFERROR(__xludf.DUMMYFUNCTION("""COMPUTED_VALUE"""),"Sabrina Aulich ")</f>
        <v>Sabrina Aulich </v>
      </c>
      <c r="D727" s="352">
        <f>IFERROR(__xludf.DUMMYFUNCTION("""COMPUTED_VALUE"""),46112.0)</f>
        <v>46112</v>
      </c>
      <c r="E727" s="351">
        <f>IFERROR(__xludf.DUMMYFUNCTION("""COMPUTED_VALUE"""),46113.0)</f>
        <v>46113</v>
      </c>
      <c r="F727" s="353">
        <f>IFERROR(__xludf.DUMMYFUNCTION("""COMPUTED_VALUE"""),1.0)</f>
        <v>1</v>
      </c>
      <c r="G727" s="353">
        <f>IFERROR(__xludf.DUMMYFUNCTION("""COMPUTED_VALUE"""),4.0)</f>
        <v>4</v>
      </c>
      <c r="H727" s="354">
        <f>IFERROR(__xludf.DUMMYFUNCTION("""COMPUTED_VALUE"""),599.76)</f>
        <v>599.76</v>
      </c>
      <c r="I727" s="354">
        <f>IFERROR(__xludf.DUMMYFUNCTION("""COMPUTED_VALUE"""),479.808)</f>
        <v>479.808</v>
      </c>
      <c r="J727" s="257">
        <f t="shared" si="1"/>
        <v>4</v>
      </c>
      <c r="K727" s="291"/>
      <c r="L727" s="291"/>
      <c r="M727" s="290"/>
      <c r="N727" s="295"/>
      <c r="O727" s="296"/>
      <c r="P727" s="296"/>
      <c r="Q727" s="301"/>
      <c r="R727" s="297"/>
      <c r="S727" s="297"/>
      <c r="T727" s="297"/>
      <c r="U727" s="298"/>
      <c r="V727" s="351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</row>
    <row r="728">
      <c r="A728" s="351">
        <f>IFERROR(__xludf.DUMMYFUNCTION("""COMPUTED_VALUE"""),8316376.0)</f>
        <v>8316376</v>
      </c>
      <c r="B728" s="290" t="str">
        <f>IFERROR(__xludf.DUMMYFUNCTION("""COMPUTED_VALUE"""),"BookingCom")</f>
        <v>BookingCom</v>
      </c>
      <c r="C728" s="291" t="str">
        <f>IFERROR(__xludf.DUMMYFUNCTION("""COMPUTED_VALUE"""),"Joanna Damen-Wendholt ")</f>
        <v>Joanna Damen-Wendholt </v>
      </c>
      <c r="D728" s="352">
        <f>IFERROR(__xludf.DUMMYFUNCTION("""COMPUTED_VALUE"""),46321.0)</f>
        <v>46321</v>
      </c>
      <c r="E728" s="351">
        <f>IFERROR(__xludf.DUMMYFUNCTION("""COMPUTED_VALUE"""),46324.0)</f>
        <v>46324</v>
      </c>
      <c r="F728" s="353">
        <f>IFERROR(__xludf.DUMMYFUNCTION("""COMPUTED_VALUE"""),3.0)</f>
        <v>3</v>
      </c>
      <c r="G728" s="353">
        <f>IFERROR(__xludf.DUMMYFUNCTION("""COMPUTED_VALUE"""),4.0)</f>
        <v>4</v>
      </c>
      <c r="H728" s="354">
        <f>IFERROR(__xludf.DUMMYFUNCTION("""COMPUTED_VALUE"""),434.56)</f>
        <v>434.56</v>
      </c>
      <c r="I728" s="354">
        <f>IFERROR(__xludf.DUMMYFUNCTION("""COMPUTED_VALUE"""),1042.944)</f>
        <v>1042.944</v>
      </c>
      <c r="J728" s="257">
        <f t="shared" si="1"/>
        <v>12</v>
      </c>
      <c r="K728" s="291"/>
      <c r="L728" s="291"/>
      <c r="M728" s="300"/>
      <c r="N728" s="295"/>
      <c r="O728" s="296"/>
      <c r="P728" s="296"/>
      <c r="Q728" s="301"/>
      <c r="R728" s="297"/>
      <c r="S728" s="297"/>
      <c r="T728" s="297"/>
      <c r="U728" s="298"/>
      <c r="V728" s="351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</row>
    <row r="729">
      <c r="A729" s="351">
        <f>IFERROR(__xludf.DUMMYFUNCTION("""COMPUTED_VALUE"""),8318541.0)</f>
        <v>8318541</v>
      </c>
      <c r="B729" s="290" t="str">
        <f>IFERROR(__xludf.DUMMYFUNCTION("""COMPUTED_VALUE"""),"BookingCom")</f>
        <v>BookingCom</v>
      </c>
      <c r="C729" s="291" t="str">
        <f>IFERROR(__xludf.DUMMYFUNCTION("""COMPUTED_VALUE"""),"Lisa Zaleski-Larsen ")</f>
        <v>Lisa Zaleski-Larsen </v>
      </c>
      <c r="D729" s="352">
        <f>IFERROR(__xludf.DUMMYFUNCTION("""COMPUTED_VALUE"""),46322.0)</f>
        <v>46322</v>
      </c>
      <c r="E729" s="351">
        <f>IFERROR(__xludf.DUMMYFUNCTION("""COMPUTED_VALUE"""),46324.0)</f>
        <v>46324</v>
      </c>
      <c r="F729" s="353">
        <f>IFERROR(__xludf.DUMMYFUNCTION("""COMPUTED_VALUE"""),2.0)</f>
        <v>2</v>
      </c>
      <c r="G729" s="353">
        <f>IFERROR(__xludf.DUMMYFUNCTION("""COMPUTED_VALUE"""),2.0)</f>
        <v>2</v>
      </c>
      <c r="H729" s="354">
        <f>IFERROR(__xludf.DUMMYFUNCTION("""COMPUTED_VALUE"""),168.96)</f>
        <v>168.96</v>
      </c>
      <c r="I729" s="354">
        <f>IFERROR(__xludf.DUMMYFUNCTION("""COMPUTED_VALUE"""),270.336)</f>
        <v>270.336</v>
      </c>
      <c r="J729" s="257">
        <f t="shared" si="1"/>
        <v>4</v>
      </c>
      <c r="K729" s="291"/>
      <c r="L729" s="291"/>
      <c r="M729" s="300"/>
      <c r="N729" s="295"/>
      <c r="O729" s="296"/>
      <c r="P729" s="296"/>
      <c r="Q729" s="301"/>
      <c r="R729" s="297"/>
      <c r="S729" s="297"/>
      <c r="T729" s="297"/>
      <c r="U729" s="298"/>
      <c r="V729" s="351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</row>
    <row r="730">
      <c r="A730" s="351">
        <f>IFERROR(__xludf.DUMMYFUNCTION("""COMPUTED_VALUE"""),8319397.0)</f>
        <v>8319397</v>
      </c>
      <c r="B730" s="290" t="str">
        <f>IFERROR(__xludf.DUMMYFUNCTION("""COMPUTED_VALUE"""),"BookingCom")</f>
        <v>BookingCom</v>
      </c>
      <c r="C730" s="291" t="str">
        <f>IFERROR(__xludf.DUMMYFUNCTION("""COMPUTED_VALUE"""),"Barbara Vannieuwenborgh ")</f>
        <v>Barbara Vannieuwenborgh </v>
      </c>
      <c r="D730" s="352">
        <f>IFERROR(__xludf.DUMMYFUNCTION("""COMPUTED_VALUE"""),46158.0)</f>
        <v>46158</v>
      </c>
      <c r="E730" s="351">
        <f>IFERROR(__xludf.DUMMYFUNCTION("""COMPUTED_VALUE"""),46162.0)</f>
        <v>46162</v>
      </c>
      <c r="F730" s="353">
        <f>IFERROR(__xludf.DUMMYFUNCTION("""COMPUTED_VALUE"""),4.0)</f>
        <v>4</v>
      </c>
      <c r="G730" s="353">
        <f>IFERROR(__xludf.DUMMYFUNCTION("""COMPUTED_VALUE"""),2.0)</f>
        <v>2</v>
      </c>
      <c r="H730" s="354">
        <f>IFERROR(__xludf.DUMMYFUNCTION("""COMPUTED_VALUE"""),229.68)</f>
        <v>229.68</v>
      </c>
      <c r="I730" s="354">
        <f>IFERROR(__xludf.DUMMYFUNCTION("""COMPUTED_VALUE"""),734.9760000000001)</f>
        <v>734.976</v>
      </c>
      <c r="J730" s="257">
        <f t="shared" si="1"/>
        <v>8</v>
      </c>
      <c r="K730" s="291"/>
      <c r="L730" s="291"/>
      <c r="M730" s="290"/>
      <c r="N730" s="295"/>
      <c r="O730" s="296"/>
      <c r="P730" s="296"/>
      <c r="Q730" s="301"/>
      <c r="R730" s="297"/>
      <c r="S730" s="297"/>
      <c r="T730" s="297"/>
      <c r="U730" s="298"/>
      <c r="V730" s="351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</row>
    <row r="731">
      <c r="A731" s="351">
        <f>IFERROR(__xludf.DUMMYFUNCTION("""COMPUTED_VALUE"""),8319415.0)</f>
        <v>8319415</v>
      </c>
      <c r="B731" s="290" t="str">
        <f>IFERROR(__xludf.DUMMYFUNCTION("""COMPUTED_VALUE"""),"Reseliva Pannel")</f>
        <v>Reseliva Pannel</v>
      </c>
      <c r="C731" s="291" t="str">
        <f>IFERROR(__xludf.DUMMYFUNCTION("""COMPUTED_VALUE"""),"Group Anna ")</f>
        <v>Group Anna </v>
      </c>
      <c r="D731" s="352">
        <f>IFERROR(__xludf.DUMMYFUNCTION("""COMPUTED_VALUE"""),46310.0)</f>
        <v>46310</v>
      </c>
      <c r="E731" s="351">
        <f>IFERROR(__xludf.DUMMYFUNCTION("""COMPUTED_VALUE"""),46311.0)</f>
        <v>46311</v>
      </c>
      <c r="F731" s="353">
        <f>IFERROR(__xludf.DUMMYFUNCTION("""COMPUTED_VALUE"""),1.0)</f>
        <v>1</v>
      </c>
      <c r="G731" s="353">
        <f>IFERROR(__xludf.DUMMYFUNCTION("""COMPUTED_VALUE"""),2.0)</f>
        <v>2</v>
      </c>
      <c r="H731" s="354">
        <f>IFERROR(__xludf.DUMMYFUNCTION("""COMPUTED_VALUE"""),200.16)</f>
        <v>200.16</v>
      </c>
      <c r="I731" s="354">
        <f>IFERROR(__xludf.DUMMYFUNCTION("""COMPUTED_VALUE"""),200.16)</f>
        <v>200.16</v>
      </c>
      <c r="J731" s="257">
        <f t="shared" si="1"/>
        <v>2</v>
      </c>
      <c r="K731" s="291"/>
      <c r="L731" s="291"/>
      <c r="M731" s="290"/>
      <c r="N731" s="295"/>
      <c r="O731" s="296"/>
      <c r="P731" s="296"/>
      <c r="Q731" s="301"/>
      <c r="R731" s="297"/>
      <c r="S731" s="297"/>
      <c r="T731" s="297"/>
      <c r="U731" s="298"/>
      <c r="V731" s="351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</row>
    <row r="732">
      <c r="A732" s="351">
        <f>IFERROR(__xludf.DUMMYFUNCTION("""COMPUTED_VALUE"""),8319415.0)</f>
        <v>8319415</v>
      </c>
      <c r="B732" s="290" t="str">
        <f>IFERROR(__xludf.DUMMYFUNCTION("""COMPUTED_VALUE"""),"Reseliva Pannel")</f>
        <v>Reseliva Pannel</v>
      </c>
      <c r="C732" s="291" t="str">
        <f>IFERROR(__xludf.DUMMYFUNCTION("""COMPUTED_VALUE"""),"Group Anna ")</f>
        <v>Group Anna </v>
      </c>
      <c r="D732" s="352">
        <f>IFERROR(__xludf.DUMMYFUNCTION("""COMPUTED_VALUE"""),46310.0)</f>
        <v>46310</v>
      </c>
      <c r="E732" s="351">
        <f>IFERROR(__xludf.DUMMYFUNCTION("""COMPUTED_VALUE"""),46311.0)</f>
        <v>46311</v>
      </c>
      <c r="F732" s="353">
        <f>IFERROR(__xludf.DUMMYFUNCTION("""COMPUTED_VALUE"""),1.0)</f>
        <v>1</v>
      </c>
      <c r="G732" s="353">
        <f>IFERROR(__xludf.DUMMYFUNCTION("""COMPUTED_VALUE"""),2.0)</f>
        <v>2</v>
      </c>
      <c r="H732" s="354">
        <f>IFERROR(__xludf.DUMMYFUNCTION("""COMPUTED_VALUE"""),200.16)</f>
        <v>200.16</v>
      </c>
      <c r="I732" s="354">
        <f>IFERROR(__xludf.DUMMYFUNCTION("""COMPUTED_VALUE"""),200.16)</f>
        <v>200.16</v>
      </c>
      <c r="J732" s="257">
        <f t="shared" si="1"/>
        <v>2</v>
      </c>
      <c r="K732" s="291"/>
      <c r="L732" s="291"/>
      <c r="M732" s="290"/>
      <c r="N732" s="295"/>
      <c r="O732" s="296"/>
      <c r="P732" s="296"/>
      <c r="Q732" s="301"/>
      <c r="R732" s="297"/>
      <c r="S732" s="297"/>
      <c r="T732" s="297"/>
      <c r="U732" s="298"/>
      <c r="V732" s="351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</row>
    <row r="733">
      <c r="A733" s="351">
        <f>IFERROR(__xludf.DUMMYFUNCTION("""COMPUTED_VALUE"""),8319415.0)</f>
        <v>8319415</v>
      </c>
      <c r="B733" s="290" t="str">
        <f>IFERROR(__xludf.DUMMYFUNCTION("""COMPUTED_VALUE"""),"Reseliva Pannel")</f>
        <v>Reseliva Pannel</v>
      </c>
      <c r="C733" s="291" t="str">
        <f>IFERROR(__xludf.DUMMYFUNCTION("""COMPUTED_VALUE"""),"Group Anna ")</f>
        <v>Group Anna </v>
      </c>
      <c r="D733" s="352">
        <f>IFERROR(__xludf.DUMMYFUNCTION("""COMPUTED_VALUE"""),46310.0)</f>
        <v>46310</v>
      </c>
      <c r="E733" s="351">
        <f>IFERROR(__xludf.DUMMYFUNCTION("""COMPUTED_VALUE"""),46311.0)</f>
        <v>46311</v>
      </c>
      <c r="F733" s="353">
        <f>IFERROR(__xludf.DUMMYFUNCTION("""COMPUTED_VALUE"""),1.0)</f>
        <v>1</v>
      </c>
      <c r="G733" s="353">
        <f>IFERROR(__xludf.DUMMYFUNCTION("""COMPUTED_VALUE"""),2.0)</f>
        <v>2</v>
      </c>
      <c r="H733" s="354">
        <f>IFERROR(__xludf.DUMMYFUNCTION("""COMPUTED_VALUE"""),200.16)</f>
        <v>200.16</v>
      </c>
      <c r="I733" s="354">
        <f>IFERROR(__xludf.DUMMYFUNCTION("""COMPUTED_VALUE"""),200.16)</f>
        <v>200.16</v>
      </c>
      <c r="J733" s="257">
        <f t="shared" si="1"/>
        <v>2</v>
      </c>
      <c r="K733" s="291"/>
      <c r="L733" s="291"/>
      <c r="M733" s="300"/>
      <c r="N733" s="295"/>
      <c r="O733" s="296"/>
      <c r="P733" s="296"/>
      <c r="Q733" s="301"/>
      <c r="R733" s="297"/>
      <c r="S733" s="297"/>
      <c r="T733" s="297"/>
      <c r="U733" s="298"/>
      <c r="V733" s="351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</row>
    <row r="734">
      <c r="A734" s="351">
        <f>IFERROR(__xludf.DUMMYFUNCTION("""COMPUTED_VALUE"""),8319415.0)</f>
        <v>8319415</v>
      </c>
      <c r="B734" s="290" t="str">
        <f>IFERROR(__xludf.DUMMYFUNCTION("""COMPUTED_VALUE"""),"Reseliva Pannel")</f>
        <v>Reseliva Pannel</v>
      </c>
      <c r="C734" s="291" t="str">
        <f>IFERROR(__xludf.DUMMYFUNCTION("""COMPUTED_VALUE"""),"Group Anna ")</f>
        <v>Group Anna </v>
      </c>
      <c r="D734" s="352">
        <f>IFERROR(__xludf.DUMMYFUNCTION("""COMPUTED_VALUE"""),46310.0)</f>
        <v>46310</v>
      </c>
      <c r="E734" s="351">
        <f>IFERROR(__xludf.DUMMYFUNCTION("""COMPUTED_VALUE"""),46311.0)</f>
        <v>46311</v>
      </c>
      <c r="F734" s="353">
        <f>IFERROR(__xludf.DUMMYFUNCTION("""COMPUTED_VALUE"""),1.0)</f>
        <v>1</v>
      </c>
      <c r="G734" s="353">
        <f>IFERROR(__xludf.DUMMYFUNCTION("""COMPUTED_VALUE"""),2.0)</f>
        <v>2</v>
      </c>
      <c r="H734" s="354">
        <f>IFERROR(__xludf.DUMMYFUNCTION("""COMPUTED_VALUE"""),225.36)</f>
        <v>225.36</v>
      </c>
      <c r="I734" s="354">
        <f>IFERROR(__xludf.DUMMYFUNCTION("""COMPUTED_VALUE"""),225.36)</f>
        <v>225.36</v>
      </c>
      <c r="J734" s="257">
        <f t="shared" si="1"/>
        <v>2</v>
      </c>
      <c r="K734" s="291"/>
      <c r="L734" s="291"/>
      <c r="M734" s="300"/>
      <c r="N734" s="295"/>
      <c r="O734" s="296"/>
      <c r="P734" s="296"/>
      <c r="Q734" s="301"/>
      <c r="R734" s="297"/>
      <c r="S734" s="297"/>
      <c r="T734" s="297"/>
      <c r="U734" s="298"/>
      <c r="V734" s="351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</row>
    <row r="735">
      <c r="A735" s="351">
        <f>IFERROR(__xludf.DUMMYFUNCTION("""COMPUTED_VALUE"""),8319415.0)</f>
        <v>8319415</v>
      </c>
      <c r="B735" s="290" t="str">
        <f>IFERROR(__xludf.DUMMYFUNCTION("""COMPUTED_VALUE"""),"Reseliva Pannel")</f>
        <v>Reseliva Pannel</v>
      </c>
      <c r="C735" s="291" t="str">
        <f>IFERROR(__xludf.DUMMYFUNCTION("""COMPUTED_VALUE"""),"Group Anna ")</f>
        <v>Group Anna </v>
      </c>
      <c r="D735" s="352">
        <f>IFERROR(__xludf.DUMMYFUNCTION("""COMPUTED_VALUE"""),46310.0)</f>
        <v>46310</v>
      </c>
      <c r="E735" s="351">
        <f>IFERROR(__xludf.DUMMYFUNCTION("""COMPUTED_VALUE"""),46311.0)</f>
        <v>46311</v>
      </c>
      <c r="F735" s="353">
        <f>IFERROR(__xludf.DUMMYFUNCTION("""COMPUTED_VALUE"""),1.0)</f>
        <v>1</v>
      </c>
      <c r="G735" s="353">
        <f>IFERROR(__xludf.DUMMYFUNCTION("""COMPUTED_VALUE"""),2.0)</f>
        <v>2</v>
      </c>
      <c r="H735" s="354">
        <f>IFERROR(__xludf.DUMMYFUNCTION("""COMPUTED_VALUE"""),249.84)</f>
        <v>249.84</v>
      </c>
      <c r="I735" s="354">
        <f>IFERROR(__xludf.DUMMYFUNCTION("""COMPUTED_VALUE"""),249.84)</f>
        <v>249.84</v>
      </c>
      <c r="J735" s="257">
        <f t="shared" si="1"/>
        <v>2</v>
      </c>
      <c r="K735" s="291"/>
      <c r="L735" s="291"/>
      <c r="M735" s="290"/>
      <c r="N735" s="295"/>
      <c r="O735" s="296"/>
      <c r="P735" s="296"/>
      <c r="Q735" s="301"/>
      <c r="R735" s="297"/>
      <c r="S735" s="297"/>
      <c r="T735" s="297"/>
      <c r="U735" s="298"/>
      <c r="V735" s="351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</row>
    <row r="736">
      <c r="A736" s="351">
        <f>IFERROR(__xludf.DUMMYFUNCTION("""COMPUTED_VALUE"""),8319422.0)</f>
        <v>8319422</v>
      </c>
      <c r="B736" s="290" t="str">
        <f>IFERROR(__xludf.DUMMYFUNCTION("""COMPUTED_VALUE"""),"Reseliva Pannel")</f>
        <v>Reseliva Pannel</v>
      </c>
      <c r="C736" s="291" t="str">
        <f>IFERROR(__xludf.DUMMYFUNCTION("""COMPUTED_VALUE"""),"Group Anna ")</f>
        <v>Group Anna </v>
      </c>
      <c r="D736" s="352">
        <f>IFERROR(__xludf.DUMMYFUNCTION("""COMPUTED_VALUE"""),46331.0)</f>
        <v>46331</v>
      </c>
      <c r="E736" s="351">
        <f>IFERROR(__xludf.DUMMYFUNCTION("""COMPUTED_VALUE"""),46332.0)</f>
        <v>46332</v>
      </c>
      <c r="F736" s="353">
        <f>IFERROR(__xludf.DUMMYFUNCTION("""COMPUTED_VALUE"""),1.0)</f>
        <v>1</v>
      </c>
      <c r="G736" s="353">
        <f>IFERROR(__xludf.DUMMYFUNCTION("""COMPUTED_VALUE"""),1.0)</f>
        <v>1</v>
      </c>
      <c r="H736" s="354">
        <f>IFERROR(__xludf.DUMMYFUNCTION("""COMPUTED_VALUE"""),174.96)</f>
        <v>174.96</v>
      </c>
      <c r="I736" s="354">
        <f>IFERROR(__xludf.DUMMYFUNCTION("""COMPUTED_VALUE"""),174.96)</f>
        <v>174.96</v>
      </c>
      <c r="J736" s="257">
        <f t="shared" si="1"/>
        <v>1</v>
      </c>
      <c r="K736" s="291"/>
      <c r="L736" s="291"/>
      <c r="M736" s="300"/>
      <c r="N736" s="295"/>
      <c r="O736" s="296"/>
      <c r="P736" s="296"/>
      <c r="Q736" s="301"/>
      <c r="R736" s="297"/>
      <c r="S736" s="297"/>
      <c r="T736" s="297"/>
      <c r="U736" s="298"/>
      <c r="V736" s="351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</row>
    <row r="737">
      <c r="A737" s="351">
        <f>IFERROR(__xludf.DUMMYFUNCTION("""COMPUTED_VALUE"""),8319422.0)</f>
        <v>8319422</v>
      </c>
      <c r="B737" s="290" t="str">
        <f>IFERROR(__xludf.DUMMYFUNCTION("""COMPUTED_VALUE"""),"Reseliva Pannel")</f>
        <v>Reseliva Pannel</v>
      </c>
      <c r="C737" s="291" t="str">
        <f>IFERROR(__xludf.DUMMYFUNCTION("""COMPUTED_VALUE"""),"Group Anna ")</f>
        <v>Group Anna </v>
      </c>
      <c r="D737" s="352">
        <f>IFERROR(__xludf.DUMMYFUNCTION("""COMPUTED_VALUE"""),46331.0)</f>
        <v>46331</v>
      </c>
      <c r="E737" s="351">
        <f>IFERROR(__xludf.DUMMYFUNCTION("""COMPUTED_VALUE"""),46332.0)</f>
        <v>46332</v>
      </c>
      <c r="F737" s="353">
        <f>IFERROR(__xludf.DUMMYFUNCTION("""COMPUTED_VALUE"""),1.0)</f>
        <v>1</v>
      </c>
      <c r="G737" s="353">
        <f>IFERROR(__xludf.DUMMYFUNCTION("""COMPUTED_VALUE"""),2.0)</f>
        <v>2</v>
      </c>
      <c r="H737" s="354">
        <f>IFERROR(__xludf.DUMMYFUNCTION("""COMPUTED_VALUE"""),200.16)</f>
        <v>200.16</v>
      </c>
      <c r="I737" s="354">
        <f>IFERROR(__xludf.DUMMYFUNCTION("""COMPUTED_VALUE"""),200.16)</f>
        <v>200.16</v>
      </c>
      <c r="J737" s="257">
        <f t="shared" si="1"/>
        <v>2</v>
      </c>
      <c r="K737" s="291"/>
      <c r="L737" s="291"/>
      <c r="M737" s="290"/>
      <c r="N737" s="295"/>
      <c r="O737" s="296"/>
      <c r="P737" s="296"/>
      <c r="Q737" s="301"/>
      <c r="R737" s="297"/>
      <c r="S737" s="297"/>
      <c r="T737" s="297"/>
      <c r="U737" s="298"/>
      <c r="V737" s="351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</row>
    <row r="738">
      <c r="A738" s="351">
        <f>IFERROR(__xludf.DUMMYFUNCTION("""COMPUTED_VALUE"""),8319422.0)</f>
        <v>8319422</v>
      </c>
      <c r="B738" s="290" t="str">
        <f>IFERROR(__xludf.DUMMYFUNCTION("""COMPUTED_VALUE"""),"Reseliva Pannel")</f>
        <v>Reseliva Pannel</v>
      </c>
      <c r="C738" s="291" t="str">
        <f>IFERROR(__xludf.DUMMYFUNCTION("""COMPUTED_VALUE"""),"Group Anna ")</f>
        <v>Group Anna </v>
      </c>
      <c r="D738" s="352">
        <f>IFERROR(__xludf.DUMMYFUNCTION("""COMPUTED_VALUE"""),46331.0)</f>
        <v>46331</v>
      </c>
      <c r="E738" s="351">
        <f>IFERROR(__xludf.DUMMYFUNCTION("""COMPUTED_VALUE"""),46332.0)</f>
        <v>46332</v>
      </c>
      <c r="F738" s="353">
        <f>IFERROR(__xludf.DUMMYFUNCTION("""COMPUTED_VALUE"""),1.0)</f>
        <v>1</v>
      </c>
      <c r="G738" s="353">
        <f>IFERROR(__xludf.DUMMYFUNCTION("""COMPUTED_VALUE"""),2.0)</f>
        <v>2</v>
      </c>
      <c r="H738" s="354">
        <f>IFERROR(__xludf.DUMMYFUNCTION("""COMPUTED_VALUE"""),200.16)</f>
        <v>200.16</v>
      </c>
      <c r="I738" s="354">
        <f>IFERROR(__xludf.DUMMYFUNCTION("""COMPUTED_VALUE"""),200.16)</f>
        <v>200.16</v>
      </c>
      <c r="J738" s="257">
        <f t="shared" si="1"/>
        <v>2</v>
      </c>
      <c r="K738" s="291"/>
      <c r="L738" s="291"/>
      <c r="M738" s="300"/>
      <c r="N738" s="295"/>
      <c r="O738" s="296"/>
      <c r="P738" s="296"/>
      <c r="Q738" s="301"/>
      <c r="R738" s="297"/>
      <c r="S738" s="297"/>
      <c r="T738" s="297"/>
      <c r="U738" s="298"/>
      <c r="V738" s="351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</row>
    <row r="739">
      <c r="A739" s="351">
        <f>IFERROR(__xludf.DUMMYFUNCTION("""COMPUTED_VALUE"""),8319422.0)</f>
        <v>8319422</v>
      </c>
      <c r="B739" s="290" t="str">
        <f>IFERROR(__xludf.DUMMYFUNCTION("""COMPUTED_VALUE"""),"Reseliva Pannel")</f>
        <v>Reseliva Pannel</v>
      </c>
      <c r="C739" s="291" t="str">
        <f>IFERROR(__xludf.DUMMYFUNCTION("""COMPUTED_VALUE"""),"Group Anna ")</f>
        <v>Group Anna </v>
      </c>
      <c r="D739" s="352">
        <f>IFERROR(__xludf.DUMMYFUNCTION("""COMPUTED_VALUE"""),46331.0)</f>
        <v>46331</v>
      </c>
      <c r="E739" s="351">
        <f>IFERROR(__xludf.DUMMYFUNCTION("""COMPUTED_VALUE"""),46332.0)</f>
        <v>46332</v>
      </c>
      <c r="F739" s="353">
        <f>IFERROR(__xludf.DUMMYFUNCTION("""COMPUTED_VALUE"""),1.0)</f>
        <v>1</v>
      </c>
      <c r="G739" s="353">
        <f>IFERROR(__xludf.DUMMYFUNCTION("""COMPUTED_VALUE"""),2.0)</f>
        <v>2</v>
      </c>
      <c r="H739" s="354">
        <f>IFERROR(__xludf.DUMMYFUNCTION("""COMPUTED_VALUE"""),225.36)</f>
        <v>225.36</v>
      </c>
      <c r="I739" s="354">
        <f>IFERROR(__xludf.DUMMYFUNCTION("""COMPUTED_VALUE"""),225.36)</f>
        <v>225.36</v>
      </c>
      <c r="J739" s="257">
        <f t="shared" si="1"/>
        <v>2</v>
      </c>
      <c r="K739" s="291"/>
      <c r="L739" s="291"/>
      <c r="M739" s="290"/>
      <c r="N739" s="295"/>
      <c r="O739" s="296"/>
      <c r="P739" s="296"/>
      <c r="Q739" s="301"/>
      <c r="R739" s="297"/>
      <c r="S739" s="297"/>
      <c r="T739" s="297"/>
      <c r="U739" s="298"/>
      <c r="V739" s="351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</row>
    <row r="740">
      <c r="A740" s="351">
        <f>IFERROR(__xludf.DUMMYFUNCTION("""COMPUTED_VALUE"""),8319422.0)</f>
        <v>8319422</v>
      </c>
      <c r="B740" s="290" t="str">
        <f>IFERROR(__xludf.DUMMYFUNCTION("""COMPUTED_VALUE"""),"Reseliva Pannel")</f>
        <v>Reseliva Pannel</v>
      </c>
      <c r="C740" s="291" t="str">
        <f>IFERROR(__xludf.DUMMYFUNCTION("""COMPUTED_VALUE"""),"Group Anna ")</f>
        <v>Group Anna </v>
      </c>
      <c r="D740" s="352">
        <f>IFERROR(__xludf.DUMMYFUNCTION("""COMPUTED_VALUE"""),46331.0)</f>
        <v>46331</v>
      </c>
      <c r="E740" s="351">
        <f>IFERROR(__xludf.DUMMYFUNCTION("""COMPUTED_VALUE"""),46332.0)</f>
        <v>46332</v>
      </c>
      <c r="F740" s="353">
        <f>IFERROR(__xludf.DUMMYFUNCTION("""COMPUTED_VALUE"""),1.0)</f>
        <v>1</v>
      </c>
      <c r="G740" s="353">
        <f>IFERROR(__xludf.DUMMYFUNCTION("""COMPUTED_VALUE"""),2.0)</f>
        <v>2</v>
      </c>
      <c r="H740" s="354">
        <f>IFERROR(__xludf.DUMMYFUNCTION("""COMPUTED_VALUE"""),225.36)</f>
        <v>225.36</v>
      </c>
      <c r="I740" s="354">
        <f>IFERROR(__xludf.DUMMYFUNCTION("""COMPUTED_VALUE"""),225.36)</f>
        <v>225.36</v>
      </c>
      <c r="J740" s="257">
        <f t="shared" si="1"/>
        <v>2</v>
      </c>
      <c r="K740" s="291"/>
      <c r="L740" s="291"/>
      <c r="M740" s="300"/>
      <c r="N740" s="295"/>
      <c r="O740" s="296"/>
      <c r="P740" s="296"/>
      <c r="Q740" s="301"/>
      <c r="R740" s="297"/>
      <c r="S740" s="297"/>
      <c r="T740" s="297"/>
      <c r="U740" s="298"/>
      <c r="V740" s="351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</row>
    <row r="741">
      <c r="A741" s="351">
        <f>IFERROR(__xludf.DUMMYFUNCTION("""COMPUTED_VALUE"""),8319475.0)</f>
        <v>8319475</v>
      </c>
      <c r="B741" s="290" t="str">
        <f>IFERROR(__xludf.DUMMYFUNCTION("""COMPUTED_VALUE"""),"BookingCom")</f>
        <v>BookingCom</v>
      </c>
      <c r="C741" s="291" t="str">
        <f>IFERROR(__xludf.DUMMYFUNCTION("""COMPUTED_VALUE"""),"Elodie Rodrigo ")</f>
        <v>Elodie Rodrigo </v>
      </c>
      <c r="D741" s="352">
        <f>IFERROR(__xludf.DUMMYFUNCTION("""COMPUTED_VALUE"""),46275.0)</f>
        <v>46275</v>
      </c>
      <c r="E741" s="351">
        <f>IFERROR(__xludf.DUMMYFUNCTION("""COMPUTED_VALUE"""),46276.0)</f>
        <v>46276</v>
      </c>
      <c r="F741" s="353">
        <f>IFERROR(__xludf.DUMMYFUNCTION("""COMPUTED_VALUE"""),1.0)</f>
        <v>1</v>
      </c>
      <c r="G741" s="353">
        <f>IFERROR(__xludf.DUMMYFUNCTION("""COMPUTED_VALUE"""),2.0)</f>
        <v>2</v>
      </c>
      <c r="H741" s="354">
        <f>IFERROR(__xludf.DUMMYFUNCTION("""COMPUTED_VALUE"""),184.24)</f>
        <v>184.24</v>
      </c>
      <c r="I741" s="354">
        <f>IFERROR(__xludf.DUMMYFUNCTION("""COMPUTED_VALUE"""),147.39200000000002)</f>
        <v>147.392</v>
      </c>
      <c r="J741" s="257">
        <f t="shared" si="1"/>
        <v>2</v>
      </c>
      <c r="K741" s="291"/>
      <c r="L741" s="291"/>
      <c r="M741" s="290"/>
      <c r="N741" s="295"/>
      <c r="O741" s="296"/>
      <c r="P741" s="296"/>
      <c r="Q741" s="301"/>
      <c r="R741" s="297"/>
      <c r="S741" s="297"/>
      <c r="T741" s="297"/>
      <c r="U741" s="298"/>
      <c r="V741" s="351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</row>
    <row r="742">
      <c r="A742" s="351">
        <f>IFERROR(__xludf.DUMMYFUNCTION("""COMPUTED_VALUE"""),8322488.0)</f>
        <v>8322488</v>
      </c>
      <c r="B742" s="290" t="str">
        <f>IFERROR(__xludf.DUMMYFUNCTION("""COMPUTED_VALUE"""),"Agoda2")</f>
        <v>Agoda2</v>
      </c>
      <c r="C742" s="291" t="str">
        <f>IFERROR(__xludf.DUMMYFUNCTION("""COMPUTED_VALUE"""),"Astrid ALTSCHUL ")</f>
        <v>Astrid ALTSCHUL </v>
      </c>
      <c r="D742" s="352">
        <f>IFERROR(__xludf.DUMMYFUNCTION("""COMPUTED_VALUE"""),46159.0)</f>
        <v>46159</v>
      </c>
      <c r="E742" s="351">
        <f>IFERROR(__xludf.DUMMYFUNCTION("""COMPUTED_VALUE"""),46161.0)</f>
        <v>46161</v>
      </c>
      <c r="F742" s="353">
        <f>IFERROR(__xludf.DUMMYFUNCTION("""COMPUTED_VALUE"""),2.0)</f>
        <v>2</v>
      </c>
      <c r="G742" s="353">
        <f>IFERROR(__xludf.DUMMYFUNCTION("""COMPUTED_VALUE"""),4.0)</f>
        <v>4</v>
      </c>
      <c r="H742" s="354">
        <f>IFERROR(__xludf.DUMMYFUNCTION("""COMPUTED_VALUE"""),531.04)</f>
        <v>531.04</v>
      </c>
      <c r="I742" s="354">
        <f>IFERROR(__xludf.DUMMYFUNCTION("""COMPUTED_VALUE"""),849.664)</f>
        <v>849.664</v>
      </c>
      <c r="J742" s="257">
        <f t="shared" si="1"/>
        <v>8</v>
      </c>
      <c r="K742" s="291"/>
      <c r="L742" s="291"/>
      <c r="M742" s="300"/>
      <c r="N742" s="295"/>
      <c r="O742" s="296"/>
      <c r="P742" s="296"/>
      <c r="Q742" s="301"/>
      <c r="R742" s="297"/>
      <c r="S742" s="297"/>
      <c r="T742" s="297"/>
      <c r="U742" s="298"/>
      <c r="V742" s="351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</row>
    <row r="743">
      <c r="A743" s="351">
        <f>IFERROR(__xludf.DUMMYFUNCTION("""COMPUTED_VALUE"""),8322495.0)</f>
        <v>8322495</v>
      </c>
      <c r="B743" s="290" t="str">
        <f>IFERROR(__xludf.DUMMYFUNCTION("""COMPUTED_VALUE"""),"Expedia Affiliate Network")</f>
        <v>Expedia Affiliate Network</v>
      </c>
      <c r="C743" s="291" t="str">
        <f>IFERROR(__xludf.DUMMYFUNCTION("""COMPUTED_VALUE"""),"James Matthews ")</f>
        <v>James Matthews </v>
      </c>
      <c r="D743" s="352">
        <f>IFERROR(__xludf.DUMMYFUNCTION("""COMPUTED_VALUE"""),46198.0)</f>
        <v>46198</v>
      </c>
      <c r="E743" s="351">
        <f>IFERROR(__xludf.DUMMYFUNCTION("""COMPUTED_VALUE"""),46202.0)</f>
        <v>46202</v>
      </c>
      <c r="F743" s="353">
        <f>IFERROR(__xludf.DUMMYFUNCTION("""COMPUTED_VALUE"""),4.0)</f>
        <v>4</v>
      </c>
      <c r="G743" s="353">
        <f>IFERROR(__xludf.DUMMYFUNCTION("""COMPUTED_VALUE"""),2.0)</f>
        <v>2</v>
      </c>
      <c r="H743" s="354">
        <f>IFERROR(__xludf.DUMMYFUNCTION("""COMPUTED_VALUE"""),158.77)</f>
        <v>158.77</v>
      </c>
      <c r="I743" s="354">
        <f>IFERROR(__xludf.DUMMYFUNCTION("""COMPUTED_VALUE"""),508.0640000000001)</f>
        <v>508.064</v>
      </c>
      <c r="J743" s="257">
        <f t="shared" si="1"/>
        <v>8</v>
      </c>
      <c r="K743" s="291"/>
      <c r="L743" s="291"/>
      <c r="M743" s="300"/>
      <c r="N743" s="295"/>
      <c r="O743" s="296"/>
      <c r="P743" s="296"/>
      <c r="Q743" s="301"/>
      <c r="R743" s="297"/>
      <c r="S743" s="297"/>
      <c r="T743" s="297"/>
      <c r="U743" s="298"/>
      <c r="V743" s="351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</row>
    <row r="744">
      <c r="A744" s="351">
        <f>IFERROR(__xludf.DUMMYFUNCTION("""COMPUTED_VALUE"""),8324068.0)</f>
        <v>8324068</v>
      </c>
      <c r="B744" s="290" t="str">
        <f>IFERROR(__xludf.DUMMYFUNCTION("""COMPUTED_VALUE"""),"Reseliva")</f>
        <v>Reseliva</v>
      </c>
      <c r="C744" s="291" t="str">
        <f>IFERROR(__xludf.DUMMYFUNCTION("""COMPUTED_VALUE"""),"Inés Villuendas Diez de Rivera ")</f>
        <v>Inés Villuendas Diez de Rivera </v>
      </c>
      <c r="D744" s="352">
        <f>IFERROR(__xludf.DUMMYFUNCTION("""COMPUTED_VALUE"""),46364.0)</f>
        <v>46364</v>
      </c>
      <c r="E744" s="351">
        <f>IFERROR(__xludf.DUMMYFUNCTION("""COMPUTED_VALUE"""),46367.0)</f>
        <v>46367</v>
      </c>
      <c r="F744" s="353">
        <f>IFERROR(__xludf.DUMMYFUNCTION("""COMPUTED_VALUE"""),3.0)</f>
        <v>3</v>
      </c>
      <c r="G744" s="353">
        <f>IFERROR(__xludf.DUMMYFUNCTION("""COMPUTED_VALUE"""),2.0)</f>
        <v>2</v>
      </c>
      <c r="H744" s="354">
        <f>IFERROR(__xludf.DUMMYFUNCTION("""COMPUTED_VALUE"""),162.63)</f>
        <v>162.63</v>
      </c>
      <c r="I744" s="354">
        <f>IFERROR(__xludf.DUMMYFUNCTION("""COMPUTED_VALUE"""),483.01109999999994)</f>
        <v>483.0111</v>
      </c>
      <c r="J744" s="257">
        <f t="shared" si="1"/>
        <v>6</v>
      </c>
      <c r="K744" s="291"/>
      <c r="L744" s="291"/>
      <c r="M744" s="290"/>
      <c r="N744" s="295"/>
      <c r="O744" s="296"/>
      <c r="P744" s="296"/>
      <c r="Q744" s="301"/>
      <c r="R744" s="297"/>
      <c r="S744" s="297"/>
      <c r="T744" s="297"/>
      <c r="U744" s="298"/>
      <c r="V744" s="351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</row>
    <row r="745">
      <c r="A745" s="351">
        <f>IFERROR(__xludf.DUMMYFUNCTION("""COMPUTED_VALUE"""),8326092.0)</f>
        <v>8326092</v>
      </c>
      <c r="B745" s="290" t="str">
        <f>IFERROR(__xludf.DUMMYFUNCTION("""COMPUTED_VALUE"""),"BookingCom")</f>
        <v>BookingCom</v>
      </c>
      <c r="C745" s="291" t="str">
        <f>IFERROR(__xludf.DUMMYFUNCTION("""COMPUTED_VALUE"""),"Malgorzata Farion ")</f>
        <v>Malgorzata Farion </v>
      </c>
      <c r="D745" s="352">
        <f>IFERROR(__xludf.DUMMYFUNCTION("""COMPUTED_VALUE"""),46149.0)</f>
        <v>46149</v>
      </c>
      <c r="E745" s="351">
        <f>IFERROR(__xludf.DUMMYFUNCTION("""COMPUTED_VALUE"""),46151.0)</f>
        <v>46151</v>
      </c>
      <c r="F745" s="353">
        <f>IFERROR(__xludf.DUMMYFUNCTION("""COMPUTED_VALUE"""),2.0)</f>
        <v>2</v>
      </c>
      <c r="G745" s="353">
        <f>IFERROR(__xludf.DUMMYFUNCTION("""COMPUTED_VALUE"""),2.0)</f>
        <v>2</v>
      </c>
      <c r="H745" s="354">
        <f>IFERROR(__xludf.DUMMYFUNCTION("""COMPUTED_VALUE"""),180.36)</f>
        <v>180.36</v>
      </c>
      <c r="I745" s="354">
        <f>IFERROR(__xludf.DUMMYFUNCTION("""COMPUTED_VALUE"""),288.576)</f>
        <v>288.576</v>
      </c>
      <c r="J745" s="257">
        <f t="shared" si="1"/>
        <v>4</v>
      </c>
      <c r="K745" s="291"/>
      <c r="L745" s="291"/>
      <c r="M745" s="290"/>
      <c r="N745" s="295"/>
      <c r="O745" s="296"/>
      <c r="P745" s="296"/>
      <c r="Q745" s="301"/>
      <c r="R745" s="297"/>
      <c r="S745" s="297"/>
      <c r="T745" s="297"/>
      <c r="U745" s="298"/>
      <c r="V745" s="351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</row>
    <row r="746">
      <c r="A746" s="251">
        <f>IFERROR(__xludf.DUMMYFUNCTION("""COMPUTED_VALUE"""),8329483.0)</f>
        <v>8329483</v>
      </c>
      <c r="B746" s="252" t="str">
        <f>IFERROR(__xludf.DUMMYFUNCTION("""COMPUTED_VALUE"""),"BookingCom")</f>
        <v>BookingCom</v>
      </c>
      <c r="C746" s="253" t="str">
        <f>IFERROR(__xludf.DUMMYFUNCTION("""COMPUTED_VALUE"""),"Therese Vlassenbroeck ")</f>
        <v>Therese Vlassenbroeck </v>
      </c>
      <c r="D746" s="254">
        <f>IFERROR(__xludf.DUMMYFUNCTION("""COMPUTED_VALUE"""),46381.0)</f>
        <v>46381</v>
      </c>
      <c r="E746" s="251">
        <f>IFERROR(__xludf.DUMMYFUNCTION("""COMPUTED_VALUE"""),46384.0)</f>
        <v>46384</v>
      </c>
      <c r="F746" s="255">
        <f>IFERROR(__xludf.DUMMYFUNCTION("""COMPUTED_VALUE"""),3.0)</f>
        <v>3</v>
      </c>
      <c r="G746" s="255">
        <f>IFERROR(__xludf.DUMMYFUNCTION("""COMPUTED_VALUE"""),2.0)</f>
        <v>2</v>
      </c>
      <c r="H746" s="256">
        <f>IFERROR(__xludf.DUMMYFUNCTION("""COMPUTED_VALUE"""),243.84)</f>
        <v>243.84</v>
      </c>
      <c r="I746" s="256">
        <f>IFERROR(__xludf.DUMMYFUNCTION("""COMPUTED_VALUE"""),585.216)</f>
        <v>585.216</v>
      </c>
      <c r="J746" s="257">
        <f t="shared" si="1"/>
        <v>6</v>
      </c>
      <c r="K746" s="253"/>
      <c r="L746" s="253"/>
      <c r="M746" s="252"/>
      <c r="N746" s="258"/>
      <c r="O746" s="259"/>
      <c r="P746" s="259"/>
      <c r="Q746" s="257"/>
      <c r="R746" s="260"/>
      <c r="S746" s="260"/>
      <c r="T746" s="260"/>
      <c r="U746" s="261"/>
      <c r="V746" s="251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</row>
    <row r="747">
      <c r="A747" s="351">
        <f>IFERROR(__xludf.DUMMYFUNCTION("""COMPUTED_VALUE"""),8329483.0)</f>
        <v>8329483</v>
      </c>
      <c r="B747" s="290" t="str">
        <f>IFERROR(__xludf.DUMMYFUNCTION("""COMPUTED_VALUE"""),"BookingCom")</f>
        <v>BookingCom</v>
      </c>
      <c r="C747" s="291" t="str">
        <f>IFERROR(__xludf.DUMMYFUNCTION("""COMPUTED_VALUE"""),"Therese Vlassenbroeck ")</f>
        <v>Therese Vlassenbroeck </v>
      </c>
      <c r="D747" s="352">
        <f>IFERROR(__xludf.DUMMYFUNCTION("""COMPUTED_VALUE"""),46381.0)</f>
        <v>46381</v>
      </c>
      <c r="E747" s="351">
        <f>IFERROR(__xludf.DUMMYFUNCTION("""COMPUTED_VALUE"""),46384.0)</f>
        <v>46384</v>
      </c>
      <c r="F747" s="353">
        <f>IFERROR(__xludf.DUMMYFUNCTION("""COMPUTED_VALUE"""),3.0)</f>
        <v>3</v>
      </c>
      <c r="G747" s="353">
        <f>IFERROR(__xludf.DUMMYFUNCTION("""COMPUTED_VALUE"""),1.0)</f>
        <v>1</v>
      </c>
      <c r="H747" s="354">
        <f>IFERROR(__xludf.DUMMYFUNCTION("""COMPUTED_VALUE"""),269.04)</f>
        <v>269.04</v>
      </c>
      <c r="I747" s="354">
        <f>IFERROR(__xludf.DUMMYFUNCTION("""COMPUTED_VALUE"""),645.6960000000001)</f>
        <v>645.696</v>
      </c>
      <c r="J747" s="257">
        <f t="shared" si="1"/>
        <v>3</v>
      </c>
      <c r="K747" s="291"/>
      <c r="L747" s="291"/>
      <c r="M747" s="290"/>
      <c r="N747" s="295"/>
      <c r="O747" s="296"/>
      <c r="P747" s="296"/>
      <c r="Q747" s="294"/>
      <c r="R747" s="297"/>
      <c r="S747" s="297"/>
      <c r="T747" s="297"/>
      <c r="U747" s="298"/>
      <c r="V747" s="351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</row>
    <row r="748">
      <c r="A748" s="351">
        <f>IFERROR(__xludf.DUMMYFUNCTION("""COMPUTED_VALUE"""),8329483.0)</f>
        <v>8329483</v>
      </c>
      <c r="B748" s="290" t="str">
        <f>IFERROR(__xludf.DUMMYFUNCTION("""COMPUTED_VALUE"""),"BookingCom")</f>
        <v>BookingCom</v>
      </c>
      <c r="C748" s="291" t="str">
        <f>IFERROR(__xludf.DUMMYFUNCTION("""COMPUTED_VALUE"""),"Therese Vlassenbroeck ")</f>
        <v>Therese Vlassenbroeck </v>
      </c>
      <c r="D748" s="352">
        <f>IFERROR(__xludf.DUMMYFUNCTION("""COMPUTED_VALUE"""),46381.0)</f>
        <v>46381</v>
      </c>
      <c r="E748" s="351">
        <f>IFERROR(__xludf.DUMMYFUNCTION("""COMPUTED_VALUE"""),46384.0)</f>
        <v>46384</v>
      </c>
      <c r="F748" s="353">
        <f>IFERROR(__xludf.DUMMYFUNCTION("""COMPUTED_VALUE"""),3.0)</f>
        <v>3</v>
      </c>
      <c r="G748" s="353">
        <f>IFERROR(__xludf.DUMMYFUNCTION("""COMPUTED_VALUE"""),2.0)</f>
        <v>2</v>
      </c>
      <c r="H748" s="354">
        <f>IFERROR(__xludf.DUMMYFUNCTION("""COMPUTED_VALUE"""),243.84)</f>
        <v>243.84</v>
      </c>
      <c r="I748" s="354">
        <f>IFERROR(__xludf.DUMMYFUNCTION("""COMPUTED_VALUE"""),585.216)</f>
        <v>585.216</v>
      </c>
      <c r="J748" s="257">
        <f t="shared" si="1"/>
        <v>6</v>
      </c>
      <c r="K748" s="291"/>
      <c r="L748" s="291"/>
      <c r="M748" s="290"/>
      <c r="N748" s="295"/>
      <c r="O748" s="296"/>
      <c r="P748" s="296"/>
      <c r="Q748" s="301"/>
      <c r="R748" s="297"/>
      <c r="S748" s="297"/>
      <c r="T748" s="297"/>
      <c r="U748" s="298"/>
      <c r="V748" s="351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</row>
    <row r="749">
      <c r="A749" s="351">
        <f>IFERROR(__xludf.DUMMYFUNCTION("""COMPUTED_VALUE"""),8329483.0)</f>
        <v>8329483</v>
      </c>
      <c r="B749" s="290" t="str">
        <f>IFERROR(__xludf.DUMMYFUNCTION("""COMPUTED_VALUE"""),"BookingCom")</f>
        <v>BookingCom</v>
      </c>
      <c r="C749" s="291" t="str">
        <f>IFERROR(__xludf.DUMMYFUNCTION("""COMPUTED_VALUE"""),"Therese Vlassenbroeck ")</f>
        <v>Therese Vlassenbroeck </v>
      </c>
      <c r="D749" s="352">
        <f>IFERROR(__xludf.DUMMYFUNCTION("""COMPUTED_VALUE"""),46381.0)</f>
        <v>46381</v>
      </c>
      <c r="E749" s="351">
        <f>IFERROR(__xludf.DUMMYFUNCTION("""COMPUTED_VALUE"""),46384.0)</f>
        <v>46384</v>
      </c>
      <c r="F749" s="353">
        <f>IFERROR(__xludf.DUMMYFUNCTION("""COMPUTED_VALUE"""),3.0)</f>
        <v>3</v>
      </c>
      <c r="G749" s="353">
        <f>IFERROR(__xludf.DUMMYFUNCTION("""COMPUTED_VALUE"""),2.0)</f>
        <v>2</v>
      </c>
      <c r="H749" s="354">
        <f>IFERROR(__xludf.DUMMYFUNCTION("""COMPUTED_VALUE"""),219.36)</f>
        <v>219.36</v>
      </c>
      <c r="I749" s="354">
        <f>IFERROR(__xludf.DUMMYFUNCTION("""COMPUTED_VALUE"""),526.464)</f>
        <v>526.464</v>
      </c>
      <c r="J749" s="257">
        <f t="shared" si="1"/>
        <v>6</v>
      </c>
      <c r="K749" s="291"/>
      <c r="L749" s="291"/>
      <c r="M749" s="300"/>
      <c r="N749" s="295"/>
      <c r="O749" s="296"/>
      <c r="P749" s="296"/>
      <c r="Q749" s="301"/>
      <c r="R749" s="297"/>
      <c r="S749" s="297"/>
      <c r="T749" s="297"/>
      <c r="U749" s="298"/>
      <c r="V749" s="351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</row>
    <row r="750">
      <c r="A750" s="351">
        <f>IFERROR(__xludf.DUMMYFUNCTION("""COMPUTED_VALUE"""),8329956.0)</f>
        <v>8329956</v>
      </c>
      <c r="B750" s="290" t="str">
        <f>IFERROR(__xludf.DUMMYFUNCTION("""COMPUTED_VALUE"""),"BookingCom")</f>
        <v>BookingCom</v>
      </c>
      <c r="C750" s="291" t="str">
        <f>IFERROR(__xludf.DUMMYFUNCTION("""COMPUTED_VALUE"""),"Aileen von den Driesch ")</f>
        <v>Aileen von den Driesch </v>
      </c>
      <c r="D750" s="352">
        <f>IFERROR(__xludf.DUMMYFUNCTION("""COMPUTED_VALUE"""),46157.0)</f>
        <v>46157</v>
      </c>
      <c r="E750" s="351">
        <f>IFERROR(__xludf.DUMMYFUNCTION("""COMPUTED_VALUE"""),46160.0)</f>
        <v>46160</v>
      </c>
      <c r="F750" s="353">
        <f>IFERROR(__xludf.DUMMYFUNCTION("""COMPUTED_VALUE"""),3.0)</f>
        <v>3</v>
      </c>
      <c r="G750" s="353">
        <f>IFERROR(__xludf.DUMMYFUNCTION("""COMPUTED_VALUE"""),2.0)</f>
        <v>2</v>
      </c>
      <c r="H750" s="354">
        <f>IFERROR(__xludf.DUMMYFUNCTION("""COMPUTED_VALUE"""),211.99)</f>
        <v>211.99</v>
      </c>
      <c r="I750" s="354">
        <f>IFERROR(__xludf.DUMMYFUNCTION("""COMPUTED_VALUE"""),508.77600000000007)</f>
        <v>508.776</v>
      </c>
      <c r="J750" s="257">
        <f t="shared" si="1"/>
        <v>6</v>
      </c>
      <c r="K750" s="291"/>
      <c r="L750" s="291"/>
      <c r="M750" s="290"/>
      <c r="N750" s="295"/>
      <c r="O750" s="296"/>
      <c r="P750" s="296"/>
      <c r="Q750" s="301"/>
      <c r="R750" s="297"/>
      <c r="S750" s="297"/>
      <c r="T750" s="297"/>
      <c r="U750" s="298"/>
      <c r="V750" s="351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</row>
    <row r="751">
      <c r="A751" s="351">
        <f>IFERROR(__xludf.DUMMYFUNCTION("""COMPUTED_VALUE"""),8331934.0)</f>
        <v>8331934</v>
      </c>
      <c r="B751" s="290" t="str">
        <f>IFERROR(__xludf.DUMMYFUNCTION("""COMPUTED_VALUE"""),"BookingCom")</f>
        <v>BookingCom</v>
      </c>
      <c r="C751" s="291" t="str">
        <f>IFERROR(__xludf.DUMMYFUNCTION("""COMPUTED_VALUE"""),"Sandra Prodanovic ")</f>
        <v>Sandra Prodanovic </v>
      </c>
      <c r="D751" s="352">
        <f>IFERROR(__xludf.DUMMYFUNCTION("""COMPUTED_VALUE"""),46156.0)</f>
        <v>46156</v>
      </c>
      <c r="E751" s="351">
        <f>IFERROR(__xludf.DUMMYFUNCTION("""COMPUTED_VALUE"""),46158.0)</f>
        <v>46158</v>
      </c>
      <c r="F751" s="353">
        <f>IFERROR(__xludf.DUMMYFUNCTION("""COMPUTED_VALUE"""),2.0)</f>
        <v>2</v>
      </c>
      <c r="G751" s="353">
        <f>IFERROR(__xludf.DUMMYFUNCTION("""COMPUTED_VALUE"""),2.0)</f>
        <v>2</v>
      </c>
      <c r="H751" s="354">
        <f>IFERROR(__xludf.DUMMYFUNCTION("""COMPUTED_VALUE"""),168.13)</f>
        <v>168.13</v>
      </c>
      <c r="I751" s="354">
        <f>IFERROR(__xludf.DUMMYFUNCTION("""COMPUTED_VALUE"""),269.008)</f>
        <v>269.008</v>
      </c>
      <c r="J751" s="257">
        <f t="shared" si="1"/>
        <v>4</v>
      </c>
      <c r="K751" s="291"/>
      <c r="L751" s="291"/>
      <c r="M751" s="290"/>
      <c r="N751" s="295"/>
      <c r="O751" s="296"/>
      <c r="P751" s="296"/>
      <c r="Q751" s="301"/>
      <c r="R751" s="297"/>
      <c r="S751" s="297"/>
      <c r="T751" s="297"/>
      <c r="U751" s="298"/>
      <c r="V751" s="351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</row>
    <row r="752">
      <c r="A752" s="251">
        <f>IFERROR(__xludf.DUMMYFUNCTION("""COMPUTED_VALUE"""),8333559.0)</f>
        <v>8333559</v>
      </c>
      <c r="B752" s="252" t="str">
        <f>IFERROR(__xludf.DUMMYFUNCTION("""COMPUTED_VALUE"""),"BookingCom")</f>
        <v>BookingCom</v>
      </c>
      <c r="C752" s="253" t="str">
        <f>IFERROR(__xludf.DUMMYFUNCTION("""COMPUTED_VALUE"""),"Christine Grasmueller ")</f>
        <v>Christine Grasmueller </v>
      </c>
      <c r="D752" s="254">
        <f>IFERROR(__xludf.DUMMYFUNCTION("""COMPUTED_VALUE"""),46339.0)</f>
        <v>46339</v>
      </c>
      <c r="E752" s="251">
        <f>IFERROR(__xludf.DUMMYFUNCTION("""COMPUTED_VALUE"""),46340.0)</f>
        <v>46340</v>
      </c>
      <c r="F752" s="255">
        <f>IFERROR(__xludf.DUMMYFUNCTION("""COMPUTED_VALUE"""),1.0)</f>
        <v>1</v>
      </c>
      <c r="G752" s="255">
        <f>IFERROR(__xludf.DUMMYFUNCTION("""COMPUTED_VALUE"""),2.0)</f>
        <v>2</v>
      </c>
      <c r="H752" s="256">
        <f>IFERROR(__xludf.DUMMYFUNCTION("""COMPUTED_VALUE"""),132.03)</f>
        <v>132.03</v>
      </c>
      <c r="I752" s="256">
        <f>IFERROR(__xludf.DUMMYFUNCTION("""COMPUTED_VALUE"""),105.62400000000001)</f>
        <v>105.624</v>
      </c>
      <c r="J752" s="257">
        <f t="shared" si="1"/>
        <v>2</v>
      </c>
      <c r="K752" s="253"/>
      <c r="L752" s="253"/>
      <c r="M752" s="252"/>
      <c r="N752" s="258"/>
      <c r="O752" s="259"/>
      <c r="P752" s="259"/>
      <c r="Q752" s="262"/>
      <c r="R752" s="260"/>
      <c r="S752" s="260"/>
      <c r="T752" s="260"/>
      <c r="U752" s="261"/>
      <c r="V752" s="251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</row>
    <row r="753">
      <c r="A753" s="351">
        <f>IFERROR(__xludf.DUMMYFUNCTION("""COMPUTED_VALUE"""),8336034.0)</f>
        <v>8336034</v>
      </c>
      <c r="B753" s="290" t="str">
        <f>IFERROR(__xludf.DUMMYFUNCTION("""COMPUTED_VALUE"""),"BookingCom")</f>
        <v>BookingCom</v>
      </c>
      <c r="C753" s="291" t="str">
        <f>IFERROR(__xludf.DUMMYFUNCTION("""COMPUTED_VALUE"""),"Jade Stumpfl ")</f>
        <v>Jade Stumpfl </v>
      </c>
      <c r="D753" s="352">
        <f>IFERROR(__xludf.DUMMYFUNCTION("""COMPUTED_VALUE"""),46147.0)</f>
        <v>46147</v>
      </c>
      <c r="E753" s="351">
        <f>IFERROR(__xludf.DUMMYFUNCTION("""COMPUTED_VALUE"""),46148.0)</f>
        <v>46148</v>
      </c>
      <c r="F753" s="353">
        <f>IFERROR(__xludf.DUMMYFUNCTION("""COMPUTED_VALUE"""),1.0)</f>
        <v>1</v>
      </c>
      <c r="G753" s="353">
        <f>IFERROR(__xludf.DUMMYFUNCTION("""COMPUTED_VALUE"""),2.0)</f>
        <v>2</v>
      </c>
      <c r="H753" s="354">
        <f>IFERROR(__xludf.DUMMYFUNCTION("""COMPUTED_VALUE"""),246.7)</f>
        <v>246.7</v>
      </c>
      <c r="I753" s="354">
        <f>IFERROR(__xludf.DUMMYFUNCTION("""COMPUTED_VALUE"""),197.36)</f>
        <v>197.36</v>
      </c>
      <c r="J753" s="257">
        <f t="shared" si="1"/>
        <v>2</v>
      </c>
      <c r="K753" s="291"/>
      <c r="L753" s="291"/>
      <c r="M753" s="290"/>
      <c r="N753" s="295"/>
      <c r="O753" s="296"/>
      <c r="P753" s="296"/>
      <c r="Q753" s="301"/>
      <c r="R753" s="297"/>
      <c r="S753" s="297"/>
      <c r="T753" s="297"/>
      <c r="U753" s="298"/>
      <c r="V753" s="351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</row>
    <row r="754">
      <c r="A754" s="351">
        <f>IFERROR(__xludf.DUMMYFUNCTION("""COMPUTED_VALUE"""),8341951.0)</f>
        <v>8341951</v>
      </c>
      <c r="B754" s="290" t="str">
        <f>IFERROR(__xludf.DUMMYFUNCTION("""COMPUTED_VALUE"""),"BookingCom")</f>
        <v>BookingCom</v>
      </c>
      <c r="C754" s="291" t="str">
        <f>IFERROR(__xludf.DUMMYFUNCTION("""COMPUTED_VALUE"""),"jutta bauer ")</f>
        <v>jutta bauer </v>
      </c>
      <c r="D754" s="352">
        <f>IFERROR(__xludf.DUMMYFUNCTION("""COMPUTED_VALUE"""),46183.0)</f>
        <v>46183</v>
      </c>
      <c r="E754" s="351">
        <f>IFERROR(__xludf.DUMMYFUNCTION("""COMPUTED_VALUE"""),46185.0)</f>
        <v>46185</v>
      </c>
      <c r="F754" s="353">
        <f>IFERROR(__xludf.DUMMYFUNCTION("""COMPUTED_VALUE"""),2.0)</f>
        <v>2</v>
      </c>
      <c r="G754" s="353">
        <f>IFERROR(__xludf.DUMMYFUNCTION("""COMPUTED_VALUE"""),2.0)</f>
        <v>2</v>
      </c>
      <c r="H754" s="354">
        <f>IFERROR(__xludf.DUMMYFUNCTION("""COMPUTED_VALUE"""),135.75)</f>
        <v>135.75</v>
      </c>
      <c r="I754" s="354">
        <f>IFERROR(__xludf.DUMMYFUNCTION("""COMPUTED_VALUE"""),217.20000000000002)</f>
        <v>217.2</v>
      </c>
      <c r="J754" s="257">
        <f t="shared" si="1"/>
        <v>4</v>
      </c>
      <c r="K754" s="291"/>
      <c r="L754" s="291"/>
      <c r="M754" s="300"/>
      <c r="N754" s="295"/>
      <c r="O754" s="296"/>
      <c r="P754" s="296"/>
      <c r="Q754" s="301"/>
      <c r="R754" s="297"/>
      <c r="S754" s="297"/>
      <c r="T754" s="297"/>
      <c r="U754" s="298"/>
      <c r="V754" s="351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</row>
    <row r="755">
      <c r="A755" s="251">
        <f>IFERROR(__xludf.DUMMYFUNCTION("""COMPUTED_VALUE"""),8344689.0)</f>
        <v>8344689</v>
      </c>
      <c r="B755" s="252" t="str">
        <f>IFERROR(__xludf.DUMMYFUNCTION("""COMPUTED_VALUE"""),"BookingCom")</f>
        <v>BookingCom</v>
      </c>
      <c r="C755" s="253" t="str">
        <f>IFERROR(__xludf.DUMMYFUNCTION("""COMPUTED_VALUE"""),"anne dineen ")</f>
        <v>anne dineen </v>
      </c>
      <c r="D755" s="254">
        <f>IFERROR(__xludf.DUMMYFUNCTION("""COMPUTED_VALUE"""),46111.0)</f>
        <v>46111</v>
      </c>
      <c r="E755" s="251">
        <f>IFERROR(__xludf.DUMMYFUNCTION("""COMPUTED_VALUE"""),46114.0)</f>
        <v>46114</v>
      </c>
      <c r="F755" s="255">
        <f>IFERROR(__xludf.DUMMYFUNCTION("""COMPUTED_VALUE"""),3.0)</f>
        <v>3</v>
      </c>
      <c r="G755" s="255">
        <f>IFERROR(__xludf.DUMMYFUNCTION("""COMPUTED_VALUE"""),2.0)</f>
        <v>2</v>
      </c>
      <c r="H755" s="256">
        <f>IFERROR(__xludf.DUMMYFUNCTION("""COMPUTED_VALUE"""),176.62)</f>
        <v>176.62</v>
      </c>
      <c r="I755" s="256">
        <f>IFERROR(__xludf.DUMMYFUNCTION("""COMPUTED_VALUE"""),423.88800000000003)</f>
        <v>423.888</v>
      </c>
      <c r="J755" s="257">
        <f t="shared" si="1"/>
        <v>6</v>
      </c>
      <c r="K755" s="253"/>
      <c r="L755" s="253"/>
      <c r="M755" s="252"/>
      <c r="N755" s="258"/>
      <c r="O755" s="259"/>
      <c r="P755" s="259"/>
      <c r="Q755" s="262"/>
      <c r="R755" s="260"/>
      <c r="S755" s="260"/>
      <c r="T755" s="260"/>
      <c r="U755" s="261"/>
      <c r="V755" s="251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</row>
    <row r="756">
      <c r="A756" s="351">
        <f>IFERROR(__xludf.DUMMYFUNCTION("""COMPUTED_VALUE"""),8345152.0)</f>
        <v>8345152</v>
      </c>
      <c r="B756" s="290" t="str">
        <f>IFERROR(__xludf.DUMMYFUNCTION("""COMPUTED_VALUE"""),"BookingCom")</f>
        <v>BookingCom</v>
      </c>
      <c r="C756" s="291" t="str">
        <f>IFERROR(__xludf.DUMMYFUNCTION("""COMPUTED_VALUE"""),"Elisabeth Mitterrutzner ")</f>
        <v>Elisabeth Mitterrutzner </v>
      </c>
      <c r="D756" s="352">
        <f>IFERROR(__xludf.DUMMYFUNCTION("""COMPUTED_VALUE"""),46324.0)</f>
        <v>46324</v>
      </c>
      <c r="E756" s="351">
        <f>IFERROR(__xludf.DUMMYFUNCTION("""COMPUTED_VALUE"""),46326.0)</f>
        <v>46326</v>
      </c>
      <c r="F756" s="353">
        <f>IFERROR(__xludf.DUMMYFUNCTION("""COMPUTED_VALUE"""),2.0)</f>
        <v>2</v>
      </c>
      <c r="G756" s="353">
        <f>IFERROR(__xludf.DUMMYFUNCTION("""COMPUTED_VALUE"""),2.0)</f>
        <v>2</v>
      </c>
      <c r="H756" s="354">
        <f>IFERROR(__xludf.DUMMYFUNCTION("""COMPUTED_VALUE"""),158.75)</f>
        <v>158.75</v>
      </c>
      <c r="I756" s="354">
        <f>IFERROR(__xludf.DUMMYFUNCTION("""COMPUTED_VALUE"""),254.0)</f>
        <v>254</v>
      </c>
      <c r="J756" s="257">
        <f t="shared" si="1"/>
        <v>4</v>
      </c>
      <c r="K756" s="291"/>
      <c r="L756" s="291"/>
      <c r="M756" s="300"/>
      <c r="N756" s="295"/>
      <c r="O756" s="296"/>
      <c r="P756" s="296"/>
      <c r="Q756" s="301"/>
      <c r="R756" s="297"/>
      <c r="S756" s="297"/>
      <c r="T756" s="297"/>
      <c r="U756" s="298"/>
      <c r="V756" s="351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</row>
    <row r="757">
      <c r="A757" s="351">
        <f>IFERROR(__xludf.DUMMYFUNCTION("""COMPUTED_VALUE"""),8345243.0)</f>
        <v>8345243</v>
      </c>
      <c r="B757" s="290" t="str">
        <f>IFERROR(__xludf.DUMMYFUNCTION("""COMPUTED_VALUE"""),"BookingCom")</f>
        <v>BookingCom</v>
      </c>
      <c r="C757" s="291" t="str">
        <f>IFERROR(__xludf.DUMMYFUNCTION("""COMPUTED_VALUE"""),"Anne Rach ")</f>
        <v>Anne Rach </v>
      </c>
      <c r="D757" s="352">
        <f>IFERROR(__xludf.DUMMYFUNCTION("""COMPUTED_VALUE"""),46192.0)</f>
        <v>46192</v>
      </c>
      <c r="E757" s="351">
        <f>IFERROR(__xludf.DUMMYFUNCTION("""COMPUTED_VALUE"""),46195.0)</f>
        <v>46195</v>
      </c>
      <c r="F757" s="353">
        <f>IFERROR(__xludf.DUMMYFUNCTION("""COMPUTED_VALUE"""),3.0)</f>
        <v>3</v>
      </c>
      <c r="G757" s="353">
        <f>IFERROR(__xludf.DUMMYFUNCTION("""COMPUTED_VALUE"""),2.0)</f>
        <v>2</v>
      </c>
      <c r="H757" s="354">
        <f>IFERROR(__xludf.DUMMYFUNCTION("""COMPUTED_VALUE"""),136.56)</f>
        <v>136.56</v>
      </c>
      <c r="I757" s="354">
        <f>IFERROR(__xludf.DUMMYFUNCTION("""COMPUTED_VALUE"""),327.744)</f>
        <v>327.744</v>
      </c>
      <c r="J757" s="257">
        <f t="shared" si="1"/>
        <v>6</v>
      </c>
      <c r="K757" s="291"/>
      <c r="L757" s="291"/>
      <c r="M757" s="290"/>
      <c r="N757" s="295"/>
      <c r="O757" s="296"/>
      <c r="P757" s="296"/>
      <c r="Q757" s="301"/>
      <c r="R757" s="297"/>
      <c r="S757" s="297"/>
      <c r="T757" s="297"/>
      <c r="U757" s="298"/>
      <c r="V757" s="351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</row>
    <row r="758">
      <c r="A758" s="351">
        <f>IFERROR(__xludf.DUMMYFUNCTION("""COMPUTED_VALUE"""),8345639.0)</f>
        <v>8345639</v>
      </c>
      <c r="B758" s="290" t="str">
        <f>IFERROR(__xludf.DUMMYFUNCTION("""COMPUTED_VALUE"""),"BookingCom")</f>
        <v>BookingCom</v>
      </c>
      <c r="C758" s="291" t="str">
        <f>IFERROR(__xludf.DUMMYFUNCTION("""COMPUTED_VALUE"""),"Elisabeth Mitterrutzner ")</f>
        <v>Elisabeth Mitterrutzner </v>
      </c>
      <c r="D758" s="352">
        <f>IFERROR(__xludf.DUMMYFUNCTION("""COMPUTED_VALUE"""),46329.0)</f>
        <v>46329</v>
      </c>
      <c r="E758" s="351">
        <f>IFERROR(__xludf.DUMMYFUNCTION("""COMPUTED_VALUE"""),46331.0)</f>
        <v>46331</v>
      </c>
      <c r="F758" s="353">
        <f>IFERROR(__xludf.DUMMYFUNCTION("""COMPUTED_VALUE"""),2.0)</f>
        <v>2</v>
      </c>
      <c r="G758" s="353">
        <f>IFERROR(__xludf.DUMMYFUNCTION("""COMPUTED_VALUE"""),2.0)</f>
        <v>2</v>
      </c>
      <c r="H758" s="354">
        <f>IFERROR(__xludf.DUMMYFUNCTION("""COMPUTED_VALUE"""),257.96)</f>
        <v>257.96</v>
      </c>
      <c r="I758" s="354">
        <f>IFERROR(__xludf.DUMMYFUNCTION("""COMPUTED_VALUE"""),412.736)</f>
        <v>412.736</v>
      </c>
      <c r="J758" s="257">
        <f t="shared" si="1"/>
        <v>4</v>
      </c>
      <c r="K758" s="291"/>
      <c r="L758" s="291"/>
      <c r="M758" s="290"/>
      <c r="N758" s="295"/>
      <c r="O758" s="296"/>
      <c r="P758" s="296"/>
      <c r="Q758" s="301"/>
      <c r="R758" s="297"/>
      <c r="S758" s="297"/>
      <c r="T758" s="297"/>
      <c r="U758" s="298"/>
      <c r="V758" s="351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</row>
    <row r="759">
      <c r="A759" s="351">
        <f>IFERROR(__xludf.DUMMYFUNCTION("""COMPUTED_VALUE"""),8347748.0)</f>
        <v>8347748</v>
      </c>
      <c r="B759" s="290" t="str">
        <f>IFERROR(__xludf.DUMMYFUNCTION("""COMPUTED_VALUE"""),"BookingCom")</f>
        <v>BookingCom</v>
      </c>
      <c r="C759" s="291" t="str">
        <f>IFERROR(__xludf.DUMMYFUNCTION("""COMPUTED_VALUE"""),"MARGARITA PAPAKONSTANTINOU ")</f>
        <v>MARGARITA PAPAKONSTANTINOU </v>
      </c>
      <c r="D759" s="352">
        <f>IFERROR(__xludf.DUMMYFUNCTION("""COMPUTED_VALUE"""),46119.0)</f>
        <v>46119</v>
      </c>
      <c r="E759" s="351">
        <f>IFERROR(__xludf.DUMMYFUNCTION("""COMPUTED_VALUE"""),46122.0)</f>
        <v>46122</v>
      </c>
      <c r="F759" s="353">
        <f>IFERROR(__xludf.DUMMYFUNCTION("""COMPUTED_VALUE"""),3.0)</f>
        <v>3</v>
      </c>
      <c r="G759" s="353">
        <f>IFERROR(__xludf.DUMMYFUNCTION("""COMPUTED_VALUE"""),2.0)</f>
        <v>2</v>
      </c>
      <c r="H759" s="354">
        <f>IFERROR(__xludf.DUMMYFUNCTION("""COMPUTED_VALUE"""),156.48)</f>
        <v>156.48</v>
      </c>
      <c r="I759" s="354">
        <f>IFERROR(__xludf.DUMMYFUNCTION("""COMPUTED_VALUE"""),375.552)</f>
        <v>375.552</v>
      </c>
      <c r="J759" s="257">
        <f t="shared" si="1"/>
        <v>6</v>
      </c>
      <c r="K759" s="291"/>
      <c r="L759" s="291"/>
      <c r="M759" s="290"/>
      <c r="N759" s="295"/>
      <c r="O759" s="296"/>
      <c r="P759" s="296"/>
      <c r="Q759" s="301"/>
      <c r="R759" s="297"/>
      <c r="S759" s="297"/>
      <c r="T759" s="297"/>
      <c r="U759" s="298"/>
      <c r="V759" s="351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</row>
    <row r="760">
      <c r="A760" s="351">
        <f>IFERROR(__xludf.DUMMYFUNCTION("""COMPUTED_VALUE"""),8347973.0)</f>
        <v>8347973</v>
      </c>
      <c r="B760" s="290" t="str">
        <f>IFERROR(__xludf.DUMMYFUNCTION("""COMPUTED_VALUE"""),"BookingCom")</f>
        <v>BookingCom</v>
      </c>
      <c r="C760" s="291" t="str">
        <f>IFERROR(__xludf.DUMMYFUNCTION("""COMPUTED_VALUE"""),"Louison Altenbourger ")</f>
        <v>Louison Altenbourger </v>
      </c>
      <c r="D760" s="352">
        <f>IFERROR(__xludf.DUMMYFUNCTION("""COMPUTED_VALUE"""),46277.0)</f>
        <v>46277</v>
      </c>
      <c r="E760" s="351">
        <f>IFERROR(__xludf.DUMMYFUNCTION("""COMPUTED_VALUE"""),46279.0)</f>
        <v>46279</v>
      </c>
      <c r="F760" s="353">
        <f>IFERROR(__xludf.DUMMYFUNCTION("""COMPUTED_VALUE"""),2.0)</f>
        <v>2</v>
      </c>
      <c r="G760" s="353">
        <f>IFERROR(__xludf.DUMMYFUNCTION("""COMPUTED_VALUE"""),2.0)</f>
        <v>2</v>
      </c>
      <c r="H760" s="354">
        <f>IFERROR(__xludf.DUMMYFUNCTION("""COMPUTED_VALUE"""),138.84)</f>
        <v>138.84</v>
      </c>
      <c r="I760" s="354">
        <f>IFERROR(__xludf.DUMMYFUNCTION("""COMPUTED_VALUE"""),222.144)</f>
        <v>222.144</v>
      </c>
      <c r="J760" s="257">
        <f t="shared" si="1"/>
        <v>4</v>
      </c>
      <c r="K760" s="291"/>
      <c r="L760" s="291"/>
      <c r="M760" s="300"/>
      <c r="N760" s="295"/>
      <c r="O760" s="296"/>
      <c r="P760" s="296"/>
      <c r="Q760" s="301"/>
      <c r="R760" s="297"/>
      <c r="S760" s="297"/>
      <c r="T760" s="297"/>
      <c r="U760" s="298"/>
      <c r="V760" s="351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</row>
    <row r="761">
      <c r="A761" s="251">
        <f>IFERROR(__xludf.DUMMYFUNCTION("""COMPUTED_VALUE"""),8349529.0)</f>
        <v>8349529</v>
      </c>
      <c r="B761" s="252" t="str">
        <f>IFERROR(__xludf.DUMMYFUNCTION("""COMPUTED_VALUE"""),"Agoda2")</f>
        <v>Agoda2</v>
      </c>
      <c r="C761" s="253" t="str">
        <f>IFERROR(__xludf.DUMMYFUNCTION("""COMPUTED_VALUE"""),"Cindy Clark ")</f>
        <v>Cindy Clark </v>
      </c>
      <c r="D761" s="254">
        <f>IFERROR(__xludf.DUMMYFUNCTION("""COMPUTED_VALUE"""),46114.0)</f>
        <v>46114</v>
      </c>
      <c r="E761" s="251">
        <f>IFERROR(__xludf.DUMMYFUNCTION("""COMPUTED_VALUE"""),46115.0)</f>
        <v>46115</v>
      </c>
      <c r="F761" s="255">
        <f>IFERROR(__xludf.DUMMYFUNCTION("""COMPUTED_VALUE"""),1.0)</f>
        <v>1</v>
      </c>
      <c r="G761" s="255">
        <f>IFERROR(__xludf.DUMMYFUNCTION("""COMPUTED_VALUE"""),2.0)</f>
        <v>2</v>
      </c>
      <c r="H761" s="256">
        <f>IFERROR(__xludf.DUMMYFUNCTION("""COMPUTED_VALUE"""),212.29)</f>
        <v>212.29</v>
      </c>
      <c r="I761" s="256">
        <f>IFERROR(__xludf.DUMMYFUNCTION("""COMPUTED_VALUE"""),169.832)</f>
        <v>169.832</v>
      </c>
      <c r="J761" s="257">
        <f t="shared" si="1"/>
        <v>2</v>
      </c>
      <c r="K761" s="253"/>
      <c r="L761" s="253"/>
      <c r="M761" s="252"/>
      <c r="N761" s="258"/>
      <c r="O761" s="259"/>
      <c r="P761" s="259"/>
      <c r="Q761" s="262"/>
      <c r="R761" s="260"/>
      <c r="S761" s="260"/>
      <c r="T761" s="260"/>
      <c r="U761" s="261"/>
      <c r="V761" s="251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</row>
    <row r="762">
      <c r="A762" s="251">
        <f>IFERROR(__xludf.DUMMYFUNCTION("""COMPUTED_VALUE"""),8349588.0)</f>
        <v>8349588</v>
      </c>
      <c r="B762" s="252" t="str">
        <f>IFERROR(__xludf.DUMMYFUNCTION("""COMPUTED_VALUE"""),"BookingCom")</f>
        <v>BookingCom</v>
      </c>
      <c r="C762" s="253" t="str">
        <f>IFERROR(__xludf.DUMMYFUNCTION("""COMPUTED_VALUE"""),"Merle Kukk ")</f>
        <v>Merle Kukk </v>
      </c>
      <c r="D762" s="254">
        <f>IFERROR(__xludf.DUMMYFUNCTION("""COMPUTED_VALUE"""),46132.0)</f>
        <v>46132</v>
      </c>
      <c r="E762" s="251">
        <f>IFERROR(__xludf.DUMMYFUNCTION("""COMPUTED_VALUE"""),46134.0)</f>
        <v>46134</v>
      </c>
      <c r="F762" s="255">
        <f>IFERROR(__xludf.DUMMYFUNCTION("""COMPUTED_VALUE"""),2.0)</f>
        <v>2</v>
      </c>
      <c r="G762" s="255">
        <f>IFERROR(__xludf.DUMMYFUNCTION("""COMPUTED_VALUE"""),3.0)</f>
        <v>3</v>
      </c>
      <c r="H762" s="256">
        <f>IFERROR(__xludf.DUMMYFUNCTION("""COMPUTED_VALUE"""),217.56)</f>
        <v>217.56</v>
      </c>
      <c r="I762" s="256">
        <f>IFERROR(__xludf.DUMMYFUNCTION("""COMPUTED_VALUE"""),348.096)</f>
        <v>348.096</v>
      </c>
      <c r="J762" s="257">
        <f t="shared" si="1"/>
        <v>6</v>
      </c>
      <c r="K762" s="253"/>
      <c r="L762" s="253"/>
      <c r="M762" s="252"/>
      <c r="N762" s="258"/>
      <c r="O762" s="259"/>
      <c r="P762" s="259"/>
      <c r="Q762" s="262"/>
      <c r="R762" s="260"/>
      <c r="S762" s="260"/>
      <c r="T762" s="260"/>
      <c r="U762" s="261"/>
      <c r="V762" s="251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</row>
    <row r="763">
      <c r="A763" s="251">
        <f>IFERROR(__xludf.DUMMYFUNCTION("""COMPUTED_VALUE"""),8353041.0)</f>
        <v>8353041</v>
      </c>
      <c r="B763" s="252" t="str">
        <f>IFERROR(__xludf.DUMMYFUNCTION("""COMPUTED_VALUE"""),"BookingCom")</f>
        <v>BookingCom</v>
      </c>
      <c r="C763" s="253" t="str">
        <f>IFERROR(__xludf.DUMMYFUNCTION("""COMPUTED_VALUE"""),"Meret Probst ")</f>
        <v>Meret Probst </v>
      </c>
      <c r="D763" s="254">
        <f>IFERROR(__xludf.DUMMYFUNCTION("""COMPUTED_VALUE"""),46394.0)</f>
        <v>46394</v>
      </c>
      <c r="E763" s="251">
        <f>IFERROR(__xludf.DUMMYFUNCTION("""COMPUTED_VALUE"""),46401.0)</f>
        <v>46401</v>
      </c>
      <c r="F763" s="255">
        <f>IFERROR(__xludf.DUMMYFUNCTION("""COMPUTED_VALUE"""),7.0)</f>
        <v>7</v>
      </c>
      <c r="G763" s="255">
        <f>IFERROR(__xludf.DUMMYFUNCTION("""COMPUTED_VALUE"""),2.0)</f>
        <v>2</v>
      </c>
      <c r="H763" s="256">
        <f>IFERROR(__xludf.DUMMYFUNCTION("""COMPUTED_VALUE"""),244.68)</f>
        <v>244.68</v>
      </c>
      <c r="I763" s="256">
        <f>IFERROR(__xludf.DUMMYFUNCTION("""COMPUTED_VALUE"""),1370.208)</f>
        <v>1370.208</v>
      </c>
      <c r="J763" s="257">
        <f t="shared" si="1"/>
        <v>14</v>
      </c>
      <c r="K763" s="253"/>
      <c r="L763" s="253"/>
      <c r="M763" s="275"/>
      <c r="N763" s="258"/>
      <c r="O763" s="259"/>
      <c r="P763" s="259"/>
      <c r="Q763" s="262"/>
      <c r="R763" s="260"/>
      <c r="S763" s="260"/>
      <c r="T763" s="260"/>
      <c r="U763" s="261"/>
      <c r="V763" s="251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</row>
    <row r="764">
      <c r="A764" s="251">
        <f>IFERROR(__xludf.DUMMYFUNCTION("""COMPUTED_VALUE"""),8355659.0)</f>
        <v>8355659</v>
      </c>
      <c r="B764" s="252" t="str">
        <f>IFERROR(__xludf.DUMMYFUNCTION("""COMPUTED_VALUE"""),"Reseliva Pannel")</f>
        <v>Reseliva Pannel</v>
      </c>
      <c r="C764" s="253" t="str">
        <f>IFERROR(__xludf.DUMMYFUNCTION("""COMPUTED_VALUE"""),"MATOULA STAMATIA ")</f>
        <v>MATOULA STAMATIA </v>
      </c>
      <c r="D764" s="254">
        <f>IFERROR(__xludf.DUMMYFUNCTION("""COMPUTED_VALUE"""),46121.0)</f>
        <v>46121</v>
      </c>
      <c r="E764" s="251">
        <f>IFERROR(__xludf.DUMMYFUNCTION("""COMPUTED_VALUE"""),46126.0)</f>
        <v>46126</v>
      </c>
      <c r="F764" s="255">
        <f>IFERROR(__xludf.DUMMYFUNCTION("""COMPUTED_VALUE"""),5.0)</f>
        <v>5</v>
      </c>
      <c r="G764" s="255">
        <f>IFERROR(__xludf.DUMMYFUNCTION("""COMPUTED_VALUE"""),2.0)</f>
        <v>2</v>
      </c>
      <c r="H764" s="256">
        <f>IFERROR(__xludf.DUMMYFUNCTION("""COMPUTED_VALUE"""),300.24)</f>
        <v>300.24</v>
      </c>
      <c r="I764" s="256">
        <f>IFERROR(__xludf.DUMMYFUNCTION("""COMPUTED_VALUE"""),1501.2)</f>
        <v>1501.2</v>
      </c>
      <c r="J764" s="257">
        <f t="shared" si="1"/>
        <v>10</v>
      </c>
      <c r="K764" s="253"/>
      <c r="L764" s="253"/>
      <c r="M764" s="252"/>
      <c r="N764" s="258"/>
      <c r="O764" s="259"/>
      <c r="P764" s="259"/>
      <c r="Q764" s="262"/>
      <c r="R764" s="260"/>
      <c r="S764" s="260"/>
      <c r="T764" s="260"/>
      <c r="U764" s="261"/>
      <c r="V764" s="251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</row>
    <row r="765">
      <c r="A765" s="263">
        <f>IFERROR(__xludf.DUMMYFUNCTION("""COMPUTED_VALUE"""),8356757.0)</f>
        <v>8356757</v>
      </c>
      <c r="B765" s="264" t="str">
        <f>IFERROR(__xludf.DUMMYFUNCTION("""COMPUTED_VALUE"""),"BookingCom")</f>
        <v>BookingCom</v>
      </c>
      <c r="C765" s="265" t="str">
        <f>IFERROR(__xludf.DUMMYFUNCTION("""COMPUTED_VALUE"""),"Laura Sanchez ")</f>
        <v>Laura Sanchez </v>
      </c>
      <c r="D765" s="266">
        <f>IFERROR(__xludf.DUMMYFUNCTION("""COMPUTED_VALUE"""),46195.0)</f>
        <v>46195</v>
      </c>
      <c r="E765" s="263">
        <f>IFERROR(__xludf.DUMMYFUNCTION("""COMPUTED_VALUE"""),46197.0)</f>
        <v>46197</v>
      </c>
      <c r="F765" s="267">
        <f>IFERROR(__xludf.DUMMYFUNCTION("""COMPUTED_VALUE"""),2.0)</f>
        <v>2</v>
      </c>
      <c r="G765" s="267">
        <f>IFERROR(__xludf.DUMMYFUNCTION("""COMPUTED_VALUE"""),2.0)</f>
        <v>2</v>
      </c>
      <c r="H765" s="268">
        <f>IFERROR(__xludf.DUMMYFUNCTION("""COMPUTED_VALUE"""),139.84)</f>
        <v>139.84</v>
      </c>
      <c r="I765" s="268">
        <f>IFERROR(__xludf.DUMMYFUNCTION("""COMPUTED_VALUE"""),223.74400000000003)</f>
        <v>223.744</v>
      </c>
      <c r="J765" s="257">
        <f t="shared" si="1"/>
        <v>4</v>
      </c>
      <c r="K765" s="265"/>
      <c r="L765" s="265"/>
      <c r="M765" s="264"/>
      <c r="N765" s="270"/>
      <c r="O765" s="271"/>
      <c r="P765" s="271"/>
      <c r="Q765" s="272"/>
      <c r="R765" s="273"/>
      <c r="S765" s="273"/>
      <c r="T765" s="273"/>
      <c r="U765" s="274"/>
      <c r="V765" s="263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</row>
    <row r="766">
      <c r="A766" s="263">
        <f>IFERROR(__xludf.DUMMYFUNCTION("""COMPUTED_VALUE"""),8356892.0)</f>
        <v>8356892</v>
      </c>
      <c r="B766" s="264" t="str">
        <f>IFERROR(__xludf.DUMMYFUNCTION("""COMPUTED_VALUE"""),"BookingCom")</f>
        <v>BookingCom</v>
      </c>
      <c r="C766" s="265" t="str">
        <f>IFERROR(__xludf.DUMMYFUNCTION("""COMPUTED_VALUE"""),"Karima Mansour ")</f>
        <v>Karima Mansour </v>
      </c>
      <c r="D766" s="266">
        <f>IFERROR(__xludf.DUMMYFUNCTION("""COMPUTED_VALUE"""),46118.0)</f>
        <v>46118</v>
      </c>
      <c r="E766" s="263">
        <f>IFERROR(__xludf.DUMMYFUNCTION("""COMPUTED_VALUE"""),46120.0)</f>
        <v>46120</v>
      </c>
      <c r="F766" s="267">
        <f>IFERROR(__xludf.DUMMYFUNCTION("""COMPUTED_VALUE"""),2.0)</f>
        <v>2</v>
      </c>
      <c r="G766" s="267">
        <f>IFERROR(__xludf.DUMMYFUNCTION("""COMPUTED_VALUE"""),2.0)</f>
        <v>2</v>
      </c>
      <c r="H766" s="268">
        <f>IFERROR(__xludf.DUMMYFUNCTION("""COMPUTED_VALUE"""),211.2)</f>
        <v>211.2</v>
      </c>
      <c r="I766" s="268">
        <f>IFERROR(__xludf.DUMMYFUNCTION("""COMPUTED_VALUE"""),337.92)</f>
        <v>337.92</v>
      </c>
      <c r="J766" s="257">
        <f t="shared" si="1"/>
        <v>4</v>
      </c>
      <c r="K766" s="265"/>
      <c r="L766" s="265"/>
      <c r="M766" s="269"/>
      <c r="N766" s="270"/>
      <c r="O766" s="271"/>
      <c r="P766" s="271"/>
      <c r="Q766" s="272"/>
      <c r="R766" s="273"/>
      <c r="S766" s="273"/>
      <c r="T766" s="273"/>
      <c r="U766" s="274"/>
      <c r="V766" s="263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</row>
    <row r="767">
      <c r="A767" s="263">
        <f>IFERROR(__xludf.DUMMYFUNCTION("""COMPUTED_VALUE"""),8357167.0)</f>
        <v>8357167</v>
      </c>
      <c r="B767" s="264" t="str">
        <f>IFERROR(__xludf.DUMMYFUNCTION("""COMPUTED_VALUE"""),"BookingCom")</f>
        <v>BookingCom</v>
      </c>
      <c r="C767" s="265" t="str">
        <f>IFERROR(__xludf.DUMMYFUNCTION("""COMPUTED_VALUE"""),"Astrid Hillestad ")</f>
        <v>Astrid Hillestad </v>
      </c>
      <c r="D767" s="266">
        <f>IFERROR(__xludf.DUMMYFUNCTION("""COMPUTED_VALUE"""),46298.0)</f>
        <v>46298</v>
      </c>
      <c r="E767" s="263">
        <f>IFERROR(__xludf.DUMMYFUNCTION("""COMPUTED_VALUE"""),46299.0)</f>
        <v>46299</v>
      </c>
      <c r="F767" s="267">
        <f>IFERROR(__xludf.DUMMYFUNCTION("""COMPUTED_VALUE"""),1.0)</f>
        <v>1</v>
      </c>
      <c r="G767" s="267">
        <f>IFERROR(__xludf.DUMMYFUNCTION("""COMPUTED_VALUE"""),2.0)</f>
        <v>2</v>
      </c>
      <c r="H767" s="268">
        <f>IFERROR(__xludf.DUMMYFUNCTION("""COMPUTED_VALUE"""),119.3)</f>
        <v>119.3</v>
      </c>
      <c r="I767" s="268">
        <f>IFERROR(__xludf.DUMMYFUNCTION("""COMPUTED_VALUE"""),95.44)</f>
        <v>95.44</v>
      </c>
      <c r="J767" s="257">
        <f t="shared" si="1"/>
        <v>2</v>
      </c>
      <c r="K767" s="265"/>
      <c r="L767" s="265"/>
      <c r="M767" s="269"/>
      <c r="N767" s="270"/>
      <c r="O767" s="271"/>
      <c r="P767" s="271"/>
      <c r="Q767" s="272"/>
      <c r="R767" s="273"/>
      <c r="S767" s="273"/>
      <c r="T767" s="273"/>
      <c r="U767" s="274"/>
      <c r="V767" s="266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</row>
    <row r="768">
      <c r="A768" s="263">
        <f>IFERROR(__xludf.DUMMYFUNCTION("""COMPUTED_VALUE"""),8357212.0)</f>
        <v>8357212</v>
      </c>
      <c r="B768" s="264" t="str">
        <f>IFERROR(__xludf.DUMMYFUNCTION("""COMPUTED_VALUE"""),"BookingCom")</f>
        <v>BookingCom</v>
      </c>
      <c r="C768" s="265" t="str">
        <f>IFERROR(__xludf.DUMMYFUNCTION("""COMPUTED_VALUE"""),"Astrid Hillestad ")</f>
        <v>Astrid Hillestad </v>
      </c>
      <c r="D768" s="266">
        <f>IFERROR(__xludf.DUMMYFUNCTION("""COMPUTED_VALUE"""),46302.0)</f>
        <v>46302</v>
      </c>
      <c r="E768" s="266">
        <f>IFERROR(__xludf.DUMMYFUNCTION("""COMPUTED_VALUE"""),46305.0)</f>
        <v>46305</v>
      </c>
      <c r="F768" s="267">
        <f>IFERROR(__xludf.DUMMYFUNCTION("""COMPUTED_VALUE"""),3.0)</f>
        <v>3</v>
      </c>
      <c r="G768" s="267">
        <f>IFERROR(__xludf.DUMMYFUNCTION("""COMPUTED_VALUE"""),2.0)</f>
        <v>2</v>
      </c>
      <c r="H768" s="268">
        <f>IFERROR(__xludf.DUMMYFUNCTION("""COMPUTED_VALUE"""),137.03)</f>
        <v>137.03</v>
      </c>
      <c r="I768" s="268">
        <f>IFERROR(__xludf.DUMMYFUNCTION("""COMPUTED_VALUE"""),328.872)</f>
        <v>328.872</v>
      </c>
      <c r="J768" s="257">
        <f t="shared" si="1"/>
        <v>6</v>
      </c>
      <c r="K768" s="265"/>
      <c r="L768" s="265"/>
      <c r="M768" s="264"/>
      <c r="N768" s="270"/>
      <c r="O768" s="271"/>
      <c r="P768" s="271"/>
      <c r="Q768" s="272"/>
      <c r="R768" s="273"/>
      <c r="S768" s="273"/>
      <c r="T768" s="273"/>
      <c r="U768" s="274"/>
      <c r="V768" s="266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</row>
    <row r="769">
      <c r="A769" s="263">
        <f>IFERROR(__xludf.DUMMYFUNCTION("""COMPUTED_VALUE"""),8358188.0)</f>
        <v>8358188</v>
      </c>
      <c r="B769" s="264" t="str">
        <f>IFERROR(__xludf.DUMMYFUNCTION("""COMPUTED_VALUE"""),"BookingCom")</f>
        <v>BookingCom</v>
      </c>
      <c r="C769" s="265" t="str">
        <f>IFERROR(__xludf.DUMMYFUNCTION("""COMPUTED_VALUE"""),"Osman ZIMAN ")</f>
        <v>Osman ZIMAN </v>
      </c>
      <c r="D769" s="266">
        <f>IFERROR(__xludf.DUMMYFUNCTION("""COMPUTED_VALUE"""),46134.0)</f>
        <v>46134</v>
      </c>
      <c r="E769" s="263">
        <f>IFERROR(__xludf.DUMMYFUNCTION("""COMPUTED_VALUE"""),46138.0)</f>
        <v>46138</v>
      </c>
      <c r="F769" s="267">
        <f>IFERROR(__xludf.DUMMYFUNCTION("""COMPUTED_VALUE"""),4.0)</f>
        <v>4</v>
      </c>
      <c r="G769" s="267">
        <f>IFERROR(__xludf.DUMMYFUNCTION("""COMPUTED_VALUE"""),3.0)</f>
        <v>3</v>
      </c>
      <c r="H769" s="268">
        <f>IFERROR(__xludf.DUMMYFUNCTION("""COMPUTED_VALUE"""),401.07)</f>
        <v>401.07</v>
      </c>
      <c r="I769" s="268">
        <f>IFERROR(__xludf.DUMMYFUNCTION("""COMPUTED_VALUE"""),1283.424)</f>
        <v>1283.424</v>
      </c>
      <c r="J769" s="257">
        <f t="shared" si="1"/>
        <v>12</v>
      </c>
      <c r="K769" s="265"/>
      <c r="L769" s="265"/>
      <c r="M769" s="264"/>
      <c r="N769" s="270"/>
      <c r="O769" s="271"/>
      <c r="P769" s="271"/>
      <c r="Q769" s="272"/>
      <c r="R769" s="273"/>
      <c r="S769" s="273"/>
      <c r="T769" s="273"/>
      <c r="U769" s="274"/>
      <c r="V769" s="266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</row>
    <row r="770">
      <c r="A770" s="251">
        <f>IFERROR(__xludf.DUMMYFUNCTION("""COMPUTED_VALUE"""),8358238.0)</f>
        <v>8358238</v>
      </c>
      <c r="B770" s="252" t="str">
        <f>IFERROR(__xludf.DUMMYFUNCTION("""COMPUTED_VALUE"""),"BookingCom")</f>
        <v>BookingCom</v>
      </c>
      <c r="C770" s="253" t="str">
        <f>IFERROR(__xludf.DUMMYFUNCTION("""COMPUTED_VALUE"""),"Laura Chmielowiec ")</f>
        <v>Laura Chmielowiec </v>
      </c>
      <c r="D770" s="254">
        <f>IFERROR(__xludf.DUMMYFUNCTION("""COMPUTED_VALUE"""),46313.0)</f>
        <v>46313</v>
      </c>
      <c r="E770" s="251">
        <f>IFERROR(__xludf.DUMMYFUNCTION("""COMPUTED_VALUE"""),46317.0)</f>
        <v>46317</v>
      </c>
      <c r="F770" s="255">
        <f>IFERROR(__xludf.DUMMYFUNCTION("""COMPUTED_VALUE"""),4.0)</f>
        <v>4</v>
      </c>
      <c r="G770" s="255">
        <f>IFERROR(__xludf.DUMMYFUNCTION("""COMPUTED_VALUE"""),2.0)</f>
        <v>2</v>
      </c>
      <c r="H770" s="256">
        <f>IFERROR(__xludf.DUMMYFUNCTION("""COMPUTED_VALUE"""),122.33)</f>
        <v>122.33</v>
      </c>
      <c r="I770" s="256">
        <f>IFERROR(__xludf.DUMMYFUNCTION("""COMPUTED_VALUE"""),391.456)</f>
        <v>391.456</v>
      </c>
      <c r="J770" s="257">
        <f t="shared" si="1"/>
        <v>8</v>
      </c>
      <c r="K770" s="253"/>
      <c r="L770" s="253"/>
      <c r="M770" s="252"/>
      <c r="N770" s="258"/>
      <c r="O770" s="259"/>
      <c r="P770" s="259"/>
      <c r="Q770" s="257"/>
      <c r="R770" s="260"/>
      <c r="S770" s="260"/>
      <c r="T770" s="260"/>
      <c r="U770" s="261"/>
      <c r="V770" s="251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</row>
    <row r="771">
      <c r="A771" s="263">
        <f>IFERROR(__xludf.DUMMYFUNCTION("""COMPUTED_VALUE"""),8358548.0)</f>
        <v>8358548</v>
      </c>
      <c r="B771" s="264" t="str">
        <f>IFERROR(__xludf.DUMMYFUNCTION("""COMPUTED_VALUE"""),"BookingCom")</f>
        <v>BookingCom</v>
      </c>
      <c r="C771" s="265" t="str">
        <f>IFERROR(__xludf.DUMMYFUNCTION("""COMPUTED_VALUE"""),"Riccardo Bruno ")</f>
        <v>Riccardo Bruno </v>
      </c>
      <c r="D771" s="266">
        <f>IFERROR(__xludf.DUMMYFUNCTION("""COMPUTED_VALUE"""),46272.0)</f>
        <v>46272</v>
      </c>
      <c r="E771" s="263">
        <f>IFERROR(__xludf.DUMMYFUNCTION("""COMPUTED_VALUE"""),46278.0)</f>
        <v>46278</v>
      </c>
      <c r="F771" s="267">
        <f>IFERROR(__xludf.DUMMYFUNCTION("""COMPUTED_VALUE"""),6.0)</f>
        <v>6</v>
      </c>
      <c r="G771" s="267">
        <f>IFERROR(__xludf.DUMMYFUNCTION("""COMPUTED_VALUE"""),2.0)</f>
        <v>2</v>
      </c>
      <c r="H771" s="268">
        <f>IFERROR(__xludf.DUMMYFUNCTION("""COMPUTED_VALUE"""),178.75999999999996)</f>
        <v>178.76</v>
      </c>
      <c r="I771" s="268">
        <f>IFERROR(__xludf.DUMMYFUNCTION("""COMPUTED_VALUE"""),858.0479999999999)</f>
        <v>858.048</v>
      </c>
      <c r="J771" s="257">
        <f t="shared" si="1"/>
        <v>12</v>
      </c>
      <c r="K771" s="265"/>
      <c r="L771" s="265"/>
      <c r="M771" s="264"/>
      <c r="N771" s="270"/>
      <c r="O771" s="271"/>
      <c r="P771" s="271"/>
      <c r="Q771" s="272"/>
      <c r="R771" s="273"/>
      <c r="S771" s="273"/>
      <c r="T771" s="273"/>
      <c r="U771" s="274"/>
      <c r="V771" s="266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</row>
    <row r="772">
      <c r="A772" s="263">
        <f>IFERROR(__xludf.DUMMYFUNCTION("""COMPUTED_VALUE"""),8359330.0)</f>
        <v>8359330</v>
      </c>
      <c r="B772" s="264" t="str">
        <f>IFERROR(__xludf.DUMMYFUNCTION("""COMPUTED_VALUE"""),"BookingCom")</f>
        <v>BookingCom</v>
      </c>
      <c r="C772" s="265" t="str">
        <f>IFERROR(__xludf.DUMMYFUNCTION("""COMPUTED_VALUE"""),"Samir Jarir ")</f>
        <v>Samir Jarir </v>
      </c>
      <c r="D772" s="266">
        <f>IFERROR(__xludf.DUMMYFUNCTION("""COMPUTED_VALUE"""),46172.0)</f>
        <v>46172</v>
      </c>
      <c r="E772" s="263">
        <f>IFERROR(__xludf.DUMMYFUNCTION("""COMPUTED_VALUE"""),46175.0)</f>
        <v>46175</v>
      </c>
      <c r="F772" s="267">
        <f>IFERROR(__xludf.DUMMYFUNCTION("""COMPUTED_VALUE"""),3.0)</f>
        <v>3</v>
      </c>
      <c r="G772" s="267">
        <f>IFERROR(__xludf.DUMMYFUNCTION("""COMPUTED_VALUE"""),2.0)</f>
        <v>2</v>
      </c>
      <c r="H772" s="268">
        <f>IFERROR(__xludf.DUMMYFUNCTION("""COMPUTED_VALUE"""),212.78666666666666)</f>
        <v>212.7866667</v>
      </c>
      <c r="I772" s="268">
        <f>IFERROR(__xludf.DUMMYFUNCTION("""COMPUTED_VALUE"""),510.688)</f>
        <v>510.688</v>
      </c>
      <c r="J772" s="257">
        <f t="shared" si="1"/>
        <v>6</v>
      </c>
      <c r="K772" s="265"/>
      <c r="L772" s="265"/>
      <c r="M772" s="264"/>
      <c r="N772" s="270"/>
      <c r="O772" s="271"/>
      <c r="P772" s="271"/>
      <c r="Q772" s="272"/>
      <c r="R772" s="273"/>
      <c r="S772" s="273"/>
      <c r="T772" s="273"/>
      <c r="U772" s="274"/>
      <c r="V772" s="263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</row>
    <row r="773">
      <c r="A773" s="263">
        <f>IFERROR(__xludf.DUMMYFUNCTION("""COMPUTED_VALUE"""),8362065.0)</f>
        <v>8362065</v>
      </c>
      <c r="B773" s="264" t="str">
        <f>IFERROR(__xludf.DUMMYFUNCTION("""COMPUTED_VALUE"""),"BookingCom")</f>
        <v>BookingCom</v>
      </c>
      <c r="C773" s="265" t="str">
        <f>IFERROR(__xludf.DUMMYFUNCTION("""COMPUTED_VALUE"""),"Romain Felix ")</f>
        <v>Romain Felix </v>
      </c>
      <c r="D773" s="266">
        <f>IFERROR(__xludf.DUMMYFUNCTION("""COMPUTED_VALUE"""),46118.0)</f>
        <v>46118</v>
      </c>
      <c r="E773" s="266">
        <f>IFERROR(__xludf.DUMMYFUNCTION("""COMPUTED_VALUE"""),46119.0)</f>
        <v>46119</v>
      </c>
      <c r="F773" s="267">
        <f>IFERROR(__xludf.DUMMYFUNCTION("""COMPUTED_VALUE"""),1.0)</f>
        <v>1</v>
      </c>
      <c r="G773" s="267">
        <f>IFERROR(__xludf.DUMMYFUNCTION("""COMPUTED_VALUE"""),2.0)</f>
        <v>2</v>
      </c>
      <c r="H773" s="268">
        <f>IFERROR(__xludf.DUMMYFUNCTION("""COMPUTED_VALUE"""),223.2)</f>
        <v>223.2</v>
      </c>
      <c r="I773" s="268">
        <f>IFERROR(__xludf.DUMMYFUNCTION("""COMPUTED_VALUE"""),178.56)</f>
        <v>178.56</v>
      </c>
      <c r="J773" s="257">
        <f t="shared" si="1"/>
        <v>2</v>
      </c>
      <c r="K773" s="265"/>
      <c r="L773" s="265"/>
      <c r="M773" s="269"/>
      <c r="N773" s="270"/>
      <c r="O773" s="271"/>
      <c r="P773" s="271"/>
      <c r="Q773" s="272"/>
      <c r="R773" s="273"/>
      <c r="S773" s="273"/>
      <c r="T773" s="273"/>
      <c r="U773" s="274"/>
      <c r="V773" s="266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</row>
    <row r="774">
      <c r="A774" s="263">
        <f>IFERROR(__xludf.DUMMYFUNCTION("""COMPUTED_VALUE"""),8362910.0)</f>
        <v>8362910</v>
      </c>
      <c r="B774" s="264" t="str">
        <f>IFERROR(__xludf.DUMMYFUNCTION("""COMPUTED_VALUE"""),"BookingCom")</f>
        <v>BookingCom</v>
      </c>
      <c r="C774" s="265" t="str">
        <f>IFERROR(__xludf.DUMMYFUNCTION("""COMPUTED_VALUE"""),"Begona de Miguel Veira ")</f>
        <v>Begona de Miguel Veira </v>
      </c>
      <c r="D774" s="266">
        <f>IFERROR(__xludf.DUMMYFUNCTION("""COMPUTED_VALUE"""),46186.0)</f>
        <v>46186</v>
      </c>
      <c r="E774" s="266">
        <f>IFERROR(__xludf.DUMMYFUNCTION("""COMPUTED_VALUE"""),46188.0)</f>
        <v>46188</v>
      </c>
      <c r="F774" s="267">
        <f>IFERROR(__xludf.DUMMYFUNCTION("""COMPUTED_VALUE"""),2.0)</f>
        <v>2</v>
      </c>
      <c r="G774" s="267">
        <f>IFERROR(__xludf.DUMMYFUNCTION("""COMPUTED_VALUE"""),2.0)</f>
        <v>2</v>
      </c>
      <c r="H774" s="268">
        <f>IFERROR(__xludf.DUMMYFUNCTION("""COMPUTED_VALUE"""),153.12)</f>
        <v>153.12</v>
      </c>
      <c r="I774" s="268">
        <f>IFERROR(__xludf.DUMMYFUNCTION("""COMPUTED_VALUE"""),244.99200000000002)</f>
        <v>244.992</v>
      </c>
      <c r="J774" s="257">
        <f t="shared" si="1"/>
        <v>4</v>
      </c>
      <c r="K774" s="265"/>
      <c r="L774" s="265"/>
      <c r="M774" s="269"/>
      <c r="N774" s="270"/>
      <c r="O774" s="271"/>
      <c r="P774" s="271"/>
      <c r="Q774" s="272"/>
      <c r="R774" s="273"/>
      <c r="S774" s="273"/>
      <c r="T774" s="273"/>
      <c r="U774" s="274"/>
      <c r="V774" s="266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</row>
    <row r="775">
      <c r="A775" s="263">
        <f>IFERROR(__xludf.DUMMYFUNCTION("""COMPUTED_VALUE"""),8363638.0)</f>
        <v>8363638</v>
      </c>
      <c r="B775" s="264" t="str">
        <f>IFERROR(__xludf.DUMMYFUNCTION("""COMPUTED_VALUE"""),"BookingCom")</f>
        <v>BookingCom</v>
      </c>
      <c r="C775" s="265" t="str">
        <f>IFERROR(__xludf.DUMMYFUNCTION("""COMPUTED_VALUE"""),"Maria Antonietta Antonelli ")</f>
        <v>Maria Antonietta Antonelli </v>
      </c>
      <c r="D775" s="266">
        <f>IFERROR(__xludf.DUMMYFUNCTION("""COMPUTED_VALUE"""),46118.0)</f>
        <v>46118</v>
      </c>
      <c r="E775" s="263">
        <f>IFERROR(__xludf.DUMMYFUNCTION("""COMPUTED_VALUE"""),46119.0)</f>
        <v>46119</v>
      </c>
      <c r="F775" s="267">
        <f>IFERROR(__xludf.DUMMYFUNCTION("""COMPUTED_VALUE"""),1.0)</f>
        <v>1</v>
      </c>
      <c r="G775" s="267">
        <f>IFERROR(__xludf.DUMMYFUNCTION("""COMPUTED_VALUE"""),3.0)</f>
        <v>3</v>
      </c>
      <c r="H775" s="268">
        <f>IFERROR(__xludf.DUMMYFUNCTION("""COMPUTED_VALUE"""),187.01)</f>
        <v>187.01</v>
      </c>
      <c r="I775" s="268">
        <f>IFERROR(__xludf.DUMMYFUNCTION("""COMPUTED_VALUE"""),149.608)</f>
        <v>149.608</v>
      </c>
      <c r="J775" s="257">
        <f t="shared" si="1"/>
        <v>3</v>
      </c>
      <c r="K775" s="265"/>
      <c r="L775" s="265"/>
      <c r="M775" s="264"/>
      <c r="N775" s="270"/>
      <c r="O775" s="271"/>
      <c r="P775" s="271"/>
      <c r="Q775" s="272"/>
      <c r="R775" s="273"/>
      <c r="S775" s="273"/>
      <c r="T775" s="273"/>
      <c r="U775" s="274"/>
      <c r="V775" s="263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</row>
    <row r="776">
      <c r="A776" s="263">
        <f>IFERROR(__xludf.DUMMYFUNCTION("""COMPUTED_VALUE"""),8365456.0)</f>
        <v>8365456</v>
      </c>
      <c r="B776" s="264" t="str">
        <f>IFERROR(__xludf.DUMMYFUNCTION("""COMPUTED_VALUE"""),"BookingCom")</f>
        <v>BookingCom</v>
      </c>
      <c r="C776" s="265" t="str">
        <f>IFERROR(__xludf.DUMMYFUNCTION("""COMPUTED_VALUE"""),"Daniela Pisati ")</f>
        <v>Daniela Pisati </v>
      </c>
      <c r="D776" s="266">
        <f>IFERROR(__xludf.DUMMYFUNCTION("""COMPUTED_VALUE"""),46277.0)</f>
        <v>46277</v>
      </c>
      <c r="E776" s="263">
        <f>IFERROR(__xludf.DUMMYFUNCTION("""COMPUTED_VALUE"""),46278.0)</f>
        <v>46278</v>
      </c>
      <c r="F776" s="267">
        <f>IFERROR(__xludf.DUMMYFUNCTION("""COMPUTED_VALUE"""),1.0)</f>
        <v>1</v>
      </c>
      <c r="G776" s="267">
        <f>IFERROR(__xludf.DUMMYFUNCTION("""COMPUTED_VALUE"""),2.0)</f>
        <v>2</v>
      </c>
      <c r="H776" s="268">
        <f>IFERROR(__xludf.DUMMYFUNCTION("""COMPUTED_VALUE"""),166.56)</f>
        <v>166.56</v>
      </c>
      <c r="I776" s="268">
        <f>IFERROR(__xludf.DUMMYFUNCTION("""COMPUTED_VALUE"""),133.24800000000002)</f>
        <v>133.248</v>
      </c>
      <c r="J776" s="257">
        <f t="shared" si="1"/>
        <v>2</v>
      </c>
      <c r="K776" s="265"/>
      <c r="L776" s="265"/>
      <c r="M776" s="269"/>
      <c r="N776" s="270"/>
      <c r="O776" s="271"/>
      <c r="P776" s="271"/>
      <c r="Q776" s="272"/>
      <c r="R776" s="273"/>
      <c r="S776" s="273"/>
      <c r="T776" s="273"/>
      <c r="U776" s="274"/>
      <c r="V776" s="266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</row>
    <row r="777">
      <c r="A777" s="263">
        <f>IFERROR(__xludf.DUMMYFUNCTION("""COMPUTED_VALUE"""),8365759.0)</f>
        <v>8365759</v>
      </c>
      <c r="B777" s="264" t="str">
        <f>IFERROR(__xludf.DUMMYFUNCTION("""COMPUTED_VALUE"""),"Reseliva")</f>
        <v>Reseliva</v>
      </c>
      <c r="C777" s="265" t="str">
        <f>IFERROR(__xludf.DUMMYFUNCTION("""COMPUTED_VALUE"""),"Sayed Agence ")</f>
        <v>Sayed Agence </v>
      </c>
      <c r="D777" s="266">
        <f>IFERROR(__xludf.DUMMYFUNCTION("""COMPUTED_VALUE"""),46187.0)</f>
        <v>46187</v>
      </c>
      <c r="E777" s="263">
        <f>IFERROR(__xludf.DUMMYFUNCTION("""COMPUTED_VALUE"""),46189.0)</f>
        <v>46189</v>
      </c>
      <c r="F777" s="267">
        <f>IFERROR(__xludf.DUMMYFUNCTION("""COMPUTED_VALUE"""),2.0)</f>
        <v>2</v>
      </c>
      <c r="G777" s="267">
        <f>IFERROR(__xludf.DUMMYFUNCTION("""COMPUTED_VALUE"""),2.0)</f>
        <v>2</v>
      </c>
      <c r="H777" s="268">
        <f>IFERROR(__xludf.DUMMYFUNCTION("""COMPUTED_VALUE"""),162.72)</f>
        <v>162.72</v>
      </c>
      <c r="I777" s="268">
        <f>IFERROR(__xludf.DUMMYFUNCTION("""COMPUTED_VALUE"""),322.1856)</f>
        <v>322.1856</v>
      </c>
      <c r="J777" s="257">
        <f t="shared" si="1"/>
        <v>4</v>
      </c>
      <c r="K777" s="265"/>
      <c r="L777" s="265"/>
      <c r="M777" s="264"/>
      <c r="N777" s="270"/>
      <c r="O777" s="271"/>
      <c r="P777" s="271"/>
      <c r="Q777" s="272"/>
      <c r="R777" s="273"/>
      <c r="S777" s="273"/>
      <c r="T777" s="273"/>
      <c r="U777" s="274"/>
      <c r="V777" s="263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</row>
    <row r="778">
      <c r="A778" s="263">
        <f>IFERROR(__xludf.DUMMYFUNCTION("""COMPUTED_VALUE"""),8365759.0)</f>
        <v>8365759</v>
      </c>
      <c r="B778" s="264" t="str">
        <f>IFERROR(__xludf.DUMMYFUNCTION("""COMPUTED_VALUE"""),"Reseliva")</f>
        <v>Reseliva</v>
      </c>
      <c r="C778" s="265" t="str">
        <f>IFERROR(__xludf.DUMMYFUNCTION("""COMPUTED_VALUE"""),"Sayed Agence ")</f>
        <v>Sayed Agence </v>
      </c>
      <c r="D778" s="266">
        <f>IFERROR(__xludf.DUMMYFUNCTION("""COMPUTED_VALUE"""),46187.0)</f>
        <v>46187</v>
      </c>
      <c r="E778" s="263">
        <f>IFERROR(__xludf.DUMMYFUNCTION("""COMPUTED_VALUE"""),46189.0)</f>
        <v>46189</v>
      </c>
      <c r="F778" s="267">
        <f>IFERROR(__xludf.DUMMYFUNCTION("""COMPUTED_VALUE"""),2.0)</f>
        <v>2</v>
      </c>
      <c r="G778" s="267">
        <f>IFERROR(__xludf.DUMMYFUNCTION("""COMPUTED_VALUE"""),2.0)</f>
        <v>2</v>
      </c>
      <c r="H778" s="268">
        <f>IFERROR(__xludf.DUMMYFUNCTION("""COMPUTED_VALUE"""),181.44)</f>
        <v>181.44</v>
      </c>
      <c r="I778" s="268">
        <f>IFERROR(__xludf.DUMMYFUNCTION("""COMPUTED_VALUE"""),359.2512)</f>
        <v>359.2512</v>
      </c>
      <c r="J778" s="257">
        <f t="shared" si="1"/>
        <v>4</v>
      </c>
      <c r="K778" s="265"/>
      <c r="L778" s="265"/>
      <c r="M778" s="264"/>
      <c r="N778" s="270"/>
      <c r="O778" s="271"/>
      <c r="P778" s="271"/>
      <c r="Q778" s="272"/>
      <c r="R778" s="273"/>
      <c r="S778" s="273"/>
      <c r="T778" s="273"/>
      <c r="U778" s="274"/>
      <c r="V778" s="266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</row>
    <row r="779">
      <c r="A779" s="263">
        <f>IFERROR(__xludf.DUMMYFUNCTION("""COMPUTED_VALUE"""),8365759.0)</f>
        <v>8365759</v>
      </c>
      <c r="B779" s="264" t="str">
        <f>IFERROR(__xludf.DUMMYFUNCTION("""COMPUTED_VALUE"""),"Reseliva")</f>
        <v>Reseliva</v>
      </c>
      <c r="C779" s="265" t="str">
        <f>IFERROR(__xludf.DUMMYFUNCTION("""COMPUTED_VALUE"""),"Sayed Agence ")</f>
        <v>Sayed Agence </v>
      </c>
      <c r="D779" s="266">
        <f>IFERROR(__xludf.DUMMYFUNCTION("""COMPUTED_VALUE"""),46187.0)</f>
        <v>46187</v>
      </c>
      <c r="E779" s="263">
        <f>IFERROR(__xludf.DUMMYFUNCTION("""COMPUTED_VALUE"""),46189.0)</f>
        <v>46189</v>
      </c>
      <c r="F779" s="267">
        <f>IFERROR(__xludf.DUMMYFUNCTION("""COMPUTED_VALUE"""),2.0)</f>
        <v>2</v>
      </c>
      <c r="G779" s="267">
        <f>IFERROR(__xludf.DUMMYFUNCTION("""COMPUTED_VALUE"""),2.0)</f>
        <v>2</v>
      </c>
      <c r="H779" s="268">
        <f>IFERROR(__xludf.DUMMYFUNCTION("""COMPUTED_VALUE"""),181.44)</f>
        <v>181.44</v>
      </c>
      <c r="I779" s="268">
        <f>IFERROR(__xludf.DUMMYFUNCTION("""COMPUTED_VALUE"""),359.2512)</f>
        <v>359.2512</v>
      </c>
      <c r="J779" s="257">
        <f t="shared" si="1"/>
        <v>4</v>
      </c>
      <c r="K779" s="265"/>
      <c r="L779" s="265"/>
      <c r="M779" s="264"/>
      <c r="N779" s="270"/>
      <c r="O779" s="271"/>
      <c r="P779" s="271"/>
      <c r="Q779" s="272"/>
      <c r="R779" s="273"/>
      <c r="S779" s="273"/>
      <c r="T779" s="273"/>
      <c r="U779" s="274"/>
      <c r="V779" s="263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</row>
    <row r="780">
      <c r="A780" s="263">
        <f>IFERROR(__xludf.DUMMYFUNCTION("""COMPUTED_VALUE"""),8365759.0)</f>
        <v>8365759</v>
      </c>
      <c r="B780" s="264" t="str">
        <f>IFERROR(__xludf.DUMMYFUNCTION("""COMPUTED_VALUE"""),"Reseliva")</f>
        <v>Reseliva</v>
      </c>
      <c r="C780" s="265" t="str">
        <f>IFERROR(__xludf.DUMMYFUNCTION("""COMPUTED_VALUE"""),"Sayed Agence ")</f>
        <v>Sayed Agence </v>
      </c>
      <c r="D780" s="266">
        <f>IFERROR(__xludf.DUMMYFUNCTION("""COMPUTED_VALUE"""),46187.0)</f>
        <v>46187</v>
      </c>
      <c r="E780" s="263">
        <f>IFERROR(__xludf.DUMMYFUNCTION("""COMPUTED_VALUE"""),46189.0)</f>
        <v>46189</v>
      </c>
      <c r="F780" s="267">
        <f>IFERROR(__xludf.DUMMYFUNCTION("""COMPUTED_VALUE"""),2.0)</f>
        <v>2</v>
      </c>
      <c r="G780" s="267">
        <f>IFERROR(__xludf.DUMMYFUNCTION("""COMPUTED_VALUE"""),2.0)</f>
        <v>2</v>
      </c>
      <c r="H780" s="268">
        <f>IFERROR(__xludf.DUMMYFUNCTION("""COMPUTED_VALUE"""),181.44)</f>
        <v>181.44</v>
      </c>
      <c r="I780" s="268">
        <f>IFERROR(__xludf.DUMMYFUNCTION("""COMPUTED_VALUE"""),359.2512)</f>
        <v>359.2512</v>
      </c>
      <c r="J780" s="257">
        <f t="shared" si="1"/>
        <v>4</v>
      </c>
      <c r="K780" s="265"/>
      <c r="L780" s="265"/>
      <c r="M780" s="264"/>
      <c r="N780" s="270"/>
      <c r="O780" s="271"/>
      <c r="P780" s="271"/>
      <c r="Q780" s="283"/>
      <c r="R780" s="273"/>
      <c r="S780" s="273"/>
      <c r="T780" s="273"/>
      <c r="U780" s="274"/>
      <c r="V780" s="263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</row>
    <row r="781">
      <c r="A781" s="263">
        <f>IFERROR(__xludf.DUMMYFUNCTION("""COMPUTED_VALUE"""),8365759.0)</f>
        <v>8365759</v>
      </c>
      <c r="B781" s="264" t="str">
        <f>IFERROR(__xludf.DUMMYFUNCTION("""COMPUTED_VALUE"""),"Reseliva")</f>
        <v>Reseliva</v>
      </c>
      <c r="C781" s="265" t="str">
        <f>IFERROR(__xludf.DUMMYFUNCTION("""COMPUTED_VALUE"""),"Sayed Agence ")</f>
        <v>Sayed Agence </v>
      </c>
      <c r="D781" s="266">
        <f>IFERROR(__xludf.DUMMYFUNCTION("""COMPUTED_VALUE"""),46187.0)</f>
        <v>46187</v>
      </c>
      <c r="E781" s="263">
        <f>IFERROR(__xludf.DUMMYFUNCTION("""COMPUTED_VALUE"""),46189.0)</f>
        <v>46189</v>
      </c>
      <c r="F781" s="267">
        <f>IFERROR(__xludf.DUMMYFUNCTION("""COMPUTED_VALUE"""),2.0)</f>
        <v>2</v>
      </c>
      <c r="G781" s="267">
        <f>IFERROR(__xludf.DUMMYFUNCTION("""COMPUTED_VALUE"""),2.0)</f>
        <v>2</v>
      </c>
      <c r="H781" s="268">
        <f>IFERROR(__xludf.DUMMYFUNCTION("""COMPUTED_VALUE"""),200.16)</f>
        <v>200.16</v>
      </c>
      <c r="I781" s="268">
        <f>IFERROR(__xludf.DUMMYFUNCTION("""COMPUTED_VALUE"""),396.3168)</f>
        <v>396.3168</v>
      </c>
      <c r="J781" s="257">
        <f t="shared" si="1"/>
        <v>4</v>
      </c>
      <c r="K781" s="265"/>
      <c r="L781" s="265"/>
      <c r="M781" s="264"/>
      <c r="N781" s="270"/>
      <c r="O781" s="271"/>
      <c r="P781" s="271"/>
      <c r="Q781" s="272"/>
      <c r="R781" s="273"/>
      <c r="S781" s="273"/>
      <c r="T781" s="273"/>
      <c r="U781" s="274"/>
      <c r="V781" s="266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</row>
    <row r="782">
      <c r="A782" s="263">
        <f>IFERROR(__xludf.DUMMYFUNCTION("""COMPUTED_VALUE"""),8365759.0)</f>
        <v>8365759</v>
      </c>
      <c r="B782" s="264" t="str">
        <f>IFERROR(__xludf.DUMMYFUNCTION("""COMPUTED_VALUE"""),"Reseliva")</f>
        <v>Reseliva</v>
      </c>
      <c r="C782" s="265" t="str">
        <f>IFERROR(__xludf.DUMMYFUNCTION("""COMPUTED_VALUE"""),"Sayed Agence ")</f>
        <v>Sayed Agence </v>
      </c>
      <c r="D782" s="266">
        <f>IFERROR(__xludf.DUMMYFUNCTION("""COMPUTED_VALUE"""),46187.0)</f>
        <v>46187</v>
      </c>
      <c r="E782" s="263">
        <f>IFERROR(__xludf.DUMMYFUNCTION("""COMPUTED_VALUE"""),46189.0)</f>
        <v>46189</v>
      </c>
      <c r="F782" s="267">
        <f>IFERROR(__xludf.DUMMYFUNCTION("""COMPUTED_VALUE"""),2.0)</f>
        <v>2</v>
      </c>
      <c r="G782" s="267">
        <f>IFERROR(__xludf.DUMMYFUNCTION("""COMPUTED_VALUE"""),2.0)</f>
        <v>2</v>
      </c>
      <c r="H782" s="268">
        <f>IFERROR(__xludf.DUMMYFUNCTION("""COMPUTED_VALUE"""),200.16)</f>
        <v>200.16</v>
      </c>
      <c r="I782" s="268">
        <f>IFERROR(__xludf.DUMMYFUNCTION("""COMPUTED_VALUE"""),396.3168)</f>
        <v>396.3168</v>
      </c>
      <c r="J782" s="257">
        <f t="shared" si="1"/>
        <v>4</v>
      </c>
      <c r="K782" s="265"/>
      <c r="L782" s="265"/>
      <c r="M782" s="264"/>
      <c r="N782" s="270"/>
      <c r="O782" s="271"/>
      <c r="P782" s="271"/>
      <c r="Q782" s="272"/>
      <c r="R782" s="273"/>
      <c r="S782" s="273"/>
      <c r="T782" s="273"/>
      <c r="U782" s="274"/>
      <c r="V782" s="266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</row>
    <row r="783">
      <c r="A783" s="263">
        <f>IFERROR(__xludf.DUMMYFUNCTION("""COMPUTED_VALUE"""),8365759.0)</f>
        <v>8365759</v>
      </c>
      <c r="B783" s="264" t="str">
        <f>IFERROR(__xludf.DUMMYFUNCTION("""COMPUTED_VALUE"""),"Reseliva")</f>
        <v>Reseliva</v>
      </c>
      <c r="C783" s="265" t="str">
        <f>IFERROR(__xludf.DUMMYFUNCTION("""COMPUTED_VALUE"""),"Sayed Agence ")</f>
        <v>Sayed Agence </v>
      </c>
      <c r="D783" s="266">
        <f>IFERROR(__xludf.DUMMYFUNCTION("""COMPUTED_VALUE"""),46187.0)</f>
        <v>46187</v>
      </c>
      <c r="E783" s="263">
        <f>IFERROR(__xludf.DUMMYFUNCTION("""COMPUTED_VALUE"""),46189.0)</f>
        <v>46189</v>
      </c>
      <c r="F783" s="267">
        <f>IFERROR(__xludf.DUMMYFUNCTION("""COMPUTED_VALUE"""),2.0)</f>
        <v>2</v>
      </c>
      <c r="G783" s="267">
        <f>IFERROR(__xludf.DUMMYFUNCTION("""COMPUTED_VALUE"""),2.0)</f>
        <v>2</v>
      </c>
      <c r="H783" s="268">
        <f>IFERROR(__xludf.DUMMYFUNCTION("""COMPUTED_VALUE"""),225.36)</f>
        <v>225.36</v>
      </c>
      <c r="I783" s="268">
        <f>IFERROR(__xludf.DUMMYFUNCTION("""COMPUTED_VALUE"""),446.2128)</f>
        <v>446.2128</v>
      </c>
      <c r="J783" s="257">
        <f t="shared" si="1"/>
        <v>4</v>
      </c>
      <c r="K783" s="265"/>
      <c r="L783" s="265"/>
      <c r="M783" s="269"/>
      <c r="N783" s="270"/>
      <c r="O783" s="271"/>
      <c r="P783" s="271"/>
      <c r="Q783" s="272"/>
      <c r="R783" s="273"/>
      <c r="S783" s="273"/>
      <c r="T783" s="273"/>
      <c r="U783" s="339"/>
      <c r="V783" s="266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</row>
    <row r="784">
      <c r="A784" s="263">
        <f>IFERROR(__xludf.DUMMYFUNCTION("""COMPUTED_VALUE"""),8365759.0)</f>
        <v>8365759</v>
      </c>
      <c r="B784" s="264" t="str">
        <f>IFERROR(__xludf.DUMMYFUNCTION("""COMPUTED_VALUE"""),"Reseliva")</f>
        <v>Reseliva</v>
      </c>
      <c r="C784" s="265" t="str">
        <f>IFERROR(__xludf.DUMMYFUNCTION("""COMPUTED_VALUE"""),"Sayed Agence ")</f>
        <v>Sayed Agence </v>
      </c>
      <c r="D784" s="266">
        <f>IFERROR(__xludf.DUMMYFUNCTION("""COMPUTED_VALUE"""),46187.0)</f>
        <v>46187</v>
      </c>
      <c r="E784" s="266">
        <f>IFERROR(__xludf.DUMMYFUNCTION("""COMPUTED_VALUE"""),46189.0)</f>
        <v>46189</v>
      </c>
      <c r="F784" s="267">
        <f>IFERROR(__xludf.DUMMYFUNCTION("""COMPUTED_VALUE"""),2.0)</f>
        <v>2</v>
      </c>
      <c r="G784" s="267">
        <f>IFERROR(__xludf.DUMMYFUNCTION("""COMPUTED_VALUE"""),2.0)</f>
        <v>2</v>
      </c>
      <c r="H784" s="268">
        <f>IFERROR(__xludf.DUMMYFUNCTION("""COMPUTED_VALUE"""),225.36)</f>
        <v>225.36</v>
      </c>
      <c r="I784" s="268">
        <f>IFERROR(__xludf.DUMMYFUNCTION("""COMPUTED_VALUE"""),446.2128)</f>
        <v>446.2128</v>
      </c>
      <c r="J784" s="257">
        <f t="shared" si="1"/>
        <v>4</v>
      </c>
      <c r="K784" s="265"/>
      <c r="L784" s="265"/>
      <c r="M784" s="269"/>
      <c r="N784" s="270"/>
      <c r="O784" s="271"/>
      <c r="P784" s="271"/>
      <c r="Q784" s="272"/>
      <c r="R784" s="273"/>
      <c r="S784" s="273"/>
      <c r="T784" s="273"/>
      <c r="U784" s="274"/>
      <c r="V784" s="266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</row>
    <row r="785">
      <c r="A785" s="263">
        <f>IFERROR(__xludf.DUMMYFUNCTION("""COMPUTED_VALUE"""),8366496.0)</f>
        <v>8366496</v>
      </c>
      <c r="B785" s="264" t="str">
        <f>IFERROR(__xludf.DUMMYFUNCTION("""COMPUTED_VALUE"""),"BookingCom")</f>
        <v>BookingCom</v>
      </c>
      <c r="C785" s="265" t="str">
        <f>IFERROR(__xludf.DUMMYFUNCTION("""COMPUTED_VALUE"""),"Carolina Tave ")</f>
        <v>Carolina Tave </v>
      </c>
      <c r="D785" s="266">
        <f>IFERROR(__xludf.DUMMYFUNCTION("""COMPUTED_VALUE"""),46419.0)</f>
        <v>46419</v>
      </c>
      <c r="E785" s="263">
        <f>IFERROR(__xludf.DUMMYFUNCTION("""COMPUTED_VALUE"""),46424.0)</f>
        <v>46424</v>
      </c>
      <c r="F785" s="267">
        <f>IFERROR(__xludf.DUMMYFUNCTION("""COMPUTED_VALUE"""),5.0)</f>
        <v>5</v>
      </c>
      <c r="G785" s="267">
        <f>IFERROR(__xludf.DUMMYFUNCTION("""COMPUTED_VALUE"""),2.0)</f>
        <v>2</v>
      </c>
      <c r="H785" s="268">
        <f>IFERROR(__xludf.DUMMYFUNCTION("""COMPUTED_VALUE"""),173.95999999999998)</f>
        <v>173.96</v>
      </c>
      <c r="I785" s="268">
        <f>IFERROR(__xludf.DUMMYFUNCTION("""COMPUTED_VALUE"""),695.8399999999999)</f>
        <v>695.84</v>
      </c>
      <c r="J785" s="257">
        <f t="shared" si="1"/>
        <v>10</v>
      </c>
      <c r="K785" s="265"/>
      <c r="L785" s="265"/>
      <c r="M785" s="269"/>
      <c r="N785" s="270"/>
      <c r="O785" s="271"/>
      <c r="P785" s="271"/>
      <c r="Q785" s="272"/>
      <c r="R785" s="273"/>
      <c r="S785" s="273"/>
      <c r="T785" s="273"/>
      <c r="U785" s="274"/>
      <c r="V785" s="266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</row>
    <row r="786">
      <c r="A786" s="263">
        <f>IFERROR(__xludf.DUMMYFUNCTION("""COMPUTED_VALUE"""),8368221.0)</f>
        <v>8368221</v>
      </c>
      <c r="B786" s="264" t="str">
        <f>IFERROR(__xludf.DUMMYFUNCTION("""COMPUTED_VALUE"""),"BookingCom")</f>
        <v>BookingCom</v>
      </c>
      <c r="C786" s="265" t="str">
        <f>IFERROR(__xludf.DUMMYFUNCTION("""COMPUTED_VALUE"""),"Alessandro Spiga ")</f>
        <v>Alessandro Spiga </v>
      </c>
      <c r="D786" s="374">
        <f>IFERROR(__xludf.DUMMYFUNCTION("""COMPUTED_VALUE"""),46234.0)</f>
        <v>46234</v>
      </c>
      <c r="E786" s="263">
        <f>IFERROR(__xludf.DUMMYFUNCTION("""COMPUTED_VALUE"""),46236.0)</f>
        <v>46236</v>
      </c>
      <c r="F786" s="267">
        <f>IFERROR(__xludf.DUMMYFUNCTION("""COMPUTED_VALUE"""),2.0)</f>
        <v>2</v>
      </c>
      <c r="G786" s="267">
        <f>IFERROR(__xludf.DUMMYFUNCTION("""COMPUTED_VALUE"""),2.0)</f>
        <v>2</v>
      </c>
      <c r="H786" s="268">
        <f>IFERROR(__xludf.DUMMYFUNCTION("""COMPUTED_VALUE"""),170.9)</f>
        <v>170.9</v>
      </c>
      <c r="I786" s="268">
        <f>IFERROR(__xludf.DUMMYFUNCTION("""COMPUTED_VALUE"""),273.44)</f>
        <v>273.44</v>
      </c>
      <c r="J786" s="257">
        <f t="shared" si="1"/>
        <v>4</v>
      </c>
      <c r="K786" s="265"/>
      <c r="L786" s="265"/>
      <c r="M786" s="269"/>
      <c r="N786" s="270"/>
      <c r="O786" s="271"/>
      <c r="P786" s="271"/>
      <c r="Q786" s="272"/>
      <c r="R786" s="273"/>
      <c r="S786" s="273"/>
      <c r="T786" s="273"/>
      <c r="U786" s="274"/>
      <c r="V786" s="266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</row>
    <row r="787">
      <c r="A787" s="263">
        <f>IFERROR(__xludf.DUMMYFUNCTION("""COMPUTED_VALUE"""),8370386.0)</f>
        <v>8370386</v>
      </c>
      <c r="B787" s="264" t="str">
        <f>IFERROR(__xludf.DUMMYFUNCTION("""COMPUTED_VALUE"""),"BookingCom")</f>
        <v>BookingCom</v>
      </c>
      <c r="C787" s="265" t="str">
        <f>IFERROR(__xludf.DUMMYFUNCTION("""COMPUTED_VALUE"""),"coorevits stephanie ")</f>
        <v>coorevits stephanie </v>
      </c>
      <c r="D787" s="266">
        <f>IFERROR(__xludf.DUMMYFUNCTION("""COMPUTED_VALUE"""),46314.0)</f>
        <v>46314</v>
      </c>
      <c r="E787" s="266">
        <f>IFERROR(__xludf.DUMMYFUNCTION("""COMPUTED_VALUE"""),46317.0)</f>
        <v>46317</v>
      </c>
      <c r="F787" s="267">
        <f>IFERROR(__xludf.DUMMYFUNCTION("""COMPUTED_VALUE"""),3.0)</f>
        <v>3</v>
      </c>
      <c r="G787" s="267">
        <f>IFERROR(__xludf.DUMMYFUNCTION("""COMPUTED_VALUE"""),2.0)</f>
        <v>2</v>
      </c>
      <c r="H787" s="268">
        <f>IFERROR(__xludf.DUMMYFUNCTION("""COMPUTED_VALUE"""),122.33)</f>
        <v>122.33</v>
      </c>
      <c r="I787" s="268">
        <f>IFERROR(__xludf.DUMMYFUNCTION("""COMPUTED_VALUE"""),293.592)</f>
        <v>293.592</v>
      </c>
      <c r="J787" s="257">
        <f t="shared" si="1"/>
        <v>6</v>
      </c>
      <c r="K787" s="265"/>
      <c r="L787" s="265"/>
      <c r="M787" s="264"/>
      <c r="N787" s="270"/>
      <c r="O787" s="271"/>
      <c r="P787" s="271"/>
      <c r="Q787" s="272"/>
      <c r="R787" s="273"/>
      <c r="S787" s="273"/>
      <c r="T787" s="273"/>
      <c r="U787" s="274"/>
      <c r="V787" s="266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</row>
    <row r="788">
      <c r="A788" s="263">
        <f>IFERROR(__xludf.DUMMYFUNCTION("""COMPUTED_VALUE"""),8370663.0)</f>
        <v>8370663</v>
      </c>
      <c r="B788" s="264" t="str">
        <f>IFERROR(__xludf.DUMMYFUNCTION("""COMPUTED_VALUE"""),"BookingCom")</f>
        <v>BookingCom</v>
      </c>
      <c r="C788" s="265" t="str">
        <f>IFERROR(__xludf.DUMMYFUNCTION("""COMPUTED_VALUE"""),"Christophe Delferier ")</f>
        <v>Christophe Delferier </v>
      </c>
      <c r="D788" s="266">
        <f>IFERROR(__xludf.DUMMYFUNCTION("""COMPUTED_VALUE"""),46166.0)</f>
        <v>46166</v>
      </c>
      <c r="E788" s="263">
        <f>IFERROR(__xludf.DUMMYFUNCTION("""COMPUTED_VALUE"""),46168.0)</f>
        <v>46168</v>
      </c>
      <c r="F788" s="267">
        <f>IFERROR(__xludf.DUMMYFUNCTION("""COMPUTED_VALUE"""),2.0)</f>
        <v>2</v>
      </c>
      <c r="G788" s="267">
        <f>IFERROR(__xludf.DUMMYFUNCTION("""COMPUTED_VALUE"""),2.0)</f>
        <v>2</v>
      </c>
      <c r="H788" s="268">
        <f>IFERROR(__xludf.DUMMYFUNCTION("""COMPUTED_VALUE"""),169.14)</f>
        <v>169.14</v>
      </c>
      <c r="I788" s="268">
        <f>IFERROR(__xludf.DUMMYFUNCTION("""COMPUTED_VALUE"""),270.62399999999997)</f>
        <v>270.624</v>
      </c>
      <c r="J788" s="257">
        <f t="shared" si="1"/>
        <v>4</v>
      </c>
      <c r="K788" s="265"/>
      <c r="L788" s="265"/>
      <c r="M788" s="269"/>
      <c r="N788" s="270"/>
      <c r="O788" s="271"/>
      <c r="P788" s="271"/>
      <c r="Q788" s="272"/>
      <c r="R788" s="273"/>
      <c r="S788" s="273"/>
      <c r="T788" s="273"/>
      <c r="U788" s="274"/>
      <c r="V788" s="266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</row>
    <row r="789">
      <c r="A789" s="263">
        <f>IFERROR(__xludf.DUMMYFUNCTION("""COMPUTED_VALUE"""),8370823.0)</f>
        <v>8370823</v>
      </c>
      <c r="B789" s="264" t="str">
        <f>IFERROR(__xludf.DUMMYFUNCTION("""COMPUTED_VALUE"""),"Reseliva Pannel")</f>
        <v>Reseliva Pannel</v>
      </c>
      <c r="C789" s="265" t="str">
        <f>IFERROR(__xludf.DUMMYFUNCTION("""COMPUTED_VALUE"""),"Lionel BARRERE ")</f>
        <v>Lionel BARRERE </v>
      </c>
      <c r="D789" s="266">
        <f>IFERROR(__xludf.DUMMYFUNCTION("""COMPUTED_VALUE"""),46118.0)</f>
        <v>46118</v>
      </c>
      <c r="E789" s="266">
        <f>IFERROR(__xludf.DUMMYFUNCTION("""COMPUTED_VALUE"""),46120.0)</f>
        <v>46120</v>
      </c>
      <c r="F789" s="267">
        <f>IFERROR(__xludf.DUMMYFUNCTION("""COMPUTED_VALUE"""),2.0)</f>
        <v>2</v>
      </c>
      <c r="G789" s="267">
        <f>IFERROR(__xludf.DUMMYFUNCTION("""COMPUTED_VALUE"""),2.0)</f>
        <v>2</v>
      </c>
      <c r="H789" s="268">
        <f>IFERROR(__xludf.DUMMYFUNCTION("""COMPUTED_VALUE"""),300.24)</f>
        <v>300.24</v>
      </c>
      <c r="I789" s="268">
        <f>IFERROR(__xludf.DUMMYFUNCTION("""COMPUTED_VALUE"""),600.48)</f>
        <v>600.48</v>
      </c>
      <c r="J789" s="257">
        <f t="shared" si="1"/>
        <v>4</v>
      </c>
      <c r="K789" s="265"/>
      <c r="L789" s="265"/>
      <c r="M789" s="269"/>
      <c r="N789" s="270"/>
      <c r="O789" s="271"/>
      <c r="P789" s="271"/>
      <c r="Q789" s="272"/>
      <c r="R789" s="273"/>
      <c r="S789" s="273"/>
      <c r="T789" s="273"/>
      <c r="U789" s="274"/>
      <c r="V789" s="266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</row>
    <row r="790">
      <c r="A790" s="263">
        <f>IFERROR(__xludf.DUMMYFUNCTION("""COMPUTED_VALUE"""),8374104.0)</f>
        <v>8374104</v>
      </c>
      <c r="B790" s="264" t="str">
        <f>IFERROR(__xludf.DUMMYFUNCTION("""COMPUTED_VALUE"""),"BookingCom")</f>
        <v>BookingCom</v>
      </c>
      <c r="C790" s="265" t="str">
        <f>IFERROR(__xludf.DUMMYFUNCTION("""COMPUTED_VALUE"""),"Marc-Antoine Charron ")</f>
        <v>Marc-Antoine Charron </v>
      </c>
      <c r="D790" s="266">
        <f>IFERROR(__xludf.DUMMYFUNCTION("""COMPUTED_VALUE"""),46192.0)</f>
        <v>46192</v>
      </c>
      <c r="E790" s="266">
        <f>IFERROR(__xludf.DUMMYFUNCTION("""COMPUTED_VALUE"""),46195.0)</f>
        <v>46195</v>
      </c>
      <c r="F790" s="267">
        <f>IFERROR(__xludf.DUMMYFUNCTION("""COMPUTED_VALUE"""),3.0)</f>
        <v>3</v>
      </c>
      <c r="G790" s="267">
        <f>IFERROR(__xludf.DUMMYFUNCTION("""COMPUTED_VALUE"""),2.0)</f>
        <v>2</v>
      </c>
      <c r="H790" s="268">
        <f>IFERROR(__xludf.DUMMYFUNCTION("""COMPUTED_VALUE"""),158.65)</f>
        <v>158.65</v>
      </c>
      <c r="I790" s="268">
        <f>IFERROR(__xludf.DUMMYFUNCTION("""COMPUTED_VALUE"""),380.76000000000005)</f>
        <v>380.76</v>
      </c>
      <c r="J790" s="257">
        <f t="shared" si="1"/>
        <v>6</v>
      </c>
      <c r="K790" s="265"/>
      <c r="L790" s="265"/>
      <c r="M790" s="264"/>
      <c r="N790" s="270"/>
      <c r="O790" s="271"/>
      <c r="P790" s="271"/>
      <c r="Q790" s="283"/>
      <c r="R790" s="273"/>
      <c r="S790" s="273"/>
      <c r="T790" s="273"/>
      <c r="U790" s="274"/>
      <c r="V790" s="266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</row>
    <row r="791">
      <c r="A791" s="263">
        <f>IFERROR(__xludf.DUMMYFUNCTION("""COMPUTED_VALUE"""),8375601.0)</f>
        <v>8375601</v>
      </c>
      <c r="B791" s="264" t="str">
        <f>IFERROR(__xludf.DUMMYFUNCTION("""COMPUTED_VALUE"""),"BookingCom")</f>
        <v>BookingCom</v>
      </c>
      <c r="C791" s="265" t="str">
        <f>IFERROR(__xludf.DUMMYFUNCTION("""COMPUTED_VALUE"""),"Michelle Perez ")</f>
        <v>Michelle Perez </v>
      </c>
      <c r="D791" s="266">
        <f>IFERROR(__xludf.DUMMYFUNCTION("""COMPUTED_VALUE"""),46180.0)</f>
        <v>46180</v>
      </c>
      <c r="E791" s="263">
        <f>IFERROR(__xludf.DUMMYFUNCTION("""COMPUTED_VALUE"""),46182.0)</f>
        <v>46182</v>
      </c>
      <c r="F791" s="267">
        <f>IFERROR(__xludf.DUMMYFUNCTION("""COMPUTED_VALUE"""),2.0)</f>
        <v>2</v>
      </c>
      <c r="G791" s="267">
        <f>IFERROR(__xludf.DUMMYFUNCTION("""COMPUTED_VALUE"""),2.0)</f>
        <v>2</v>
      </c>
      <c r="H791" s="268">
        <f>IFERROR(__xludf.DUMMYFUNCTION("""COMPUTED_VALUE"""),152.34)</f>
        <v>152.34</v>
      </c>
      <c r="I791" s="268">
        <f>IFERROR(__xludf.DUMMYFUNCTION("""COMPUTED_VALUE"""),243.74400000000003)</f>
        <v>243.744</v>
      </c>
      <c r="J791" s="257">
        <f t="shared" si="1"/>
        <v>4</v>
      </c>
      <c r="K791" s="265"/>
      <c r="L791" s="265"/>
      <c r="M791" s="269"/>
      <c r="N791" s="270"/>
      <c r="O791" s="271"/>
      <c r="P791" s="271"/>
      <c r="Q791" s="272"/>
      <c r="R791" s="273"/>
      <c r="S791" s="273"/>
      <c r="T791" s="273"/>
      <c r="U791" s="274"/>
      <c r="V791" s="266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</row>
    <row r="792">
      <c r="A792" s="263">
        <f>IFERROR(__xludf.DUMMYFUNCTION("""COMPUTED_VALUE"""),8378576.0)</f>
        <v>8378576</v>
      </c>
      <c r="B792" s="264" t="str">
        <f>IFERROR(__xludf.DUMMYFUNCTION("""COMPUTED_VALUE"""),"BookingCom")</f>
        <v>BookingCom</v>
      </c>
      <c r="C792" s="265" t="str">
        <f>IFERROR(__xludf.DUMMYFUNCTION("""COMPUTED_VALUE"""),"Rudolf Ohnesorge ")</f>
        <v>Rudolf Ohnesorge </v>
      </c>
      <c r="D792" s="266">
        <f>IFERROR(__xludf.DUMMYFUNCTION("""COMPUTED_VALUE"""),46169.0)</f>
        <v>46169</v>
      </c>
      <c r="E792" s="263">
        <f>IFERROR(__xludf.DUMMYFUNCTION("""COMPUTED_VALUE"""),46171.0)</f>
        <v>46171</v>
      </c>
      <c r="F792" s="267">
        <f>IFERROR(__xludf.DUMMYFUNCTION("""COMPUTED_VALUE"""),2.0)</f>
        <v>2</v>
      </c>
      <c r="G792" s="267">
        <f>IFERROR(__xludf.DUMMYFUNCTION("""COMPUTED_VALUE"""),2.0)</f>
        <v>2</v>
      </c>
      <c r="H792" s="268">
        <f>IFERROR(__xludf.DUMMYFUNCTION("""COMPUTED_VALUE"""),173.78)</f>
        <v>173.78</v>
      </c>
      <c r="I792" s="268">
        <f>IFERROR(__xludf.DUMMYFUNCTION("""COMPUTED_VALUE"""),278.048)</f>
        <v>278.048</v>
      </c>
      <c r="J792" s="257">
        <f t="shared" si="1"/>
        <v>4</v>
      </c>
      <c r="K792" s="265"/>
      <c r="L792" s="265"/>
      <c r="M792" s="264"/>
      <c r="N792" s="270"/>
      <c r="O792" s="271"/>
      <c r="P792" s="271"/>
      <c r="Q792" s="283"/>
      <c r="R792" s="273"/>
      <c r="S792" s="273"/>
      <c r="T792" s="273"/>
      <c r="U792" s="274"/>
      <c r="V792" s="266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</row>
    <row r="793">
      <c r="A793" s="263">
        <f>IFERROR(__xludf.DUMMYFUNCTION("""COMPUTED_VALUE"""),8379837.0)</f>
        <v>8379837</v>
      </c>
      <c r="B793" s="264" t="str">
        <f>IFERROR(__xludf.DUMMYFUNCTION("""COMPUTED_VALUE"""),"BookingCom")</f>
        <v>BookingCom</v>
      </c>
      <c r="C793" s="265" t="str">
        <f>IFERROR(__xludf.DUMMYFUNCTION("""COMPUTED_VALUE"""),"Gregory Thomson ")</f>
        <v>Gregory Thomson </v>
      </c>
      <c r="D793" s="266">
        <f>IFERROR(__xludf.DUMMYFUNCTION("""COMPUTED_VALUE"""),46137.0)</f>
        <v>46137</v>
      </c>
      <c r="E793" s="263">
        <f>IFERROR(__xludf.DUMMYFUNCTION("""COMPUTED_VALUE"""),46140.0)</f>
        <v>46140</v>
      </c>
      <c r="F793" s="267">
        <f>IFERROR(__xludf.DUMMYFUNCTION("""COMPUTED_VALUE"""),3.0)</f>
        <v>3</v>
      </c>
      <c r="G793" s="267">
        <f>IFERROR(__xludf.DUMMYFUNCTION("""COMPUTED_VALUE"""),3.0)</f>
        <v>3</v>
      </c>
      <c r="H793" s="268">
        <f>IFERROR(__xludf.DUMMYFUNCTION("""COMPUTED_VALUE"""),177.05999999999997)</f>
        <v>177.06</v>
      </c>
      <c r="I793" s="268">
        <f>IFERROR(__xludf.DUMMYFUNCTION("""COMPUTED_VALUE"""),424.94399999999996)</f>
        <v>424.944</v>
      </c>
      <c r="J793" s="257">
        <f t="shared" si="1"/>
        <v>9</v>
      </c>
      <c r="K793" s="265"/>
      <c r="L793" s="265"/>
      <c r="M793" s="264"/>
      <c r="N793" s="270"/>
      <c r="O793" s="271"/>
      <c r="P793" s="271"/>
      <c r="Q793" s="272"/>
      <c r="R793" s="273"/>
      <c r="S793" s="273"/>
      <c r="T793" s="273"/>
      <c r="U793" s="274"/>
      <c r="V793" s="263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</row>
    <row r="794">
      <c r="A794" s="263">
        <f>IFERROR(__xludf.DUMMYFUNCTION("""COMPUTED_VALUE"""),8382259.0)</f>
        <v>8382259</v>
      </c>
      <c r="B794" s="264" t="str">
        <f>IFERROR(__xludf.DUMMYFUNCTION("""COMPUTED_VALUE"""),"BookingCom")</f>
        <v>BookingCom</v>
      </c>
      <c r="C794" s="265" t="str">
        <f>IFERROR(__xludf.DUMMYFUNCTION("""COMPUTED_VALUE"""),"Jean Sammarcelli ")</f>
        <v>Jean Sammarcelli </v>
      </c>
      <c r="D794" s="266">
        <f>IFERROR(__xludf.DUMMYFUNCTION("""COMPUTED_VALUE"""),46161.0)</f>
        <v>46161</v>
      </c>
      <c r="E794" s="263">
        <f>IFERROR(__xludf.DUMMYFUNCTION("""COMPUTED_VALUE"""),46164.0)</f>
        <v>46164</v>
      </c>
      <c r="F794" s="267">
        <f>IFERROR(__xludf.DUMMYFUNCTION("""COMPUTED_VALUE"""),3.0)</f>
        <v>3</v>
      </c>
      <c r="G794" s="267">
        <f>IFERROR(__xludf.DUMMYFUNCTION("""COMPUTED_VALUE"""),2.0)</f>
        <v>2</v>
      </c>
      <c r="H794" s="268">
        <f>IFERROR(__xludf.DUMMYFUNCTION("""COMPUTED_VALUE"""),209.21)</f>
        <v>209.21</v>
      </c>
      <c r="I794" s="268">
        <f>IFERROR(__xludf.DUMMYFUNCTION("""COMPUTED_VALUE"""),502.10400000000004)</f>
        <v>502.104</v>
      </c>
      <c r="J794" s="257">
        <f t="shared" si="1"/>
        <v>6</v>
      </c>
      <c r="K794" s="265"/>
      <c r="L794" s="265"/>
      <c r="M794" s="264"/>
      <c r="N794" s="270"/>
      <c r="O794" s="271"/>
      <c r="P794" s="271"/>
      <c r="Q794" s="272"/>
      <c r="R794" s="273"/>
      <c r="S794" s="273"/>
      <c r="T794" s="273"/>
      <c r="U794" s="274"/>
      <c r="V794" s="263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</row>
    <row r="795">
      <c r="A795" s="263">
        <f>IFERROR(__xludf.DUMMYFUNCTION("""COMPUTED_VALUE"""),8383227.0)</f>
        <v>8383227</v>
      </c>
      <c r="B795" s="264" t="str">
        <f>IFERROR(__xludf.DUMMYFUNCTION("""COMPUTED_VALUE"""),"BookingCom")</f>
        <v>BookingCom</v>
      </c>
      <c r="C795" s="265" t="str">
        <f>IFERROR(__xludf.DUMMYFUNCTION("""COMPUTED_VALUE"""),"Chopra Mohinder ")</f>
        <v>Chopra Mohinder </v>
      </c>
      <c r="D795" s="266">
        <f>IFERROR(__xludf.DUMMYFUNCTION("""COMPUTED_VALUE"""),46125.0)</f>
        <v>46125</v>
      </c>
      <c r="E795" s="266">
        <f>IFERROR(__xludf.DUMMYFUNCTION("""COMPUTED_VALUE"""),46126.0)</f>
        <v>46126</v>
      </c>
      <c r="F795" s="267">
        <f>IFERROR(__xludf.DUMMYFUNCTION("""COMPUTED_VALUE"""),1.0)</f>
        <v>1</v>
      </c>
      <c r="G795" s="267">
        <f>IFERROR(__xludf.DUMMYFUNCTION("""COMPUTED_VALUE"""),2.0)</f>
        <v>2</v>
      </c>
      <c r="H795" s="268">
        <f>IFERROR(__xludf.DUMMYFUNCTION("""COMPUTED_VALUE"""),167.82)</f>
        <v>167.82</v>
      </c>
      <c r="I795" s="268">
        <f>IFERROR(__xludf.DUMMYFUNCTION("""COMPUTED_VALUE"""),134.256)</f>
        <v>134.256</v>
      </c>
      <c r="J795" s="257">
        <f t="shared" si="1"/>
        <v>2</v>
      </c>
      <c r="K795" s="265"/>
      <c r="L795" s="265"/>
      <c r="M795" s="264"/>
      <c r="N795" s="270"/>
      <c r="O795" s="271"/>
      <c r="P795" s="271"/>
      <c r="Q795" s="272"/>
      <c r="R795" s="273"/>
      <c r="S795" s="273"/>
      <c r="T795" s="273"/>
      <c r="U795" s="274"/>
      <c r="V795" s="266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</row>
    <row r="796">
      <c r="A796" s="263">
        <f>IFERROR(__xludf.DUMMYFUNCTION("""COMPUTED_VALUE"""),8384158.0)</f>
        <v>8384158</v>
      </c>
      <c r="B796" s="264" t="str">
        <f>IFERROR(__xludf.DUMMYFUNCTION("""COMPUTED_VALUE"""),"BookingCom")</f>
        <v>BookingCom</v>
      </c>
      <c r="C796" s="265" t="str">
        <f>IFERROR(__xludf.DUMMYFUNCTION("""COMPUTED_VALUE"""),"Irma Domig ")</f>
        <v>Irma Domig </v>
      </c>
      <c r="D796" s="266">
        <f>IFERROR(__xludf.DUMMYFUNCTION("""COMPUTED_VALUE"""),46227.0)</f>
        <v>46227</v>
      </c>
      <c r="E796" s="263">
        <f>IFERROR(__xludf.DUMMYFUNCTION("""COMPUTED_VALUE"""),46230.0)</f>
        <v>46230</v>
      </c>
      <c r="F796" s="267">
        <f>IFERROR(__xludf.DUMMYFUNCTION("""COMPUTED_VALUE"""),3.0)</f>
        <v>3</v>
      </c>
      <c r="G796" s="267">
        <f>IFERROR(__xludf.DUMMYFUNCTION("""COMPUTED_VALUE"""),2.0)</f>
        <v>2</v>
      </c>
      <c r="H796" s="268">
        <f>IFERROR(__xludf.DUMMYFUNCTION("""COMPUTED_VALUE"""),117.25)</f>
        <v>117.25</v>
      </c>
      <c r="I796" s="268">
        <f>IFERROR(__xludf.DUMMYFUNCTION("""COMPUTED_VALUE"""),281.40000000000003)</f>
        <v>281.4</v>
      </c>
      <c r="J796" s="257">
        <f t="shared" si="1"/>
        <v>6</v>
      </c>
      <c r="K796" s="265"/>
      <c r="L796" s="265"/>
      <c r="M796" s="264"/>
      <c r="N796" s="270"/>
      <c r="O796" s="271"/>
      <c r="P796" s="271"/>
      <c r="Q796" s="283"/>
      <c r="R796" s="273"/>
      <c r="S796" s="273"/>
      <c r="T796" s="273"/>
      <c r="U796" s="274"/>
      <c r="V796" s="266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</row>
    <row r="797">
      <c r="A797" s="263">
        <f>IFERROR(__xludf.DUMMYFUNCTION("""COMPUTED_VALUE"""),8384158.0)</f>
        <v>8384158</v>
      </c>
      <c r="B797" s="264" t="str">
        <f>IFERROR(__xludf.DUMMYFUNCTION("""COMPUTED_VALUE"""),"BookingCom")</f>
        <v>BookingCom</v>
      </c>
      <c r="C797" s="265" t="str">
        <f>IFERROR(__xludf.DUMMYFUNCTION("""COMPUTED_VALUE"""),"Irma Domig ")</f>
        <v>Irma Domig </v>
      </c>
      <c r="D797" s="266">
        <f>IFERROR(__xludf.DUMMYFUNCTION("""COMPUTED_VALUE"""),46227.0)</f>
        <v>46227</v>
      </c>
      <c r="E797" s="266">
        <f>IFERROR(__xludf.DUMMYFUNCTION("""COMPUTED_VALUE"""),46230.0)</f>
        <v>46230</v>
      </c>
      <c r="F797" s="267">
        <f>IFERROR(__xludf.DUMMYFUNCTION("""COMPUTED_VALUE"""),3.0)</f>
        <v>3</v>
      </c>
      <c r="G797" s="267">
        <f>IFERROR(__xludf.DUMMYFUNCTION("""COMPUTED_VALUE"""),2.0)</f>
        <v>2</v>
      </c>
      <c r="H797" s="268">
        <f>IFERROR(__xludf.DUMMYFUNCTION("""COMPUTED_VALUE"""),117.25)</f>
        <v>117.25</v>
      </c>
      <c r="I797" s="268">
        <f>IFERROR(__xludf.DUMMYFUNCTION("""COMPUTED_VALUE"""),281.40000000000003)</f>
        <v>281.4</v>
      </c>
      <c r="J797" s="257">
        <f t="shared" si="1"/>
        <v>6</v>
      </c>
      <c r="K797" s="265"/>
      <c r="L797" s="265"/>
      <c r="M797" s="264"/>
      <c r="N797" s="270"/>
      <c r="O797" s="271"/>
      <c r="P797" s="271"/>
      <c r="Q797" s="272"/>
      <c r="R797" s="273"/>
      <c r="S797" s="273"/>
      <c r="T797" s="273"/>
      <c r="U797" s="274"/>
      <c r="V797" s="263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</row>
    <row r="798">
      <c r="A798" s="263">
        <f>IFERROR(__xludf.DUMMYFUNCTION("""COMPUTED_VALUE"""),8386136.0)</f>
        <v>8386136</v>
      </c>
      <c r="B798" s="264" t="str">
        <f>IFERROR(__xludf.DUMMYFUNCTION("""COMPUTED_VALUE"""),"BookingCom")</f>
        <v>BookingCom</v>
      </c>
      <c r="C798" s="265" t="str">
        <f>IFERROR(__xludf.DUMMYFUNCTION("""COMPUTED_VALUE"""),"Constantin Laevski ")</f>
        <v>Constantin Laevski </v>
      </c>
      <c r="D798" s="266">
        <f>IFERROR(__xludf.DUMMYFUNCTION("""COMPUTED_VALUE"""),46526.0)</f>
        <v>46526</v>
      </c>
      <c r="E798" s="263">
        <f>IFERROR(__xludf.DUMMYFUNCTION("""COMPUTED_VALUE"""),46532.0)</f>
        <v>46532</v>
      </c>
      <c r="F798" s="267">
        <f>IFERROR(__xludf.DUMMYFUNCTION("""COMPUTED_VALUE"""),6.0)</f>
        <v>6</v>
      </c>
      <c r="G798" s="267">
        <f>IFERROR(__xludf.DUMMYFUNCTION("""COMPUTED_VALUE"""),2.0)</f>
        <v>2</v>
      </c>
      <c r="H798" s="268">
        <f>IFERROR(__xludf.DUMMYFUNCTION("""COMPUTED_VALUE"""),150.72)</f>
        <v>150.72</v>
      </c>
      <c r="I798" s="268">
        <f>IFERROR(__xludf.DUMMYFUNCTION("""COMPUTED_VALUE"""),723.456)</f>
        <v>723.456</v>
      </c>
      <c r="J798" s="257">
        <f t="shared" si="1"/>
        <v>12</v>
      </c>
      <c r="K798" s="265"/>
      <c r="L798" s="265"/>
      <c r="M798" s="269"/>
      <c r="N798" s="270"/>
      <c r="O798" s="271"/>
      <c r="P798" s="271"/>
      <c r="Q798" s="272"/>
      <c r="R798" s="273"/>
      <c r="S798" s="273"/>
      <c r="T798" s="273"/>
      <c r="U798" s="274"/>
      <c r="V798" s="266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</row>
    <row r="799">
      <c r="A799" s="263">
        <f>IFERROR(__xludf.DUMMYFUNCTION("""COMPUTED_VALUE"""),8387461.0)</f>
        <v>8387461</v>
      </c>
      <c r="B799" s="264" t="str">
        <f>IFERROR(__xludf.DUMMYFUNCTION("""COMPUTED_VALUE"""),"Reseliva Pannel")</f>
        <v>Reseliva Pannel</v>
      </c>
      <c r="C799" s="265" t="str">
        <f>IFERROR(__xludf.DUMMYFUNCTION("""COMPUTED_VALUE"""),"Wajdi Ami Antoine ")</f>
        <v>Wajdi Ami Antoine </v>
      </c>
      <c r="D799" s="266">
        <f>IFERROR(__xludf.DUMMYFUNCTION("""COMPUTED_VALUE"""),46188.0)</f>
        <v>46188</v>
      </c>
      <c r="E799" s="263">
        <f>IFERROR(__xludf.DUMMYFUNCTION("""COMPUTED_VALUE"""),46192.0)</f>
        <v>46192</v>
      </c>
      <c r="F799" s="267">
        <f>IFERROR(__xludf.DUMMYFUNCTION("""COMPUTED_VALUE"""),4.0)</f>
        <v>4</v>
      </c>
      <c r="G799" s="267">
        <f>IFERROR(__xludf.DUMMYFUNCTION("""COMPUTED_VALUE"""),2.0)</f>
        <v>2</v>
      </c>
      <c r="H799" s="268">
        <f>IFERROR(__xludf.DUMMYFUNCTION("""COMPUTED_VALUE"""),181.44)</f>
        <v>181.44</v>
      </c>
      <c r="I799" s="268">
        <f>IFERROR(__xludf.DUMMYFUNCTION("""COMPUTED_VALUE"""),725.76)</f>
        <v>725.76</v>
      </c>
      <c r="J799" s="257">
        <f t="shared" si="1"/>
        <v>8</v>
      </c>
      <c r="K799" s="265"/>
      <c r="L799" s="265"/>
      <c r="M799" s="264"/>
      <c r="N799" s="270"/>
      <c r="O799" s="271"/>
      <c r="P799" s="271"/>
      <c r="Q799" s="272"/>
      <c r="R799" s="273"/>
      <c r="S799" s="273"/>
      <c r="T799" s="273"/>
      <c r="U799" s="274"/>
      <c r="V799" s="263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</row>
    <row r="800">
      <c r="A800" s="263">
        <f>IFERROR(__xludf.DUMMYFUNCTION("""COMPUTED_VALUE"""),8387746.0)</f>
        <v>8387746</v>
      </c>
      <c r="B800" s="264" t="str">
        <f>IFERROR(__xludf.DUMMYFUNCTION("""COMPUTED_VALUE"""),"BookingCom")</f>
        <v>BookingCom</v>
      </c>
      <c r="C800" s="265" t="str">
        <f>IFERROR(__xludf.DUMMYFUNCTION("""COMPUTED_VALUE"""),"marine yevre ")</f>
        <v>marine yevre </v>
      </c>
      <c r="D800" s="266">
        <f>IFERROR(__xludf.DUMMYFUNCTION("""COMPUTED_VALUE"""),46195.0)</f>
        <v>46195</v>
      </c>
      <c r="E800" s="263">
        <f>IFERROR(__xludf.DUMMYFUNCTION("""COMPUTED_VALUE"""),46199.0)</f>
        <v>46199</v>
      </c>
      <c r="F800" s="267">
        <f>IFERROR(__xludf.DUMMYFUNCTION("""COMPUTED_VALUE"""),4.0)</f>
        <v>4</v>
      </c>
      <c r="G800" s="267">
        <f>IFERROR(__xludf.DUMMYFUNCTION("""COMPUTED_VALUE"""),2.0)</f>
        <v>2</v>
      </c>
      <c r="H800" s="268">
        <f>IFERROR(__xludf.DUMMYFUNCTION("""COMPUTED_VALUE"""),171.36)</f>
        <v>171.36</v>
      </c>
      <c r="I800" s="268">
        <f>IFERROR(__xludf.DUMMYFUNCTION("""COMPUTED_VALUE"""),548.3520000000001)</f>
        <v>548.352</v>
      </c>
      <c r="J800" s="257">
        <f t="shared" si="1"/>
        <v>8</v>
      </c>
      <c r="K800" s="265"/>
      <c r="L800" s="265"/>
      <c r="M800" s="269"/>
      <c r="N800" s="270"/>
      <c r="O800" s="271"/>
      <c r="P800" s="271"/>
      <c r="Q800" s="272"/>
      <c r="R800" s="273"/>
      <c r="S800" s="273"/>
      <c r="T800" s="273"/>
      <c r="U800" s="274"/>
      <c r="V800" s="266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</row>
    <row r="801">
      <c r="A801" s="263">
        <f>IFERROR(__xludf.DUMMYFUNCTION("""COMPUTED_VALUE"""),8387998.0)</f>
        <v>8387998</v>
      </c>
      <c r="B801" s="264" t="str">
        <f>IFERROR(__xludf.DUMMYFUNCTION("""COMPUTED_VALUE"""),"Expedia Affiliate Network")</f>
        <v>Expedia Affiliate Network</v>
      </c>
      <c r="C801" s="265" t="str">
        <f>IFERROR(__xludf.DUMMYFUNCTION("""COMPUTED_VALUE"""),"Matej Rybar ")</f>
        <v>Matej Rybar </v>
      </c>
      <c r="D801" s="266">
        <f>IFERROR(__xludf.DUMMYFUNCTION("""COMPUTED_VALUE"""),46193.0)</f>
        <v>46193</v>
      </c>
      <c r="E801" s="266">
        <f>IFERROR(__xludf.DUMMYFUNCTION("""COMPUTED_VALUE"""),46198.0)</f>
        <v>46198</v>
      </c>
      <c r="F801" s="267">
        <f>IFERROR(__xludf.DUMMYFUNCTION("""COMPUTED_VALUE"""),5.0)</f>
        <v>5</v>
      </c>
      <c r="G801" s="267">
        <f>IFERROR(__xludf.DUMMYFUNCTION("""COMPUTED_VALUE"""),2.0)</f>
        <v>2</v>
      </c>
      <c r="H801" s="268">
        <f>IFERROR(__xludf.DUMMYFUNCTION("""COMPUTED_VALUE"""),0.0)</f>
        <v>0</v>
      </c>
      <c r="I801" s="268">
        <f>IFERROR(__xludf.DUMMYFUNCTION("""COMPUTED_VALUE"""),0.0)</f>
        <v>0</v>
      </c>
      <c r="J801" s="257">
        <f t="shared" si="1"/>
        <v>10</v>
      </c>
      <c r="K801" s="265"/>
      <c r="L801" s="265"/>
      <c r="M801" s="264"/>
      <c r="N801" s="270"/>
      <c r="O801" s="271"/>
      <c r="P801" s="271"/>
      <c r="Q801" s="272"/>
      <c r="R801" s="273"/>
      <c r="S801" s="273"/>
      <c r="T801" s="273"/>
      <c r="U801" s="274"/>
      <c r="V801" s="266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</row>
    <row r="802">
      <c r="A802" s="263">
        <f>IFERROR(__xludf.DUMMYFUNCTION("""COMPUTED_VALUE"""),8388050.0)</f>
        <v>8388050</v>
      </c>
      <c r="B802" s="264" t="str">
        <f>IFERROR(__xludf.DUMMYFUNCTION("""COMPUTED_VALUE"""),"Agoda2")</f>
        <v>Agoda2</v>
      </c>
      <c r="C802" s="265" t="str">
        <f>IFERROR(__xludf.DUMMYFUNCTION("""COMPUTED_VALUE"""),"Cat Stammschroer ")</f>
        <v>Cat Stammschroer </v>
      </c>
      <c r="D802" s="266">
        <f>IFERROR(__xludf.DUMMYFUNCTION("""COMPUTED_VALUE"""),46339.0)</f>
        <v>46339</v>
      </c>
      <c r="E802" s="263">
        <f>IFERROR(__xludf.DUMMYFUNCTION("""COMPUTED_VALUE"""),46340.0)</f>
        <v>46340</v>
      </c>
      <c r="F802" s="267">
        <f>IFERROR(__xludf.DUMMYFUNCTION("""COMPUTED_VALUE"""),1.0)</f>
        <v>1</v>
      </c>
      <c r="G802" s="267">
        <f>IFERROR(__xludf.DUMMYFUNCTION("""COMPUTED_VALUE"""),2.0)</f>
        <v>2</v>
      </c>
      <c r="H802" s="268">
        <f>IFERROR(__xludf.DUMMYFUNCTION("""COMPUTED_VALUE"""),199.54)</f>
        <v>199.54</v>
      </c>
      <c r="I802" s="268">
        <f>IFERROR(__xludf.DUMMYFUNCTION("""COMPUTED_VALUE"""),159.632)</f>
        <v>159.632</v>
      </c>
      <c r="J802" s="257">
        <f t="shared" si="1"/>
        <v>2</v>
      </c>
      <c r="K802" s="265"/>
      <c r="L802" s="265"/>
      <c r="M802" s="264"/>
      <c r="N802" s="270"/>
      <c r="O802" s="271"/>
      <c r="P802" s="271"/>
      <c r="Q802" s="272"/>
      <c r="R802" s="273"/>
      <c r="S802" s="273"/>
      <c r="T802" s="273"/>
      <c r="U802" s="274"/>
      <c r="V802" s="266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</row>
    <row r="803">
      <c r="A803" s="263">
        <f>IFERROR(__xludf.DUMMYFUNCTION("""COMPUTED_VALUE"""),8388805.0)</f>
        <v>8388805</v>
      </c>
      <c r="B803" s="264" t="str">
        <f>IFERROR(__xludf.DUMMYFUNCTION("""COMPUTED_VALUE"""),"BookingCom")</f>
        <v>BookingCom</v>
      </c>
      <c r="C803" s="265" t="str">
        <f>IFERROR(__xludf.DUMMYFUNCTION("""COMPUTED_VALUE"""),"deborah wandfluh-Duay ")</f>
        <v>deborah wandfluh-Duay </v>
      </c>
      <c r="D803" s="266">
        <f>IFERROR(__xludf.DUMMYFUNCTION("""COMPUTED_VALUE"""),46121.0)</f>
        <v>46121</v>
      </c>
      <c r="E803" s="263">
        <f>IFERROR(__xludf.DUMMYFUNCTION("""COMPUTED_VALUE"""),46122.0)</f>
        <v>46122</v>
      </c>
      <c r="F803" s="267">
        <f>IFERROR(__xludf.DUMMYFUNCTION("""COMPUTED_VALUE"""),1.0)</f>
        <v>1</v>
      </c>
      <c r="G803" s="267">
        <f>IFERROR(__xludf.DUMMYFUNCTION("""COMPUTED_VALUE"""),5.0)</f>
        <v>5</v>
      </c>
      <c r="H803" s="268">
        <f>IFERROR(__xludf.DUMMYFUNCTION("""COMPUTED_VALUE"""),494.2)</f>
        <v>494.2</v>
      </c>
      <c r="I803" s="268">
        <f>IFERROR(__xludf.DUMMYFUNCTION("""COMPUTED_VALUE"""),395.36)</f>
        <v>395.36</v>
      </c>
      <c r="J803" s="257">
        <f t="shared" si="1"/>
        <v>5</v>
      </c>
      <c r="K803" s="265"/>
      <c r="L803" s="265"/>
      <c r="M803" s="269"/>
      <c r="N803" s="270"/>
      <c r="O803" s="271"/>
      <c r="P803" s="271"/>
      <c r="Q803" s="272"/>
      <c r="R803" s="273"/>
      <c r="S803" s="273"/>
      <c r="T803" s="273"/>
      <c r="U803" s="274"/>
      <c r="V803" s="263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</row>
    <row r="804">
      <c r="A804" s="263">
        <f>IFERROR(__xludf.DUMMYFUNCTION("""COMPUTED_VALUE"""),8389637.0)</f>
        <v>8389637</v>
      </c>
      <c r="B804" s="264" t="str">
        <f>IFERROR(__xludf.DUMMYFUNCTION("""COMPUTED_VALUE"""),"BookingCom")</f>
        <v>BookingCom</v>
      </c>
      <c r="C804" s="265" t="str">
        <f>IFERROR(__xludf.DUMMYFUNCTION("""COMPUTED_VALUE"""),"Paul de Groot ")</f>
        <v>Paul de Groot </v>
      </c>
      <c r="D804" s="266">
        <f>IFERROR(__xludf.DUMMYFUNCTION("""COMPUTED_VALUE"""),46199.0)</f>
        <v>46199</v>
      </c>
      <c r="E804" s="266">
        <f>IFERROR(__xludf.DUMMYFUNCTION("""COMPUTED_VALUE"""),46202.0)</f>
        <v>46202</v>
      </c>
      <c r="F804" s="267">
        <f>IFERROR(__xludf.DUMMYFUNCTION("""COMPUTED_VALUE"""),3.0)</f>
        <v>3</v>
      </c>
      <c r="G804" s="267">
        <f>IFERROR(__xludf.DUMMYFUNCTION("""COMPUTED_VALUE"""),2.0)</f>
        <v>2</v>
      </c>
      <c r="H804" s="268">
        <f>IFERROR(__xludf.DUMMYFUNCTION("""COMPUTED_VALUE"""),128.26)</f>
        <v>128.26</v>
      </c>
      <c r="I804" s="268">
        <f>IFERROR(__xludf.DUMMYFUNCTION("""COMPUTED_VALUE"""),307.824)</f>
        <v>307.824</v>
      </c>
      <c r="J804" s="257">
        <f t="shared" si="1"/>
        <v>6</v>
      </c>
      <c r="K804" s="265"/>
      <c r="L804" s="265"/>
      <c r="M804" s="269"/>
      <c r="N804" s="270"/>
      <c r="O804" s="271"/>
      <c r="P804" s="271"/>
      <c r="Q804" s="272"/>
      <c r="R804" s="273"/>
      <c r="S804" s="273"/>
      <c r="T804" s="273"/>
      <c r="U804" s="274"/>
      <c r="V804" s="266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</row>
    <row r="805">
      <c r="A805" s="263">
        <f>IFERROR(__xludf.DUMMYFUNCTION("""COMPUTED_VALUE"""),8389687.0)</f>
        <v>8389687</v>
      </c>
      <c r="B805" s="264" t="str">
        <f>IFERROR(__xludf.DUMMYFUNCTION("""COMPUTED_VALUE"""),"Expedia Affiliate Network")</f>
        <v>Expedia Affiliate Network</v>
      </c>
      <c r="C805" s="265" t="str">
        <f>IFERROR(__xludf.DUMMYFUNCTION("""COMPUTED_VALUE"""),"Veronique Galley Quinodoz ")</f>
        <v>Veronique Galley Quinodoz </v>
      </c>
      <c r="D805" s="266">
        <f>IFERROR(__xludf.DUMMYFUNCTION("""COMPUTED_VALUE"""),46153.0)</f>
        <v>46153</v>
      </c>
      <c r="E805" s="263">
        <f>IFERROR(__xludf.DUMMYFUNCTION("""COMPUTED_VALUE"""),46157.0)</f>
        <v>46157</v>
      </c>
      <c r="F805" s="267">
        <f>IFERROR(__xludf.DUMMYFUNCTION("""COMPUTED_VALUE"""),4.0)</f>
        <v>4</v>
      </c>
      <c r="G805" s="267">
        <f>IFERROR(__xludf.DUMMYFUNCTION("""COMPUTED_VALUE"""),2.0)</f>
        <v>2</v>
      </c>
      <c r="H805" s="268">
        <f>IFERROR(__xludf.DUMMYFUNCTION("""COMPUTED_VALUE"""),599.76)</f>
        <v>599.76</v>
      </c>
      <c r="I805" s="268">
        <f>IFERROR(__xludf.DUMMYFUNCTION("""COMPUTED_VALUE"""),1919.232)</f>
        <v>1919.232</v>
      </c>
      <c r="J805" s="257">
        <f t="shared" si="1"/>
        <v>8</v>
      </c>
      <c r="K805" s="265"/>
      <c r="L805" s="265"/>
      <c r="M805" s="269"/>
      <c r="N805" s="270"/>
      <c r="O805" s="271"/>
      <c r="P805" s="271"/>
      <c r="Q805" s="272"/>
      <c r="R805" s="273"/>
      <c r="S805" s="273"/>
      <c r="T805" s="273"/>
      <c r="U805" s="274"/>
      <c r="V805" s="263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</row>
    <row r="806">
      <c r="A806" s="263">
        <f>IFERROR(__xludf.DUMMYFUNCTION("""COMPUTED_VALUE"""),8390322.0)</f>
        <v>8390322</v>
      </c>
      <c r="B806" s="264" t="str">
        <f>IFERROR(__xludf.DUMMYFUNCTION("""COMPUTED_VALUE"""),"BookingCom")</f>
        <v>BookingCom</v>
      </c>
      <c r="C806" s="265" t="str">
        <f>IFERROR(__xludf.DUMMYFUNCTION("""COMPUTED_VALUE"""),"Jo Wood ")</f>
        <v>Jo Wood </v>
      </c>
      <c r="D806" s="266">
        <f>IFERROR(__xludf.DUMMYFUNCTION("""COMPUTED_VALUE"""),46457.0)</f>
        <v>46457</v>
      </c>
      <c r="E806" s="263">
        <f>IFERROR(__xludf.DUMMYFUNCTION("""COMPUTED_VALUE"""),46460.0)</f>
        <v>46460</v>
      </c>
      <c r="F806" s="267">
        <f>IFERROR(__xludf.DUMMYFUNCTION("""COMPUTED_VALUE"""),3.0)</f>
        <v>3</v>
      </c>
      <c r="G806" s="267">
        <f>IFERROR(__xludf.DUMMYFUNCTION("""COMPUTED_VALUE"""),2.0)</f>
        <v>2</v>
      </c>
      <c r="H806" s="268">
        <f>IFERROR(__xludf.DUMMYFUNCTION("""COMPUTED_VALUE"""),160.44)</f>
        <v>160.44</v>
      </c>
      <c r="I806" s="268">
        <f>IFERROR(__xludf.DUMMYFUNCTION("""COMPUTED_VALUE"""),385.05600000000004)</f>
        <v>385.056</v>
      </c>
      <c r="J806" s="257">
        <f t="shared" si="1"/>
        <v>6</v>
      </c>
      <c r="K806" s="265"/>
      <c r="L806" s="265"/>
      <c r="M806" s="269"/>
      <c r="N806" s="270"/>
      <c r="O806" s="271"/>
      <c r="P806" s="271"/>
      <c r="Q806" s="272"/>
      <c r="R806" s="273"/>
      <c r="S806" s="273"/>
      <c r="T806" s="273"/>
      <c r="U806" s="274"/>
      <c r="V806" s="266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</row>
    <row r="807">
      <c r="A807" s="263">
        <f>IFERROR(__xludf.DUMMYFUNCTION("""COMPUTED_VALUE"""),8390360.0)</f>
        <v>8390360</v>
      </c>
      <c r="B807" s="264" t="str">
        <f>IFERROR(__xludf.DUMMYFUNCTION("""COMPUTED_VALUE"""),"BookingCom")</f>
        <v>BookingCom</v>
      </c>
      <c r="C807" s="265" t="str">
        <f>IFERROR(__xludf.DUMMYFUNCTION("""COMPUTED_VALUE"""),"Jo Wood ")</f>
        <v>Jo Wood </v>
      </c>
      <c r="D807" s="266">
        <f>IFERROR(__xludf.DUMMYFUNCTION("""COMPUTED_VALUE"""),46457.0)</f>
        <v>46457</v>
      </c>
      <c r="E807" s="263">
        <f>IFERROR(__xludf.DUMMYFUNCTION("""COMPUTED_VALUE"""),46460.0)</f>
        <v>46460</v>
      </c>
      <c r="F807" s="267">
        <f>IFERROR(__xludf.DUMMYFUNCTION("""COMPUTED_VALUE"""),3.0)</f>
        <v>3</v>
      </c>
      <c r="G807" s="267">
        <f>IFERROR(__xludf.DUMMYFUNCTION("""COMPUTED_VALUE"""),2.0)</f>
        <v>2</v>
      </c>
      <c r="H807" s="268">
        <f>IFERROR(__xludf.DUMMYFUNCTION("""COMPUTED_VALUE"""),160.44)</f>
        <v>160.44</v>
      </c>
      <c r="I807" s="268">
        <f>IFERROR(__xludf.DUMMYFUNCTION("""COMPUTED_VALUE"""),385.05600000000004)</f>
        <v>385.056</v>
      </c>
      <c r="J807" s="257">
        <f t="shared" si="1"/>
        <v>6</v>
      </c>
      <c r="K807" s="265"/>
      <c r="L807" s="265"/>
      <c r="M807" s="269"/>
      <c r="N807" s="270"/>
      <c r="O807" s="271"/>
      <c r="P807" s="271"/>
      <c r="Q807" s="272"/>
      <c r="R807" s="273"/>
      <c r="S807" s="273"/>
      <c r="T807" s="273"/>
      <c r="U807" s="274"/>
      <c r="V807" s="266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</row>
    <row r="808">
      <c r="A808" s="263">
        <f>IFERROR(__xludf.DUMMYFUNCTION("""COMPUTED_VALUE"""),8390369.0)</f>
        <v>8390369</v>
      </c>
      <c r="B808" s="264" t="str">
        <f>IFERROR(__xludf.DUMMYFUNCTION("""COMPUTED_VALUE"""),"BookingCom")</f>
        <v>BookingCom</v>
      </c>
      <c r="C808" s="265" t="str">
        <f>IFERROR(__xludf.DUMMYFUNCTION("""COMPUTED_VALUE"""),"Jo Wood ")</f>
        <v>Jo Wood </v>
      </c>
      <c r="D808" s="266">
        <f>IFERROR(__xludf.DUMMYFUNCTION("""COMPUTED_VALUE"""),46457.0)</f>
        <v>46457</v>
      </c>
      <c r="E808" s="266">
        <f>IFERROR(__xludf.DUMMYFUNCTION("""COMPUTED_VALUE"""),46460.0)</f>
        <v>46460</v>
      </c>
      <c r="F808" s="267">
        <f>IFERROR(__xludf.DUMMYFUNCTION("""COMPUTED_VALUE"""),3.0)</f>
        <v>3</v>
      </c>
      <c r="G808" s="267">
        <f>IFERROR(__xludf.DUMMYFUNCTION("""COMPUTED_VALUE"""),2.0)</f>
        <v>2</v>
      </c>
      <c r="H808" s="268">
        <f>IFERROR(__xludf.DUMMYFUNCTION("""COMPUTED_VALUE"""),160.44)</f>
        <v>160.44</v>
      </c>
      <c r="I808" s="268">
        <f>IFERROR(__xludf.DUMMYFUNCTION("""COMPUTED_VALUE"""),385.05600000000004)</f>
        <v>385.056</v>
      </c>
      <c r="J808" s="257">
        <f t="shared" si="1"/>
        <v>6</v>
      </c>
      <c r="K808" s="265"/>
      <c r="L808" s="265"/>
      <c r="M808" s="264"/>
      <c r="N808" s="270"/>
      <c r="O808" s="271"/>
      <c r="P808" s="271"/>
      <c r="Q808" s="272"/>
      <c r="R808" s="273"/>
      <c r="S808" s="273"/>
      <c r="T808" s="273"/>
      <c r="U808" s="274"/>
      <c r="V808" s="266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</row>
    <row r="809">
      <c r="A809" s="263">
        <f>IFERROR(__xludf.DUMMYFUNCTION("""COMPUTED_VALUE"""),8392400.0)</f>
        <v>8392400</v>
      </c>
      <c r="B809" s="264" t="str">
        <f>IFERROR(__xludf.DUMMYFUNCTION("""COMPUTED_VALUE"""),"BookingCom")</f>
        <v>BookingCom</v>
      </c>
      <c r="C809" s="265" t="str">
        <f>IFERROR(__xludf.DUMMYFUNCTION("""COMPUTED_VALUE"""),"Andrea Salemi ")</f>
        <v>Andrea Salemi </v>
      </c>
      <c r="D809" s="266">
        <f>IFERROR(__xludf.DUMMYFUNCTION("""COMPUTED_VALUE"""),46171.0)</f>
        <v>46171</v>
      </c>
      <c r="E809" s="263">
        <f>IFERROR(__xludf.DUMMYFUNCTION("""COMPUTED_VALUE"""),46173.0)</f>
        <v>46173</v>
      </c>
      <c r="F809" s="267">
        <f>IFERROR(__xludf.DUMMYFUNCTION("""COMPUTED_VALUE"""),2.0)</f>
        <v>2</v>
      </c>
      <c r="G809" s="267">
        <f>IFERROR(__xludf.DUMMYFUNCTION("""COMPUTED_VALUE"""),3.0)</f>
        <v>3</v>
      </c>
      <c r="H809" s="268">
        <f>IFERROR(__xludf.DUMMYFUNCTION("""COMPUTED_VALUE"""),186.41)</f>
        <v>186.41</v>
      </c>
      <c r="I809" s="268">
        <f>IFERROR(__xludf.DUMMYFUNCTION("""COMPUTED_VALUE"""),298.25600000000003)</f>
        <v>298.256</v>
      </c>
      <c r="J809" s="257">
        <f t="shared" si="1"/>
        <v>6</v>
      </c>
      <c r="K809" s="265"/>
      <c r="L809" s="265"/>
      <c r="M809" s="264"/>
      <c r="N809" s="270"/>
      <c r="O809" s="271"/>
      <c r="P809" s="271"/>
      <c r="Q809" s="272"/>
      <c r="R809" s="273"/>
      <c r="S809" s="273"/>
      <c r="T809" s="273"/>
      <c r="U809" s="274"/>
      <c r="V809" s="263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</row>
    <row r="810">
      <c r="A810" s="263">
        <f>IFERROR(__xludf.DUMMYFUNCTION("""COMPUTED_VALUE"""),8393099.0)</f>
        <v>8393099</v>
      </c>
      <c r="B810" s="264" t="str">
        <f>IFERROR(__xludf.DUMMYFUNCTION("""COMPUTED_VALUE"""),"BookingCom")</f>
        <v>BookingCom</v>
      </c>
      <c r="C810" s="265" t="str">
        <f>IFERROR(__xludf.DUMMYFUNCTION("""COMPUTED_VALUE"""),"Maria Piovesana ")</f>
        <v>Maria Piovesana </v>
      </c>
      <c r="D810" s="266">
        <f>IFERROR(__xludf.DUMMYFUNCTION("""COMPUTED_VALUE"""),46328.0)</f>
        <v>46328</v>
      </c>
      <c r="E810" s="266">
        <f>IFERROR(__xludf.DUMMYFUNCTION("""COMPUTED_VALUE"""),46329.0)</f>
        <v>46329</v>
      </c>
      <c r="F810" s="267">
        <f>IFERROR(__xludf.DUMMYFUNCTION("""COMPUTED_VALUE"""),1.0)</f>
        <v>1</v>
      </c>
      <c r="G810" s="267">
        <f>IFERROR(__xludf.DUMMYFUNCTION("""COMPUTED_VALUE"""),2.0)</f>
        <v>2</v>
      </c>
      <c r="H810" s="268">
        <f>IFERROR(__xludf.DUMMYFUNCTION("""COMPUTED_VALUE"""),222.4)</f>
        <v>222.4</v>
      </c>
      <c r="I810" s="268">
        <f>IFERROR(__xludf.DUMMYFUNCTION("""COMPUTED_VALUE"""),177.92000000000002)</f>
        <v>177.92</v>
      </c>
      <c r="J810" s="257">
        <f t="shared" si="1"/>
        <v>2</v>
      </c>
      <c r="K810" s="265"/>
      <c r="L810" s="265"/>
      <c r="M810" s="269"/>
      <c r="N810" s="270"/>
      <c r="O810" s="271"/>
      <c r="P810" s="271"/>
      <c r="Q810" s="272"/>
      <c r="R810" s="273"/>
      <c r="S810" s="273"/>
      <c r="T810" s="273"/>
      <c r="U810" s="274"/>
      <c r="V810" s="266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</row>
    <row r="811">
      <c r="A811" s="263">
        <f>IFERROR(__xludf.DUMMYFUNCTION("""COMPUTED_VALUE"""),8396222.0)</f>
        <v>8396222</v>
      </c>
      <c r="B811" s="264" t="str">
        <f>IFERROR(__xludf.DUMMYFUNCTION("""COMPUTED_VALUE"""),"Reseliva Pannel")</f>
        <v>Reseliva Pannel</v>
      </c>
      <c r="C811" s="265" t="str">
        <f>IFERROR(__xludf.DUMMYFUNCTION("""COMPUTED_VALUE"""),"Client Direct ")</f>
        <v>Client Direct </v>
      </c>
      <c r="D811" s="266">
        <f>IFERROR(__xludf.DUMMYFUNCTION("""COMPUTED_VALUE"""),46122.0)</f>
        <v>46122</v>
      </c>
      <c r="E811" s="263">
        <f>IFERROR(__xludf.DUMMYFUNCTION("""COMPUTED_VALUE"""),46123.0)</f>
        <v>46123</v>
      </c>
      <c r="F811" s="267">
        <f>IFERROR(__xludf.DUMMYFUNCTION("""COMPUTED_VALUE"""),1.0)</f>
        <v>1</v>
      </c>
      <c r="G811" s="267">
        <f>IFERROR(__xludf.DUMMYFUNCTION("""COMPUTED_VALUE"""),2.0)</f>
        <v>2</v>
      </c>
      <c r="H811" s="268">
        <f>IFERROR(__xludf.DUMMYFUNCTION("""COMPUTED_VALUE"""),300.24)</f>
        <v>300.24</v>
      </c>
      <c r="I811" s="268">
        <f>IFERROR(__xludf.DUMMYFUNCTION("""COMPUTED_VALUE"""),300.24)</f>
        <v>300.24</v>
      </c>
      <c r="J811" s="257">
        <f t="shared" si="1"/>
        <v>2</v>
      </c>
      <c r="K811" s="265"/>
      <c r="L811" s="265"/>
      <c r="M811" s="269"/>
      <c r="N811" s="270"/>
      <c r="O811" s="271"/>
      <c r="P811" s="271"/>
      <c r="Q811" s="272"/>
      <c r="R811" s="273"/>
      <c r="S811" s="273"/>
      <c r="T811" s="273"/>
      <c r="U811" s="274"/>
      <c r="V811" s="266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</row>
    <row r="812">
      <c r="A812" s="263">
        <f>IFERROR(__xludf.DUMMYFUNCTION("""COMPUTED_VALUE"""),8396548.0)</f>
        <v>8396548</v>
      </c>
      <c r="B812" s="264" t="str">
        <f>IFERROR(__xludf.DUMMYFUNCTION("""COMPUTED_VALUE"""),"BookingCom")</f>
        <v>BookingCom</v>
      </c>
      <c r="C812" s="265" t="str">
        <f>IFERROR(__xludf.DUMMYFUNCTION("""COMPUTED_VALUE"""),"Genevieve Gagnon ")</f>
        <v>Genevieve Gagnon </v>
      </c>
      <c r="D812" s="266">
        <f>IFERROR(__xludf.DUMMYFUNCTION("""COMPUTED_VALUE"""),46315.0)</f>
        <v>46315</v>
      </c>
      <c r="E812" s="263">
        <f>IFERROR(__xludf.DUMMYFUNCTION("""COMPUTED_VALUE"""),46317.0)</f>
        <v>46317</v>
      </c>
      <c r="F812" s="267">
        <f>IFERROR(__xludf.DUMMYFUNCTION("""COMPUTED_VALUE"""),2.0)</f>
        <v>2</v>
      </c>
      <c r="G812" s="267">
        <f>IFERROR(__xludf.DUMMYFUNCTION("""COMPUTED_VALUE"""),2.0)</f>
        <v>2</v>
      </c>
      <c r="H812" s="268">
        <f>IFERROR(__xludf.DUMMYFUNCTION("""COMPUTED_VALUE"""),249.84)</f>
        <v>249.84</v>
      </c>
      <c r="I812" s="268">
        <f>IFERROR(__xludf.DUMMYFUNCTION("""COMPUTED_VALUE"""),399.744)</f>
        <v>399.744</v>
      </c>
      <c r="J812" s="257">
        <f t="shared" si="1"/>
        <v>4</v>
      </c>
      <c r="K812" s="265"/>
      <c r="L812" s="265"/>
      <c r="M812" s="264"/>
      <c r="N812" s="270"/>
      <c r="O812" s="271"/>
      <c r="P812" s="271"/>
      <c r="Q812" s="272"/>
      <c r="R812" s="273"/>
      <c r="S812" s="273"/>
      <c r="T812" s="273"/>
      <c r="U812" s="274"/>
      <c r="V812" s="263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</row>
    <row r="813">
      <c r="A813" s="263">
        <f>IFERROR(__xludf.DUMMYFUNCTION("""COMPUTED_VALUE"""),8396619.0)</f>
        <v>8396619</v>
      </c>
      <c r="B813" s="264" t="str">
        <f>IFERROR(__xludf.DUMMYFUNCTION("""COMPUTED_VALUE"""),"Reseliva Pannel")</f>
        <v>Reseliva Pannel</v>
      </c>
      <c r="C813" s="265" t="str">
        <f>IFERROR(__xludf.DUMMYFUNCTION("""COMPUTED_VALUE"""),"Direct Client ")</f>
        <v>Direct Client </v>
      </c>
      <c r="D813" s="266">
        <f>IFERROR(__xludf.DUMMYFUNCTION("""COMPUTED_VALUE"""),46122.0)</f>
        <v>46122</v>
      </c>
      <c r="E813" s="263">
        <f>IFERROR(__xludf.DUMMYFUNCTION("""COMPUTED_VALUE"""),46123.0)</f>
        <v>46123</v>
      </c>
      <c r="F813" s="267">
        <f>IFERROR(__xludf.DUMMYFUNCTION("""COMPUTED_VALUE"""),1.0)</f>
        <v>1</v>
      </c>
      <c r="G813" s="267">
        <f>IFERROR(__xludf.DUMMYFUNCTION("""COMPUTED_VALUE"""),2.0)</f>
        <v>2</v>
      </c>
      <c r="H813" s="268">
        <f>IFERROR(__xludf.DUMMYFUNCTION("""COMPUTED_VALUE"""),239.76)</f>
        <v>239.76</v>
      </c>
      <c r="I813" s="268">
        <f>IFERROR(__xludf.DUMMYFUNCTION("""COMPUTED_VALUE"""),239.76)</f>
        <v>239.76</v>
      </c>
      <c r="J813" s="257">
        <f t="shared" si="1"/>
        <v>2</v>
      </c>
      <c r="K813" s="265"/>
      <c r="L813" s="265"/>
      <c r="M813" s="269"/>
      <c r="N813" s="270"/>
      <c r="O813" s="271"/>
      <c r="P813" s="271"/>
      <c r="Q813" s="272"/>
      <c r="R813" s="273"/>
      <c r="S813" s="273"/>
      <c r="T813" s="273"/>
      <c r="U813" s="274"/>
      <c r="V813" s="263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</row>
    <row r="814">
      <c r="A814" s="263">
        <f>IFERROR(__xludf.DUMMYFUNCTION("""COMPUTED_VALUE"""),8397033.0)</f>
        <v>8397033</v>
      </c>
      <c r="B814" s="264" t="str">
        <f>IFERROR(__xludf.DUMMYFUNCTION("""COMPUTED_VALUE"""),"BookingCom")</f>
        <v>BookingCom</v>
      </c>
      <c r="C814" s="265" t="str">
        <f>IFERROR(__xludf.DUMMYFUNCTION("""COMPUTED_VALUE"""),"Eva Kessler ")</f>
        <v>Eva Kessler </v>
      </c>
      <c r="D814" s="266">
        <f>IFERROR(__xludf.DUMMYFUNCTION("""COMPUTED_VALUE"""),46221.0)</f>
        <v>46221</v>
      </c>
      <c r="E814" s="266">
        <f>IFERROR(__xludf.DUMMYFUNCTION("""COMPUTED_VALUE"""),46228.0)</f>
        <v>46228</v>
      </c>
      <c r="F814" s="267">
        <f>IFERROR(__xludf.DUMMYFUNCTION("""COMPUTED_VALUE"""),7.0)</f>
        <v>7</v>
      </c>
      <c r="G814" s="267">
        <f>IFERROR(__xludf.DUMMYFUNCTION("""COMPUTED_VALUE"""),3.0)</f>
        <v>3</v>
      </c>
      <c r="H814" s="268">
        <f>IFERROR(__xludf.DUMMYFUNCTION("""COMPUTED_VALUE"""),137.57999999999998)</f>
        <v>137.58</v>
      </c>
      <c r="I814" s="268">
        <f>IFERROR(__xludf.DUMMYFUNCTION("""COMPUTED_VALUE"""),770.448)</f>
        <v>770.448</v>
      </c>
      <c r="J814" s="257">
        <f t="shared" si="1"/>
        <v>21</v>
      </c>
      <c r="K814" s="265"/>
      <c r="L814" s="265"/>
      <c r="M814" s="264"/>
      <c r="N814" s="270"/>
      <c r="O814" s="271"/>
      <c r="P814" s="271"/>
      <c r="Q814" s="272"/>
      <c r="R814" s="273"/>
      <c r="S814" s="273"/>
      <c r="T814" s="273"/>
      <c r="U814" s="274"/>
      <c r="V814" s="266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</row>
    <row r="815">
      <c r="A815" s="263">
        <f>IFERROR(__xludf.DUMMYFUNCTION("""COMPUTED_VALUE"""),8397033.0)</f>
        <v>8397033</v>
      </c>
      <c r="B815" s="264" t="str">
        <f>IFERROR(__xludf.DUMMYFUNCTION("""COMPUTED_VALUE"""),"BookingCom")</f>
        <v>BookingCom</v>
      </c>
      <c r="C815" s="265" t="str">
        <f>IFERROR(__xludf.DUMMYFUNCTION("""COMPUTED_VALUE"""),"Eva Kessler ")</f>
        <v>Eva Kessler </v>
      </c>
      <c r="D815" s="266">
        <f>IFERROR(__xludf.DUMMYFUNCTION("""COMPUTED_VALUE"""),46221.0)</f>
        <v>46221</v>
      </c>
      <c r="E815" s="266">
        <f>IFERROR(__xludf.DUMMYFUNCTION("""COMPUTED_VALUE"""),46228.0)</f>
        <v>46228</v>
      </c>
      <c r="F815" s="267">
        <f>IFERROR(__xludf.DUMMYFUNCTION("""COMPUTED_VALUE"""),7.0)</f>
        <v>7</v>
      </c>
      <c r="G815" s="267">
        <f>IFERROR(__xludf.DUMMYFUNCTION("""COMPUTED_VALUE"""),3.0)</f>
        <v>3</v>
      </c>
      <c r="H815" s="268">
        <f>IFERROR(__xludf.DUMMYFUNCTION("""COMPUTED_VALUE"""),137.57999999999998)</f>
        <v>137.58</v>
      </c>
      <c r="I815" s="268">
        <f>IFERROR(__xludf.DUMMYFUNCTION("""COMPUTED_VALUE"""),770.448)</f>
        <v>770.448</v>
      </c>
      <c r="J815" s="257">
        <f t="shared" si="1"/>
        <v>21</v>
      </c>
      <c r="K815" s="265"/>
      <c r="L815" s="265"/>
      <c r="M815" s="264"/>
      <c r="N815" s="270"/>
      <c r="O815" s="271"/>
      <c r="P815" s="271"/>
      <c r="Q815" s="272"/>
      <c r="R815" s="273"/>
      <c r="S815" s="273"/>
      <c r="T815" s="273"/>
      <c r="U815" s="274"/>
      <c r="V815" s="266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</row>
    <row r="816">
      <c r="A816" s="263">
        <f>IFERROR(__xludf.DUMMYFUNCTION("""COMPUTED_VALUE"""),8398180.0)</f>
        <v>8398180</v>
      </c>
      <c r="B816" s="264" t="str">
        <f>IFERROR(__xludf.DUMMYFUNCTION("""COMPUTED_VALUE"""),"BookingCom")</f>
        <v>BookingCom</v>
      </c>
      <c r="C816" s="265" t="str">
        <f>IFERROR(__xludf.DUMMYFUNCTION("""COMPUTED_VALUE"""),"NATACHA GERMANO ")</f>
        <v>NATACHA GERMANO </v>
      </c>
      <c r="D816" s="266">
        <f>IFERROR(__xludf.DUMMYFUNCTION("""COMPUTED_VALUE"""),46180.0)</f>
        <v>46180</v>
      </c>
      <c r="E816" s="266">
        <f>IFERROR(__xludf.DUMMYFUNCTION("""COMPUTED_VALUE"""),46181.0)</f>
        <v>46181</v>
      </c>
      <c r="F816" s="267">
        <f>IFERROR(__xludf.DUMMYFUNCTION("""COMPUTED_VALUE"""),1.0)</f>
        <v>1</v>
      </c>
      <c r="G816" s="267">
        <f>IFERROR(__xludf.DUMMYFUNCTION("""COMPUTED_VALUE"""),2.0)</f>
        <v>2</v>
      </c>
      <c r="H816" s="268">
        <f>IFERROR(__xludf.DUMMYFUNCTION("""COMPUTED_VALUE"""),131.41)</f>
        <v>131.41</v>
      </c>
      <c r="I816" s="268">
        <f>IFERROR(__xludf.DUMMYFUNCTION("""COMPUTED_VALUE"""),105.128)</f>
        <v>105.128</v>
      </c>
      <c r="J816" s="257">
        <f t="shared" si="1"/>
        <v>2</v>
      </c>
      <c r="K816" s="265"/>
      <c r="L816" s="265"/>
      <c r="M816" s="269"/>
      <c r="N816" s="270"/>
      <c r="O816" s="271"/>
      <c r="P816" s="271"/>
      <c r="Q816" s="272"/>
      <c r="R816" s="273"/>
      <c r="S816" s="273"/>
      <c r="T816" s="273"/>
      <c r="U816" s="274"/>
      <c r="V816" s="266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</row>
    <row r="817">
      <c r="A817" s="263">
        <f>IFERROR(__xludf.DUMMYFUNCTION("""COMPUTED_VALUE"""),8398300.0)</f>
        <v>8398300</v>
      </c>
      <c r="B817" s="264" t="str">
        <f>IFERROR(__xludf.DUMMYFUNCTION("""COMPUTED_VALUE"""),"BookingCom")</f>
        <v>BookingCom</v>
      </c>
      <c r="C817" s="265" t="str">
        <f>IFERROR(__xludf.DUMMYFUNCTION("""COMPUTED_VALUE"""),"YI CHEN ")</f>
        <v>YI CHEN </v>
      </c>
      <c r="D817" s="266">
        <f>IFERROR(__xludf.DUMMYFUNCTION("""COMPUTED_VALUE"""),46136.0)</f>
        <v>46136</v>
      </c>
      <c r="E817" s="263">
        <f>IFERROR(__xludf.DUMMYFUNCTION("""COMPUTED_VALUE"""),46137.0)</f>
        <v>46137</v>
      </c>
      <c r="F817" s="267">
        <f>IFERROR(__xludf.DUMMYFUNCTION("""COMPUTED_VALUE"""),1.0)</f>
        <v>1</v>
      </c>
      <c r="G817" s="267">
        <f>IFERROR(__xludf.DUMMYFUNCTION("""COMPUTED_VALUE"""),2.0)</f>
        <v>2</v>
      </c>
      <c r="H817" s="268">
        <f>IFERROR(__xludf.DUMMYFUNCTION("""COMPUTED_VALUE"""),170.22)</f>
        <v>170.22</v>
      </c>
      <c r="I817" s="268">
        <f>IFERROR(__xludf.DUMMYFUNCTION("""COMPUTED_VALUE"""),136.17600000000002)</f>
        <v>136.176</v>
      </c>
      <c r="J817" s="257">
        <f t="shared" si="1"/>
        <v>2</v>
      </c>
      <c r="K817" s="265"/>
      <c r="L817" s="265"/>
      <c r="M817" s="269"/>
      <c r="N817" s="270"/>
      <c r="O817" s="271"/>
      <c r="P817" s="271"/>
      <c r="Q817" s="272"/>
      <c r="R817" s="273"/>
      <c r="S817" s="273"/>
      <c r="T817" s="273"/>
      <c r="U817" s="274"/>
      <c r="V817" s="263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</row>
    <row r="818">
      <c r="A818" s="263">
        <f>IFERROR(__xludf.DUMMYFUNCTION("""COMPUTED_VALUE"""),8400283.0)</f>
        <v>8400283</v>
      </c>
      <c r="B818" s="264" t="str">
        <f>IFERROR(__xludf.DUMMYFUNCTION("""COMPUTED_VALUE"""),"BookingCom")</f>
        <v>BookingCom</v>
      </c>
      <c r="C818" s="265" t="str">
        <f>IFERROR(__xludf.DUMMYFUNCTION("""COMPUTED_VALUE"""),"Audrey HANNEDOUCHE NAMUR ")</f>
        <v>Audrey HANNEDOUCHE NAMUR </v>
      </c>
      <c r="D818" s="266">
        <f>IFERROR(__xludf.DUMMYFUNCTION("""COMPUTED_VALUE"""),46174.0)</f>
        <v>46174</v>
      </c>
      <c r="E818" s="263">
        <f>IFERROR(__xludf.DUMMYFUNCTION("""COMPUTED_VALUE"""),46177.0)</f>
        <v>46177</v>
      </c>
      <c r="F818" s="267">
        <f>IFERROR(__xludf.DUMMYFUNCTION("""COMPUTED_VALUE"""),3.0)</f>
        <v>3</v>
      </c>
      <c r="G818" s="267">
        <f>IFERROR(__xludf.DUMMYFUNCTION("""COMPUTED_VALUE"""),2.0)</f>
        <v>2</v>
      </c>
      <c r="H818" s="268">
        <f>IFERROR(__xludf.DUMMYFUNCTION("""COMPUTED_VALUE"""),186.74)</f>
        <v>186.74</v>
      </c>
      <c r="I818" s="268">
        <f>IFERROR(__xludf.DUMMYFUNCTION("""COMPUTED_VALUE"""),448.17600000000004)</f>
        <v>448.176</v>
      </c>
      <c r="J818" s="257">
        <f t="shared" si="1"/>
        <v>6</v>
      </c>
      <c r="K818" s="265"/>
      <c r="L818" s="265"/>
      <c r="M818" s="264"/>
      <c r="N818" s="270"/>
      <c r="O818" s="271"/>
      <c r="P818" s="271"/>
      <c r="Q818" s="272"/>
      <c r="R818" s="273"/>
      <c r="S818" s="273"/>
      <c r="T818" s="273"/>
      <c r="U818" s="274"/>
      <c r="V818" s="266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</row>
    <row r="819">
      <c r="A819" s="263">
        <f>IFERROR(__xludf.DUMMYFUNCTION("""COMPUTED_VALUE"""),8400779.0)</f>
        <v>8400779</v>
      </c>
      <c r="B819" s="264" t="str">
        <f>IFERROR(__xludf.DUMMYFUNCTION("""COMPUTED_VALUE"""),"BookingCom")</f>
        <v>BookingCom</v>
      </c>
      <c r="C819" s="265" t="str">
        <f>IFERROR(__xludf.DUMMYFUNCTION("""COMPUTED_VALUE"""),"Oliver Fisher ")</f>
        <v>Oliver Fisher </v>
      </c>
      <c r="D819" s="266">
        <f>IFERROR(__xludf.DUMMYFUNCTION("""COMPUTED_VALUE"""),46346.0)</f>
        <v>46346</v>
      </c>
      <c r="E819" s="266">
        <f>IFERROR(__xludf.DUMMYFUNCTION("""COMPUTED_VALUE"""),46349.0)</f>
        <v>46349</v>
      </c>
      <c r="F819" s="267">
        <f>IFERROR(__xludf.DUMMYFUNCTION("""COMPUTED_VALUE"""),3.0)</f>
        <v>3</v>
      </c>
      <c r="G819" s="267">
        <f>IFERROR(__xludf.DUMMYFUNCTION("""COMPUTED_VALUE"""),1.0)</f>
        <v>1</v>
      </c>
      <c r="H819" s="268">
        <f>IFERROR(__xludf.DUMMYFUNCTION("""COMPUTED_VALUE"""),160.44)</f>
        <v>160.44</v>
      </c>
      <c r="I819" s="268">
        <f>IFERROR(__xludf.DUMMYFUNCTION("""COMPUTED_VALUE"""),385.05600000000004)</f>
        <v>385.056</v>
      </c>
      <c r="J819" s="257">
        <f t="shared" si="1"/>
        <v>3</v>
      </c>
      <c r="K819" s="265"/>
      <c r="L819" s="265"/>
      <c r="M819" s="269"/>
      <c r="N819" s="270"/>
      <c r="O819" s="271"/>
      <c r="P819" s="271"/>
      <c r="Q819" s="272"/>
      <c r="R819" s="273"/>
      <c r="S819" s="273"/>
      <c r="T819" s="273"/>
      <c r="U819" s="274"/>
      <c r="V819" s="266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</row>
    <row r="820">
      <c r="A820" s="263">
        <f>IFERROR(__xludf.DUMMYFUNCTION("""COMPUTED_VALUE"""),8401538.0)</f>
        <v>8401538</v>
      </c>
      <c r="B820" s="264" t="str">
        <f>IFERROR(__xludf.DUMMYFUNCTION("""COMPUTED_VALUE"""),"BookingCom")</f>
        <v>BookingCom</v>
      </c>
      <c r="C820" s="265" t="str">
        <f>IFERROR(__xludf.DUMMYFUNCTION("""COMPUTED_VALUE"""),"Benjamin Dowden ")</f>
        <v>Benjamin Dowden </v>
      </c>
      <c r="D820" s="266">
        <f>IFERROR(__xludf.DUMMYFUNCTION("""COMPUTED_VALUE"""),46153.0)</f>
        <v>46153</v>
      </c>
      <c r="E820" s="266">
        <f>IFERROR(__xludf.DUMMYFUNCTION("""COMPUTED_VALUE"""),46155.0)</f>
        <v>46155</v>
      </c>
      <c r="F820" s="267">
        <f>IFERROR(__xludf.DUMMYFUNCTION("""COMPUTED_VALUE"""),2.0)</f>
        <v>2</v>
      </c>
      <c r="G820" s="267">
        <f>IFERROR(__xludf.DUMMYFUNCTION("""COMPUTED_VALUE"""),2.0)</f>
        <v>2</v>
      </c>
      <c r="H820" s="268">
        <f>IFERROR(__xludf.DUMMYFUNCTION("""COMPUTED_VALUE"""),197.0)</f>
        <v>197</v>
      </c>
      <c r="I820" s="268">
        <f>IFERROR(__xludf.DUMMYFUNCTION("""COMPUTED_VALUE"""),315.20000000000005)</f>
        <v>315.2</v>
      </c>
      <c r="J820" s="257">
        <f t="shared" si="1"/>
        <v>4</v>
      </c>
      <c r="K820" s="265"/>
      <c r="L820" s="265"/>
      <c r="M820" s="269"/>
      <c r="N820" s="270"/>
      <c r="O820" s="271"/>
      <c r="P820" s="271"/>
      <c r="Q820" s="272"/>
      <c r="R820" s="273"/>
      <c r="S820" s="273"/>
      <c r="T820" s="273"/>
      <c r="U820" s="274"/>
      <c r="V820" s="266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</row>
    <row r="821">
      <c r="A821" s="263">
        <f>IFERROR(__xludf.DUMMYFUNCTION("""COMPUTED_VALUE"""),8403639.0)</f>
        <v>8403639</v>
      </c>
      <c r="B821" s="264" t="str">
        <f>IFERROR(__xludf.DUMMYFUNCTION("""COMPUTED_VALUE"""),"BookingCom")</f>
        <v>BookingCom</v>
      </c>
      <c r="C821" s="265" t="str">
        <f>IFERROR(__xludf.DUMMYFUNCTION("""COMPUTED_VALUE"""),"Miho Macleod ")</f>
        <v>Miho Macleod </v>
      </c>
      <c r="D821" s="266">
        <f>IFERROR(__xludf.DUMMYFUNCTION("""COMPUTED_VALUE"""),46189.0)</f>
        <v>46189</v>
      </c>
      <c r="E821" s="263">
        <f>IFERROR(__xludf.DUMMYFUNCTION("""COMPUTED_VALUE"""),46191.0)</f>
        <v>46191</v>
      </c>
      <c r="F821" s="267">
        <f>IFERROR(__xludf.DUMMYFUNCTION("""COMPUTED_VALUE"""),2.0)</f>
        <v>2</v>
      </c>
      <c r="G821" s="267">
        <f>IFERROR(__xludf.DUMMYFUNCTION("""COMPUTED_VALUE"""),2.0)</f>
        <v>2</v>
      </c>
      <c r="H821" s="268">
        <f>IFERROR(__xludf.DUMMYFUNCTION("""COMPUTED_VALUE"""),137.99)</f>
        <v>137.99</v>
      </c>
      <c r="I821" s="268">
        <f>IFERROR(__xludf.DUMMYFUNCTION("""COMPUTED_VALUE"""),220.78400000000002)</f>
        <v>220.784</v>
      </c>
      <c r="J821" s="257">
        <f t="shared" si="1"/>
        <v>4</v>
      </c>
      <c r="K821" s="265"/>
      <c r="L821" s="265"/>
      <c r="M821" s="269"/>
      <c r="N821" s="270"/>
      <c r="O821" s="271"/>
      <c r="P821" s="271"/>
      <c r="Q821" s="272"/>
      <c r="R821" s="273"/>
      <c r="S821" s="273"/>
      <c r="T821" s="273"/>
      <c r="U821" s="274"/>
      <c r="V821" s="266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</row>
    <row r="822">
      <c r="A822" s="263">
        <f>IFERROR(__xludf.DUMMYFUNCTION("""COMPUTED_VALUE"""),8408672.0)</f>
        <v>8408672</v>
      </c>
      <c r="B822" s="264" t="str">
        <f>IFERROR(__xludf.DUMMYFUNCTION("""COMPUTED_VALUE"""),"BookingCom")</f>
        <v>BookingCom</v>
      </c>
      <c r="C822" s="265" t="str">
        <f>IFERROR(__xludf.DUMMYFUNCTION("""COMPUTED_VALUE"""),"Maria Barbera ")</f>
        <v>Maria Barbera </v>
      </c>
      <c r="D822" s="266">
        <f>IFERROR(__xludf.DUMMYFUNCTION("""COMPUTED_VALUE"""),46304.0)</f>
        <v>46304</v>
      </c>
      <c r="E822" s="263">
        <f>IFERROR(__xludf.DUMMYFUNCTION("""COMPUTED_VALUE"""),46308.0)</f>
        <v>46308</v>
      </c>
      <c r="F822" s="267">
        <f>IFERROR(__xludf.DUMMYFUNCTION("""COMPUTED_VALUE"""),4.0)</f>
        <v>4</v>
      </c>
      <c r="G822" s="267">
        <f>IFERROR(__xludf.DUMMYFUNCTION("""COMPUTED_VALUE"""),2.0)</f>
        <v>2</v>
      </c>
      <c r="H822" s="268">
        <f>IFERROR(__xludf.DUMMYFUNCTION("""COMPUTED_VALUE"""),171.46)</f>
        <v>171.46</v>
      </c>
      <c r="I822" s="268">
        <f>IFERROR(__xludf.DUMMYFUNCTION("""COMPUTED_VALUE"""),548.672)</f>
        <v>548.672</v>
      </c>
      <c r="J822" s="257">
        <f t="shared" si="1"/>
        <v>8</v>
      </c>
      <c r="K822" s="265"/>
      <c r="L822" s="265"/>
      <c r="M822" s="269"/>
      <c r="N822" s="270"/>
      <c r="O822" s="271"/>
      <c r="P822" s="271"/>
      <c r="Q822" s="272"/>
      <c r="R822" s="273"/>
      <c r="S822" s="273"/>
      <c r="T822" s="273"/>
      <c r="U822" s="274"/>
      <c r="V822" s="266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</row>
    <row r="823">
      <c r="A823" s="263">
        <f>IFERROR(__xludf.DUMMYFUNCTION("""COMPUTED_VALUE"""),8409586.0)</f>
        <v>8409586</v>
      </c>
      <c r="B823" s="264" t="str">
        <f>IFERROR(__xludf.DUMMYFUNCTION("""COMPUTED_VALUE"""),"BookingCom")</f>
        <v>BookingCom</v>
      </c>
      <c r="C823" s="265" t="str">
        <f>IFERROR(__xludf.DUMMYFUNCTION("""COMPUTED_VALUE"""),"Manuel Frontera ")</f>
        <v>Manuel Frontera </v>
      </c>
      <c r="D823" s="266">
        <f>IFERROR(__xludf.DUMMYFUNCTION("""COMPUTED_VALUE"""),46220.0)</f>
        <v>46220</v>
      </c>
      <c r="E823" s="263">
        <f>IFERROR(__xludf.DUMMYFUNCTION("""COMPUTED_VALUE"""),46223.0)</f>
        <v>46223</v>
      </c>
      <c r="F823" s="267">
        <f>IFERROR(__xludf.DUMMYFUNCTION("""COMPUTED_VALUE"""),3.0)</f>
        <v>3</v>
      </c>
      <c r="G823" s="267">
        <f>IFERROR(__xludf.DUMMYFUNCTION("""COMPUTED_VALUE"""),2.0)</f>
        <v>2</v>
      </c>
      <c r="H823" s="268">
        <f>IFERROR(__xludf.DUMMYFUNCTION("""COMPUTED_VALUE"""),176.2)</f>
        <v>176.2</v>
      </c>
      <c r="I823" s="268">
        <f>IFERROR(__xludf.DUMMYFUNCTION("""COMPUTED_VALUE"""),422.88)</f>
        <v>422.88</v>
      </c>
      <c r="J823" s="257">
        <f t="shared" si="1"/>
        <v>6</v>
      </c>
      <c r="K823" s="265"/>
      <c r="L823" s="265"/>
      <c r="M823" s="264"/>
      <c r="N823" s="270"/>
      <c r="O823" s="271"/>
      <c r="P823" s="271"/>
      <c r="Q823" s="272"/>
      <c r="R823" s="273"/>
      <c r="S823" s="273"/>
      <c r="T823" s="273"/>
      <c r="U823" s="274"/>
      <c r="V823" s="266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</row>
    <row r="824">
      <c r="A824" s="263">
        <f>IFERROR(__xludf.DUMMYFUNCTION("""COMPUTED_VALUE"""),8412470.0)</f>
        <v>8412470</v>
      </c>
      <c r="B824" s="264" t="str">
        <f>IFERROR(__xludf.DUMMYFUNCTION("""COMPUTED_VALUE"""),"BookingCom")</f>
        <v>BookingCom</v>
      </c>
      <c r="C824" s="265" t="str">
        <f>IFERROR(__xludf.DUMMYFUNCTION("""COMPUTED_VALUE"""),"Vee Plowman ")</f>
        <v>Vee Plowman </v>
      </c>
      <c r="D824" s="266">
        <f>IFERROR(__xludf.DUMMYFUNCTION("""COMPUTED_VALUE"""),46304.0)</f>
        <v>46304</v>
      </c>
      <c r="E824" s="263">
        <f>IFERROR(__xludf.DUMMYFUNCTION("""COMPUTED_VALUE"""),46307.0)</f>
        <v>46307</v>
      </c>
      <c r="F824" s="267">
        <f>IFERROR(__xludf.DUMMYFUNCTION("""COMPUTED_VALUE"""),3.0)</f>
        <v>3</v>
      </c>
      <c r="G824" s="267">
        <f>IFERROR(__xludf.DUMMYFUNCTION("""COMPUTED_VALUE"""),1.0)</f>
        <v>1</v>
      </c>
      <c r="H824" s="268">
        <f>IFERROR(__xludf.DUMMYFUNCTION("""COMPUTED_VALUE"""),128.74)</f>
        <v>128.74</v>
      </c>
      <c r="I824" s="268">
        <f>IFERROR(__xludf.DUMMYFUNCTION("""COMPUTED_VALUE"""),308.97600000000006)</f>
        <v>308.976</v>
      </c>
      <c r="J824" s="257">
        <f t="shared" si="1"/>
        <v>3</v>
      </c>
      <c r="K824" s="265"/>
      <c r="L824" s="265"/>
      <c r="M824" s="269"/>
      <c r="N824" s="270"/>
      <c r="O824" s="271"/>
      <c r="P824" s="271"/>
      <c r="Q824" s="272"/>
      <c r="R824" s="273"/>
      <c r="S824" s="273"/>
      <c r="T824" s="273"/>
      <c r="U824" s="274"/>
      <c r="V824" s="266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</row>
    <row r="825">
      <c r="A825" s="263">
        <f>IFERROR(__xludf.DUMMYFUNCTION("""COMPUTED_VALUE"""),8413851.0)</f>
        <v>8413851</v>
      </c>
      <c r="B825" s="264" t="str">
        <f>IFERROR(__xludf.DUMMYFUNCTION("""COMPUTED_VALUE"""),"Reseliva Pannel")</f>
        <v>Reseliva Pannel</v>
      </c>
      <c r="C825" s="265" t="str">
        <f>IFERROR(__xludf.DUMMYFUNCTION("""COMPUTED_VALUE"""),"Stephanie Nokes ")</f>
        <v>Stephanie Nokes </v>
      </c>
      <c r="D825" s="266">
        <f>IFERROR(__xludf.DUMMYFUNCTION("""COMPUTED_VALUE"""),46503.0)</f>
        <v>46503</v>
      </c>
      <c r="E825" s="263">
        <f>IFERROR(__xludf.DUMMYFUNCTION("""COMPUTED_VALUE"""),46507.0)</f>
        <v>46507</v>
      </c>
      <c r="F825" s="267">
        <f>IFERROR(__xludf.DUMMYFUNCTION("""COMPUTED_VALUE"""),4.0)</f>
        <v>4</v>
      </c>
      <c r="G825" s="267">
        <f>IFERROR(__xludf.DUMMYFUNCTION("""COMPUTED_VALUE"""),2.0)</f>
        <v>2</v>
      </c>
      <c r="H825" s="268">
        <f>IFERROR(__xludf.DUMMYFUNCTION("""COMPUTED_VALUE"""),200.16)</f>
        <v>200.16</v>
      </c>
      <c r="I825" s="268">
        <f>IFERROR(__xludf.DUMMYFUNCTION("""COMPUTED_VALUE"""),800.64)</f>
        <v>800.64</v>
      </c>
      <c r="J825" s="257">
        <f t="shared" si="1"/>
        <v>8</v>
      </c>
      <c r="K825" s="265"/>
      <c r="L825" s="265"/>
      <c r="M825" s="264"/>
      <c r="N825" s="270"/>
      <c r="O825" s="271"/>
      <c r="P825" s="271"/>
      <c r="Q825" s="272"/>
      <c r="R825" s="273"/>
      <c r="S825" s="273"/>
      <c r="T825" s="273"/>
      <c r="U825" s="274"/>
      <c r="V825" s="266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</row>
    <row r="826">
      <c r="A826" s="263">
        <f>IFERROR(__xludf.DUMMYFUNCTION("""COMPUTED_VALUE"""),8413858.0)</f>
        <v>8413858</v>
      </c>
      <c r="B826" s="264" t="str">
        <f>IFERROR(__xludf.DUMMYFUNCTION("""COMPUTED_VALUE"""),"Reseliva Pannel")</f>
        <v>Reseliva Pannel</v>
      </c>
      <c r="C826" s="265" t="str">
        <f>IFERROR(__xludf.DUMMYFUNCTION("""COMPUTED_VALUE"""),"Jenny Kent ")</f>
        <v>Jenny Kent </v>
      </c>
      <c r="D826" s="266">
        <f>IFERROR(__xludf.DUMMYFUNCTION("""COMPUTED_VALUE"""),46221.0)</f>
        <v>46221</v>
      </c>
      <c r="E826" s="263">
        <f>IFERROR(__xludf.DUMMYFUNCTION("""COMPUTED_VALUE"""),46222.0)</f>
        <v>46222</v>
      </c>
      <c r="F826" s="267">
        <f>IFERROR(__xludf.DUMMYFUNCTION("""COMPUTED_VALUE"""),1.0)</f>
        <v>1</v>
      </c>
      <c r="G826" s="267">
        <f>IFERROR(__xludf.DUMMYFUNCTION("""COMPUTED_VALUE"""),2.0)</f>
        <v>2</v>
      </c>
      <c r="H826" s="268">
        <f>IFERROR(__xludf.DUMMYFUNCTION("""COMPUTED_VALUE"""),162.72)</f>
        <v>162.72</v>
      </c>
      <c r="I826" s="268">
        <f>IFERROR(__xludf.DUMMYFUNCTION("""COMPUTED_VALUE"""),162.72)</f>
        <v>162.72</v>
      </c>
      <c r="J826" s="257">
        <f t="shared" si="1"/>
        <v>2</v>
      </c>
      <c r="K826" s="265"/>
      <c r="L826" s="265"/>
      <c r="M826" s="264"/>
      <c r="N826" s="270"/>
      <c r="O826" s="271"/>
      <c r="P826" s="271"/>
      <c r="Q826" s="272"/>
      <c r="R826" s="273"/>
      <c r="S826" s="273"/>
      <c r="T826" s="273"/>
      <c r="U826" s="274"/>
      <c r="V826" s="263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</row>
    <row r="827">
      <c r="A827" s="263">
        <f>IFERROR(__xludf.DUMMYFUNCTION("""COMPUTED_VALUE"""),8414482.0)</f>
        <v>8414482</v>
      </c>
      <c r="B827" s="264" t="str">
        <f>IFERROR(__xludf.DUMMYFUNCTION("""COMPUTED_VALUE"""),"BookingCom")</f>
        <v>BookingCom</v>
      </c>
      <c r="C827" s="265" t="str">
        <f>IFERROR(__xludf.DUMMYFUNCTION("""COMPUTED_VALUE"""),"Philippot Thomas ")</f>
        <v>Philippot Thomas </v>
      </c>
      <c r="D827" s="266">
        <f>IFERROR(__xludf.DUMMYFUNCTION("""COMPUTED_VALUE"""),46198.0)</f>
        <v>46198</v>
      </c>
      <c r="E827" s="266">
        <f>IFERROR(__xludf.DUMMYFUNCTION("""COMPUTED_VALUE"""),46202.0)</f>
        <v>46202</v>
      </c>
      <c r="F827" s="267">
        <f>IFERROR(__xludf.DUMMYFUNCTION("""COMPUTED_VALUE"""),4.0)</f>
        <v>4</v>
      </c>
      <c r="G827" s="267">
        <f>IFERROR(__xludf.DUMMYFUNCTION("""COMPUTED_VALUE"""),2.0)</f>
        <v>2</v>
      </c>
      <c r="H827" s="268">
        <f>IFERROR(__xludf.DUMMYFUNCTION("""COMPUTED_VALUE"""),140.54)</f>
        <v>140.54</v>
      </c>
      <c r="I827" s="268">
        <f>IFERROR(__xludf.DUMMYFUNCTION("""COMPUTED_VALUE"""),449.728)</f>
        <v>449.728</v>
      </c>
      <c r="J827" s="257">
        <f t="shared" si="1"/>
        <v>8</v>
      </c>
      <c r="K827" s="265"/>
      <c r="L827" s="265"/>
      <c r="M827" s="264"/>
      <c r="N827" s="270"/>
      <c r="O827" s="271"/>
      <c r="P827" s="271"/>
      <c r="Q827" s="272"/>
      <c r="R827" s="273"/>
      <c r="S827" s="273"/>
      <c r="T827" s="273"/>
      <c r="U827" s="274"/>
      <c r="V827" s="266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</row>
    <row r="828">
      <c r="A828" s="263">
        <f>IFERROR(__xludf.DUMMYFUNCTION("""COMPUTED_VALUE"""),8415764.0)</f>
        <v>8415764</v>
      </c>
      <c r="B828" s="264" t="str">
        <f>IFERROR(__xludf.DUMMYFUNCTION("""COMPUTED_VALUE"""),"BookingCom")</f>
        <v>BookingCom</v>
      </c>
      <c r="C828" s="265" t="str">
        <f>IFERROR(__xludf.DUMMYFUNCTION("""COMPUTED_VALUE"""),"Henning Wittmaack ")</f>
        <v>Henning Wittmaack </v>
      </c>
      <c r="D828" s="266">
        <f>IFERROR(__xludf.DUMMYFUNCTION("""COMPUTED_VALUE"""),46498.0)</f>
        <v>46498</v>
      </c>
      <c r="E828" s="263">
        <f>IFERROR(__xludf.DUMMYFUNCTION("""COMPUTED_VALUE"""),46501.0)</f>
        <v>46501</v>
      </c>
      <c r="F828" s="267">
        <f>IFERROR(__xludf.DUMMYFUNCTION("""COMPUTED_VALUE"""),3.0)</f>
        <v>3</v>
      </c>
      <c r="G828" s="267">
        <f>IFERROR(__xludf.DUMMYFUNCTION("""COMPUTED_VALUE"""),2.0)</f>
        <v>2</v>
      </c>
      <c r="H828" s="268">
        <f>IFERROR(__xludf.DUMMYFUNCTION("""COMPUTED_VALUE"""),155.72)</f>
        <v>155.72</v>
      </c>
      <c r="I828" s="268">
        <f>IFERROR(__xludf.DUMMYFUNCTION("""COMPUTED_VALUE"""),373.728)</f>
        <v>373.728</v>
      </c>
      <c r="J828" s="257">
        <f t="shared" si="1"/>
        <v>6</v>
      </c>
      <c r="K828" s="265"/>
      <c r="L828" s="265"/>
      <c r="M828" s="264"/>
      <c r="N828" s="270"/>
      <c r="O828" s="271"/>
      <c r="P828" s="271"/>
      <c r="Q828" s="283"/>
      <c r="R828" s="273"/>
      <c r="S828" s="273"/>
      <c r="T828" s="273"/>
      <c r="U828" s="274"/>
      <c r="V828" s="266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</row>
    <row r="829">
      <c r="A829" s="263">
        <f>IFERROR(__xludf.DUMMYFUNCTION("""COMPUTED_VALUE"""),8415916.0)</f>
        <v>8415916</v>
      </c>
      <c r="B829" s="264" t="str">
        <f>IFERROR(__xludf.DUMMYFUNCTION("""COMPUTED_VALUE"""),"BookingCom")</f>
        <v>BookingCom</v>
      </c>
      <c r="C829" s="265" t="str">
        <f>IFERROR(__xludf.DUMMYFUNCTION("""COMPUTED_VALUE"""),"Olga Haufova ")</f>
        <v>Olga Haufova </v>
      </c>
      <c r="D829" s="266">
        <f>IFERROR(__xludf.DUMMYFUNCTION("""COMPUTED_VALUE"""),46206.0)</f>
        <v>46206</v>
      </c>
      <c r="E829" s="263">
        <f>IFERROR(__xludf.DUMMYFUNCTION("""COMPUTED_VALUE"""),46208.0)</f>
        <v>46208</v>
      </c>
      <c r="F829" s="267">
        <f>IFERROR(__xludf.DUMMYFUNCTION("""COMPUTED_VALUE"""),2.0)</f>
        <v>2</v>
      </c>
      <c r="G829" s="267">
        <f>IFERROR(__xludf.DUMMYFUNCTION("""COMPUTED_VALUE"""),3.0)</f>
        <v>3</v>
      </c>
      <c r="H829" s="268">
        <f>IFERROR(__xludf.DUMMYFUNCTION("""COMPUTED_VALUE"""),125.47)</f>
        <v>125.47</v>
      </c>
      <c r="I829" s="268">
        <f>IFERROR(__xludf.DUMMYFUNCTION("""COMPUTED_VALUE"""),200.752)</f>
        <v>200.752</v>
      </c>
      <c r="J829" s="257">
        <f t="shared" si="1"/>
        <v>6</v>
      </c>
      <c r="K829" s="265"/>
      <c r="L829" s="265"/>
      <c r="M829" s="269"/>
      <c r="N829" s="270"/>
      <c r="O829" s="271"/>
      <c r="P829" s="271"/>
      <c r="Q829" s="272"/>
      <c r="R829" s="273"/>
      <c r="S829" s="273"/>
      <c r="T829" s="273"/>
      <c r="U829" s="274"/>
      <c r="V829" s="266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</row>
    <row r="830">
      <c r="A830" s="263">
        <f>IFERROR(__xludf.DUMMYFUNCTION("""COMPUTED_VALUE"""),8415916.0)</f>
        <v>8415916</v>
      </c>
      <c r="B830" s="264" t="str">
        <f>IFERROR(__xludf.DUMMYFUNCTION("""COMPUTED_VALUE"""),"BookingCom")</f>
        <v>BookingCom</v>
      </c>
      <c r="C830" s="265" t="str">
        <f>IFERROR(__xludf.DUMMYFUNCTION("""COMPUTED_VALUE"""),"Olga Haufova ")</f>
        <v>Olga Haufova </v>
      </c>
      <c r="D830" s="266">
        <f>IFERROR(__xludf.DUMMYFUNCTION("""COMPUTED_VALUE"""),46206.0)</f>
        <v>46206</v>
      </c>
      <c r="E830" s="263">
        <f>IFERROR(__xludf.DUMMYFUNCTION("""COMPUTED_VALUE"""),46208.0)</f>
        <v>46208</v>
      </c>
      <c r="F830" s="267">
        <f>IFERROR(__xludf.DUMMYFUNCTION("""COMPUTED_VALUE"""),2.0)</f>
        <v>2</v>
      </c>
      <c r="G830" s="267">
        <f>IFERROR(__xludf.DUMMYFUNCTION("""COMPUTED_VALUE"""),3.0)</f>
        <v>3</v>
      </c>
      <c r="H830" s="268">
        <f>IFERROR(__xludf.DUMMYFUNCTION("""COMPUTED_VALUE"""),125.47)</f>
        <v>125.47</v>
      </c>
      <c r="I830" s="268">
        <f>IFERROR(__xludf.DUMMYFUNCTION("""COMPUTED_VALUE"""),200.752)</f>
        <v>200.752</v>
      </c>
      <c r="J830" s="257">
        <f t="shared" si="1"/>
        <v>6</v>
      </c>
      <c r="K830" s="265"/>
      <c r="L830" s="265"/>
      <c r="M830" s="264"/>
      <c r="N830" s="270"/>
      <c r="O830" s="271"/>
      <c r="P830" s="271"/>
      <c r="Q830" s="272"/>
      <c r="R830" s="273"/>
      <c r="S830" s="273"/>
      <c r="T830" s="273"/>
      <c r="U830" s="274"/>
      <c r="V830" s="266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</row>
    <row r="831">
      <c r="A831" s="263">
        <f>IFERROR(__xludf.DUMMYFUNCTION("""COMPUTED_VALUE"""),8415916.0)</f>
        <v>8415916</v>
      </c>
      <c r="B831" s="264" t="str">
        <f>IFERROR(__xludf.DUMMYFUNCTION("""COMPUTED_VALUE"""),"BookingCom")</f>
        <v>BookingCom</v>
      </c>
      <c r="C831" s="265" t="str">
        <f>IFERROR(__xludf.DUMMYFUNCTION("""COMPUTED_VALUE"""),"Olga Haufova ")</f>
        <v>Olga Haufova </v>
      </c>
      <c r="D831" s="266">
        <f>IFERROR(__xludf.DUMMYFUNCTION("""COMPUTED_VALUE"""),46206.0)</f>
        <v>46206</v>
      </c>
      <c r="E831" s="263">
        <f>IFERROR(__xludf.DUMMYFUNCTION("""COMPUTED_VALUE"""),46208.0)</f>
        <v>46208</v>
      </c>
      <c r="F831" s="267">
        <f>IFERROR(__xludf.DUMMYFUNCTION("""COMPUTED_VALUE"""),2.0)</f>
        <v>2</v>
      </c>
      <c r="G831" s="267">
        <f>IFERROR(__xludf.DUMMYFUNCTION("""COMPUTED_VALUE"""),3.0)</f>
        <v>3</v>
      </c>
      <c r="H831" s="268">
        <f>IFERROR(__xludf.DUMMYFUNCTION("""COMPUTED_VALUE"""),125.47)</f>
        <v>125.47</v>
      </c>
      <c r="I831" s="268">
        <f>IFERROR(__xludf.DUMMYFUNCTION("""COMPUTED_VALUE"""),200.752)</f>
        <v>200.752</v>
      </c>
      <c r="J831" s="257">
        <f t="shared" si="1"/>
        <v>6</v>
      </c>
      <c r="K831" s="265"/>
      <c r="L831" s="265"/>
      <c r="M831" s="269"/>
      <c r="N831" s="270"/>
      <c r="O831" s="271"/>
      <c r="P831" s="271"/>
      <c r="Q831" s="272"/>
      <c r="R831" s="273"/>
      <c r="S831" s="273"/>
      <c r="T831" s="273"/>
      <c r="U831" s="274"/>
      <c r="V831" s="263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</row>
    <row r="832">
      <c r="A832" s="263">
        <f>IFERROR(__xludf.DUMMYFUNCTION("""COMPUTED_VALUE"""),8415916.0)</f>
        <v>8415916</v>
      </c>
      <c r="B832" s="264" t="str">
        <f>IFERROR(__xludf.DUMMYFUNCTION("""COMPUTED_VALUE"""),"BookingCom")</f>
        <v>BookingCom</v>
      </c>
      <c r="C832" s="265" t="str">
        <f>IFERROR(__xludf.DUMMYFUNCTION("""COMPUTED_VALUE"""),"Olga Haufova ")</f>
        <v>Olga Haufova </v>
      </c>
      <c r="D832" s="266">
        <f>IFERROR(__xludf.DUMMYFUNCTION("""COMPUTED_VALUE"""),46206.0)</f>
        <v>46206</v>
      </c>
      <c r="E832" s="263">
        <f>IFERROR(__xludf.DUMMYFUNCTION("""COMPUTED_VALUE"""),46208.0)</f>
        <v>46208</v>
      </c>
      <c r="F832" s="267">
        <f>IFERROR(__xludf.DUMMYFUNCTION("""COMPUTED_VALUE"""),2.0)</f>
        <v>2</v>
      </c>
      <c r="G832" s="267">
        <f>IFERROR(__xludf.DUMMYFUNCTION("""COMPUTED_VALUE"""),3.0)</f>
        <v>3</v>
      </c>
      <c r="H832" s="268">
        <f>IFERROR(__xludf.DUMMYFUNCTION("""COMPUTED_VALUE"""),125.47)</f>
        <v>125.47</v>
      </c>
      <c r="I832" s="268">
        <f>IFERROR(__xludf.DUMMYFUNCTION("""COMPUTED_VALUE"""),200.752)</f>
        <v>200.752</v>
      </c>
      <c r="J832" s="257">
        <f t="shared" si="1"/>
        <v>6</v>
      </c>
      <c r="K832" s="265"/>
      <c r="L832" s="265"/>
      <c r="M832" s="264"/>
      <c r="N832" s="270"/>
      <c r="O832" s="271"/>
      <c r="P832" s="271"/>
      <c r="Q832" s="283"/>
      <c r="R832" s="273"/>
      <c r="S832" s="273"/>
      <c r="T832" s="273"/>
      <c r="U832" s="274"/>
      <c r="V832" s="266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</row>
    <row r="833">
      <c r="A833" s="263">
        <f>IFERROR(__xludf.DUMMYFUNCTION("""COMPUTED_VALUE"""),8416556.0)</f>
        <v>8416556</v>
      </c>
      <c r="B833" s="264" t="str">
        <f>IFERROR(__xludf.DUMMYFUNCTION("""COMPUTED_VALUE"""),"BookingCom")</f>
        <v>BookingCom</v>
      </c>
      <c r="C833" s="265" t="str">
        <f>IFERROR(__xludf.DUMMYFUNCTION("""COMPUTED_VALUE"""),"Patricia De Sa Almeida ")</f>
        <v>Patricia De Sa Almeida </v>
      </c>
      <c r="D833" s="266">
        <f>IFERROR(__xludf.DUMMYFUNCTION("""COMPUTED_VALUE"""),46273.0)</f>
        <v>46273</v>
      </c>
      <c r="E833" s="263">
        <f>IFERROR(__xludf.DUMMYFUNCTION("""COMPUTED_VALUE"""),46278.0)</f>
        <v>46278</v>
      </c>
      <c r="F833" s="267">
        <f>IFERROR(__xludf.DUMMYFUNCTION("""COMPUTED_VALUE"""),5.0)</f>
        <v>5</v>
      </c>
      <c r="G833" s="267">
        <f>IFERROR(__xludf.DUMMYFUNCTION("""COMPUTED_VALUE"""),3.0)</f>
        <v>3</v>
      </c>
      <c r="H833" s="268">
        <f>IFERROR(__xludf.DUMMYFUNCTION("""COMPUTED_VALUE"""),138.8)</f>
        <v>138.8</v>
      </c>
      <c r="I833" s="268">
        <f>IFERROR(__xludf.DUMMYFUNCTION("""COMPUTED_VALUE"""),555.2)</f>
        <v>555.2</v>
      </c>
      <c r="J833" s="257">
        <f t="shared" si="1"/>
        <v>15</v>
      </c>
      <c r="K833" s="265"/>
      <c r="L833" s="265"/>
      <c r="M833" s="269"/>
      <c r="N833" s="270"/>
      <c r="O833" s="271"/>
      <c r="P833" s="271"/>
      <c r="Q833" s="272"/>
      <c r="R833" s="273"/>
      <c r="S833" s="273"/>
      <c r="T833" s="273"/>
      <c r="U833" s="274"/>
      <c r="V833" s="263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</row>
    <row r="834">
      <c r="A834" s="263">
        <f>IFERROR(__xludf.DUMMYFUNCTION("""COMPUTED_VALUE"""),8417177.0)</f>
        <v>8417177</v>
      </c>
      <c r="B834" s="264" t="str">
        <f>IFERROR(__xludf.DUMMYFUNCTION("""COMPUTED_VALUE"""),"BookingCom")</f>
        <v>BookingCom</v>
      </c>
      <c r="C834" s="265" t="str">
        <f>IFERROR(__xludf.DUMMYFUNCTION("""COMPUTED_VALUE"""),"Tim Kother ")</f>
        <v>Tim Kother </v>
      </c>
      <c r="D834" s="266">
        <f>IFERROR(__xludf.DUMMYFUNCTION("""COMPUTED_VALUE"""),46168.0)</f>
        <v>46168</v>
      </c>
      <c r="E834" s="263">
        <f>IFERROR(__xludf.DUMMYFUNCTION("""COMPUTED_VALUE"""),46171.0)</f>
        <v>46171</v>
      </c>
      <c r="F834" s="267">
        <f>IFERROR(__xludf.DUMMYFUNCTION("""COMPUTED_VALUE"""),3.0)</f>
        <v>3</v>
      </c>
      <c r="G834" s="267">
        <f>IFERROR(__xludf.DUMMYFUNCTION("""COMPUTED_VALUE"""),2.0)</f>
        <v>2</v>
      </c>
      <c r="H834" s="268">
        <f>IFERROR(__xludf.DUMMYFUNCTION("""COMPUTED_VALUE"""),224.58)</f>
        <v>224.58</v>
      </c>
      <c r="I834" s="268">
        <f>IFERROR(__xludf.DUMMYFUNCTION("""COMPUTED_VALUE"""),538.9920000000001)</f>
        <v>538.992</v>
      </c>
      <c r="J834" s="257">
        <f t="shared" si="1"/>
        <v>6</v>
      </c>
      <c r="K834" s="265"/>
      <c r="L834" s="265"/>
      <c r="M834" s="269"/>
      <c r="N834" s="270"/>
      <c r="O834" s="271"/>
      <c r="P834" s="271"/>
      <c r="Q834" s="272"/>
      <c r="R834" s="273"/>
      <c r="S834" s="273"/>
      <c r="T834" s="273"/>
      <c r="U834" s="274"/>
      <c r="V834" s="263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</row>
    <row r="835">
      <c r="A835" s="263">
        <f>IFERROR(__xludf.DUMMYFUNCTION("""COMPUTED_VALUE"""),8417201.0)</f>
        <v>8417201</v>
      </c>
      <c r="B835" s="264" t="str">
        <f>IFERROR(__xludf.DUMMYFUNCTION("""COMPUTED_VALUE"""),"BookingCom")</f>
        <v>BookingCom</v>
      </c>
      <c r="C835" s="265" t="str">
        <f>IFERROR(__xludf.DUMMYFUNCTION("""COMPUTED_VALUE"""),"Tim Kother ")</f>
        <v>Tim Kother </v>
      </c>
      <c r="D835" s="266">
        <f>IFERROR(__xludf.DUMMYFUNCTION("""COMPUTED_VALUE"""),46174.0)</f>
        <v>46174</v>
      </c>
      <c r="E835" s="263">
        <f>IFERROR(__xludf.DUMMYFUNCTION("""COMPUTED_VALUE"""),46175.0)</f>
        <v>46175</v>
      </c>
      <c r="F835" s="267">
        <f>IFERROR(__xludf.DUMMYFUNCTION("""COMPUTED_VALUE"""),1.0)</f>
        <v>1</v>
      </c>
      <c r="G835" s="267">
        <f>IFERROR(__xludf.DUMMYFUNCTION("""COMPUTED_VALUE"""),2.0)</f>
        <v>2</v>
      </c>
      <c r="H835" s="268">
        <f>IFERROR(__xludf.DUMMYFUNCTION("""COMPUTED_VALUE"""),148.15)</f>
        <v>148.15</v>
      </c>
      <c r="I835" s="268">
        <f>IFERROR(__xludf.DUMMYFUNCTION("""COMPUTED_VALUE"""),118.52000000000001)</f>
        <v>118.52</v>
      </c>
      <c r="J835" s="257">
        <f t="shared" si="1"/>
        <v>2</v>
      </c>
      <c r="K835" s="265"/>
      <c r="L835" s="265"/>
      <c r="M835" s="264"/>
      <c r="N835" s="270"/>
      <c r="O835" s="271"/>
      <c r="P835" s="271"/>
      <c r="Q835" s="283"/>
      <c r="R835" s="273"/>
      <c r="S835" s="273"/>
      <c r="T835" s="273"/>
      <c r="U835" s="274"/>
      <c r="V835" s="266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</row>
    <row r="836">
      <c r="A836" s="263">
        <f>IFERROR(__xludf.DUMMYFUNCTION("""COMPUTED_VALUE"""),8419499.0)</f>
        <v>8419499</v>
      </c>
      <c r="B836" s="264" t="str">
        <f>IFERROR(__xludf.DUMMYFUNCTION("""COMPUTED_VALUE"""),"BookingCom")</f>
        <v>BookingCom</v>
      </c>
      <c r="C836" s="265" t="str">
        <f>IFERROR(__xludf.DUMMYFUNCTION("""COMPUTED_VALUE"""),"Rachid Jabri ")</f>
        <v>Rachid Jabri </v>
      </c>
      <c r="D836" s="266">
        <f>IFERROR(__xludf.DUMMYFUNCTION("""COMPUTED_VALUE"""),46130.0)</f>
        <v>46130</v>
      </c>
      <c r="E836" s="263">
        <f>IFERROR(__xludf.DUMMYFUNCTION("""COMPUTED_VALUE"""),46131.0)</f>
        <v>46131</v>
      </c>
      <c r="F836" s="267">
        <f>IFERROR(__xludf.DUMMYFUNCTION("""COMPUTED_VALUE"""),1.0)</f>
        <v>1</v>
      </c>
      <c r="G836" s="267">
        <f>IFERROR(__xludf.DUMMYFUNCTION("""COMPUTED_VALUE"""),3.0)</f>
        <v>3</v>
      </c>
      <c r="H836" s="268">
        <f>IFERROR(__xludf.DUMMYFUNCTION("""COMPUTED_VALUE"""),195.0)</f>
        <v>195</v>
      </c>
      <c r="I836" s="268">
        <f>IFERROR(__xludf.DUMMYFUNCTION("""COMPUTED_VALUE"""),156.0)</f>
        <v>156</v>
      </c>
      <c r="J836" s="257">
        <f t="shared" si="1"/>
        <v>3</v>
      </c>
      <c r="K836" s="265"/>
      <c r="L836" s="265"/>
      <c r="M836" s="269"/>
      <c r="N836" s="270"/>
      <c r="O836" s="271"/>
      <c r="P836" s="271"/>
      <c r="Q836" s="283"/>
      <c r="R836" s="273"/>
      <c r="S836" s="273"/>
      <c r="T836" s="273"/>
      <c r="U836" s="274"/>
      <c r="V836" s="263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</row>
    <row r="837">
      <c r="A837" s="263">
        <f>IFERROR(__xludf.DUMMYFUNCTION("""COMPUTED_VALUE"""),8426762.0)</f>
        <v>8426762</v>
      </c>
      <c r="B837" s="264" t="str">
        <f>IFERROR(__xludf.DUMMYFUNCTION("""COMPUTED_VALUE"""),"BookingCom")</f>
        <v>BookingCom</v>
      </c>
      <c r="C837" s="265" t="str">
        <f>IFERROR(__xludf.DUMMYFUNCTION("""COMPUTED_VALUE"""),"Charlotte Karlsson ")</f>
        <v>Charlotte Karlsson </v>
      </c>
      <c r="D837" s="266">
        <f>IFERROR(__xludf.DUMMYFUNCTION("""COMPUTED_VALUE"""),46401.0)</f>
        <v>46401</v>
      </c>
      <c r="E837" s="263">
        <f>IFERROR(__xludf.DUMMYFUNCTION("""COMPUTED_VALUE"""),46404.0)</f>
        <v>46404</v>
      </c>
      <c r="F837" s="267">
        <f>IFERROR(__xludf.DUMMYFUNCTION("""COMPUTED_VALUE"""),3.0)</f>
        <v>3</v>
      </c>
      <c r="G837" s="267">
        <f>IFERROR(__xludf.DUMMYFUNCTION("""COMPUTED_VALUE"""),2.0)</f>
        <v>2</v>
      </c>
      <c r="H837" s="268">
        <f>IFERROR(__xludf.DUMMYFUNCTION("""COMPUTED_VALUE"""),190.76)</f>
        <v>190.76</v>
      </c>
      <c r="I837" s="268">
        <f>IFERROR(__xludf.DUMMYFUNCTION("""COMPUTED_VALUE"""),457.824)</f>
        <v>457.824</v>
      </c>
      <c r="J837" s="257">
        <f t="shared" si="1"/>
        <v>6</v>
      </c>
      <c r="K837" s="265"/>
      <c r="L837" s="265"/>
      <c r="M837" s="264"/>
      <c r="N837" s="270"/>
      <c r="O837" s="271"/>
      <c r="P837" s="271"/>
      <c r="Q837" s="283"/>
      <c r="R837" s="273"/>
      <c r="S837" s="273"/>
      <c r="T837" s="273"/>
      <c r="U837" s="274"/>
      <c r="V837" s="266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</row>
    <row r="838">
      <c r="A838" s="263">
        <f>IFERROR(__xludf.DUMMYFUNCTION("""COMPUTED_VALUE"""),8427526.0)</f>
        <v>8427526</v>
      </c>
      <c r="B838" s="264" t="str">
        <f>IFERROR(__xludf.DUMMYFUNCTION("""COMPUTED_VALUE"""),"BookingCom")</f>
        <v>BookingCom</v>
      </c>
      <c r="C838" s="265" t="str">
        <f>IFERROR(__xludf.DUMMYFUNCTION("""COMPUTED_VALUE"""),"Robert Nowak ")</f>
        <v>Robert Nowak </v>
      </c>
      <c r="D838" s="266">
        <f>IFERROR(__xludf.DUMMYFUNCTION("""COMPUTED_VALUE"""),46194.0)</f>
        <v>46194</v>
      </c>
      <c r="E838" s="263">
        <f>IFERROR(__xludf.DUMMYFUNCTION("""COMPUTED_VALUE"""),46199.0)</f>
        <v>46199</v>
      </c>
      <c r="F838" s="267">
        <f>IFERROR(__xludf.DUMMYFUNCTION("""COMPUTED_VALUE"""),5.0)</f>
        <v>5</v>
      </c>
      <c r="G838" s="267">
        <f>IFERROR(__xludf.DUMMYFUNCTION("""COMPUTED_VALUE"""),2.0)</f>
        <v>2</v>
      </c>
      <c r="H838" s="268">
        <f>IFERROR(__xludf.DUMMYFUNCTION("""COMPUTED_VALUE"""),164.94)</f>
        <v>164.94</v>
      </c>
      <c r="I838" s="268">
        <f>IFERROR(__xludf.DUMMYFUNCTION("""COMPUTED_VALUE"""),659.76)</f>
        <v>659.76</v>
      </c>
      <c r="J838" s="257">
        <f t="shared" si="1"/>
        <v>10</v>
      </c>
      <c r="K838" s="265"/>
      <c r="L838" s="265"/>
      <c r="M838" s="269"/>
      <c r="N838" s="270"/>
      <c r="O838" s="271"/>
      <c r="P838" s="271"/>
      <c r="Q838" s="272"/>
      <c r="R838" s="273"/>
      <c r="S838" s="273"/>
      <c r="T838" s="273"/>
      <c r="U838" s="274"/>
      <c r="V838" s="266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</row>
    <row r="839">
      <c r="A839" s="263">
        <f>IFERROR(__xludf.DUMMYFUNCTION("""COMPUTED_VALUE"""),8429776.0)</f>
        <v>8429776</v>
      </c>
      <c r="B839" s="264" t="str">
        <f>IFERROR(__xludf.DUMMYFUNCTION("""COMPUTED_VALUE"""),"BookingCom")</f>
        <v>BookingCom</v>
      </c>
      <c r="C839" s="265" t="str">
        <f>IFERROR(__xludf.DUMMYFUNCTION("""COMPUTED_VALUE"""),"Chloe Wetherall ")</f>
        <v>Chloe Wetherall </v>
      </c>
      <c r="D839" s="266">
        <f>IFERROR(__xludf.DUMMYFUNCTION("""COMPUTED_VALUE"""),46146.0)</f>
        <v>46146</v>
      </c>
      <c r="E839" s="266">
        <f>IFERROR(__xludf.DUMMYFUNCTION("""COMPUTED_VALUE"""),46147.0)</f>
        <v>46147</v>
      </c>
      <c r="F839" s="267">
        <f>IFERROR(__xludf.DUMMYFUNCTION("""COMPUTED_VALUE"""),1.0)</f>
        <v>1</v>
      </c>
      <c r="G839" s="267">
        <f>IFERROR(__xludf.DUMMYFUNCTION("""COMPUTED_VALUE"""),2.0)</f>
        <v>2</v>
      </c>
      <c r="H839" s="268">
        <f>IFERROR(__xludf.DUMMYFUNCTION("""COMPUTED_VALUE"""),158.24)</f>
        <v>158.24</v>
      </c>
      <c r="I839" s="268">
        <f>IFERROR(__xludf.DUMMYFUNCTION("""COMPUTED_VALUE"""),126.59200000000001)</f>
        <v>126.592</v>
      </c>
      <c r="J839" s="257">
        <f t="shared" si="1"/>
        <v>2</v>
      </c>
      <c r="K839" s="265"/>
      <c r="L839" s="265"/>
      <c r="M839" s="264"/>
      <c r="N839" s="270"/>
      <c r="O839" s="271"/>
      <c r="P839" s="271"/>
      <c r="Q839" s="272"/>
      <c r="R839" s="273"/>
      <c r="S839" s="273"/>
      <c r="T839" s="273"/>
      <c r="U839" s="274"/>
      <c r="V839" s="263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</row>
    <row r="840">
      <c r="A840" s="263">
        <f>IFERROR(__xludf.DUMMYFUNCTION("""COMPUTED_VALUE"""),8432134.0)</f>
        <v>8432134</v>
      </c>
      <c r="B840" s="264" t="str">
        <f>IFERROR(__xludf.DUMMYFUNCTION("""COMPUTED_VALUE"""),"Reseliva Pannel")</f>
        <v>Reseliva Pannel</v>
      </c>
      <c r="C840" s="265" t="str">
        <f>IFERROR(__xludf.DUMMYFUNCTION("""COMPUTED_VALUE"""),"Experience Morocco ")</f>
        <v>Experience Morocco </v>
      </c>
      <c r="D840" s="266">
        <f>IFERROR(__xludf.DUMMYFUNCTION("""COMPUTED_VALUE"""),46369.0)</f>
        <v>46369</v>
      </c>
      <c r="E840" s="263">
        <f>IFERROR(__xludf.DUMMYFUNCTION("""COMPUTED_VALUE"""),46372.0)</f>
        <v>46372</v>
      </c>
      <c r="F840" s="267">
        <f>IFERROR(__xludf.DUMMYFUNCTION("""COMPUTED_VALUE"""),3.0)</f>
        <v>3</v>
      </c>
      <c r="G840" s="267">
        <f>IFERROR(__xludf.DUMMYFUNCTION("""COMPUTED_VALUE"""),2.0)</f>
        <v>2</v>
      </c>
      <c r="H840" s="268">
        <f>IFERROR(__xludf.DUMMYFUNCTION("""COMPUTED_VALUE"""),200.16)</f>
        <v>200.16</v>
      </c>
      <c r="I840" s="268">
        <f>IFERROR(__xludf.DUMMYFUNCTION("""COMPUTED_VALUE"""),600.48)</f>
        <v>600.48</v>
      </c>
      <c r="J840" s="257">
        <f t="shared" si="1"/>
        <v>6</v>
      </c>
      <c r="K840" s="265"/>
      <c r="L840" s="265"/>
      <c r="M840" s="264"/>
      <c r="N840" s="270"/>
      <c r="O840" s="271"/>
      <c r="P840" s="271"/>
      <c r="Q840" s="272"/>
      <c r="R840" s="273"/>
      <c r="S840" s="273"/>
      <c r="T840" s="273"/>
      <c r="U840" s="274"/>
      <c r="V840" s="266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</row>
    <row r="841">
      <c r="A841" s="263">
        <f>IFERROR(__xludf.DUMMYFUNCTION("""COMPUTED_VALUE"""),8432134.0)</f>
        <v>8432134</v>
      </c>
      <c r="B841" s="264" t="str">
        <f>IFERROR(__xludf.DUMMYFUNCTION("""COMPUTED_VALUE"""),"Reseliva Pannel")</f>
        <v>Reseliva Pannel</v>
      </c>
      <c r="C841" s="265" t="str">
        <f>IFERROR(__xludf.DUMMYFUNCTION("""COMPUTED_VALUE"""),"Experience Morocco ")</f>
        <v>Experience Morocco </v>
      </c>
      <c r="D841" s="266">
        <f>IFERROR(__xludf.DUMMYFUNCTION("""COMPUTED_VALUE"""),46369.0)</f>
        <v>46369</v>
      </c>
      <c r="E841" s="263">
        <f>IFERROR(__xludf.DUMMYFUNCTION("""COMPUTED_VALUE"""),46372.0)</f>
        <v>46372</v>
      </c>
      <c r="F841" s="267">
        <f>IFERROR(__xludf.DUMMYFUNCTION("""COMPUTED_VALUE"""),3.0)</f>
        <v>3</v>
      </c>
      <c r="G841" s="267">
        <f>IFERROR(__xludf.DUMMYFUNCTION("""COMPUTED_VALUE"""),2.0)</f>
        <v>2</v>
      </c>
      <c r="H841" s="268">
        <f>IFERROR(__xludf.DUMMYFUNCTION("""COMPUTED_VALUE"""),200.16)</f>
        <v>200.16</v>
      </c>
      <c r="I841" s="268">
        <f>IFERROR(__xludf.DUMMYFUNCTION("""COMPUTED_VALUE"""),600.48)</f>
        <v>600.48</v>
      </c>
      <c r="J841" s="257">
        <f t="shared" si="1"/>
        <v>6</v>
      </c>
      <c r="K841" s="265"/>
      <c r="L841" s="265"/>
      <c r="M841" s="264"/>
      <c r="N841" s="270"/>
      <c r="O841" s="271"/>
      <c r="P841" s="271"/>
      <c r="Q841" s="272"/>
      <c r="R841" s="273"/>
      <c r="S841" s="273"/>
      <c r="T841" s="273"/>
      <c r="U841" s="274"/>
      <c r="V841" s="266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</row>
    <row r="842">
      <c r="A842" s="263">
        <f>IFERROR(__xludf.DUMMYFUNCTION("""COMPUTED_VALUE"""),8432134.0)</f>
        <v>8432134</v>
      </c>
      <c r="B842" s="264" t="str">
        <f>IFERROR(__xludf.DUMMYFUNCTION("""COMPUTED_VALUE"""),"Reseliva Pannel")</f>
        <v>Reseliva Pannel</v>
      </c>
      <c r="C842" s="265" t="str">
        <f>IFERROR(__xludf.DUMMYFUNCTION("""COMPUTED_VALUE"""),"Experience Morocco ")</f>
        <v>Experience Morocco </v>
      </c>
      <c r="D842" s="266">
        <f>IFERROR(__xludf.DUMMYFUNCTION("""COMPUTED_VALUE"""),46369.0)</f>
        <v>46369</v>
      </c>
      <c r="E842" s="263">
        <f>IFERROR(__xludf.DUMMYFUNCTION("""COMPUTED_VALUE"""),46372.0)</f>
        <v>46372</v>
      </c>
      <c r="F842" s="267">
        <f>IFERROR(__xludf.DUMMYFUNCTION("""COMPUTED_VALUE"""),3.0)</f>
        <v>3</v>
      </c>
      <c r="G842" s="267">
        <f>IFERROR(__xludf.DUMMYFUNCTION("""COMPUTED_VALUE"""),2.0)</f>
        <v>2</v>
      </c>
      <c r="H842" s="268">
        <f>IFERROR(__xludf.DUMMYFUNCTION("""COMPUTED_VALUE"""),200.16)</f>
        <v>200.16</v>
      </c>
      <c r="I842" s="268">
        <f>IFERROR(__xludf.DUMMYFUNCTION("""COMPUTED_VALUE"""),600.48)</f>
        <v>600.48</v>
      </c>
      <c r="J842" s="257">
        <f t="shared" si="1"/>
        <v>6</v>
      </c>
      <c r="K842" s="265"/>
      <c r="L842" s="265"/>
      <c r="M842" s="264"/>
      <c r="N842" s="270"/>
      <c r="O842" s="271"/>
      <c r="P842" s="271"/>
      <c r="Q842" s="283"/>
      <c r="R842" s="273"/>
      <c r="S842" s="273"/>
      <c r="T842" s="273"/>
      <c r="U842" s="274"/>
      <c r="V842" s="266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</row>
    <row r="843">
      <c r="A843" s="263">
        <f>IFERROR(__xludf.DUMMYFUNCTION("""COMPUTED_VALUE"""),8432750.0)</f>
        <v>8432750</v>
      </c>
      <c r="B843" s="264" t="str">
        <f>IFERROR(__xludf.DUMMYFUNCTION("""COMPUTED_VALUE"""),"BookingCom")</f>
        <v>BookingCom</v>
      </c>
      <c r="C843" s="265" t="str">
        <f>IFERROR(__xludf.DUMMYFUNCTION("""COMPUTED_VALUE"""),"Mushtaq Maryam ")</f>
        <v>Mushtaq Maryam </v>
      </c>
      <c r="D843" s="266">
        <f>IFERROR(__xludf.DUMMYFUNCTION("""COMPUTED_VALUE"""),46165.0)</f>
        <v>46165</v>
      </c>
      <c r="E843" s="263">
        <f>IFERROR(__xludf.DUMMYFUNCTION("""COMPUTED_VALUE"""),46169.0)</f>
        <v>46169</v>
      </c>
      <c r="F843" s="267">
        <f>IFERROR(__xludf.DUMMYFUNCTION("""COMPUTED_VALUE"""),4.0)</f>
        <v>4</v>
      </c>
      <c r="G843" s="267">
        <f>IFERROR(__xludf.DUMMYFUNCTION("""COMPUTED_VALUE"""),2.0)</f>
        <v>2</v>
      </c>
      <c r="H843" s="268">
        <f>IFERROR(__xludf.DUMMYFUNCTION("""COMPUTED_VALUE"""),168.13)</f>
        <v>168.13</v>
      </c>
      <c r="I843" s="268">
        <f>IFERROR(__xludf.DUMMYFUNCTION("""COMPUTED_VALUE"""),538.016)</f>
        <v>538.016</v>
      </c>
      <c r="J843" s="257">
        <f t="shared" si="1"/>
        <v>8</v>
      </c>
      <c r="K843" s="265"/>
      <c r="L843" s="265"/>
      <c r="M843" s="269"/>
      <c r="N843" s="270"/>
      <c r="O843" s="271"/>
      <c r="P843" s="271"/>
      <c r="Q843" s="272"/>
      <c r="R843" s="273"/>
      <c r="S843" s="273"/>
      <c r="T843" s="273"/>
      <c r="U843" s="274"/>
      <c r="V843" s="266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</row>
    <row r="844">
      <c r="A844" s="263">
        <f>IFERROR(__xludf.DUMMYFUNCTION("""COMPUTED_VALUE"""),8433044.0)</f>
        <v>8433044</v>
      </c>
      <c r="B844" s="264" t="str">
        <f>IFERROR(__xludf.DUMMYFUNCTION("""COMPUTED_VALUE"""),"BookingCom")</f>
        <v>BookingCom</v>
      </c>
      <c r="C844" s="265" t="str">
        <f>IFERROR(__xludf.DUMMYFUNCTION("""COMPUTED_VALUE"""),"Rob Zonneveld ")</f>
        <v>Rob Zonneveld </v>
      </c>
      <c r="D844" s="266">
        <f>IFERROR(__xludf.DUMMYFUNCTION("""COMPUTED_VALUE"""),46363.0)</f>
        <v>46363</v>
      </c>
      <c r="E844" s="263">
        <f>IFERROR(__xludf.DUMMYFUNCTION("""COMPUTED_VALUE"""),46367.0)</f>
        <v>46367</v>
      </c>
      <c r="F844" s="267">
        <f>IFERROR(__xludf.DUMMYFUNCTION("""COMPUTED_VALUE"""),4.0)</f>
        <v>4</v>
      </c>
      <c r="G844" s="267">
        <f>IFERROR(__xludf.DUMMYFUNCTION("""COMPUTED_VALUE"""),2.0)</f>
        <v>2</v>
      </c>
      <c r="H844" s="268">
        <f>IFERROR(__xludf.DUMMYFUNCTION("""COMPUTED_VALUE"""),150.72)</f>
        <v>150.72</v>
      </c>
      <c r="I844" s="268">
        <f>IFERROR(__xludf.DUMMYFUNCTION("""COMPUTED_VALUE"""),482.30400000000003)</f>
        <v>482.304</v>
      </c>
      <c r="J844" s="257">
        <f t="shared" si="1"/>
        <v>8</v>
      </c>
      <c r="K844" s="265"/>
      <c r="L844" s="265"/>
      <c r="M844" s="264"/>
      <c r="N844" s="270"/>
      <c r="O844" s="271"/>
      <c r="P844" s="271"/>
      <c r="Q844" s="272"/>
      <c r="R844" s="273"/>
      <c r="S844" s="273"/>
      <c r="T844" s="273"/>
      <c r="U844" s="274"/>
      <c r="V844" s="266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</row>
    <row r="845">
      <c r="A845" s="263">
        <f>IFERROR(__xludf.DUMMYFUNCTION("""COMPUTED_VALUE"""),8433045.0)</f>
        <v>8433045</v>
      </c>
      <c r="B845" s="264" t="str">
        <f>IFERROR(__xludf.DUMMYFUNCTION("""COMPUTED_VALUE"""),"BookingCom")</f>
        <v>BookingCom</v>
      </c>
      <c r="C845" s="265" t="str">
        <f>IFERROR(__xludf.DUMMYFUNCTION("""COMPUTED_VALUE"""),"Ralph Dubbeld ")</f>
        <v>Ralph Dubbeld </v>
      </c>
      <c r="D845" s="266">
        <f>IFERROR(__xludf.DUMMYFUNCTION("""COMPUTED_VALUE"""),46363.0)</f>
        <v>46363</v>
      </c>
      <c r="E845" s="263">
        <f>IFERROR(__xludf.DUMMYFUNCTION("""COMPUTED_VALUE"""),46367.0)</f>
        <v>46367</v>
      </c>
      <c r="F845" s="267">
        <f>IFERROR(__xludf.DUMMYFUNCTION("""COMPUTED_VALUE"""),4.0)</f>
        <v>4</v>
      </c>
      <c r="G845" s="267">
        <f>IFERROR(__xludf.DUMMYFUNCTION("""COMPUTED_VALUE"""),2.0)</f>
        <v>2</v>
      </c>
      <c r="H845" s="268">
        <f>IFERROR(__xludf.DUMMYFUNCTION("""COMPUTED_VALUE"""),150.72)</f>
        <v>150.72</v>
      </c>
      <c r="I845" s="268">
        <f>IFERROR(__xludf.DUMMYFUNCTION("""COMPUTED_VALUE"""),482.30400000000003)</f>
        <v>482.304</v>
      </c>
      <c r="J845" s="257">
        <f t="shared" si="1"/>
        <v>8</v>
      </c>
      <c r="K845" s="265"/>
      <c r="L845" s="265"/>
      <c r="M845" s="264"/>
      <c r="N845" s="270"/>
      <c r="O845" s="271"/>
      <c r="P845" s="271"/>
      <c r="Q845" s="272"/>
      <c r="R845" s="273"/>
      <c r="S845" s="273"/>
      <c r="T845" s="273"/>
      <c r="U845" s="274"/>
      <c r="V845" s="266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</row>
    <row r="846">
      <c r="A846" s="263">
        <f>IFERROR(__xludf.DUMMYFUNCTION("""COMPUTED_VALUE"""),8433844.0)</f>
        <v>8433844</v>
      </c>
      <c r="B846" s="264" t="str">
        <f>IFERROR(__xludf.DUMMYFUNCTION("""COMPUTED_VALUE"""),"BookingCom")</f>
        <v>BookingCom</v>
      </c>
      <c r="C846" s="265" t="str">
        <f>IFERROR(__xludf.DUMMYFUNCTION("""COMPUTED_VALUE"""),"Corinne Valence ")</f>
        <v>Corinne Valence </v>
      </c>
      <c r="D846" s="266">
        <f>IFERROR(__xludf.DUMMYFUNCTION("""COMPUTED_VALUE"""),46178.0)</f>
        <v>46178</v>
      </c>
      <c r="E846" s="266">
        <f>IFERROR(__xludf.DUMMYFUNCTION("""COMPUTED_VALUE"""),46180.0)</f>
        <v>46180</v>
      </c>
      <c r="F846" s="267">
        <f>IFERROR(__xludf.DUMMYFUNCTION("""COMPUTED_VALUE"""),2.0)</f>
        <v>2</v>
      </c>
      <c r="G846" s="267">
        <f>IFERROR(__xludf.DUMMYFUNCTION("""COMPUTED_VALUE"""),4.0)</f>
        <v>4</v>
      </c>
      <c r="H846" s="268">
        <f>IFERROR(__xludf.DUMMYFUNCTION("""COMPUTED_VALUE"""),349.28)</f>
        <v>349.28</v>
      </c>
      <c r="I846" s="268">
        <f>IFERROR(__xludf.DUMMYFUNCTION("""COMPUTED_VALUE"""),558.848)</f>
        <v>558.848</v>
      </c>
      <c r="J846" s="257">
        <f t="shared" si="1"/>
        <v>8</v>
      </c>
      <c r="K846" s="265"/>
      <c r="L846" s="265"/>
      <c r="M846" s="269"/>
      <c r="N846" s="270"/>
      <c r="O846" s="271"/>
      <c r="P846" s="271"/>
      <c r="Q846" s="272"/>
      <c r="R846" s="273"/>
      <c r="S846" s="273"/>
      <c r="T846" s="273"/>
      <c r="U846" s="274"/>
      <c r="V846" s="266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</row>
    <row r="847">
      <c r="A847" s="263">
        <f>IFERROR(__xludf.DUMMYFUNCTION("""COMPUTED_VALUE"""),8434415.0)</f>
        <v>8434415</v>
      </c>
      <c r="B847" s="264" t="str">
        <f>IFERROR(__xludf.DUMMYFUNCTION("""COMPUTED_VALUE"""),"BookingCom")</f>
        <v>BookingCom</v>
      </c>
      <c r="C847" s="265" t="str">
        <f>IFERROR(__xludf.DUMMYFUNCTION("""COMPUTED_VALUE"""),"Svetlana Pershina ")</f>
        <v>Svetlana Pershina </v>
      </c>
      <c r="D847" s="266">
        <f>IFERROR(__xludf.DUMMYFUNCTION("""COMPUTED_VALUE"""),46141.0)</f>
        <v>46141</v>
      </c>
      <c r="E847" s="263">
        <f>IFERROR(__xludf.DUMMYFUNCTION("""COMPUTED_VALUE"""),46142.0)</f>
        <v>46142</v>
      </c>
      <c r="F847" s="267">
        <f>IFERROR(__xludf.DUMMYFUNCTION("""COMPUTED_VALUE"""),1.0)</f>
        <v>1</v>
      </c>
      <c r="G847" s="267">
        <f>IFERROR(__xludf.DUMMYFUNCTION("""COMPUTED_VALUE"""),2.0)</f>
        <v>2</v>
      </c>
      <c r="H847" s="268">
        <f>IFERROR(__xludf.DUMMYFUNCTION("""COMPUTED_VALUE"""),170.22)</f>
        <v>170.22</v>
      </c>
      <c r="I847" s="268">
        <f>IFERROR(__xludf.DUMMYFUNCTION("""COMPUTED_VALUE"""),136.17600000000002)</f>
        <v>136.176</v>
      </c>
      <c r="J847" s="257">
        <f t="shared" si="1"/>
        <v>2</v>
      </c>
      <c r="K847" s="265"/>
      <c r="L847" s="265"/>
      <c r="M847" s="269"/>
      <c r="N847" s="270"/>
      <c r="O847" s="271"/>
      <c r="P847" s="271"/>
      <c r="Q847" s="272"/>
      <c r="R847" s="273"/>
      <c r="S847" s="273"/>
      <c r="T847" s="273"/>
      <c r="U847" s="274"/>
      <c r="V847" s="266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</row>
    <row r="848">
      <c r="A848" s="263">
        <f>IFERROR(__xludf.DUMMYFUNCTION("""COMPUTED_VALUE"""),8434415.0)</f>
        <v>8434415</v>
      </c>
      <c r="B848" s="264" t="str">
        <f>IFERROR(__xludf.DUMMYFUNCTION("""COMPUTED_VALUE"""),"BookingCom")</f>
        <v>BookingCom</v>
      </c>
      <c r="C848" s="265" t="str">
        <f>IFERROR(__xludf.DUMMYFUNCTION("""COMPUTED_VALUE"""),"Svetlana Pershina ")</f>
        <v>Svetlana Pershina </v>
      </c>
      <c r="D848" s="266">
        <f>IFERROR(__xludf.DUMMYFUNCTION("""COMPUTED_VALUE"""),46141.0)</f>
        <v>46141</v>
      </c>
      <c r="E848" s="266">
        <f>IFERROR(__xludf.DUMMYFUNCTION("""COMPUTED_VALUE"""),46142.0)</f>
        <v>46142</v>
      </c>
      <c r="F848" s="267">
        <f>IFERROR(__xludf.DUMMYFUNCTION("""COMPUTED_VALUE"""),1.0)</f>
        <v>1</v>
      </c>
      <c r="G848" s="267">
        <f>IFERROR(__xludf.DUMMYFUNCTION("""COMPUTED_VALUE"""),1.0)</f>
        <v>1</v>
      </c>
      <c r="H848" s="268">
        <f>IFERROR(__xludf.DUMMYFUNCTION("""COMPUTED_VALUE"""),170.22)</f>
        <v>170.22</v>
      </c>
      <c r="I848" s="268">
        <f>IFERROR(__xludf.DUMMYFUNCTION("""COMPUTED_VALUE"""),136.17600000000002)</f>
        <v>136.176</v>
      </c>
      <c r="J848" s="257">
        <f t="shared" si="1"/>
        <v>1</v>
      </c>
      <c r="K848" s="265"/>
      <c r="L848" s="265"/>
      <c r="M848" s="264"/>
      <c r="N848" s="270"/>
      <c r="O848" s="271"/>
      <c r="P848" s="271"/>
      <c r="Q848" s="272"/>
      <c r="R848" s="273"/>
      <c r="S848" s="273"/>
      <c r="T848" s="273"/>
      <c r="U848" s="274"/>
      <c r="V848" s="266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</row>
    <row r="849">
      <c r="A849" s="263">
        <f>IFERROR(__xludf.DUMMYFUNCTION("""COMPUTED_VALUE"""),8435118.0)</f>
        <v>8435118</v>
      </c>
      <c r="B849" s="264" t="str">
        <f>IFERROR(__xludf.DUMMYFUNCTION("""COMPUTED_VALUE"""),"BookingCom")</f>
        <v>BookingCom</v>
      </c>
      <c r="C849" s="265" t="str">
        <f>IFERROR(__xludf.DUMMYFUNCTION("""COMPUTED_VALUE"""),"Lisa-Marie Mansfeld ")</f>
        <v>Lisa-Marie Mansfeld </v>
      </c>
      <c r="D849" s="266">
        <f>IFERROR(__xludf.DUMMYFUNCTION("""COMPUTED_VALUE"""),46318.0)</f>
        <v>46318</v>
      </c>
      <c r="E849" s="266">
        <f>IFERROR(__xludf.DUMMYFUNCTION("""COMPUTED_VALUE"""),46321.0)</f>
        <v>46321</v>
      </c>
      <c r="F849" s="267">
        <f>IFERROR(__xludf.DUMMYFUNCTION("""COMPUTED_VALUE"""),3.0)</f>
        <v>3</v>
      </c>
      <c r="G849" s="267">
        <f>IFERROR(__xludf.DUMMYFUNCTION("""COMPUTED_VALUE"""),2.0)</f>
        <v>2</v>
      </c>
      <c r="H849" s="268">
        <f>IFERROR(__xludf.DUMMYFUNCTION("""COMPUTED_VALUE"""),231.16)</f>
        <v>231.16</v>
      </c>
      <c r="I849" s="268">
        <f>IFERROR(__xludf.DUMMYFUNCTION("""COMPUTED_VALUE"""),554.784)</f>
        <v>554.784</v>
      </c>
      <c r="J849" s="257">
        <f t="shared" si="1"/>
        <v>6</v>
      </c>
      <c r="K849" s="265"/>
      <c r="L849" s="265"/>
      <c r="M849" s="264"/>
      <c r="N849" s="270"/>
      <c r="O849" s="271"/>
      <c r="P849" s="271"/>
      <c r="Q849" s="272"/>
      <c r="R849" s="273"/>
      <c r="S849" s="273"/>
      <c r="T849" s="273"/>
      <c r="U849" s="274"/>
      <c r="V849" s="266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</row>
    <row r="850">
      <c r="A850" s="263">
        <f>IFERROR(__xludf.DUMMYFUNCTION("""COMPUTED_VALUE"""),8435172.0)</f>
        <v>8435172</v>
      </c>
      <c r="B850" s="264" t="str">
        <f>IFERROR(__xludf.DUMMYFUNCTION("""COMPUTED_VALUE"""),"Reseliva Pannel")</f>
        <v>Reseliva Pannel</v>
      </c>
      <c r="C850" s="265" t="str">
        <f>IFERROR(__xludf.DUMMYFUNCTION("""COMPUTED_VALUE"""),"Ecolink Agence ")</f>
        <v>Ecolink Agence </v>
      </c>
      <c r="D850" s="266">
        <f>IFERROR(__xludf.DUMMYFUNCTION("""COMPUTED_VALUE"""),46201.0)</f>
        <v>46201</v>
      </c>
      <c r="E850" s="266">
        <f>IFERROR(__xludf.DUMMYFUNCTION("""COMPUTED_VALUE"""),46202.0)</f>
        <v>46202</v>
      </c>
      <c r="F850" s="267">
        <f>IFERROR(__xludf.DUMMYFUNCTION("""COMPUTED_VALUE"""),1.0)</f>
        <v>1</v>
      </c>
      <c r="G850" s="267">
        <f>IFERROR(__xludf.DUMMYFUNCTION("""COMPUTED_VALUE"""),2.0)</f>
        <v>2</v>
      </c>
      <c r="H850" s="268">
        <f>IFERROR(__xludf.DUMMYFUNCTION("""COMPUTED_VALUE"""),225.36)</f>
        <v>225.36</v>
      </c>
      <c r="I850" s="268">
        <f>IFERROR(__xludf.DUMMYFUNCTION("""COMPUTED_VALUE"""),225.36)</f>
        <v>225.36</v>
      </c>
      <c r="J850" s="257">
        <f t="shared" si="1"/>
        <v>2</v>
      </c>
      <c r="K850" s="265"/>
      <c r="L850" s="265"/>
      <c r="M850" s="269"/>
      <c r="N850" s="270"/>
      <c r="O850" s="271"/>
      <c r="P850" s="271"/>
      <c r="Q850" s="272"/>
      <c r="R850" s="273"/>
      <c r="S850" s="273"/>
      <c r="T850" s="273"/>
      <c r="U850" s="274"/>
      <c r="V850" s="266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</row>
    <row r="851">
      <c r="A851" s="263">
        <f>IFERROR(__xludf.DUMMYFUNCTION("""COMPUTED_VALUE"""),8435172.0)</f>
        <v>8435172</v>
      </c>
      <c r="B851" s="264" t="str">
        <f>IFERROR(__xludf.DUMMYFUNCTION("""COMPUTED_VALUE"""),"Reseliva Pannel")</f>
        <v>Reseliva Pannel</v>
      </c>
      <c r="C851" s="265" t="str">
        <f>IFERROR(__xludf.DUMMYFUNCTION("""COMPUTED_VALUE"""),"Ecolink Agence ")</f>
        <v>Ecolink Agence </v>
      </c>
      <c r="D851" s="266">
        <f>IFERROR(__xludf.DUMMYFUNCTION("""COMPUTED_VALUE"""),46201.0)</f>
        <v>46201</v>
      </c>
      <c r="E851" s="266">
        <f>IFERROR(__xludf.DUMMYFUNCTION("""COMPUTED_VALUE"""),46202.0)</f>
        <v>46202</v>
      </c>
      <c r="F851" s="267">
        <f>IFERROR(__xludf.DUMMYFUNCTION("""COMPUTED_VALUE"""),1.0)</f>
        <v>1</v>
      </c>
      <c r="G851" s="267">
        <f>IFERROR(__xludf.DUMMYFUNCTION("""COMPUTED_VALUE"""),2.0)</f>
        <v>2</v>
      </c>
      <c r="H851" s="268">
        <f>IFERROR(__xludf.DUMMYFUNCTION("""COMPUTED_VALUE"""),225.36)</f>
        <v>225.36</v>
      </c>
      <c r="I851" s="268">
        <f>IFERROR(__xludf.DUMMYFUNCTION("""COMPUTED_VALUE"""),225.36)</f>
        <v>225.36</v>
      </c>
      <c r="J851" s="257">
        <f t="shared" si="1"/>
        <v>2</v>
      </c>
      <c r="K851" s="265"/>
      <c r="L851" s="265"/>
      <c r="M851" s="264"/>
      <c r="N851" s="270"/>
      <c r="O851" s="271"/>
      <c r="P851" s="271"/>
      <c r="Q851" s="272"/>
      <c r="R851" s="273"/>
      <c r="S851" s="273"/>
      <c r="T851" s="273"/>
      <c r="U851" s="339"/>
      <c r="V851" s="266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</row>
    <row r="852">
      <c r="A852" s="263">
        <f>IFERROR(__xludf.DUMMYFUNCTION("""COMPUTED_VALUE"""),8435214.0)</f>
        <v>8435214</v>
      </c>
      <c r="B852" s="264" t="str">
        <f>IFERROR(__xludf.DUMMYFUNCTION("""COMPUTED_VALUE"""),"BookingCom")</f>
        <v>BookingCom</v>
      </c>
      <c r="C852" s="265" t="str">
        <f>IFERROR(__xludf.DUMMYFUNCTION("""COMPUTED_VALUE"""),"Micky (Mireille) Lacour-Steffen ")</f>
        <v>Micky (Mireille) Lacour-Steffen </v>
      </c>
      <c r="D852" s="266">
        <f>IFERROR(__xludf.DUMMYFUNCTION("""COMPUTED_VALUE"""),46315.0)</f>
        <v>46315</v>
      </c>
      <c r="E852" s="266">
        <f>IFERROR(__xludf.DUMMYFUNCTION("""COMPUTED_VALUE"""),46319.0)</f>
        <v>46319</v>
      </c>
      <c r="F852" s="267">
        <f>IFERROR(__xludf.DUMMYFUNCTION("""COMPUTED_VALUE"""),4.0)</f>
        <v>4</v>
      </c>
      <c r="G852" s="267">
        <f>IFERROR(__xludf.DUMMYFUNCTION("""COMPUTED_VALUE"""),2.0)</f>
        <v>2</v>
      </c>
      <c r="H852" s="268">
        <f>IFERROR(__xludf.DUMMYFUNCTION("""COMPUTED_VALUE"""),150.72)</f>
        <v>150.72</v>
      </c>
      <c r="I852" s="268">
        <f>IFERROR(__xludf.DUMMYFUNCTION("""COMPUTED_VALUE"""),482.30400000000003)</f>
        <v>482.304</v>
      </c>
      <c r="J852" s="257">
        <f t="shared" si="1"/>
        <v>8</v>
      </c>
      <c r="K852" s="265"/>
      <c r="L852" s="265"/>
      <c r="M852" s="264"/>
      <c r="N852" s="270"/>
      <c r="O852" s="271"/>
      <c r="P852" s="271"/>
      <c r="Q852" s="272"/>
      <c r="R852" s="273"/>
      <c r="S852" s="273"/>
      <c r="T852" s="273"/>
      <c r="U852" s="274"/>
      <c r="V852" s="266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</row>
    <row r="853">
      <c r="A853" s="263">
        <f>IFERROR(__xludf.DUMMYFUNCTION("""COMPUTED_VALUE"""),8435492.0)</f>
        <v>8435492</v>
      </c>
      <c r="B853" s="264" t="str">
        <f>IFERROR(__xludf.DUMMYFUNCTION("""COMPUTED_VALUE"""),"BookingCom")</f>
        <v>BookingCom</v>
      </c>
      <c r="C853" s="265" t="str">
        <f>IFERROR(__xludf.DUMMYFUNCTION("""COMPUTED_VALUE"""),"Neele Schellenberg ")</f>
        <v>Neele Schellenberg </v>
      </c>
      <c r="D853" s="266">
        <f>IFERROR(__xludf.DUMMYFUNCTION("""COMPUTED_VALUE"""),46155.0)</f>
        <v>46155</v>
      </c>
      <c r="E853" s="263">
        <f>IFERROR(__xludf.DUMMYFUNCTION("""COMPUTED_VALUE"""),46159.0)</f>
        <v>46159</v>
      </c>
      <c r="F853" s="267">
        <f>IFERROR(__xludf.DUMMYFUNCTION("""COMPUTED_VALUE"""),4.0)</f>
        <v>4</v>
      </c>
      <c r="G853" s="267">
        <f>IFERROR(__xludf.DUMMYFUNCTION("""COMPUTED_VALUE"""),2.0)</f>
        <v>2</v>
      </c>
      <c r="H853" s="268">
        <f>IFERROR(__xludf.DUMMYFUNCTION("""COMPUTED_VALUE"""),220.95)</f>
        <v>220.95</v>
      </c>
      <c r="I853" s="268">
        <f>IFERROR(__xludf.DUMMYFUNCTION("""COMPUTED_VALUE"""),707.04)</f>
        <v>707.04</v>
      </c>
      <c r="J853" s="257">
        <f t="shared" si="1"/>
        <v>8</v>
      </c>
      <c r="K853" s="265"/>
      <c r="L853" s="265"/>
      <c r="M853" s="269"/>
      <c r="N853" s="270"/>
      <c r="O853" s="271"/>
      <c r="P853" s="271"/>
      <c r="Q853" s="272"/>
      <c r="R853" s="273"/>
      <c r="S853" s="273"/>
      <c r="T853" s="273"/>
      <c r="U853" s="274"/>
      <c r="V853" s="266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</row>
    <row r="854">
      <c r="A854" s="263">
        <f>IFERROR(__xludf.DUMMYFUNCTION("""COMPUTED_VALUE"""),8435967.0)</f>
        <v>8435967</v>
      </c>
      <c r="B854" s="264" t="str">
        <f>IFERROR(__xludf.DUMMYFUNCTION("""COMPUTED_VALUE"""),"BookingCom")</f>
        <v>BookingCom</v>
      </c>
      <c r="C854" s="265" t="str">
        <f>IFERROR(__xludf.DUMMYFUNCTION("""COMPUTED_VALUE"""),"Jiayi Wu ")</f>
        <v>Jiayi Wu </v>
      </c>
      <c r="D854" s="266">
        <f>IFERROR(__xludf.DUMMYFUNCTION("""COMPUTED_VALUE"""),46132.0)</f>
        <v>46132</v>
      </c>
      <c r="E854" s="266">
        <f>IFERROR(__xludf.DUMMYFUNCTION("""COMPUTED_VALUE"""),46133.0)</f>
        <v>46133</v>
      </c>
      <c r="F854" s="267">
        <f>IFERROR(__xludf.DUMMYFUNCTION("""COMPUTED_VALUE"""),1.0)</f>
        <v>1</v>
      </c>
      <c r="G854" s="267">
        <f>IFERROR(__xludf.DUMMYFUNCTION("""COMPUTED_VALUE"""),2.0)</f>
        <v>2</v>
      </c>
      <c r="H854" s="268">
        <f>IFERROR(__xludf.DUMMYFUNCTION("""COMPUTED_VALUE"""),179.82)</f>
        <v>179.82</v>
      </c>
      <c r="I854" s="268">
        <f>IFERROR(__xludf.DUMMYFUNCTION("""COMPUTED_VALUE"""),143.856)</f>
        <v>143.856</v>
      </c>
      <c r="J854" s="257">
        <f t="shared" si="1"/>
        <v>2</v>
      </c>
      <c r="K854" s="265"/>
      <c r="L854" s="265"/>
      <c r="M854" s="264"/>
      <c r="N854" s="270"/>
      <c r="O854" s="271"/>
      <c r="P854" s="271"/>
      <c r="Q854" s="272"/>
      <c r="R854" s="273"/>
      <c r="S854" s="273"/>
      <c r="T854" s="273"/>
      <c r="U854" s="274"/>
      <c r="V854" s="266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</row>
    <row r="855">
      <c r="A855" s="263">
        <f>IFERROR(__xludf.DUMMYFUNCTION("""COMPUTED_VALUE"""),8435979.0)</f>
        <v>8435979</v>
      </c>
      <c r="B855" s="264" t="str">
        <f>IFERROR(__xludf.DUMMYFUNCTION("""COMPUTED_VALUE"""),"Reseliva Pannel")</f>
        <v>Reseliva Pannel</v>
      </c>
      <c r="C855" s="265" t="str">
        <f>IFERROR(__xludf.DUMMYFUNCTION("""COMPUTED_VALUE"""),"Jan Messiaen ")</f>
        <v>Jan Messiaen </v>
      </c>
      <c r="D855" s="266">
        <f>IFERROR(__xludf.DUMMYFUNCTION("""COMPUTED_VALUE"""),46134.0)</f>
        <v>46134</v>
      </c>
      <c r="E855" s="263">
        <f>IFERROR(__xludf.DUMMYFUNCTION("""COMPUTED_VALUE"""),46135.0)</f>
        <v>46135</v>
      </c>
      <c r="F855" s="267">
        <f>IFERROR(__xludf.DUMMYFUNCTION("""COMPUTED_VALUE"""),1.0)</f>
        <v>1</v>
      </c>
      <c r="G855" s="267">
        <f>IFERROR(__xludf.DUMMYFUNCTION("""COMPUTED_VALUE"""),2.0)</f>
        <v>2</v>
      </c>
      <c r="H855" s="268">
        <f>IFERROR(__xludf.DUMMYFUNCTION("""COMPUTED_VALUE"""),239.76)</f>
        <v>239.76</v>
      </c>
      <c r="I855" s="268">
        <f>IFERROR(__xludf.DUMMYFUNCTION("""COMPUTED_VALUE"""),239.76)</f>
        <v>239.76</v>
      </c>
      <c r="J855" s="257">
        <f t="shared" si="1"/>
        <v>2</v>
      </c>
      <c r="K855" s="265"/>
      <c r="L855" s="265"/>
      <c r="M855" s="264"/>
      <c r="N855" s="270"/>
      <c r="O855" s="271"/>
      <c r="P855" s="271"/>
      <c r="Q855" s="283"/>
      <c r="R855" s="273"/>
      <c r="S855" s="273"/>
      <c r="T855" s="273"/>
      <c r="U855" s="274"/>
      <c r="V855" s="375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</row>
    <row r="856">
      <c r="A856" s="263">
        <f>IFERROR(__xludf.DUMMYFUNCTION("""COMPUTED_VALUE"""),8436104.0)</f>
        <v>8436104</v>
      </c>
      <c r="B856" s="264" t="str">
        <f>IFERROR(__xludf.DUMMYFUNCTION("""COMPUTED_VALUE"""),"BookingCom")</f>
        <v>BookingCom</v>
      </c>
      <c r="C856" s="265" t="str">
        <f>IFERROR(__xludf.DUMMYFUNCTION("""COMPUTED_VALUE"""),"Nicolas MIGINAC ")</f>
        <v>Nicolas MIGINAC </v>
      </c>
      <c r="D856" s="266">
        <f>IFERROR(__xludf.DUMMYFUNCTION("""COMPUTED_VALUE"""),46316.0)</f>
        <v>46316</v>
      </c>
      <c r="E856" s="266">
        <f>IFERROR(__xludf.DUMMYFUNCTION("""COMPUTED_VALUE"""),46318.0)</f>
        <v>46318</v>
      </c>
      <c r="F856" s="267">
        <f>IFERROR(__xludf.DUMMYFUNCTION("""COMPUTED_VALUE"""),2.0)</f>
        <v>2</v>
      </c>
      <c r="G856" s="267">
        <f>IFERROR(__xludf.DUMMYFUNCTION("""COMPUTED_VALUE"""),2.0)</f>
        <v>2</v>
      </c>
      <c r="H856" s="268">
        <f>IFERROR(__xludf.DUMMYFUNCTION("""COMPUTED_VALUE"""),150.57)</f>
        <v>150.57</v>
      </c>
      <c r="I856" s="268">
        <f>IFERROR(__xludf.DUMMYFUNCTION("""COMPUTED_VALUE"""),240.912)</f>
        <v>240.912</v>
      </c>
      <c r="J856" s="257">
        <f t="shared" si="1"/>
        <v>4</v>
      </c>
      <c r="K856" s="265"/>
      <c r="L856" s="265"/>
      <c r="M856" s="264"/>
      <c r="N856" s="270"/>
      <c r="O856" s="271"/>
      <c r="P856" s="271"/>
      <c r="Q856" s="283"/>
      <c r="R856" s="273"/>
      <c r="S856" s="273"/>
      <c r="T856" s="273"/>
      <c r="U856" s="274"/>
      <c r="V856" s="376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</row>
    <row r="857">
      <c r="A857" s="263">
        <f>IFERROR(__xludf.DUMMYFUNCTION("""COMPUTED_VALUE"""),8436325.0)</f>
        <v>8436325</v>
      </c>
      <c r="B857" s="264" t="str">
        <f>IFERROR(__xludf.DUMMYFUNCTION("""COMPUTED_VALUE"""),"Reseliva Pannel")</f>
        <v>Reseliva Pannel</v>
      </c>
      <c r="C857" s="265" t="str">
        <f>IFERROR(__xludf.DUMMYFUNCTION("""COMPUTED_VALUE"""),"Manuela Haag ")</f>
        <v>Manuela Haag </v>
      </c>
      <c r="D857" s="266">
        <f>IFERROR(__xludf.DUMMYFUNCTION("""COMPUTED_VALUE"""),46425.0)</f>
        <v>46425</v>
      </c>
      <c r="E857" s="266">
        <f>IFERROR(__xludf.DUMMYFUNCTION("""COMPUTED_VALUE"""),46426.0)</f>
        <v>46426</v>
      </c>
      <c r="F857" s="267">
        <f>IFERROR(__xludf.DUMMYFUNCTION("""COMPUTED_VALUE"""),4.0)</f>
        <v>4</v>
      </c>
      <c r="G857" s="267">
        <f>IFERROR(__xludf.DUMMYFUNCTION("""COMPUTED_VALUE"""),2.0)</f>
        <v>2</v>
      </c>
      <c r="H857" s="268">
        <f>IFERROR(__xludf.DUMMYFUNCTION("""COMPUTED_VALUE"""),200.16)</f>
        <v>200.16</v>
      </c>
      <c r="I857" s="268">
        <f>IFERROR(__xludf.DUMMYFUNCTION("""COMPUTED_VALUE"""),800.64)</f>
        <v>800.64</v>
      </c>
      <c r="J857" s="257">
        <f t="shared" si="1"/>
        <v>8</v>
      </c>
      <c r="K857" s="265"/>
      <c r="L857" s="265"/>
      <c r="M857" s="264"/>
      <c r="N857" s="270"/>
      <c r="O857" s="271"/>
      <c r="P857" s="271"/>
      <c r="Q857" s="272"/>
      <c r="R857" s="273"/>
      <c r="S857" s="273"/>
      <c r="T857" s="273"/>
      <c r="U857" s="274"/>
      <c r="V857" s="266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</row>
    <row r="858">
      <c r="A858" s="263">
        <f>IFERROR(__xludf.DUMMYFUNCTION("""COMPUTED_VALUE"""),8436325.0)</f>
        <v>8436325</v>
      </c>
      <c r="B858" s="264" t="str">
        <f>IFERROR(__xludf.DUMMYFUNCTION("""COMPUTED_VALUE"""),"Reseliva Pannel")</f>
        <v>Reseliva Pannel</v>
      </c>
      <c r="C858" s="265" t="str">
        <f>IFERROR(__xludf.DUMMYFUNCTION("""COMPUTED_VALUE"""),"Manuela Haag ")</f>
        <v>Manuela Haag </v>
      </c>
      <c r="D858" s="266">
        <f>IFERROR(__xludf.DUMMYFUNCTION("""COMPUTED_VALUE"""),46425.0)</f>
        <v>46425</v>
      </c>
      <c r="E858" s="263">
        <f>IFERROR(__xludf.DUMMYFUNCTION("""COMPUTED_VALUE"""),46426.0)</f>
        <v>46426</v>
      </c>
      <c r="F858" s="267">
        <f>IFERROR(__xludf.DUMMYFUNCTION("""COMPUTED_VALUE"""),4.0)</f>
        <v>4</v>
      </c>
      <c r="G858" s="267">
        <f>IFERROR(__xludf.DUMMYFUNCTION("""COMPUTED_VALUE"""),2.0)</f>
        <v>2</v>
      </c>
      <c r="H858" s="268">
        <f>IFERROR(__xludf.DUMMYFUNCTION("""COMPUTED_VALUE"""),200.16)</f>
        <v>200.16</v>
      </c>
      <c r="I858" s="268">
        <f>IFERROR(__xludf.DUMMYFUNCTION("""COMPUTED_VALUE"""),800.64)</f>
        <v>800.64</v>
      </c>
      <c r="J858" s="257">
        <f t="shared" si="1"/>
        <v>8</v>
      </c>
      <c r="K858" s="265"/>
      <c r="L858" s="265"/>
      <c r="M858" s="264"/>
      <c r="N858" s="270"/>
      <c r="O858" s="271"/>
      <c r="P858" s="271"/>
      <c r="Q858" s="272"/>
      <c r="R858" s="273"/>
      <c r="S858" s="273"/>
      <c r="T858" s="273"/>
      <c r="U858" s="274"/>
      <c r="V858" s="266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</row>
    <row r="859">
      <c r="A859" s="263">
        <f>IFERROR(__xludf.DUMMYFUNCTION("""COMPUTED_VALUE"""),8436325.0)</f>
        <v>8436325</v>
      </c>
      <c r="B859" s="264" t="str">
        <f>IFERROR(__xludf.DUMMYFUNCTION("""COMPUTED_VALUE"""),"Reseliva Pannel")</f>
        <v>Reseliva Pannel</v>
      </c>
      <c r="C859" s="265" t="str">
        <f>IFERROR(__xludf.DUMMYFUNCTION("""COMPUTED_VALUE"""),"Manuela Haag ")</f>
        <v>Manuela Haag </v>
      </c>
      <c r="D859" s="266">
        <f>IFERROR(__xludf.DUMMYFUNCTION("""COMPUTED_VALUE"""),46425.0)</f>
        <v>46425</v>
      </c>
      <c r="E859" s="263">
        <f>IFERROR(__xludf.DUMMYFUNCTION("""COMPUTED_VALUE"""),46426.0)</f>
        <v>46426</v>
      </c>
      <c r="F859" s="267">
        <f>IFERROR(__xludf.DUMMYFUNCTION("""COMPUTED_VALUE"""),4.0)</f>
        <v>4</v>
      </c>
      <c r="G859" s="267">
        <f>IFERROR(__xludf.DUMMYFUNCTION("""COMPUTED_VALUE"""),2.0)</f>
        <v>2</v>
      </c>
      <c r="H859" s="268">
        <f>IFERROR(__xludf.DUMMYFUNCTION("""COMPUTED_VALUE"""),200.16)</f>
        <v>200.16</v>
      </c>
      <c r="I859" s="268">
        <f>IFERROR(__xludf.DUMMYFUNCTION("""COMPUTED_VALUE"""),800.64)</f>
        <v>800.64</v>
      </c>
      <c r="J859" s="257">
        <f t="shared" si="1"/>
        <v>8</v>
      </c>
      <c r="K859" s="265"/>
      <c r="L859" s="265"/>
      <c r="M859" s="264"/>
      <c r="N859" s="270"/>
      <c r="O859" s="271"/>
      <c r="P859" s="271"/>
      <c r="Q859" s="272"/>
      <c r="R859" s="273"/>
      <c r="S859" s="273"/>
      <c r="T859" s="273"/>
      <c r="U859" s="274"/>
      <c r="V859" s="266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</row>
    <row r="860">
      <c r="A860" s="263">
        <f>IFERROR(__xludf.DUMMYFUNCTION("""COMPUTED_VALUE"""),8436325.0)</f>
        <v>8436325</v>
      </c>
      <c r="B860" s="264" t="str">
        <f>IFERROR(__xludf.DUMMYFUNCTION("""COMPUTED_VALUE"""),"Reseliva Pannel")</f>
        <v>Reseliva Pannel</v>
      </c>
      <c r="C860" s="265" t="str">
        <f>IFERROR(__xludf.DUMMYFUNCTION("""COMPUTED_VALUE"""),"Manuela Haag ")</f>
        <v>Manuela Haag </v>
      </c>
      <c r="D860" s="266">
        <f>IFERROR(__xludf.DUMMYFUNCTION("""COMPUTED_VALUE"""),46425.0)</f>
        <v>46425</v>
      </c>
      <c r="E860" s="266">
        <f>IFERROR(__xludf.DUMMYFUNCTION("""COMPUTED_VALUE"""),46426.0)</f>
        <v>46426</v>
      </c>
      <c r="F860" s="267">
        <f>IFERROR(__xludf.DUMMYFUNCTION("""COMPUTED_VALUE"""),4.0)</f>
        <v>4</v>
      </c>
      <c r="G860" s="267">
        <f>IFERROR(__xludf.DUMMYFUNCTION("""COMPUTED_VALUE"""),2.0)</f>
        <v>2</v>
      </c>
      <c r="H860" s="268">
        <f>IFERROR(__xludf.DUMMYFUNCTION("""COMPUTED_VALUE"""),200.16)</f>
        <v>200.16</v>
      </c>
      <c r="I860" s="268">
        <f>IFERROR(__xludf.DUMMYFUNCTION("""COMPUTED_VALUE"""),800.64)</f>
        <v>800.64</v>
      </c>
      <c r="J860" s="257">
        <f t="shared" si="1"/>
        <v>8</v>
      </c>
      <c r="K860" s="265"/>
      <c r="L860" s="265"/>
      <c r="M860" s="269"/>
      <c r="N860" s="270"/>
      <c r="O860" s="271"/>
      <c r="P860" s="271"/>
      <c r="Q860" s="272"/>
      <c r="R860" s="273"/>
      <c r="S860" s="273"/>
      <c r="T860" s="273"/>
      <c r="U860" s="274"/>
      <c r="V860" s="266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</row>
    <row r="861">
      <c r="A861" s="263">
        <f>IFERROR(__xludf.DUMMYFUNCTION("""COMPUTED_VALUE"""),8436325.0)</f>
        <v>8436325</v>
      </c>
      <c r="B861" s="264" t="str">
        <f>IFERROR(__xludf.DUMMYFUNCTION("""COMPUTED_VALUE"""),"Reseliva Pannel")</f>
        <v>Reseliva Pannel</v>
      </c>
      <c r="C861" s="265" t="str">
        <f>IFERROR(__xludf.DUMMYFUNCTION("""COMPUTED_VALUE"""),"Manuela Haag ")</f>
        <v>Manuela Haag </v>
      </c>
      <c r="D861" s="266">
        <f>IFERROR(__xludf.DUMMYFUNCTION("""COMPUTED_VALUE"""),46425.0)</f>
        <v>46425</v>
      </c>
      <c r="E861" s="263">
        <f>IFERROR(__xludf.DUMMYFUNCTION("""COMPUTED_VALUE"""),46426.0)</f>
        <v>46426</v>
      </c>
      <c r="F861" s="267">
        <f>IFERROR(__xludf.DUMMYFUNCTION("""COMPUTED_VALUE"""),4.0)</f>
        <v>4</v>
      </c>
      <c r="G861" s="267">
        <f>IFERROR(__xludf.DUMMYFUNCTION("""COMPUTED_VALUE"""),2.0)</f>
        <v>2</v>
      </c>
      <c r="H861" s="268">
        <f>IFERROR(__xludf.DUMMYFUNCTION("""COMPUTED_VALUE"""),200.16)</f>
        <v>200.16</v>
      </c>
      <c r="I861" s="268">
        <f>IFERROR(__xludf.DUMMYFUNCTION("""COMPUTED_VALUE"""),800.64)</f>
        <v>800.64</v>
      </c>
      <c r="J861" s="257">
        <f t="shared" si="1"/>
        <v>8</v>
      </c>
      <c r="K861" s="265"/>
      <c r="L861" s="265"/>
      <c r="M861" s="264"/>
      <c r="N861" s="270"/>
      <c r="O861" s="271"/>
      <c r="P861" s="271"/>
      <c r="Q861" s="272"/>
      <c r="R861" s="273"/>
      <c r="S861" s="273"/>
      <c r="T861" s="273"/>
      <c r="U861" s="274"/>
      <c r="V861" s="376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</row>
    <row r="862">
      <c r="A862" s="263">
        <f>IFERROR(__xludf.DUMMYFUNCTION("""COMPUTED_VALUE"""),8436589.0)</f>
        <v>8436589</v>
      </c>
      <c r="B862" s="264" t="str">
        <f>IFERROR(__xludf.DUMMYFUNCTION("""COMPUTED_VALUE"""),"BookingCom")</f>
        <v>BookingCom</v>
      </c>
      <c r="C862" s="265" t="str">
        <f>IFERROR(__xludf.DUMMYFUNCTION("""COMPUTED_VALUE"""),"Cedric ELISABETH ")</f>
        <v>Cedric ELISABETH </v>
      </c>
      <c r="D862" s="266">
        <f>IFERROR(__xludf.DUMMYFUNCTION("""COMPUTED_VALUE"""),46136.0)</f>
        <v>46136</v>
      </c>
      <c r="E862" s="263">
        <f>IFERROR(__xludf.DUMMYFUNCTION("""COMPUTED_VALUE"""),46137.0)</f>
        <v>46137</v>
      </c>
      <c r="F862" s="267">
        <f>IFERROR(__xludf.DUMMYFUNCTION("""COMPUTED_VALUE"""),1.0)</f>
        <v>1</v>
      </c>
      <c r="G862" s="267">
        <f>IFERROR(__xludf.DUMMYFUNCTION("""COMPUTED_VALUE"""),2.0)</f>
        <v>2</v>
      </c>
      <c r="H862" s="268">
        <f>IFERROR(__xludf.DUMMYFUNCTION("""COMPUTED_VALUE"""),229.38)</f>
        <v>229.38</v>
      </c>
      <c r="I862" s="268">
        <f>IFERROR(__xludf.DUMMYFUNCTION("""COMPUTED_VALUE"""),183.50400000000002)</f>
        <v>183.504</v>
      </c>
      <c r="J862" s="257">
        <f t="shared" si="1"/>
        <v>2</v>
      </c>
      <c r="K862" s="265"/>
      <c r="L862" s="265"/>
      <c r="M862" s="264"/>
      <c r="N862" s="270"/>
      <c r="O862" s="271"/>
      <c r="P862" s="271"/>
      <c r="Q862" s="272"/>
      <c r="R862" s="273"/>
      <c r="S862" s="273"/>
      <c r="T862" s="273"/>
      <c r="U862" s="274"/>
      <c r="V862" s="376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</row>
    <row r="863">
      <c r="A863" s="263">
        <f>IFERROR(__xludf.DUMMYFUNCTION("""COMPUTED_VALUE"""),8437208.0)</f>
        <v>8437208</v>
      </c>
      <c r="B863" s="264" t="str">
        <f>IFERROR(__xludf.DUMMYFUNCTION("""COMPUTED_VALUE"""),"Reseliva")</f>
        <v>Reseliva</v>
      </c>
      <c r="C863" s="265" t="str">
        <f>IFERROR(__xludf.DUMMYFUNCTION("""COMPUTED_VALUE"""),"Margaret Lane ")</f>
        <v>Margaret Lane </v>
      </c>
      <c r="D863" s="266">
        <f>IFERROR(__xludf.DUMMYFUNCTION("""COMPUTED_VALUE"""),46198.0)</f>
        <v>46198</v>
      </c>
      <c r="E863" s="263">
        <f>IFERROR(__xludf.DUMMYFUNCTION("""COMPUTED_VALUE"""),46200.0)</f>
        <v>46200</v>
      </c>
      <c r="F863" s="267">
        <f>IFERROR(__xludf.DUMMYFUNCTION("""COMPUTED_VALUE"""),2.0)</f>
        <v>2</v>
      </c>
      <c r="G863" s="267">
        <f>IFERROR(__xludf.DUMMYFUNCTION("""COMPUTED_VALUE"""),2.0)</f>
        <v>2</v>
      </c>
      <c r="H863" s="268">
        <f>IFERROR(__xludf.DUMMYFUNCTION("""COMPUTED_VALUE"""),163.8)</f>
        <v>163.8</v>
      </c>
      <c r="I863" s="268">
        <f>IFERROR(__xludf.DUMMYFUNCTION("""COMPUTED_VALUE"""),324.324)</f>
        <v>324.324</v>
      </c>
      <c r="J863" s="257">
        <f t="shared" si="1"/>
        <v>4</v>
      </c>
      <c r="K863" s="265"/>
      <c r="L863" s="265"/>
      <c r="M863" s="269"/>
      <c r="N863" s="270"/>
      <c r="O863" s="271"/>
      <c r="P863" s="271"/>
      <c r="Q863" s="272"/>
      <c r="R863" s="273"/>
      <c r="S863" s="273"/>
      <c r="T863" s="273"/>
      <c r="U863" s="274"/>
      <c r="V863" s="266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</row>
    <row r="864">
      <c r="A864" s="263">
        <f>IFERROR(__xludf.DUMMYFUNCTION("""COMPUTED_VALUE"""),8437349.0)</f>
        <v>8437349</v>
      </c>
      <c r="B864" s="264" t="str">
        <f>IFERROR(__xludf.DUMMYFUNCTION("""COMPUTED_VALUE"""),"Reseliva")</f>
        <v>Reseliva</v>
      </c>
      <c r="C864" s="265" t="str">
        <f>IFERROR(__xludf.DUMMYFUNCTION("""COMPUTED_VALUE"""),"Margaret Lane ")</f>
        <v>Margaret Lane </v>
      </c>
      <c r="D864" s="266">
        <f>IFERROR(__xludf.DUMMYFUNCTION("""COMPUTED_VALUE"""),46203.0)</f>
        <v>46203</v>
      </c>
      <c r="E864" s="266">
        <f>IFERROR(__xludf.DUMMYFUNCTION("""COMPUTED_VALUE"""),46205.0)</f>
        <v>46205</v>
      </c>
      <c r="F864" s="267">
        <f>IFERROR(__xludf.DUMMYFUNCTION("""COMPUTED_VALUE"""),2.0)</f>
        <v>2</v>
      </c>
      <c r="G864" s="267">
        <f>IFERROR(__xludf.DUMMYFUNCTION("""COMPUTED_VALUE"""),2.0)</f>
        <v>2</v>
      </c>
      <c r="H864" s="268">
        <f>IFERROR(__xludf.DUMMYFUNCTION("""COMPUTED_VALUE"""),163.8)</f>
        <v>163.8</v>
      </c>
      <c r="I864" s="268">
        <f>IFERROR(__xludf.DUMMYFUNCTION("""COMPUTED_VALUE"""),324.324)</f>
        <v>324.324</v>
      </c>
      <c r="J864" s="257">
        <f t="shared" si="1"/>
        <v>4</v>
      </c>
      <c r="K864" s="265"/>
      <c r="L864" s="265"/>
      <c r="M864" s="264"/>
      <c r="N864" s="270"/>
      <c r="O864" s="271"/>
      <c r="P864" s="271"/>
      <c r="Q864" s="272"/>
      <c r="R864" s="273"/>
      <c r="S864" s="273"/>
      <c r="T864" s="273"/>
      <c r="U864" s="274"/>
      <c r="V864" s="266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</row>
    <row r="865">
      <c r="A865" s="263">
        <f>IFERROR(__xludf.DUMMYFUNCTION("""COMPUTED_VALUE"""),8438550.0)</f>
        <v>8438550</v>
      </c>
      <c r="B865" s="264" t="str">
        <f>IFERROR(__xludf.DUMMYFUNCTION("""COMPUTED_VALUE"""),"Expedia Affiliate Network")</f>
        <v>Expedia Affiliate Network</v>
      </c>
      <c r="C865" s="265" t="str">
        <f>IFERROR(__xludf.DUMMYFUNCTION("""COMPUTED_VALUE"""),"Duarte Carvalho ")</f>
        <v>Duarte Carvalho </v>
      </c>
      <c r="D865" s="266">
        <f>IFERROR(__xludf.DUMMYFUNCTION("""COMPUTED_VALUE"""),46183.0)</f>
        <v>46183</v>
      </c>
      <c r="E865" s="263">
        <f>IFERROR(__xludf.DUMMYFUNCTION("""COMPUTED_VALUE"""),46186.0)</f>
        <v>46186</v>
      </c>
      <c r="F865" s="267">
        <f>IFERROR(__xludf.DUMMYFUNCTION("""COMPUTED_VALUE"""),3.0)</f>
        <v>3</v>
      </c>
      <c r="G865" s="267">
        <f>IFERROR(__xludf.DUMMYFUNCTION("""COMPUTED_VALUE"""),2.0)</f>
        <v>2</v>
      </c>
      <c r="H865" s="268">
        <f>IFERROR(__xludf.DUMMYFUNCTION("""COMPUTED_VALUE"""),195.84)</f>
        <v>195.84</v>
      </c>
      <c r="I865" s="268">
        <f>IFERROR(__xludf.DUMMYFUNCTION("""COMPUTED_VALUE"""),470.0160000000001)</f>
        <v>470.016</v>
      </c>
      <c r="J865" s="257">
        <f t="shared" si="1"/>
        <v>6</v>
      </c>
      <c r="K865" s="265"/>
      <c r="L865" s="265"/>
      <c r="M865" s="264"/>
      <c r="N865" s="270"/>
      <c r="O865" s="271"/>
      <c r="P865" s="271"/>
      <c r="Q865" s="272"/>
      <c r="R865" s="273"/>
      <c r="S865" s="273"/>
      <c r="T865" s="273"/>
      <c r="U865" s="274"/>
      <c r="V865" s="376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</row>
    <row r="866">
      <c r="A866" s="263">
        <f>IFERROR(__xludf.DUMMYFUNCTION("""COMPUTED_VALUE"""),8439062.0)</f>
        <v>8439062</v>
      </c>
      <c r="B866" s="264" t="str">
        <f>IFERROR(__xludf.DUMMYFUNCTION("""COMPUTED_VALUE"""),"BookingCom")</f>
        <v>BookingCom</v>
      </c>
      <c r="C866" s="265" t="str">
        <f>IFERROR(__xludf.DUMMYFUNCTION("""COMPUTED_VALUE"""),"IVANKA DUNAND ")</f>
        <v>IVANKA DUNAND </v>
      </c>
      <c r="D866" s="266">
        <f>IFERROR(__xludf.DUMMYFUNCTION("""COMPUTED_VALUE"""),46176.0)</f>
        <v>46176</v>
      </c>
      <c r="E866" s="266">
        <f>IFERROR(__xludf.DUMMYFUNCTION("""COMPUTED_VALUE"""),46177.0)</f>
        <v>46177</v>
      </c>
      <c r="F866" s="267">
        <f>IFERROR(__xludf.DUMMYFUNCTION("""COMPUTED_VALUE"""),1.0)</f>
        <v>1</v>
      </c>
      <c r="G866" s="267">
        <f>IFERROR(__xludf.DUMMYFUNCTION("""COMPUTED_VALUE"""),1.0)</f>
        <v>1</v>
      </c>
      <c r="H866" s="268">
        <f>IFERROR(__xludf.DUMMYFUNCTION("""COMPUTED_VALUE"""),112.4)</f>
        <v>112.4</v>
      </c>
      <c r="I866" s="268">
        <f>IFERROR(__xludf.DUMMYFUNCTION("""COMPUTED_VALUE"""),89.92000000000002)</f>
        <v>89.92</v>
      </c>
      <c r="J866" s="257">
        <f t="shared" si="1"/>
        <v>1</v>
      </c>
      <c r="K866" s="265"/>
      <c r="L866" s="265"/>
      <c r="M866" s="269"/>
      <c r="N866" s="270"/>
      <c r="O866" s="271"/>
      <c r="P866" s="271"/>
      <c r="Q866" s="272"/>
      <c r="R866" s="273"/>
      <c r="S866" s="273"/>
      <c r="T866" s="273"/>
      <c r="U866" s="274"/>
      <c r="V866" s="266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</row>
    <row r="867">
      <c r="A867" s="263">
        <f>IFERROR(__xludf.DUMMYFUNCTION("""COMPUTED_VALUE"""),8439084.0)</f>
        <v>8439084</v>
      </c>
      <c r="B867" s="264" t="str">
        <f>IFERROR(__xludf.DUMMYFUNCTION("""COMPUTED_VALUE"""),"BookingCom")</f>
        <v>BookingCom</v>
      </c>
      <c r="C867" s="265" t="str">
        <f>IFERROR(__xludf.DUMMYFUNCTION("""COMPUTED_VALUE"""),"Khadija Lee ")</f>
        <v>Khadija Lee </v>
      </c>
      <c r="D867" s="266">
        <f>IFERROR(__xludf.DUMMYFUNCTION("""COMPUTED_VALUE"""),46176.0)</f>
        <v>46176</v>
      </c>
      <c r="E867" s="263">
        <f>IFERROR(__xludf.DUMMYFUNCTION("""COMPUTED_VALUE"""),46177.0)</f>
        <v>46177</v>
      </c>
      <c r="F867" s="267">
        <f>IFERROR(__xludf.DUMMYFUNCTION("""COMPUTED_VALUE"""),1.0)</f>
        <v>1</v>
      </c>
      <c r="G867" s="267">
        <f>IFERROR(__xludf.DUMMYFUNCTION("""COMPUTED_VALUE"""),1.0)</f>
        <v>1</v>
      </c>
      <c r="H867" s="268">
        <f>IFERROR(__xludf.DUMMYFUNCTION("""COMPUTED_VALUE"""),148.31)</f>
        <v>148.31</v>
      </c>
      <c r="I867" s="268">
        <f>IFERROR(__xludf.DUMMYFUNCTION("""COMPUTED_VALUE"""),118.64800000000001)</f>
        <v>118.648</v>
      </c>
      <c r="J867" s="257">
        <f t="shared" si="1"/>
        <v>1</v>
      </c>
      <c r="K867" s="265"/>
      <c r="L867" s="265"/>
      <c r="M867" s="264"/>
      <c r="N867" s="270"/>
      <c r="O867" s="271"/>
      <c r="P867" s="271"/>
      <c r="Q867" s="283"/>
      <c r="R867" s="273"/>
      <c r="S867" s="273"/>
      <c r="T867" s="273"/>
      <c r="U867" s="274"/>
      <c r="V867" s="266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</row>
    <row r="868">
      <c r="A868" s="263">
        <f>IFERROR(__xludf.DUMMYFUNCTION("""COMPUTED_VALUE"""),8445169.0)</f>
        <v>8445169</v>
      </c>
      <c r="B868" s="264" t="str">
        <f>IFERROR(__xludf.DUMMYFUNCTION("""COMPUTED_VALUE"""),"BookingCom")</f>
        <v>BookingCom</v>
      </c>
      <c r="C868" s="265" t="str">
        <f>IFERROR(__xludf.DUMMYFUNCTION("""COMPUTED_VALUE"""),"Michaela Moser ")</f>
        <v>Michaela Moser </v>
      </c>
      <c r="D868" s="266">
        <f>IFERROR(__xludf.DUMMYFUNCTION("""COMPUTED_VALUE"""),46334.0)</f>
        <v>46334</v>
      </c>
      <c r="E868" s="263">
        <f>IFERROR(__xludf.DUMMYFUNCTION("""COMPUTED_VALUE"""),46336.0)</f>
        <v>46336</v>
      </c>
      <c r="F868" s="267">
        <f>IFERROR(__xludf.DUMMYFUNCTION("""COMPUTED_VALUE"""),2.0)</f>
        <v>2</v>
      </c>
      <c r="G868" s="267">
        <f>IFERROR(__xludf.DUMMYFUNCTION("""COMPUTED_VALUE"""),2.0)</f>
        <v>2</v>
      </c>
      <c r="H868" s="268">
        <f>IFERROR(__xludf.DUMMYFUNCTION("""COMPUTED_VALUE"""),122.33)</f>
        <v>122.33</v>
      </c>
      <c r="I868" s="268">
        <f>IFERROR(__xludf.DUMMYFUNCTION("""COMPUTED_VALUE"""),195.728)</f>
        <v>195.728</v>
      </c>
      <c r="J868" s="257">
        <f t="shared" si="1"/>
        <v>4</v>
      </c>
      <c r="K868" s="265"/>
      <c r="L868" s="265"/>
      <c r="M868" s="269"/>
      <c r="N868" s="270"/>
      <c r="O868" s="271"/>
      <c r="P868" s="271"/>
      <c r="Q868" s="272"/>
      <c r="R868" s="273"/>
      <c r="S868" s="273"/>
      <c r="T868" s="273"/>
      <c r="U868" s="274"/>
      <c r="V868" s="266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</row>
    <row r="869">
      <c r="A869" s="263">
        <f>IFERROR(__xludf.DUMMYFUNCTION("""COMPUTED_VALUE"""),8446097.0)</f>
        <v>8446097</v>
      </c>
      <c r="B869" s="264" t="str">
        <f>IFERROR(__xludf.DUMMYFUNCTION("""COMPUTED_VALUE"""),"BookingCom")</f>
        <v>BookingCom</v>
      </c>
      <c r="C869" s="265" t="str">
        <f>IFERROR(__xludf.DUMMYFUNCTION("""COMPUTED_VALUE"""),"Jannine Thode ")</f>
        <v>Jannine Thode </v>
      </c>
      <c r="D869" s="266">
        <f>IFERROR(__xludf.DUMMYFUNCTION("""COMPUTED_VALUE"""),46292.0)</f>
        <v>46292</v>
      </c>
      <c r="E869" s="263">
        <f>IFERROR(__xludf.DUMMYFUNCTION("""COMPUTED_VALUE"""),46293.0)</f>
        <v>46293</v>
      </c>
      <c r="F869" s="267">
        <f>IFERROR(__xludf.DUMMYFUNCTION("""COMPUTED_VALUE"""),1.0)</f>
        <v>1</v>
      </c>
      <c r="G869" s="267">
        <f>IFERROR(__xludf.DUMMYFUNCTION("""COMPUTED_VALUE"""),2.0)</f>
        <v>2</v>
      </c>
      <c r="H869" s="268">
        <f>IFERROR(__xludf.DUMMYFUNCTION("""COMPUTED_VALUE"""),138.03)</f>
        <v>138.03</v>
      </c>
      <c r="I869" s="268">
        <f>IFERROR(__xludf.DUMMYFUNCTION("""COMPUTED_VALUE"""),110.424)</f>
        <v>110.424</v>
      </c>
      <c r="J869" s="257">
        <f t="shared" si="1"/>
        <v>2</v>
      </c>
      <c r="K869" s="265"/>
      <c r="L869" s="265"/>
      <c r="M869" s="269"/>
      <c r="N869" s="270"/>
      <c r="O869" s="271"/>
      <c r="P869" s="271"/>
      <c r="Q869" s="272"/>
      <c r="R869" s="273"/>
      <c r="S869" s="273"/>
      <c r="T869" s="273"/>
      <c r="U869" s="274"/>
      <c r="V869" s="376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</row>
    <row r="870">
      <c r="A870" s="263">
        <f>IFERROR(__xludf.DUMMYFUNCTION("""COMPUTED_VALUE"""),8446429.0)</f>
        <v>8446429</v>
      </c>
      <c r="B870" s="264" t="str">
        <f>IFERROR(__xludf.DUMMYFUNCTION("""COMPUTED_VALUE"""),"BookingCom")</f>
        <v>BookingCom</v>
      </c>
      <c r="C870" s="265" t="str">
        <f>IFERROR(__xludf.DUMMYFUNCTION("""COMPUTED_VALUE"""),"Brenda Escamilla ")</f>
        <v>Brenda Escamilla </v>
      </c>
      <c r="D870" s="266">
        <f>IFERROR(__xludf.DUMMYFUNCTION("""COMPUTED_VALUE"""),46242.0)</f>
        <v>46242</v>
      </c>
      <c r="E870" s="263">
        <f>IFERROR(__xludf.DUMMYFUNCTION("""COMPUTED_VALUE"""),46245.0)</f>
        <v>46245</v>
      </c>
      <c r="F870" s="267">
        <f>IFERROR(__xludf.DUMMYFUNCTION("""COMPUTED_VALUE"""),3.0)</f>
        <v>3</v>
      </c>
      <c r="G870" s="267">
        <f>IFERROR(__xludf.DUMMYFUNCTION("""COMPUTED_VALUE"""),3.0)</f>
        <v>3</v>
      </c>
      <c r="H870" s="268">
        <f>IFERROR(__xludf.DUMMYFUNCTION("""COMPUTED_VALUE"""),132.97)</f>
        <v>132.97</v>
      </c>
      <c r="I870" s="268">
        <f>IFERROR(__xludf.DUMMYFUNCTION("""COMPUTED_VALUE"""),319.12800000000004)</f>
        <v>319.128</v>
      </c>
      <c r="J870" s="257">
        <f t="shared" si="1"/>
        <v>9</v>
      </c>
      <c r="K870" s="265"/>
      <c r="L870" s="265"/>
      <c r="M870" s="269"/>
      <c r="N870" s="270"/>
      <c r="O870" s="271"/>
      <c r="P870" s="271"/>
      <c r="Q870" s="272"/>
      <c r="R870" s="273"/>
      <c r="S870" s="273"/>
      <c r="T870" s="273"/>
      <c r="U870" s="274"/>
      <c r="V870" s="376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</row>
    <row r="871">
      <c r="A871" s="263">
        <f>IFERROR(__xludf.DUMMYFUNCTION("""COMPUTED_VALUE"""),8447786.0)</f>
        <v>8447786</v>
      </c>
      <c r="B871" s="264" t="str">
        <f>IFERROR(__xludf.DUMMYFUNCTION("""COMPUTED_VALUE"""),"Reseliva Pannel")</f>
        <v>Reseliva Pannel</v>
      </c>
      <c r="C871" s="265" t="str">
        <f>IFERROR(__xludf.DUMMYFUNCTION("""COMPUTED_VALUE"""),"Mattieu Frenoy ")</f>
        <v>Mattieu Frenoy </v>
      </c>
      <c r="D871" s="266">
        <f>IFERROR(__xludf.DUMMYFUNCTION("""COMPUTED_VALUE"""),46134.0)</f>
        <v>46134</v>
      </c>
      <c r="E871" s="263">
        <f>IFERROR(__xludf.DUMMYFUNCTION("""COMPUTED_VALUE"""),46138.0)</f>
        <v>46138</v>
      </c>
      <c r="F871" s="267">
        <f>IFERROR(__xludf.DUMMYFUNCTION("""COMPUTED_VALUE"""),4.0)</f>
        <v>4</v>
      </c>
      <c r="G871" s="267">
        <f>IFERROR(__xludf.DUMMYFUNCTION("""COMPUTED_VALUE"""),2.0)</f>
        <v>2</v>
      </c>
      <c r="H871" s="268">
        <f>IFERROR(__xludf.DUMMYFUNCTION("""COMPUTED_VALUE"""),210.24)</f>
        <v>210.24</v>
      </c>
      <c r="I871" s="268">
        <f>IFERROR(__xludf.DUMMYFUNCTION("""COMPUTED_VALUE"""),840.96)</f>
        <v>840.96</v>
      </c>
      <c r="J871" s="257">
        <f t="shared" si="1"/>
        <v>8</v>
      </c>
      <c r="K871" s="265"/>
      <c r="L871" s="265"/>
      <c r="M871" s="264"/>
      <c r="N871" s="270"/>
      <c r="O871" s="271"/>
      <c r="P871" s="271"/>
      <c r="Q871" s="272"/>
      <c r="R871" s="273"/>
      <c r="S871" s="273"/>
      <c r="T871" s="273"/>
      <c r="U871" s="274"/>
      <c r="V871" s="376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</row>
    <row r="872">
      <c r="A872" s="263">
        <f>IFERROR(__xludf.DUMMYFUNCTION("""COMPUTED_VALUE"""),8447801.0)</f>
        <v>8447801</v>
      </c>
      <c r="B872" s="264" t="str">
        <f>IFERROR(__xludf.DUMMYFUNCTION("""COMPUTED_VALUE"""),"Reseliva Pannel")</f>
        <v>Reseliva Pannel</v>
      </c>
      <c r="C872" s="265" t="str">
        <f>IFERROR(__xludf.DUMMYFUNCTION("""COMPUTED_VALUE"""),"yASMINE sINNI ")</f>
        <v>yASMINE sINNI </v>
      </c>
      <c r="D872" s="266">
        <f>IFERROR(__xludf.DUMMYFUNCTION("""COMPUTED_VALUE"""),46134.0)</f>
        <v>46134</v>
      </c>
      <c r="E872" s="263">
        <f>IFERROR(__xludf.DUMMYFUNCTION("""COMPUTED_VALUE"""),46138.0)</f>
        <v>46138</v>
      </c>
      <c r="F872" s="267">
        <f>IFERROR(__xludf.DUMMYFUNCTION("""COMPUTED_VALUE"""),4.0)</f>
        <v>4</v>
      </c>
      <c r="G872" s="267">
        <f>IFERROR(__xludf.DUMMYFUNCTION("""COMPUTED_VALUE"""),2.0)</f>
        <v>2</v>
      </c>
      <c r="H872" s="268">
        <f>IFERROR(__xludf.DUMMYFUNCTION("""COMPUTED_VALUE"""),239.76)</f>
        <v>239.76</v>
      </c>
      <c r="I872" s="268">
        <f>IFERROR(__xludf.DUMMYFUNCTION("""COMPUTED_VALUE"""),959.04)</f>
        <v>959.04</v>
      </c>
      <c r="J872" s="257">
        <f t="shared" si="1"/>
        <v>8</v>
      </c>
      <c r="K872" s="265"/>
      <c r="L872" s="265"/>
      <c r="M872" s="269"/>
      <c r="N872" s="270"/>
      <c r="O872" s="271"/>
      <c r="P872" s="271"/>
      <c r="Q872" s="272"/>
      <c r="R872" s="273"/>
      <c r="S872" s="273"/>
      <c r="T872" s="273"/>
      <c r="U872" s="274"/>
      <c r="V872" s="266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</row>
    <row r="873">
      <c r="A873" s="251">
        <f>IFERROR(__xludf.DUMMYFUNCTION("""COMPUTED_VALUE"""),8447949.0)</f>
        <v>8447949</v>
      </c>
      <c r="B873" s="252" t="str">
        <f>IFERROR(__xludf.DUMMYFUNCTION("""COMPUTED_VALUE"""),"BookingCom")</f>
        <v>BookingCom</v>
      </c>
      <c r="C873" s="253" t="str">
        <f>IFERROR(__xludf.DUMMYFUNCTION("""COMPUTED_VALUE"""),"Claudia Rehberg ")</f>
        <v>Claudia Rehberg </v>
      </c>
      <c r="D873" s="254">
        <f>IFERROR(__xludf.DUMMYFUNCTION("""COMPUTED_VALUE"""),46343.0)</f>
        <v>46343</v>
      </c>
      <c r="E873" s="251">
        <f>IFERROR(__xludf.DUMMYFUNCTION("""COMPUTED_VALUE"""),46346.0)</f>
        <v>46346</v>
      </c>
      <c r="F873" s="255">
        <f>IFERROR(__xludf.DUMMYFUNCTION("""COMPUTED_VALUE"""),3.0)</f>
        <v>3</v>
      </c>
      <c r="G873" s="255">
        <f>IFERROR(__xludf.DUMMYFUNCTION("""COMPUTED_VALUE"""),2.0)</f>
        <v>2</v>
      </c>
      <c r="H873" s="256">
        <f>IFERROR(__xludf.DUMMYFUNCTION("""COMPUTED_VALUE"""),155.72)</f>
        <v>155.72</v>
      </c>
      <c r="I873" s="256">
        <f>IFERROR(__xludf.DUMMYFUNCTION("""COMPUTED_VALUE"""),373.728)</f>
        <v>373.728</v>
      </c>
      <c r="J873" s="257">
        <f t="shared" si="1"/>
        <v>6</v>
      </c>
      <c r="K873" s="253"/>
      <c r="L873" s="253"/>
      <c r="M873" s="252"/>
      <c r="N873" s="258"/>
      <c r="O873" s="259"/>
      <c r="P873" s="259"/>
      <c r="Q873" s="262"/>
      <c r="R873" s="260"/>
      <c r="S873" s="260"/>
      <c r="T873" s="260"/>
      <c r="U873" s="261"/>
      <c r="V873" s="251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</row>
    <row r="874">
      <c r="A874" s="263">
        <f>IFERROR(__xludf.DUMMYFUNCTION("""COMPUTED_VALUE"""),8448913.0)</f>
        <v>8448913</v>
      </c>
      <c r="B874" s="264" t="str">
        <f>IFERROR(__xludf.DUMMYFUNCTION("""COMPUTED_VALUE"""),"BookingCom")</f>
        <v>BookingCom</v>
      </c>
      <c r="C874" s="265" t="str">
        <f>IFERROR(__xludf.DUMMYFUNCTION("""COMPUTED_VALUE"""),"Estelle Gasnier ")</f>
        <v>Estelle Gasnier </v>
      </c>
      <c r="D874" s="266">
        <f>IFERROR(__xludf.DUMMYFUNCTION("""COMPUTED_VALUE"""),46335.0)</f>
        <v>46335</v>
      </c>
      <c r="E874" s="263">
        <f>IFERROR(__xludf.DUMMYFUNCTION("""COMPUTED_VALUE"""),46339.0)</f>
        <v>46339</v>
      </c>
      <c r="F874" s="267">
        <f>IFERROR(__xludf.DUMMYFUNCTION("""COMPUTED_VALUE"""),4.0)</f>
        <v>4</v>
      </c>
      <c r="G874" s="267">
        <f>IFERROR(__xludf.DUMMYFUNCTION("""COMPUTED_VALUE"""),2.0)</f>
        <v>2</v>
      </c>
      <c r="H874" s="268">
        <f>IFERROR(__xludf.DUMMYFUNCTION("""COMPUTED_VALUE"""),217.28)</f>
        <v>217.28</v>
      </c>
      <c r="I874" s="268">
        <f>IFERROR(__xludf.DUMMYFUNCTION("""COMPUTED_VALUE"""),695.296)</f>
        <v>695.296</v>
      </c>
      <c r="J874" s="257">
        <f t="shared" si="1"/>
        <v>8</v>
      </c>
      <c r="K874" s="265"/>
      <c r="L874" s="265"/>
      <c r="M874" s="264"/>
      <c r="N874" s="270"/>
      <c r="O874" s="271"/>
      <c r="P874" s="271"/>
      <c r="Q874" s="272"/>
      <c r="R874" s="273"/>
      <c r="S874" s="273"/>
      <c r="T874" s="273"/>
      <c r="U874" s="274"/>
      <c r="V874" s="266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</row>
    <row r="875">
      <c r="A875" s="263">
        <f>IFERROR(__xludf.DUMMYFUNCTION("""COMPUTED_VALUE"""),8450549.0)</f>
        <v>8450549</v>
      </c>
      <c r="B875" s="264" t="str">
        <f>IFERROR(__xludf.DUMMYFUNCTION("""COMPUTED_VALUE"""),"BookingCom")</f>
        <v>BookingCom</v>
      </c>
      <c r="C875" s="265" t="str">
        <f>IFERROR(__xludf.DUMMYFUNCTION("""COMPUTED_VALUE"""),"Linda Bulder ")</f>
        <v>Linda Bulder </v>
      </c>
      <c r="D875" s="266">
        <f>IFERROR(__xludf.DUMMYFUNCTION("""COMPUTED_VALUE"""),46327.0)</f>
        <v>46327</v>
      </c>
      <c r="E875" s="266">
        <f>IFERROR(__xludf.DUMMYFUNCTION("""COMPUTED_VALUE"""),46330.0)</f>
        <v>46330</v>
      </c>
      <c r="F875" s="267">
        <f>IFERROR(__xludf.DUMMYFUNCTION("""COMPUTED_VALUE"""),3.0)</f>
        <v>3</v>
      </c>
      <c r="G875" s="267">
        <f>IFERROR(__xludf.DUMMYFUNCTION("""COMPUTED_VALUE"""),2.0)</f>
        <v>2</v>
      </c>
      <c r="H875" s="268">
        <f>IFERROR(__xludf.DUMMYFUNCTION("""COMPUTED_VALUE"""),140.54)</f>
        <v>140.54</v>
      </c>
      <c r="I875" s="268">
        <f>IFERROR(__xludf.DUMMYFUNCTION("""COMPUTED_VALUE"""),337.296)</f>
        <v>337.296</v>
      </c>
      <c r="J875" s="257">
        <f t="shared" si="1"/>
        <v>6</v>
      </c>
      <c r="K875" s="265"/>
      <c r="L875" s="265"/>
      <c r="M875" s="269"/>
      <c r="N875" s="270"/>
      <c r="O875" s="271"/>
      <c r="P875" s="271"/>
      <c r="Q875" s="272"/>
      <c r="R875" s="273"/>
      <c r="S875" s="273"/>
      <c r="T875" s="273"/>
      <c r="U875" s="274"/>
      <c r="V875" s="266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</row>
    <row r="876">
      <c r="A876" s="251">
        <f>IFERROR(__xludf.DUMMYFUNCTION("""COMPUTED_VALUE"""),8451319.0)</f>
        <v>8451319</v>
      </c>
      <c r="B876" s="252" t="str">
        <f>IFERROR(__xludf.DUMMYFUNCTION("""COMPUTED_VALUE"""),"BookingCom")</f>
        <v>BookingCom</v>
      </c>
      <c r="C876" s="253" t="str">
        <f>IFERROR(__xludf.DUMMYFUNCTION("""COMPUTED_VALUE"""),"Camilo Alejandro Rios Bueno ")</f>
        <v>Camilo Alejandro Rios Bueno </v>
      </c>
      <c r="D876" s="254">
        <f>IFERROR(__xludf.DUMMYFUNCTION("""COMPUTED_VALUE"""),46141.0)</f>
        <v>46141</v>
      </c>
      <c r="E876" s="251">
        <f>IFERROR(__xludf.DUMMYFUNCTION("""COMPUTED_VALUE"""),46142.0)</f>
        <v>46142</v>
      </c>
      <c r="F876" s="255">
        <f>IFERROR(__xludf.DUMMYFUNCTION("""COMPUTED_VALUE"""),1.0)</f>
        <v>1</v>
      </c>
      <c r="G876" s="255">
        <f>IFERROR(__xludf.DUMMYFUNCTION("""COMPUTED_VALUE"""),2.0)</f>
        <v>2</v>
      </c>
      <c r="H876" s="256">
        <f>IFERROR(__xludf.DUMMYFUNCTION("""COMPUTED_VALUE"""),189.41)</f>
        <v>189.41</v>
      </c>
      <c r="I876" s="256">
        <f>IFERROR(__xludf.DUMMYFUNCTION("""COMPUTED_VALUE"""),151.528)</f>
        <v>151.528</v>
      </c>
      <c r="J876" s="257">
        <f t="shared" si="1"/>
        <v>2</v>
      </c>
      <c r="K876" s="253"/>
      <c r="L876" s="253"/>
      <c r="M876" s="252"/>
      <c r="N876" s="258"/>
      <c r="O876" s="259"/>
      <c r="P876" s="259"/>
      <c r="Q876" s="262"/>
      <c r="R876" s="260"/>
      <c r="S876" s="260"/>
      <c r="T876" s="260"/>
      <c r="U876" s="261"/>
      <c r="V876" s="309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</row>
    <row r="877">
      <c r="A877" s="263">
        <f>IFERROR(__xludf.DUMMYFUNCTION("""COMPUTED_VALUE"""),8451323.0)</f>
        <v>8451323</v>
      </c>
      <c r="B877" s="264" t="str">
        <f>IFERROR(__xludf.DUMMYFUNCTION("""COMPUTED_VALUE"""),"BookingCom")</f>
        <v>BookingCom</v>
      </c>
      <c r="C877" s="265" t="str">
        <f>IFERROR(__xludf.DUMMYFUNCTION("""COMPUTED_VALUE"""),"INES MARIA BRENGIO ")</f>
        <v>INES MARIA BRENGIO </v>
      </c>
      <c r="D877" s="266">
        <f>IFERROR(__xludf.DUMMYFUNCTION("""COMPUTED_VALUE"""),46166.0)</f>
        <v>46166</v>
      </c>
      <c r="E877" s="263">
        <f>IFERROR(__xludf.DUMMYFUNCTION("""COMPUTED_VALUE"""),46167.0)</f>
        <v>46167</v>
      </c>
      <c r="F877" s="267">
        <f>IFERROR(__xludf.DUMMYFUNCTION("""COMPUTED_VALUE"""),1.0)</f>
        <v>1</v>
      </c>
      <c r="G877" s="267">
        <f>IFERROR(__xludf.DUMMYFUNCTION("""COMPUTED_VALUE"""),2.0)</f>
        <v>2</v>
      </c>
      <c r="H877" s="268">
        <f>IFERROR(__xludf.DUMMYFUNCTION("""COMPUTED_VALUE"""),211.95)</f>
        <v>211.95</v>
      </c>
      <c r="I877" s="268">
        <f>IFERROR(__xludf.DUMMYFUNCTION("""COMPUTED_VALUE"""),169.56)</f>
        <v>169.56</v>
      </c>
      <c r="J877" s="257">
        <f t="shared" si="1"/>
        <v>2</v>
      </c>
      <c r="K877" s="265"/>
      <c r="L877" s="265"/>
      <c r="M877" s="269"/>
      <c r="N877" s="270"/>
      <c r="O877" s="271"/>
      <c r="P877" s="271"/>
      <c r="Q877" s="272"/>
      <c r="R877" s="273"/>
      <c r="S877" s="273"/>
      <c r="T877" s="273"/>
      <c r="U877" s="274"/>
      <c r="V877" s="266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</row>
    <row r="878">
      <c r="A878" s="263">
        <f>IFERROR(__xludf.DUMMYFUNCTION("""COMPUTED_VALUE"""),8451618.0)</f>
        <v>8451618</v>
      </c>
      <c r="B878" s="264" t="str">
        <f>IFERROR(__xludf.DUMMYFUNCTION("""COMPUTED_VALUE"""),"BookingCom")</f>
        <v>BookingCom</v>
      </c>
      <c r="C878" s="265" t="str">
        <f>IFERROR(__xludf.DUMMYFUNCTION("""COMPUTED_VALUE"""),"Claudia Rehberg ")</f>
        <v>Claudia Rehberg </v>
      </c>
      <c r="D878" s="266">
        <f>IFERROR(__xludf.DUMMYFUNCTION("""COMPUTED_VALUE"""),46346.0)</f>
        <v>46346</v>
      </c>
      <c r="E878" s="263">
        <f>IFERROR(__xludf.DUMMYFUNCTION("""COMPUTED_VALUE"""),46347.0)</f>
        <v>46347</v>
      </c>
      <c r="F878" s="267">
        <f>IFERROR(__xludf.DUMMYFUNCTION("""COMPUTED_VALUE"""),1.0)</f>
        <v>1</v>
      </c>
      <c r="G878" s="267">
        <f>IFERROR(__xludf.DUMMYFUNCTION("""COMPUTED_VALUE"""),2.0)</f>
        <v>2</v>
      </c>
      <c r="H878" s="268">
        <f>IFERROR(__xludf.DUMMYFUNCTION("""COMPUTED_VALUE"""),114.89)</f>
        <v>114.89</v>
      </c>
      <c r="I878" s="268">
        <f>IFERROR(__xludf.DUMMYFUNCTION("""COMPUTED_VALUE"""),91.912)</f>
        <v>91.912</v>
      </c>
      <c r="J878" s="257">
        <f t="shared" si="1"/>
        <v>2</v>
      </c>
      <c r="K878" s="265"/>
      <c r="L878" s="265"/>
      <c r="M878" s="269"/>
      <c r="N878" s="270"/>
      <c r="O878" s="271"/>
      <c r="P878" s="271"/>
      <c r="Q878" s="272"/>
      <c r="R878" s="273"/>
      <c r="S878" s="273"/>
      <c r="T878" s="273"/>
      <c r="U878" s="274"/>
      <c r="V878" s="266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</row>
    <row r="879">
      <c r="A879" s="263">
        <f>IFERROR(__xludf.DUMMYFUNCTION("""COMPUTED_VALUE"""),8452921.0)</f>
        <v>8452921</v>
      </c>
      <c r="B879" s="264" t="str">
        <f>IFERROR(__xludf.DUMMYFUNCTION("""COMPUTED_VALUE"""),"HotelBeds")</f>
        <v>HotelBeds</v>
      </c>
      <c r="C879" s="265" t="str">
        <f>IFERROR(__xludf.DUMMYFUNCTION("""COMPUTED_VALUE"""),"JULIA MERZ ")</f>
        <v>JULIA MERZ </v>
      </c>
      <c r="D879" s="266">
        <f>IFERROR(__xludf.DUMMYFUNCTION("""COMPUTED_VALUE"""),46318.0)</f>
        <v>46318</v>
      </c>
      <c r="E879" s="263">
        <f>IFERROR(__xludf.DUMMYFUNCTION("""COMPUTED_VALUE"""),46321.0)</f>
        <v>46321</v>
      </c>
      <c r="F879" s="267">
        <f>IFERROR(__xludf.DUMMYFUNCTION("""COMPUTED_VALUE"""),3.0)</f>
        <v>3</v>
      </c>
      <c r="G879" s="267">
        <f>IFERROR(__xludf.DUMMYFUNCTION("""COMPUTED_VALUE"""),4.0)</f>
        <v>4</v>
      </c>
      <c r="H879" s="268">
        <f>IFERROR(__xludf.DUMMYFUNCTION("""COMPUTED_VALUE"""),471.92)</f>
        <v>471.92</v>
      </c>
      <c r="I879" s="268">
        <f>IFERROR(__xludf.DUMMYFUNCTION("""COMPUTED_VALUE"""),1132.6080000000002)</f>
        <v>1132.608</v>
      </c>
      <c r="J879" s="257">
        <f t="shared" si="1"/>
        <v>12</v>
      </c>
      <c r="K879" s="265"/>
      <c r="L879" s="265"/>
      <c r="M879" s="264"/>
      <c r="N879" s="270"/>
      <c r="O879" s="271"/>
      <c r="P879" s="271"/>
      <c r="Q879" s="272"/>
      <c r="R879" s="273"/>
      <c r="S879" s="273"/>
      <c r="T879" s="260"/>
      <c r="U879" s="261"/>
      <c r="V879" s="251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</row>
    <row r="880">
      <c r="A880" s="263">
        <f>IFERROR(__xludf.DUMMYFUNCTION("""COMPUTED_VALUE"""),8453290.0)</f>
        <v>8453290</v>
      </c>
      <c r="B880" s="264" t="str">
        <f>IFERROR(__xludf.DUMMYFUNCTION("""COMPUTED_VALUE"""),"BookingCom")</f>
        <v>BookingCom</v>
      </c>
      <c r="C880" s="265" t="str">
        <f>IFERROR(__xludf.DUMMYFUNCTION("""COMPUTED_VALUE"""),"Silvia Calix Lopez ")</f>
        <v>Silvia Calix Lopez </v>
      </c>
      <c r="D880" s="266">
        <f>IFERROR(__xludf.DUMMYFUNCTION("""COMPUTED_VALUE"""),46154.0)</f>
        <v>46154</v>
      </c>
      <c r="E880" s="263">
        <f>IFERROR(__xludf.DUMMYFUNCTION("""COMPUTED_VALUE"""),46157.0)</f>
        <v>46157</v>
      </c>
      <c r="F880" s="267">
        <f>IFERROR(__xludf.DUMMYFUNCTION("""COMPUTED_VALUE"""),3.0)</f>
        <v>3</v>
      </c>
      <c r="G880" s="267">
        <f>IFERROR(__xludf.DUMMYFUNCTION("""COMPUTED_VALUE"""),3.0)</f>
        <v>3</v>
      </c>
      <c r="H880" s="268">
        <f>IFERROR(__xludf.DUMMYFUNCTION("""COMPUTED_VALUE"""),247.62)</f>
        <v>247.62</v>
      </c>
      <c r="I880" s="268">
        <f>IFERROR(__xludf.DUMMYFUNCTION("""COMPUTED_VALUE"""),594.288)</f>
        <v>594.288</v>
      </c>
      <c r="J880" s="257">
        <f t="shared" si="1"/>
        <v>9</v>
      </c>
      <c r="K880" s="265"/>
      <c r="L880" s="265"/>
      <c r="M880" s="269"/>
      <c r="N880" s="270"/>
      <c r="O880" s="271"/>
      <c r="P880" s="271"/>
      <c r="Q880" s="272"/>
      <c r="R880" s="273"/>
      <c r="S880" s="273"/>
      <c r="T880" s="273"/>
      <c r="U880" s="274"/>
      <c r="V880" s="266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</row>
    <row r="881">
      <c r="A881" s="263">
        <f>IFERROR(__xludf.DUMMYFUNCTION("""COMPUTED_VALUE"""),8453612.0)</f>
        <v>8453612</v>
      </c>
      <c r="B881" s="264" t="str">
        <f>IFERROR(__xludf.DUMMYFUNCTION("""COMPUTED_VALUE"""),"BookingCom")</f>
        <v>BookingCom</v>
      </c>
      <c r="C881" s="265" t="str">
        <f>IFERROR(__xludf.DUMMYFUNCTION("""COMPUTED_VALUE"""),"Antje Baumeister ")</f>
        <v>Antje Baumeister </v>
      </c>
      <c r="D881" s="266">
        <f>IFERROR(__xludf.DUMMYFUNCTION("""COMPUTED_VALUE"""),46390.0)</f>
        <v>46390</v>
      </c>
      <c r="E881" s="263">
        <f>IFERROR(__xludf.DUMMYFUNCTION("""COMPUTED_VALUE"""),46393.0)</f>
        <v>46393</v>
      </c>
      <c r="F881" s="267">
        <f>IFERROR(__xludf.DUMMYFUNCTION("""COMPUTED_VALUE"""),3.0)</f>
        <v>3</v>
      </c>
      <c r="G881" s="267">
        <f>IFERROR(__xludf.DUMMYFUNCTION("""COMPUTED_VALUE"""),2.0)</f>
        <v>2</v>
      </c>
      <c r="H881" s="268">
        <f>IFERROR(__xludf.DUMMYFUNCTION("""COMPUTED_VALUE"""),200.51999999999998)</f>
        <v>200.52</v>
      </c>
      <c r="I881" s="268">
        <f>IFERROR(__xludf.DUMMYFUNCTION("""COMPUTED_VALUE"""),481.248)</f>
        <v>481.248</v>
      </c>
      <c r="J881" s="257">
        <f t="shared" si="1"/>
        <v>6</v>
      </c>
      <c r="K881" s="265"/>
      <c r="L881" s="265"/>
      <c r="M881" s="269"/>
      <c r="N881" s="270"/>
      <c r="O881" s="271"/>
      <c r="P881" s="271"/>
      <c r="Q881" s="272"/>
      <c r="R881" s="273"/>
      <c r="S881" s="273"/>
      <c r="T881" s="273"/>
      <c r="U881" s="274"/>
      <c r="V881" s="266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</row>
    <row r="882">
      <c r="A882" s="263">
        <f>IFERROR(__xludf.DUMMYFUNCTION("""COMPUTED_VALUE"""),8454211.0)</f>
        <v>8454211</v>
      </c>
      <c r="B882" s="264" t="str">
        <f>IFERROR(__xludf.DUMMYFUNCTION("""COMPUTED_VALUE"""),"BookingCom")</f>
        <v>BookingCom</v>
      </c>
      <c r="C882" s="265" t="str">
        <f>IFERROR(__xludf.DUMMYFUNCTION("""COMPUTED_VALUE"""),"Leandra Togni ")</f>
        <v>Leandra Togni </v>
      </c>
      <c r="D882" s="266">
        <f>IFERROR(__xludf.DUMMYFUNCTION("""COMPUTED_VALUE"""),46191.0)</f>
        <v>46191</v>
      </c>
      <c r="E882" s="266">
        <f>IFERROR(__xludf.DUMMYFUNCTION("""COMPUTED_VALUE"""),46193.0)</f>
        <v>46193</v>
      </c>
      <c r="F882" s="267">
        <f>IFERROR(__xludf.DUMMYFUNCTION("""COMPUTED_VALUE"""),2.0)</f>
        <v>2</v>
      </c>
      <c r="G882" s="267">
        <f>IFERROR(__xludf.DUMMYFUNCTION("""COMPUTED_VALUE"""),2.0)</f>
        <v>2</v>
      </c>
      <c r="H882" s="268">
        <f>IFERROR(__xludf.DUMMYFUNCTION("""COMPUTED_VALUE"""),136.29)</f>
        <v>136.29</v>
      </c>
      <c r="I882" s="268">
        <f>IFERROR(__xludf.DUMMYFUNCTION("""COMPUTED_VALUE"""),218.064)</f>
        <v>218.064</v>
      </c>
      <c r="J882" s="257">
        <f t="shared" si="1"/>
        <v>4</v>
      </c>
      <c r="K882" s="265"/>
      <c r="L882" s="265"/>
      <c r="M882" s="269"/>
      <c r="N882" s="270"/>
      <c r="O882" s="271"/>
      <c r="P882" s="271"/>
      <c r="Q882" s="272"/>
      <c r="R882" s="273"/>
      <c r="S882" s="273"/>
      <c r="T882" s="273"/>
      <c r="U882" s="274"/>
      <c r="V882" s="266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</row>
    <row r="883">
      <c r="A883" s="263">
        <f>IFERROR(__xludf.DUMMYFUNCTION("""COMPUTED_VALUE"""),8455130.0)</f>
        <v>8455130</v>
      </c>
      <c r="B883" s="264" t="str">
        <f>IFERROR(__xludf.DUMMYFUNCTION("""COMPUTED_VALUE"""),"BookingCom")</f>
        <v>BookingCom</v>
      </c>
      <c r="C883" s="265" t="str">
        <f>IFERROR(__xludf.DUMMYFUNCTION("""COMPUTED_VALUE"""),"Joana Platen ")</f>
        <v>Joana Platen </v>
      </c>
      <c r="D883" s="266">
        <f>IFERROR(__xludf.DUMMYFUNCTION("""COMPUTED_VALUE"""),46215.0)</f>
        <v>46215</v>
      </c>
      <c r="E883" s="263">
        <f>IFERROR(__xludf.DUMMYFUNCTION("""COMPUTED_VALUE"""),46218.0)</f>
        <v>46218</v>
      </c>
      <c r="F883" s="267">
        <f>IFERROR(__xludf.DUMMYFUNCTION("""COMPUTED_VALUE"""),3.0)</f>
        <v>3</v>
      </c>
      <c r="G883" s="267">
        <f>IFERROR(__xludf.DUMMYFUNCTION("""COMPUTED_VALUE"""),2.0)</f>
        <v>2</v>
      </c>
      <c r="H883" s="268">
        <f>IFERROR(__xludf.DUMMYFUNCTION("""COMPUTED_VALUE"""),137.43)</f>
        <v>137.43</v>
      </c>
      <c r="I883" s="268">
        <f>IFERROR(__xludf.DUMMYFUNCTION("""COMPUTED_VALUE"""),329.83200000000005)</f>
        <v>329.832</v>
      </c>
      <c r="J883" s="257">
        <f t="shared" si="1"/>
        <v>6</v>
      </c>
      <c r="K883" s="265"/>
      <c r="L883" s="265"/>
      <c r="M883" s="269"/>
      <c r="N883" s="270"/>
      <c r="O883" s="271"/>
      <c r="P883" s="271"/>
      <c r="Q883" s="272"/>
      <c r="R883" s="273"/>
      <c r="S883" s="273"/>
      <c r="T883" s="273"/>
      <c r="U883" s="274"/>
      <c r="V883" s="266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</row>
    <row r="884">
      <c r="A884" s="263">
        <f>IFERROR(__xludf.DUMMYFUNCTION("""COMPUTED_VALUE"""),8457764.0)</f>
        <v>8457764</v>
      </c>
      <c r="B884" s="264" t="str">
        <f>IFERROR(__xludf.DUMMYFUNCTION("""COMPUTED_VALUE"""),"Agoda2")</f>
        <v>Agoda2</v>
      </c>
      <c r="C884" s="265" t="str">
        <f>IFERROR(__xludf.DUMMYFUNCTION("""COMPUTED_VALUE"""),"Molly Hildwein ")</f>
        <v>Molly Hildwein </v>
      </c>
      <c r="D884" s="266">
        <f>IFERROR(__xludf.DUMMYFUNCTION("""COMPUTED_VALUE"""),46142.0)</f>
        <v>46142</v>
      </c>
      <c r="E884" s="263">
        <f>IFERROR(__xludf.DUMMYFUNCTION("""COMPUTED_VALUE"""),46143.0)</f>
        <v>46143</v>
      </c>
      <c r="F884" s="267">
        <f>IFERROR(__xludf.DUMMYFUNCTION("""COMPUTED_VALUE"""),1.0)</f>
        <v>1</v>
      </c>
      <c r="G884" s="267">
        <f>IFERROR(__xludf.DUMMYFUNCTION("""COMPUTED_VALUE"""),2.0)</f>
        <v>2</v>
      </c>
      <c r="H884" s="268">
        <f>IFERROR(__xludf.DUMMYFUNCTION("""COMPUTED_VALUE"""),212.29)</f>
        <v>212.29</v>
      </c>
      <c r="I884" s="268">
        <f>IFERROR(__xludf.DUMMYFUNCTION("""COMPUTED_VALUE"""),169.832)</f>
        <v>169.832</v>
      </c>
      <c r="J884" s="257">
        <f t="shared" si="1"/>
        <v>2</v>
      </c>
      <c r="K884" s="265"/>
      <c r="L884" s="265"/>
      <c r="M884" s="269"/>
      <c r="N884" s="270"/>
      <c r="O884" s="271"/>
      <c r="P884" s="271"/>
      <c r="Q884" s="272"/>
      <c r="R884" s="273"/>
      <c r="S884" s="273"/>
      <c r="T884" s="273"/>
      <c r="U884" s="274"/>
      <c r="V884" s="266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</row>
    <row r="885">
      <c r="A885" s="263">
        <f>IFERROR(__xludf.DUMMYFUNCTION("""COMPUTED_VALUE"""),8459000.0)</f>
        <v>8459000</v>
      </c>
      <c r="B885" s="264" t="str">
        <f>IFERROR(__xludf.DUMMYFUNCTION("""COMPUTED_VALUE"""),"BookingCom")</f>
        <v>BookingCom</v>
      </c>
      <c r="C885" s="265" t="str">
        <f>IFERROR(__xludf.DUMMYFUNCTION("""COMPUTED_VALUE"""),"Anthony Simon ")</f>
        <v>Anthony Simon </v>
      </c>
      <c r="D885" s="266">
        <f>IFERROR(__xludf.DUMMYFUNCTION("""COMPUTED_VALUE"""),46167.0)</f>
        <v>46167</v>
      </c>
      <c r="E885" s="263">
        <f>IFERROR(__xludf.DUMMYFUNCTION("""COMPUTED_VALUE"""),46169.0)</f>
        <v>46169</v>
      </c>
      <c r="F885" s="267">
        <f>IFERROR(__xludf.DUMMYFUNCTION("""COMPUTED_VALUE"""),2.0)</f>
        <v>2</v>
      </c>
      <c r="G885" s="267">
        <f>IFERROR(__xludf.DUMMYFUNCTION("""COMPUTED_VALUE"""),1.0)</f>
        <v>1</v>
      </c>
      <c r="H885" s="268">
        <f>IFERROR(__xludf.DUMMYFUNCTION("""COMPUTED_VALUE"""),178.58)</f>
        <v>178.58</v>
      </c>
      <c r="I885" s="268">
        <f>IFERROR(__xludf.DUMMYFUNCTION("""COMPUTED_VALUE"""),285.728)</f>
        <v>285.728</v>
      </c>
      <c r="J885" s="257">
        <f t="shared" si="1"/>
        <v>2</v>
      </c>
      <c r="K885" s="265"/>
      <c r="L885" s="265"/>
      <c r="M885" s="269"/>
      <c r="N885" s="270"/>
      <c r="O885" s="271"/>
      <c r="P885" s="271"/>
      <c r="Q885" s="272"/>
      <c r="R885" s="273"/>
      <c r="S885" s="273"/>
      <c r="T885" s="273"/>
      <c r="U885" s="274"/>
      <c r="V885" s="266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</row>
    <row r="886">
      <c r="A886" s="263">
        <f>IFERROR(__xludf.DUMMYFUNCTION("""COMPUTED_VALUE"""),8459103.0)</f>
        <v>8459103</v>
      </c>
      <c r="B886" s="264" t="str">
        <f>IFERROR(__xludf.DUMMYFUNCTION("""COMPUTED_VALUE"""),"BookingCom")</f>
        <v>BookingCom</v>
      </c>
      <c r="C886" s="265" t="str">
        <f>IFERROR(__xludf.DUMMYFUNCTION("""COMPUTED_VALUE"""),"Murielle Germond ")</f>
        <v>Murielle Germond </v>
      </c>
      <c r="D886" s="266">
        <f>IFERROR(__xludf.DUMMYFUNCTION("""COMPUTED_VALUE"""),46192.0)</f>
        <v>46192</v>
      </c>
      <c r="E886" s="263">
        <f>IFERROR(__xludf.DUMMYFUNCTION("""COMPUTED_VALUE"""),46195.0)</f>
        <v>46195</v>
      </c>
      <c r="F886" s="267">
        <f>IFERROR(__xludf.DUMMYFUNCTION("""COMPUTED_VALUE"""),3.0)</f>
        <v>3</v>
      </c>
      <c r="G886" s="267">
        <f>IFERROR(__xludf.DUMMYFUNCTION("""COMPUTED_VALUE"""),2.0)</f>
        <v>2</v>
      </c>
      <c r="H886" s="268">
        <f>IFERROR(__xludf.DUMMYFUNCTION("""COMPUTED_VALUE"""),122.75999999999999)</f>
        <v>122.76</v>
      </c>
      <c r="I886" s="268">
        <f>IFERROR(__xludf.DUMMYFUNCTION("""COMPUTED_VALUE"""),294.624)</f>
        <v>294.624</v>
      </c>
      <c r="J886" s="257">
        <f t="shared" si="1"/>
        <v>6</v>
      </c>
      <c r="K886" s="265"/>
      <c r="L886" s="265"/>
      <c r="M886" s="269"/>
      <c r="N886" s="270"/>
      <c r="O886" s="271"/>
      <c r="P886" s="271"/>
      <c r="Q886" s="272"/>
      <c r="R886" s="273"/>
      <c r="S886" s="273"/>
      <c r="T886" s="273"/>
      <c r="U886" s="274"/>
      <c r="V886" s="266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</row>
    <row r="887">
      <c r="A887" s="263">
        <f>IFERROR(__xludf.DUMMYFUNCTION("""COMPUTED_VALUE"""),8459271.0)</f>
        <v>8459271</v>
      </c>
      <c r="B887" s="264" t="str">
        <f>IFERROR(__xludf.DUMMYFUNCTION("""COMPUTED_VALUE"""),"Reseliva Pannel")</f>
        <v>Reseliva Pannel</v>
      </c>
      <c r="C887" s="265" t="str">
        <f>IFERROR(__xludf.DUMMYFUNCTION("""COMPUTED_VALUE"""),"Cédric Colaboration ")</f>
        <v>Cédric Colaboration </v>
      </c>
      <c r="D887" s="266">
        <f>IFERROR(__xludf.DUMMYFUNCTION("""COMPUTED_VALUE"""),46141.0)</f>
        <v>46141</v>
      </c>
      <c r="E887" s="266">
        <f>IFERROR(__xludf.DUMMYFUNCTION("""COMPUTED_VALUE"""),46142.0)</f>
        <v>46142</v>
      </c>
      <c r="F887" s="267">
        <f>IFERROR(__xludf.DUMMYFUNCTION("""COMPUTED_VALUE"""),1.0)</f>
        <v>1</v>
      </c>
      <c r="G887" s="267">
        <f>IFERROR(__xludf.DUMMYFUNCTION("""COMPUTED_VALUE"""),2.0)</f>
        <v>2</v>
      </c>
      <c r="H887" s="268">
        <f>IFERROR(__xludf.DUMMYFUNCTION("""COMPUTED_VALUE"""),300.24)</f>
        <v>300.24</v>
      </c>
      <c r="I887" s="268">
        <f>IFERROR(__xludf.DUMMYFUNCTION("""COMPUTED_VALUE"""),300.24)</f>
        <v>300.24</v>
      </c>
      <c r="J887" s="257">
        <f t="shared" si="1"/>
        <v>2</v>
      </c>
      <c r="K887" s="265"/>
      <c r="L887" s="265"/>
      <c r="M887" s="264"/>
      <c r="N887" s="270"/>
      <c r="O887" s="271"/>
      <c r="P887" s="271"/>
      <c r="Q887" s="272"/>
      <c r="R887" s="273"/>
      <c r="S887" s="273"/>
      <c r="T887" s="273"/>
      <c r="U887" s="274"/>
      <c r="V887" s="266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</row>
    <row r="888">
      <c r="A888" s="263">
        <f>IFERROR(__xludf.DUMMYFUNCTION("""COMPUTED_VALUE"""),8459290.0)</f>
        <v>8459290</v>
      </c>
      <c r="B888" s="264" t="str">
        <f>IFERROR(__xludf.DUMMYFUNCTION("""COMPUTED_VALUE"""),"Reseliva Pannel")</f>
        <v>Reseliva Pannel</v>
      </c>
      <c r="C888" s="265" t="str">
        <f>IFERROR(__xludf.DUMMYFUNCTION("""COMPUTED_VALUE"""),"Cédric Colaboration ")</f>
        <v>Cédric Colaboration </v>
      </c>
      <c r="D888" s="266">
        <f>IFERROR(__xludf.DUMMYFUNCTION("""COMPUTED_VALUE"""),46145.0)</f>
        <v>46145</v>
      </c>
      <c r="E888" s="263">
        <f>IFERROR(__xludf.DUMMYFUNCTION("""COMPUTED_VALUE"""),46146.0)</f>
        <v>46146</v>
      </c>
      <c r="F888" s="267">
        <f>IFERROR(__xludf.DUMMYFUNCTION("""COMPUTED_VALUE"""),1.0)</f>
        <v>1</v>
      </c>
      <c r="G888" s="267">
        <f>IFERROR(__xludf.DUMMYFUNCTION("""COMPUTED_VALUE"""),2.0)</f>
        <v>2</v>
      </c>
      <c r="H888" s="268">
        <f>IFERROR(__xludf.DUMMYFUNCTION("""COMPUTED_VALUE"""),599.76)</f>
        <v>599.76</v>
      </c>
      <c r="I888" s="268">
        <f>IFERROR(__xludf.DUMMYFUNCTION("""COMPUTED_VALUE"""),599.76)</f>
        <v>599.76</v>
      </c>
      <c r="J888" s="257">
        <f t="shared" si="1"/>
        <v>2</v>
      </c>
      <c r="K888" s="265"/>
      <c r="L888" s="265"/>
      <c r="M888" s="264"/>
      <c r="N888" s="270"/>
      <c r="O888" s="271"/>
      <c r="P888" s="271"/>
      <c r="Q888" s="272"/>
      <c r="R888" s="273"/>
      <c r="S888" s="273"/>
      <c r="T888" s="273"/>
      <c r="U888" s="274"/>
      <c r="V888" s="266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</row>
    <row r="889">
      <c r="A889" s="263">
        <f>IFERROR(__xludf.DUMMYFUNCTION("""COMPUTED_VALUE"""),8463198.0)</f>
        <v>8463198</v>
      </c>
      <c r="B889" s="264" t="str">
        <f>IFERROR(__xludf.DUMMYFUNCTION("""COMPUTED_VALUE"""),"BookingCom")</f>
        <v>BookingCom</v>
      </c>
      <c r="C889" s="265" t="str">
        <f>IFERROR(__xludf.DUMMYFUNCTION("""COMPUTED_VALUE"""),"Tiago Goncalves ")</f>
        <v>Tiago Goncalves </v>
      </c>
      <c r="D889" s="266">
        <f>IFERROR(__xludf.DUMMYFUNCTION("""COMPUTED_VALUE"""),46184.0)</f>
        <v>46184</v>
      </c>
      <c r="E889" s="263">
        <f>IFERROR(__xludf.DUMMYFUNCTION("""COMPUTED_VALUE"""),46187.0)</f>
        <v>46187</v>
      </c>
      <c r="F889" s="267">
        <f>IFERROR(__xludf.DUMMYFUNCTION("""COMPUTED_VALUE"""),3.0)</f>
        <v>3</v>
      </c>
      <c r="G889" s="267">
        <f>IFERROR(__xludf.DUMMYFUNCTION("""COMPUTED_VALUE"""),2.0)</f>
        <v>2</v>
      </c>
      <c r="H889" s="268">
        <f>IFERROR(__xludf.DUMMYFUNCTION("""COMPUTED_VALUE"""),117.39999999999999)</f>
        <v>117.4</v>
      </c>
      <c r="I889" s="268">
        <f>IFERROR(__xludf.DUMMYFUNCTION("""COMPUTED_VALUE"""),281.76)</f>
        <v>281.76</v>
      </c>
      <c r="J889" s="257">
        <f t="shared" si="1"/>
        <v>6</v>
      </c>
      <c r="K889" s="265"/>
      <c r="L889" s="265"/>
      <c r="M889" s="269"/>
      <c r="N889" s="270"/>
      <c r="O889" s="271"/>
      <c r="P889" s="271"/>
      <c r="Q889" s="283"/>
      <c r="R889" s="273"/>
      <c r="S889" s="273"/>
      <c r="T889" s="273"/>
      <c r="U889" s="274"/>
      <c r="V889" s="263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</row>
    <row r="890">
      <c r="A890" s="263">
        <f>IFERROR(__xludf.DUMMYFUNCTION("""COMPUTED_VALUE"""),8466049.0)</f>
        <v>8466049</v>
      </c>
      <c r="B890" s="264" t="str">
        <f>IFERROR(__xludf.DUMMYFUNCTION("""COMPUTED_VALUE"""),"BookingCom")</f>
        <v>BookingCom</v>
      </c>
      <c r="C890" s="265" t="str">
        <f>IFERROR(__xludf.DUMMYFUNCTION("""COMPUTED_VALUE"""),"Federico Orlando ")</f>
        <v>Federico Orlando </v>
      </c>
      <c r="D890" s="266">
        <f>IFERROR(__xludf.DUMMYFUNCTION("""COMPUTED_VALUE"""),46193.0)</f>
        <v>46193</v>
      </c>
      <c r="E890" s="263">
        <f>IFERROR(__xludf.DUMMYFUNCTION("""COMPUTED_VALUE"""),46194.0)</f>
        <v>46194</v>
      </c>
      <c r="F890" s="267">
        <f>IFERROR(__xludf.DUMMYFUNCTION("""COMPUTED_VALUE"""),1.0)</f>
        <v>1</v>
      </c>
      <c r="G890" s="267">
        <f>IFERROR(__xludf.DUMMYFUNCTION("""COMPUTED_VALUE"""),2.0)</f>
        <v>2</v>
      </c>
      <c r="H890" s="268">
        <f>IFERROR(__xludf.DUMMYFUNCTION("""COMPUTED_VALUE"""),225.36)</f>
        <v>225.36</v>
      </c>
      <c r="I890" s="268">
        <f>IFERROR(__xludf.DUMMYFUNCTION("""COMPUTED_VALUE"""),180.288)</f>
        <v>180.288</v>
      </c>
      <c r="J890" s="257">
        <f t="shared" si="1"/>
        <v>2</v>
      </c>
      <c r="K890" s="265"/>
      <c r="L890" s="265"/>
      <c r="M890" s="264"/>
      <c r="N890" s="270"/>
      <c r="O890" s="271"/>
      <c r="P890" s="271"/>
      <c r="Q890" s="272"/>
      <c r="R890" s="273"/>
      <c r="S890" s="273"/>
      <c r="T890" s="273"/>
      <c r="U890" s="274"/>
      <c r="V890" s="263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</row>
    <row r="891">
      <c r="A891" s="263">
        <f>IFERROR(__xludf.DUMMYFUNCTION("""COMPUTED_VALUE"""),8466109.0)</f>
        <v>8466109</v>
      </c>
      <c r="B891" s="264" t="str">
        <f>IFERROR(__xludf.DUMMYFUNCTION("""COMPUTED_VALUE"""),"BookingCom")</f>
        <v>BookingCom</v>
      </c>
      <c r="C891" s="265" t="str">
        <f>IFERROR(__xludf.DUMMYFUNCTION("""COMPUTED_VALUE"""),"Rouven Boese ")</f>
        <v>Rouven Boese </v>
      </c>
      <c r="D891" s="266">
        <f>IFERROR(__xludf.DUMMYFUNCTION("""COMPUTED_VALUE"""),46266.0)</f>
        <v>46266</v>
      </c>
      <c r="E891" s="263">
        <f>IFERROR(__xludf.DUMMYFUNCTION("""COMPUTED_VALUE"""),46269.0)</f>
        <v>46269</v>
      </c>
      <c r="F891" s="267">
        <f>IFERROR(__xludf.DUMMYFUNCTION("""COMPUTED_VALUE"""),3.0)</f>
        <v>3</v>
      </c>
      <c r="G891" s="267">
        <f>IFERROR(__xludf.DUMMYFUNCTION("""COMPUTED_VALUE"""),2.0)</f>
        <v>2</v>
      </c>
      <c r="H891" s="268">
        <f>IFERROR(__xludf.DUMMYFUNCTION("""COMPUTED_VALUE"""),173.12)</f>
        <v>173.12</v>
      </c>
      <c r="I891" s="268">
        <f>IFERROR(__xludf.DUMMYFUNCTION("""COMPUTED_VALUE"""),415.48800000000006)</f>
        <v>415.488</v>
      </c>
      <c r="J891" s="257">
        <f t="shared" si="1"/>
        <v>6</v>
      </c>
      <c r="K891" s="265"/>
      <c r="L891" s="265"/>
      <c r="M891" s="269"/>
      <c r="N891" s="270"/>
      <c r="O891" s="271"/>
      <c r="P891" s="271"/>
      <c r="Q891" s="272"/>
      <c r="R891" s="273"/>
      <c r="S891" s="273"/>
      <c r="T891" s="273"/>
      <c r="U891" s="274"/>
      <c r="V891" s="266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</row>
    <row r="892">
      <c r="A892" s="263">
        <f>IFERROR(__xludf.DUMMYFUNCTION("""COMPUTED_VALUE"""),8466109.0)</f>
        <v>8466109</v>
      </c>
      <c r="B892" s="264" t="str">
        <f>IFERROR(__xludf.DUMMYFUNCTION("""COMPUTED_VALUE"""),"BookingCom")</f>
        <v>BookingCom</v>
      </c>
      <c r="C892" s="265" t="str">
        <f>IFERROR(__xludf.DUMMYFUNCTION("""COMPUTED_VALUE"""),"Rouven Boese ")</f>
        <v>Rouven Boese </v>
      </c>
      <c r="D892" s="374">
        <f>IFERROR(__xludf.DUMMYFUNCTION("""COMPUTED_VALUE"""),46266.0)</f>
        <v>46266</v>
      </c>
      <c r="E892" s="263">
        <f>IFERROR(__xludf.DUMMYFUNCTION("""COMPUTED_VALUE"""),46269.0)</f>
        <v>46269</v>
      </c>
      <c r="F892" s="267">
        <f>IFERROR(__xludf.DUMMYFUNCTION("""COMPUTED_VALUE"""),3.0)</f>
        <v>3</v>
      </c>
      <c r="G892" s="267">
        <f>IFERROR(__xludf.DUMMYFUNCTION("""COMPUTED_VALUE"""),2.0)</f>
        <v>2</v>
      </c>
      <c r="H892" s="268">
        <f>IFERROR(__xludf.DUMMYFUNCTION("""COMPUTED_VALUE"""),173.12)</f>
        <v>173.12</v>
      </c>
      <c r="I892" s="268">
        <f>IFERROR(__xludf.DUMMYFUNCTION("""COMPUTED_VALUE"""),415.48800000000006)</f>
        <v>415.488</v>
      </c>
      <c r="J892" s="257">
        <f t="shared" si="1"/>
        <v>6</v>
      </c>
      <c r="K892" s="265"/>
      <c r="L892" s="265"/>
      <c r="M892" s="269"/>
      <c r="N892" s="270"/>
      <c r="O892" s="271"/>
      <c r="P892" s="271"/>
      <c r="Q892" s="272"/>
      <c r="R892" s="273"/>
      <c r="S892" s="273"/>
      <c r="T892" s="273"/>
      <c r="U892" s="274"/>
      <c r="V892" s="266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</row>
    <row r="893">
      <c r="A893" s="263">
        <f>IFERROR(__xludf.DUMMYFUNCTION("""COMPUTED_VALUE"""),8466357.0)</f>
        <v>8466357</v>
      </c>
      <c r="B893" s="264" t="str">
        <f>IFERROR(__xludf.DUMMYFUNCTION("""COMPUTED_VALUE"""),"BookingCom")</f>
        <v>BookingCom</v>
      </c>
      <c r="C893" s="265" t="str">
        <f>IFERROR(__xludf.DUMMYFUNCTION("""COMPUTED_VALUE"""),"Katrien Huysman ")</f>
        <v>Katrien Huysman </v>
      </c>
      <c r="D893" s="266">
        <f>IFERROR(__xludf.DUMMYFUNCTION("""COMPUTED_VALUE"""),46296.0)</f>
        <v>46296</v>
      </c>
      <c r="E893" s="263">
        <f>IFERROR(__xludf.DUMMYFUNCTION("""COMPUTED_VALUE"""),46301.0)</f>
        <v>46301</v>
      </c>
      <c r="F893" s="267">
        <f>IFERROR(__xludf.DUMMYFUNCTION("""COMPUTED_VALUE"""),5.0)</f>
        <v>5</v>
      </c>
      <c r="G893" s="267">
        <f>IFERROR(__xludf.DUMMYFUNCTION("""COMPUTED_VALUE"""),2.0)</f>
        <v>2</v>
      </c>
      <c r="H893" s="268">
        <f>IFERROR(__xludf.DUMMYFUNCTION("""COMPUTED_VALUE"""),150.538)</f>
        <v>150.538</v>
      </c>
      <c r="I893" s="268">
        <f>IFERROR(__xludf.DUMMYFUNCTION("""COMPUTED_VALUE"""),602.152)</f>
        <v>602.152</v>
      </c>
      <c r="J893" s="257">
        <f t="shared" si="1"/>
        <v>10</v>
      </c>
      <c r="K893" s="265"/>
      <c r="L893" s="265"/>
      <c r="M893" s="269"/>
      <c r="N893" s="270"/>
      <c r="O893" s="271"/>
      <c r="P893" s="271"/>
      <c r="Q893" s="272"/>
      <c r="R893" s="273"/>
      <c r="S893" s="273"/>
      <c r="T893" s="273"/>
      <c r="U893" s="274"/>
      <c r="V893" s="263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</row>
    <row r="894">
      <c r="A894" s="263">
        <f>IFERROR(__xludf.DUMMYFUNCTION("""COMPUTED_VALUE"""),8466379.0)</f>
        <v>8466379</v>
      </c>
      <c r="B894" s="264" t="str">
        <f>IFERROR(__xludf.DUMMYFUNCTION("""COMPUTED_VALUE"""),"Reseliva")</f>
        <v>Reseliva</v>
      </c>
      <c r="C894" s="265" t="str">
        <f>IFERROR(__xludf.DUMMYFUNCTION("""COMPUTED_VALUE"""),"Inés Orrit Gallego ")</f>
        <v>Inés Orrit Gallego </v>
      </c>
      <c r="D894" s="266">
        <f>IFERROR(__xludf.DUMMYFUNCTION("""COMPUTED_VALUE"""),46245.0)</f>
        <v>46245</v>
      </c>
      <c r="E894" s="266">
        <f>IFERROR(__xludf.DUMMYFUNCTION("""COMPUTED_VALUE"""),46246.0)</f>
        <v>46246</v>
      </c>
      <c r="F894" s="267">
        <f>IFERROR(__xludf.DUMMYFUNCTION("""COMPUTED_VALUE"""),1.0)</f>
        <v>1</v>
      </c>
      <c r="G894" s="267">
        <f>IFERROR(__xludf.DUMMYFUNCTION("""COMPUTED_VALUE"""),2.0)</f>
        <v>2</v>
      </c>
      <c r="H894" s="268">
        <f>IFERROR(__xludf.DUMMYFUNCTION("""COMPUTED_VALUE"""),132.21)</f>
        <v>132.21</v>
      </c>
      <c r="I894" s="268">
        <f>IFERROR(__xludf.DUMMYFUNCTION("""COMPUTED_VALUE"""),130.8879)</f>
        <v>130.8879</v>
      </c>
      <c r="J894" s="257">
        <f t="shared" si="1"/>
        <v>2</v>
      </c>
      <c r="K894" s="265"/>
      <c r="L894" s="265"/>
      <c r="M894" s="264"/>
      <c r="N894" s="270"/>
      <c r="O894" s="271"/>
      <c r="P894" s="271"/>
      <c r="Q894" s="283"/>
      <c r="R894" s="273"/>
      <c r="S894" s="273"/>
      <c r="T894" s="273"/>
      <c r="U894" s="274"/>
      <c r="V894" s="266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</row>
    <row r="895">
      <c r="A895" s="263">
        <f>IFERROR(__xludf.DUMMYFUNCTION("""COMPUTED_VALUE"""),8466379.0)</f>
        <v>8466379</v>
      </c>
      <c r="B895" s="264" t="str">
        <f>IFERROR(__xludf.DUMMYFUNCTION("""COMPUTED_VALUE"""),"Reseliva")</f>
        <v>Reseliva</v>
      </c>
      <c r="C895" s="265" t="str">
        <f>IFERROR(__xludf.DUMMYFUNCTION("""COMPUTED_VALUE"""),"Inés Orrit Gallego ")</f>
        <v>Inés Orrit Gallego </v>
      </c>
      <c r="D895" s="374">
        <f>IFERROR(__xludf.DUMMYFUNCTION("""COMPUTED_VALUE"""),46245.0)</f>
        <v>46245</v>
      </c>
      <c r="E895" s="263">
        <f>IFERROR(__xludf.DUMMYFUNCTION("""COMPUTED_VALUE"""),46246.0)</f>
        <v>46246</v>
      </c>
      <c r="F895" s="267">
        <f>IFERROR(__xludf.DUMMYFUNCTION("""COMPUTED_VALUE"""),1.0)</f>
        <v>1</v>
      </c>
      <c r="G895" s="267">
        <f>IFERROR(__xludf.DUMMYFUNCTION("""COMPUTED_VALUE"""),2.0)</f>
        <v>2</v>
      </c>
      <c r="H895" s="268">
        <f>IFERROR(__xludf.DUMMYFUNCTION("""COMPUTED_VALUE"""),147.42)</f>
        <v>147.42</v>
      </c>
      <c r="I895" s="268">
        <f>IFERROR(__xludf.DUMMYFUNCTION("""COMPUTED_VALUE"""),145.9458)</f>
        <v>145.9458</v>
      </c>
      <c r="J895" s="257">
        <f t="shared" si="1"/>
        <v>2</v>
      </c>
      <c r="K895" s="265"/>
      <c r="L895" s="265"/>
      <c r="M895" s="264"/>
      <c r="N895" s="270"/>
      <c r="O895" s="271"/>
      <c r="P895" s="271"/>
      <c r="Q895" s="272"/>
      <c r="R895" s="273"/>
      <c r="S895" s="273"/>
      <c r="T895" s="273"/>
      <c r="U895" s="274"/>
      <c r="V895" s="266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</row>
    <row r="896">
      <c r="A896" s="263">
        <f>IFERROR(__xludf.DUMMYFUNCTION("""COMPUTED_VALUE"""),8466811.0)</f>
        <v>8466811</v>
      </c>
      <c r="B896" s="264" t="str">
        <f>IFERROR(__xludf.DUMMYFUNCTION("""COMPUTED_VALUE"""),"BookingCom")</f>
        <v>BookingCom</v>
      </c>
      <c r="C896" s="265" t="str">
        <f>IFERROR(__xludf.DUMMYFUNCTION("""COMPUTED_VALUE"""),"Ruth Veh-Ioannou ")</f>
        <v>Ruth Veh-Ioannou </v>
      </c>
      <c r="D896" s="266">
        <f>IFERROR(__xludf.DUMMYFUNCTION("""COMPUTED_VALUE"""),46313.0)</f>
        <v>46313</v>
      </c>
      <c r="E896" s="263">
        <f>IFERROR(__xludf.DUMMYFUNCTION("""COMPUTED_VALUE"""),46314.0)</f>
        <v>46314</v>
      </c>
      <c r="F896" s="267">
        <f>IFERROR(__xludf.DUMMYFUNCTION("""COMPUTED_VALUE"""),1.0)</f>
        <v>1</v>
      </c>
      <c r="G896" s="267">
        <f>IFERROR(__xludf.DUMMYFUNCTION("""COMPUTED_VALUE"""),1.0)</f>
        <v>1</v>
      </c>
      <c r="H896" s="268">
        <f>IFERROR(__xludf.DUMMYFUNCTION("""COMPUTED_VALUE"""),195.52)</f>
        <v>195.52</v>
      </c>
      <c r="I896" s="268">
        <f>IFERROR(__xludf.DUMMYFUNCTION("""COMPUTED_VALUE"""),156.41600000000003)</f>
        <v>156.416</v>
      </c>
      <c r="J896" s="257">
        <f t="shared" si="1"/>
        <v>1</v>
      </c>
      <c r="K896" s="265"/>
      <c r="L896" s="265"/>
      <c r="M896" s="264"/>
      <c r="N896" s="270"/>
      <c r="O896" s="271"/>
      <c r="P896" s="271"/>
      <c r="Q896" s="272"/>
      <c r="R896" s="273"/>
      <c r="S896" s="273"/>
      <c r="T896" s="273"/>
      <c r="U896" s="274"/>
      <c r="V896" s="266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</row>
    <row r="897">
      <c r="A897" s="263">
        <f>IFERROR(__xludf.DUMMYFUNCTION("""COMPUTED_VALUE"""),8466811.0)</f>
        <v>8466811</v>
      </c>
      <c r="B897" s="264" t="str">
        <f>IFERROR(__xludf.DUMMYFUNCTION("""COMPUTED_VALUE"""),"BookingCom")</f>
        <v>BookingCom</v>
      </c>
      <c r="C897" s="265" t="str">
        <f>IFERROR(__xludf.DUMMYFUNCTION("""COMPUTED_VALUE"""),"Ruth Veh-Ioannou ")</f>
        <v>Ruth Veh-Ioannou </v>
      </c>
      <c r="D897" s="266">
        <f>IFERROR(__xludf.DUMMYFUNCTION("""COMPUTED_VALUE"""),46313.0)</f>
        <v>46313</v>
      </c>
      <c r="E897" s="266">
        <f>IFERROR(__xludf.DUMMYFUNCTION("""COMPUTED_VALUE"""),46314.0)</f>
        <v>46314</v>
      </c>
      <c r="F897" s="267">
        <f>IFERROR(__xludf.DUMMYFUNCTION("""COMPUTED_VALUE"""),1.0)</f>
        <v>1</v>
      </c>
      <c r="G897" s="267">
        <f>IFERROR(__xludf.DUMMYFUNCTION("""COMPUTED_VALUE"""),2.0)</f>
        <v>2</v>
      </c>
      <c r="H897" s="268">
        <f>IFERROR(__xludf.DUMMYFUNCTION("""COMPUTED_VALUE"""),150.72)</f>
        <v>150.72</v>
      </c>
      <c r="I897" s="268">
        <f>IFERROR(__xludf.DUMMYFUNCTION("""COMPUTED_VALUE"""),120.57600000000001)</f>
        <v>120.576</v>
      </c>
      <c r="J897" s="257">
        <f t="shared" si="1"/>
        <v>2</v>
      </c>
      <c r="K897" s="265"/>
      <c r="L897" s="265"/>
      <c r="M897" s="264"/>
      <c r="N897" s="270"/>
      <c r="O897" s="271"/>
      <c r="P897" s="271"/>
      <c r="Q897" s="272"/>
      <c r="R897" s="273"/>
      <c r="S897" s="273"/>
      <c r="T897" s="273"/>
      <c r="U897" s="274"/>
      <c r="V897" s="263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</row>
    <row r="898">
      <c r="A898" s="263">
        <f>IFERROR(__xludf.DUMMYFUNCTION("""COMPUTED_VALUE"""),8466817.0)</f>
        <v>8466817</v>
      </c>
      <c r="B898" s="264" t="str">
        <f>IFERROR(__xludf.DUMMYFUNCTION("""COMPUTED_VALUE"""),"BookingCom")</f>
        <v>BookingCom</v>
      </c>
      <c r="C898" s="265" t="str">
        <f>IFERROR(__xludf.DUMMYFUNCTION("""COMPUTED_VALUE"""),"Ruth Veh-Ioannou ")</f>
        <v>Ruth Veh-Ioannou </v>
      </c>
      <c r="D898" s="374">
        <f>IFERROR(__xludf.DUMMYFUNCTION("""COMPUTED_VALUE"""),46316.0)</f>
        <v>46316</v>
      </c>
      <c r="E898" s="263">
        <f>IFERROR(__xludf.DUMMYFUNCTION("""COMPUTED_VALUE"""),46317.0)</f>
        <v>46317</v>
      </c>
      <c r="F898" s="267">
        <f>IFERROR(__xludf.DUMMYFUNCTION("""COMPUTED_VALUE"""),1.0)</f>
        <v>1</v>
      </c>
      <c r="G898" s="267">
        <f>IFERROR(__xludf.DUMMYFUNCTION("""COMPUTED_VALUE"""),2.0)</f>
        <v>2</v>
      </c>
      <c r="H898" s="268">
        <f>IFERROR(__xludf.DUMMYFUNCTION("""COMPUTED_VALUE"""),173.12)</f>
        <v>173.12</v>
      </c>
      <c r="I898" s="268">
        <f>IFERROR(__xludf.DUMMYFUNCTION("""COMPUTED_VALUE"""),138.496)</f>
        <v>138.496</v>
      </c>
      <c r="J898" s="257">
        <f t="shared" si="1"/>
        <v>2</v>
      </c>
      <c r="K898" s="265"/>
      <c r="L898" s="265"/>
      <c r="M898" s="264"/>
      <c r="N898" s="270"/>
      <c r="O898" s="271"/>
      <c r="P898" s="271"/>
      <c r="Q898" s="272"/>
      <c r="R898" s="273"/>
      <c r="S898" s="273"/>
      <c r="T898" s="273"/>
      <c r="U898" s="274"/>
      <c r="V898" s="266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</row>
    <row r="899">
      <c r="A899" s="263">
        <f>IFERROR(__xludf.DUMMYFUNCTION("""COMPUTED_VALUE"""),8466817.0)</f>
        <v>8466817</v>
      </c>
      <c r="B899" s="264" t="str">
        <f>IFERROR(__xludf.DUMMYFUNCTION("""COMPUTED_VALUE"""),"BookingCom")</f>
        <v>BookingCom</v>
      </c>
      <c r="C899" s="265" t="str">
        <f>IFERROR(__xludf.DUMMYFUNCTION("""COMPUTED_VALUE"""),"Ruth Veh-Ioannou ")</f>
        <v>Ruth Veh-Ioannou </v>
      </c>
      <c r="D899" s="266">
        <f>IFERROR(__xludf.DUMMYFUNCTION("""COMPUTED_VALUE"""),46316.0)</f>
        <v>46316</v>
      </c>
      <c r="E899" s="266">
        <f>IFERROR(__xludf.DUMMYFUNCTION("""COMPUTED_VALUE"""),46317.0)</f>
        <v>46317</v>
      </c>
      <c r="F899" s="267">
        <f>IFERROR(__xludf.DUMMYFUNCTION("""COMPUTED_VALUE"""),1.0)</f>
        <v>1</v>
      </c>
      <c r="G899" s="267">
        <f>IFERROR(__xludf.DUMMYFUNCTION("""COMPUTED_VALUE"""),1.0)</f>
        <v>1</v>
      </c>
      <c r="H899" s="268">
        <f>IFERROR(__xludf.DUMMYFUNCTION("""COMPUTED_VALUE"""),195.52)</f>
        <v>195.52</v>
      </c>
      <c r="I899" s="268">
        <f>IFERROR(__xludf.DUMMYFUNCTION("""COMPUTED_VALUE"""),156.41600000000003)</f>
        <v>156.416</v>
      </c>
      <c r="J899" s="257">
        <f t="shared" si="1"/>
        <v>1</v>
      </c>
      <c r="K899" s="265"/>
      <c r="L899" s="265"/>
      <c r="M899" s="269"/>
      <c r="N899" s="270"/>
      <c r="O899" s="271"/>
      <c r="P899" s="271"/>
      <c r="Q899" s="272"/>
      <c r="R899" s="273"/>
      <c r="S899" s="273"/>
      <c r="T899" s="273"/>
      <c r="U899" s="274"/>
      <c r="V899" s="266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</row>
    <row r="900">
      <c r="A900" s="263">
        <f>IFERROR(__xludf.DUMMYFUNCTION("""COMPUTED_VALUE"""),8470507.0)</f>
        <v>8470507</v>
      </c>
      <c r="B900" s="264" t="str">
        <f>IFERROR(__xludf.DUMMYFUNCTION("""COMPUTED_VALUE"""),"Reseliva Pannel")</f>
        <v>Reseliva Pannel</v>
      </c>
      <c r="C900" s="265" t="str">
        <f>IFERROR(__xludf.DUMMYFUNCTION("""COMPUTED_VALUE"""),"Manuela Haag ")</f>
        <v>Manuela Haag </v>
      </c>
      <c r="D900" s="266">
        <f>IFERROR(__xludf.DUMMYFUNCTION("""COMPUTED_VALUE"""),46425.0)</f>
        <v>46425</v>
      </c>
      <c r="E900" s="263">
        <f>IFERROR(__xludf.DUMMYFUNCTION("""COMPUTED_VALUE"""),46427.0)</f>
        <v>46427</v>
      </c>
      <c r="F900" s="267">
        <f>IFERROR(__xludf.DUMMYFUNCTION("""COMPUTED_VALUE"""),5.0)</f>
        <v>5</v>
      </c>
      <c r="G900" s="267">
        <f>IFERROR(__xludf.DUMMYFUNCTION("""COMPUTED_VALUE"""),2.0)</f>
        <v>2</v>
      </c>
      <c r="H900" s="268">
        <f>IFERROR(__xludf.DUMMYFUNCTION("""COMPUTED_VALUE"""),174.95999999999998)</f>
        <v>174.96</v>
      </c>
      <c r="I900" s="268">
        <f>IFERROR(__xludf.DUMMYFUNCTION("""COMPUTED_VALUE"""),874.8)</f>
        <v>874.8</v>
      </c>
      <c r="J900" s="257">
        <f t="shared" si="1"/>
        <v>10</v>
      </c>
      <c r="K900" s="265"/>
      <c r="L900" s="265"/>
      <c r="M900" s="264"/>
      <c r="N900" s="270"/>
      <c r="O900" s="271"/>
      <c r="P900" s="271"/>
      <c r="Q900" s="272"/>
      <c r="R900" s="273"/>
      <c r="S900" s="273"/>
      <c r="T900" s="273"/>
      <c r="U900" s="274"/>
      <c r="V900" s="266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</row>
    <row r="901">
      <c r="A901" s="263">
        <f>IFERROR(__xludf.DUMMYFUNCTION("""COMPUTED_VALUE"""),8472448.0)</f>
        <v>8472448</v>
      </c>
      <c r="B901" s="264" t="str">
        <f>IFERROR(__xludf.DUMMYFUNCTION("""COMPUTED_VALUE"""),"BookingCom")</f>
        <v>BookingCom</v>
      </c>
      <c r="C901" s="265" t="str">
        <f>IFERROR(__xludf.DUMMYFUNCTION("""COMPUTED_VALUE"""),"Silvia Ricardo ")</f>
        <v>Silvia Ricardo </v>
      </c>
      <c r="D901" s="266">
        <f>IFERROR(__xludf.DUMMYFUNCTION("""COMPUTED_VALUE"""),46220.0)</f>
        <v>46220</v>
      </c>
      <c r="E901" s="263">
        <f>IFERROR(__xludf.DUMMYFUNCTION("""COMPUTED_VALUE"""),46223.0)</f>
        <v>46223</v>
      </c>
      <c r="F901" s="267">
        <f>IFERROR(__xludf.DUMMYFUNCTION("""COMPUTED_VALUE"""),3.0)</f>
        <v>3</v>
      </c>
      <c r="G901" s="267">
        <f>IFERROR(__xludf.DUMMYFUNCTION("""COMPUTED_VALUE"""),3.0)</f>
        <v>3</v>
      </c>
      <c r="H901" s="268">
        <f>IFERROR(__xludf.DUMMYFUNCTION("""COMPUTED_VALUE"""),161.72)</f>
        <v>161.72</v>
      </c>
      <c r="I901" s="268">
        <f>IFERROR(__xludf.DUMMYFUNCTION("""COMPUTED_VALUE"""),388.12800000000004)</f>
        <v>388.128</v>
      </c>
      <c r="J901" s="257">
        <f t="shared" si="1"/>
        <v>9</v>
      </c>
      <c r="K901" s="265"/>
      <c r="L901" s="265"/>
      <c r="M901" s="283"/>
      <c r="N901" s="270"/>
      <c r="O901" s="271"/>
      <c r="P901" s="271"/>
      <c r="Q901" s="283"/>
      <c r="R901" s="273"/>
      <c r="S901" s="273"/>
      <c r="T901" s="273"/>
      <c r="U901" s="274"/>
      <c r="V901" s="266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</row>
    <row r="902">
      <c r="A902" s="263">
        <f>IFERROR(__xludf.DUMMYFUNCTION("""COMPUTED_VALUE"""),8472743.0)</f>
        <v>8472743</v>
      </c>
      <c r="B902" s="264" t="str">
        <f>IFERROR(__xludf.DUMMYFUNCTION("""COMPUTED_VALUE"""),"BookingCom")</f>
        <v>BookingCom</v>
      </c>
      <c r="C902" s="265" t="str">
        <f>IFERROR(__xludf.DUMMYFUNCTION("""COMPUTED_VALUE"""),"Alexandre Alberto Arruda Pecora ")</f>
        <v>Alexandre Alberto Arruda Pecora </v>
      </c>
      <c r="D902" s="266">
        <f>IFERROR(__xludf.DUMMYFUNCTION("""COMPUTED_VALUE"""),46218.0)</f>
        <v>46218</v>
      </c>
      <c r="E902" s="263">
        <f>IFERROR(__xludf.DUMMYFUNCTION("""COMPUTED_VALUE"""),46221.0)</f>
        <v>46221</v>
      </c>
      <c r="F902" s="267">
        <f>IFERROR(__xludf.DUMMYFUNCTION("""COMPUTED_VALUE"""),3.0)</f>
        <v>3</v>
      </c>
      <c r="G902" s="267">
        <f>IFERROR(__xludf.DUMMYFUNCTION("""COMPUTED_VALUE"""),2.0)</f>
        <v>2</v>
      </c>
      <c r="H902" s="268">
        <f>IFERROR(__xludf.DUMMYFUNCTION("""COMPUTED_VALUE"""),152.51)</f>
        <v>152.51</v>
      </c>
      <c r="I902" s="268">
        <f>IFERROR(__xludf.DUMMYFUNCTION("""COMPUTED_VALUE"""),366.024)</f>
        <v>366.024</v>
      </c>
      <c r="J902" s="257">
        <f t="shared" si="1"/>
        <v>6</v>
      </c>
      <c r="K902" s="265"/>
      <c r="L902" s="265"/>
      <c r="M902" s="264"/>
      <c r="N902" s="270"/>
      <c r="O902" s="271"/>
      <c r="P902" s="271"/>
      <c r="Q902" s="272"/>
      <c r="R902" s="273"/>
      <c r="S902" s="273"/>
      <c r="T902" s="273"/>
      <c r="U902" s="274"/>
      <c r="V902" s="266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</row>
    <row r="903">
      <c r="A903" s="263">
        <f>IFERROR(__xludf.DUMMYFUNCTION("""COMPUTED_VALUE"""),8472757.0)</f>
        <v>8472757</v>
      </c>
      <c r="B903" s="264" t="str">
        <f>IFERROR(__xludf.DUMMYFUNCTION("""COMPUTED_VALUE"""),"BookingCom")</f>
        <v>BookingCom</v>
      </c>
      <c r="C903" s="265" t="str">
        <f>IFERROR(__xludf.DUMMYFUNCTION("""COMPUTED_VALUE"""),"Alexandre Alberto Arruda Pecora ")</f>
        <v>Alexandre Alberto Arruda Pecora </v>
      </c>
      <c r="D903" s="266">
        <f>IFERROR(__xludf.DUMMYFUNCTION("""COMPUTED_VALUE"""),46223.0)</f>
        <v>46223</v>
      </c>
      <c r="E903" s="263">
        <f>IFERROR(__xludf.DUMMYFUNCTION("""COMPUTED_VALUE"""),46224.0)</f>
        <v>46224</v>
      </c>
      <c r="F903" s="267">
        <f>IFERROR(__xludf.DUMMYFUNCTION("""COMPUTED_VALUE"""),1.0)</f>
        <v>1</v>
      </c>
      <c r="G903" s="267">
        <f>IFERROR(__xludf.DUMMYFUNCTION("""COMPUTED_VALUE"""),2.0)</f>
        <v>2</v>
      </c>
      <c r="H903" s="268">
        <f>IFERROR(__xludf.DUMMYFUNCTION("""COMPUTED_VALUE"""),152.51)</f>
        <v>152.51</v>
      </c>
      <c r="I903" s="268">
        <f>IFERROR(__xludf.DUMMYFUNCTION("""COMPUTED_VALUE"""),122.008)</f>
        <v>122.008</v>
      </c>
      <c r="J903" s="257">
        <f t="shared" si="1"/>
        <v>2</v>
      </c>
      <c r="K903" s="265"/>
      <c r="L903" s="265"/>
      <c r="M903" s="269"/>
      <c r="N903" s="270"/>
      <c r="O903" s="271"/>
      <c r="P903" s="271"/>
      <c r="Q903" s="272"/>
      <c r="R903" s="273"/>
      <c r="S903" s="273"/>
      <c r="T903" s="273"/>
      <c r="U903" s="274"/>
      <c r="V903" s="263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</row>
    <row r="904">
      <c r="A904" s="263">
        <f>IFERROR(__xludf.DUMMYFUNCTION("""COMPUTED_VALUE"""),8475898.0)</f>
        <v>8475898</v>
      </c>
      <c r="B904" s="264" t="str">
        <f>IFERROR(__xludf.DUMMYFUNCTION("""COMPUTED_VALUE"""),"Reseliva Pannel")</f>
        <v>Reseliva Pannel</v>
      </c>
      <c r="C904" s="265" t="str">
        <f>IFERROR(__xludf.DUMMYFUNCTION("""COMPUTED_VALUE"""),"Safacan Kesat ")</f>
        <v>Safacan Kesat </v>
      </c>
      <c r="D904" s="266">
        <f>IFERROR(__xludf.DUMMYFUNCTION("""COMPUTED_VALUE"""),46140.0)</f>
        <v>46140</v>
      </c>
      <c r="E904" s="266">
        <f>IFERROR(__xludf.DUMMYFUNCTION("""COMPUTED_VALUE"""),46143.0)</f>
        <v>46143</v>
      </c>
      <c r="F904" s="267">
        <f>IFERROR(__xludf.DUMMYFUNCTION("""COMPUTED_VALUE"""),3.0)</f>
        <v>3</v>
      </c>
      <c r="G904" s="267">
        <f>IFERROR(__xludf.DUMMYFUNCTION("""COMPUTED_VALUE"""),2.0)</f>
        <v>2</v>
      </c>
      <c r="H904" s="268">
        <f>IFERROR(__xludf.DUMMYFUNCTION("""COMPUTED_VALUE"""),270.0)</f>
        <v>270</v>
      </c>
      <c r="I904" s="268">
        <f>IFERROR(__xludf.DUMMYFUNCTION("""COMPUTED_VALUE"""),810.0)</f>
        <v>810</v>
      </c>
      <c r="J904" s="257">
        <f t="shared" si="1"/>
        <v>6</v>
      </c>
      <c r="K904" s="265"/>
      <c r="L904" s="265"/>
      <c r="M904" s="264"/>
      <c r="N904" s="270"/>
      <c r="O904" s="271"/>
      <c r="P904" s="271"/>
      <c r="Q904" s="272"/>
      <c r="R904" s="273"/>
      <c r="S904" s="273"/>
      <c r="T904" s="273"/>
      <c r="U904" s="274"/>
      <c r="V904" s="266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</row>
    <row r="905">
      <c r="A905" s="263">
        <f>IFERROR(__xludf.DUMMYFUNCTION("""COMPUTED_VALUE"""),8476183.0)</f>
        <v>8476183</v>
      </c>
      <c r="B905" s="264" t="str">
        <f>IFERROR(__xludf.DUMMYFUNCTION("""COMPUTED_VALUE"""),"BookingCom")</f>
        <v>BookingCom</v>
      </c>
      <c r="C905" s="265" t="str">
        <f>IFERROR(__xludf.DUMMYFUNCTION("""COMPUTED_VALUE"""),"Frans Grutters ")</f>
        <v>Frans Grutters </v>
      </c>
      <c r="D905" s="266">
        <f>IFERROR(__xludf.DUMMYFUNCTION("""COMPUTED_VALUE"""),46192.0)</f>
        <v>46192</v>
      </c>
      <c r="E905" s="263">
        <f>IFERROR(__xludf.DUMMYFUNCTION("""COMPUTED_VALUE"""),46195.0)</f>
        <v>46195</v>
      </c>
      <c r="F905" s="267">
        <f>IFERROR(__xludf.DUMMYFUNCTION("""COMPUTED_VALUE"""),3.0)</f>
        <v>3</v>
      </c>
      <c r="G905" s="267">
        <f>IFERROR(__xludf.DUMMYFUNCTION("""COMPUTED_VALUE"""),2.0)</f>
        <v>2</v>
      </c>
      <c r="H905" s="268">
        <f>IFERROR(__xludf.DUMMYFUNCTION("""COMPUTED_VALUE"""),130.47)</f>
        <v>130.47</v>
      </c>
      <c r="I905" s="268">
        <f>IFERROR(__xludf.DUMMYFUNCTION("""COMPUTED_VALUE"""),313.12800000000004)</f>
        <v>313.128</v>
      </c>
      <c r="J905" s="257">
        <f t="shared" si="1"/>
        <v>6</v>
      </c>
      <c r="K905" s="265"/>
      <c r="L905" s="265"/>
      <c r="M905" s="264"/>
      <c r="N905" s="270"/>
      <c r="O905" s="271"/>
      <c r="P905" s="271"/>
      <c r="Q905" s="272"/>
      <c r="R905" s="273"/>
      <c r="S905" s="273"/>
      <c r="T905" s="273"/>
      <c r="U905" s="274"/>
      <c r="V905" s="263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</row>
    <row r="906">
      <c r="A906" s="263">
        <f>IFERROR(__xludf.DUMMYFUNCTION("""COMPUTED_VALUE"""),8476337.0)</f>
        <v>8476337</v>
      </c>
      <c r="B906" s="264" t="str">
        <f>IFERROR(__xludf.DUMMYFUNCTION("""COMPUTED_VALUE"""),"HotelBeds")</f>
        <v>HotelBeds</v>
      </c>
      <c r="C906" s="265" t="str">
        <f>IFERROR(__xludf.DUMMYFUNCTION("""COMPUTED_VALUE"""),"PABLO SANFELIU ARBOIX ")</f>
        <v>PABLO SANFELIU ARBOIX </v>
      </c>
      <c r="D906" s="266">
        <f>IFERROR(__xludf.DUMMYFUNCTION("""COMPUTED_VALUE"""),46163.0)</f>
        <v>46163</v>
      </c>
      <c r="E906" s="263">
        <f>IFERROR(__xludf.DUMMYFUNCTION("""COMPUTED_VALUE"""),46164.0)</f>
        <v>46164</v>
      </c>
      <c r="F906" s="267">
        <f>IFERROR(__xludf.DUMMYFUNCTION("""COMPUTED_VALUE"""),1.0)</f>
        <v>1</v>
      </c>
      <c r="G906" s="267">
        <f>IFERROR(__xludf.DUMMYFUNCTION("""COMPUTED_VALUE"""),2.0)</f>
        <v>2</v>
      </c>
      <c r="H906" s="268">
        <f>IFERROR(__xludf.DUMMYFUNCTION("""COMPUTED_VALUE"""),300.24)</f>
        <v>300.24</v>
      </c>
      <c r="I906" s="268">
        <f>IFERROR(__xludf.DUMMYFUNCTION("""COMPUTED_VALUE"""),240.192)</f>
        <v>240.192</v>
      </c>
      <c r="J906" s="257">
        <f t="shared" si="1"/>
        <v>2</v>
      </c>
      <c r="K906" s="265"/>
      <c r="L906" s="265"/>
      <c r="M906" s="269"/>
      <c r="N906" s="270"/>
      <c r="O906" s="271"/>
      <c r="P906" s="271"/>
      <c r="Q906" s="272"/>
      <c r="R906" s="273"/>
      <c r="S906" s="273"/>
      <c r="T906" s="273"/>
      <c r="U906" s="274"/>
      <c r="V906" s="266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</row>
    <row r="907">
      <c r="A907" s="263">
        <f>IFERROR(__xludf.DUMMYFUNCTION("""COMPUTED_VALUE"""),8476641.0)</f>
        <v>8476641</v>
      </c>
      <c r="B907" s="264" t="str">
        <f>IFERROR(__xludf.DUMMYFUNCTION("""COMPUTED_VALUE"""),"BookingCom")</f>
        <v>BookingCom</v>
      </c>
      <c r="C907" s="265" t="str">
        <f>IFERROR(__xludf.DUMMYFUNCTION("""COMPUTED_VALUE"""),"Sabine Schindler ")</f>
        <v>Sabine Schindler </v>
      </c>
      <c r="D907" s="266">
        <f>IFERROR(__xludf.DUMMYFUNCTION("""COMPUTED_VALUE"""),46282.0)</f>
        <v>46282</v>
      </c>
      <c r="E907" s="263">
        <f>IFERROR(__xludf.DUMMYFUNCTION("""COMPUTED_VALUE"""),46290.0)</f>
        <v>46290</v>
      </c>
      <c r="F907" s="267">
        <f>IFERROR(__xludf.DUMMYFUNCTION("""COMPUTED_VALUE"""),4.0)</f>
        <v>4</v>
      </c>
      <c r="G907" s="267">
        <f>IFERROR(__xludf.DUMMYFUNCTION("""COMPUTED_VALUE"""),2.0)</f>
        <v>2</v>
      </c>
      <c r="H907" s="268">
        <f>IFERROR(__xludf.DUMMYFUNCTION("""COMPUTED_VALUE"""),131.86)</f>
        <v>131.86</v>
      </c>
      <c r="I907" s="268">
        <f>IFERROR(__xludf.DUMMYFUNCTION("""COMPUTED_VALUE"""),421.95200000000006)</f>
        <v>421.952</v>
      </c>
      <c r="J907" s="257">
        <f t="shared" si="1"/>
        <v>8</v>
      </c>
      <c r="K907" s="265"/>
      <c r="L907" s="265"/>
      <c r="M907" s="269"/>
      <c r="N907" s="270"/>
      <c r="O907" s="271"/>
      <c r="P907" s="271"/>
      <c r="Q907" s="272"/>
      <c r="R907" s="273"/>
      <c r="S907" s="273"/>
      <c r="T907" s="273"/>
      <c r="U907" s="274"/>
      <c r="V907" s="266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</row>
    <row r="908">
      <c r="A908" s="263">
        <f>IFERROR(__xludf.DUMMYFUNCTION("""COMPUTED_VALUE"""),8476654.0)</f>
        <v>8476654</v>
      </c>
      <c r="B908" s="264" t="str">
        <f>IFERROR(__xludf.DUMMYFUNCTION("""COMPUTED_VALUE"""),"BookingCom")</f>
        <v>BookingCom</v>
      </c>
      <c r="C908" s="265" t="str">
        <f>IFERROR(__xludf.DUMMYFUNCTION("""COMPUTED_VALUE"""),"Marion Sommer ")</f>
        <v>Marion Sommer </v>
      </c>
      <c r="D908" s="266">
        <f>IFERROR(__xludf.DUMMYFUNCTION("""COMPUTED_VALUE"""),46282.0)</f>
        <v>46282</v>
      </c>
      <c r="E908" s="263">
        <f>IFERROR(__xludf.DUMMYFUNCTION("""COMPUTED_VALUE"""),46290.0)</f>
        <v>46290</v>
      </c>
      <c r="F908" s="267">
        <f>IFERROR(__xludf.DUMMYFUNCTION("""COMPUTED_VALUE"""),4.0)</f>
        <v>4</v>
      </c>
      <c r="G908" s="267">
        <f>IFERROR(__xludf.DUMMYFUNCTION("""COMPUTED_VALUE"""),2.0)</f>
        <v>2</v>
      </c>
      <c r="H908" s="268">
        <f>IFERROR(__xludf.DUMMYFUNCTION("""COMPUTED_VALUE"""),118.91)</f>
        <v>118.91</v>
      </c>
      <c r="I908" s="268">
        <f>IFERROR(__xludf.DUMMYFUNCTION("""COMPUTED_VALUE"""),380.512)</f>
        <v>380.512</v>
      </c>
      <c r="J908" s="257">
        <f t="shared" si="1"/>
        <v>8</v>
      </c>
      <c r="K908" s="265"/>
      <c r="L908" s="265"/>
      <c r="M908" s="264"/>
      <c r="N908" s="270"/>
      <c r="O908" s="271"/>
      <c r="P908" s="271"/>
      <c r="Q908" s="272"/>
      <c r="R908" s="273"/>
      <c r="S908" s="273"/>
      <c r="T908" s="273"/>
      <c r="U908" s="274"/>
      <c r="V908" s="266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</row>
    <row r="909">
      <c r="A909" s="263">
        <f>IFERROR(__xludf.DUMMYFUNCTION("""COMPUTED_VALUE"""),8479791.0)</f>
        <v>8479791</v>
      </c>
      <c r="B909" s="264" t="str">
        <f>IFERROR(__xludf.DUMMYFUNCTION("""COMPUTED_VALUE"""),"Reseliva")</f>
        <v>Reseliva</v>
      </c>
      <c r="C909" s="265" t="str">
        <f>IFERROR(__xludf.DUMMYFUNCTION("""COMPUTED_VALUE"""),"Group Anna ")</f>
        <v>Group Anna </v>
      </c>
      <c r="D909" s="266">
        <f>IFERROR(__xludf.DUMMYFUNCTION("""COMPUTED_VALUE"""),46310.0)</f>
        <v>46310</v>
      </c>
      <c r="E909" s="266">
        <f>IFERROR(__xludf.DUMMYFUNCTION("""COMPUTED_VALUE"""),46311.0)</f>
        <v>46311</v>
      </c>
      <c r="F909" s="267">
        <f>IFERROR(__xludf.DUMMYFUNCTION("""COMPUTED_VALUE"""),1.0)</f>
        <v>1</v>
      </c>
      <c r="G909" s="267">
        <f>IFERROR(__xludf.DUMMYFUNCTION("""COMPUTED_VALUE"""),2.0)</f>
        <v>2</v>
      </c>
      <c r="H909" s="268">
        <f>IFERROR(__xludf.DUMMYFUNCTION("""COMPUTED_VALUE"""),174.96)</f>
        <v>174.96</v>
      </c>
      <c r="I909" s="268">
        <f>IFERROR(__xludf.DUMMYFUNCTION("""COMPUTED_VALUE"""),173.2104)</f>
        <v>173.2104</v>
      </c>
      <c r="J909" s="257">
        <f t="shared" si="1"/>
        <v>2</v>
      </c>
      <c r="K909" s="265"/>
      <c r="L909" s="265"/>
      <c r="M909" s="264"/>
      <c r="N909" s="270"/>
      <c r="O909" s="271"/>
      <c r="P909" s="271"/>
      <c r="Q909" s="272"/>
      <c r="R909" s="273"/>
      <c r="S909" s="273"/>
      <c r="T909" s="273"/>
      <c r="U909" s="274"/>
      <c r="V909" s="266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</row>
    <row r="910">
      <c r="A910" s="263">
        <f>IFERROR(__xludf.DUMMYFUNCTION("""COMPUTED_VALUE"""),8479802.0)</f>
        <v>8479802</v>
      </c>
      <c r="B910" s="264" t="str">
        <f>IFERROR(__xludf.DUMMYFUNCTION("""COMPUTED_VALUE"""),"Reseliva Pannel")</f>
        <v>Reseliva Pannel</v>
      </c>
      <c r="C910" s="265" t="str">
        <f>IFERROR(__xludf.DUMMYFUNCTION("""COMPUTED_VALUE"""),"Group Anna ")</f>
        <v>Group Anna </v>
      </c>
      <c r="D910" s="266">
        <f>IFERROR(__xludf.DUMMYFUNCTION("""COMPUTED_VALUE"""),46331.0)</f>
        <v>46331</v>
      </c>
      <c r="E910" s="263">
        <f>IFERROR(__xludf.DUMMYFUNCTION("""COMPUTED_VALUE"""),46332.0)</f>
        <v>46332</v>
      </c>
      <c r="F910" s="267">
        <f>IFERROR(__xludf.DUMMYFUNCTION("""COMPUTED_VALUE"""),1.0)</f>
        <v>1</v>
      </c>
      <c r="G910" s="267">
        <f>IFERROR(__xludf.DUMMYFUNCTION("""COMPUTED_VALUE"""),2.0)</f>
        <v>2</v>
      </c>
      <c r="H910" s="268">
        <f>IFERROR(__xludf.DUMMYFUNCTION("""COMPUTED_VALUE"""),499.68)</f>
        <v>499.68</v>
      </c>
      <c r="I910" s="268">
        <f>IFERROR(__xludf.DUMMYFUNCTION("""COMPUTED_VALUE"""),499.68)</f>
        <v>499.68</v>
      </c>
      <c r="J910" s="257">
        <f t="shared" si="1"/>
        <v>2</v>
      </c>
      <c r="K910" s="265"/>
      <c r="L910" s="265"/>
      <c r="M910" s="264"/>
      <c r="N910" s="270"/>
      <c r="O910" s="271"/>
      <c r="P910" s="271"/>
      <c r="Q910" s="272"/>
      <c r="R910" s="273"/>
      <c r="S910" s="273"/>
      <c r="T910" s="273"/>
      <c r="U910" s="274"/>
      <c r="V910" s="266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</row>
    <row r="911">
      <c r="A911" s="263">
        <f>IFERROR(__xludf.DUMMYFUNCTION("""COMPUTED_VALUE"""),8480560.0)</f>
        <v>8480560</v>
      </c>
      <c r="B911" s="264" t="str">
        <f>IFERROR(__xludf.DUMMYFUNCTION("""COMPUTED_VALUE"""),"BookingCom")</f>
        <v>BookingCom</v>
      </c>
      <c r="C911" s="265" t="str">
        <f>IFERROR(__xludf.DUMMYFUNCTION("""COMPUTED_VALUE"""),"Ornella De Pretto ")</f>
        <v>Ornella De Pretto </v>
      </c>
      <c r="D911" s="266">
        <f>IFERROR(__xludf.DUMMYFUNCTION("""COMPUTED_VALUE"""),46171.0)</f>
        <v>46171</v>
      </c>
      <c r="E911" s="263">
        <f>IFERROR(__xludf.DUMMYFUNCTION("""COMPUTED_VALUE"""),46173.0)</f>
        <v>46173</v>
      </c>
      <c r="F911" s="267">
        <f>IFERROR(__xludf.DUMMYFUNCTION("""COMPUTED_VALUE"""),2.0)</f>
        <v>2</v>
      </c>
      <c r="G911" s="267">
        <f>IFERROR(__xludf.DUMMYFUNCTION("""COMPUTED_VALUE"""),2.0)</f>
        <v>2</v>
      </c>
      <c r="H911" s="268">
        <f>IFERROR(__xludf.DUMMYFUNCTION("""COMPUTED_VALUE"""),222.03)</f>
        <v>222.03</v>
      </c>
      <c r="I911" s="268">
        <f>IFERROR(__xludf.DUMMYFUNCTION("""COMPUTED_VALUE"""),355.24800000000005)</f>
        <v>355.248</v>
      </c>
      <c r="J911" s="257">
        <f t="shared" si="1"/>
        <v>4</v>
      </c>
      <c r="K911" s="265"/>
      <c r="L911" s="265"/>
      <c r="M911" s="269"/>
      <c r="N911" s="270"/>
      <c r="O911" s="271"/>
      <c r="P911" s="271"/>
      <c r="Q911" s="272"/>
      <c r="R911" s="273"/>
      <c r="S911" s="273"/>
      <c r="T911" s="273"/>
      <c r="U911" s="274"/>
      <c r="V911" s="263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</row>
    <row r="912">
      <c r="A912" s="263">
        <f>IFERROR(__xludf.DUMMYFUNCTION("""COMPUTED_VALUE"""),8482087.0)</f>
        <v>8482087</v>
      </c>
      <c r="B912" s="264" t="str">
        <f>IFERROR(__xludf.DUMMYFUNCTION("""COMPUTED_VALUE"""),"BookingCom")</f>
        <v>BookingCom</v>
      </c>
      <c r="C912" s="265" t="str">
        <f>IFERROR(__xludf.DUMMYFUNCTION("""COMPUTED_VALUE"""),"Sharon Zhou ")</f>
        <v>Sharon Zhou </v>
      </c>
      <c r="D912" s="266">
        <f>IFERROR(__xludf.DUMMYFUNCTION("""COMPUTED_VALUE"""),46151.0)</f>
        <v>46151</v>
      </c>
      <c r="E912" s="263">
        <f>IFERROR(__xludf.DUMMYFUNCTION("""COMPUTED_VALUE"""),46152.0)</f>
        <v>46152</v>
      </c>
      <c r="F912" s="267">
        <f>IFERROR(__xludf.DUMMYFUNCTION("""COMPUTED_VALUE"""),1.0)</f>
        <v>1</v>
      </c>
      <c r="G912" s="267">
        <f>IFERROR(__xludf.DUMMYFUNCTION("""COMPUTED_VALUE"""),2.0)</f>
        <v>2</v>
      </c>
      <c r="H912" s="268">
        <f>IFERROR(__xludf.DUMMYFUNCTION("""COMPUTED_VALUE"""),187.01)</f>
        <v>187.01</v>
      </c>
      <c r="I912" s="268">
        <f>IFERROR(__xludf.DUMMYFUNCTION("""COMPUTED_VALUE"""),149.608)</f>
        <v>149.608</v>
      </c>
      <c r="J912" s="257">
        <f t="shared" si="1"/>
        <v>2</v>
      </c>
      <c r="K912" s="265"/>
      <c r="L912" s="265"/>
      <c r="M912" s="264"/>
      <c r="N912" s="270"/>
      <c r="O912" s="271"/>
      <c r="P912" s="271"/>
      <c r="Q912" s="283"/>
      <c r="R912" s="273"/>
      <c r="S912" s="273"/>
      <c r="T912" s="273"/>
      <c r="U912" s="274"/>
      <c r="V912" s="266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</row>
    <row r="913">
      <c r="A913" s="263">
        <f>IFERROR(__xludf.DUMMYFUNCTION("""COMPUTED_VALUE"""),8483595.0)</f>
        <v>8483595</v>
      </c>
      <c r="B913" s="264" t="str">
        <f>IFERROR(__xludf.DUMMYFUNCTION("""COMPUTED_VALUE"""),"BookingCom")</f>
        <v>BookingCom</v>
      </c>
      <c r="C913" s="265" t="str">
        <f>IFERROR(__xludf.DUMMYFUNCTION("""COMPUTED_VALUE"""),"Marcio Bonifacio ")</f>
        <v>Marcio Bonifacio </v>
      </c>
      <c r="D913" s="266">
        <f>IFERROR(__xludf.DUMMYFUNCTION("""COMPUTED_VALUE"""),46185.0)</f>
        <v>46185</v>
      </c>
      <c r="E913" s="263">
        <f>IFERROR(__xludf.DUMMYFUNCTION("""COMPUTED_VALUE"""),46186.0)</f>
        <v>46186</v>
      </c>
      <c r="F913" s="267">
        <f>IFERROR(__xludf.DUMMYFUNCTION("""COMPUTED_VALUE"""),1.0)</f>
        <v>1</v>
      </c>
      <c r="G913" s="267">
        <f>IFERROR(__xludf.DUMMYFUNCTION("""COMPUTED_VALUE"""),3.0)</f>
        <v>3</v>
      </c>
      <c r="H913" s="268">
        <f>IFERROR(__xludf.DUMMYFUNCTION("""COMPUTED_VALUE"""),127.43)</f>
        <v>127.43</v>
      </c>
      <c r="I913" s="268">
        <f>IFERROR(__xludf.DUMMYFUNCTION("""COMPUTED_VALUE"""),101.94400000000002)</f>
        <v>101.944</v>
      </c>
      <c r="J913" s="257">
        <f t="shared" si="1"/>
        <v>3</v>
      </c>
      <c r="K913" s="265"/>
      <c r="L913" s="265"/>
      <c r="M913" s="264"/>
      <c r="N913" s="270"/>
      <c r="O913" s="271"/>
      <c r="P913" s="271"/>
      <c r="Q913" s="272"/>
      <c r="R913" s="273"/>
      <c r="S913" s="273"/>
      <c r="T913" s="273"/>
      <c r="U913" s="274"/>
      <c r="V913" s="266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</row>
    <row r="914">
      <c r="A914" s="263">
        <f>IFERROR(__xludf.DUMMYFUNCTION("""COMPUTED_VALUE"""),8484790.0)</f>
        <v>8484790</v>
      </c>
      <c r="B914" s="264" t="str">
        <f>IFERROR(__xludf.DUMMYFUNCTION("""COMPUTED_VALUE"""),"Reseliva Pannel")</f>
        <v>Reseliva Pannel</v>
      </c>
      <c r="C914" s="265" t="str">
        <f>IFERROR(__xludf.DUMMYFUNCTION("""COMPUTED_VALUE"""),"sian salter ")</f>
        <v>sian salter </v>
      </c>
      <c r="D914" s="266">
        <f>IFERROR(__xludf.DUMMYFUNCTION("""COMPUTED_VALUE"""),46143.0)</f>
        <v>46143</v>
      </c>
      <c r="E914" s="263">
        <f>IFERROR(__xludf.DUMMYFUNCTION("""COMPUTED_VALUE"""),46144.0)</f>
        <v>46144</v>
      </c>
      <c r="F914" s="267">
        <f>IFERROR(__xludf.DUMMYFUNCTION("""COMPUTED_VALUE"""),1.0)</f>
        <v>1</v>
      </c>
      <c r="G914" s="267">
        <f>IFERROR(__xludf.DUMMYFUNCTION("""COMPUTED_VALUE"""),2.0)</f>
        <v>2</v>
      </c>
      <c r="H914" s="268">
        <f>IFERROR(__xludf.DUMMYFUNCTION("""COMPUTED_VALUE"""),270.0)</f>
        <v>270</v>
      </c>
      <c r="I914" s="268">
        <f>IFERROR(__xludf.DUMMYFUNCTION("""COMPUTED_VALUE"""),270.0)</f>
        <v>270</v>
      </c>
      <c r="J914" s="257">
        <f t="shared" si="1"/>
        <v>2</v>
      </c>
      <c r="K914" s="265"/>
      <c r="L914" s="265"/>
      <c r="M914" s="264"/>
      <c r="N914" s="270"/>
      <c r="O914" s="271"/>
      <c r="P914" s="271"/>
      <c r="Q914" s="272"/>
      <c r="R914" s="273"/>
      <c r="S914" s="273"/>
      <c r="T914" s="273"/>
      <c r="U914" s="274"/>
      <c r="V914" s="266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</row>
    <row r="915">
      <c r="A915" s="263">
        <f>IFERROR(__xludf.DUMMYFUNCTION("""COMPUTED_VALUE"""),8484829.0)</f>
        <v>8484829</v>
      </c>
      <c r="B915" s="264" t="str">
        <f>IFERROR(__xludf.DUMMYFUNCTION("""COMPUTED_VALUE"""),"Reseliva Pannel")</f>
        <v>Reseliva Pannel</v>
      </c>
      <c r="C915" s="265" t="str">
        <f>IFERROR(__xludf.DUMMYFUNCTION("""COMPUTED_VALUE"""),"sian salter ")</f>
        <v>sian salter </v>
      </c>
      <c r="D915" s="266">
        <f>IFERROR(__xludf.DUMMYFUNCTION("""COMPUTED_VALUE"""),46142.0)</f>
        <v>46142</v>
      </c>
      <c r="E915" s="263">
        <f>IFERROR(__xludf.DUMMYFUNCTION("""COMPUTED_VALUE"""),46143.0)</f>
        <v>46143</v>
      </c>
      <c r="F915" s="267">
        <f>IFERROR(__xludf.DUMMYFUNCTION("""COMPUTED_VALUE"""),1.0)</f>
        <v>1</v>
      </c>
      <c r="G915" s="267">
        <f>IFERROR(__xludf.DUMMYFUNCTION("""COMPUTED_VALUE"""),2.0)</f>
        <v>2</v>
      </c>
      <c r="H915" s="268">
        <f>IFERROR(__xludf.DUMMYFUNCTION("""COMPUTED_VALUE"""),210.24)</f>
        <v>210.24</v>
      </c>
      <c r="I915" s="268">
        <f>IFERROR(__xludf.DUMMYFUNCTION("""COMPUTED_VALUE"""),210.24)</f>
        <v>210.24</v>
      </c>
      <c r="J915" s="257">
        <f t="shared" si="1"/>
        <v>2</v>
      </c>
      <c r="K915" s="265"/>
      <c r="L915" s="265"/>
      <c r="M915" s="264"/>
      <c r="N915" s="270"/>
      <c r="O915" s="271"/>
      <c r="P915" s="271"/>
      <c r="Q915" s="272"/>
      <c r="R915" s="273"/>
      <c r="S915" s="273"/>
      <c r="T915" s="273"/>
      <c r="U915" s="274"/>
      <c r="V915" s="266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</row>
    <row r="916">
      <c r="A916" s="165">
        <f>IFERROR(__xludf.DUMMYFUNCTION("""COMPUTED_VALUE"""),8484914.0)</f>
        <v>8484914</v>
      </c>
      <c r="B916" s="166" t="str">
        <f>IFERROR(__xludf.DUMMYFUNCTION("""COMPUTED_VALUE"""),"BookingCom")</f>
        <v>BookingCom</v>
      </c>
      <c r="C916" s="166" t="str">
        <f>IFERROR(__xludf.DUMMYFUNCTION("""COMPUTED_VALUE"""),"Riccardo Esposito ")</f>
        <v>Riccardo Esposito </v>
      </c>
      <c r="D916" s="165">
        <f>IFERROR(__xludf.DUMMYFUNCTION("""COMPUTED_VALUE"""),46174.0)</f>
        <v>46174</v>
      </c>
      <c r="E916" s="165">
        <f>IFERROR(__xludf.DUMMYFUNCTION("""COMPUTED_VALUE"""),46178.0)</f>
        <v>46178</v>
      </c>
      <c r="F916" s="377">
        <f>IFERROR(__xludf.DUMMYFUNCTION("""COMPUTED_VALUE"""),4.0)</f>
        <v>4</v>
      </c>
      <c r="G916" s="377">
        <f>IFERROR(__xludf.DUMMYFUNCTION("""COMPUTED_VALUE"""),2.0)</f>
        <v>2</v>
      </c>
      <c r="H916" s="378">
        <f>IFERROR(__xludf.DUMMYFUNCTION("""COMPUTED_VALUE"""),133.25)</f>
        <v>133.25</v>
      </c>
      <c r="I916" s="378">
        <f>IFERROR(__xludf.DUMMYFUNCTION("""COMPUTED_VALUE"""),426.40000000000003)</f>
        <v>426.4</v>
      </c>
      <c r="J916" s="257">
        <f t="shared" si="1"/>
        <v>8</v>
      </c>
      <c r="K916" s="166"/>
      <c r="L916" s="166"/>
      <c r="M916" s="166"/>
      <c r="N916" s="170"/>
      <c r="O916" s="171"/>
      <c r="P916" s="171"/>
      <c r="Q916" s="172"/>
      <c r="R916" s="173"/>
      <c r="S916" s="173"/>
      <c r="T916" s="173"/>
      <c r="U916" s="174"/>
      <c r="V916" s="16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</row>
    <row r="917">
      <c r="A917" s="165">
        <f>IFERROR(__xludf.DUMMYFUNCTION("""COMPUTED_VALUE"""),8485832.0)</f>
        <v>8485832</v>
      </c>
      <c r="B917" s="166" t="str">
        <f>IFERROR(__xludf.DUMMYFUNCTION("""COMPUTED_VALUE"""),"BookingCom")</f>
        <v>BookingCom</v>
      </c>
      <c r="C917" s="166" t="str">
        <f>IFERROR(__xludf.DUMMYFUNCTION("""COMPUTED_VALUE"""),"laure marziac ")</f>
        <v>laure marziac </v>
      </c>
      <c r="D917" s="165">
        <f>IFERROR(__xludf.DUMMYFUNCTION("""COMPUTED_VALUE"""),46283.0)</f>
        <v>46283</v>
      </c>
      <c r="E917" s="165">
        <f>IFERROR(__xludf.DUMMYFUNCTION("""COMPUTED_VALUE"""),46290.0)</f>
        <v>46290</v>
      </c>
      <c r="F917" s="377">
        <f>IFERROR(__xludf.DUMMYFUNCTION("""COMPUTED_VALUE"""),3.0)</f>
        <v>3</v>
      </c>
      <c r="G917" s="377">
        <f>IFERROR(__xludf.DUMMYFUNCTION("""COMPUTED_VALUE"""),2.0)</f>
        <v>2</v>
      </c>
      <c r="H917" s="378">
        <f>IFERROR(__xludf.DUMMYFUNCTION("""COMPUTED_VALUE"""),153.53)</f>
        <v>153.53</v>
      </c>
      <c r="I917" s="378">
        <f>IFERROR(__xludf.DUMMYFUNCTION("""COMPUTED_VALUE"""),368.47200000000004)</f>
        <v>368.472</v>
      </c>
      <c r="J917" s="257">
        <f t="shared" si="1"/>
        <v>6</v>
      </c>
      <c r="K917" s="166"/>
      <c r="L917" s="166"/>
      <c r="M917" s="205"/>
      <c r="N917" s="170"/>
      <c r="O917" s="171"/>
      <c r="P917" s="171"/>
      <c r="Q917" s="172"/>
      <c r="R917" s="173"/>
      <c r="S917" s="173"/>
      <c r="T917" s="173"/>
      <c r="U917" s="174"/>
      <c r="V917" s="16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</row>
    <row r="918">
      <c r="A918" s="263">
        <f>IFERROR(__xludf.DUMMYFUNCTION("""COMPUTED_VALUE"""),8486830.0)</f>
        <v>8486830</v>
      </c>
      <c r="B918" s="264" t="str">
        <f>IFERROR(__xludf.DUMMYFUNCTION("""COMPUTED_VALUE"""),"BookingCom")</f>
        <v>BookingCom</v>
      </c>
      <c r="C918" s="265" t="str">
        <f>IFERROR(__xludf.DUMMYFUNCTION("""COMPUTED_VALUE"""),"Karim Hachem ")</f>
        <v>Karim Hachem </v>
      </c>
      <c r="D918" s="266">
        <f>IFERROR(__xludf.DUMMYFUNCTION("""COMPUTED_VALUE"""),46166.0)</f>
        <v>46166</v>
      </c>
      <c r="E918" s="266">
        <f>IFERROR(__xludf.DUMMYFUNCTION("""COMPUTED_VALUE"""),46169.0)</f>
        <v>46169</v>
      </c>
      <c r="F918" s="267">
        <f>IFERROR(__xludf.DUMMYFUNCTION("""COMPUTED_VALUE"""),3.0)</f>
        <v>3</v>
      </c>
      <c r="G918" s="267">
        <f>IFERROR(__xludf.DUMMYFUNCTION("""COMPUTED_VALUE"""),2.0)</f>
        <v>2</v>
      </c>
      <c r="H918" s="268">
        <f>IFERROR(__xludf.DUMMYFUNCTION("""COMPUTED_VALUE"""),179.37)</f>
        <v>179.37</v>
      </c>
      <c r="I918" s="268">
        <f>IFERROR(__xludf.DUMMYFUNCTION("""COMPUTED_VALUE"""),430.48800000000006)</f>
        <v>430.488</v>
      </c>
      <c r="J918" s="257">
        <f t="shared" si="1"/>
        <v>6</v>
      </c>
      <c r="K918" s="265"/>
      <c r="L918" s="265"/>
      <c r="M918" s="269"/>
      <c r="N918" s="270"/>
      <c r="O918" s="271"/>
      <c r="P918" s="271"/>
      <c r="Q918" s="272"/>
      <c r="R918" s="273"/>
      <c r="S918" s="273"/>
      <c r="T918" s="273"/>
      <c r="U918" s="274"/>
      <c r="V918" s="266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</row>
    <row r="919">
      <c r="A919" s="263">
        <f>IFERROR(__xludf.DUMMYFUNCTION("""COMPUTED_VALUE"""),8488432.0)</f>
        <v>8488432</v>
      </c>
      <c r="B919" s="264" t="str">
        <f>IFERROR(__xludf.DUMMYFUNCTION("""COMPUTED_VALUE"""),"Reseliva Pannel")</f>
        <v>Reseliva Pannel</v>
      </c>
      <c r="C919" s="265" t="str">
        <f>IFERROR(__xludf.DUMMYFUNCTION("""COMPUTED_VALUE"""),"client direct ")</f>
        <v>client direct </v>
      </c>
      <c r="D919" s="266">
        <f>IFERROR(__xludf.DUMMYFUNCTION("""COMPUTED_VALUE"""),46143.0)</f>
        <v>46143</v>
      </c>
      <c r="E919" s="263">
        <f>IFERROR(__xludf.DUMMYFUNCTION("""COMPUTED_VALUE"""),46144.0)</f>
        <v>46144</v>
      </c>
      <c r="F919" s="267">
        <f>IFERROR(__xludf.DUMMYFUNCTION("""COMPUTED_VALUE"""),1.0)</f>
        <v>1</v>
      </c>
      <c r="G919" s="267">
        <f>IFERROR(__xludf.DUMMYFUNCTION("""COMPUTED_VALUE"""),2.0)</f>
        <v>2</v>
      </c>
      <c r="H919" s="268">
        <f>IFERROR(__xludf.DUMMYFUNCTION("""COMPUTED_VALUE"""),210.24)</f>
        <v>210.24</v>
      </c>
      <c r="I919" s="268">
        <f>IFERROR(__xludf.DUMMYFUNCTION("""COMPUTED_VALUE"""),210.24)</f>
        <v>210.24</v>
      </c>
      <c r="J919" s="257">
        <f t="shared" si="1"/>
        <v>2</v>
      </c>
      <c r="K919" s="265"/>
      <c r="L919" s="265"/>
      <c r="M919" s="269"/>
      <c r="N919" s="270"/>
      <c r="O919" s="271"/>
      <c r="P919" s="271"/>
      <c r="Q919" s="272"/>
      <c r="R919" s="273"/>
      <c r="S919" s="273"/>
      <c r="T919" s="273"/>
      <c r="U919" s="274"/>
      <c r="V919" s="266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</row>
    <row r="920">
      <c r="A920" s="263">
        <f>IFERROR(__xludf.DUMMYFUNCTION("""COMPUTED_VALUE"""),8488645.0)</f>
        <v>8488645</v>
      </c>
      <c r="B920" s="264" t="str">
        <f>IFERROR(__xludf.DUMMYFUNCTION("""COMPUTED_VALUE"""),"BookingCom")</f>
        <v>BookingCom</v>
      </c>
      <c r="C920" s="265" t="str">
        <f>IFERROR(__xludf.DUMMYFUNCTION("""COMPUTED_VALUE"""),"KATE KENNARD ")</f>
        <v>KATE KENNARD </v>
      </c>
      <c r="D920" s="266">
        <f>IFERROR(__xludf.DUMMYFUNCTION("""COMPUTED_VALUE"""),46390.0)</f>
        <v>46390</v>
      </c>
      <c r="E920" s="263">
        <f>IFERROR(__xludf.DUMMYFUNCTION("""COMPUTED_VALUE"""),46395.0)</f>
        <v>46395</v>
      </c>
      <c r="F920" s="267">
        <f>IFERROR(__xludf.DUMMYFUNCTION("""COMPUTED_VALUE"""),5.0)</f>
        <v>5</v>
      </c>
      <c r="G920" s="267">
        <f>IFERROR(__xludf.DUMMYFUNCTION("""COMPUTED_VALUE"""),2.0)</f>
        <v>2</v>
      </c>
      <c r="H920" s="268">
        <f>IFERROR(__xludf.DUMMYFUNCTION("""COMPUTED_VALUE"""),314.41999999999996)</f>
        <v>314.42</v>
      </c>
      <c r="I920" s="268">
        <f>IFERROR(__xludf.DUMMYFUNCTION("""COMPUTED_VALUE"""),1257.6799999999998)</f>
        <v>1257.68</v>
      </c>
      <c r="J920" s="257">
        <f t="shared" si="1"/>
        <v>10</v>
      </c>
      <c r="K920" s="265"/>
      <c r="L920" s="265"/>
      <c r="M920" s="264"/>
      <c r="N920" s="270"/>
      <c r="O920" s="271"/>
      <c r="P920" s="271"/>
      <c r="Q920" s="272"/>
      <c r="R920" s="273"/>
      <c r="S920" s="273"/>
      <c r="T920" s="273"/>
      <c r="U920" s="274"/>
      <c r="V920" s="266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</row>
    <row r="921">
      <c r="A921" s="263">
        <f>IFERROR(__xludf.DUMMYFUNCTION("""COMPUTED_VALUE"""),8488645.0)</f>
        <v>8488645</v>
      </c>
      <c r="B921" s="264" t="str">
        <f>IFERROR(__xludf.DUMMYFUNCTION("""COMPUTED_VALUE"""),"BookingCom")</f>
        <v>BookingCom</v>
      </c>
      <c r="C921" s="265" t="str">
        <f>IFERROR(__xludf.DUMMYFUNCTION("""COMPUTED_VALUE"""),"KATE KENNARD ")</f>
        <v>KATE KENNARD </v>
      </c>
      <c r="D921" s="266">
        <f>IFERROR(__xludf.DUMMYFUNCTION("""COMPUTED_VALUE"""),46390.0)</f>
        <v>46390</v>
      </c>
      <c r="E921" s="263">
        <f>IFERROR(__xludf.DUMMYFUNCTION("""COMPUTED_VALUE"""),46395.0)</f>
        <v>46395</v>
      </c>
      <c r="F921" s="267">
        <f>IFERROR(__xludf.DUMMYFUNCTION("""COMPUTED_VALUE"""),5.0)</f>
        <v>5</v>
      </c>
      <c r="G921" s="267">
        <f>IFERROR(__xludf.DUMMYFUNCTION("""COMPUTED_VALUE"""),2.0)</f>
        <v>2</v>
      </c>
      <c r="H921" s="268">
        <f>IFERROR(__xludf.DUMMYFUNCTION("""COMPUTED_VALUE"""),286.07)</f>
        <v>286.07</v>
      </c>
      <c r="I921" s="268">
        <f>IFERROR(__xludf.DUMMYFUNCTION("""COMPUTED_VALUE"""),1144.28)</f>
        <v>1144.28</v>
      </c>
      <c r="J921" s="257">
        <f t="shared" si="1"/>
        <v>10</v>
      </c>
      <c r="K921" s="265"/>
      <c r="L921" s="265"/>
      <c r="M921" s="264"/>
      <c r="N921" s="270"/>
      <c r="O921" s="271"/>
      <c r="P921" s="271"/>
      <c r="Q921" s="272"/>
      <c r="R921" s="273"/>
      <c r="S921" s="273"/>
      <c r="T921" s="273"/>
      <c r="U921" s="274"/>
      <c r="V921" s="266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</row>
    <row r="922">
      <c r="A922" s="263">
        <f>IFERROR(__xludf.DUMMYFUNCTION("""COMPUTED_VALUE"""),8490005.0)</f>
        <v>8490005</v>
      </c>
      <c r="B922" s="264" t="str">
        <f>IFERROR(__xludf.DUMMYFUNCTION("""COMPUTED_VALUE"""),"BookingCom")</f>
        <v>BookingCom</v>
      </c>
      <c r="C922" s="265" t="str">
        <f>IFERROR(__xludf.DUMMYFUNCTION("""COMPUTED_VALUE"""),"KATE KENNARD ")</f>
        <v>KATE KENNARD </v>
      </c>
      <c r="D922" s="266">
        <f>IFERROR(__xludf.DUMMYFUNCTION("""COMPUTED_VALUE"""),46390.0)</f>
        <v>46390</v>
      </c>
      <c r="E922" s="266">
        <f>IFERROR(__xludf.DUMMYFUNCTION("""COMPUTED_VALUE"""),46395.0)</f>
        <v>46395</v>
      </c>
      <c r="F922" s="267">
        <f>IFERROR(__xludf.DUMMYFUNCTION("""COMPUTED_VALUE"""),5.0)</f>
        <v>5</v>
      </c>
      <c r="G922" s="267">
        <f>IFERROR(__xludf.DUMMYFUNCTION("""COMPUTED_VALUE"""),2.0)</f>
        <v>2</v>
      </c>
      <c r="H922" s="268">
        <f>IFERROR(__xludf.DUMMYFUNCTION("""COMPUTED_VALUE"""),281.07)</f>
        <v>281.07</v>
      </c>
      <c r="I922" s="268">
        <f>IFERROR(__xludf.DUMMYFUNCTION("""COMPUTED_VALUE"""),1124.28)</f>
        <v>1124.28</v>
      </c>
      <c r="J922" s="257">
        <f t="shared" si="1"/>
        <v>10</v>
      </c>
      <c r="K922" s="265"/>
      <c r="L922" s="265"/>
      <c r="M922" s="269"/>
      <c r="N922" s="270"/>
      <c r="O922" s="271"/>
      <c r="P922" s="271"/>
      <c r="Q922" s="272"/>
      <c r="R922" s="273"/>
      <c r="S922" s="273"/>
      <c r="T922" s="273"/>
      <c r="U922" s="274"/>
      <c r="V922" s="266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</row>
    <row r="923">
      <c r="A923" s="263">
        <f>IFERROR(__xludf.DUMMYFUNCTION("""COMPUTED_VALUE"""),8490005.0)</f>
        <v>8490005</v>
      </c>
      <c r="B923" s="264" t="str">
        <f>IFERROR(__xludf.DUMMYFUNCTION("""COMPUTED_VALUE"""),"BookingCom")</f>
        <v>BookingCom</v>
      </c>
      <c r="C923" s="265" t="str">
        <f>IFERROR(__xludf.DUMMYFUNCTION("""COMPUTED_VALUE"""),"KATE KENNARD ")</f>
        <v>KATE KENNARD </v>
      </c>
      <c r="D923" s="266">
        <f>IFERROR(__xludf.DUMMYFUNCTION("""COMPUTED_VALUE"""),46390.0)</f>
        <v>46390</v>
      </c>
      <c r="E923" s="266">
        <f>IFERROR(__xludf.DUMMYFUNCTION("""COMPUTED_VALUE"""),46395.0)</f>
        <v>46395</v>
      </c>
      <c r="F923" s="267">
        <f>IFERROR(__xludf.DUMMYFUNCTION("""COMPUTED_VALUE"""),5.0)</f>
        <v>5</v>
      </c>
      <c r="G923" s="267">
        <f>IFERROR(__xludf.DUMMYFUNCTION("""COMPUTED_VALUE"""),2.0)</f>
        <v>2</v>
      </c>
      <c r="H923" s="268">
        <f>IFERROR(__xludf.DUMMYFUNCTION("""COMPUTED_VALUE"""),253.53000000000003)</f>
        <v>253.53</v>
      </c>
      <c r="I923" s="268">
        <f>IFERROR(__xludf.DUMMYFUNCTION("""COMPUTED_VALUE"""),1014.1200000000002)</f>
        <v>1014.12</v>
      </c>
      <c r="J923" s="257">
        <f t="shared" si="1"/>
        <v>10</v>
      </c>
      <c r="K923" s="265"/>
      <c r="L923" s="265"/>
      <c r="M923" s="264"/>
      <c r="N923" s="270"/>
      <c r="O923" s="271"/>
      <c r="P923" s="271"/>
      <c r="Q923" s="272"/>
      <c r="R923" s="273"/>
      <c r="S923" s="273"/>
      <c r="T923" s="273"/>
      <c r="U923" s="274"/>
      <c r="V923" s="263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</row>
    <row r="924">
      <c r="A924" s="165">
        <f>IFERROR(__xludf.DUMMYFUNCTION("""COMPUTED_VALUE"""),8490005.0)</f>
        <v>8490005</v>
      </c>
      <c r="B924" s="166" t="str">
        <f>IFERROR(__xludf.DUMMYFUNCTION("""COMPUTED_VALUE"""),"BookingCom")</f>
        <v>BookingCom</v>
      </c>
      <c r="C924" s="166" t="str">
        <f>IFERROR(__xludf.DUMMYFUNCTION("""COMPUTED_VALUE"""),"KATE KENNARD ")</f>
        <v>KATE KENNARD </v>
      </c>
      <c r="D924" s="165">
        <f>IFERROR(__xludf.DUMMYFUNCTION("""COMPUTED_VALUE"""),46390.0)</f>
        <v>46390</v>
      </c>
      <c r="E924" s="165">
        <f>IFERROR(__xludf.DUMMYFUNCTION("""COMPUTED_VALUE"""),46395.0)</f>
        <v>46395</v>
      </c>
      <c r="F924" s="377">
        <f>IFERROR(__xludf.DUMMYFUNCTION("""COMPUTED_VALUE"""),5.0)</f>
        <v>5</v>
      </c>
      <c r="G924" s="377">
        <f>IFERROR(__xludf.DUMMYFUNCTION("""COMPUTED_VALUE"""),4.0)</f>
        <v>4</v>
      </c>
      <c r="H924" s="378">
        <f>IFERROR(__xludf.DUMMYFUNCTION("""COMPUTED_VALUE"""),647.1899999999999)</f>
        <v>647.19</v>
      </c>
      <c r="I924" s="378">
        <f>IFERROR(__xludf.DUMMYFUNCTION("""COMPUTED_VALUE"""),2588.7599999999998)</f>
        <v>2588.76</v>
      </c>
      <c r="J924" s="257">
        <f t="shared" si="1"/>
        <v>20</v>
      </c>
      <c r="K924" s="166"/>
      <c r="L924" s="166"/>
      <c r="M924" s="166"/>
      <c r="N924" s="170"/>
      <c r="O924" s="171"/>
      <c r="P924" s="171"/>
      <c r="Q924" s="172"/>
      <c r="R924" s="173"/>
      <c r="S924" s="173"/>
      <c r="T924" s="173"/>
      <c r="U924" s="174"/>
      <c r="V924" s="16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</row>
    <row r="925">
      <c r="A925" s="165">
        <f>IFERROR(__xludf.DUMMYFUNCTION("""COMPUTED_VALUE"""),8490932.0)</f>
        <v>8490932</v>
      </c>
      <c r="B925" s="166" t="str">
        <f>IFERROR(__xludf.DUMMYFUNCTION("""COMPUTED_VALUE"""),"BookingCom")</f>
        <v>BookingCom</v>
      </c>
      <c r="C925" s="166" t="str">
        <f>IFERROR(__xludf.DUMMYFUNCTION("""COMPUTED_VALUE"""),"Joao BATISTA ")</f>
        <v>Joao BATISTA </v>
      </c>
      <c r="D925" s="165">
        <f>IFERROR(__xludf.DUMMYFUNCTION("""COMPUTED_VALUE"""),46155.0)</f>
        <v>46155</v>
      </c>
      <c r="E925" s="165">
        <f>IFERROR(__xludf.DUMMYFUNCTION("""COMPUTED_VALUE"""),46158.0)</f>
        <v>46158</v>
      </c>
      <c r="F925" s="377">
        <f>IFERROR(__xludf.DUMMYFUNCTION("""COMPUTED_VALUE"""),3.0)</f>
        <v>3</v>
      </c>
      <c r="G925" s="377">
        <f>IFERROR(__xludf.DUMMYFUNCTION("""COMPUTED_VALUE"""),1.0)</f>
        <v>1</v>
      </c>
      <c r="H925" s="378">
        <f>IFERROR(__xludf.DUMMYFUNCTION("""COMPUTED_VALUE"""),175.82000000000002)</f>
        <v>175.82</v>
      </c>
      <c r="I925" s="378">
        <f>IFERROR(__xludf.DUMMYFUNCTION("""COMPUTED_VALUE"""),421.9680000000001)</f>
        <v>421.968</v>
      </c>
      <c r="J925" s="257">
        <f t="shared" si="1"/>
        <v>3</v>
      </c>
      <c r="K925" s="166"/>
      <c r="L925" s="166"/>
      <c r="M925" s="166"/>
      <c r="N925" s="170"/>
      <c r="O925" s="171"/>
      <c r="P925" s="171"/>
      <c r="Q925" s="169"/>
      <c r="R925" s="173"/>
      <c r="S925" s="173"/>
      <c r="T925" s="173"/>
      <c r="U925" s="174"/>
      <c r="V925" s="165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</row>
    <row r="926">
      <c r="A926" s="263">
        <f>IFERROR(__xludf.DUMMYFUNCTION("""COMPUTED_VALUE"""),8493857.0)</f>
        <v>8493857</v>
      </c>
      <c r="B926" s="264" t="str">
        <f>IFERROR(__xludf.DUMMYFUNCTION("""COMPUTED_VALUE"""),"BookingCom")</f>
        <v>BookingCom</v>
      </c>
      <c r="C926" s="265" t="str">
        <f>IFERROR(__xludf.DUMMYFUNCTION("""COMPUTED_VALUE"""),"damiano zanon ")</f>
        <v>damiano zanon </v>
      </c>
      <c r="D926" s="266">
        <f>IFERROR(__xludf.DUMMYFUNCTION("""COMPUTED_VALUE"""),46364.0)</f>
        <v>46364</v>
      </c>
      <c r="E926" s="266">
        <f>IFERROR(__xludf.DUMMYFUNCTION("""COMPUTED_VALUE"""),46368.0)</f>
        <v>46368</v>
      </c>
      <c r="F926" s="267">
        <f>IFERROR(__xludf.DUMMYFUNCTION("""COMPUTED_VALUE"""),4.0)</f>
        <v>4</v>
      </c>
      <c r="G926" s="267">
        <f>IFERROR(__xludf.DUMMYFUNCTION("""COMPUTED_VALUE"""),2.0)</f>
        <v>2</v>
      </c>
      <c r="H926" s="268">
        <f>IFERROR(__xludf.DUMMYFUNCTION("""COMPUTED_VALUE"""),150.72)</f>
        <v>150.72</v>
      </c>
      <c r="I926" s="268">
        <f>IFERROR(__xludf.DUMMYFUNCTION("""COMPUTED_VALUE"""),482.30400000000003)</f>
        <v>482.304</v>
      </c>
      <c r="J926" s="257">
        <f t="shared" si="1"/>
        <v>8</v>
      </c>
      <c r="K926" s="265"/>
      <c r="L926" s="265"/>
      <c r="M926" s="264"/>
      <c r="N926" s="270"/>
      <c r="O926" s="271"/>
      <c r="P926" s="271"/>
      <c r="Q926" s="272"/>
      <c r="R926" s="273"/>
      <c r="S926" s="273"/>
      <c r="T926" s="273"/>
      <c r="U926" s="274"/>
      <c r="V926" s="266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</row>
    <row r="927">
      <c r="A927" s="263">
        <f>IFERROR(__xludf.DUMMYFUNCTION("""COMPUTED_VALUE"""),8495728.0)</f>
        <v>8495728</v>
      </c>
      <c r="B927" s="264" t="str">
        <f>IFERROR(__xludf.DUMMYFUNCTION("""COMPUTED_VALUE"""),"BookingCom")</f>
        <v>BookingCom</v>
      </c>
      <c r="C927" s="265" t="str">
        <f>IFERROR(__xludf.DUMMYFUNCTION("""COMPUTED_VALUE"""),"Mojdeh Givehchi ")</f>
        <v>Mojdeh Givehchi </v>
      </c>
      <c r="D927" s="266">
        <f>IFERROR(__xludf.DUMMYFUNCTION("""COMPUTED_VALUE"""),46181.0)</f>
        <v>46181</v>
      </c>
      <c r="E927" s="263">
        <f>IFERROR(__xludf.DUMMYFUNCTION("""COMPUTED_VALUE"""),46183.0)</f>
        <v>46183</v>
      </c>
      <c r="F927" s="267">
        <f>IFERROR(__xludf.DUMMYFUNCTION("""COMPUTED_VALUE"""),2.0)</f>
        <v>2</v>
      </c>
      <c r="G927" s="267">
        <f>IFERROR(__xludf.DUMMYFUNCTION("""COMPUTED_VALUE"""),1.0)</f>
        <v>1</v>
      </c>
      <c r="H927" s="268">
        <f>IFERROR(__xludf.DUMMYFUNCTION("""COMPUTED_VALUE"""),148.43)</f>
        <v>148.43</v>
      </c>
      <c r="I927" s="268">
        <f>IFERROR(__xludf.DUMMYFUNCTION("""COMPUTED_VALUE"""),237.48800000000003)</f>
        <v>237.488</v>
      </c>
      <c r="J927" s="257">
        <f t="shared" si="1"/>
        <v>2</v>
      </c>
      <c r="K927" s="265"/>
      <c r="L927" s="265"/>
      <c r="M927" s="269"/>
      <c r="N927" s="270"/>
      <c r="O927" s="271"/>
      <c r="P927" s="271"/>
      <c r="Q927" s="272"/>
      <c r="R927" s="273"/>
      <c r="S927" s="273"/>
      <c r="T927" s="273"/>
      <c r="U927" s="274"/>
      <c r="V927" s="266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</row>
    <row r="928">
      <c r="A928" s="165">
        <f>IFERROR(__xludf.DUMMYFUNCTION("""COMPUTED_VALUE"""),8496746.0)</f>
        <v>8496746</v>
      </c>
      <c r="B928" s="166" t="str">
        <f>IFERROR(__xludf.DUMMYFUNCTION("""COMPUTED_VALUE"""),"BookingCom")</f>
        <v>BookingCom</v>
      </c>
      <c r="C928" s="166" t="str">
        <f>IFERROR(__xludf.DUMMYFUNCTION("""COMPUTED_VALUE"""),"Mateo Rivero ")</f>
        <v>Mateo Rivero </v>
      </c>
      <c r="D928" s="165">
        <f>IFERROR(__xludf.DUMMYFUNCTION("""COMPUTED_VALUE"""),46391.0)</f>
        <v>46391</v>
      </c>
      <c r="E928" s="165">
        <f>IFERROR(__xludf.DUMMYFUNCTION("""COMPUTED_VALUE"""),46393.0)</f>
        <v>46393</v>
      </c>
      <c r="F928" s="377">
        <f>IFERROR(__xludf.DUMMYFUNCTION("""COMPUTED_VALUE"""),2.0)</f>
        <v>2</v>
      </c>
      <c r="G928" s="377">
        <f>IFERROR(__xludf.DUMMYFUNCTION("""COMPUTED_VALUE"""),2.0)</f>
        <v>2</v>
      </c>
      <c r="H928" s="378">
        <f>IFERROR(__xludf.DUMMYFUNCTION("""COMPUTED_VALUE"""),294.24)</f>
        <v>294.24</v>
      </c>
      <c r="I928" s="378">
        <f>IFERROR(__xludf.DUMMYFUNCTION("""COMPUTED_VALUE"""),470.78400000000005)</f>
        <v>470.784</v>
      </c>
      <c r="J928" s="257">
        <f t="shared" si="1"/>
        <v>4</v>
      </c>
      <c r="K928" s="166"/>
      <c r="L928" s="166"/>
      <c r="M928" s="205"/>
      <c r="N928" s="170"/>
      <c r="O928" s="171"/>
      <c r="P928" s="171"/>
      <c r="Q928" s="172"/>
      <c r="R928" s="173"/>
      <c r="S928" s="173"/>
      <c r="T928" s="173"/>
      <c r="U928" s="174"/>
      <c r="V928" s="16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</row>
    <row r="929">
      <c r="A929" s="165">
        <f>IFERROR(__xludf.DUMMYFUNCTION("""COMPUTED_VALUE"""),8496746.0)</f>
        <v>8496746</v>
      </c>
      <c r="B929" s="166" t="str">
        <f>IFERROR(__xludf.DUMMYFUNCTION("""COMPUTED_VALUE"""),"BookingCom")</f>
        <v>BookingCom</v>
      </c>
      <c r="C929" s="166" t="str">
        <f>IFERROR(__xludf.DUMMYFUNCTION("""COMPUTED_VALUE"""),"Mateo Rivero ")</f>
        <v>Mateo Rivero </v>
      </c>
      <c r="D929" s="165">
        <f>IFERROR(__xludf.DUMMYFUNCTION("""COMPUTED_VALUE"""),46391.0)</f>
        <v>46391</v>
      </c>
      <c r="E929" s="165">
        <f>IFERROR(__xludf.DUMMYFUNCTION("""COMPUTED_VALUE"""),46393.0)</f>
        <v>46393</v>
      </c>
      <c r="F929" s="377">
        <f>IFERROR(__xludf.DUMMYFUNCTION("""COMPUTED_VALUE"""),2.0)</f>
        <v>2</v>
      </c>
      <c r="G929" s="377">
        <f>IFERROR(__xludf.DUMMYFUNCTION("""COMPUTED_VALUE"""),2.0)</f>
        <v>2</v>
      </c>
      <c r="H929" s="378">
        <f>IFERROR(__xludf.DUMMYFUNCTION("""COMPUTED_VALUE"""),243.84)</f>
        <v>243.84</v>
      </c>
      <c r="I929" s="378">
        <f>IFERROR(__xludf.DUMMYFUNCTION("""COMPUTED_VALUE"""),390.144)</f>
        <v>390.144</v>
      </c>
      <c r="J929" s="257">
        <f t="shared" si="1"/>
        <v>4</v>
      </c>
      <c r="K929" s="166"/>
      <c r="L929" s="166"/>
      <c r="M929" s="166"/>
      <c r="N929" s="170"/>
      <c r="O929" s="171"/>
      <c r="P929" s="171"/>
      <c r="Q929" s="172"/>
      <c r="R929" s="173"/>
      <c r="S929" s="173"/>
      <c r="T929" s="173"/>
      <c r="U929" s="174"/>
      <c r="V929" s="165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</row>
    <row r="930">
      <c r="A930" s="263">
        <f>IFERROR(__xludf.DUMMYFUNCTION("""COMPUTED_VALUE"""),8497649.0)</f>
        <v>8497649</v>
      </c>
      <c r="B930" s="264" t="str">
        <f>IFERROR(__xludf.DUMMYFUNCTION("""COMPUTED_VALUE"""),"Reseliva Pannel")</f>
        <v>Reseliva Pannel</v>
      </c>
      <c r="C930" s="265" t="str">
        <f>IFERROR(__xludf.DUMMYFUNCTION("""COMPUTED_VALUE"""),"Joao BATISTA ")</f>
        <v>Joao BATISTA </v>
      </c>
      <c r="D930" s="266">
        <f>IFERROR(__xludf.DUMMYFUNCTION("""COMPUTED_VALUE"""),46157.0)</f>
        <v>46157</v>
      </c>
      <c r="E930" s="263">
        <f>IFERROR(__xludf.DUMMYFUNCTION("""COMPUTED_VALUE"""),46158.0)</f>
        <v>46158</v>
      </c>
      <c r="F930" s="267">
        <f>IFERROR(__xludf.DUMMYFUNCTION("""COMPUTED_VALUE"""),1.0)</f>
        <v>1</v>
      </c>
      <c r="G930" s="267">
        <f>IFERROR(__xludf.DUMMYFUNCTION("""COMPUTED_VALUE"""),2.0)</f>
        <v>2</v>
      </c>
      <c r="H930" s="268">
        <f>IFERROR(__xludf.DUMMYFUNCTION("""COMPUTED_VALUE"""),599.76)</f>
        <v>599.76</v>
      </c>
      <c r="I930" s="268">
        <f>IFERROR(__xludf.DUMMYFUNCTION("""COMPUTED_VALUE"""),599.76)</f>
        <v>599.76</v>
      </c>
      <c r="J930" s="257">
        <f t="shared" si="1"/>
        <v>2</v>
      </c>
      <c r="K930" s="265"/>
      <c r="L930" s="265"/>
      <c r="M930" s="269"/>
      <c r="N930" s="270"/>
      <c r="O930" s="271"/>
      <c r="P930" s="271"/>
      <c r="Q930" s="272"/>
      <c r="R930" s="273"/>
      <c r="S930" s="273"/>
      <c r="T930" s="273"/>
      <c r="U930" s="274"/>
      <c r="V930" s="266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</row>
    <row r="931">
      <c r="A931" s="263">
        <f>IFERROR(__xludf.DUMMYFUNCTION("""COMPUTED_VALUE"""),8497883.0)</f>
        <v>8497883</v>
      </c>
      <c r="B931" s="264" t="str">
        <f>IFERROR(__xludf.DUMMYFUNCTION("""COMPUTED_VALUE"""),"Reseliva Pannel")</f>
        <v>Reseliva Pannel</v>
      </c>
      <c r="C931" s="265" t="str">
        <f>IFERROR(__xludf.DUMMYFUNCTION("""COMPUTED_VALUE"""),"Joao BATISTA ")</f>
        <v>Joao BATISTA </v>
      </c>
      <c r="D931" s="266">
        <f>IFERROR(__xludf.DUMMYFUNCTION("""COMPUTED_VALUE"""),46155.0)</f>
        <v>46155</v>
      </c>
      <c r="E931" s="266">
        <f>IFERROR(__xludf.DUMMYFUNCTION("""COMPUTED_VALUE"""),46156.0)</f>
        <v>46156</v>
      </c>
      <c r="F931" s="267">
        <f>IFERROR(__xludf.DUMMYFUNCTION("""COMPUTED_VALUE"""),1.0)</f>
        <v>1</v>
      </c>
      <c r="G931" s="267">
        <f>IFERROR(__xludf.DUMMYFUNCTION("""COMPUTED_VALUE"""),2.0)</f>
        <v>2</v>
      </c>
      <c r="H931" s="268">
        <f>IFERROR(__xludf.DUMMYFUNCTION("""COMPUTED_VALUE"""),300.24)</f>
        <v>300.24</v>
      </c>
      <c r="I931" s="268">
        <f>IFERROR(__xludf.DUMMYFUNCTION("""COMPUTED_VALUE"""),300.24)</f>
        <v>300.24</v>
      </c>
      <c r="J931" s="257">
        <f t="shared" si="1"/>
        <v>2</v>
      </c>
      <c r="K931" s="265"/>
      <c r="L931" s="265"/>
      <c r="M931" s="264"/>
      <c r="N931" s="270"/>
      <c r="O931" s="271"/>
      <c r="P931" s="271"/>
      <c r="Q931" s="272"/>
      <c r="R931" s="273"/>
      <c r="S931" s="273"/>
      <c r="T931" s="273"/>
      <c r="U931" s="274"/>
      <c r="V931" s="266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</row>
    <row r="932">
      <c r="A932" s="263">
        <f>IFERROR(__xludf.DUMMYFUNCTION("""COMPUTED_VALUE"""),8498666.0)</f>
        <v>8498666</v>
      </c>
      <c r="B932" s="264" t="str">
        <f>IFERROR(__xludf.DUMMYFUNCTION("""COMPUTED_VALUE"""),"BookingCom")</f>
        <v>BookingCom</v>
      </c>
      <c r="C932" s="265" t="str">
        <f>IFERROR(__xludf.DUMMYFUNCTION("""COMPUTED_VALUE"""),"Averil Keen ")</f>
        <v>Averil Keen </v>
      </c>
      <c r="D932" s="266">
        <f>IFERROR(__xludf.DUMMYFUNCTION("""COMPUTED_VALUE"""),46357.0)</f>
        <v>46357</v>
      </c>
      <c r="E932" s="263">
        <f>IFERROR(__xludf.DUMMYFUNCTION("""COMPUTED_VALUE"""),46361.0)</f>
        <v>46361</v>
      </c>
      <c r="F932" s="267">
        <f>IFERROR(__xludf.DUMMYFUNCTION("""COMPUTED_VALUE"""),4.0)</f>
        <v>4</v>
      </c>
      <c r="G932" s="267">
        <f>IFERROR(__xludf.DUMMYFUNCTION("""COMPUTED_VALUE"""),2.0)</f>
        <v>2</v>
      </c>
      <c r="H932" s="268">
        <f>IFERROR(__xludf.DUMMYFUNCTION("""COMPUTED_VALUE"""),167.3)</f>
        <v>167.3</v>
      </c>
      <c r="I932" s="268">
        <f>IFERROR(__xludf.DUMMYFUNCTION("""COMPUTED_VALUE"""),535.36)</f>
        <v>535.36</v>
      </c>
      <c r="J932" s="257">
        <f t="shared" si="1"/>
        <v>8</v>
      </c>
      <c r="K932" s="265"/>
      <c r="L932" s="265"/>
      <c r="M932" s="269"/>
      <c r="N932" s="270"/>
      <c r="O932" s="271"/>
      <c r="P932" s="271"/>
      <c r="Q932" s="272"/>
      <c r="R932" s="273"/>
      <c r="S932" s="273"/>
      <c r="T932" s="273"/>
      <c r="U932" s="274"/>
      <c r="V932" s="266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</row>
    <row r="933">
      <c r="A933" s="263">
        <f>IFERROR(__xludf.DUMMYFUNCTION("""COMPUTED_VALUE"""),8499145.0)</f>
        <v>8499145</v>
      </c>
      <c r="B933" s="264" t="str">
        <f>IFERROR(__xludf.DUMMYFUNCTION("""COMPUTED_VALUE"""),"Reseliva Pannel")</f>
        <v>Reseliva Pannel</v>
      </c>
      <c r="C933" s="265" t="str">
        <f>IFERROR(__xludf.DUMMYFUNCTION("""COMPUTED_VALUE"""),"Manuela Medina Riad ")</f>
        <v>Manuela Medina Riad </v>
      </c>
      <c r="D933" s="266">
        <f>IFERROR(__xludf.DUMMYFUNCTION("""COMPUTED_VALUE"""),46426.0)</f>
        <v>46426</v>
      </c>
      <c r="E933" s="266">
        <f>IFERROR(__xludf.DUMMYFUNCTION("""COMPUTED_VALUE"""),46427.0)</f>
        <v>46427</v>
      </c>
      <c r="F933" s="267">
        <f>IFERROR(__xludf.DUMMYFUNCTION("""COMPUTED_VALUE"""),1.0)</f>
        <v>1</v>
      </c>
      <c r="G933" s="267">
        <f>IFERROR(__xludf.DUMMYFUNCTION("""COMPUTED_VALUE"""),2.0)</f>
        <v>2</v>
      </c>
      <c r="H933" s="268">
        <f>IFERROR(__xludf.DUMMYFUNCTION("""COMPUTED_VALUE"""),200.16)</f>
        <v>200.16</v>
      </c>
      <c r="I933" s="268">
        <f>IFERROR(__xludf.DUMMYFUNCTION("""COMPUTED_VALUE"""),200.16)</f>
        <v>200.16</v>
      </c>
      <c r="J933" s="257">
        <f t="shared" si="1"/>
        <v>2</v>
      </c>
      <c r="K933" s="265"/>
      <c r="L933" s="265"/>
      <c r="M933" s="264"/>
      <c r="N933" s="270"/>
      <c r="O933" s="271"/>
      <c r="P933" s="271"/>
      <c r="Q933" s="272"/>
      <c r="R933" s="273"/>
      <c r="S933" s="273"/>
      <c r="T933" s="273"/>
      <c r="U933" s="274"/>
      <c r="V933" s="266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</row>
    <row r="934">
      <c r="A934" s="263">
        <f>IFERROR(__xludf.DUMMYFUNCTION("""COMPUTED_VALUE"""),8499145.0)</f>
        <v>8499145</v>
      </c>
      <c r="B934" s="264" t="str">
        <f>IFERROR(__xludf.DUMMYFUNCTION("""COMPUTED_VALUE"""),"Reseliva Pannel")</f>
        <v>Reseliva Pannel</v>
      </c>
      <c r="C934" s="265" t="str">
        <f>IFERROR(__xludf.DUMMYFUNCTION("""COMPUTED_VALUE"""),"Manuela Medina Riad ")</f>
        <v>Manuela Medina Riad </v>
      </c>
      <c r="D934" s="266">
        <f>IFERROR(__xludf.DUMMYFUNCTION("""COMPUTED_VALUE"""),46426.0)</f>
        <v>46426</v>
      </c>
      <c r="E934" s="263">
        <f>IFERROR(__xludf.DUMMYFUNCTION("""COMPUTED_VALUE"""),46427.0)</f>
        <v>46427</v>
      </c>
      <c r="F934" s="267">
        <f>IFERROR(__xludf.DUMMYFUNCTION("""COMPUTED_VALUE"""),1.0)</f>
        <v>1</v>
      </c>
      <c r="G934" s="267">
        <f>IFERROR(__xludf.DUMMYFUNCTION("""COMPUTED_VALUE"""),2.0)</f>
        <v>2</v>
      </c>
      <c r="H934" s="268">
        <f>IFERROR(__xludf.DUMMYFUNCTION("""COMPUTED_VALUE"""),200.16)</f>
        <v>200.16</v>
      </c>
      <c r="I934" s="268">
        <f>IFERROR(__xludf.DUMMYFUNCTION("""COMPUTED_VALUE"""),200.16)</f>
        <v>200.16</v>
      </c>
      <c r="J934" s="257">
        <f t="shared" si="1"/>
        <v>2</v>
      </c>
      <c r="K934" s="265"/>
      <c r="L934" s="265"/>
      <c r="M934" s="264"/>
      <c r="N934" s="270"/>
      <c r="O934" s="271"/>
      <c r="P934" s="271"/>
      <c r="Q934" s="272"/>
      <c r="R934" s="273"/>
      <c r="S934" s="273"/>
      <c r="T934" s="273"/>
      <c r="U934" s="274"/>
      <c r="V934" s="266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</row>
    <row r="935">
      <c r="A935" s="165">
        <f>IFERROR(__xludf.DUMMYFUNCTION("""COMPUTED_VALUE"""),8499145.0)</f>
        <v>8499145</v>
      </c>
      <c r="B935" s="166" t="str">
        <f>IFERROR(__xludf.DUMMYFUNCTION("""COMPUTED_VALUE"""),"Reseliva Pannel")</f>
        <v>Reseliva Pannel</v>
      </c>
      <c r="C935" s="166" t="str">
        <f>IFERROR(__xludf.DUMMYFUNCTION("""COMPUTED_VALUE"""),"Manuela Medina Riad ")</f>
        <v>Manuela Medina Riad </v>
      </c>
      <c r="D935" s="165">
        <f>IFERROR(__xludf.DUMMYFUNCTION("""COMPUTED_VALUE"""),46426.0)</f>
        <v>46426</v>
      </c>
      <c r="E935" s="165">
        <f>IFERROR(__xludf.DUMMYFUNCTION("""COMPUTED_VALUE"""),46427.0)</f>
        <v>46427</v>
      </c>
      <c r="F935" s="377">
        <f>IFERROR(__xludf.DUMMYFUNCTION("""COMPUTED_VALUE"""),1.0)</f>
        <v>1</v>
      </c>
      <c r="G935" s="377">
        <f>IFERROR(__xludf.DUMMYFUNCTION("""COMPUTED_VALUE"""),2.0)</f>
        <v>2</v>
      </c>
      <c r="H935" s="378">
        <f>IFERROR(__xludf.DUMMYFUNCTION("""COMPUTED_VALUE"""),200.16)</f>
        <v>200.16</v>
      </c>
      <c r="I935" s="378">
        <f>IFERROR(__xludf.DUMMYFUNCTION("""COMPUTED_VALUE"""),200.16)</f>
        <v>200.16</v>
      </c>
      <c r="J935" s="257">
        <f t="shared" si="1"/>
        <v>2</v>
      </c>
      <c r="K935" s="166"/>
      <c r="L935" s="166"/>
      <c r="M935" s="205"/>
      <c r="N935" s="170"/>
      <c r="O935" s="171"/>
      <c r="P935" s="171"/>
      <c r="Q935" s="172"/>
      <c r="R935" s="173"/>
      <c r="S935" s="173"/>
      <c r="T935" s="173"/>
      <c r="U935" s="174"/>
      <c r="V935" s="210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</row>
    <row r="936">
      <c r="A936" s="165">
        <f>IFERROR(__xludf.DUMMYFUNCTION("""COMPUTED_VALUE"""),8499145.0)</f>
        <v>8499145</v>
      </c>
      <c r="B936" s="166" t="str">
        <f>IFERROR(__xludf.DUMMYFUNCTION("""COMPUTED_VALUE"""),"Reseliva Pannel")</f>
        <v>Reseliva Pannel</v>
      </c>
      <c r="C936" s="166" t="str">
        <f>IFERROR(__xludf.DUMMYFUNCTION("""COMPUTED_VALUE"""),"Manuela Medina Riad ")</f>
        <v>Manuela Medina Riad </v>
      </c>
      <c r="D936" s="165">
        <f>IFERROR(__xludf.DUMMYFUNCTION("""COMPUTED_VALUE"""),46426.0)</f>
        <v>46426</v>
      </c>
      <c r="E936" s="165">
        <f>IFERROR(__xludf.DUMMYFUNCTION("""COMPUTED_VALUE"""),46427.0)</f>
        <v>46427</v>
      </c>
      <c r="F936" s="377">
        <f>IFERROR(__xludf.DUMMYFUNCTION("""COMPUTED_VALUE"""),1.0)</f>
        <v>1</v>
      </c>
      <c r="G936" s="377">
        <f>IFERROR(__xludf.DUMMYFUNCTION("""COMPUTED_VALUE"""),2.0)</f>
        <v>2</v>
      </c>
      <c r="H936" s="378">
        <f>IFERROR(__xludf.DUMMYFUNCTION("""COMPUTED_VALUE"""),200.16)</f>
        <v>200.16</v>
      </c>
      <c r="I936" s="378">
        <f>IFERROR(__xludf.DUMMYFUNCTION("""COMPUTED_VALUE"""),200.16)</f>
        <v>200.16</v>
      </c>
      <c r="J936" s="257">
        <f t="shared" si="1"/>
        <v>2</v>
      </c>
      <c r="K936" s="166"/>
      <c r="L936" s="166"/>
      <c r="M936" s="166"/>
      <c r="N936" s="170"/>
      <c r="O936" s="171"/>
      <c r="P936" s="171"/>
      <c r="Q936" s="172"/>
      <c r="R936" s="173"/>
      <c r="S936" s="173"/>
      <c r="T936" s="173"/>
      <c r="U936" s="174"/>
      <c r="V936" s="165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</row>
    <row r="937">
      <c r="A937" s="165">
        <f>IFERROR(__xludf.DUMMYFUNCTION("""COMPUTED_VALUE"""),8499282.0)</f>
        <v>8499282</v>
      </c>
      <c r="B937" s="166" t="str">
        <f>IFERROR(__xludf.DUMMYFUNCTION("""COMPUTED_VALUE"""),"Reseliva Pannel")</f>
        <v>Reseliva Pannel</v>
      </c>
      <c r="C937" s="166" t="str">
        <f>IFERROR(__xludf.DUMMYFUNCTION("""COMPUTED_VALUE"""),"MANUELA Medina Riad ")</f>
        <v>MANUELA Medina Riad </v>
      </c>
      <c r="D937" s="165">
        <f>IFERROR(__xludf.DUMMYFUNCTION("""COMPUTED_VALUE"""),46426.0)</f>
        <v>46426</v>
      </c>
      <c r="E937" s="165">
        <f>IFERROR(__xludf.DUMMYFUNCTION("""COMPUTED_VALUE"""),46427.0)</f>
        <v>46427</v>
      </c>
      <c r="F937" s="377">
        <f>IFERROR(__xludf.DUMMYFUNCTION("""COMPUTED_VALUE"""),1.0)</f>
        <v>1</v>
      </c>
      <c r="G937" s="377">
        <f>IFERROR(__xludf.DUMMYFUNCTION("""COMPUTED_VALUE"""),1.0)</f>
        <v>1</v>
      </c>
      <c r="H937" s="378">
        <f>IFERROR(__xludf.DUMMYFUNCTION("""COMPUTED_VALUE"""),200.16)</f>
        <v>200.16</v>
      </c>
      <c r="I937" s="378">
        <f>IFERROR(__xludf.DUMMYFUNCTION("""COMPUTED_VALUE"""),200.16)</f>
        <v>200.16</v>
      </c>
      <c r="J937" s="257">
        <f t="shared" si="1"/>
        <v>1</v>
      </c>
      <c r="K937" s="166"/>
      <c r="L937" s="166"/>
      <c r="M937" s="166"/>
      <c r="N937" s="170"/>
      <c r="O937" s="171"/>
      <c r="P937" s="171"/>
      <c r="Q937" s="172"/>
      <c r="R937" s="173"/>
      <c r="S937" s="173"/>
      <c r="T937" s="173"/>
      <c r="U937" s="174"/>
      <c r="V937" s="16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</row>
    <row r="938">
      <c r="A938" s="165">
        <f>IFERROR(__xludf.DUMMYFUNCTION("""COMPUTED_VALUE"""),8499448.0)</f>
        <v>8499448</v>
      </c>
      <c r="B938" s="166" t="str">
        <f>IFERROR(__xludf.DUMMYFUNCTION("""COMPUTED_VALUE"""),"Reseliva Pannel")</f>
        <v>Reseliva Pannel</v>
      </c>
      <c r="C938" s="166" t="str">
        <f>IFERROR(__xludf.DUMMYFUNCTION("""COMPUTED_VALUE"""),"Manuela Medina Riad ")</f>
        <v>Manuela Medina Riad </v>
      </c>
      <c r="D938" s="165">
        <f>IFERROR(__xludf.DUMMYFUNCTION("""COMPUTED_VALUE"""),46425.0)</f>
        <v>46425</v>
      </c>
      <c r="E938" s="165">
        <f>IFERROR(__xludf.DUMMYFUNCTION("""COMPUTED_VALUE"""),46425.0)</f>
        <v>46425</v>
      </c>
      <c r="F938" s="377">
        <f>IFERROR(__xludf.DUMMYFUNCTION("""COMPUTED_VALUE"""),1.0)</f>
        <v>1</v>
      </c>
      <c r="G938" s="377">
        <f>IFERROR(__xludf.DUMMYFUNCTION("""COMPUTED_VALUE"""),2.0)</f>
        <v>2</v>
      </c>
      <c r="H938" s="378">
        <f>IFERROR(__xludf.DUMMYFUNCTION("""COMPUTED_VALUE"""),200.16)</f>
        <v>200.16</v>
      </c>
      <c r="I938" s="378">
        <f>IFERROR(__xludf.DUMMYFUNCTION("""COMPUTED_VALUE"""),200.16)</f>
        <v>200.16</v>
      </c>
      <c r="J938" s="257">
        <f t="shared" si="1"/>
        <v>2</v>
      </c>
      <c r="K938" s="166"/>
      <c r="L938" s="166"/>
      <c r="M938" s="166"/>
      <c r="N938" s="170"/>
      <c r="O938" s="171"/>
      <c r="P938" s="171"/>
      <c r="Q938" s="172"/>
      <c r="R938" s="173"/>
      <c r="S938" s="173"/>
      <c r="T938" s="173"/>
      <c r="U938" s="174"/>
      <c r="V938" s="16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</row>
    <row r="939">
      <c r="A939" s="165">
        <f>IFERROR(__xludf.DUMMYFUNCTION("""COMPUTED_VALUE"""),8499448.0)</f>
        <v>8499448</v>
      </c>
      <c r="B939" s="166" t="str">
        <f>IFERROR(__xludf.DUMMYFUNCTION("""COMPUTED_VALUE"""),"Reseliva Pannel")</f>
        <v>Reseliva Pannel</v>
      </c>
      <c r="C939" s="166" t="str">
        <f>IFERROR(__xludf.DUMMYFUNCTION("""COMPUTED_VALUE"""),"Manuela Medina Riad ")</f>
        <v>Manuela Medina Riad </v>
      </c>
      <c r="D939" s="165">
        <f>IFERROR(__xludf.DUMMYFUNCTION("""COMPUTED_VALUE"""),46425.0)</f>
        <v>46425</v>
      </c>
      <c r="E939" s="165">
        <f>IFERROR(__xludf.DUMMYFUNCTION("""COMPUTED_VALUE"""),46425.0)</f>
        <v>46425</v>
      </c>
      <c r="F939" s="377">
        <f>IFERROR(__xludf.DUMMYFUNCTION("""COMPUTED_VALUE"""),1.0)</f>
        <v>1</v>
      </c>
      <c r="G939" s="377">
        <f>IFERROR(__xludf.DUMMYFUNCTION("""COMPUTED_VALUE"""),2.0)</f>
        <v>2</v>
      </c>
      <c r="H939" s="378">
        <f>IFERROR(__xludf.DUMMYFUNCTION("""COMPUTED_VALUE"""),200.16)</f>
        <v>200.16</v>
      </c>
      <c r="I939" s="378">
        <f>IFERROR(__xludf.DUMMYFUNCTION("""COMPUTED_VALUE"""),200.16)</f>
        <v>200.16</v>
      </c>
      <c r="J939" s="257">
        <f t="shared" si="1"/>
        <v>2</v>
      </c>
      <c r="K939" s="166"/>
      <c r="L939" s="166"/>
      <c r="M939" s="205"/>
      <c r="N939" s="170"/>
      <c r="O939" s="171"/>
      <c r="P939" s="171"/>
      <c r="Q939" s="172"/>
      <c r="R939" s="173"/>
      <c r="S939" s="173"/>
      <c r="T939" s="173"/>
      <c r="U939" s="174"/>
      <c r="V939" s="165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</row>
    <row r="940">
      <c r="A940" s="263">
        <f>IFERROR(__xludf.DUMMYFUNCTION("""COMPUTED_VALUE"""),8499448.0)</f>
        <v>8499448</v>
      </c>
      <c r="B940" s="264" t="str">
        <f>IFERROR(__xludf.DUMMYFUNCTION("""COMPUTED_VALUE"""),"Reseliva Pannel")</f>
        <v>Reseliva Pannel</v>
      </c>
      <c r="C940" s="265" t="str">
        <f>IFERROR(__xludf.DUMMYFUNCTION("""COMPUTED_VALUE"""),"Manuela Medina Riad ")</f>
        <v>Manuela Medina Riad </v>
      </c>
      <c r="D940" s="266">
        <f>IFERROR(__xludf.DUMMYFUNCTION("""COMPUTED_VALUE"""),46425.0)</f>
        <v>46425</v>
      </c>
      <c r="E940" s="263">
        <f>IFERROR(__xludf.DUMMYFUNCTION("""COMPUTED_VALUE"""),46425.0)</f>
        <v>46425</v>
      </c>
      <c r="F940" s="267">
        <f>IFERROR(__xludf.DUMMYFUNCTION("""COMPUTED_VALUE"""),1.0)</f>
        <v>1</v>
      </c>
      <c r="G940" s="267">
        <f>IFERROR(__xludf.DUMMYFUNCTION("""COMPUTED_VALUE"""),2.0)</f>
        <v>2</v>
      </c>
      <c r="H940" s="268">
        <f>IFERROR(__xludf.DUMMYFUNCTION("""COMPUTED_VALUE"""),200.16)</f>
        <v>200.16</v>
      </c>
      <c r="I940" s="268">
        <f>IFERROR(__xludf.DUMMYFUNCTION("""COMPUTED_VALUE"""),200.16)</f>
        <v>200.16</v>
      </c>
      <c r="J940" s="257">
        <f t="shared" si="1"/>
        <v>2</v>
      </c>
      <c r="K940" s="265"/>
      <c r="L940" s="265"/>
      <c r="M940" s="269"/>
      <c r="N940" s="270"/>
      <c r="O940" s="271"/>
      <c r="P940" s="271"/>
      <c r="Q940" s="272"/>
      <c r="R940" s="273"/>
      <c r="S940" s="273"/>
      <c r="T940" s="273"/>
      <c r="U940" s="274"/>
      <c r="V940" s="266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</row>
    <row r="941">
      <c r="A941" s="263">
        <f>IFERROR(__xludf.DUMMYFUNCTION("""COMPUTED_VALUE"""),8499582.0)</f>
        <v>8499582</v>
      </c>
      <c r="B941" s="264" t="str">
        <f>IFERROR(__xludf.DUMMYFUNCTION("""COMPUTED_VALUE"""),"BookingCom")</f>
        <v>BookingCom</v>
      </c>
      <c r="C941" s="265" t="str">
        <f>IFERROR(__xludf.DUMMYFUNCTION("""COMPUTED_VALUE"""),"Jolanda Nobels ")</f>
        <v>Jolanda Nobels </v>
      </c>
      <c r="D941" s="266">
        <f>IFERROR(__xludf.DUMMYFUNCTION("""COMPUTED_VALUE"""),46168.0)</f>
        <v>46168</v>
      </c>
      <c r="E941" s="266">
        <f>IFERROR(__xludf.DUMMYFUNCTION("""COMPUTED_VALUE"""),46169.0)</f>
        <v>46169</v>
      </c>
      <c r="F941" s="267">
        <f>IFERROR(__xludf.DUMMYFUNCTION("""COMPUTED_VALUE"""),1.0)</f>
        <v>1</v>
      </c>
      <c r="G941" s="267">
        <f>IFERROR(__xludf.DUMMYFUNCTION("""COMPUTED_VALUE"""),2.0)</f>
        <v>2</v>
      </c>
      <c r="H941" s="268">
        <f>IFERROR(__xludf.DUMMYFUNCTION("""COMPUTED_VALUE"""),165.03)</f>
        <v>165.03</v>
      </c>
      <c r="I941" s="268">
        <f>IFERROR(__xludf.DUMMYFUNCTION("""COMPUTED_VALUE"""),132.024)</f>
        <v>132.024</v>
      </c>
      <c r="J941" s="257">
        <f t="shared" si="1"/>
        <v>2</v>
      </c>
      <c r="K941" s="265"/>
      <c r="L941" s="265"/>
      <c r="M941" s="264"/>
      <c r="N941" s="270"/>
      <c r="O941" s="271"/>
      <c r="P941" s="271"/>
      <c r="Q941" s="272"/>
      <c r="R941" s="273"/>
      <c r="S941" s="273"/>
      <c r="T941" s="273"/>
      <c r="U941" s="339"/>
      <c r="V941" s="266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</row>
    <row r="942">
      <c r="A942" s="165">
        <f>IFERROR(__xludf.DUMMYFUNCTION("""COMPUTED_VALUE"""),8500798.0)</f>
        <v>8500798</v>
      </c>
      <c r="B942" s="166" t="str">
        <f>IFERROR(__xludf.DUMMYFUNCTION("""COMPUTED_VALUE"""),"BookingCom")</f>
        <v>BookingCom</v>
      </c>
      <c r="C942" s="166" t="str">
        <f>IFERROR(__xludf.DUMMYFUNCTION("""COMPUTED_VALUE"""),"Jessica Palladino ")</f>
        <v>Jessica Palladino </v>
      </c>
      <c r="D942" s="165">
        <f>IFERROR(__xludf.DUMMYFUNCTION("""COMPUTED_VALUE"""),46517.0)</f>
        <v>46517</v>
      </c>
      <c r="E942" s="165">
        <f>IFERROR(__xludf.DUMMYFUNCTION("""COMPUTED_VALUE"""),46520.0)</f>
        <v>46520</v>
      </c>
      <c r="F942" s="377">
        <f>IFERROR(__xludf.DUMMYFUNCTION("""COMPUTED_VALUE"""),3.0)</f>
        <v>3</v>
      </c>
      <c r="G942" s="377">
        <f>IFERROR(__xludf.DUMMYFUNCTION("""COMPUTED_VALUE"""),2.0)</f>
        <v>2</v>
      </c>
      <c r="H942" s="378">
        <f>IFERROR(__xludf.DUMMYFUNCTION("""COMPUTED_VALUE"""),155.72)</f>
        <v>155.72</v>
      </c>
      <c r="I942" s="378">
        <f>IFERROR(__xludf.DUMMYFUNCTION("""COMPUTED_VALUE"""),373.728)</f>
        <v>373.728</v>
      </c>
      <c r="J942" s="257">
        <f t="shared" si="1"/>
        <v>6</v>
      </c>
      <c r="K942" s="166"/>
      <c r="L942" s="166"/>
      <c r="M942" s="166"/>
      <c r="N942" s="170"/>
      <c r="O942" s="171"/>
      <c r="P942" s="171"/>
      <c r="Q942" s="169"/>
      <c r="R942" s="173"/>
      <c r="S942" s="173"/>
      <c r="T942" s="173"/>
      <c r="U942" s="174"/>
      <c r="V942" s="165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</row>
    <row r="943">
      <c r="A943" s="165">
        <f>IFERROR(__xludf.DUMMYFUNCTION("""COMPUTED_VALUE"""),8502517.0)</f>
        <v>8502517</v>
      </c>
      <c r="B943" s="166" t="str">
        <f>IFERROR(__xludf.DUMMYFUNCTION("""COMPUTED_VALUE"""),"BookingCom")</f>
        <v>BookingCom</v>
      </c>
      <c r="C943" s="166" t="str">
        <f>IFERROR(__xludf.DUMMYFUNCTION("""COMPUTED_VALUE"""),"Erika Slater ")</f>
        <v>Erika Slater </v>
      </c>
      <c r="D943" s="165">
        <f>IFERROR(__xludf.DUMMYFUNCTION("""COMPUTED_VALUE"""),46377.0)</f>
        <v>46377</v>
      </c>
      <c r="E943" s="165">
        <f>IFERROR(__xludf.DUMMYFUNCTION("""COMPUTED_VALUE"""),46378.0)</f>
        <v>46378</v>
      </c>
      <c r="F943" s="377">
        <f>IFERROR(__xludf.DUMMYFUNCTION("""COMPUTED_VALUE"""),1.0)</f>
        <v>1</v>
      </c>
      <c r="G943" s="377">
        <f>IFERROR(__xludf.DUMMYFUNCTION("""COMPUTED_VALUE"""),2.0)</f>
        <v>2</v>
      </c>
      <c r="H943" s="378">
        <f>IFERROR(__xludf.DUMMYFUNCTION("""COMPUTED_VALUE"""),158.75)</f>
        <v>158.75</v>
      </c>
      <c r="I943" s="378">
        <f>IFERROR(__xludf.DUMMYFUNCTION("""COMPUTED_VALUE"""),127.0)</f>
        <v>127</v>
      </c>
      <c r="J943" s="257">
        <f t="shared" si="1"/>
        <v>2</v>
      </c>
      <c r="K943" s="166"/>
      <c r="L943" s="166"/>
      <c r="M943" s="205"/>
      <c r="N943" s="170"/>
      <c r="O943" s="171"/>
      <c r="P943" s="171"/>
      <c r="Q943" s="172"/>
      <c r="R943" s="173"/>
      <c r="S943" s="173"/>
      <c r="T943" s="173"/>
      <c r="U943" s="174"/>
      <c r="V943" s="165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</row>
    <row r="944">
      <c r="A944" s="165">
        <f>IFERROR(__xludf.DUMMYFUNCTION("""COMPUTED_VALUE"""),8508199.0)</f>
        <v>8508199</v>
      </c>
      <c r="B944" s="166" t="str">
        <f>IFERROR(__xludf.DUMMYFUNCTION("""COMPUTED_VALUE"""),"Reseliva Pannel")</f>
        <v>Reseliva Pannel</v>
      </c>
      <c r="C944" s="166" t="str">
        <f>IFERROR(__xludf.DUMMYFUNCTION("""COMPUTED_VALUE"""),"Blocker Pour Traveaux ")</f>
        <v>Blocker Pour Traveaux </v>
      </c>
      <c r="D944" s="165">
        <f>IFERROR(__xludf.DUMMYFUNCTION("""COMPUTED_VALUE"""),46161.0)</f>
        <v>46161</v>
      </c>
      <c r="E944" s="165">
        <f>IFERROR(__xludf.DUMMYFUNCTION("""COMPUTED_VALUE"""),46165.0)</f>
        <v>46165</v>
      </c>
      <c r="F944" s="377">
        <f>IFERROR(__xludf.DUMMYFUNCTION("""COMPUTED_VALUE"""),4.0)</f>
        <v>4</v>
      </c>
      <c r="G944" s="377">
        <f>IFERROR(__xludf.DUMMYFUNCTION("""COMPUTED_VALUE"""),2.0)</f>
        <v>2</v>
      </c>
      <c r="H944" s="378">
        <f>IFERROR(__xludf.DUMMYFUNCTION("""COMPUTED_VALUE"""),599.76)</f>
        <v>599.76</v>
      </c>
      <c r="I944" s="378">
        <f>IFERROR(__xludf.DUMMYFUNCTION("""COMPUTED_VALUE"""),2399.04)</f>
        <v>2399.04</v>
      </c>
      <c r="J944" s="257">
        <f t="shared" si="1"/>
        <v>8</v>
      </c>
      <c r="K944" s="166"/>
      <c r="L944" s="166"/>
      <c r="M944" s="166"/>
      <c r="N944" s="170"/>
      <c r="O944" s="171"/>
      <c r="P944" s="171"/>
      <c r="Q944" s="169"/>
      <c r="R944" s="173"/>
      <c r="S944" s="173"/>
      <c r="T944" s="173"/>
      <c r="U944" s="174"/>
      <c r="V944" s="165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</row>
    <row r="945">
      <c r="A945" s="165">
        <f>IFERROR(__xludf.DUMMYFUNCTION("""COMPUTED_VALUE"""),8508737.0)</f>
        <v>8508737</v>
      </c>
      <c r="B945" s="166" t="str">
        <f>IFERROR(__xludf.DUMMYFUNCTION("""COMPUTED_VALUE"""),"Expedia")</f>
        <v>Expedia</v>
      </c>
      <c r="C945" s="166" t="str">
        <f>IFERROR(__xludf.DUMMYFUNCTION("""COMPUTED_VALUE"""),"Sabine Rosa Nickl ")</f>
        <v>Sabine Rosa Nickl </v>
      </c>
      <c r="D945" s="165">
        <f>IFERROR(__xludf.DUMMYFUNCTION("""COMPUTED_VALUE"""),46357.0)</f>
        <v>46357</v>
      </c>
      <c r="E945" s="165">
        <f>IFERROR(__xludf.DUMMYFUNCTION("""COMPUTED_VALUE"""),46360.0)</f>
        <v>46360</v>
      </c>
      <c r="F945" s="377">
        <f>IFERROR(__xludf.DUMMYFUNCTION("""COMPUTED_VALUE"""),3.0)</f>
        <v>3</v>
      </c>
      <c r="G945" s="377">
        <f>IFERROR(__xludf.DUMMYFUNCTION("""COMPUTED_VALUE"""),4.0)</f>
        <v>4</v>
      </c>
      <c r="H945" s="378">
        <f>IFERROR(__xludf.DUMMYFUNCTION("""COMPUTED_VALUE"""),499.69)</f>
        <v>499.69</v>
      </c>
      <c r="I945" s="378">
        <f>IFERROR(__xludf.DUMMYFUNCTION("""COMPUTED_VALUE"""),1199.256)</f>
        <v>1199.256</v>
      </c>
      <c r="J945" s="257">
        <f t="shared" si="1"/>
        <v>12</v>
      </c>
      <c r="K945" s="166"/>
      <c r="L945" s="166"/>
      <c r="M945" s="205"/>
      <c r="N945" s="170"/>
      <c r="O945" s="171"/>
      <c r="P945" s="171"/>
      <c r="Q945" s="172"/>
      <c r="R945" s="173"/>
      <c r="S945" s="173"/>
      <c r="T945" s="173"/>
      <c r="U945" s="174"/>
      <c r="V945" s="16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</row>
    <row r="946">
      <c r="A946" s="165">
        <f>IFERROR(__xludf.DUMMYFUNCTION("""COMPUTED_VALUE"""),8509079.0)</f>
        <v>8509079</v>
      </c>
      <c r="B946" s="166" t="str">
        <f>IFERROR(__xludf.DUMMYFUNCTION("""COMPUTED_VALUE"""),"BookingCom")</f>
        <v>BookingCom</v>
      </c>
      <c r="C946" s="166" t="str">
        <f>IFERROR(__xludf.DUMMYFUNCTION("""COMPUTED_VALUE"""),"Robert Hardy ")</f>
        <v>Robert Hardy </v>
      </c>
      <c r="D946" s="165">
        <f>IFERROR(__xludf.DUMMYFUNCTION("""COMPUTED_VALUE"""),46290.0)</f>
        <v>46290</v>
      </c>
      <c r="E946" s="165">
        <f>IFERROR(__xludf.DUMMYFUNCTION("""COMPUTED_VALUE"""),46293.0)</f>
        <v>46293</v>
      </c>
      <c r="F946" s="377">
        <f>IFERROR(__xludf.DUMMYFUNCTION("""COMPUTED_VALUE"""),3.0)</f>
        <v>3</v>
      </c>
      <c r="G946" s="377">
        <f>IFERROR(__xludf.DUMMYFUNCTION("""COMPUTED_VALUE"""),2.0)</f>
        <v>2</v>
      </c>
      <c r="H946" s="378">
        <f>IFERROR(__xludf.DUMMYFUNCTION("""COMPUTED_VALUE"""),161.51)</f>
        <v>161.51</v>
      </c>
      <c r="I946" s="378">
        <f>IFERROR(__xludf.DUMMYFUNCTION("""COMPUTED_VALUE"""),387.624)</f>
        <v>387.624</v>
      </c>
      <c r="J946" s="267"/>
      <c r="K946" s="166"/>
      <c r="L946" s="166"/>
      <c r="M946" s="205"/>
      <c r="N946" s="170"/>
      <c r="O946" s="171"/>
      <c r="P946" s="171"/>
      <c r="Q946" s="172"/>
      <c r="R946" s="173"/>
      <c r="S946" s="173"/>
      <c r="T946" s="173"/>
      <c r="U946" s="174"/>
      <c r="V946" s="16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</row>
    <row r="947">
      <c r="A947" s="165">
        <f>IFERROR(__xludf.DUMMYFUNCTION("""COMPUTED_VALUE"""),8509716.0)</f>
        <v>8509716</v>
      </c>
      <c r="B947" s="166" t="str">
        <f>IFERROR(__xludf.DUMMYFUNCTION("""COMPUTED_VALUE"""),"BookingCom")</f>
        <v>BookingCom</v>
      </c>
      <c r="C947" s="166" t="str">
        <f>IFERROR(__xludf.DUMMYFUNCTION("""COMPUTED_VALUE"""),"Charlie Bertin ")</f>
        <v>Charlie Bertin </v>
      </c>
      <c r="D947" s="165">
        <f>IFERROR(__xludf.DUMMYFUNCTION("""COMPUTED_VALUE"""),46336.0)</f>
        <v>46336</v>
      </c>
      <c r="E947" s="165">
        <f>IFERROR(__xludf.DUMMYFUNCTION("""COMPUTED_VALUE"""),46339.0)</f>
        <v>46339</v>
      </c>
      <c r="F947" s="377">
        <f>IFERROR(__xludf.DUMMYFUNCTION("""COMPUTED_VALUE"""),3.0)</f>
        <v>3</v>
      </c>
      <c r="G947" s="377">
        <f>IFERROR(__xludf.DUMMYFUNCTION("""COMPUTED_VALUE"""),2.0)</f>
        <v>2</v>
      </c>
      <c r="H947" s="378">
        <f>IFERROR(__xludf.DUMMYFUNCTION("""COMPUTED_VALUE"""),200.16)</f>
        <v>200.16</v>
      </c>
      <c r="I947" s="378">
        <f>IFERROR(__xludf.DUMMYFUNCTION("""COMPUTED_VALUE"""),480.384)</f>
        <v>480.384</v>
      </c>
      <c r="J947" s="377"/>
      <c r="K947" s="166"/>
      <c r="L947" s="166"/>
      <c r="M947" s="166"/>
      <c r="N947" s="170"/>
      <c r="O947" s="171"/>
      <c r="P947" s="171"/>
      <c r="Q947" s="172"/>
      <c r="R947" s="173"/>
      <c r="S947" s="173"/>
      <c r="T947" s="173"/>
      <c r="U947" s="174"/>
      <c r="V947" s="16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</row>
    <row r="948">
      <c r="A948" s="165">
        <f>IFERROR(__xludf.DUMMYFUNCTION("""COMPUTED_VALUE"""),8510890.0)</f>
        <v>8510890</v>
      </c>
      <c r="B948" s="166" t="str">
        <f>IFERROR(__xludf.DUMMYFUNCTION("""COMPUTED_VALUE"""),"BookingCom")</f>
        <v>BookingCom</v>
      </c>
      <c r="C948" s="166" t="str">
        <f>IFERROR(__xludf.DUMMYFUNCTION("""COMPUTED_VALUE"""),"Robert Hardy ")</f>
        <v>Robert Hardy </v>
      </c>
      <c r="D948" s="165">
        <f>IFERROR(__xludf.DUMMYFUNCTION("""COMPUTED_VALUE"""),46294.0)</f>
        <v>46294</v>
      </c>
      <c r="E948" s="165">
        <f>IFERROR(__xludf.DUMMYFUNCTION("""COMPUTED_VALUE"""),46295.0)</f>
        <v>46295</v>
      </c>
      <c r="F948" s="377">
        <f>IFERROR(__xludf.DUMMYFUNCTION("""COMPUTED_VALUE"""),1.0)</f>
        <v>1</v>
      </c>
      <c r="G948" s="377">
        <f>IFERROR(__xludf.DUMMYFUNCTION("""COMPUTED_VALUE"""),2.0)</f>
        <v>2</v>
      </c>
      <c r="H948" s="378">
        <f>IFERROR(__xludf.DUMMYFUNCTION("""COMPUTED_VALUE"""),152.51)</f>
        <v>152.51</v>
      </c>
      <c r="I948" s="378">
        <f>IFERROR(__xludf.DUMMYFUNCTION("""COMPUTED_VALUE"""),122.008)</f>
        <v>122.008</v>
      </c>
      <c r="J948" s="377"/>
      <c r="K948" s="166"/>
      <c r="L948" s="166"/>
      <c r="M948" s="205"/>
      <c r="N948" s="170"/>
      <c r="O948" s="171"/>
      <c r="P948" s="171"/>
      <c r="Q948" s="172"/>
      <c r="R948" s="173"/>
      <c r="S948" s="173"/>
      <c r="T948" s="173"/>
      <c r="U948" s="174"/>
      <c r="V948" s="16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</row>
    <row r="949">
      <c r="A949" s="263">
        <f>IFERROR(__xludf.DUMMYFUNCTION("""COMPUTED_VALUE"""),8512217.0)</f>
        <v>8512217</v>
      </c>
      <c r="B949" s="264" t="str">
        <f>IFERROR(__xludf.DUMMYFUNCTION("""COMPUTED_VALUE"""),"BookingCom")</f>
        <v>BookingCom</v>
      </c>
      <c r="C949" s="265" t="str">
        <f>IFERROR(__xludf.DUMMYFUNCTION("""COMPUTED_VALUE"""),"Caterina Fagiolari ")</f>
        <v>Caterina Fagiolari </v>
      </c>
      <c r="D949" s="266">
        <f>IFERROR(__xludf.DUMMYFUNCTION("""COMPUTED_VALUE"""),46196.0)</f>
        <v>46196</v>
      </c>
      <c r="E949" s="266">
        <f>IFERROR(__xludf.DUMMYFUNCTION("""COMPUTED_VALUE"""),46199.0)</f>
        <v>46199</v>
      </c>
      <c r="F949" s="267">
        <f>IFERROR(__xludf.DUMMYFUNCTION("""COMPUTED_VALUE"""),3.0)</f>
        <v>3</v>
      </c>
      <c r="G949" s="267">
        <f>IFERROR(__xludf.DUMMYFUNCTION("""COMPUTED_VALUE"""),2.0)</f>
        <v>2</v>
      </c>
      <c r="H949" s="268">
        <f>IFERROR(__xludf.DUMMYFUNCTION("""COMPUTED_VALUE"""),154.46)</f>
        <v>154.46</v>
      </c>
      <c r="I949" s="268">
        <f>IFERROR(__xludf.DUMMYFUNCTION("""COMPUTED_VALUE"""),370.70400000000006)</f>
        <v>370.704</v>
      </c>
      <c r="J949" s="377"/>
      <c r="K949" s="265"/>
      <c r="L949" s="265"/>
      <c r="M949" s="264"/>
      <c r="N949" s="270"/>
      <c r="O949" s="271"/>
      <c r="P949" s="271"/>
      <c r="Q949" s="283"/>
      <c r="R949" s="273"/>
      <c r="S949" s="273"/>
      <c r="T949" s="260"/>
      <c r="U949" s="261"/>
      <c r="V949" s="251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</row>
    <row r="950">
      <c r="A950" s="165">
        <f>IFERROR(__xludf.DUMMYFUNCTION("""COMPUTED_VALUE"""),8514229.0)</f>
        <v>8514229</v>
      </c>
      <c r="B950" s="166" t="str">
        <f>IFERROR(__xludf.DUMMYFUNCTION("""COMPUTED_VALUE"""),"BookingCom")</f>
        <v>BookingCom</v>
      </c>
      <c r="C950" s="166" t="str">
        <f>IFERROR(__xludf.DUMMYFUNCTION("""COMPUTED_VALUE"""),"Campeian Gomes ")</f>
        <v>Campeian Gomes </v>
      </c>
      <c r="D950" s="165">
        <f>IFERROR(__xludf.DUMMYFUNCTION("""COMPUTED_VALUE"""),46201.0)</f>
        <v>46201</v>
      </c>
      <c r="E950" s="165">
        <f>IFERROR(__xludf.DUMMYFUNCTION("""COMPUTED_VALUE"""),46203.0)</f>
        <v>46203</v>
      </c>
      <c r="F950" s="377">
        <f>IFERROR(__xludf.DUMMYFUNCTION("""COMPUTED_VALUE"""),2.0)</f>
        <v>2</v>
      </c>
      <c r="G950" s="377">
        <f>IFERROR(__xludf.DUMMYFUNCTION("""COMPUTED_VALUE"""),2.0)</f>
        <v>2</v>
      </c>
      <c r="H950" s="378">
        <f>IFERROR(__xludf.DUMMYFUNCTION("""COMPUTED_VALUE"""),164.54)</f>
        <v>164.54</v>
      </c>
      <c r="I950" s="378">
        <f>IFERROR(__xludf.DUMMYFUNCTION("""COMPUTED_VALUE"""),263.264)</f>
        <v>263.264</v>
      </c>
      <c r="J950" s="377"/>
      <c r="K950" s="166"/>
      <c r="L950" s="166"/>
      <c r="M950" s="205"/>
      <c r="N950" s="170"/>
      <c r="O950" s="171"/>
      <c r="P950" s="171"/>
      <c r="Q950" s="172"/>
      <c r="R950" s="173"/>
      <c r="S950" s="173"/>
      <c r="T950" s="173"/>
      <c r="U950" s="174"/>
      <c r="V950" s="207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</row>
    <row r="951">
      <c r="A951" s="165">
        <f>IFERROR(__xludf.DUMMYFUNCTION("""COMPUTED_VALUE"""),8514630.0)</f>
        <v>8514630</v>
      </c>
      <c r="B951" s="166" t="str">
        <f>IFERROR(__xludf.DUMMYFUNCTION("""COMPUTED_VALUE"""),"BookingCom")</f>
        <v>BookingCom</v>
      </c>
      <c r="C951" s="166" t="str">
        <f>IFERROR(__xludf.DUMMYFUNCTION("""COMPUTED_VALUE"""),"Mareike Greil ")</f>
        <v>Mareike Greil </v>
      </c>
      <c r="D951" s="165">
        <f>IFERROR(__xludf.DUMMYFUNCTION("""COMPUTED_VALUE"""),46467.0)</f>
        <v>46467</v>
      </c>
      <c r="E951" s="165">
        <f>IFERROR(__xludf.DUMMYFUNCTION("""COMPUTED_VALUE"""),46470.0)</f>
        <v>46470</v>
      </c>
      <c r="F951" s="377">
        <f>IFERROR(__xludf.DUMMYFUNCTION("""COMPUTED_VALUE"""),3.0)</f>
        <v>3</v>
      </c>
      <c r="G951" s="377">
        <f>IFERROR(__xludf.DUMMYFUNCTION("""COMPUTED_VALUE"""),2.0)</f>
        <v>2</v>
      </c>
      <c r="H951" s="378">
        <f>IFERROR(__xludf.DUMMYFUNCTION("""COMPUTED_VALUE"""),173.12)</f>
        <v>173.12</v>
      </c>
      <c r="I951" s="378">
        <f>IFERROR(__xludf.DUMMYFUNCTION("""COMPUTED_VALUE"""),415.48800000000006)</f>
        <v>415.488</v>
      </c>
      <c r="J951" s="377"/>
      <c r="K951" s="166"/>
      <c r="L951" s="166"/>
      <c r="M951" s="166"/>
      <c r="N951" s="170"/>
      <c r="O951" s="171"/>
      <c r="P951" s="171"/>
      <c r="Q951" s="172"/>
      <c r="R951" s="173"/>
      <c r="S951" s="173"/>
      <c r="T951" s="173"/>
      <c r="U951" s="174"/>
      <c r="V951" s="207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</row>
    <row r="952">
      <c r="A952" s="165">
        <f>IFERROR(__xludf.DUMMYFUNCTION("""COMPUTED_VALUE"""),8518471.0)</f>
        <v>8518471</v>
      </c>
      <c r="B952" s="166" t="str">
        <f>IFERROR(__xludf.DUMMYFUNCTION("""COMPUTED_VALUE"""),"BookingCom")</f>
        <v>BookingCom</v>
      </c>
      <c r="C952" s="166" t="str">
        <f>IFERROR(__xludf.DUMMYFUNCTION("""COMPUTED_VALUE"""),"Francesca Bianchi ")</f>
        <v>Francesca Bianchi </v>
      </c>
      <c r="D952" s="165">
        <f>IFERROR(__xludf.DUMMYFUNCTION("""COMPUTED_VALUE"""),46183.0)</f>
        <v>46183</v>
      </c>
      <c r="E952" s="165">
        <f>IFERROR(__xludf.DUMMYFUNCTION("""COMPUTED_VALUE"""),46186.0)</f>
        <v>46186</v>
      </c>
      <c r="F952" s="377">
        <f>IFERROR(__xludf.DUMMYFUNCTION("""COMPUTED_VALUE"""),3.0)</f>
        <v>3</v>
      </c>
      <c r="G952" s="377">
        <f>IFERROR(__xludf.DUMMYFUNCTION("""COMPUTED_VALUE"""),2.0)</f>
        <v>2</v>
      </c>
      <c r="H952" s="378">
        <f>IFERROR(__xludf.DUMMYFUNCTION("""COMPUTED_VALUE"""),135.13)</f>
        <v>135.13</v>
      </c>
      <c r="I952" s="378">
        <f>IFERROR(__xludf.DUMMYFUNCTION("""COMPUTED_VALUE"""),324.312)</f>
        <v>324.312</v>
      </c>
      <c r="J952" s="377"/>
      <c r="K952" s="166"/>
      <c r="L952" s="166"/>
      <c r="M952" s="166"/>
      <c r="N952" s="170"/>
      <c r="O952" s="171"/>
      <c r="P952" s="171"/>
      <c r="Q952" s="172"/>
      <c r="R952" s="173"/>
      <c r="S952" s="173"/>
      <c r="T952" s="173"/>
      <c r="U952" s="174"/>
      <c r="V952" s="207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</row>
    <row r="953">
      <c r="A953" s="165">
        <f>IFERROR(__xludf.DUMMYFUNCTION("""COMPUTED_VALUE"""),8521434.0)</f>
        <v>8521434</v>
      </c>
      <c r="B953" s="166" t="str">
        <f>IFERROR(__xludf.DUMMYFUNCTION("""COMPUTED_VALUE"""),"BookingCom")</f>
        <v>BookingCom</v>
      </c>
      <c r="C953" s="166" t="str">
        <f>IFERROR(__xludf.DUMMYFUNCTION("""COMPUTED_VALUE"""),"David Rowley ")</f>
        <v>David Rowley </v>
      </c>
      <c r="D953" s="165">
        <f>IFERROR(__xludf.DUMMYFUNCTION("""COMPUTED_VALUE"""),46332.0)</f>
        <v>46332</v>
      </c>
      <c r="E953" s="165">
        <f>IFERROR(__xludf.DUMMYFUNCTION("""COMPUTED_VALUE"""),46334.0)</f>
        <v>46334</v>
      </c>
      <c r="F953" s="377">
        <f>IFERROR(__xludf.DUMMYFUNCTION("""COMPUTED_VALUE"""),2.0)</f>
        <v>2</v>
      </c>
      <c r="G953" s="377">
        <f>IFERROR(__xludf.DUMMYFUNCTION("""COMPUTED_VALUE"""),2.0)</f>
        <v>2</v>
      </c>
      <c r="H953" s="378">
        <f>IFERROR(__xludf.DUMMYFUNCTION("""COMPUTED_VALUE"""),111.92)</f>
        <v>111.92</v>
      </c>
      <c r="I953" s="378">
        <f>IFERROR(__xludf.DUMMYFUNCTION("""COMPUTED_VALUE"""),179.072)</f>
        <v>179.072</v>
      </c>
      <c r="J953" s="377"/>
      <c r="K953" s="166"/>
      <c r="L953" s="166"/>
      <c r="M953" s="166"/>
      <c r="N953" s="170"/>
      <c r="O953" s="171"/>
      <c r="P953" s="171"/>
      <c r="Q953" s="172"/>
      <c r="R953" s="173"/>
      <c r="S953" s="173"/>
      <c r="T953" s="173"/>
      <c r="U953" s="174"/>
      <c r="V953" s="165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</row>
    <row r="954">
      <c r="A954" s="165">
        <f>IFERROR(__xludf.DUMMYFUNCTION("""COMPUTED_VALUE"""),8522014.0)</f>
        <v>8522014</v>
      </c>
      <c r="B954" s="166" t="str">
        <f>IFERROR(__xludf.DUMMYFUNCTION("""COMPUTED_VALUE"""),"BookingCom")</f>
        <v>BookingCom</v>
      </c>
      <c r="C954" s="166" t="str">
        <f>IFERROR(__xludf.DUMMYFUNCTION("""COMPUTED_VALUE"""),"Laurens Helmond-Di Bella ")</f>
        <v>Laurens Helmond-Di Bella </v>
      </c>
      <c r="D954" s="165">
        <f>IFERROR(__xludf.DUMMYFUNCTION("""COMPUTED_VALUE"""),46293.0)</f>
        <v>46293</v>
      </c>
      <c r="E954" s="165">
        <f>IFERROR(__xludf.DUMMYFUNCTION("""COMPUTED_VALUE"""),46297.0)</f>
        <v>46297</v>
      </c>
      <c r="F954" s="377">
        <f>IFERROR(__xludf.DUMMYFUNCTION("""COMPUTED_VALUE"""),4.0)</f>
        <v>4</v>
      </c>
      <c r="G954" s="377">
        <f>IFERROR(__xludf.DUMMYFUNCTION("""COMPUTED_VALUE"""),3.0)</f>
        <v>3</v>
      </c>
      <c r="H954" s="378">
        <f>IFERROR(__xludf.DUMMYFUNCTION("""COMPUTED_VALUE"""),335.62)</f>
        <v>335.62</v>
      </c>
      <c r="I954" s="378">
        <f>IFERROR(__xludf.DUMMYFUNCTION("""COMPUTED_VALUE"""),1073.9840000000002)</f>
        <v>1073.984</v>
      </c>
      <c r="J954" s="267"/>
      <c r="K954" s="166"/>
      <c r="L954" s="166"/>
      <c r="M954" s="166"/>
      <c r="N954" s="170"/>
      <c r="O954" s="171"/>
      <c r="P954" s="171"/>
      <c r="Q954" s="172"/>
      <c r="R954" s="173"/>
      <c r="S954" s="173"/>
      <c r="T954" s="173"/>
      <c r="U954" s="174"/>
      <c r="V954" s="16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</row>
    <row r="955">
      <c r="A955" s="165">
        <f>IFERROR(__xludf.DUMMYFUNCTION("""COMPUTED_VALUE"""),8522426.0)</f>
        <v>8522426</v>
      </c>
      <c r="B955" s="166" t="str">
        <f>IFERROR(__xludf.DUMMYFUNCTION("""COMPUTED_VALUE"""),"BookingCom")</f>
        <v>BookingCom</v>
      </c>
      <c r="C955" s="166" t="str">
        <f>IFERROR(__xludf.DUMMYFUNCTION("""COMPUTED_VALUE"""),"andy berna ")</f>
        <v>andy berna </v>
      </c>
      <c r="D955" s="165">
        <f>IFERROR(__xludf.DUMMYFUNCTION("""COMPUTED_VALUE"""),46368.0)</f>
        <v>46368</v>
      </c>
      <c r="E955" s="165">
        <f>IFERROR(__xludf.DUMMYFUNCTION("""COMPUTED_VALUE"""),46371.0)</f>
        <v>46371</v>
      </c>
      <c r="F955" s="377">
        <f>IFERROR(__xludf.DUMMYFUNCTION("""COMPUTED_VALUE"""),3.0)</f>
        <v>3</v>
      </c>
      <c r="G955" s="377">
        <f>IFERROR(__xludf.DUMMYFUNCTION("""COMPUTED_VALUE"""),2.0)</f>
        <v>2</v>
      </c>
      <c r="H955" s="378">
        <f>IFERROR(__xludf.DUMMYFUNCTION("""COMPUTED_VALUE"""),114.89)</f>
        <v>114.89</v>
      </c>
      <c r="I955" s="378">
        <f>IFERROR(__xludf.DUMMYFUNCTION("""COMPUTED_VALUE"""),275.736)</f>
        <v>275.736</v>
      </c>
      <c r="J955" s="377"/>
      <c r="K955" s="166"/>
      <c r="L955" s="166"/>
      <c r="M955" s="166"/>
      <c r="N955" s="170"/>
      <c r="O955" s="171"/>
      <c r="P955" s="171"/>
      <c r="Q955" s="172"/>
      <c r="R955" s="173"/>
      <c r="S955" s="173"/>
      <c r="T955" s="173"/>
      <c r="U955" s="174"/>
      <c r="V955" s="207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</row>
    <row r="956">
      <c r="A956" s="165">
        <f>IFERROR(__xludf.DUMMYFUNCTION("""COMPUTED_VALUE"""),8522516.0)</f>
        <v>8522516</v>
      </c>
      <c r="B956" s="166" t="str">
        <f>IFERROR(__xludf.DUMMYFUNCTION("""COMPUTED_VALUE"""),"Reseliva Pannel")</f>
        <v>Reseliva Pannel</v>
      </c>
      <c r="C956" s="166" t="str">
        <f>IFERROR(__xludf.DUMMYFUNCTION("""COMPUTED_VALUE"""),"Manuella haag ")</f>
        <v>Manuella haag </v>
      </c>
      <c r="D956" s="165">
        <f>IFERROR(__xludf.DUMMYFUNCTION("""COMPUTED_VALUE"""),46425.0)</f>
        <v>46425</v>
      </c>
      <c r="E956" s="165">
        <f>IFERROR(__xludf.DUMMYFUNCTION("""COMPUTED_VALUE"""),46425.0)</f>
        <v>46425</v>
      </c>
      <c r="F956" s="377">
        <f>IFERROR(__xludf.DUMMYFUNCTION("""COMPUTED_VALUE"""),1.0)</f>
        <v>1</v>
      </c>
      <c r="G956" s="377">
        <f>IFERROR(__xludf.DUMMYFUNCTION("""COMPUTED_VALUE"""),2.0)</f>
        <v>2</v>
      </c>
      <c r="H956" s="378">
        <f>IFERROR(__xludf.DUMMYFUNCTION("""COMPUTED_VALUE"""),200.16)</f>
        <v>200.16</v>
      </c>
      <c r="I956" s="378">
        <f>IFERROR(__xludf.DUMMYFUNCTION("""COMPUTED_VALUE"""),200.16)</f>
        <v>200.16</v>
      </c>
      <c r="J956" s="377"/>
      <c r="K956" s="166"/>
      <c r="L956" s="166"/>
      <c r="M956" s="205"/>
      <c r="N956" s="170"/>
      <c r="O956" s="171"/>
      <c r="P956" s="171"/>
      <c r="Q956" s="172"/>
      <c r="R956" s="173"/>
      <c r="S956" s="173"/>
      <c r="T956" s="173"/>
      <c r="U956" s="174"/>
      <c r="V956" s="207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</row>
    <row r="957">
      <c r="A957" s="165">
        <f>IFERROR(__xludf.DUMMYFUNCTION("""COMPUTED_VALUE"""),8522516.0)</f>
        <v>8522516</v>
      </c>
      <c r="B957" s="166" t="str">
        <f>IFERROR(__xludf.DUMMYFUNCTION("""COMPUTED_VALUE"""),"Reseliva Pannel")</f>
        <v>Reseliva Pannel</v>
      </c>
      <c r="C957" s="166" t="str">
        <f>IFERROR(__xludf.DUMMYFUNCTION("""COMPUTED_VALUE"""),"Manuella haag ")</f>
        <v>Manuella haag </v>
      </c>
      <c r="D957" s="165">
        <f>IFERROR(__xludf.DUMMYFUNCTION("""COMPUTED_VALUE"""),46425.0)</f>
        <v>46425</v>
      </c>
      <c r="E957" s="165">
        <f>IFERROR(__xludf.DUMMYFUNCTION("""COMPUTED_VALUE"""),46425.0)</f>
        <v>46425</v>
      </c>
      <c r="F957" s="377">
        <f>IFERROR(__xludf.DUMMYFUNCTION("""COMPUTED_VALUE"""),1.0)</f>
        <v>1</v>
      </c>
      <c r="G957" s="377">
        <f>IFERROR(__xludf.DUMMYFUNCTION("""COMPUTED_VALUE"""),2.0)</f>
        <v>2</v>
      </c>
      <c r="H957" s="378">
        <f>IFERROR(__xludf.DUMMYFUNCTION("""COMPUTED_VALUE"""),200.16)</f>
        <v>200.16</v>
      </c>
      <c r="I957" s="378">
        <f>IFERROR(__xludf.DUMMYFUNCTION("""COMPUTED_VALUE"""),200.16)</f>
        <v>200.16</v>
      </c>
      <c r="J957" s="377"/>
      <c r="K957" s="166"/>
      <c r="L957" s="166"/>
      <c r="M957" s="205"/>
      <c r="N957" s="170"/>
      <c r="O957" s="171"/>
      <c r="P957" s="171"/>
      <c r="Q957" s="172"/>
      <c r="R957" s="173"/>
      <c r="S957" s="173"/>
      <c r="T957" s="173"/>
      <c r="U957" s="174"/>
      <c r="V957" s="165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</row>
    <row r="958">
      <c r="A958" s="165">
        <f>IFERROR(__xludf.DUMMYFUNCTION("""COMPUTED_VALUE"""),8523206.0)</f>
        <v>8523206</v>
      </c>
      <c r="B958" s="166" t="str">
        <f>IFERROR(__xludf.DUMMYFUNCTION("""COMPUTED_VALUE"""),"BookingCom")</f>
        <v>BookingCom</v>
      </c>
      <c r="C958" s="166" t="str">
        <f>IFERROR(__xludf.DUMMYFUNCTION("""COMPUTED_VALUE"""),"Natalie Dennis ")</f>
        <v>Natalie Dennis </v>
      </c>
      <c r="D958" s="165">
        <f>IFERROR(__xludf.DUMMYFUNCTION("""COMPUTED_VALUE"""),46338.0)</f>
        <v>46338</v>
      </c>
      <c r="E958" s="165">
        <f>IFERROR(__xludf.DUMMYFUNCTION("""COMPUTED_VALUE"""),46340.0)</f>
        <v>46340</v>
      </c>
      <c r="F958" s="377">
        <f>IFERROR(__xludf.DUMMYFUNCTION("""COMPUTED_VALUE"""),2.0)</f>
        <v>2</v>
      </c>
      <c r="G958" s="377">
        <f>IFERROR(__xludf.DUMMYFUNCTION("""COMPUTED_VALUE"""),2.0)</f>
        <v>2</v>
      </c>
      <c r="H958" s="378">
        <f>IFERROR(__xludf.DUMMYFUNCTION("""COMPUTED_VALUE"""),173.12)</f>
        <v>173.12</v>
      </c>
      <c r="I958" s="378">
        <f>IFERROR(__xludf.DUMMYFUNCTION("""COMPUTED_VALUE"""),276.992)</f>
        <v>276.992</v>
      </c>
      <c r="J958" s="377"/>
      <c r="K958" s="166"/>
      <c r="L958" s="166"/>
      <c r="M958" s="166"/>
      <c r="N958" s="170"/>
      <c r="O958" s="171"/>
      <c r="P958" s="171"/>
      <c r="Q958" s="172"/>
      <c r="R958" s="173"/>
      <c r="S958" s="173"/>
      <c r="T958" s="260"/>
      <c r="U958" s="261"/>
      <c r="V958" s="251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</row>
    <row r="959">
      <c r="A959" s="165">
        <f>IFERROR(__xludf.DUMMYFUNCTION("""COMPUTED_VALUE"""),8524606.0)</f>
        <v>8524606</v>
      </c>
      <c r="B959" s="166" t="str">
        <f>IFERROR(__xludf.DUMMYFUNCTION("""COMPUTED_VALUE"""),"BookingCom")</f>
        <v>BookingCom</v>
      </c>
      <c r="C959" s="166" t="str">
        <f>IFERROR(__xludf.DUMMYFUNCTION("""COMPUTED_VALUE"""),"Freddy Goncalves ")</f>
        <v>Freddy Goncalves </v>
      </c>
      <c r="D959" s="165">
        <f>IFERROR(__xludf.DUMMYFUNCTION("""COMPUTED_VALUE"""),46295.0)</f>
        <v>46295</v>
      </c>
      <c r="E959" s="165">
        <f>IFERROR(__xludf.DUMMYFUNCTION("""COMPUTED_VALUE"""),46297.0)</f>
        <v>46297</v>
      </c>
      <c r="F959" s="377">
        <f>IFERROR(__xludf.DUMMYFUNCTION("""COMPUTED_VALUE"""),2.0)</f>
        <v>2</v>
      </c>
      <c r="G959" s="377">
        <f>IFERROR(__xludf.DUMMYFUNCTION("""COMPUTED_VALUE"""),2.0)</f>
        <v>2</v>
      </c>
      <c r="H959" s="378">
        <f>IFERROR(__xludf.DUMMYFUNCTION("""COMPUTED_VALUE"""),145.44)</f>
        <v>145.44</v>
      </c>
      <c r="I959" s="378">
        <f>IFERROR(__xludf.DUMMYFUNCTION("""COMPUTED_VALUE"""),232.704)</f>
        <v>232.704</v>
      </c>
      <c r="J959" s="377"/>
      <c r="K959" s="166"/>
      <c r="L959" s="166"/>
      <c r="M959" s="166"/>
      <c r="N959" s="170"/>
      <c r="O959" s="171"/>
      <c r="P959" s="171"/>
      <c r="Q959" s="172"/>
      <c r="R959" s="173"/>
      <c r="S959" s="173"/>
      <c r="T959" s="173"/>
      <c r="U959" s="174"/>
      <c r="V959" s="16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</row>
    <row r="960">
      <c r="A960" s="165">
        <f>IFERROR(__xludf.DUMMYFUNCTION("""COMPUTED_VALUE"""),8524710.0)</f>
        <v>8524710</v>
      </c>
      <c r="B960" s="166" t="str">
        <f>IFERROR(__xludf.DUMMYFUNCTION("""COMPUTED_VALUE"""),"BookingCom")</f>
        <v>BookingCom</v>
      </c>
      <c r="C960" s="166" t="str">
        <f>IFERROR(__xludf.DUMMYFUNCTION("""COMPUTED_VALUE"""),"Celine Rosenboom ")</f>
        <v>Celine Rosenboom </v>
      </c>
      <c r="D960" s="165">
        <f>IFERROR(__xludf.DUMMYFUNCTION("""COMPUTED_VALUE"""),46167.0)</f>
        <v>46167</v>
      </c>
      <c r="E960" s="165">
        <f>IFERROR(__xludf.DUMMYFUNCTION("""COMPUTED_VALUE"""),46169.0)</f>
        <v>46169</v>
      </c>
      <c r="F960" s="377">
        <f>IFERROR(__xludf.DUMMYFUNCTION("""COMPUTED_VALUE"""),2.0)</f>
        <v>2</v>
      </c>
      <c r="G960" s="377">
        <f>IFERROR(__xludf.DUMMYFUNCTION("""COMPUTED_VALUE"""),2.0)</f>
        <v>2</v>
      </c>
      <c r="H960" s="378">
        <f>IFERROR(__xludf.DUMMYFUNCTION("""COMPUTED_VALUE"""),150.08)</f>
        <v>150.08</v>
      </c>
      <c r="I960" s="378">
        <f>IFERROR(__xludf.DUMMYFUNCTION("""COMPUTED_VALUE"""),240.12800000000004)</f>
        <v>240.128</v>
      </c>
      <c r="J960" s="377"/>
      <c r="K960" s="166"/>
      <c r="L960" s="166"/>
      <c r="M960" s="166"/>
      <c r="N960" s="170"/>
      <c r="O960" s="171"/>
      <c r="P960" s="171"/>
      <c r="Q960" s="172"/>
      <c r="R960" s="173"/>
      <c r="S960" s="173"/>
      <c r="T960" s="173"/>
      <c r="U960" s="174"/>
      <c r="V960" s="165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</row>
    <row r="961">
      <c r="A961" s="165">
        <f>IFERROR(__xludf.DUMMYFUNCTION("""COMPUTED_VALUE"""),8527030.0)</f>
        <v>8527030</v>
      </c>
      <c r="B961" s="166" t="str">
        <f>IFERROR(__xludf.DUMMYFUNCTION("""COMPUTED_VALUE"""),"Reseliva")</f>
        <v>Reseliva</v>
      </c>
      <c r="C961" s="166" t="str">
        <f>IFERROR(__xludf.DUMMYFUNCTION("""COMPUTED_VALUE"""),"Roland Ducani ")</f>
        <v>Roland Ducani </v>
      </c>
      <c r="D961" s="165">
        <f>IFERROR(__xludf.DUMMYFUNCTION("""COMPUTED_VALUE"""),46159.0)</f>
        <v>46159</v>
      </c>
      <c r="E961" s="165">
        <f>IFERROR(__xludf.DUMMYFUNCTION("""COMPUTED_VALUE"""),46160.0)</f>
        <v>46160</v>
      </c>
      <c r="F961" s="377">
        <f>IFERROR(__xludf.DUMMYFUNCTION("""COMPUTED_VALUE"""),1.0)</f>
        <v>1</v>
      </c>
      <c r="G961" s="377">
        <f>IFERROR(__xludf.DUMMYFUNCTION("""COMPUTED_VALUE"""),2.0)</f>
        <v>2</v>
      </c>
      <c r="H961" s="378">
        <f>IFERROR(__xludf.DUMMYFUNCTION("""COMPUTED_VALUE"""),270.0)</f>
        <v>270</v>
      </c>
      <c r="I961" s="378">
        <f>IFERROR(__xludf.DUMMYFUNCTION("""COMPUTED_VALUE"""),267.3)</f>
        <v>267.3</v>
      </c>
      <c r="J961" s="377"/>
      <c r="K961" s="166"/>
      <c r="L961" s="166"/>
      <c r="M961" s="166"/>
      <c r="N961" s="170"/>
      <c r="O961" s="171"/>
      <c r="P961" s="171"/>
      <c r="Q961" s="172"/>
      <c r="R961" s="173"/>
      <c r="S961" s="173"/>
      <c r="T961" s="173"/>
      <c r="U961" s="174"/>
      <c r="V961" s="16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</row>
    <row r="962">
      <c r="A962" s="165">
        <f>IFERROR(__xludf.DUMMYFUNCTION("""COMPUTED_VALUE"""),8527492.0)</f>
        <v>8527492</v>
      </c>
      <c r="B962" s="166" t="str">
        <f>IFERROR(__xludf.DUMMYFUNCTION("""COMPUTED_VALUE"""),"BookingCom")</f>
        <v>BookingCom</v>
      </c>
      <c r="C962" s="166" t="str">
        <f>IFERROR(__xludf.DUMMYFUNCTION("""COMPUTED_VALUE"""),"Alina Soltanova ")</f>
        <v>Alina Soltanova </v>
      </c>
      <c r="D962" s="165">
        <f>IFERROR(__xludf.DUMMYFUNCTION("""COMPUTED_VALUE"""),46166.0)</f>
        <v>46166</v>
      </c>
      <c r="E962" s="165">
        <f>IFERROR(__xludf.DUMMYFUNCTION("""COMPUTED_VALUE"""),46167.0)</f>
        <v>46167</v>
      </c>
      <c r="F962" s="377">
        <f>IFERROR(__xludf.DUMMYFUNCTION("""COMPUTED_VALUE"""),1.0)</f>
        <v>1</v>
      </c>
      <c r="G962" s="377">
        <f>IFERROR(__xludf.DUMMYFUNCTION("""COMPUTED_VALUE"""),2.0)</f>
        <v>2</v>
      </c>
      <c r="H962" s="378">
        <f>IFERROR(__xludf.DUMMYFUNCTION("""COMPUTED_VALUE"""),194.74)</f>
        <v>194.74</v>
      </c>
      <c r="I962" s="378">
        <f>IFERROR(__xludf.DUMMYFUNCTION("""COMPUTED_VALUE"""),155.79200000000003)</f>
        <v>155.792</v>
      </c>
      <c r="J962" s="377"/>
      <c r="K962" s="166"/>
      <c r="L962" s="166"/>
      <c r="M962" s="205"/>
      <c r="N962" s="170"/>
      <c r="O962" s="171"/>
      <c r="P962" s="171"/>
      <c r="Q962" s="172"/>
      <c r="R962" s="173"/>
      <c r="S962" s="173"/>
      <c r="T962" s="173"/>
      <c r="U962" s="174"/>
      <c r="V962" s="16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</row>
    <row r="963">
      <c r="A963" s="165">
        <f>IFERROR(__xludf.DUMMYFUNCTION("""COMPUTED_VALUE"""),8528616.0)</f>
        <v>8528616</v>
      </c>
      <c r="B963" s="166" t="str">
        <f>IFERROR(__xludf.DUMMYFUNCTION("""COMPUTED_VALUE"""),"BookingCom")</f>
        <v>BookingCom</v>
      </c>
      <c r="C963" s="166" t="str">
        <f>IFERROR(__xludf.DUMMYFUNCTION("""COMPUTED_VALUE"""),"Ewald Kogler ")</f>
        <v>Ewald Kogler </v>
      </c>
      <c r="D963" s="165">
        <f>IFERROR(__xludf.DUMMYFUNCTION("""COMPUTED_VALUE"""),46340.0)</f>
        <v>46340</v>
      </c>
      <c r="E963" s="165">
        <f>IFERROR(__xludf.DUMMYFUNCTION("""COMPUTED_VALUE"""),46344.0)</f>
        <v>46344</v>
      </c>
      <c r="F963" s="377">
        <f>IFERROR(__xludf.DUMMYFUNCTION("""COMPUTED_VALUE"""),4.0)</f>
        <v>4</v>
      </c>
      <c r="G963" s="377">
        <f>IFERROR(__xludf.DUMMYFUNCTION("""COMPUTED_VALUE"""),2.0)</f>
        <v>2</v>
      </c>
      <c r="H963" s="378">
        <f>IFERROR(__xludf.DUMMYFUNCTION("""COMPUTED_VALUE"""),195.52)</f>
        <v>195.52</v>
      </c>
      <c r="I963" s="378">
        <f>IFERROR(__xludf.DUMMYFUNCTION("""COMPUTED_VALUE"""),625.6640000000001)</f>
        <v>625.664</v>
      </c>
      <c r="J963" s="377"/>
      <c r="K963" s="166"/>
      <c r="L963" s="166"/>
      <c r="M963" s="166"/>
      <c r="N963" s="170"/>
      <c r="O963" s="171"/>
      <c r="P963" s="171"/>
      <c r="Q963" s="172"/>
      <c r="R963" s="173"/>
      <c r="S963" s="173"/>
      <c r="T963" s="173"/>
      <c r="U963" s="174"/>
      <c r="V963" s="16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</row>
    <row r="964">
      <c r="A964" s="165">
        <f>IFERROR(__xludf.DUMMYFUNCTION("""COMPUTED_VALUE"""),8529502.0)</f>
        <v>8529502</v>
      </c>
      <c r="B964" s="166" t="str">
        <f>IFERROR(__xludf.DUMMYFUNCTION("""COMPUTED_VALUE"""),"BookingCom")</f>
        <v>BookingCom</v>
      </c>
      <c r="C964" s="166" t="str">
        <f>IFERROR(__xludf.DUMMYFUNCTION("""COMPUTED_VALUE"""),"Abdulhakeem Almasaudi ")</f>
        <v>Abdulhakeem Almasaudi </v>
      </c>
      <c r="D964" s="165">
        <f>IFERROR(__xludf.DUMMYFUNCTION("""COMPUTED_VALUE"""),46209.0)</f>
        <v>46209</v>
      </c>
      <c r="E964" s="165">
        <f>IFERROR(__xludf.DUMMYFUNCTION("""COMPUTED_VALUE"""),46212.0)</f>
        <v>46212</v>
      </c>
      <c r="F964" s="377">
        <f>IFERROR(__xludf.DUMMYFUNCTION("""COMPUTED_VALUE"""),3.0)</f>
        <v>3</v>
      </c>
      <c r="G964" s="377">
        <f>IFERROR(__xludf.DUMMYFUNCTION("""COMPUTED_VALUE"""),3.0)</f>
        <v>3</v>
      </c>
      <c r="H964" s="378">
        <f>IFERROR(__xludf.DUMMYFUNCTION("""COMPUTED_VALUE"""),150.43)</f>
        <v>150.43</v>
      </c>
      <c r="I964" s="378">
        <f>IFERROR(__xludf.DUMMYFUNCTION("""COMPUTED_VALUE"""),361.03200000000004)</f>
        <v>361.032</v>
      </c>
      <c r="J964" s="377"/>
      <c r="K964" s="166"/>
      <c r="L964" s="166"/>
      <c r="M964" s="166"/>
      <c r="N964" s="170"/>
      <c r="O964" s="171"/>
      <c r="P964" s="171"/>
      <c r="Q964" s="172"/>
      <c r="R964" s="173"/>
      <c r="S964" s="173"/>
      <c r="T964" s="173"/>
      <c r="U964" s="174"/>
      <c r="V964" s="207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</row>
    <row r="965">
      <c r="A965" s="165">
        <f>IFERROR(__xludf.DUMMYFUNCTION("""COMPUTED_VALUE"""),8530495.0)</f>
        <v>8530495</v>
      </c>
      <c r="B965" s="166" t="str">
        <f>IFERROR(__xludf.DUMMYFUNCTION("""COMPUTED_VALUE"""),"Agoda2")</f>
        <v>Agoda2</v>
      </c>
      <c r="C965" s="166" t="str">
        <f>IFERROR(__xludf.DUMMYFUNCTION("""COMPUTED_VALUE"""),"MONA DEBEAUX ")</f>
        <v>MONA DEBEAUX </v>
      </c>
      <c r="D965" s="165">
        <f>IFERROR(__xludf.DUMMYFUNCTION("""COMPUTED_VALUE"""),46301.0)</f>
        <v>46301</v>
      </c>
      <c r="E965" s="165">
        <f>IFERROR(__xludf.DUMMYFUNCTION("""COMPUTED_VALUE"""),46304.0)</f>
        <v>46304</v>
      </c>
      <c r="F965" s="377">
        <f>IFERROR(__xludf.DUMMYFUNCTION("""COMPUTED_VALUE"""),3.0)</f>
        <v>3</v>
      </c>
      <c r="G965" s="377">
        <f>IFERROR(__xludf.DUMMYFUNCTION("""COMPUTED_VALUE"""),2.0)</f>
        <v>2</v>
      </c>
      <c r="H965" s="378">
        <f>IFERROR(__xludf.DUMMYFUNCTION("""COMPUTED_VALUE"""),221.21)</f>
        <v>221.21</v>
      </c>
      <c r="I965" s="378">
        <f>IFERROR(__xludf.DUMMYFUNCTION("""COMPUTED_VALUE"""),530.904)</f>
        <v>530.904</v>
      </c>
      <c r="J965" s="377"/>
      <c r="K965" s="166"/>
      <c r="L965" s="166"/>
      <c r="M965" s="166"/>
      <c r="N965" s="170"/>
      <c r="O965" s="171"/>
      <c r="P965" s="171"/>
      <c r="Q965" s="172"/>
      <c r="R965" s="173"/>
      <c r="S965" s="173"/>
      <c r="T965" s="173"/>
      <c r="U965" s="174"/>
      <c r="V965" s="165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</row>
    <row r="966">
      <c r="A966" s="165">
        <f>IFERROR(__xludf.DUMMYFUNCTION("""COMPUTED_VALUE"""),8530712.0)</f>
        <v>8530712</v>
      </c>
      <c r="B966" s="166" t="str">
        <f>IFERROR(__xludf.DUMMYFUNCTION("""COMPUTED_VALUE"""),"Reseliva Pannel")</f>
        <v>Reseliva Pannel</v>
      </c>
      <c r="C966" s="166" t="str">
        <f>IFERROR(__xludf.DUMMYFUNCTION("""COMPUTED_VALUE"""),"Mona Debeaux ")</f>
        <v>Mona Debeaux </v>
      </c>
      <c r="D966" s="165">
        <f>IFERROR(__xludf.DUMMYFUNCTION("""COMPUTED_VALUE"""),46300.0)</f>
        <v>46300</v>
      </c>
      <c r="E966" s="165">
        <f>IFERROR(__xludf.DUMMYFUNCTION("""COMPUTED_VALUE"""),46301.0)</f>
        <v>46301</v>
      </c>
      <c r="F966" s="377">
        <f>IFERROR(__xludf.DUMMYFUNCTION("""COMPUTED_VALUE"""),1.0)</f>
        <v>1</v>
      </c>
      <c r="G966" s="377">
        <f>IFERROR(__xludf.DUMMYFUNCTION("""COMPUTED_VALUE"""),2.0)</f>
        <v>2</v>
      </c>
      <c r="H966" s="378">
        <f>IFERROR(__xludf.DUMMYFUNCTION("""COMPUTED_VALUE"""),200.16)</f>
        <v>200.16</v>
      </c>
      <c r="I966" s="378">
        <f>IFERROR(__xludf.DUMMYFUNCTION("""COMPUTED_VALUE"""),200.16)</f>
        <v>200.16</v>
      </c>
      <c r="J966" s="377"/>
      <c r="K966" s="166"/>
      <c r="L966" s="166"/>
      <c r="M966" s="205"/>
      <c r="N966" s="170"/>
      <c r="O966" s="171"/>
      <c r="P966" s="171"/>
      <c r="Q966" s="172"/>
      <c r="R966" s="173"/>
      <c r="S966" s="173"/>
      <c r="T966" s="260"/>
      <c r="U966" s="261"/>
      <c r="V966" s="251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</row>
    <row r="967">
      <c r="A967" s="165">
        <f>IFERROR(__xludf.DUMMYFUNCTION("""COMPUTED_VALUE"""),8533330.0)</f>
        <v>8533330</v>
      </c>
      <c r="B967" s="166" t="str">
        <f>IFERROR(__xludf.DUMMYFUNCTION("""COMPUTED_VALUE"""),"BookingCom")</f>
        <v>BookingCom</v>
      </c>
      <c r="C967" s="166" t="str">
        <f>IFERROR(__xludf.DUMMYFUNCTION("""COMPUTED_VALUE"""),"cedric soler ")</f>
        <v>cedric soler </v>
      </c>
      <c r="D967" s="165">
        <f>IFERROR(__xludf.DUMMYFUNCTION("""COMPUTED_VALUE"""),46195.0)</f>
        <v>46195</v>
      </c>
      <c r="E967" s="165">
        <f>IFERROR(__xludf.DUMMYFUNCTION("""COMPUTED_VALUE"""),46197.0)</f>
        <v>46197</v>
      </c>
      <c r="F967" s="377">
        <f>IFERROR(__xludf.DUMMYFUNCTION("""COMPUTED_VALUE"""),2.0)</f>
        <v>2</v>
      </c>
      <c r="G967" s="377">
        <f>IFERROR(__xludf.DUMMYFUNCTION("""COMPUTED_VALUE"""),2.0)</f>
        <v>2</v>
      </c>
      <c r="H967" s="378">
        <f>IFERROR(__xludf.DUMMYFUNCTION("""COMPUTED_VALUE"""),152.99)</f>
        <v>152.99</v>
      </c>
      <c r="I967" s="378">
        <f>IFERROR(__xludf.DUMMYFUNCTION("""COMPUTED_VALUE"""),244.78400000000002)</f>
        <v>244.784</v>
      </c>
      <c r="J967" s="377"/>
      <c r="K967" s="166"/>
      <c r="L967" s="166"/>
      <c r="M967" s="166"/>
      <c r="N967" s="170"/>
      <c r="O967" s="171"/>
      <c r="P967" s="171"/>
      <c r="Q967" s="172"/>
      <c r="R967" s="173"/>
      <c r="S967" s="173"/>
      <c r="T967" s="173"/>
      <c r="U967" s="174"/>
      <c r="V967" s="165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</row>
    <row r="968">
      <c r="A968" s="165">
        <f>IFERROR(__xludf.DUMMYFUNCTION("""COMPUTED_VALUE"""),8533666.0)</f>
        <v>8533666</v>
      </c>
      <c r="B968" s="166" t="str">
        <f>IFERROR(__xludf.DUMMYFUNCTION("""COMPUTED_VALUE"""),"BookingCom")</f>
        <v>BookingCom</v>
      </c>
      <c r="C968" s="166" t="str">
        <f>IFERROR(__xludf.DUMMYFUNCTION("""COMPUTED_VALUE"""),"Darcy van Diest ")</f>
        <v>Darcy van Diest </v>
      </c>
      <c r="D968" s="165">
        <f>IFERROR(__xludf.DUMMYFUNCTION("""COMPUTED_VALUE"""),46352.0)</f>
        <v>46352</v>
      </c>
      <c r="E968" s="165">
        <f>IFERROR(__xludf.DUMMYFUNCTION("""COMPUTED_VALUE"""),46355.0)</f>
        <v>46355</v>
      </c>
      <c r="F968" s="377">
        <f>IFERROR(__xludf.DUMMYFUNCTION("""COMPUTED_VALUE"""),3.0)</f>
        <v>3</v>
      </c>
      <c r="G968" s="377">
        <f>IFERROR(__xludf.DUMMYFUNCTION("""COMPUTED_VALUE"""),2.0)</f>
        <v>2</v>
      </c>
      <c r="H968" s="378">
        <f>IFERROR(__xludf.DUMMYFUNCTION("""COMPUTED_VALUE"""),184.24)</f>
        <v>184.24</v>
      </c>
      <c r="I968" s="378">
        <f>IFERROR(__xludf.DUMMYFUNCTION("""COMPUTED_VALUE"""),442.17600000000004)</f>
        <v>442.176</v>
      </c>
      <c r="J968" s="377"/>
      <c r="K968" s="166"/>
      <c r="L968" s="166"/>
      <c r="M968" s="166"/>
      <c r="N968" s="170"/>
      <c r="O968" s="171"/>
      <c r="P968" s="171"/>
      <c r="Q968" s="172"/>
      <c r="R968" s="173"/>
      <c r="S968" s="173"/>
      <c r="T968" s="173"/>
      <c r="U968" s="174"/>
      <c r="V968" s="16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</row>
    <row r="969">
      <c r="A969" s="165">
        <f>IFERROR(__xludf.DUMMYFUNCTION("""COMPUTED_VALUE"""),8534214.0)</f>
        <v>8534214</v>
      </c>
      <c r="B969" s="166" t="str">
        <f>IFERROR(__xludf.DUMMYFUNCTION("""COMPUTED_VALUE"""),"BookingCom")</f>
        <v>BookingCom</v>
      </c>
      <c r="C969" s="166" t="str">
        <f>IFERROR(__xludf.DUMMYFUNCTION("""COMPUTED_VALUE"""),"Marta Donofrio ")</f>
        <v>Marta Donofrio </v>
      </c>
      <c r="D969" s="165">
        <f>IFERROR(__xludf.DUMMYFUNCTION("""COMPUTED_VALUE"""),46458.0)</f>
        <v>46458</v>
      </c>
      <c r="E969" s="165">
        <f>IFERROR(__xludf.DUMMYFUNCTION("""COMPUTED_VALUE"""),46460.0)</f>
        <v>46460</v>
      </c>
      <c r="F969" s="377">
        <f>IFERROR(__xludf.DUMMYFUNCTION("""COMPUTED_VALUE"""),2.0)</f>
        <v>2</v>
      </c>
      <c r="G969" s="377">
        <f>IFERROR(__xludf.DUMMYFUNCTION("""COMPUTED_VALUE"""),2.0)</f>
        <v>2</v>
      </c>
      <c r="H969" s="378">
        <f>IFERROR(__xludf.DUMMYFUNCTION("""COMPUTED_VALUE"""),195.52)</f>
        <v>195.52</v>
      </c>
      <c r="I969" s="378">
        <f>IFERROR(__xludf.DUMMYFUNCTION("""COMPUTED_VALUE"""),312.83200000000005)</f>
        <v>312.832</v>
      </c>
      <c r="J969" s="377"/>
      <c r="K969" s="166"/>
      <c r="L969" s="166"/>
      <c r="M969" s="166"/>
      <c r="N969" s="170"/>
      <c r="O969" s="171"/>
      <c r="P969" s="171"/>
      <c r="Q969" s="172"/>
      <c r="R969" s="173"/>
      <c r="S969" s="173"/>
      <c r="T969" s="173"/>
      <c r="U969" s="174"/>
      <c r="V969" s="165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</row>
    <row r="970">
      <c r="A970" s="165">
        <f>IFERROR(__xludf.DUMMYFUNCTION("""COMPUTED_VALUE"""),8537186.0)</f>
        <v>8537186</v>
      </c>
      <c r="B970" s="166" t="str">
        <f>IFERROR(__xludf.DUMMYFUNCTION("""COMPUTED_VALUE"""),"BookingCom")</f>
        <v>BookingCom</v>
      </c>
      <c r="C970" s="166" t="str">
        <f>IFERROR(__xludf.DUMMYFUNCTION("""COMPUTED_VALUE"""),"Melanie Hasler ")</f>
        <v>Melanie Hasler </v>
      </c>
      <c r="D970" s="165">
        <f>IFERROR(__xludf.DUMMYFUNCTION("""COMPUTED_VALUE"""),46267.0)</f>
        <v>46267</v>
      </c>
      <c r="E970" s="165">
        <f>IFERROR(__xludf.DUMMYFUNCTION("""COMPUTED_VALUE"""),46269.0)</f>
        <v>46269</v>
      </c>
      <c r="F970" s="377">
        <f>IFERROR(__xludf.DUMMYFUNCTION("""COMPUTED_VALUE"""),2.0)</f>
        <v>2</v>
      </c>
      <c r="G970" s="377">
        <f>IFERROR(__xludf.DUMMYFUNCTION("""COMPUTED_VALUE"""),2.0)</f>
        <v>2</v>
      </c>
      <c r="H970" s="378">
        <f>IFERROR(__xludf.DUMMYFUNCTION("""COMPUTED_VALUE"""),185.22)</f>
        <v>185.22</v>
      </c>
      <c r="I970" s="378">
        <f>IFERROR(__xludf.DUMMYFUNCTION("""COMPUTED_VALUE"""),296.35200000000003)</f>
        <v>296.352</v>
      </c>
      <c r="J970" s="377"/>
      <c r="K970" s="166"/>
      <c r="L970" s="166"/>
      <c r="M970" s="205"/>
      <c r="N970" s="170"/>
      <c r="O970" s="171"/>
      <c r="P970" s="171"/>
      <c r="Q970" s="172"/>
      <c r="R970" s="173"/>
      <c r="S970" s="173"/>
      <c r="T970" s="260"/>
      <c r="U970" s="261"/>
      <c r="V970" s="251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</row>
    <row r="971">
      <c r="A971" s="165">
        <f>IFERROR(__xludf.DUMMYFUNCTION("""COMPUTED_VALUE"""),8538523.0)</f>
        <v>8538523</v>
      </c>
      <c r="B971" s="166" t="str">
        <f>IFERROR(__xludf.DUMMYFUNCTION("""COMPUTED_VALUE"""),"BookingCom")</f>
        <v>BookingCom</v>
      </c>
      <c r="C971" s="166" t="str">
        <f>IFERROR(__xludf.DUMMYFUNCTION("""COMPUTED_VALUE"""),"vittorio di lella ")</f>
        <v>vittorio di lella </v>
      </c>
      <c r="D971" s="165">
        <f>IFERROR(__xludf.DUMMYFUNCTION("""COMPUTED_VALUE"""),46262.0)</f>
        <v>46262</v>
      </c>
      <c r="E971" s="165">
        <f>IFERROR(__xludf.DUMMYFUNCTION("""COMPUTED_VALUE"""),46263.0)</f>
        <v>46263</v>
      </c>
      <c r="F971" s="377">
        <f>IFERROR(__xludf.DUMMYFUNCTION("""COMPUTED_VALUE"""),1.0)</f>
        <v>1</v>
      </c>
      <c r="G971" s="377">
        <f>IFERROR(__xludf.DUMMYFUNCTION("""COMPUTED_VALUE"""),3.0)</f>
        <v>3</v>
      </c>
      <c r="H971" s="378">
        <f>IFERROR(__xludf.DUMMYFUNCTION("""COMPUTED_VALUE"""),305.82)</f>
        <v>305.82</v>
      </c>
      <c r="I971" s="378">
        <f>IFERROR(__xludf.DUMMYFUNCTION("""COMPUTED_VALUE"""),244.656)</f>
        <v>244.656</v>
      </c>
      <c r="J971" s="377"/>
      <c r="K971" s="166"/>
      <c r="L971" s="166"/>
      <c r="M971" s="166"/>
      <c r="N971" s="170"/>
      <c r="O971" s="171"/>
      <c r="P971" s="171"/>
      <c r="Q971" s="172"/>
      <c r="R971" s="173"/>
      <c r="S971" s="173"/>
      <c r="T971" s="173"/>
      <c r="U971" s="174"/>
      <c r="V971" s="16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</row>
    <row r="972">
      <c r="A972" s="165">
        <f>IFERROR(__xludf.DUMMYFUNCTION("""COMPUTED_VALUE"""),8538523.0)</f>
        <v>8538523</v>
      </c>
      <c r="B972" s="166" t="str">
        <f>IFERROR(__xludf.DUMMYFUNCTION("""COMPUTED_VALUE"""),"BookingCom")</f>
        <v>BookingCom</v>
      </c>
      <c r="C972" s="166" t="str">
        <f>IFERROR(__xludf.DUMMYFUNCTION("""COMPUTED_VALUE"""),"vittorio di lella ")</f>
        <v>vittorio di lella </v>
      </c>
      <c r="D972" s="165">
        <f>IFERROR(__xludf.DUMMYFUNCTION("""COMPUTED_VALUE"""),46262.0)</f>
        <v>46262</v>
      </c>
      <c r="E972" s="165">
        <f>IFERROR(__xludf.DUMMYFUNCTION("""COMPUTED_VALUE"""),46263.0)</f>
        <v>46263</v>
      </c>
      <c r="F972" s="377">
        <f>IFERROR(__xludf.DUMMYFUNCTION("""COMPUTED_VALUE"""),1.0)</f>
        <v>1</v>
      </c>
      <c r="G972" s="377">
        <f>IFERROR(__xludf.DUMMYFUNCTION("""COMPUTED_VALUE"""),2.0)</f>
        <v>2</v>
      </c>
      <c r="H972" s="378">
        <f>IFERROR(__xludf.DUMMYFUNCTION("""COMPUTED_VALUE"""),105.79)</f>
        <v>105.79</v>
      </c>
      <c r="I972" s="378">
        <f>IFERROR(__xludf.DUMMYFUNCTION("""COMPUTED_VALUE"""),84.632)</f>
        <v>84.632</v>
      </c>
      <c r="J972" s="377"/>
      <c r="K972" s="166"/>
      <c r="L972" s="166"/>
      <c r="M972" s="166"/>
      <c r="N972" s="170"/>
      <c r="O972" s="171"/>
      <c r="P972" s="171"/>
      <c r="Q972" s="172"/>
      <c r="R972" s="173"/>
      <c r="S972" s="173"/>
      <c r="T972" s="173"/>
      <c r="U972" s="174"/>
      <c r="V972" s="165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</row>
    <row r="973">
      <c r="A973" s="165">
        <f>IFERROR(__xludf.DUMMYFUNCTION("""COMPUTED_VALUE"""),8541888.0)</f>
        <v>8541888</v>
      </c>
      <c r="B973" s="166" t="str">
        <f>IFERROR(__xludf.DUMMYFUNCTION("""COMPUTED_VALUE"""),"BookingCom")</f>
        <v>BookingCom</v>
      </c>
      <c r="C973" s="166" t="str">
        <f>IFERROR(__xludf.DUMMYFUNCTION("""COMPUTED_VALUE"""),"Catherine Darlay ")</f>
        <v>Catherine Darlay </v>
      </c>
      <c r="D973" s="165">
        <f>IFERROR(__xludf.DUMMYFUNCTION("""COMPUTED_VALUE"""),46254.0)</f>
        <v>46254</v>
      </c>
      <c r="E973" s="165">
        <f>IFERROR(__xludf.DUMMYFUNCTION("""COMPUTED_VALUE"""),46255.0)</f>
        <v>46255</v>
      </c>
      <c r="F973" s="377">
        <f>IFERROR(__xludf.DUMMYFUNCTION("""COMPUTED_VALUE"""),1.0)</f>
        <v>1</v>
      </c>
      <c r="G973" s="377">
        <f>IFERROR(__xludf.DUMMYFUNCTION("""COMPUTED_VALUE"""),2.0)</f>
        <v>2</v>
      </c>
      <c r="H973" s="378">
        <f>IFERROR(__xludf.DUMMYFUNCTION("""COMPUTED_VALUE"""),112.1)</f>
        <v>112.1</v>
      </c>
      <c r="I973" s="378">
        <f>IFERROR(__xludf.DUMMYFUNCTION("""COMPUTED_VALUE"""),89.68)</f>
        <v>89.68</v>
      </c>
      <c r="J973" s="377"/>
      <c r="K973" s="166"/>
      <c r="L973" s="166"/>
      <c r="M973" s="166"/>
      <c r="N973" s="170"/>
      <c r="O973" s="171"/>
      <c r="P973" s="171"/>
      <c r="Q973" s="172"/>
      <c r="R973" s="173"/>
      <c r="S973" s="173"/>
      <c r="T973" s="173"/>
      <c r="U973" s="174"/>
      <c r="V973" s="16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</row>
    <row r="974">
      <c r="A974" s="165">
        <f>IFERROR(__xludf.DUMMYFUNCTION("""COMPUTED_VALUE"""),8542284.0)</f>
        <v>8542284</v>
      </c>
      <c r="B974" s="166" t="str">
        <f>IFERROR(__xludf.DUMMYFUNCTION("""COMPUTED_VALUE"""),"Reseliva Pannel")</f>
        <v>Reseliva Pannel</v>
      </c>
      <c r="C974" s="166" t="str">
        <f>IFERROR(__xludf.DUMMYFUNCTION("""COMPUTED_VALUE"""),"elie saad ")</f>
        <v>elie saad </v>
      </c>
      <c r="D974" s="165">
        <f>IFERROR(__xludf.DUMMYFUNCTION("""COMPUTED_VALUE"""),46218.0)</f>
        <v>46218</v>
      </c>
      <c r="E974" s="165">
        <f>IFERROR(__xludf.DUMMYFUNCTION("""COMPUTED_VALUE"""),46222.0)</f>
        <v>46222</v>
      </c>
      <c r="F974" s="377">
        <f>IFERROR(__xludf.DUMMYFUNCTION("""COMPUTED_VALUE"""),4.0)</f>
        <v>4</v>
      </c>
      <c r="G974" s="377">
        <f>IFERROR(__xludf.DUMMYFUNCTION("""COMPUTED_VALUE"""),2.0)</f>
        <v>2</v>
      </c>
      <c r="H974" s="378">
        <f>IFERROR(__xludf.DUMMYFUNCTION("""COMPUTED_VALUE"""),181.44)</f>
        <v>181.44</v>
      </c>
      <c r="I974" s="378">
        <f>IFERROR(__xludf.DUMMYFUNCTION("""COMPUTED_VALUE"""),725.76)</f>
        <v>725.76</v>
      </c>
      <c r="J974" s="377"/>
      <c r="K974" s="166"/>
      <c r="L974" s="166"/>
      <c r="M974" s="205"/>
      <c r="N974" s="170"/>
      <c r="O974" s="171"/>
      <c r="P974" s="171"/>
      <c r="Q974" s="172"/>
      <c r="R974" s="173"/>
      <c r="S974" s="173"/>
      <c r="T974" s="173"/>
      <c r="U974" s="174"/>
      <c r="V974" s="165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</row>
    <row r="975">
      <c r="A975" s="165">
        <f>IFERROR(__xludf.DUMMYFUNCTION("""COMPUTED_VALUE"""),8542936.0)</f>
        <v>8542936</v>
      </c>
      <c r="B975" s="166" t="str">
        <f>IFERROR(__xludf.DUMMYFUNCTION("""COMPUTED_VALUE"""),"Reseliva Pannel")</f>
        <v>Reseliva Pannel</v>
      </c>
      <c r="C975" s="166" t="str">
        <f>IFERROR(__xludf.DUMMYFUNCTION("""COMPUTED_VALUE"""),"matteo pazzano ")</f>
        <v>matteo pazzano </v>
      </c>
      <c r="D975" s="165">
        <f>IFERROR(__xludf.DUMMYFUNCTION("""COMPUTED_VALUE"""),46154.0)</f>
        <v>46154</v>
      </c>
      <c r="E975" s="165">
        <f>IFERROR(__xludf.DUMMYFUNCTION("""COMPUTED_VALUE"""),46155.0)</f>
        <v>46155</v>
      </c>
      <c r="F975" s="377">
        <f>IFERROR(__xludf.DUMMYFUNCTION("""COMPUTED_VALUE"""),1.0)</f>
        <v>1</v>
      </c>
      <c r="G975" s="377">
        <f>IFERROR(__xludf.DUMMYFUNCTION("""COMPUTED_VALUE"""),2.0)</f>
        <v>2</v>
      </c>
      <c r="H975" s="378">
        <f>IFERROR(__xludf.DUMMYFUNCTION("""COMPUTED_VALUE"""),210.24)</f>
        <v>210.24</v>
      </c>
      <c r="I975" s="378">
        <f>IFERROR(__xludf.DUMMYFUNCTION("""COMPUTED_VALUE"""),210.24)</f>
        <v>210.24</v>
      </c>
      <c r="J975" s="377"/>
      <c r="K975" s="166"/>
      <c r="L975" s="166"/>
      <c r="M975" s="166"/>
      <c r="N975" s="170"/>
      <c r="O975" s="171"/>
      <c r="P975" s="171"/>
      <c r="Q975" s="172"/>
      <c r="R975" s="173"/>
      <c r="S975" s="173"/>
      <c r="T975" s="173"/>
      <c r="U975" s="174"/>
      <c r="V975" s="16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</row>
    <row r="976">
      <c r="A976" s="165">
        <f>IFERROR(__xludf.DUMMYFUNCTION("""COMPUTED_VALUE"""),8542936.0)</f>
        <v>8542936</v>
      </c>
      <c r="B976" s="166" t="str">
        <f>IFERROR(__xludf.DUMMYFUNCTION("""COMPUTED_VALUE"""),"Reseliva Pannel")</f>
        <v>Reseliva Pannel</v>
      </c>
      <c r="C976" s="166" t="str">
        <f>IFERROR(__xludf.DUMMYFUNCTION("""COMPUTED_VALUE"""),"matteo pazzano ")</f>
        <v>matteo pazzano </v>
      </c>
      <c r="D976" s="165">
        <f>IFERROR(__xludf.DUMMYFUNCTION("""COMPUTED_VALUE"""),46154.0)</f>
        <v>46154</v>
      </c>
      <c r="E976" s="165">
        <f>IFERROR(__xludf.DUMMYFUNCTION("""COMPUTED_VALUE"""),46155.0)</f>
        <v>46155</v>
      </c>
      <c r="F976" s="377">
        <f>IFERROR(__xludf.DUMMYFUNCTION("""COMPUTED_VALUE"""),1.0)</f>
        <v>1</v>
      </c>
      <c r="G976" s="377">
        <f>IFERROR(__xludf.DUMMYFUNCTION("""COMPUTED_VALUE"""),2.0)</f>
        <v>2</v>
      </c>
      <c r="H976" s="378">
        <f>IFERROR(__xludf.DUMMYFUNCTION("""COMPUTED_VALUE"""),239.76)</f>
        <v>239.76</v>
      </c>
      <c r="I976" s="378">
        <f>IFERROR(__xludf.DUMMYFUNCTION("""COMPUTED_VALUE"""),239.76)</f>
        <v>239.76</v>
      </c>
      <c r="J976" s="377"/>
      <c r="K976" s="166"/>
      <c r="L976" s="166"/>
      <c r="M976" s="166"/>
      <c r="N976" s="170"/>
      <c r="O976" s="171"/>
      <c r="P976" s="171"/>
      <c r="Q976" s="172"/>
      <c r="R976" s="173"/>
      <c r="S976" s="173"/>
      <c r="T976" s="173"/>
      <c r="U976" s="174"/>
      <c r="V976" s="16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</row>
    <row r="977">
      <c r="A977" s="165">
        <f>IFERROR(__xludf.DUMMYFUNCTION("""COMPUTED_VALUE"""),8543490.0)</f>
        <v>8543490</v>
      </c>
      <c r="B977" s="166" t="str">
        <f>IFERROR(__xludf.DUMMYFUNCTION("""COMPUTED_VALUE"""),"BookingCom")</f>
        <v>BookingCom</v>
      </c>
      <c r="C977" s="166" t="str">
        <f>IFERROR(__xludf.DUMMYFUNCTION("""COMPUTED_VALUE"""),"Adrian Moghaddassi ")</f>
        <v>Adrian Moghaddassi </v>
      </c>
      <c r="D977" s="165">
        <f>IFERROR(__xludf.DUMMYFUNCTION("""COMPUTED_VALUE"""),46198.0)</f>
        <v>46198</v>
      </c>
      <c r="E977" s="165">
        <f>IFERROR(__xludf.DUMMYFUNCTION("""COMPUTED_VALUE"""),46200.0)</f>
        <v>46200</v>
      </c>
      <c r="F977" s="377">
        <f>IFERROR(__xludf.DUMMYFUNCTION("""COMPUTED_VALUE"""),2.0)</f>
        <v>2</v>
      </c>
      <c r="G977" s="377">
        <f>IFERROR(__xludf.DUMMYFUNCTION("""COMPUTED_VALUE"""),3.0)</f>
        <v>3</v>
      </c>
      <c r="H977" s="378">
        <f>IFERROR(__xludf.DUMMYFUNCTION("""COMPUTED_VALUE"""),314.95)</f>
        <v>314.95</v>
      </c>
      <c r="I977" s="378">
        <f>IFERROR(__xludf.DUMMYFUNCTION("""COMPUTED_VALUE"""),503.92)</f>
        <v>503.92</v>
      </c>
      <c r="J977" s="377"/>
      <c r="K977" s="166"/>
      <c r="L977" s="166"/>
      <c r="M977" s="166"/>
      <c r="N977" s="170"/>
      <c r="O977" s="171"/>
      <c r="P977" s="171"/>
      <c r="Q977" s="172"/>
      <c r="R977" s="173"/>
      <c r="S977" s="173"/>
      <c r="T977" s="173"/>
      <c r="U977" s="174"/>
      <c r="V977" s="16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</row>
    <row r="978">
      <c r="A978" s="165">
        <f>IFERROR(__xludf.DUMMYFUNCTION("""COMPUTED_VALUE"""),8543788.0)</f>
        <v>8543788</v>
      </c>
      <c r="B978" s="166" t="str">
        <f>IFERROR(__xludf.DUMMYFUNCTION("""COMPUTED_VALUE"""),"Reseliva Pannel")</f>
        <v>Reseliva Pannel</v>
      </c>
      <c r="C978" s="166" t="str">
        <f>IFERROR(__xludf.DUMMYFUNCTION("""COMPUTED_VALUE"""),"Catherine Darlay ")</f>
        <v>Catherine Darlay </v>
      </c>
      <c r="D978" s="165">
        <f>IFERROR(__xludf.DUMMYFUNCTION("""COMPUTED_VALUE"""),46258.0)</f>
        <v>46258</v>
      </c>
      <c r="E978" s="165">
        <f>IFERROR(__xludf.DUMMYFUNCTION("""COMPUTED_VALUE"""),46259.0)</f>
        <v>46259</v>
      </c>
      <c r="F978" s="377">
        <f>IFERROR(__xludf.DUMMYFUNCTION("""COMPUTED_VALUE"""),1.0)</f>
        <v>1</v>
      </c>
      <c r="G978" s="377">
        <f>IFERROR(__xludf.DUMMYFUNCTION("""COMPUTED_VALUE"""),2.0)</f>
        <v>2</v>
      </c>
      <c r="H978" s="378">
        <f>IFERROR(__xludf.DUMMYFUNCTION("""COMPUTED_VALUE"""),200.16)</f>
        <v>200.16</v>
      </c>
      <c r="I978" s="378">
        <f>IFERROR(__xludf.DUMMYFUNCTION("""COMPUTED_VALUE"""),200.16)</f>
        <v>200.16</v>
      </c>
      <c r="J978" s="377"/>
      <c r="K978" s="166"/>
      <c r="L978" s="166"/>
      <c r="M978" s="166"/>
      <c r="N978" s="170"/>
      <c r="O978" s="171"/>
      <c r="P978" s="171"/>
      <c r="Q978" s="172"/>
      <c r="R978" s="173"/>
      <c r="S978" s="173"/>
      <c r="T978" s="173"/>
      <c r="U978" s="174"/>
      <c r="V978" s="16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</row>
    <row r="979">
      <c r="A979" s="165">
        <f>IFERROR(__xludf.DUMMYFUNCTION("""COMPUTED_VALUE"""),8549883.0)</f>
        <v>8549883</v>
      </c>
      <c r="B979" s="166" t="str">
        <f>IFERROR(__xludf.DUMMYFUNCTION("""COMPUTED_VALUE"""),"BookingCom")</f>
        <v>BookingCom</v>
      </c>
      <c r="C979" s="166" t="str">
        <f>IFERROR(__xludf.DUMMYFUNCTION("""COMPUTED_VALUE"""),"Alessandra Bellato ")</f>
        <v>Alessandra Bellato </v>
      </c>
      <c r="D979" s="165">
        <f>IFERROR(__xludf.DUMMYFUNCTION("""COMPUTED_VALUE"""),46554.0)</f>
        <v>46554</v>
      </c>
      <c r="E979" s="165">
        <f>IFERROR(__xludf.DUMMYFUNCTION("""COMPUTED_VALUE"""),46561.0)</f>
        <v>46561</v>
      </c>
      <c r="F979" s="377">
        <f>IFERROR(__xludf.DUMMYFUNCTION("""COMPUTED_VALUE"""),7.0)</f>
        <v>7</v>
      </c>
      <c r="G979" s="377">
        <f>IFERROR(__xludf.DUMMYFUNCTION("""COMPUTED_VALUE"""),2.0)</f>
        <v>2</v>
      </c>
      <c r="H979" s="378">
        <f>IFERROR(__xludf.DUMMYFUNCTION("""COMPUTED_VALUE"""),94.39999999999999)</f>
        <v>94.4</v>
      </c>
      <c r="I979" s="378">
        <f>IFERROR(__xludf.DUMMYFUNCTION("""COMPUTED_VALUE"""),528.64)</f>
        <v>528.64</v>
      </c>
      <c r="J979" s="377"/>
      <c r="K979" s="166"/>
      <c r="L979" s="166"/>
      <c r="M979" s="166"/>
      <c r="N979" s="170"/>
      <c r="O979" s="171"/>
      <c r="P979" s="171"/>
      <c r="Q979" s="172"/>
      <c r="R979" s="173"/>
      <c r="S979" s="173"/>
      <c r="T979" s="260"/>
      <c r="U979" s="261"/>
      <c r="V979" s="251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</row>
    <row r="980">
      <c r="A980" s="165">
        <f>IFERROR(__xludf.DUMMYFUNCTION("""COMPUTED_VALUE"""),8551209.0)</f>
        <v>8551209</v>
      </c>
      <c r="B980" s="166" t="str">
        <f>IFERROR(__xludf.DUMMYFUNCTION("""COMPUTED_VALUE"""),"BookingCom")</f>
        <v>BookingCom</v>
      </c>
      <c r="C980" s="166" t="str">
        <f>IFERROR(__xludf.DUMMYFUNCTION("""COMPUTED_VALUE"""),"Ines Stavric ")</f>
        <v>Ines Stavric </v>
      </c>
      <c r="D980" s="165">
        <f>IFERROR(__xludf.DUMMYFUNCTION("""COMPUTED_VALUE"""),46272.0)</f>
        <v>46272</v>
      </c>
      <c r="E980" s="165">
        <f>IFERROR(__xludf.DUMMYFUNCTION("""COMPUTED_VALUE"""),46276.0)</f>
        <v>46276</v>
      </c>
      <c r="F980" s="377">
        <f>IFERROR(__xludf.DUMMYFUNCTION("""COMPUTED_VALUE"""),4.0)</f>
        <v>4</v>
      </c>
      <c r="G980" s="377">
        <f>IFERROR(__xludf.DUMMYFUNCTION("""COMPUTED_VALUE"""),2.0)</f>
        <v>2</v>
      </c>
      <c r="H980" s="378">
        <f>IFERROR(__xludf.DUMMYFUNCTION("""COMPUTED_VALUE"""),106.57)</f>
        <v>106.57</v>
      </c>
      <c r="I980" s="378">
        <f>IFERROR(__xludf.DUMMYFUNCTION("""COMPUTED_VALUE"""),341.024)</f>
        <v>341.024</v>
      </c>
      <c r="J980" s="377"/>
      <c r="K980" s="166"/>
      <c r="L980" s="166"/>
      <c r="M980" s="166"/>
      <c r="N980" s="170"/>
      <c r="O980" s="171"/>
      <c r="P980" s="171"/>
      <c r="Q980" s="172"/>
      <c r="R980" s="173"/>
      <c r="S980" s="173"/>
      <c r="T980" s="173"/>
      <c r="U980" s="174"/>
      <c r="V980" s="16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</row>
    <row r="981">
      <c r="A981" s="165">
        <f>IFERROR(__xludf.DUMMYFUNCTION("""COMPUTED_VALUE"""),8554333.0)</f>
        <v>8554333</v>
      </c>
      <c r="B981" s="166" t="str">
        <f>IFERROR(__xludf.DUMMYFUNCTION("""COMPUTED_VALUE"""),"Reseliva Pannel")</f>
        <v>Reseliva Pannel</v>
      </c>
      <c r="C981" s="166" t="str">
        <f>IFERROR(__xludf.DUMMYFUNCTION("""COMPUTED_VALUE"""),"Sofie Houtmeyers ")</f>
        <v>Sofie Houtmeyers </v>
      </c>
      <c r="D981" s="165">
        <f>IFERROR(__xludf.DUMMYFUNCTION("""COMPUTED_VALUE"""),46181.0)</f>
        <v>46181</v>
      </c>
      <c r="E981" s="165">
        <f>IFERROR(__xludf.DUMMYFUNCTION("""COMPUTED_VALUE"""),46182.0)</f>
        <v>46182</v>
      </c>
      <c r="F981" s="377">
        <f>IFERROR(__xludf.DUMMYFUNCTION("""COMPUTED_VALUE"""),1.0)</f>
        <v>1</v>
      </c>
      <c r="G981" s="377">
        <f>IFERROR(__xludf.DUMMYFUNCTION("""COMPUTED_VALUE"""),2.0)</f>
        <v>2</v>
      </c>
      <c r="H981" s="378">
        <f>IFERROR(__xludf.DUMMYFUNCTION("""COMPUTED_VALUE"""),243.36)</f>
        <v>243.36</v>
      </c>
      <c r="I981" s="378">
        <f>IFERROR(__xludf.DUMMYFUNCTION("""COMPUTED_VALUE"""),243.36)</f>
        <v>243.36</v>
      </c>
      <c r="J981" s="377"/>
      <c r="K981" s="166"/>
      <c r="L981" s="166"/>
      <c r="M981" s="205"/>
      <c r="N981" s="170"/>
      <c r="O981" s="171"/>
      <c r="P981" s="171"/>
      <c r="Q981" s="172"/>
      <c r="R981" s="173"/>
      <c r="S981" s="173"/>
      <c r="T981" s="173"/>
      <c r="U981" s="174"/>
      <c r="V981" s="16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</row>
    <row r="982">
      <c r="A982" s="165">
        <f>IFERROR(__xludf.DUMMYFUNCTION("""COMPUTED_VALUE"""),8554547.0)</f>
        <v>8554547</v>
      </c>
      <c r="B982" s="166" t="str">
        <f>IFERROR(__xludf.DUMMYFUNCTION("""COMPUTED_VALUE"""),"BookingCom")</f>
        <v>BookingCom</v>
      </c>
      <c r="C982" s="166" t="str">
        <f>IFERROR(__xludf.DUMMYFUNCTION("""COMPUTED_VALUE"""),"Bernardus Beune ")</f>
        <v>Bernardus Beune </v>
      </c>
      <c r="D982" s="165">
        <f>IFERROR(__xludf.DUMMYFUNCTION("""COMPUTED_VALUE"""),46182.0)</f>
        <v>46182</v>
      </c>
      <c r="E982" s="165">
        <f>IFERROR(__xludf.DUMMYFUNCTION("""COMPUTED_VALUE"""),46185.0)</f>
        <v>46185</v>
      </c>
      <c r="F982" s="377">
        <f>IFERROR(__xludf.DUMMYFUNCTION("""COMPUTED_VALUE"""),3.0)</f>
        <v>3</v>
      </c>
      <c r="G982" s="377">
        <f>IFERROR(__xludf.DUMMYFUNCTION("""COMPUTED_VALUE"""),2.0)</f>
        <v>2</v>
      </c>
      <c r="H982" s="378">
        <f>IFERROR(__xludf.DUMMYFUNCTION("""COMPUTED_VALUE"""),167.58)</f>
        <v>167.58</v>
      </c>
      <c r="I982" s="378">
        <f>IFERROR(__xludf.DUMMYFUNCTION("""COMPUTED_VALUE"""),402.19200000000006)</f>
        <v>402.192</v>
      </c>
      <c r="J982" s="377"/>
      <c r="K982" s="166"/>
      <c r="L982" s="166"/>
      <c r="M982" s="166"/>
      <c r="N982" s="170"/>
      <c r="O982" s="171"/>
      <c r="P982" s="171"/>
      <c r="Q982" s="172"/>
      <c r="R982" s="173"/>
      <c r="S982" s="173"/>
      <c r="T982" s="173"/>
      <c r="U982" s="174"/>
      <c r="V982" s="165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</row>
    <row r="983">
      <c r="A983" s="263">
        <f>IFERROR(__xludf.DUMMYFUNCTION("""COMPUTED_VALUE"""),8559782.0)</f>
        <v>8559782</v>
      </c>
      <c r="B983" s="166" t="str">
        <f>IFERROR(__xludf.DUMMYFUNCTION("""COMPUTED_VALUE"""),"BookingCom")</f>
        <v>BookingCom</v>
      </c>
      <c r="C983" s="166" t="str">
        <f>IFERROR(__xludf.DUMMYFUNCTION("""COMPUTED_VALUE"""),"Mara Aguirre ")</f>
        <v>Mara Aguirre </v>
      </c>
      <c r="D983" s="165">
        <f>IFERROR(__xludf.DUMMYFUNCTION("""COMPUTED_VALUE"""),46166.0)</f>
        <v>46166</v>
      </c>
      <c r="E983" s="165">
        <f>IFERROR(__xludf.DUMMYFUNCTION("""COMPUTED_VALUE"""),46167.0)</f>
        <v>46167</v>
      </c>
      <c r="F983" s="377">
        <f>IFERROR(__xludf.DUMMYFUNCTION("""COMPUTED_VALUE"""),1.0)</f>
        <v>1</v>
      </c>
      <c r="G983" s="377">
        <f>IFERROR(__xludf.DUMMYFUNCTION("""COMPUTED_VALUE"""),1.0)</f>
        <v>1</v>
      </c>
      <c r="H983" s="378">
        <f>IFERROR(__xludf.DUMMYFUNCTION("""COMPUTED_VALUE"""),163.39)</f>
        <v>163.39</v>
      </c>
      <c r="I983" s="378">
        <f>IFERROR(__xludf.DUMMYFUNCTION("""COMPUTED_VALUE"""),130.712)</f>
        <v>130.712</v>
      </c>
      <c r="J983" s="377"/>
      <c r="K983" s="166"/>
      <c r="L983" s="166"/>
      <c r="M983" s="166"/>
      <c r="N983" s="169"/>
      <c r="O983" s="171"/>
      <c r="P983" s="171"/>
      <c r="Q983" s="169"/>
      <c r="R983" s="173"/>
      <c r="S983" s="173"/>
      <c r="T983" s="173"/>
      <c r="U983" s="201"/>
      <c r="V983" s="16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</row>
    <row r="984">
      <c r="A984" s="165">
        <f>IFERROR(__xludf.DUMMYFUNCTION("""COMPUTED_VALUE"""),8560276.0)</f>
        <v>8560276</v>
      </c>
      <c r="B984" s="166" t="str">
        <f>IFERROR(__xludf.DUMMYFUNCTION("""COMPUTED_VALUE"""),"BookingCom")</f>
        <v>BookingCom</v>
      </c>
      <c r="C984" s="166" t="str">
        <f>IFERROR(__xludf.DUMMYFUNCTION("""COMPUTED_VALUE"""),"Julie Degreve ")</f>
        <v>Julie Degreve </v>
      </c>
      <c r="D984" s="165">
        <f>IFERROR(__xludf.DUMMYFUNCTION("""COMPUTED_VALUE"""),46209.0)</f>
        <v>46209</v>
      </c>
      <c r="E984" s="165">
        <f>IFERROR(__xludf.DUMMYFUNCTION("""COMPUTED_VALUE"""),46210.0)</f>
        <v>46210</v>
      </c>
      <c r="F984" s="377">
        <f>IFERROR(__xludf.DUMMYFUNCTION("""COMPUTED_VALUE"""),1.0)</f>
        <v>1</v>
      </c>
      <c r="G984" s="377">
        <f>IFERROR(__xludf.DUMMYFUNCTION("""COMPUTED_VALUE"""),2.0)</f>
        <v>2</v>
      </c>
      <c r="H984" s="378">
        <f>IFERROR(__xludf.DUMMYFUNCTION("""COMPUTED_VALUE"""),136.78)</f>
        <v>136.78</v>
      </c>
      <c r="I984" s="378">
        <f>IFERROR(__xludf.DUMMYFUNCTION("""COMPUTED_VALUE"""),109.424)</f>
        <v>109.424</v>
      </c>
      <c r="J984" s="377"/>
      <c r="K984" s="166"/>
      <c r="L984" s="166"/>
      <c r="M984" s="166"/>
      <c r="N984" s="170"/>
      <c r="O984" s="171"/>
      <c r="P984" s="171"/>
      <c r="Q984" s="172"/>
      <c r="R984" s="173"/>
      <c r="S984" s="173"/>
      <c r="T984" s="173"/>
      <c r="U984" s="174"/>
      <c r="V984" s="16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</row>
    <row r="985">
      <c r="A985" s="165">
        <f>IFERROR(__xludf.DUMMYFUNCTION("""COMPUTED_VALUE"""),8563369.0)</f>
        <v>8563369</v>
      </c>
      <c r="B985" s="166" t="str">
        <f>IFERROR(__xludf.DUMMYFUNCTION("""COMPUTED_VALUE"""),"BookingCom")</f>
        <v>BookingCom</v>
      </c>
      <c r="C985" s="166" t="str">
        <f>IFERROR(__xludf.DUMMYFUNCTION("""COMPUTED_VALUE"""),"Prarthana Patelia ")</f>
        <v>Prarthana Patelia </v>
      </c>
      <c r="D985" s="165">
        <f>IFERROR(__xludf.DUMMYFUNCTION("""COMPUTED_VALUE"""),46502.0)</f>
        <v>46502</v>
      </c>
      <c r="E985" s="165">
        <f>IFERROR(__xludf.DUMMYFUNCTION("""COMPUTED_VALUE"""),46506.0)</f>
        <v>46506</v>
      </c>
      <c r="F985" s="377">
        <f>IFERROR(__xludf.DUMMYFUNCTION("""COMPUTED_VALUE"""),4.0)</f>
        <v>4</v>
      </c>
      <c r="G985" s="377">
        <f>IFERROR(__xludf.DUMMYFUNCTION("""COMPUTED_VALUE"""),2.0)</f>
        <v>2</v>
      </c>
      <c r="H985" s="378">
        <f>IFERROR(__xludf.DUMMYFUNCTION("""COMPUTED_VALUE"""),160.44)</f>
        <v>160.44</v>
      </c>
      <c r="I985" s="378">
        <f>IFERROR(__xludf.DUMMYFUNCTION("""COMPUTED_VALUE"""),513.408)</f>
        <v>513.408</v>
      </c>
      <c r="J985" s="377"/>
      <c r="K985" s="166"/>
      <c r="L985" s="166"/>
      <c r="M985" s="205"/>
      <c r="N985" s="170"/>
      <c r="O985" s="171"/>
      <c r="P985" s="171"/>
      <c r="Q985" s="172"/>
      <c r="R985" s="173"/>
      <c r="S985" s="173"/>
      <c r="T985" s="173"/>
      <c r="U985" s="174"/>
      <c r="V985" s="20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</row>
    <row r="986">
      <c r="A986" s="165">
        <f>IFERROR(__xludf.DUMMYFUNCTION("""COMPUTED_VALUE"""),8563456.0)</f>
        <v>8563456</v>
      </c>
      <c r="B986" s="166" t="str">
        <f>IFERROR(__xludf.DUMMYFUNCTION("""COMPUTED_VALUE"""),"BookingCom")</f>
        <v>BookingCom</v>
      </c>
      <c r="C986" s="166" t="str">
        <f>IFERROR(__xludf.DUMMYFUNCTION("""COMPUTED_VALUE"""),"Clarissa Schedlitz ")</f>
        <v>Clarissa Schedlitz </v>
      </c>
      <c r="D986" s="165">
        <f>IFERROR(__xludf.DUMMYFUNCTION("""COMPUTED_VALUE"""),46610.0)</f>
        <v>46610</v>
      </c>
      <c r="E986" s="165">
        <f>IFERROR(__xludf.DUMMYFUNCTION("""COMPUTED_VALUE"""),46617.0)</f>
        <v>46617</v>
      </c>
      <c r="F986" s="377">
        <f>IFERROR(__xludf.DUMMYFUNCTION("""COMPUTED_VALUE"""),7.0)</f>
        <v>7</v>
      </c>
      <c r="G986" s="377">
        <f>IFERROR(__xludf.DUMMYFUNCTION("""COMPUTED_VALUE"""),2.0)</f>
        <v>2</v>
      </c>
      <c r="H986" s="378">
        <f>IFERROR(__xludf.DUMMYFUNCTION("""COMPUTED_VALUE"""),94.39999999999999)</f>
        <v>94.4</v>
      </c>
      <c r="I986" s="378">
        <f>IFERROR(__xludf.DUMMYFUNCTION("""COMPUTED_VALUE"""),528.64)</f>
        <v>528.64</v>
      </c>
      <c r="J986" s="377"/>
      <c r="K986" s="166"/>
      <c r="L986" s="166"/>
      <c r="M986" s="205"/>
      <c r="N986" s="170"/>
      <c r="O986" s="171"/>
      <c r="P986" s="171"/>
      <c r="Q986" s="172"/>
      <c r="R986" s="173"/>
      <c r="S986" s="173"/>
      <c r="T986" s="173"/>
      <c r="U986" s="174"/>
      <c r="V986" s="16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</row>
    <row r="987">
      <c r="A987" s="165">
        <f>IFERROR(__xludf.DUMMYFUNCTION("""COMPUTED_VALUE"""),8563466.0)</f>
        <v>8563466</v>
      </c>
      <c r="B987" s="166" t="str">
        <f>IFERROR(__xludf.DUMMYFUNCTION("""COMPUTED_VALUE"""),"BookingCom")</f>
        <v>BookingCom</v>
      </c>
      <c r="C987" s="166" t="str">
        <f>IFERROR(__xludf.DUMMYFUNCTION("""COMPUTED_VALUE"""),"Clarissa Schedlitz ")</f>
        <v>Clarissa Schedlitz </v>
      </c>
      <c r="D987" s="165">
        <f>IFERROR(__xludf.DUMMYFUNCTION("""COMPUTED_VALUE"""),46610.0)</f>
        <v>46610</v>
      </c>
      <c r="E987" s="165">
        <f>IFERROR(__xludf.DUMMYFUNCTION("""COMPUTED_VALUE"""),46617.0)</f>
        <v>46617</v>
      </c>
      <c r="F987" s="377">
        <f>IFERROR(__xludf.DUMMYFUNCTION("""COMPUTED_VALUE"""),7.0)</f>
        <v>7</v>
      </c>
      <c r="G987" s="377">
        <f>IFERROR(__xludf.DUMMYFUNCTION("""COMPUTED_VALUE"""),2.0)</f>
        <v>2</v>
      </c>
      <c r="H987" s="378">
        <f>IFERROR(__xludf.DUMMYFUNCTION("""COMPUTED_VALUE"""),94.39999999999999)</f>
        <v>94.4</v>
      </c>
      <c r="I987" s="378">
        <f>IFERROR(__xludf.DUMMYFUNCTION("""COMPUTED_VALUE"""),528.64)</f>
        <v>528.64</v>
      </c>
      <c r="J987" s="377"/>
      <c r="K987" s="166"/>
      <c r="L987" s="166"/>
      <c r="M987" s="166"/>
      <c r="N987" s="170"/>
      <c r="O987" s="171"/>
      <c r="P987" s="171"/>
      <c r="Q987" s="172"/>
      <c r="R987" s="173"/>
      <c r="S987" s="173"/>
      <c r="T987" s="173"/>
      <c r="U987" s="174"/>
      <c r="V987" s="165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</row>
    <row r="988">
      <c r="A988" s="165">
        <f>IFERROR(__xludf.DUMMYFUNCTION("""COMPUTED_VALUE"""),8563471.0)</f>
        <v>8563471</v>
      </c>
      <c r="B988" s="166" t="str">
        <f>IFERROR(__xludf.DUMMYFUNCTION("""COMPUTED_VALUE"""),"BookingCom")</f>
        <v>BookingCom</v>
      </c>
      <c r="C988" s="166" t="str">
        <f>IFERROR(__xludf.DUMMYFUNCTION("""COMPUTED_VALUE"""),"Clarissa Schedlitz ")</f>
        <v>Clarissa Schedlitz </v>
      </c>
      <c r="D988" s="165">
        <f>IFERROR(__xludf.DUMMYFUNCTION("""COMPUTED_VALUE"""),46610.0)</f>
        <v>46610</v>
      </c>
      <c r="E988" s="165">
        <f>IFERROR(__xludf.DUMMYFUNCTION("""COMPUTED_VALUE"""),46617.0)</f>
        <v>46617</v>
      </c>
      <c r="F988" s="377">
        <f>IFERROR(__xludf.DUMMYFUNCTION("""COMPUTED_VALUE"""),7.0)</f>
        <v>7</v>
      </c>
      <c r="G988" s="377">
        <f>IFERROR(__xludf.DUMMYFUNCTION("""COMPUTED_VALUE"""),2.0)</f>
        <v>2</v>
      </c>
      <c r="H988" s="378">
        <f>IFERROR(__xludf.DUMMYFUNCTION("""COMPUTED_VALUE"""),94.39999999999999)</f>
        <v>94.4</v>
      </c>
      <c r="I988" s="378">
        <f>IFERROR(__xludf.DUMMYFUNCTION("""COMPUTED_VALUE"""),528.64)</f>
        <v>528.64</v>
      </c>
      <c r="J988" s="377"/>
      <c r="K988" s="166"/>
      <c r="L988" s="166"/>
      <c r="M988" s="205"/>
      <c r="N988" s="170"/>
      <c r="O988" s="171"/>
      <c r="P988" s="171"/>
      <c r="Q988" s="172"/>
      <c r="R988" s="173"/>
      <c r="S988" s="173"/>
      <c r="T988" s="173"/>
      <c r="U988" s="174"/>
      <c r="V988" s="210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</row>
    <row r="989">
      <c r="A989" s="165">
        <f>IFERROR(__xludf.DUMMYFUNCTION("""COMPUTED_VALUE"""),8565290.0)</f>
        <v>8565290</v>
      </c>
      <c r="B989" s="166" t="str">
        <f>IFERROR(__xludf.DUMMYFUNCTION("""COMPUTED_VALUE"""),"BookingCom")</f>
        <v>BookingCom</v>
      </c>
      <c r="C989" s="166" t="str">
        <f>IFERROR(__xludf.DUMMYFUNCTION("""COMPUTED_VALUE"""),"Chris Cox ")</f>
        <v>Chris Cox </v>
      </c>
      <c r="D989" s="165">
        <f>IFERROR(__xludf.DUMMYFUNCTION("""COMPUTED_VALUE"""),46468.0)</f>
        <v>46468</v>
      </c>
      <c r="E989" s="165">
        <f>IFERROR(__xludf.DUMMYFUNCTION("""COMPUTED_VALUE"""),46471.0)</f>
        <v>46471</v>
      </c>
      <c r="F989" s="377">
        <f>IFERROR(__xludf.DUMMYFUNCTION("""COMPUTED_VALUE"""),3.0)</f>
        <v>3</v>
      </c>
      <c r="G989" s="377">
        <f>IFERROR(__xludf.DUMMYFUNCTION("""COMPUTED_VALUE"""),2.0)</f>
        <v>2</v>
      </c>
      <c r="H989" s="378">
        <f>IFERROR(__xludf.DUMMYFUNCTION("""COMPUTED_VALUE"""),179.9)</f>
        <v>179.9</v>
      </c>
      <c r="I989" s="378">
        <f>IFERROR(__xludf.DUMMYFUNCTION("""COMPUTED_VALUE"""),431.76000000000005)</f>
        <v>431.76</v>
      </c>
      <c r="J989" s="377"/>
      <c r="K989" s="166"/>
      <c r="L989" s="166"/>
      <c r="M989" s="166"/>
      <c r="N989" s="170"/>
      <c r="O989" s="171"/>
      <c r="P989" s="171"/>
      <c r="Q989" s="172"/>
      <c r="R989" s="173"/>
      <c r="S989" s="173"/>
      <c r="T989" s="173"/>
      <c r="U989" s="174"/>
      <c r="V989" s="16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</row>
    <row r="990">
      <c r="A990" s="165">
        <f>IFERROR(__xludf.DUMMYFUNCTION("""COMPUTED_VALUE"""),8565364.0)</f>
        <v>8565364</v>
      </c>
      <c r="B990" s="166" t="str">
        <f>IFERROR(__xludf.DUMMYFUNCTION("""COMPUTED_VALUE"""),"BookingCom")</f>
        <v>BookingCom</v>
      </c>
      <c r="C990" s="166" t="str">
        <f>IFERROR(__xludf.DUMMYFUNCTION("""COMPUTED_VALUE"""),"Elyce Lilly ")</f>
        <v>Elyce Lilly </v>
      </c>
      <c r="D990" s="165">
        <f>IFERROR(__xludf.DUMMYFUNCTION("""COMPUTED_VALUE"""),46334.0)</f>
        <v>46334</v>
      </c>
      <c r="E990" s="165">
        <f>IFERROR(__xludf.DUMMYFUNCTION("""COMPUTED_VALUE"""),46336.0)</f>
        <v>46336</v>
      </c>
      <c r="F990" s="377">
        <f>IFERROR(__xludf.DUMMYFUNCTION("""COMPUTED_VALUE"""),2.0)</f>
        <v>2</v>
      </c>
      <c r="G990" s="377">
        <f>IFERROR(__xludf.DUMMYFUNCTION("""COMPUTED_VALUE"""),2.0)</f>
        <v>2</v>
      </c>
      <c r="H990" s="378">
        <f>IFERROR(__xludf.DUMMYFUNCTION("""COMPUTED_VALUE"""),148.9)</f>
        <v>148.9</v>
      </c>
      <c r="I990" s="378">
        <f>IFERROR(__xludf.DUMMYFUNCTION("""COMPUTED_VALUE"""),238.24)</f>
        <v>238.24</v>
      </c>
      <c r="J990" s="377"/>
      <c r="K990" s="166"/>
      <c r="L990" s="166"/>
      <c r="M990" s="166"/>
      <c r="N990" s="170"/>
      <c r="O990" s="171"/>
      <c r="P990" s="171"/>
      <c r="Q990" s="172"/>
      <c r="R990" s="173"/>
      <c r="S990" s="173"/>
      <c r="T990" s="173"/>
      <c r="U990" s="174"/>
      <c r="V990" s="16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</row>
    <row r="991">
      <c r="A991" s="165">
        <f>IFERROR(__xludf.DUMMYFUNCTION("""COMPUTED_VALUE"""),8565565.0)</f>
        <v>8565565</v>
      </c>
      <c r="B991" s="166" t="str">
        <f>IFERROR(__xludf.DUMMYFUNCTION("""COMPUTED_VALUE"""),"Ctrip")</f>
        <v>Ctrip</v>
      </c>
      <c r="C991" s="166" t="str">
        <f>IFERROR(__xludf.DUMMYFUNCTION("""COMPUTED_VALUE"""),"YUCHEN LIU ")</f>
        <v>YUCHEN LIU </v>
      </c>
      <c r="D991" s="165">
        <f>IFERROR(__xludf.DUMMYFUNCTION("""COMPUTED_VALUE"""),46174.0)</f>
        <v>46174</v>
      </c>
      <c r="E991" s="165">
        <f>IFERROR(__xludf.DUMMYFUNCTION("""COMPUTED_VALUE"""),46178.0)</f>
        <v>46178</v>
      </c>
      <c r="F991" s="377">
        <f>IFERROR(__xludf.DUMMYFUNCTION("""COMPUTED_VALUE"""),4.0)</f>
        <v>4</v>
      </c>
      <c r="G991" s="377">
        <f>IFERROR(__xludf.DUMMYFUNCTION("""COMPUTED_VALUE"""),2.0)</f>
        <v>2</v>
      </c>
      <c r="H991" s="378">
        <f>IFERROR(__xludf.DUMMYFUNCTION("""COMPUTED_VALUE"""),120.44)</f>
        <v>120.44</v>
      </c>
      <c r="I991" s="378">
        <f>IFERROR(__xludf.DUMMYFUNCTION("""COMPUTED_VALUE"""),481.76)</f>
        <v>481.76</v>
      </c>
      <c r="J991" s="377"/>
      <c r="K991" s="166"/>
      <c r="L991" s="166"/>
      <c r="M991" s="166"/>
      <c r="N991" s="170"/>
      <c r="O991" s="171"/>
      <c r="P991" s="171"/>
      <c r="Q991" s="172"/>
      <c r="R991" s="173"/>
      <c r="S991" s="173"/>
      <c r="T991" s="173"/>
      <c r="U991" s="174"/>
      <c r="V991" s="16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</row>
    <row r="992">
      <c r="A992" s="165">
        <f>IFERROR(__xludf.DUMMYFUNCTION("""COMPUTED_VALUE"""),8567099.0)</f>
        <v>8567099</v>
      </c>
      <c r="B992" s="166" t="str">
        <f>IFERROR(__xludf.DUMMYFUNCTION("""COMPUTED_VALUE"""),"BookingCom")</f>
        <v>BookingCom</v>
      </c>
      <c r="C992" s="166" t="str">
        <f>IFERROR(__xludf.DUMMYFUNCTION("""COMPUTED_VALUE"""),"Adis Lonic ")</f>
        <v>Adis Lonic </v>
      </c>
      <c r="D992" s="165">
        <f>IFERROR(__xludf.DUMMYFUNCTION("""COMPUTED_VALUE"""),46177.0)</f>
        <v>46177</v>
      </c>
      <c r="E992" s="165">
        <f>IFERROR(__xludf.DUMMYFUNCTION("""COMPUTED_VALUE"""),46180.0)</f>
        <v>46180</v>
      </c>
      <c r="F992" s="377">
        <f>IFERROR(__xludf.DUMMYFUNCTION("""COMPUTED_VALUE"""),3.0)</f>
        <v>3</v>
      </c>
      <c r="G992" s="377">
        <f>IFERROR(__xludf.DUMMYFUNCTION("""COMPUTED_VALUE"""),2.0)</f>
        <v>2</v>
      </c>
      <c r="H992" s="378">
        <f>IFERROR(__xludf.DUMMYFUNCTION("""COMPUTED_VALUE"""),127.94)</f>
        <v>127.94</v>
      </c>
      <c r="I992" s="378">
        <f>IFERROR(__xludf.DUMMYFUNCTION("""COMPUTED_VALUE"""),307.05600000000004)</f>
        <v>307.056</v>
      </c>
      <c r="J992" s="377"/>
      <c r="K992" s="166"/>
      <c r="L992" s="166"/>
      <c r="M992" s="205"/>
      <c r="N992" s="170"/>
      <c r="O992" s="171"/>
      <c r="P992" s="171"/>
      <c r="Q992" s="172"/>
      <c r="R992" s="173"/>
      <c r="S992" s="173"/>
      <c r="T992" s="173"/>
      <c r="U992" s="174"/>
      <c r="V992" s="165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</row>
    <row r="993">
      <c r="A993" s="165">
        <f>IFERROR(__xludf.DUMMYFUNCTION("""COMPUTED_VALUE"""),8567224.0)</f>
        <v>8567224</v>
      </c>
      <c r="B993" s="166" t="str">
        <f>IFERROR(__xludf.DUMMYFUNCTION("""COMPUTED_VALUE"""),"BookingCom")</f>
        <v>BookingCom</v>
      </c>
      <c r="C993" s="166" t="str">
        <f>IFERROR(__xludf.DUMMYFUNCTION("""COMPUTED_VALUE"""),"Matthew Slark ")</f>
        <v>Matthew Slark </v>
      </c>
      <c r="D993" s="165">
        <f>IFERROR(__xludf.DUMMYFUNCTION("""COMPUTED_VALUE"""),46303.0)</f>
        <v>46303</v>
      </c>
      <c r="E993" s="165">
        <f>IFERROR(__xludf.DUMMYFUNCTION("""COMPUTED_VALUE"""),46306.0)</f>
        <v>46306</v>
      </c>
      <c r="F993" s="377">
        <f>IFERROR(__xludf.DUMMYFUNCTION("""COMPUTED_VALUE"""),3.0)</f>
        <v>3</v>
      </c>
      <c r="G993" s="377">
        <f>IFERROR(__xludf.DUMMYFUNCTION("""COMPUTED_VALUE"""),2.0)</f>
        <v>2</v>
      </c>
      <c r="H993" s="378">
        <f>IFERROR(__xludf.DUMMYFUNCTION("""COMPUTED_VALUE"""),155.68)</f>
        <v>155.68</v>
      </c>
      <c r="I993" s="378">
        <f>IFERROR(__xludf.DUMMYFUNCTION("""COMPUTED_VALUE"""),373.63200000000006)</f>
        <v>373.632</v>
      </c>
      <c r="J993" s="377"/>
      <c r="K993" s="166"/>
      <c r="L993" s="166"/>
      <c r="M993" s="166"/>
      <c r="N993" s="170"/>
      <c r="O993" s="171"/>
      <c r="P993" s="171"/>
      <c r="Q993" s="172"/>
      <c r="R993" s="173"/>
      <c r="S993" s="173"/>
      <c r="T993" s="173"/>
      <c r="U993" s="174"/>
      <c r="V993" s="165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</row>
    <row r="994">
      <c r="A994" s="165">
        <f>IFERROR(__xludf.DUMMYFUNCTION("""COMPUTED_VALUE"""),8567432.0)</f>
        <v>8567432</v>
      </c>
      <c r="B994" s="166" t="str">
        <f>IFERROR(__xludf.DUMMYFUNCTION("""COMPUTED_VALUE"""),"BookingCom")</f>
        <v>BookingCom</v>
      </c>
      <c r="C994" s="166" t="str">
        <f>IFERROR(__xludf.DUMMYFUNCTION("""COMPUTED_VALUE"""),"Clement Rousseau ")</f>
        <v>Clement Rousseau </v>
      </c>
      <c r="D994" s="165">
        <f>IFERROR(__xludf.DUMMYFUNCTION("""COMPUTED_VALUE"""),46181.0)</f>
        <v>46181</v>
      </c>
      <c r="E994" s="165">
        <f>IFERROR(__xludf.DUMMYFUNCTION("""COMPUTED_VALUE"""),46182.0)</f>
        <v>46182</v>
      </c>
      <c r="F994" s="377">
        <f>IFERROR(__xludf.DUMMYFUNCTION("""COMPUTED_VALUE"""),1.0)</f>
        <v>1</v>
      </c>
      <c r="G994" s="377">
        <f>IFERROR(__xludf.DUMMYFUNCTION("""COMPUTED_VALUE"""),3.0)</f>
        <v>3</v>
      </c>
      <c r="H994" s="378">
        <f>IFERROR(__xludf.DUMMYFUNCTION("""COMPUTED_VALUE"""),206.86)</f>
        <v>206.86</v>
      </c>
      <c r="I994" s="378">
        <f>IFERROR(__xludf.DUMMYFUNCTION("""COMPUTED_VALUE"""),165.48800000000003)</f>
        <v>165.488</v>
      </c>
      <c r="J994" s="377"/>
      <c r="K994" s="166"/>
      <c r="L994" s="166"/>
      <c r="M994" s="166"/>
      <c r="N994" s="170"/>
      <c r="O994" s="171"/>
      <c r="P994" s="171"/>
      <c r="Q994" s="172"/>
      <c r="R994" s="173"/>
      <c r="S994" s="173"/>
      <c r="T994" s="173"/>
      <c r="U994" s="174"/>
      <c r="V994" s="16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</row>
    <row r="995">
      <c r="A995" s="165">
        <f>IFERROR(__xludf.DUMMYFUNCTION("""COMPUTED_VALUE"""),8569919.0)</f>
        <v>8569919</v>
      </c>
      <c r="B995" s="166" t="str">
        <f>IFERROR(__xludf.DUMMYFUNCTION("""COMPUTED_VALUE"""),"BookingCom")</f>
        <v>BookingCom</v>
      </c>
      <c r="C995" s="166" t="str">
        <f>IFERROR(__xludf.DUMMYFUNCTION("""COMPUTED_VALUE"""),"Anita Maas ")</f>
        <v>Anita Maas </v>
      </c>
      <c r="D995" s="165">
        <f>IFERROR(__xludf.DUMMYFUNCTION("""COMPUTED_VALUE"""),46377.0)</f>
        <v>46377</v>
      </c>
      <c r="E995" s="165">
        <f>IFERROR(__xludf.DUMMYFUNCTION("""COMPUTED_VALUE"""),46380.0)</f>
        <v>46380</v>
      </c>
      <c r="F995" s="377">
        <f>IFERROR(__xludf.DUMMYFUNCTION("""COMPUTED_VALUE"""),3.0)</f>
        <v>3</v>
      </c>
      <c r="G995" s="377">
        <f>IFERROR(__xludf.DUMMYFUNCTION("""COMPUTED_VALUE"""),1.0)</f>
        <v>1</v>
      </c>
      <c r="H995" s="378">
        <f>IFERROR(__xludf.DUMMYFUNCTION("""COMPUTED_VALUE"""),160.44)</f>
        <v>160.44</v>
      </c>
      <c r="I995" s="378">
        <f>IFERROR(__xludf.DUMMYFUNCTION("""COMPUTED_VALUE"""),385.05600000000004)</f>
        <v>385.056</v>
      </c>
      <c r="J995" s="377"/>
      <c r="K995" s="166"/>
      <c r="L995" s="166"/>
      <c r="M995" s="166"/>
      <c r="N995" s="170"/>
      <c r="O995" s="171"/>
      <c r="P995" s="171"/>
      <c r="Q995" s="172"/>
      <c r="R995" s="173"/>
      <c r="S995" s="173"/>
      <c r="T995" s="173"/>
      <c r="U995" s="174"/>
      <c r="V995" s="16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</row>
    <row r="996">
      <c r="A996" s="165">
        <f>IFERROR(__xludf.DUMMYFUNCTION("""COMPUTED_VALUE"""),8572661.0)</f>
        <v>8572661</v>
      </c>
      <c r="B996" s="166" t="str">
        <f>IFERROR(__xludf.DUMMYFUNCTION("""COMPUTED_VALUE"""),"BookingCom")</f>
        <v>BookingCom</v>
      </c>
      <c r="C996" s="166" t="str">
        <f>IFERROR(__xludf.DUMMYFUNCTION("""COMPUTED_VALUE"""),"johny minnen ")</f>
        <v>johny minnen </v>
      </c>
      <c r="D996" s="165">
        <f>IFERROR(__xludf.DUMMYFUNCTION("""COMPUTED_VALUE"""),46192.0)</f>
        <v>46192</v>
      </c>
      <c r="E996" s="165">
        <f>IFERROR(__xludf.DUMMYFUNCTION("""COMPUTED_VALUE"""),46193.0)</f>
        <v>46193</v>
      </c>
      <c r="F996" s="377">
        <f>IFERROR(__xludf.DUMMYFUNCTION("""COMPUTED_VALUE"""),1.0)</f>
        <v>1</v>
      </c>
      <c r="G996" s="377">
        <f>IFERROR(__xludf.DUMMYFUNCTION("""COMPUTED_VALUE"""),2.0)</f>
        <v>2</v>
      </c>
      <c r="H996" s="378">
        <f>IFERROR(__xludf.DUMMYFUNCTION("""COMPUTED_VALUE"""),108.92)</f>
        <v>108.92</v>
      </c>
      <c r="I996" s="378">
        <f>IFERROR(__xludf.DUMMYFUNCTION("""COMPUTED_VALUE"""),87.13600000000001)</f>
        <v>87.136</v>
      </c>
      <c r="J996" s="377"/>
      <c r="K996" s="166"/>
      <c r="L996" s="166"/>
      <c r="M996" s="205"/>
      <c r="N996" s="170"/>
      <c r="O996" s="171"/>
      <c r="P996" s="171"/>
      <c r="Q996" s="172"/>
      <c r="R996" s="173"/>
      <c r="S996" s="173"/>
      <c r="T996" s="173"/>
      <c r="U996" s="174"/>
      <c r="V996" s="208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</row>
    <row r="997">
      <c r="A997" s="165">
        <f>IFERROR(__xludf.DUMMYFUNCTION("""COMPUTED_VALUE"""),8580893.0)</f>
        <v>8580893</v>
      </c>
      <c r="B997" s="166" t="str">
        <f>IFERROR(__xludf.DUMMYFUNCTION("""COMPUTED_VALUE"""),"BookingCom")</f>
        <v>BookingCom</v>
      </c>
      <c r="C997" s="166" t="str">
        <f>IFERROR(__xludf.DUMMYFUNCTION("""COMPUTED_VALUE"""),"Bradley Dijk ")</f>
        <v>Bradley Dijk </v>
      </c>
      <c r="D997" s="165">
        <f>IFERROR(__xludf.DUMMYFUNCTION("""COMPUTED_VALUE"""),46280.0)</f>
        <v>46280</v>
      </c>
      <c r="E997" s="165">
        <f>IFERROR(__xludf.DUMMYFUNCTION("""COMPUTED_VALUE"""),46283.0)</f>
        <v>46283</v>
      </c>
      <c r="F997" s="377">
        <f>IFERROR(__xludf.DUMMYFUNCTION("""COMPUTED_VALUE"""),3.0)</f>
        <v>3</v>
      </c>
      <c r="G997" s="377">
        <f>IFERROR(__xludf.DUMMYFUNCTION("""COMPUTED_VALUE"""),2.0)</f>
        <v>2</v>
      </c>
      <c r="H997" s="378">
        <f>IFERROR(__xludf.DUMMYFUNCTION("""COMPUTED_VALUE"""),160.91)</f>
        <v>160.91</v>
      </c>
      <c r="I997" s="378">
        <f>IFERROR(__xludf.DUMMYFUNCTION("""COMPUTED_VALUE"""),386.184)</f>
        <v>386.184</v>
      </c>
      <c r="J997" s="377"/>
      <c r="K997" s="166"/>
      <c r="L997" s="166"/>
      <c r="M997" s="166"/>
      <c r="N997" s="170"/>
      <c r="O997" s="171"/>
      <c r="P997" s="171"/>
      <c r="Q997" s="172"/>
      <c r="R997" s="173"/>
      <c r="S997" s="173"/>
      <c r="T997" s="173"/>
      <c r="U997" s="174"/>
      <c r="V997" s="165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</row>
    <row r="998">
      <c r="A998" s="165">
        <f>IFERROR(__xludf.DUMMYFUNCTION("""COMPUTED_VALUE"""),8583914.0)</f>
        <v>8583914</v>
      </c>
      <c r="B998" s="166" t="str">
        <f>IFERROR(__xludf.DUMMYFUNCTION("""COMPUTED_VALUE"""),"BookingCom")</f>
        <v>BookingCom</v>
      </c>
      <c r="C998" s="166" t="str">
        <f>IFERROR(__xludf.DUMMYFUNCTION("""COMPUTED_VALUE"""),"Ana Elsa Rodriguez Ramos ")</f>
        <v>Ana Elsa Rodriguez Ramos </v>
      </c>
      <c r="D998" s="165">
        <f>IFERROR(__xludf.DUMMYFUNCTION("""COMPUTED_VALUE"""),46297.0)</f>
        <v>46297</v>
      </c>
      <c r="E998" s="165">
        <f>IFERROR(__xludf.DUMMYFUNCTION("""COMPUTED_VALUE"""),46299.0)</f>
        <v>46299</v>
      </c>
      <c r="F998" s="377">
        <f>IFERROR(__xludf.DUMMYFUNCTION("""COMPUTED_VALUE"""),2.0)</f>
        <v>2</v>
      </c>
      <c r="G998" s="377">
        <f>IFERROR(__xludf.DUMMYFUNCTION("""COMPUTED_VALUE"""),2.0)</f>
        <v>2</v>
      </c>
      <c r="H998" s="378">
        <f>IFERROR(__xludf.DUMMYFUNCTION("""COMPUTED_VALUE"""),137.17)</f>
        <v>137.17</v>
      </c>
      <c r="I998" s="378">
        <f>IFERROR(__xludf.DUMMYFUNCTION("""COMPUTED_VALUE"""),219.47199999999998)</f>
        <v>219.472</v>
      </c>
      <c r="J998" s="377"/>
      <c r="K998" s="166"/>
      <c r="L998" s="166"/>
      <c r="M998" s="166"/>
      <c r="N998" s="170"/>
      <c r="O998" s="171"/>
      <c r="P998" s="171"/>
      <c r="Q998" s="172"/>
      <c r="R998" s="173"/>
      <c r="S998" s="173"/>
      <c r="T998" s="173"/>
      <c r="U998" s="174"/>
      <c r="V998" s="165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</row>
    <row r="999">
      <c r="A999" s="165">
        <f>IFERROR(__xludf.DUMMYFUNCTION("""COMPUTED_VALUE"""),8585144.0)</f>
        <v>8585144</v>
      </c>
      <c r="B999" s="166" t="str">
        <f>IFERROR(__xludf.DUMMYFUNCTION("""COMPUTED_VALUE"""),"BookingCom")</f>
        <v>BookingCom</v>
      </c>
      <c r="C999" s="166" t="str">
        <f>IFERROR(__xludf.DUMMYFUNCTION("""COMPUTED_VALUE"""),"Tricia Jensen ")</f>
        <v>Tricia Jensen </v>
      </c>
      <c r="D999" s="165">
        <f>IFERROR(__xludf.DUMMYFUNCTION("""COMPUTED_VALUE"""),46346.0)</f>
        <v>46346</v>
      </c>
      <c r="E999" s="165">
        <f>IFERROR(__xludf.DUMMYFUNCTION("""COMPUTED_VALUE"""),46351.0)</f>
        <v>46351</v>
      </c>
      <c r="F999" s="377">
        <f>IFERROR(__xludf.DUMMYFUNCTION("""COMPUTED_VALUE"""),5.0)</f>
        <v>5</v>
      </c>
      <c r="G999" s="377">
        <f>IFERROR(__xludf.DUMMYFUNCTION("""COMPUTED_VALUE"""),2.0)</f>
        <v>2</v>
      </c>
      <c r="H999" s="378">
        <f>IFERROR(__xludf.DUMMYFUNCTION("""COMPUTED_VALUE"""),152.78)</f>
        <v>152.78</v>
      </c>
      <c r="I999" s="378">
        <f>IFERROR(__xludf.DUMMYFUNCTION("""COMPUTED_VALUE"""),611.12)</f>
        <v>611.12</v>
      </c>
      <c r="J999" s="377"/>
      <c r="K999" s="166"/>
      <c r="L999" s="166"/>
      <c r="M999" s="166"/>
      <c r="N999" s="170"/>
      <c r="O999" s="171"/>
      <c r="P999" s="171"/>
      <c r="Q999" s="169"/>
      <c r="R999" s="173"/>
      <c r="S999" s="173"/>
      <c r="T999" s="173"/>
      <c r="U999" s="174"/>
      <c r="V999" s="165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</row>
    <row r="1000">
      <c r="A1000" s="165">
        <f>IFERROR(__xludf.DUMMYFUNCTION("""COMPUTED_VALUE"""),8585490.0)</f>
        <v>8585490</v>
      </c>
      <c r="B1000" s="166" t="str">
        <f>IFERROR(__xludf.DUMMYFUNCTION("""COMPUTED_VALUE"""),"BookingCom")</f>
        <v>BookingCom</v>
      </c>
      <c r="C1000" s="166" t="str">
        <f>IFERROR(__xludf.DUMMYFUNCTION("""COMPUTED_VALUE"""),"Brooke Currence ")</f>
        <v>Brooke Currence </v>
      </c>
      <c r="D1000" s="165">
        <f>IFERROR(__xludf.DUMMYFUNCTION("""COMPUTED_VALUE"""),46170.0)</f>
        <v>46170</v>
      </c>
      <c r="E1000" s="165">
        <f>IFERROR(__xludf.DUMMYFUNCTION("""COMPUTED_VALUE"""),46172.0)</f>
        <v>46172</v>
      </c>
      <c r="F1000" s="377">
        <f>IFERROR(__xludf.DUMMYFUNCTION("""COMPUTED_VALUE"""),2.0)</f>
        <v>2</v>
      </c>
      <c r="G1000" s="377">
        <f>IFERROR(__xludf.DUMMYFUNCTION("""COMPUTED_VALUE"""),2.0)</f>
        <v>2</v>
      </c>
      <c r="H1000" s="378">
        <f>IFERROR(__xludf.DUMMYFUNCTION("""COMPUTED_VALUE"""),232.39)</f>
        <v>232.39</v>
      </c>
      <c r="I1000" s="378">
        <f>IFERROR(__xludf.DUMMYFUNCTION("""COMPUTED_VALUE"""),371.824)</f>
        <v>371.824</v>
      </c>
      <c r="J1000" s="377"/>
      <c r="K1000" s="166"/>
      <c r="L1000" s="166"/>
      <c r="M1000" s="205"/>
      <c r="N1000" s="170"/>
      <c r="O1000" s="171"/>
      <c r="P1000" s="171"/>
      <c r="Q1000" s="172"/>
      <c r="R1000" s="173"/>
      <c r="S1000" s="173"/>
      <c r="T1000" s="173"/>
      <c r="U1000" s="174"/>
      <c r="V1000" s="16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</row>
    <row r="1001">
      <c r="A1001" s="165">
        <f>IFERROR(__xludf.DUMMYFUNCTION("""COMPUTED_VALUE"""),8591252.0)</f>
        <v>8591252</v>
      </c>
      <c r="B1001" s="166" t="str">
        <f>IFERROR(__xludf.DUMMYFUNCTION("""COMPUTED_VALUE"""),"BookingCom")</f>
        <v>BookingCom</v>
      </c>
      <c r="C1001" s="166" t="str">
        <f>IFERROR(__xludf.DUMMYFUNCTION("""COMPUTED_VALUE"""),"Carlos Moreau Byrne ")</f>
        <v>Carlos Moreau Byrne </v>
      </c>
      <c r="D1001" s="165">
        <f>IFERROR(__xludf.DUMMYFUNCTION("""COMPUTED_VALUE"""),46222.0)</f>
        <v>46222</v>
      </c>
      <c r="E1001" s="165">
        <f>IFERROR(__xludf.DUMMYFUNCTION("""COMPUTED_VALUE"""),46225.0)</f>
        <v>46225</v>
      </c>
      <c r="F1001" s="377">
        <f>IFERROR(__xludf.DUMMYFUNCTION("""COMPUTED_VALUE"""),3.0)</f>
        <v>3</v>
      </c>
      <c r="G1001" s="377">
        <f>IFERROR(__xludf.DUMMYFUNCTION("""COMPUTED_VALUE"""),2.0)</f>
        <v>2</v>
      </c>
      <c r="H1001" s="378">
        <f>IFERROR(__xludf.DUMMYFUNCTION("""COMPUTED_VALUE"""),103.8)</f>
        <v>103.8</v>
      </c>
      <c r="I1001" s="378">
        <f>IFERROR(__xludf.DUMMYFUNCTION("""COMPUTED_VALUE"""),249.12)</f>
        <v>249.12</v>
      </c>
      <c r="J1001" s="377"/>
      <c r="K1001" s="166"/>
      <c r="L1001" s="166"/>
      <c r="M1001" s="205"/>
      <c r="N1001" s="170"/>
      <c r="O1001" s="171"/>
      <c r="P1001" s="171"/>
      <c r="Q1001" s="172"/>
      <c r="R1001" s="173"/>
      <c r="S1001" s="173"/>
      <c r="T1001" s="173"/>
      <c r="U1001" s="174"/>
      <c r="V1001" s="16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</row>
    <row r="1002">
      <c r="A1002" s="165">
        <f>IFERROR(__xludf.DUMMYFUNCTION("""COMPUTED_VALUE"""),8593472.0)</f>
        <v>8593472</v>
      </c>
      <c r="B1002" s="166" t="str">
        <f>IFERROR(__xludf.DUMMYFUNCTION("""COMPUTED_VALUE"""),"Agoda2")</f>
        <v>Agoda2</v>
      </c>
      <c r="C1002" s="166" t="str">
        <f>IFERROR(__xludf.DUMMYFUNCTION("""COMPUTED_VALUE"""),"Jose Ricardo Cypriano ")</f>
        <v>Jose Ricardo Cypriano </v>
      </c>
      <c r="D1002" s="165">
        <f>IFERROR(__xludf.DUMMYFUNCTION("""COMPUTED_VALUE"""),46334.0)</f>
        <v>46334</v>
      </c>
      <c r="E1002" s="165">
        <f>IFERROR(__xludf.DUMMYFUNCTION("""COMPUTED_VALUE"""),46336.0)</f>
        <v>46336</v>
      </c>
      <c r="F1002" s="377">
        <f>IFERROR(__xludf.DUMMYFUNCTION("""COMPUTED_VALUE"""),2.0)</f>
        <v>2</v>
      </c>
      <c r="G1002" s="377">
        <f>IFERROR(__xludf.DUMMYFUNCTION("""COMPUTED_VALUE"""),2.0)</f>
        <v>2</v>
      </c>
      <c r="H1002" s="378">
        <f>IFERROR(__xludf.DUMMYFUNCTION("""COMPUTED_VALUE"""),177.23)</f>
        <v>177.23</v>
      </c>
      <c r="I1002" s="378">
        <f>IFERROR(__xludf.DUMMYFUNCTION("""COMPUTED_VALUE"""),283.568)</f>
        <v>283.568</v>
      </c>
      <c r="J1002" s="377"/>
      <c r="K1002" s="166"/>
      <c r="L1002" s="166"/>
      <c r="M1002" s="166"/>
      <c r="N1002" s="170"/>
      <c r="O1002" s="171"/>
      <c r="P1002" s="171"/>
      <c r="Q1002" s="169"/>
      <c r="R1002" s="173"/>
      <c r="S1002" s="173"/>
      <c r="T1002" s="173"/>
      <c r="U1002" s="174"/>
      <c r="V1002" s="165"/>
      <c r="W1002" s="188"/>
      <c r="X1002" s="188"/>
      <c r="Y1002" s="188"/>
      <c r="Z1002" s="188"/>
      <c r="AA1002" s="188"/>
      <c r="AB1002" s="188"/>
      <c r="AC1002" s="188"/>
      <c r="AD1002" s="188"/>
      <c r="AE1002" s="188"/>
      <c r="AF1002" s="188"/>
      <c r="AG1002" s="188"/>
      <c r="AH1002" s="188"/>
      <c r="AI1002" s="188"/>
    </row>
    <row r="1003">
      <c r="A1003" s="165">
        <f>IFERROR(__xludf.DUMMYFUNCTION("""COMPUTED_VALUE"""),8593770.0)</f>
        <v>8593770</v>
      </c>
      <c r="B1003" s="166" t="str">
        <f>IFERROR(__xludf.DUMMYFUNCTION("""COMPUTED_VALUE"""),"BookingCom")</f>
        <v>BookingCom</v>
      </c>
      <c r="C1003" s="166" t="str">
        <f>IFERROR(__xludf.DUMMYFUNCTION("""COMPUTED_VALUE"""),"Cyrielle Douai ")</f>
        <v>Cyrielle Douai </v>
      </c>
      <c r="D1003" s="165">
        <f>IFERROR(__xludf.DUMMYFUNCTION("""COMPUTED_VALUE"""),46267.0)</f>
        <v>46267</v>
      </c>
      <c r="E1003" s="165">
        <f>IFERROR(__xludf.DUMMYFUNCTION("""COMPUTED_VALUE"""),46274.0)</f>
        <v>46274</v>
      </c>
      <c r="F1003" s="377">
        <f>IFERROR(__xludf.DUMMYFUNCTION("""COMPUTED_VALUE"""),7.0)</f>
        <v>7</v>
      </c>
      <c r="G1003" s="377">
        <f>IFERROR(__xludf.DUMMYFUNCTION("""COMPUTED_VALUE"""),2.0)</f>
        <v>2</v>
      </c>
      <c r="H1003" s="378">
        <f>IFERROR(__xludf.DUMMYFUNCTION("""COMPUTED_VALUE"""),171.54999999999998)</f>
        <v>171.55</v>
      </c>
      <c r="I1003" s="378">
        <f>IFERROR(__xludf.DUMMYFUNCTION("""COMPUTED_VALUE"""),960.6799999999998)</f>
        <v>960.68</v>
      </c>
      <c r="J1003" s="377"/>
      <c r="K1003" s="166"/>
      <c r="L1003" s="166"/>
      <c r="M1003" s="166"/>
      <c r="N1003" s="170"/>
      <c r="O1003" s="171"/>
      <c r="P1003" s="171"/>
      <c r="Q1003" s="172"/>
      <c r="R1003" s="173"/>
      <c r="S1003" s="173"/>
      <c r="T1003" s="173"/>
      <c r="U1003" s="174"/>
      <c r="V1003" s="165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</row>
    <row r="1004">
      <c r="A1004" s="165">
        <f>IFERROR(__xludf.DUMMYFUNCTION("""COMPUTED_VALUE"""),8597846.0)</f>
        <v>8597846</v>
      </c>
      <c r="B1004" s="166" t="str">
        <f>IFERROR(__xludf.DUMMYFUNCTION("""COMPUTED_VALUE"""),"BookingCom")</f>
        <v>BookingCom</v>
      </c>
      <c r="C1004" s="166" t="str">
        <f>IFERROR(__xludf.DUMMYFUNCTION("""COMPUTED_VALUE"""),"Juliette Doyer-van der Aa ")</f>
        <v>Juliette Doyer-van der Aa </v>
      </c>
      <c r="D1004" s="165">
        <f>IFERROR(__xludf.DUMMYFUNCTION("""COMPUTED_VALUE"""),46348.0)</f>
        <v>46348</v>
      </c>
      <c r="E1004" s="165">
        <f>IFERROR(__xludf.DUMMYFUNCTION("""COMPUTED_VALUE"""),46351.0)</f>
        <v>46351</v>
      </c>
      <c r="F1004" s="377">
        <f>IFERROR(__xludf.DUMMYFUNCTION("""COMPUTED_VALUE"""),3.0)</f>
        <v>3</v>
      </c>
      <c r="G1004" s="377">
        <f>IFERROR(__xludf.DUMMYFUNCTION("""COMPUTED_VALUE"""),2.0)</f>
        <v>2</v>
      </c>
      <c r="H1004" s="378">
        <f>IFERROR(__xludf.DUMMYFUNCTION("""COMPUTED_VALUE"""),114.89)</f>
        <v>114.89</v>
      </c>
      <c r="I1004" s="378">
        <f>IFERROR(__xludf.DUMMYFUNCTION("""COMPUTED_VALUE"""),275.736)</f>
        <v>275.736</v>
      </c>
      <c r="J1004" s="377"/>
      <c r="K1004" s="166"/>
      <c r="L1004" s="166"/>
      <c r="M1004" s="166"/>
      <c r="N1004" s="170"/>
      <c r="O1004" s="171"/>
      <c r="P1004" s="171"/>
      <c r="Q1004" s="172"/>
      <c r="R1004" s="173"/>
      <c r="S1004" s="173"/>
      <c r="T1004" s="173"/>
      <c r="U1004" s="174"/>
      <c r="V1004" s="16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</row>
    <row r="1005">
      <c r="A1005" s="165">
        <f>IFERROR(__xludf.DUMMYFUNCTION("""COMPUTED_VALUE"""),8598779.0)</f>
        <v>8598779</v>
      </c>
      <c r="B1005" s="166" t="str">
        <f>IFERROR(__xludf.DUMMYFUNCTION("""COMPUTED_VALUE"""),"Reseliva Pannel")</f>
        <v>Reseliva Pannel</v>
      </c>
      <c r="C1005" s="166" t="str">
        <f>IFERROR(__xludf.DUMMYFUNCTION("""COMPUTED_VALUE"""),"Lion Corentin ")</f>
        <v>Lion Corentin </v>
      </c>
      <c r="D1005" s="165">
        <f>IFERROR(__xludf.DUMMYFUNCTION("""COMPUTED_VALUE"""),46337.0)</f>
        <v>46337</v>
      </c>
      <c r="E1005" s="165">
        <f>IFERROR(__xludf.DUMMYFUNCTION("""COMPUTED_VALUE"""),46340.0)</f>
        <v>46340</v>
      </c>
      <c r="F1005" s="377">
        <f>IFERROR(__xludf.DUMMYFUNCTION("""COMPUTED_VALUE"""),3.0)</f>
        <v>3</v>
      </c>
      <c r="G1005" s="377">
        <f>IFERROR(__xludf.DUMMYFUNCTION("""COMPUTED_VALUE"""),2.0)</f>
        <v>2</v>
      </c>
      <c r="H1005" s="378">
        <f>IFERROR(__xludf.DUMMYFUNCTION("""COMPUTED_VALUE"""),249.84)</f>
        <v>249.84</v>
      </c>
      <c r="I1005" s="378">
        <f>IFERROR(__xludf.DUMMYFUNCTION("""COMPUTED_VALUE"""),749.52)</f>
        <v>749.52</v>
      </c>
      <c r="J1005" s="377"/>
      <c r="K1005" s="166"/>
      <c r="L1005" s="166"/>
      <c r="M1005" s="205"/>
      <c r="N1005" s="170"/>
      <c r="O1005" s="171"/>
      <c r="P1005" s="171"/>
      <c r="Q1005" s="172"/>
      <c r="R1005" s="173"/>
      <c r="S1005" s="173"/>
      <c r="T1005" s="173"/>
      <c r="U1005" s="174"/>
      <c r="V1005" s="16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</row>
    <row r="1006">
      <c r="A1006" s="165">
        <f>IFERROR(__xludf.DUMMYFUNCTION("""COMPUTED_VALUE"""),8598992.0)</f>
        <v>8598992</v>
      </c>
      <c r="B1006" s="166" t="str">
        <f>IFERROR(__xludf.DUMMYFUNCTION("""COMPUTED_VALUE"""),"BookingCom")</f>
        <v>BookingCom</v>
      </c>
      <c r="C1006" s="166" t="str">
        <f>IFERROR(__xludf.DUMMYFUNCTION("""COMPUTED_VALUE"""),"Melanie Schafer ")</f>
        <v>Melanie Schafer </v>
      </c>
      <c r="D1006" s="165">
        <f>IFERROR(__xludf.DUMMYFUNCTION("""COMPUTED_VALUE"""),46166.0)</f>
        <v>46166</v>
      </c>
      <c r="E1006" s="165">
        <f>IFERROR(__xludf.DUMMYFUNCTION("""COMPUTED_VALUE"""),46167.0)</f>
        <v>46167</v>
      </c>
      <c r="F1006" s="377">
        <f>IFERROR(__xludf.DUMMYFUNCTION("""COMPUTED_VALUE"""),1.0)</f>
        <v>1</v>
      </c>
      <c r="G1006" s="377">
        <f>IFERROR(__xludf.DUMMYFUNCTION("""COMPUTED_VALUE"""),2.0)</f>
        <v>2</v>
      </c>
      <c r="H1006" s="378">
        <f>IFERROR(__xludf.DUMMYFUNCTION("""COMPUTED_VALUE"""),152.88)</f>
        <v>152.88</v>
      </c>
      <c r="I1006" s="378">
        <f>IFERROR(__xludf.DUMMYFUNCTION("""COMPUTED_VALUE"""),122.304)</f>
        <v>122.304</v>
      </c>
      <c r="J1006" s="377"/>
      <c r="K1006" s="166"/>
      <c r="L1006" s="166"/>
      <c r="M1006" s="205"/>
      <c r="N1006" s="170"/>
      <c r="O1006" s="171"/>
      <c r="P1006" s="171"/>
      <c r="Q1006" s="172"/>
      <c r="R1006" s="173"/>
      <c r="S1006" s="173"/>
      <c r="T1006" s="173"/>
      <c r="U1006" s="174"/>
      <c r="V1006" s="16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</row>
    <row r="1007">
      <c r="A1007" s="165">
        <f>IFERROR(__xludf.DUMMYFUNCTION("""COMPUTED_VALUE"""),8599256.0)</f>
        <v>8599256</v>
      </c>
      <c r="B1007" s="166" t="str">
        <f>IFERROR(__xludf.DUMMYFUNCTION("""COMPUTED_VALUE"""),"BookingCom")</f>
        <v>BookingCom</v>
      </c>
      <c r="C1007" s="166" t="str">
        <f>IFERROR(__xludf.DUMMYFUNCTION("""COMPUTED_VALUE"""),"Rebekah Green ")</f>
        <v>Rebekah Green </v>
      </c>
      <c r="D1007" s="165">
        <f>IFERROR(__xludf.DUMMYFUNCTION("""COMPUTED_VALUE"""),46319.0)</f>
        <v>46319</v>
      </c>
      <c r="E1007" s="165">
        <f>IFERROR(__xludf.DUMMYFUNCTION("""COMPUTED_VALUE"""),46322.0)</f>
        <v>46322</v>
      </c>
      <c r="F1007" s="377">
        <f>IFERROR(__xludf.DUMMYFUNCTION("""COMPUTED_VALUE"""),3.0)</f>
        <v>3</v>
      </c>
      <c r="G1007" s="377">
        <f>IFERROR(__xludf.DUMMYFUNCTION("""COMPUTED_VALUE"""),2.0)</f>
        <v>2</v>
      </c>
      <c r="H1007" s="378">
        <f>IFERROR(__xludf.DUMMYFUNCTION("""COMPUTED_VALUE"""),163.03)</f>
        <v>163.03</v>
      </c>
      <c r="I1007" s="378">
        <f>IFERROR(__xludf.DUMMYFUNCTION("""COMPUTED_VALUE"""),391.27200000000005)</f>
        <v>391.272</v>
      </c>
      <c r="J1007" s="377"/>
      <c r="K1007" s="166"/>
      <c r="L1007" s="166"/>
      <c r="M1007" s="166"/>
      <c r="N1007" s="170"/>
      <c r="O1007" s="171"/>
      <c r="P1007" s="171"/>
      <c r="Q1007" s="172"/>
      <c r="R1007" s="173"/>
      <c r="S1007" s="173"/>
      <c r="T1007" s="173"/>
      <c r="U1007" s="174"/>
      <c r="V1007" s="165"/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</row>
    <row r="1008">
      <c r="A1008" s="165">
        <f>IFERROR(__xludf.DUMMYFUNCTION("""COMPUTED_VALUE"""),8599758.0)</f>
        <v>8599758</v>
      </c>
      <c r="B1008" s="166" t="str">
        <f>IFERROR(__xludf.DUMMYFUNCTION("""COMPUTED_VALUE"""),"Reseliva Pannel")</f>
        <v>Reseliva Pannel</v>
      </c>
      <c r="C1008" s="166" t="str">
        <f>IFERROR(__xludf.DUMMYFUNCTION("""COMPUTED_VALUE"""),"Emma Rad ")</f>
        <v>Emma Rad </v>
      </c>
      <c r="D1008" s="165">
        <f>IFERROR(__xludf.DUMMYFUNCTION("""COMPUTED_VALUE"""),46165.0)</f>
        <v>46165</v>
      </c>
      <c r="E1008" s="165">
        <f>IFERROR(__xludf.DUMMYFUNCTION("""COMPUTED_VALUE"""),46168.0)</f>
        <v>46168</v>
      </c>
      <c r="F1008" s="377">
        <f>IFERROR(__xludf.DUMMYFUNCTION("""COMPUTED_VALUE"""),3.0)</f>
        <v>3</v>
      </c>
      <c r="G1008" s="377">
        <f>IFERROR(__xludf.DUMMYFUNCTION("""COMPUTED_VALUE"""),2.0)</f>
        <v>2</v>
      </c>
      <c r="H1008" s="378">
        <f>IFERROR(__xludf.DUMMYFUNCTION("""COMPUTED_VALUE"""),300.24)</f>
        <v>300.24</v>
      </c>
      <c r="I1008" s="378">
        <f>IFERROR(__xludf.DUMMYFUNCTION("""COMPUTED_VALUE"""),900.72)</f>
        <v>900.72</v>
      </c>
      <c r="J1008" s="377"/>
      <c r="K1008" s="166"/>
      <c r="L1008" s="166"/>
      <c r="M1008" s="166"/>
      <c r="N1008" s="170"/>
      <c r="O1008" s="171"/>
      <c r="P1008" s="171"/>
      <c r="Q1008" s="172"/>
      <c r="R1008" s="173"/>
      <c r="S1008" s="173"/>
      <c r="T1008" s="173"/>
      <c r="U1008" s="174"/>
      <c r="V1008" s="16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</row>
    <row r="1009">
      <c r="A1009" s="165">
        <f>IFERROR(__xludf.DUMMYFUNCTION("""COMPUTED_VALUE"""),8599934.0)</f>
        <v>8599934</v>
      </c>
      <c r="B1009" s="166" t="str">
        <f>IFERROR(__xludf.DUMMYFUNCTION("""COMPUTED_VALUE"""),"BookingCom")</f>
        <v>BookingCom</v>
      </c>
      <c r="C1009" s="166" t="str">
        <f>IFERROR(__xludf.DUMMYFUNCTION("""COMPUTED_VALUE"""),"Jose Andrade ")</f>
        <v>Jose Andrade </v>
      </c>
      <c r="D1009" s="165">
        <f>IFERROR(__xludf.DUMMYFUNCTION("""COMPUTED_VALUE"""),46280.0)</f>
        <v>46280</v>
      </c>
      <c r="E1009" s="165">
        <f>IFERROR(__xludf.DUMMYFUNCTION("""COMPUTED_VALUE"""),46283.0)</f>
        <v>46283</v>
      </c>
      <c r="F1009" s="377">
        <f>IFERROR(__xludf.DUMMYFUNCTION("""COMPUTED_VALUE"""),3.0)</f>
        <v>3</v>
      </c>
      <c r="G1009" s="377">
        <f>IFERROR(__xludf.DUMMYFUNCTION("""COMPUTED_VALUE"""),2.0)</f>
        <v>2</v>
      </c>
      <c r="H1009" s="378">
        <f>IFERROR(__xludf.DUMMYFUNCTION("""COMPUTED_VALUE"""),123.77999999999999)</f>
        <v>123.78</v>
      </c>
      <c r="I1009" s="378">
        <f>IFERROR(__xludf.DUMMYFUNCTION("""COMPUTED_VALUE"""),297.072)</f>
        <v>297.072</v>
      </c>
      <c r="J1009" s="377"/>
      <c r="K1009" s="166"/>
      <c r="L1009" s="166"/>
      <c r="M1009" s="205"/>
      <c r="N1009" s="170"/>
      <c r="O1009" s="171"/>
      <c r="P1009" s="171"/>
      <c r="Q1009" s="172"/>
      <c r="R1009" s="173"/>
      <c r="S1009" s="173"/>
      <c r="T1009" s="173"/>
      <c r="U1009" s="174"/>
      <c r="V1009" s="165"/>
      <c r="W1009" s="188"/>
      <c r="X1009" s="188"/>
      <c r="Y1009" s="188"/>
      <c r="Z1009" s="188"/>
      <c r="AA1009" s="188"/>
      <c r="AB1009" s="188"/>
      <c r="AC1009" s="188"/>
      <c r="AD1009" s="188"/>
      <c r="AE1009" s="188"/>
      <c r="AF1009" s="188"/>
      <c r="AG1009" s="188"/>
      <c r="AH1009" s="188"/>
      <c r="AI1009" s="188"/>
    </row>
    <row r="1010">
      <c r="A1010" s="165">
        <f>IFERROR(__xludf.DUMMYFUNCTION("""COMPUTED_VALUE"""),8600536.0)</f>
        <v>8600536</v>
      </c>
      <c r="B1010" s="166" t="str">
        <f>IFERROR(__xludf.DUMMYFUNCTION("""COMPUTED_VALUE"""),"BookingCom")</f>
        <v>BookingCom</v>
      </c>
      <c r="C1010" s="166" t="str">
        <f>IFERROR(__xludf.DUMMYFUNCTION("""COMPUTED_VALUE"""),"Kim Hargraves ")</f>
        <v>Kim Hargraves </v>
      </c>
      <c r="D1010" s="165">
        <f>IFERROR(__xludf.DUMMYFUNCTION("""COMPUTED_VALUE"""),46493.0)</f>
        <v>46493</v>
      </c>
      <c r="E1010" s="165">
        <f>IFERROR(__xludf.DUMMYFUNCTION("""COMPUTED_VALUE"""),46498.0)</f>
        <v>46498</v>
      </c>
      <c r="F1010" s="377">
        <f>IFERROR(__xludf.DUMMYFUNCTION("""COMPUTED_VALUE"""),5.0)</f>
        <v>5</v>
      </c>
      <c r="G1010" s="377">
        <f>IFERROR(__xludf.DUMMYFUNCTION("""COMPUTED_VALUE"""),2.0)</f>
        <v>2</v>
      </c>
      <c r="H1010" s="378">
        <f>IFERROR(__xludf.DUMMYFUNCTION("""COMPUTED_VALUE"""),173.95999999999998)</f>
        <v>173.96</v>
      </c>
      <c r="I1010" s="378">
        <f>IFERROR(__xludf.DUMMYFUNCTION("""COMPUTED_VALUE"""),695.8399999999999)</f>
        <v>695.84</v>
      </c>
      <c r="J1010" s="377"/>
      <c r="K1010" s="166"/>
      <c r="L1010" s="166"/>
      <c r="M1010" s="166"/>
      <c r="N1010" s="170"/>
      <c r="O1010" s="171"/>
      <c r="P1010" s="171"/>
      <c r="Q1010" s="172"/>
      <c r="R1010" s="173"/>
      <c r="S1010" s="173"/>
      <c r="T1010" s="173"/>
      <c r="U1010" s="174"/>
      <c r="V1010" s="16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</row>
    <row r="1011">
      <c r="A1011" s="165">
        <f>IFERROR(__xludf.DUMMYFUNCTION("""COMPUTED_VALUE"""),8601796.0)</f>
        <v>8601796</v>
      </c>
      <c r="B1011" s="166" t="str">
        <f>IFERROR(__xludf.DUMMYFUNCTION("""COMPUTED_VALUE"""),"BookingCom")</f>
        <v>BookingCom</v>
      </c>
      <c r="C1011" s="166" t="str">
        <f>IFERROR(__xludf.DUMMYFUNCTION("""COMPUTED_VALUE"""),"Niko Pavlicek ")</f>
        <v>Niko Pavlicek </v>
      </c>
      <c r="D1011" s="165">
        <f>IFERROR(__xludf.DUMMYFUNCTION("""COMPUTED_VALUE"""),46229.0)</f>
        <v>46229</v>
      </c>
      <c r="E1011" s="165">
        <f>IFERROR(__xludf.DUMMYFUNCTION("""COMPUTED_VALUE"""),46231.0)</f>
        <v>46231</v>
      </c>
      <c r="F1011" s="377">
        <f>IFERROR(__xludf.DUMMYFUNCTION("""COMPUTED_VALUE"""),2.0)</f>
        <v>2</v>
      </c>
      <c r="G1011" s="377">
        <f>IFERROR(__xludf.DUMMYFUNCTION("""COMPUTED_VALUE"""),2.0)</f>
        <v>2</v>
      </c>
      <c r="H1011" s="378">
        <f>IFERROR(__xludf.DUMMYFUNCTION("""COMPUTED_VALUE"""),182.02)</f>
        <v>182.02</v>
      </c>
      <c r="I1011" s="378">
        <f>IFERROR(__xludf.DUMMYFUNCTION("""COMPUTED_VALUE"""),291.232)</f>
        <v>291.232</v>
      </c>
      <c r="J1011" s="377"/>
      <c r="K1011" s="166"/>
      <c r="L1011" s="166"/>
      <c r="M1011" s="166"/>
      <c r="N1011" s="170"/>
      <c r="O1011" s="171"/>
      <c r="P1011" s="171"/>
      <c r="Q1011" s="172"/>
      <c r="R1011" s="173"/>
      <c r="S1011" s="173"/>
      <c r="T1011" s="173"/>
      <c r="U1011" s="174"/>
      <c r="V1011" s="165"/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</row>
    <row r="1012">
      <c r="A1012" s="165">
        <f>IFERROR(__xludf.DUMMYFUNCTION("""COMPUTED_VALUE"""),8601796.0)</f>
        <v>8601796</v>
      </c>
      <c r="B1012" s="166" t="str">
        <f>IFERROR(__xludf.DUMMYFUNCTION("""COMPUTED_VALUE"""),"BookingCom")</f>
        <v>BookingCom</v>
      </c>
      <c r="C1012" s="166" t="str">
        <f>IFERROR(__xludf.DUMMYFUNCTION("""COMPUTED_VALUE"""),"Niko Pavlicek ")</f>
        <v>Niko Pavlicek </v>
      </c>
      <c r="D1012" s="165">
        <f>IFERROR(__xludf.DUMMYFUNCTION("""COMPUTED_VALUE"""),46229.0)</f>
        <v>46229</v>
      </c>
      <c r="E1012" s="165">
        <f>IFERROR(__xludf.DUMMYFUNCTION("""COMPUTED_VALUE"""),46231.0)</f>
        <v>46231</v>
      </c>
      <c r="F1012" s="377">
        <f>IFERROR(__xludf.DUMMYFUNCTION("""COMPUTED_VALUE"""),2.0)</f>
        <v>2</v>
      </c>
      <c r="G1012" s="377">
        <f>IFERROR(__xludf.DUMMYFUNCTION("""COMPUTED_VALUE"""),2.0)</f>
        <v>2</v>
      </c>
      <c r="H1012" s="378">
        <f>IFERROR(__xludf.DUMMYFUNCTION("""COMPUTED_VALUE"""),147.07)</f>
        <v>147.07</v>
      </c>
      <c r="I1012" s="378">
        <f>IFERROR(__xludf.DUMMYFUNCTION("""COMPUTED_VALUE"""),235.312)</f>
        <v>235.312</v>
      </c>
      <c r="J1012" s="377"/>
      <c r="K1012" s="166"/>
      <c r="L1012" s="166"/>
      <c r="M1012" s="166"/>
      <c r="N1012" s="170"/>
      <c r="O1012" s="171"/>
      <c r="P1012" s="171"/>
      <c r="Q1012" s="172"/>
      <c r="R1012" s="173"/>
      <c r="S1012" s="173"/>
      <c r="T1012" s="173"/>
      <c r="U1012" s="174"/>
      <c r="V1012" s="16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</row>
    <row r="1013">
      <c r="A1013" s="263">
        <f>IFERROR(__xludf.DUMMYFUNCTION("""COMPUTED_VALUE"""),8605789.0)</f>
        <v>8605789</v>
      </c>
      <c r="B1013" s="264" t="str">
        <f>IFERROR(__xludf.DUMMYFUNCTION("""COMPUTED_VALUE"""),"BookingCom")</f>
        <v>BookingCom</v>
      </c>
      <c r="C1013" s="265" t="str">
        <f>IFERROR(__xludf.DUMMYFUNCTION("""COMPUTED_VALUE"""),"Lucie Birkett ")</f>
        <v>Lucie Birkett </v>
      </c>
      <c r="D1013" s="266">
        <f>IFERROR(__xludf.DUMMYFUNCTION("""COMPUTED_VALUE"""),46292.0)</f>
        <v>46292</v>
      </c>
      <c r="E1013" s="263">
        <f>IFERROR(__xludf.DUMMYFUNCTION("""COMPUTED_VALUE"""),46295.0)</f>
        <v>46295</v>
      </c>
      <c r="F1013" s="267">
        <f>IFERROR(__xludf.DUMMYFUNCTION("""COMPUTED_VALUE"""),3.0)</f>
        <v>3</v>
      </c>
      <c r="G1013" s="267">
        <f>IFERROR(__xludf.DUMMYFUNCTION("""COMPUTED_VALUE"""),2.0)</f>
        <v>2</v>
      </c>
      <c r="H1013" s="268">
        <f>IFERROR(__xludf.DUMMYFUNCTION("""COMPUTED_VALUE"""),156.19)</f>
        <v>156.19</v>
      </c>
      <c r="I1013" s="268">
        <f>IFERROR(__xludf.DUMMYFUNCTION("""COMPUTED_VALUE"""),374.856)</f>
        <v>374.856</v>
      </c>
      <c r="J1013" s="377"/>
      <c r="K1013" s="265"/>
      <c r="L1013" s="265"/>
      <c r="M1013" s="264"/>
      <c r="N1013" s="270"/>
      <c r="O1013" s="271"/>
      <c r="P1013" s="271"/>
      <c r="Q1013" s="272"/>
      <c r="R1013" s="273"/>
      <c r="S1013" s="273"/>
      <c r="T1013" s="273"/>
      <c r="U1013" s="274"/>
      <c r="V1013" s="263"/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</row>
    <row r="1014">
      <c r="A1014" s="165">
        <f>IFERROR(__xludf.DUMMYFUNCTION("""COMPUTED_VALUE"""),8605789.0)</f>
        <v>8605789</v>
      </c>
      <c r="B1014" s="166" t="str">
        <f>IFERROR(__xludf.DUMMYFUNCTION("""COMPUTED_VALUE"""),"BookingCom")</f>
        <v>BookingCom</v>
      </c>
      <c r="C1014" s="166" t="str">
        <f>IFERROR(__xludf.DUMMYFUNCTION("""COMPUTED_VALUE"""),"Lucie Birkett ")</f>
        <v>Lucie Birkett </v>
      </c>
      <c r="D1014" s="165">
        <f>IFERROR(__xludf.DUMMYFUNCTION("""COMPUTED_VALUE"""),46292.0)</f>
        <v>46292</v>
      </c>
      <c r="E1014" s="165">
        <f>IFERROR(__xludf.DUMMYFUNCTION("""COMPUTED_VALUE"""),46295.0)</f>
        <v>46295</v>
      </c>
      <c r="F1014" s="377">
        <f>IFERROR(__xludf.DUMMYFUNCTION("""COMPUTED_VALUE"""),3.0)</f>
        <v>3</v>
      </c>
      <c r="G1014" s="377">
        <f>IFERROR(__xludf.DUMMYFUNCTION("""COMPUTED_VALUE"""),2.0)</f>
        <v>2</v>
      </c>
      <c r="H1014" s="378">
        <f>IFERROR(__xludf.DUMMYFUNCTION("""COMPUTED_VALUE"""),156.19)</f>
        <v>156.19</v>
      </c>
      <c r="I1014" s="378">
        <f>IFERROR(__xludf.DUMMYFUNCTION("""COMPUTED_VALUE"""),374.856)</f>
        <v>374.856</v>
      </c>
      <c r="J1014" s="377"/>
      <c r="K1014" s="166"/>
      <c r="L1014" s="166"/>
      <c r="M1014" s="205"/>
      <c r="N1014" s="170"/>
      <c r="O1014" s="171"/>
      <c r="P1014" s="171"/>
      <c r="Q1014" s="172"/>
      <c r="R1014" s="173"/>
      <c r="S1014" s="173"/>
      <c r="T1014" s="173"/>
      <c r="U1014" s="174"/>
      <c r="V1014" s="16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</row>
    <row r="1015">
      <c r="A1015" s="165">
        <f>IFERROR(__xludf.DUMMYFUNCTION("""COMPUTED_VALUE"""),8607166.0)</f>
        <v>8607166</v>
      </c>
      <c r="B1015" s="166" t="str">
        <f>IFERROR(__xludf.DUMMYFUNCTION("""COMPUTED_VALUE"""),"BookingCom")</f>
        <v>BookingCom</v>
      </c>
      <c r="C1015" s="166" t="str">
        <f>IFERROR(__xludf.DUMMYFUNCTION("""COMPUTED_VALUE"""),"Kaitlyn Hinshaw-Miller ")</f>
        <v>Kaitlyn Hinshaw-Miller </v>
      </c>
      <c r="D1015" s="165">
        <f>IFERROR(__xludf.DUMMYFUNCTION("""COMPUTED_VALUE"""),46285.0)</f>
        <v>46285</v>
      </c>
      <c r="E1015" s="165">
        <f>IFERROR(__xludf.DUMMYFUNCTION("""COMPUTED_VALUE"""),46290.0)</f>
        <v>46290</v>
      </c>
      <c r="F1015" s="377">
        <f>IFERROR(__xludf.DUMMYFUNCTION("""COMPUTED_VALUE"""),1.0)</f>
        <v>1</v>
      </c>
      <c r="G1015" s="377">
        <f>IFERROR(__xludf.DUMMYFUNCTION("""COMPUTED_VALUE"""),2.0)</f>
        <v>2</v>
      </c>
      <c r="H1015" s="378">
        <f>IFERROR(__xludf.DUMMYFUNCTION("""COMPUTED_VALUE"""),120.84)</f>
        <v>120.84</v>
      </c>
      <c r="I1015" s="378">
        <f>IFERROR(__xludf.DUMMYFUNCTION("""COMPUTED_VALUE"""),96.67200000000001)</f>
        <v>96.672</v>
      </c>
      <c r="J1015" s="377"/>
      <c r="K1015" s="166"/>
      <c r="L1015" s="166"/>
      <c r="M1015" s="166"/>
      <c r="N1015" s="170"/>
      <c r="O1015" s="171"/>
      <c r="P1015" s="171"/>
      <c r="Q1015" s="172"/>
      <c r="R1015" s="173"/>
      <c r="S1015" s="173"/>
      <c r="T1015" s="173"/>
      <c r="U1015" s="174"/>
      <c r="V1015" s="165"/>
      <c r="W1015" s="188"/>
      <c r="X1015" s="188"/>
      <c r="Y1015" s="188"/>
      <c r="Z1015" s="188"/>
      <c r="AA1015" s="188"/>
      <c r="AB1015" s="188"/>
      <c r="AC1015" s="188"/>
      <c r="AD1015" s="188"/>
      <c r="AE1015" s="188"/>
      <c r="AF1015" s="188"/>
      <c r="AG1015" s="188"/>
      <c r="AH1015" s="188"/>
      <c r="AI1015" s="188"/>
    </row>
    <row r="1016">
      <c r="A1016" s="165">
        <f>IFERROR(__xludf.DUMMYFUNCTION("""COMPUTED_VALUE"""),8609265.0)</f>
        <v>8609265</v>
      </c>
      <c r="B1016" s="166" t="str">
        <f>IFERROR(__xludf.DUMMYFUNCTION("""COMPUTED_VALUE"""),"BookingCom")</f>
        <v>BookingCom</v>
      </c>
      <c r="C1016" s="166" t="str">
        <f>IFERROR(__xludf.DUMMYFUNCTION("""COMPUTED_VALUE"""),"Maximilian Teichmann ")</f>
        <v>Maximilian Teichmann </v>
      </c>
      <c r="D1016" s="165">
        <f>IFERROR(__xludf.DUMMYFUNCTION("""COMPUTED_VALUE"""),46303.0)</f>
        <v>46303</v>
      </c>
      <c r="E1016" s="165">
        <f>IFERROR(__xludf.DUMMYFUNCTION("""COMPUTED_VALUE"""),46307.0)</f>
        <v>46307</v>
      </c>
      <c r="F1016" s="377">
        <f>IFERROR(__xludf.DUMMYFUNCTION("""COMPUTED_VALUE"""),4.0)</f>
        <v>4</v>
      </c>
      <c r="G1016" s="377">
        <f>IFERROR(__xludf.DUMMYFUNCTION("""COMPUTED_VALUE"""),2.0)</f>
        <v>2</v>
      </c>
      <c r="H1016" s="378">
        <f>IFERROR(__xludf.DUMMYFUNCTION("""COMPUTED_VALUE"""),174.3)</f>
        <v>174.3</v>
      </c>
      <c r="I1016" s="378">
        <f>IFERROR(__xludf.DUMMYFUNCTION("""COMPUTED_VALUE"""),557.7600000000001)</f>
        <v>557.76</v>
      </c>
      <c r="J1016" s="377"/>
      <c r="K1016" s="166"/>
      <c r="L1016" s="166"/>
      <c r="M1016" s="205"/>
      <c r="N1016" s="170"/>
      <c r="O1016" s="171"/>
      <c r="P1016" s="171"/>
      <c r="Q1016" s="172"/>
      <c r="R1016" s="173"/>
      <c r="S1016" s="173"/>
      <c r="T1016" s="173"/>
      <c r="U1016" s="174"/>
      <c r="V1016" s="16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</row>
    <row r="1017">
      <c r="A1017" s="165">
        <f>IFERROR(__xludf.DUMMYFUNCTION("""COMPUTED_VALUE"""),8609868.0)</f>
        <v>8609868</v>
      </c>
      <c r="B1017" s="166" t="str">
        <f>IFERROR(__xludf.DUMMYFUNCTION("""COMPUTED_VALUE"""),"BookingCom")</f>
        <v>BookingCom</v>
      </c>
      <c r="C1017" s="166" t="str">
        <f>IFERROR(__xludf.DUMMYFUNCTION("""COMPUTED_VALUE"""),"Romain Bernard ")</f>
        <v>Romain Bernard </v>
      </c>
      <c r="D1017" s="165">
        <f>IFERROR(__xludf.DUMMYFUNCTION("""COMPUTED_VALUE"""),46323.0)</f>
        <v>46323</v>
      </c>
      <c r="E1017" s="165">
        <f>IFERROR(__xludf.DUMMYFUNCTION("""COMPUTED_VALUE"""),46324.0)</f>
        <v>46324</v>
      </c>
      <c r="F1017" s="377">
        <f>IFERROR(__xludf.DUMMYFUNCTION("""COMPUTED_VALUE"""),1.0)</f>
        <v>1</v>
      </c>
      <c r="G1017" s="377">
        <f>IFERROR(__xludf.DUMMYFUNCTION("""COMPUTED_VALUE"""),3.0)</f>
        <v>3</v>
      </c>
      <c r="H1017" s="378">
        <f>IFERROR(__xludf.DUMMYFUNCTION("""COMPUTED_VALUE"""),175.34)</f>
        <v>175.34</v>
      </c>
      <c r="I1017" s="378">
        <f>IFERROR(__xludf.DUMMYFUNCTION("""COMPUTED_VALUE"""),140.27200000000002)</f>
        <v>140.272</v>
      </c>
      <c r="J1017" s="377"/>
      <c r="K1017" s="166"/>
      <c r="L1017" s="166"/>
      <c r="M1017" s="166"/>
      <c r="N1017" s="170"/>
      <c r="O1017" s="171"/>
      <c r="P1017" s="171"/>
      <c r="Q1017" s="172"/>
      <c r="R1017" s="173"/>
      <c r="S1017" s="173"/>
      <c r="T1017" s="173"/>
      <c r="U1017" s="174"/>
      <c r="V1017" s="16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</row>
    <row r="1018">
      <c r="A1018" s="165">
        <f>IFERROR(__xludf.DUMMYFUNCTION("""COMPUTED_VALUE"""),8611859.0)</f>
        <v>8611859</v>
      </c>
      <c r="B1018" s="166" t="str">
        <f>IFERROR(__xludf.DUMMYFUNCTION("""COMPUTED_VALUE"""),"Reseliva Pannel")</f>
        <v>Reseliva Pannel</v>
      </c>
      <c r="C1018" s="166" t="str">
        <f>IFERROR(__xludf.DUMMYFUNCTION("""COMPUTED_VALUE"""),"Elif Beyza Denizaslani ")</f>
        <v>Elif Beyza Denizaslani </v>
      </c>
      <c r="D1018" s="165">
        <f>IFERROR(__xludf.DUMMYFUNCTION("""COMPUTED_VALUE"""),46168.0)</f>
        <v>46168</v>
      </c>
      <c r="E1018" s="165">
        <f>IFERROR(__xludf.DUMMYFUNCTION("""COMPUTED_VALUE"""),46169.0)</f>
        <v>46169</v>
      </c>
      <c r="F1018" s="377">
        <f>IFERROR(__xludf.DUMMYFUNCTION("""COMPUTED_VALUE"""),1.0)</f>
        <v>1</v>
      </c>
      <c r="G1018" s="377">
        <f>IFERROR(__xludf.DUMMYFUNCTION("""COMPUTED_VALUE"""),2.0)</f>
        <v>2</v>
      </c>
      <c r="H1018" s="378">
        <f>IFERROR(__xludf.DUMMYFUNCTION("""COMPUTED_VALUE"""),270.0)</f>
        <v>270</v>
      </c>
      <c r="I1018" s="378">
        <f>IFERROR(__xludf.DUMMYFUNCTION("""COMPUTED_VALUE"""),270.0)</f>
        <v>270</v>
      </c>
      <c r="J1018" s="267"/>
      <c r="K1018" s="166"/>
      <c r="L1018" s="166"/>
      <c r="M1018" s="166"/>
      <c r="N1018" s="170"/>
      <c r="O1018" s="171"/>
      <c r="P1018" s="171"/>
      <c r="Q1018" s="172"/>
      <c r="R1018" s="173"/>
      <c r="S1018" s="173"/>
      <c r="T1018" s="173"/>
      <c r="U1018" s="174"/>
      <c r="V1018" s="16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</row>
    <row r="1019">
      <c r="A1019" s="263">
        <f>IFERROR(__xludf.DUMMYFUNCTION("""COMPUTED_VALUE"""),8612784.0)</f>
        <v>8612784</v>
      </c>
      <c r="B1019" s="264" t="str">
        <f>IFERROR(__xludf.DUMMYFUNCTION("""COMPUTED_VALUE"""),"BookingCom")</f>
        <v>BookingCom</v>
      </c>
      <c r="C1019" s="265" t="str">
        <f>IFERROR(__xludf.DUMMYFUNCTION("""COMPUTED_VALUE"""),"Francesco Rota ")</f>
        <v>Francesco Rota </v>
      </c>
      <c r="D1019" s="266">
        <f>IFERROR(__xludf.DUMMYFUNCTION("""COMPUTED_VALUE"""),46365.0)</f>
        <v>46365</v>
      </c>
      <c r="E1019" s="263">
        <f>IFERROR(__xludf.DUMMYFUNCTION("""COMPUTED_VALUE"""),46368.0)</f>
        <v>46368</v>
      </c>
      <c r="F1019" s="267">
        <f>IFERROR(__xludf.DUMMYFUNCTION("""COMPUTED_VALUE"""),3.0)</f>
        <v>3</v>
      </c>
      <c r="G1019" s="267">
        <f>IFERROR(__xludf.DUMMYFUNCTION("""COMPUTED_VALUE"""),2.0)</f>
        <v>2</v>
      </c>
      <c r="H1019" s="268">
        <f>IFERROR(__xludf.DUMMYFUNCTION("""COMPUTED_VALUE"""),155.72)</f>
        <v>155.72</v>
      </c>
      <c r="I1019" s="268">
        <f>IFERROR(__xludf.DUMMYFUNCTION("""COMPUTED_VALUE"""),373.728)</f>
        <v>373.728</v>
      </c>
      <c r="J1019" s="377"/>
      <c r="K1019" s="265"/>
      <c r="L1019" s="265"/>
      <c r="M1019" s="264"/>
      <c r="N1019" s="270"/>
      <c r="O1019" s="271"/>
      <c r="P1019" s="271"/>
      <c r="Q1019" s="272"/>
      <c r="R1019" s="273"/>
      <c r="S1019" s="273"/>
      <c r="T1019" s="273"/>
      <c r="U1019" s="274"/>
      <c r="V1019" s="263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</row>
    <row r="1020">
      <c r="A1020" s="165">
        <f>IFERROR(__xludf.DUMMYFUNCTION("""COMPUTED_VALUE"""),8612873.0)</f>
        <v>8612873</v>
      </c>
      <c r="B1020" s="166" t="str">
        <f>IFERROR(__xludf.DUMMYFUNCTION("""COMPUTED_VALUE"""),"BookingCom")</f>
        <v>BookingCom</v>
      </c>
      <c r="C1020" s="166" t="str">
        <f>IFERROR(__xludf.DUMMYFUNCTION("""COMPUTED_VALUE"""),"Danner Magdalena ")</f>
        <v>Danner Magdalena </v>
      </c>
      <c r="D1020" s="165">
        <f>IFERROR(__xludf.DUMMYFUNCTION("""COMPUTED_VALUE"""),46224.0)</f>
        <v>46224</v>
      </c>
      <c r="E1020" s="165">
        <f>IFERROR(__xludf.DUMMYFUNCTION("""COMPUTED_VALUE"""),46226.0)</f>
        <v>46226</v>
      </c>
      <c r="F1020" s="377">
        <f>IFERROR(__xludf.DUMMYFUNCTION("""COMPUTED_VALUE"""),2.0)</f>
        <v>2</v>
      </c>
      <c r="G1020" s="377">
        <f>IFERROR(__xludf.DUMMYFUNCTION("""COMPUTED_VALUE"""),2.0)</f>
        <v>2</v>
      </c>
      <c r="H1020" s="378">
        <f>IFERROR(__xludf.DUMMYFUNCTION("""COMPUTED_VALUE"""),111.41)</f>
        <v>111.41</v>
      </c>
      <c r="I1020" s="378">
        <f>IFERROR(__xludf.DUMMYFUNCTION("""COMPUTED_VALUE"""),178.256)</f>
        <v>178.256</v>
      </c>
      <c r="J1020" s="377"/>
      <c r="K1020" s="166"/>
      <c r="L1020" s="166"/>
      <c r="M1020" s="166"/>
      <c r="N1020" s="170"/>
      <c r="O1020" s="171"/>
      <c r="P1020" s="171"/>
      <c r="Q1020" s="172"/>
      <c r="R1020" s="173"/>
      <c r="S1020" s="173"/>
      <c r="T1020" s="173"/>
      <c r="U1020" s="174"/>
      <c r="V1020" s="16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</row>
    <row r="1021">
      <c r="A1021" s="165">
        <f>IFERROR(__xludf.DUMMYFUNCTION("""COMPUTED_VALUE"""),8614382.0)</f>
        <v>8614382</v>
      </c>
      <c r="B1021" s="166" t="str">
        <f>IFERROR(__xludf.DUMMYFUNCTION("""COMPUTED_VALUE"""),"BookingCom")</f>
        <v>BookingCom</v>
      </c>
      <c r="C1021" s="166" t="str">
        <f>IFERROR(__xludf.DUMMYFUNCTION("""COMPUTED_VALUE"""),"Gian Reto Marugg ")</f>
        <v>Gian Reto Marugg </v>
      </c>
      <c r="D1021" s="165">
        <f>IFERROR(__xludf.DUMMYFUNCTION("""COMPUTED_VALUE"""),46343.0)</f>
        <v>46343</v>
      </c>
      <c r="E1021" s="165">
        <f>IFERROR(__xludf.DUMMYFUNCTION("""COMPUTED_VALUE"""),46346.0)</f>
        <v>46346</v>
      </c>
      <c r="F1021" s="377">
        <f>IFERROR(__xludf.DUMMYFUNCTION("""COMPUTED_VALUE"""),3.0)</f>
        <v>3</v>
      </c>
      <c r="G1021" s="377">
        <f>IFERROR(__xludf.DUMMYFUNCTION("""COMPUTED_VALUE"""),2.0)</f>
        <v>2</v>
      </c>
      <c r="H1021" s="378">
        <f>IFERROR(__xludf.DUMMYFUNCTION("""COMPUTED_VALUE"""),137.03)</f>
        <v>137.03</v>
      </c>
      <c r="I1021" s="378">
        <f>IFERROR(__xludf.DUMMYFUNCTION("""COMPUTED_VALUE"""),328.872)</f>
        <v>328.872</v>
      </c>
      <c r="J1021" s="377"/>
      <c r="K1021" s="166"/>
      <c r="L1021" s="166"/>
      <c r="M1021" s="166"/>
      <c r="N1021" s="170"/>
      <c r="O1021" s="171"/>
      <c r="P1021" s="171"/>
      <c r="Q1021" s="172"/>
      <c r="R1021" s="173"/>
      <c r="S1021" s="173"/>
      <c r="T1021" s="173"/>
      <c r="U1021" s="174"/>
      <c r="V1021" s="16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</row>
    <row r="1022">
      <c r="A1022" s="165">
        <f>IFERROR(__xludf.DUMMYFUNCTION("""COMPUTED_VALUE"""),8614478.0)</f>
        <v>8614478</v>
      </c>
      <c r="B1022" s="166" t="str">
        <f>IFERROR(__xludf.DUMMYFUNCTION("""COMPUTED_VALUE"""),"Reseliva")</f>
        <v>Reseliva</v>
      </c>
      <c r="C1022" s="166" t="str">
        <f>IFERROR(__xludf.DUMMYFUNCTION("""COMPUTED_VALUE"""),"Sharon Van tongeren ")</f>
        <v>Sharon Van tongeren </v>
      </c>
      <c r="D1022" s="165">
        <f>IFERROR(__xludf.DUMMYFUNCTION("""COMPUTED_VALUE"""),46340.0)</f>
        <v>46340</v>
      </c>
      <c r="E1022" s="165">
        <f>IFERROR(__xludf.DUMMYFUNCTION("""COMPUTED_VALUE"""),46341.0)</f>
        <v>46341</v>
      </c>
      <c r="F1022" s="377">
        <f>IFERROR(__xludf.DUMMYFUNCTION("""COMPUTED_VALUE"""),1.0)</f>
        <v>1</v>
      </c>
      <c r="G1022" s="377">
        <f>IFERROR(__xludf.DUMMYFUNCTION("""COMPUTED_VALUE"""),2.0)</f>
        <v>2</v>
      </c>
      <c r="H1022" s="378">
        <f>IFERROR(__xludf.DUMMYFUNCTION("""COMPUTED_VALUE"""),162.63)</f>
        <v>162.63</v>
      </c>
      <c r="I1022" s="378">
        <f>IFERROR(__xludf.DUMMYFUNCTION("""COMPUTED_VALUE"""),161.00369999999998)</f>
        <v>161.0037</v>
      </c>
      <c r="J1022" s="377"/>
      <c r="K1022" s="166"/>
      <c r="L1022" s="166"/>
      <c r="M1022" s="166"/>
      <c r="N1022" s="170"/>
      <c r="O1022" s="171"/>
      <c r="P1022" s="171"/>
      <c r="Q1022" s="172"/>
      <c r="R1022" s="173"/>
      <c r="S1022" s="173"/>
      <c r="T1022" s="173"/>
      <c r="U1022" s="174"/>
      <c r="V1022" s="16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</row>
    <row r="1023">
      <c r="A1023" s="165">
        <f>IFERROR(__xludf.DUMMYFUNCTION("""COMPUTED_VALUE"""),8619201.0)</f>
        <v>8619201</v>
      </c>
      <c r="B1023" s="166" t="str">
        <f>IFERROR(__xludf.DUMMYFUNCTION("""COMPUTED_VALUE"""),"BookingCom")</f>
        <v>BookingCom</v>
      </c>
      <c r="C1023" s="166" t="str">
        <f>IFERROR(__xludf.DUMMYFUNCTION("""COMPUTED_VALUE"""),"Cristina Ibanez Gandia ")</f>
        <v>Cristina Ibanez Gandia </v>
      </c>
      <c r="D1023" s="165">
        <f>IFERROR(__xludf.DUMMYFUNCTION("""COMPUTED_VALUE"""),46193.0)</f>
        <v>46193</v>
      </c>
      <c r="E1023" s="165">
        <f>IFERROR(__xludf.DUMMYFUNCTION("""COMPUTED_VALUE"""),46194.0)</f>
        <v>46194</v>
      </c>
      <c r="F1023" s="377">
        <f>IFERROR(__xludf.DUMMYFUNCTION("""COMPUTED_VALUE"""),1.0)</f>
        <v>1</v>
      </c>
      <c r="G1023" s="377">
        <f>IFERROR(__xludf.DUMMYFUNCTION("""COMPUTED_VALUE"""),1.0)</f>
        <v>1</v>
      </c>
      <c r="H1023" s="378">
        <f>IFERROR(__xludf.DUMMYFUNCTION("""COMPUTED_VALUE"""),133.2)</f>
        <v>133.2</v>
      </c>
      <c r="I1023" s="378">
        <f>IFERROR(__xludf.DUMMYFUNCTION("""COMPUTED_VALUE"""),106.56)</f>
        <v>106.56</v>
      </c>
      <c r="J1023" s="377"/>
      <c r="K1023" s="166"/>
      <c r="L1023" s="166"/>
      <c r="M1023" s="166"/>
      <c r="N1023" s="170"/>
      <c r="O1023" s="171"/>
      <c r="P1023" s="171"/>
      <c r="Q1023" s="172"/>
      <c r="R1023" s="173"/>
      <c r="S1023" s="173"/>
      <c r="T1023" s="173"/>
      <c r="U1023" s="174"/>
      <c r="V1023" s="165"/>
      <c r="W1023" s="188"/>
      <c r="X1023" s="188"/>
      <c r="Y1023" s="188"/>
      <c r="Z1023" s="188"/>
      <c r="AA1023" s="188"/>
      <c r="AB1023" s="188"/>
      <c r="AC1023" s="188"/>
      <c r="AD1023" s="188"/>
      <c r="AE1023" s="188"/>
      <c r="AF1023" s="188"/>
      <c r="AG1023" s="188"/>
      <c r="AH1023" s="188"/>
      <c r="AI1023" s="188"/>
    </row>
    <row r="1024">
      <c r="A1024" s="165">
        <f>IFERROR(__xludf.DUMMYFUNCTION("""COMPUTED_VALUE"""),8619258.0)</f>
        <v>8619258</v>
      </c>
      <c r="B1024" s="166" t="str">
        <f>IFERROR(__xludf.DUMMYFUNCTION("""COMPUTED_VALUE"""),"Ctrip")</f>
        <v>Ctrip</v>
      </c>
      <c r="C1024" s="166" t="str">
        <f>IFERROR(__xludf.DUMMYFUNCTION("""COMPUTED_VALUE"""),"Ying Hu ")</f>
        <v>Ying Hu </v>
      </c>
      <c r="D1024" s="165">
        <f>IFERROR(__xludf.DUMMYFUNCTION("""COMPUTED_VALUE"""),46298.0)</f>
        <v>46298</v>
      </c>
      <c r="E1024" s="165">
        <f>IFERROR(__xludf.DUMMYFUNCTION("""COMPUTED_VALUE"""),46299.0)</f>
        <v>46299</v>
      </c>
      <c r="F1024" s="377">
        <f>IFERROR(__xludf.DUMMYFUNCTION("""COMPUTED_VALUE"""),1.0)</f>
        <v>1</v>
      </c>
      <c r="G1024" s="377">
        <f>IFERROR(__xludf.DUMMYFUNCTION("""COMPUTED_VALUE"""),4.0)</f>
        <v>4</v>
      </c>
      <c r="H1024" s="378">
        <f>IFERROR(__xludf.DUMMYFUNCTION("""COMPUTED_VALUE"""),0.0)</f>
        <v>0</v>
      </c>
      <c r="I1024" s="378">
        <f>IFERROR(__xludf.DUMMYFUNCTION("""COMPUTED_VALUE"""),299.13)</f>
        <v>299.13</v>
      </c>
      <c r="J1024" s="267"/>
      <c r="K1024" s="166"/>
      <c r="L1024" s="166"/>
      <c r="M1024" s="166"/>
      <c r="N1024" s="170"/>
      <c r="O1024" s="171"/>
      <c r="P1024" s="171"/>
      <c r="Q1024" s="172"/>
      <c r="R1024" s="173"/>
      <c r="S1024" s="173"/>
      <c r="T1024" s="173"/>
      <c r="U1024" s="174"/>
      <c r="V1024" s="16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</row>
    <row r="1025">
      <c r="A1025" s="165">
        <f>IFERROR(__xludf.DUMMYFUNCTION("""COMPUTED_VALUE"""),8619257.0)</f>
        <v>8619257</v>
      </c>
      <c r="B1025" s="166" t="str">
        <f>IFERROR(__xludf.DUMMYFUNCTION("""COMPUTED_VALUE"""),"Ctrip")</f>
        <v>Ctrip</v>
      </c>
      <c r="C1025" s="166" t="str">
        <f>IFERROR(__xludf.DUMMYFUNCTION("""COMPUTED_VALUE"""),"Ying Fang ")</f>
        <v>Ying Fang </v>
      </c>
      <c r="D1025" s="165">
        <f>IFERROR(__xludf.DUMMYFUNCTION("""COMPUTED_VALUE"""),46298.0)</f>
        <v>46298</v>
      </c>
      <c r="E1025" s="165">
        <f>IFERROR(__xludf.DUMMYFUNCTION("""COMPUTED_VALUE"""),46299.0)</f>
        <v>46299</v>
      </c>
      <c r="F1025" s="377">
        <f>IFERROR(__xludf.DUMMYFUNCTION("""COMPUTED_VALUE"""),1.0)</f>
        <v>1</v>
      </c>
      <c r="G1025" s="377">
        <f>IFERROR(__xludf.DUMMYFUNCTION("""COMPUTED_VALUE"""),2.0)</f>
        <v>2</v>
      </c>
      <c r="H1025" s="378">
        <f>IFERROR(__xludf.DUMMYFUNCTION("""COMPUTED_VALUE"""),0.0)</f>
        <v>0</v>
      </c>
      <c r="I1025" s="378">
        <f>IFERROR(__xludf.DUMMYFUNCTION("""COMPUTED_VALUE"""),123.99)</f>
        <v>123.99</v>
      </c>
      <c r="J1025" s="377"/>
      <c r="K1025" s="166"/>
      <c r="L1025" s="166"/>
      <c r="M1025" s="166"/>
      <c r="N1025" s="170"/>
      <c r="O1025" s="171"/>
      <c r="P1025" s="171"/>
      <c r="Q1025" s="172"/>
      <c r="R1025" s="173"/>
      <c r="S1025" s="173"/>
      <c r="T1025" s="173"/>
      <c r="U1025" s="174"/>
      <c r="V1025" s="165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</row>
    <row r="1026">
      <c r="A1026" s="165">
        <f>IFERROR(__xludf.DUMMYFUNCTION("""COMPUTED_VALUE"""),8619257.0)</f>
        <v>8619257</v>
      </c>
      <c r="B1026" s="166" t="str">
        <f>IFERROR(__xludf.DUMMYFUNCTION("""COMPUTED_VALUE"""),"Ctrip")</f>
        <v>Ctrip</v>
      </c>
      <c r="C1026" s="166" t="str">
        <f>IFERROR(__xludf.DUMMYFUNCTION("""COMPUTED_VALUE"""),"Ying Fang ")</f>
        <v>Ying Fang </v>
      </c>
      <c r="D1026" s="165">
        <f>IFERROR(__xludf.DUMMYFUNCTION("""COMPUTED_VALUE"""),46298.0)</f>
        <v>46298</v>
      </c>
      <c r="E1026" s="165">
        <f>IFERROR(__xludf.DUMMYFUNCTION("""COMPUTED_VALUE"""),46299.0)</f>
        <v>46299</v>
      </c>
      <c r="F1026" s="377">
        <f>IFERROR(__xludf.DUMMYFUNCTION("""COMPUTED_VALUE"""),1.0)</f>
        <v>1</v>
      </c>
      <c r="G1026" s="377">
        <f>IFERROR(__xludf.DUMMYFUNCTION("""COMPUTED_VALUE"""),2.0)</f>
        <v>2</v>
      </c>
      <c r="H1026" s="378">
        <f>IFERROR(__xludf.DUMMYFUNCTION("""COMPUTED_VALUE"""),0.0)</f>
        <v>0</v>
      </c>
      <c r="I1026" s="378">
        <f>IFERROR(__xludf.DUMMYFUNCTION("""COMPUTED_VALUE"""),123.99)</f>
        <v>123.99</v>
      </c>
      <c r="J1026" s="377"/>
      <c r="K1026" s="166"/>
      <c r="L1026" s="166"/>
      <c r="M1026" s="166"/>
      <c r="N1026" s="170"/>
      <c r="O1026" s="171"/>
      <c r="P1026" s="171"/>
      <c r="Q1026" s="172"/>
      <c r="R1026" s="173"/>
      <c r="S1026" s="173"/>
      <c r="T1026" s="173"/>
      <c r="U1026" s="174"/>
      <c r="V1026" s="16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</row>
    <row r="1027">
      <c r="A1027" s="165">
        <f>IFERROR(__xludf.DUMMYFUNCTION("""COMPUTED_VALUE"""),8619260.0)</f>
        <v>8619260</v>
      </c>
      <c r="B1027" s="166" t="str">
        <f>IFERROR(__xludf.DUMMYFUNCTION("""COMPUTED_VALUE"""),"Expedia Affiliate Network")</f>
        <v>Expedia Affiliate Network</v>
      </c>
      <c r="C1027" s="166" t="str">
        <f>IFERROR(__xludf.DUMMYFUNCTION("""COMPUTED_VALUE"""),"RUIYAN HUANG ")</f>
        <v>RUIYAN HUANG </v>
      </c>
      <c r="D1027" s="165">
        <f>IFERROR(__xludf.DUMMYFUNCTION("""COMPUTED_VALUE"""),46298.0)</f>
        <v>46298</v>
      </c>
      <c r="E1027" s="165">
        <f>IFERROR(__xludf.DUMMYFUNCTION("""COMPUTED_VALUE"""),46299.0)</f>
        <v>46299</v>
      </c>
      <c r="F1027" s="377">
        <f>IFERROR(__xludf.DUMMYFUNCTION("""COMPUTED_VALUE"""),1.0)</f>
        <v>1</v>
      </c>
      <c r="G1027" s="377">
        <f>IFERROR(__xludf.DUMMYFUNCTION("""COMPUTED_VALUE"""),2.0)</f>
        <v>2</v>
      </c>
      <c r="H1027" s="378">
        <f>IFERROR(__xludf.DUMMYFUNCTION("""COMPUTED_VALUE"""),181.44)</f>
        <v>181.44</v>
      </c>
      <c r="I1027" s="378">
        <f>IFERROR(__xludf.DUMMYFUNCTION("""COMPUTED_VALUE"""),145.15200000000002)</f>
        <v>145.152</v>
      </c>
      <c r="J1027" s="377"/>
      <c r="K1027" s="166"/>
      <c r="L1027" s="166"/>
      <c r="M1027" s="205"/>
      <c r="N1027" s="170"/>
      <c r="O1027" s="171"/>
      <c r="P1027" s="171"/>
      <c r="Q1027" s="172"/>
      <c r="R1027" s="173"/>
      <c r="S1027" s="173"/>
      <c r="T1027" s="173"/>
      <c r="U1027" s="174"/>
      <c r="V1027" s="165"/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</row>
    <row r="1028">
      <c r="A1028" s="165">
        <f>IFERROR(__xludf.DUMMYFUNCTION("""COMPUTED_VALUE"""),8622676.0)</f>
        <v>8622676</v>
      </c>
      <c r="B1028" s="166" t="str">
        <f>IFERROR(__xludf.DUMMYFUNCTION("""COMPUTED_VALUE"""),"BookingCom")</f>
        <v>BookingCom</v>
      </c>
      <c r="C1028" s="166" t="str">
        <f>IFERROR(__xludf.DUMMYFUNCTION("""COMPUTED_VALUE"""),"Emmanuel Grillou ")</f>
        <v>Emmanuel Grillou </v>
      </c>
      <c r="D1028" s="165">
        <f>IFERROR(__xludf.DUMMYFUNCTION("""COMPUTED_VALUE"""),46265.0)</f>
        <v>46265</v>
      </c>
      <c r="E1028" s="165">
        <f>IFERROR(__xludf.DUMMYFUNCTION("""COMPUTED_VALUE"""),46269.0)</f>
        <v>46269</v>
      </c>
      <c r="F1028" s="377">
        <f>IFERROR(__xludf.DUMMYFUNCTION("""COMPUTED_VALUE"""),4.0)</f>
        <v>4</v>
      </c>
      <c r="G1028" s="377">
        <f>IFERROR(__xludf.DUMMYFUNCTION("""COMPUTED_VALUE"""),2.0)</f>
        <v>2</v>
      </c>
      <c r="H1028" s="378">
        <f>IFERROR(__xludf.DUMMYFUNCTION("""COMPUTED_VALUE"""),113.14)</f>
        <v>113.14</v>
      </c>
      <c r="I1028" s="378">
        <f>IFERROR(__xludf.DUMMYFUNCTION("""COMPUTED_VALUE"""),362.048)</f>
        <v>362.048</v>
      </c>
      <c r="J1028" s="377"/>
      <c r="K1028" s="166"/>
      <c r="L1028" s="166"/>
      <c r="M1028" s="166"/>
      <c r="N1028" s="170"/>
      <c r="O1028" s="171"/>
      <c r="P1028" s="171"/>
      <c r="Q1028" s="172"/>
      <c r="R1028" s="173"/>
      <c r="S1028" s="173"/>
      <c r="T1028" s="173"/>
      <c r="U1028" s="174"/>
      <c r="V1028" s="16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</row>
    <row r="1029">
      <c r="A1029" s="165">
        <f>IFERROR(__xludf.DUMMYFUNCTION("""COMPUTED_VALUE"""),8624977.0)</f>
        <v>8624977</v>
      </c>
      <c r="B1029" s="166" t="str">
        <f>IFERROR(__xludf.DUMMYFUNCTION("""COMPUTED_VALUE"""),"BookingCom")</f>
        <v>BookingCom</v>
      </c>
      <c r="C1029" s="166" t="str">
        <f>IFERROR(__xludf.DUMMYFUNCTION("""COMPUTED_VALUE"""),"Heinrich Claussen ")</f>
        <v>Heinrich Claussen </v>
      </c>
      <c r="D1029" s="165">
        <f>IFERROR(__xludf.DUMMYFUNCTION("""COMPUTED_VALUE"""),46291.0)</f>
        <v>46291</v>
      </c>
      <c r="E1029" s="165">
        <f>IFERROR(__xludf.DUMMYFUNCTION("""COMPUTED_VALUE"""),46295.0)</f>
        <v>46295</v>
      </c>
      <c r="F1029" s="377">
        <f>IFERROR(__xludf.DUMMYFUNCTION("""COMPUTED_VALUE"""),4.0)</f>
        <v>4</v>
      </c>
      <c r="G1029" s="377">
        <f>IFERROR(__xludf.DUMMYFUNCTION("""COMPUTED_VALUE"""),2.0)</f>
        <v>2</v>
      </c>
      <c r="H1029" s="378">
        <f>IFERROR(__xludf.DUMMYFUNCTION("""COMPUTED_VALUE"""),138.71)</f>
        <v>138.71</v>
      </c>
      <c r="I1029" s="378">
        <f>IFERROR(__xludf.DUMMYFUNCTION("""COMPUTED_VALUE"""),443.87200000000007)</f>
        <v>443.872</v>
      </c>
      <c r="J1029" s="377"/>
      <c r="K1029" s="166"/>
      <c r="L1029" s="166"/>
      <c r="M1029" s="166"/>
      <c r="N1029" s="169"/>
      <c r="O1029" s="171"/>
      <c r="P1029" s="171"/>
      <c r="Q1029" s="169"/>
      <c r="R1029" s="173"/>
      <c r="S1029" s="173"/>
      <c r="T1029" s="173"/>
      <c r="U1029" s="174"/>
      <c r="V1029" s="16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</row>
    <row r="1030">
      <c r="A1030" s="165">
        <f>IFERROR(__xludf.DUMMYFUNCTION("""COMPUTED_VALUE"""),8625904.0)</f>
        <v>8625904</v>
      </c>
      <c r="B1030" s="166" t="str">
        <f>IFERROR(__xludf.DUMMYFUNCTION("""COMPUTED_VALUE"""),"BookingCom")</f>
        <v>BookingCom</v>
      </c>
      <c r="C1030" s="166" t="str">
        <f>IFERROR(__xludf.DUMMYFUNCTION("""COMPUTED_VALUE"""),"Lucie Galeski ")</f>
        <v>Lucie Galeski </v>
      </c>
      <c r="D1030" s="165">
        <f>IFERROR(__xludf.DUMMYFUNCTION("""COMPUTED_VALUE"""),46273.0)</f>
        <v>46273</v>
      </c>
      <c r="E1030" s="165">
        <f>IFERROR(__xludf.DUMMYFUNCTION("""COMPUTED_VALUE"""),46277.0)</f>
        <v>46277</v>
      </c>
      <c r="F1030" s="377">
        <f>IFERROR(__xludf.DUMMYFUNCTION("""COMPUTED_VALUE"""),4.0)</f>
        <v>4</v>
      </c>
      <c r="G1030" s="377">
        <f>IFERROR(__xludf.DUMMYFUNCTION("""COMPUTED_VALUE"""),2.0)</f>
        <v>2</v>
      </c>
      <c r="H1030" s="378">
        <f>IFERROR(__xludf.DUMMYFUNCTION("""COMPUTED_VALUE"""),138.8)</f>
        <v>138.8</v>
      </c>
      <c r="I1030" s="378">
        <f>IFERROR(__xludf.DUMMYFUNCTION("""COMPUTED_VALUE"""),444.1600000000001)</f>
        <v>444.16</v>
      </c>
      <c r="J1030" s="377"/>
      <c r="K1030" s="166"/>
      <c r="L1030" s="166"/>
      <c r="M1030" s="166"/>
      <c r="N1030" s="170"/>
      <c r="O1030" s="171"/>
      <c r="P1030" s="171"/>
      <c r="Q1030" s="169"/>
      <c r="R1030" s="173"/>
      <c r="S1030" s="173"/>
      <c r="T1030" s="173"/>
      <c r="U1030" s="174"/>
      <c r="V1030" s="16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</row>
    <row r="1031">
      <c r="A1031" s="165">
        <f>IFERROR(__xludf.DUMMYFUNCTION("""COMPUTED_VALUE"""),8626015.0)</f>
        <v>8626015</v>
      </c>
      <c r="B1031" s="166" t="str">
        <f>IFERROR(__xludf.DUMMYFUNCTION("""COMPUTED_VALUE"""),"BookingCom")</f>
        <v>BookingCom</v>
      </c>
      <c r="C1031" s="166" t="str">
        <f>IFERROR(__xludf.DUMMYFUNCTION("""COMPUTED_VALUE"""),"LOIC PICHON ")</f>
        <v>LOIC PICHON </v>
      </c>
      <c r="D1031" s="165">
        <f>IFERROR(__xludf.DUMMYFUNCTION("""COMPUTED_VALUE"""),46271.0)</f>
        <v>46271</v>
      </c>
      <c r="E1031" s="165">
        <f>IFERROR(__xludf.DUMMYFUNCTION("""COMPUTED_VALUE"""),46274.0)</f>
        <v>46274</v>
      </c>
      <c r="F1031" s="377">
        <f>IFERROR(__xludf.DUMMYFUNCTION("""COMPUTED_VALUE"""),3.0)</f>
        <v>3</v>
      </c>
      <c r="G1031" s="377">
        <f>IFERROR(__xludf.DUMMYFUNCTION("""COMPUTED_VALUE"""),2.0)</f>
        <v>2</v>
      </c>
      <c r="H1031" s="378">
        <f>IFERROR(__xludf.DUMMYFUNCTION("""COMPUTED_VALUE"""),137.03)</f>
        <v>137.03</v>
      </c>
      <c r="I1031" s="378">
        <f>IFERROR(__xludf.DUMMYFUNCTION("""COMPUTED_VALUE"""),328.872)</f>
        <v>328.872</v>
      </c>
      <c r="J1031" s="377"/>
      <c r="K1031" s="166"/>
      <c r="L1031" s="166"/>
      <c r="M1031" s="166"/>
      <c r="N1031" s="170"/>
      <c r="O1031" s="171"/>
      <c r="P1031" s="171"/>
      <c r="Q1031" s="172"/>
      <c r="R1031" s="173"/>
      <c r="S1031" s="173"/>
      <c r="T1031" s="173"/>
      <c r="U1031" s="174"/>
      <c r="V1031" s="165"/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</row>
    <row r="1032">
      <c r="A1032" s="165">
        <f>IFERROR(__xludf.DUMMYFUNCTION("""COMPUTED_VALUE"""),8626036.0)</f>
        <v>8626036</v>
      </c>
      <c r="B1032" s="166" t="str">
        <f>IFERROR(__xludf.DUMMYFUNCTION("""COMPUTED_VALUE"""),"BookingCom")</f>
        <v>BookingCom</v>
      </c>
      <c r="C1032" s="166" t="str">
        <f>IFERROR(__xludf.DUMMYFUNCTION("""COMPUTED_VALUE"""),"gianluca colangelo ")</f>
        <v>gianluca colangelo </v>
      </c>
      <c r="D1032" s="165">
        <f>IFERROR(__xludf.DUMMYFUNCTION("""COMPUTED_VALUE"""),46266.0)</f>
        <v>46266</v>
      </c>
      <c r="E1032" s="165">
        <f>IFERROR(__xludf.DUMMYFUNCTION("""COMPUTED_VALUE"""),46268.0)</f>
        <v>46268</v>
      </c>
      <c r="F1032" s="377">
        <f>IFERROR(__xludf.DUMMYFUNCTION("""COMPUTED_VALUE"""),2.0)</f>
        <v>2</v>
      </c>
      <c r="G1032" s="377">
        <f>IFERROR(__xludf.DUMMYFUNCTION("""COMPUTED_VALUE"""),3.0)</f>
        <v>3</v>
      </c>
      <c r="H1032" s="378">
        <f>IFERROR(__xludf.DUMMYFUNCTION("""COMPUTED_VALUE"""),156.48)</f>
        <v>156.48</v>
      </c>
      <c r="I1032" s="378">
        <f>IFERROR(__xludf.DUMMYFUNCTION("""COMPUTED_VALUE"""),250.368)</f>
        <v>250.368</v>
      </c>
      <c r="J1032" s="377"/>
      <c r="K1032" s="166"/>
      <c r="L1032" s="166"/>
      <c r="M1032" s="166"/>
      <c r="N1032" s="170"/>
      <c r="O1032" s="171"/>
      <c r="P1032" s="171"/>
      <c r="Q1032" s="172"/>
      <c r="R1032" s="173"/>
      <c r="S1032" s="173"/>
      <c r="T1032" s="173"/>
      <c r="U1032" s="174"/>
      <c r="V1032" s="165"/>
      <c r="W1032" s="188"/>
      <c r="X1032" s="188"/>
      <c r="Y1032" s="188"/>
      <c r="Z1032" s="188"/>
      <c r="AA1032" s="188"/>
      <c r="AB1032" s="188"/>
      <c r="AC1032" s="188"/>
      <c r="AD1032" s="188"/>
      <c r="AE1032" s="188"/>
      <c r="AF1032" s="188"/>
      <c r="AG1032" s="188"/>
      <c r="AH1032" s="188"/>
      <c r="AI1032" s="188"/>
    </row>
    <row r="1033">
      <c r="A1033" s="165">
        <f>IFERROR(__xludf.DUMMYFUNCTION("""COMPUTED_VALUE"""),8626036.0)</f>
        <v>8626036</v>
      </c>
      <c r="B1033" s="166" t="str">
        <f>IFERROR(__xludf.DUMMYFUNCTION("""COMPUTED_VALUE"""),"BookingCom")</f>
        <v>BookingCom</v>
      </c>
      <c r="C1033" s="166" t="str">
        <f>IFERROR(__xludf.DUMMYFUNCTION("""COMPUTED_VALUE"""),"gianluca colangelo ")</f>
        <v>gianluca colangelo </v>
      </c>
      <c r="D1033" s="165">
        <f>IFERROR(__xludf.DUMMYFUNCTION("""COMPUTED_VALUE"""),46266.0)</f>
        <v>46266</v>
      </c>
      <c r="E1033" s="165">
        <f>IFERROR(__xludf.DUMMYFUNCTION("""COMPUTED_VALUE"""),46268.0)</f>
        <v>46268</v>
      </c>
      <c r="F1033" s="377">
        <f>IFERROR(__xludf.DUMMYFUNCTION("""COMPUTED_VALUE"""),2.0)</f>
        <v>2</v>
      </c>
      <c r="G1033" s="377">
        <f>IFERROR(__xludf.DUMMYFUNCTION("""COMPUTED_VALUE"""),2.0)</f>
        <v>2</v>
      </c>
      <c r="H1033" s="378">
        <f>IFERROR(__xludf.DUMMYFUNCTION("""COMPUTED_VALUE"""),195.52)</f>
        <v>195.52</v>
      </c>
      <c r="I1033" s="378">
        <f>IFERROR(__xludf.DUMMYFUNCTION("""COMPUTED_VALUE"""),312.83200000000005)</f>
        <v>312.832</v>
      </c>
      <c r="J1033" s="377"/>
      <c r="K1033" s="166"/>
      <c r="L1033" s="166"/>
      <c r="M1033" s="166"/>
      <c r="N1033" s="170"/>
      <c r="O1033" s="171"/>
      <c r="P1033" s="171"/>
      <c r="Q1033" s="172"/>
      <c r="R1033" s="173"/>
      <c r="S1033" s="173"/>
      <c r="T1033" s="173"/>
      <c r="U1033" s="201"/>
      <c r="V1033" s="16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</row>
    <row r="1034">
      <c r="A1034" s="165">
        <f>IFERROR(__xludf.DUMMYFUNCTION("""COMPUTED_VALUE"""),8626537.0)</f>
        <v>8626537</v>
      </c>
      <c r="B1034" s="166" t="str">
        <f>IFERROR(__xludf.DUMMYFUNCTION("""COMPUTED_VALUE"""),"BookingCom")</f>
        <v>BookingCom</v>
      </c>
      <c r="C1034" s="166" t="str">
        <f>IFERROR(__xludf.DUMMYFUNCTION("""COMPUTED_VALUE"""),"OSCAR SERRANO PEREZ-HIGUERAS ")</f>
        <v>OSCAR SERRANO PEREZ-HIGUERAS </v>
      </c>
      <c r="D1034" s="165">
        <f>IFERROR(__xludf.DUMMYFUNCTION("""COMPUTED_VALUE"""),46321.0)</f>
        <v>46321</v>
      </c>
      <c r="E1034" s="165">
        <f>IFERROR(__xludf.DUMMYFUNCTION("""COMPUTED_VALUE"""),46324.0)</f>
        <v>46324</v>
      </c>
      <c r="F1034" s="377">
        <f>IFERROR(__xludf.DUMMYFUNCTION("""COMPUTED_VALUE"""),3.0)</f>
        <v>3</v>
      </c>
      <c r="G1034" s="377">
        <f>IFERROR(__xludf.DUMMYFUNCTION("""COMPUTED_VALUE"""),2.0)</f>
        <v>2</v>
      </c>
      <c r="H1034" s="378">
        <f>IFERROR(__xludf.DUMMYFUNCTION("""COMPUTED_VALUE"""),157.02)</f>
        <v>157.02</v>
      </c>
      <c r="I1034" s="378">
        <f>IFERROR(__xludf.DUMMYFUNCTION("""COMPUTED_VALUE"""),376.84800000000007)</f>
        <v>376.848</v>
      </c>
      <c r="J1034" s="377"/>
      <c r="K1034" s="166"/>
      <c r="L1034" s="166"/>
      <c r="M1034" s="166"/>
      <c r="N1034" s="170"/>
      <c r="O1034" s="171"/>
      <c r="P1034" s="171"/>
      <c r="Q1034" s="172"/>
      <c r="R1034" s="173"/>
      <c r="S1034" s="173"/>
      <c r="T1034" s="173"/>
      <c r="U1034" s="174"/>
      <c r="V1034" s="16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</row>
    <row r="1035">
      <c r="A1035" s="165">
        <f>IFERROR(__xludf.DUMMYFUNCTION("""COMPUTED_VALUE"""),8627865.0)</f>
        <v>8627865</v>
      </c>
      <c r="B1035" s="166" t="str">
        <f>IFERROR(__xludf.DUMMYFUNCTION("""COMPUTED_VALUE"""),"BookingCom")</f>
        <v>BookingCom</v>
      </c>
      <c r="C1035" s="166" t="str">
        <f>IFERROR(__xludf.DUMMYFUNCTION("""COMPUTED_VALUE"""),"Badi Alkilani ")</f>
        <v>Badi Alkilani </v>
      </c>
      <c r="D1035" s="165">
        <f>IFERROR(__xludf.DUMMYFUNCTION("""COMPUTED_VALUE"""),46291.0)</f>
        <v>46291</v>
      </c>
      <c r="E1035" s="165">
        <f>IFERROR(__xludf.DUMMYFUNCTION("""COMPUTED_VALUE"""),46292.0)</f>
        <v>46292</v>
      </c>
      <c r="F1035" s="377">
        <f>IFERROR(__xludf.DUMMYFUNCTION("""COMPUTED_VALUE"""),1.0)</f>
        <v>1</v>
      </c>
      <c r="G1035" s="377">
        <f>IFERROR(__xludf.DUMMYFUNCTION("""COMPUTED_VALUE"""),2.0)</f>
        <v>2</v>
      </c>
      <c r="H1035" s="378">
        <f>IFERROR(__xludf.DUMMYFUNCTION("""COMPUTED_VALUE"""),149.72)</f>
        <v>149.72</v>
      </c>
      <c r="I1035" s="378">
        <f>IFERROR(__xludf.DUMMYFUNCTION("""COMPUTED_VALUE"""),119.77600000000001)</f>
        <v>119.776</v>
      </c>
      <c r="J1035" s="377"/>
      <c r="K1035" s="166"/>
      <c r="L1035" s="166"/>
      <c r="M1035" s="205"/>
      <c r="N1035" s="170"/>
      <c r="O1035" s="171"/>
      <c r="P1035" s="171"/>
      <c r="Q1035" s="172"/>
      <c r="R1035" s="173"/>
      <c r="S1035" s="173"/>
      <c r="T1035" s="173"/>
      <c r="U1035" s="174"/>
      <c r="V1035" s="16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</row>
    <row r="1036">
      <c r="A1036" s="165">
        <f>IFERROR(__xludf.DUMMYFUNCTION("""COMPUTED_VALUE"""),8628808.0)</f>
        <v>8628808</v>
      </c>
      <c r="B1036" s="166" t="str">
        <f>IFERROR(__xludf.DUMMYFUNCTION("""COMPUTED_VALUE"""),"BookingCom")</f>
        <v>BookingCom</v>
      </c>
      <c r="C1036" s="166" t="str">
        <f>IFERROR(__xludf.DUMMYFUNCTION("""COMPUTED_VALUE"""),"Rochelle Ferguson ")</f>
        <v>Rochelle Ferguson </v>
      </c>
      <c r="D1036" s="165">
        <f>IFERROR(__xludf.DUMMYFUNCTION("""COMPUTED_VALUE"""),46207.0)</f>
        <v>46207</v>
      </c>
      <c r="E1036" s="165">
        <f>IFERROR(__xludf.DUMMYFUNCTION("""COMPUTED_VALUE"""),46210.0)</f>
        <v>46210</v>
      </c>
      <c r="F1036" s="377">
        <f>IFERROR(__xludf.DUMMYFUNCTION("""COMPUTED_VALUE"""),3.0)</f>
        <v>3</v>
      </c>
      <c r="G1036" s="377">
        <f>IFERROR(__xludf.DUMMYFUNCTION("""COMPUTED_VALUE"""),2.0)</f>
        <v>2</v>
      </c>
      <c r="H1036" s="378">
        <f>IFERROR(__xludf.DUMMYFUNCTION("""COMPUTED_VALUE"""),137.03)</f>
        <v>137.03</v>
      </c>
      <c r="I1036" s="378">
        <f>IFERROR(__xludf.DUMMYFUNCTION("""COMPUTED_VALUE"""),328.872)</f>
        <v>328.872</v>
      </c>
      <c r="J1036" s="377"/>
      <c r="K1036" s="166"/>
      <c r="L1036" s="166"/>
      <c r="M1036" s="166"/>
      <c r="N1036" s="170"/>
      <c r="O1036" s="171"/>
      <c r="P1036" s="171"/>
      <c r="Q1036" s="172"/>
      <c r="R1036" s="173"/>
      <c r="S1036" s="173"/>
      <c r="T1036" s="173"/>
      <c r="U1036" s="174"/>
      <c r="V1036" s="16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</row>
    <row r="1037">
      <c r="A1037" s="165">
        <f>IFERROR(__xludf.DUMMYFUNCTION("""COMPUTED_VALUE"""),8632014.0)</f>
        <v>8632014</v>
      </c>
      <c r="B1037" s="166" t="str">
        <f>IFERROR(__xludf.DUMMYFUNCTION("""COMPUTED_VALUE"""),"BookingCom")</f>
        <v>BookingCom</v>
      </c>
      <c r="C1037" s="166" t="str">
        <f>IFERROR(__xludf.DUMMYFUNCTION("""COMPUTED_VALUE"""),"Sazio Laetitia ")</f>
        <v>Sazio Laetitia </v>
      </c>
      <c r="D1037" s="165">
        <f>IFERROR(__xludf.DUMMYFUNCTION("""COMPUTED_VALUE"""),46270.0)</f>
        <v>46270</v>
      </c>
      <c r="E1037" s="165">
        <f>IFERROR(__xludf.DUMMYFUNCTION("""COMPUTED_VALUE"""),46275.0)</f>
        <v>46275</v>
      </c>
      <c r="F1037" s="377">
        <f>IFERROR(__xludf.DUMMYFUNCTION("""COMPUTED_VALUE"""),5.0)</f>
        <v>5</v>
      </c>
      <c r="G1037" s="377">
        <f>IFERROR(__xludf.DUMMYFUNCTION("""COMPUTED_VALUE"""),2.0)</f>
        <v>2</v>
      </c>
      <c r="H1037" s="378">
        <f>IFERROR(__xludf.DUMMYFUNCTION("""COMPUTED_VALUE"""),138.8)</f>
        <v>138.8</v>
      </c>
      <c r="I1037" s="378">
        <f>IFERROR(__xludf.DUMMYFUNCTION("""COMPUTED_VALUE"""),555.2)</f>
        <v>555.2</v>
      </c>
      <c r="J1037" s="377"/>
      <c r="K1037" s="166"/>
      <c r="L1037" s="166"/>
      <c r="M1037" s="166"/>
      <c r="N1037" s="170"/>
      <c r="O1037" s="171"/>
      <c r="P1037" s="171"/>
      <c r="Q1037" s="172"/>
      <c r="R1037" s="173"/>
      <c r="S1037" s="173"/>
      <c r="T1037" s="173"/>
      <c r="U1037" s="174"/>
      <c r="V1037" s="16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</row>
    <row r="1038">
      <c r="A1038" s="165">
        <f>IFERROR(__xludf.DUMMYFUNCTION("""COMPUTED_VALUE"""),8636458.0)</f>
        <v>8636458</v>
      </c>
      <c r="B1038" s="166" t="str">
        <f>IFERROR(__xludf.DUMMYFUNCTION("""COMPUTED_VALUE"""),"BookingCom")</f>
        <v>BookingCom</v>
      </c>
      <c r="C1038" s="166" t="str">
        <f>IFERROR(__xludf.DUMMYFUNCTION("""COMPUTED_VALUE"""),"Shivangi Sinha ")</f>
        <v>Shivangi Sinha </v>
      </c>
      <c r="D1038" s="165">
        <f>IFERROR(__xludf.DUMMYFUNCTION("""COMPUTED_VALUE"""),46193.0)</f>
        <v>46193</v>
      </c>
      <c r="E1038" s="165">
        <f>IFERROR(__xludf.DUMMYFUNCTION("""COMPUTED_VALUE"""),46194.0)</f>
        <v>46194</v>
      </c>
      <c r="F1038" s="377">
        <f>IFERROR(__xludf.DUMMYFUNCTION("""COMPUTED_VALUE"""),1.0)</f>
        <v>1</v>
      </c>
      <c r="G1038" s="377">
        <f>IFERROR(__xludf.DUMMYFUNCTION("""COMPUTED_VALUE"""),2.0)</f>
        <v>2</v>
      </c>
      <c r="H1038" s="378">
        <f>IFERROR(__xludf.DUMMYFUNCTION("""COMPUTED_VALUE"""),152.45)</f>
        <v>152.45</v>
      </c>
      <c r="I1038" s="378">
        <f>IFERROR(__xludf.DUMMYFUNCTION("""COMPUTED_VALUE"""),121.96)</f>
        <v>121.96</v>
      </c>
      <c r="J1038" s="377"/>
      <c r="K1038" s="166"/>
      <c r="L1038" s="166"/>
      <c r="M1038" s="166"/>
      <c r="N1038" s="170"/>
      <c r="O1038" s="171"/>
      <c r="P1038" s="171"/>
      <c r="Q1038" s="172"/>
      <c r="R1038" s="173"/>
      <c r="S1038" s="173"/>
      <c r="T1038" s="173"/>
      <c r="U1038" s="174"/>
      <c r="V1038" s="16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</row>
    <row r="1039">
      <c r="A1039" s="165">
        <f>IFERROR(__xludf.DUMMYFUNCTION("""COMPUTED_VALUE"""),8636605.0)</f>
        <v>8636605</v>
      </c>
      <c r="B1039" s="166" t="str">
        <f>IFERROR(__xludf.DUMMYFUNCTION("""COMPUTED_VALUE"""),"BookingCom")</f>
        <v>BookingCom</v>
      </c>
      <c r="C1039" s="166" t="str">
        <f>IFERROR(__xludf.DUMMYFUNCTION("""COMPUTED_VALUE"""),"Palasia Patsou ")</f>
        <v>Palasia Patsou </v>
      </c>
      <c r="D1039" s="165">
        <f>IFERROR(__xludf.DUMMYFUNCTION("""COMPUTED_VALUE"""),46342.0)</f>
        <v>46342</v>
      </c>
      <c r="E1039" s="165">
        <f>IFERROR(__xludf.DUMMYFUNCTION("""COMPUTED_VALUE"""),46345.0)</f>
        <v>46345</v>
      </c>
      <c r="F1039" s="377">
        <f>IFERROR(__xludf.DUMMYFUNCTION("""COMPUTED_VALUE"""),3.0)</f>
        <v>3</v>
      </c>
      <c r="G1039" s="377">
        <f>IFERROR(__xludf.DUMMYFUNCTION("""COMPUTED_VALUE"""),3.0)</f>
        <v>3</v>
      </c>
      <c r="H1039" s="378">
        <f>IFERROR(__xludf.DUMMYFUNCTION("""COMPUTED_VALUE"""),170.9)</f>
        <v>170.9</v>
      </c>
      <c r="I1039" s="378">
        <f>IFERROR(__xludf.DUMMYFUNCTION("""COMPUTED_VALUE"""),410.15999999999997)</f>
        <v>410.16</v>
      </c>
      <c r="J1039" s="377"/>
      <c r="K1039" s="166"/>
      <c r="L1039" s="166"/>
      <c r="M1039" s="205"/>
      <c r="N1039" s="170"/>
      <c r="O1039" s="171"/>
      <c r="P1039" s="171"/>
      <c r="Q1039" s="172"/>
      <c r="R1039" s="173"/>
      <c r="S1039" s="173"/>
      <c r="T1039" s="173"/>
      <c r="U1039" s="174"/>
      <c r="V1039" s="16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</row>
    <row r="1040">
      <c r="A1040" s="165">
        <f>IFERROR(__xludf.DUMMYFUNCTION("""COMPUTED_VALUE"""),8638186.0)</f>
        <v>8638186</v>
      </c>
      <c r="B1040" s="166" t="str">
        <f>IFERROR(__xludf.DUMMYFUNCTION("""COMPUTED_VALUE"""),"BookingCom")</f>
        <v>BookingCom</v>
      </c>
      <c r="C1040" s="166" t="str">
        <f>IFERROR(__xludf.DUMMYFUNCTION("""COMPUTED_VALUE"""),"Solange Isidoro ")</f>
        <v>Solange Isidoro </v>
      </c>
      <c r="D1040" s="165">
        <f>IFERROR(__xludf.DUMMYFUNCTION("""COMPUTED_VALUE"""),46588.0)</f>
        <v>46588</v>
      </c>
      <c r="E1040" s="165">
        <f>IFERROR(__xludf.DUMMYFUNCTION("""COMPUTED_VALUE"""),46591.0)</f>
        <v>46591</v>
      </c>
      <c r="F1040" s="377">
        <f>IFERROR(__xludf.DUMMYFUNCTION("""COMPUTED_VALUE"""),3.0)</f>
        <v>3</v>
      </c>
      <c r="G1040" s="377">
        <f>IFERROR(__xludf.DUMMYFUNCTION("""COMPUTED_VALUE"""),1.0)</f>
        <v>1</v>
      </c>
      <c r="H1040" s="378">
        <f>IFERROR(__xludf.DUMMYFUNCTION("""COMPUTED_VALUE"""),96.89999999999999)</f>
        <v>96.9</v>
      </c>
      <c r="I1040" s="378">
        <f>IFERROR(__xludf.DUMMYFUNCTION("""COMPUTED_VALUE"""),232.56)</f>
        <v>232.56</v>
      </c>
      <c r="J1040" s="377"/>
      <c r="K1040" s="166"/>
      <c r="L1040" s="166"/>
      <c r="M1040" s="166"/>
      <c r="N1040" s="170"/>
      <c r="O1040" s="171"/>
      <c r="P1040" s="171"/>
      <c r="Q1040" s="172"/>
      <c r="R1040" s="173"/>
      <c r="S1040" s="173"/>
      <c r="T1040" s="173"/>
      <c r="U1040" s="174"/>
      <c r="V1040" s="165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</row>
    <row r="1041">
      <c r="A1041" s="165">
        <f>IFERROR(__xludf.DUMMYFUNCTION("""COMPUTED_VALUE"""),8638770.0)</f>
        <v>8638770</v>
      </c>
      <c r="B1041" s="166" t="str">
        <f>IFERROR(__xludf.DUMMYFUNCTION("""COMPUTED_VALUE"""),"BookingCom")</f>
        <v>BookingCom</v>
      </c>
      <c r="C1041" s="166" t="str">
        <f>IFERROR(__xludf.DUMMYFUNCTION("""COMPUTED_VALUE"""),"Michelle Prall ")</f>
        <v>Michelle Prall </v>
      </c>
      <c r="D1041" s="165">
        <f>IFERROR(__xludf.DUMMYFUNCTION("""COMPUTED_VALUE"""),46276.0)</f>
        <v>46276</v>
      </c>
      <c r="E1041" s="165">
        <f>IFERROR(__xludf.DUMMYFUNCTION("""COMPUTED_VALUE"""),46279.0)</f>
        <v>46279</v>
      </c>
      <c r="F1041" s="377">
        <f>IFERROR(__xludf.DUMMYFUNCTION("""COMPUTED_VALUE"""),3.0)</f>
        <v>3</v>
      </c>
      <c r="G1041" s="377">
        <f>IFERROR(__xludf.DUMMYFUNCTION("""COMPUTED_VALUE"""),2.0)</f>
        <v>2</v>
      </c>
      <c r="H1041" s="378">
        <f>IFERROR(__xludf.DUMMYFUNCTION("""COMPUTED_VALUE"""),132.01)</f>
        <v>132.01</v>
      </c>
      <c r="I1041" s="378">
        <f>IFERROR(__xludf.DUMMYFUNCTION("""COMPUTED_VALUE"""),316.824)</f>
        <v>316.824</v>
      </c>
      <c r="J1041" s="377"/>
      <c r="K1041" s="166"/>
      <c r="L1041" s="166"/>
      <c r="M1041" s="205"/>
      <c r="N1041" s="170"/>
      <c r="O1041" s="171"/>
      <c r="P1041" s="171"/>
      <c r="Q1041" s="172"/>
      <c r="R1041" s="173"/>
      <c r="S1041" s="173"/>
      <c r="T1041" s="173"/>
      <c r="U1041" s="174"/>
      <c r="V1041" s="16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</row>
    <row r="1042">
      <c r="A1042" s="165">
        <f>IFERROR(__xludf.DUMMYFUNCTION("""COMPUTED_VALUE"""),8641633.0)</f>
        <v>8641633</v>
      </c>
      <c r="B1042" s="166" t="str">
        <f>IFERROR(__xludf.DUMMYFUNCTION("""COMPUTED_VALUE"""),"BookingCom")</f>
        <v>BookingCom</v>
      </c>
      <c r="C1042" s="166" t="str">
        <f>IFERROR(__xludf.DUMMYFUNCTION("""COMPUTED_VALUE"""),"OMAR CAMPOS ")</f>
        <v>OMAR CAMPOS </v>
      </c>
      <c r="D1042" s="165">
        <f>IFERROR(__xludf.DUMMYFUNCTION("""COMPUTED_VALUE"""),46186.0)</f>
        <v>46186</v>
      </c>
      <c r="E1042" s="165">
        <f>IFERROR(__xludf.DUMMYFUNCTION("""COMPUTED_VALUE"""),46187.0)</f>
        <v>46187</v>
      </c>
      <c r="F1042" s="377">
        <f>IFERROR(__xludf.DUMMYFUNCTION("""COMPUTED_VALUE"""),1.0)</f>
        <v>1</v>
      </c>
      <c r="G1042" s="377">
        <f>IFERROR(__xludf.DUMMYFUNCTION("""COMPUTED_VALUE"""),2.0)</f>
        <v>2</v>
      </c>
      <c r="H1042" s="378">
        <f>IFERROR(__xludf.DUMMYFUNCTION("""COMPUTED_VALUE"""),152.84)</f>
        <v>152.84</v>
      </c>
      <c r="I1042" s="378">
        <f>IFERROR(__xludf.DUMMYFUNCTION("""COMPUTED_VALUE"""),122.272)</f>
        <v>122.272</v>
      </c>
      <c r="J1042" s="377"/>
      <c r="K1042" s="166"/>
      <c r="L1042" s="166"/>
      <c r="M1042" s="205"/>
      <c r="N1042" s="170"/>
      <c r="O1042" s="171"/>
      <c r="P1042" s="171"/>
      <c r="Q1042" s="172"/>
      <c r="R1042" s="173"/>
      <c r="S1042" s="173"/>
      <c r="T1042" s="173"/>
      <c r="U1042" s="174"/>
      <c r="V1042" s="16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  <c r="AH1042" s="35"/>
      <c r="AI1042" s="35"/>
    </row>
    <row r="1043">
      <c r="A1043" s="165">
        <f>IFERROR(__xludf.DUMMYFUNCTION("""COMPUTED_VALUE"""),8643328.0)</f>
        <v>8643328</v>
      </c>
      <c r="B1043" s="166" t="str">
        <f>IFERROR(__xludf.DUMMYFUNCTION("""COMPUTED_VALUE"""),"BookingCom")</f>
        <v>BookingCom</v>
      </c>
      <c r="C1043" s="166" t="str">
        <f>IFERROR(__xludf.DUMMYFUNCTION("""COMPUTED_VALUE"""),"martinez carla ")</f>
        <v>martinez carla </v>
      </c>
      <c r="D1043" s="165">
        <f>IFERROR(__xludf.DUMMYFUNCTION("""COMPUTED_VALUE"""),46270.0)</f>
        <v>46270</v>
      </c>
      <c r="E1043" s="165">
        <f>IFERROR(__xludf.DUMMYFUNCTION("""COMPUTED_VALUE"""),46272.0)</f>
        <v>46272</v>
      </c>
      <c r="F1043" s="377">
        <f>IFERROR(__xludf.DUMMYFUNCTION("""COMPUTED_VALUE"""),2.0)</f>
        <v>2</v>
      </c>
      <c r="G1043" s="377">
        <f>IFERROR(__xludf.DUMMYFUNCTION("""COMPUTED_VALUE"""),2.0)</f>
        <v>2</v>
      </c>
      <c r="H1043" s="378">
        <f>IFERROR(__xludf.DUMMYFUNCTION("""COMPUTED_VALUE"""),153.12)</f>
        <v>153.12</v>
      </c>
      <c r="I1043" s="378">
        <f>IFERROR(__xludf.DUMMYFUNCTION("""COMPUTED_VALUE"""),244.99200000000002)</f>
        <v>244.992</v>
      </c>
      <c r="J1043" s="377"/>
      <c r="K1043" s="166"/>
      <c r="L1043" s="166"/>
      <c r="M1043" s="205"/>
      <c r="N1043" s="170"/>
      <c r="O1043" s="171"/>
      <c r="P1043" s="171"/>
      <c r="Q1043" s="172"/>
      <c r="R1043" s="173"/>
      <c r="S1043" s="173"/>
      <c r="T1043" s="173"/>
      <c r="U1043" s="174"/>
      <c r="V1043" s="16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</row>
    <row r="1044">
      <c r="A1044" s="165">
        <f>IFERROR(__xludf.DUMMYFUNCTION("""COMPUTED_VALUE"""),8653252.0)</f>
        <v>8653252</v>
      </c>
      <c r="B1044" s="166" t="str">
        <f>IFERROR(__xludf.DUMMYFUNCTION("""COMPUTED_VALUE"""),"BookingCom")</f>
        <v>BookingCom</v>
      </c>
      <c r="C1044" s="166" t="str">
        <f>IFERROR(__xludf.DUMMYFUNCTION("""COMPUTED_VALUE"""),"Liz Janneth Linares Bohren ")</f>
        <v>Liz Janneth Linares Bohren </v>
      </c>
      <c r="D1044" s="165">
        <f>IFERROR(__xludf.DUMMYFUNCTION("""COMPUTED_VALUE"""),46270.0)</f>
        <v>46270</v>
      </c>
      <c r="E1044" s="165">
        <f>IFERROR(__xludf.DUMMYFUNCTION("""COMPUTED_VALUE"""),46277.0)</f>
        <v>46277</v>
      </c>
      <c r="F1044" s="377">
        <f>IFERROR(__xludf.DUMMYFUNCTION("""COMPUTED_VALUE"""),7.0)</f>
        <v>7</v>
      </c>
      <c r="G1044" s="377">
        <f>IFERROR(__xludf.DUMMYFUNCTION("""COMPUTED_VALUE"""),2.0)</f>
        <v>2</v>
      </c>
      <c r="H1044" s="378">
        <f>IFERROR(__xludf.DUMMYFUNCTION("""COMPUTED_VALUE"""),124.3)</f>
        <v>124.3</v>
      </c>
      <c r="I1044" s="378">
        <f>IFERROR(__xludf.DUMMYFUNCTION("""COMPUTED_VALUE"""),696.0799999999999)</f>
        <v>696.08</v>
      </c>
      <c r="J1044" s="377"/>
      <c r="K1044" s="166"/>
      <c r="L1044" s="166"/>
      <c r="M1044" s="166"/>
      <c r="N1044" s="170"/>
      <c r="O1044" s="171"/>
      <c r="P1044" s="171"/>
      <c r="Q1044" s="172"/>
      <c r="R1044" s="173"/>
      <c r="S1044" s="173"/>
      <c r="T1044" s="173"/>
      <c r="U1044" s="174"/>
      <c r="V1044" s="165"/>
      <c r="W1044" s="188"/>
      <c r="X1044" s="188"/>
      <c r="Y1044" s="188"/>
      <c r="Z1044" s="188"/>
      <c r="AA1044" s="188"/>
      <c r="AB1044" s="188"/>
      <c r="AC1044" s="188"/>
      <c r="AD1044" s="188"/>
      <c r="AE1044" s="188"/>
      <c r="AF1044" s="188"/>
      <c r="AG1044" s="188"/>
      <c r="AH1044" s="188"/>
      <c r="AI1044" s="188"/>
    </row>
    <row r="1045">
      <c r="A1045" s="165">
        <f>IFERROR(__xludf.DUMMYFUNCTION("""COMPUTED_VALUE"""),8655637.0)</f>
        <v>8655637</v>
      </c>
      <c r="B1045" s="166" t="str">
        <f>IFERROR(__xludf.DUMMYFUNCTION("""COMPUTED_VALUE"""),"BookingCom")</f>
        <v>BookingCom</v>
      </c>
      <c r="C1045" s="166" t="str">
        <f>IFERROR(__xludf.DUMMYFUNCTION("""COMPUTED_VALUE"""),"Gautier Guerinel ")</f>
        <v>Gautier Guerinel </v>
      </c>
      <c r="D1045" s="165">
        <f>IFERROR(__xludf.DUMMYFUNCTION("""COMPUTED_VALUE"""),46281.0)</f>
        <v>46281</v>
      </c>
      <c r="E1045" s="165">
        <f>IFERROR(__xludf.DUMMYFUNCTION("""COMPUTED_VALUE"""),46284.0)</f>
        <v>46284</v>
      </c>
      <c r="F1045" s="377">
        <f>IFERROR(__xludf.DUMMYFUNCTION("""COMPUTED_VALUE"""),3.0)</f>
        <v>3</v>
      </c>
      <c r="G1045" s="377">
        <f>IFERROR(__xludf.DUMMYFUNCTION("""COMPUTED_VALUE"""),2.0)</f>
        <v>2</v>
      </c>
      <c r="H1045" s="378">
        <f>IFERROR(__xludf.DUMMYFUNCTION("""COMPUTED_VALUE"""),202.19000000000003)</f>
        <v>202.19</v>
      </c>
      <c r="I1045" s="378">
        <f>IFERROR(__xludf.DUMMYFUNCTION("""COMPUTED_VALUE"""),485.2560000000001)</f>
        <v>485.256</v>
      </c>
      <c r="J1045" s="377"/>
      <c r="K1045" s="166"/>
      <c r="L1045" s="166"/>
      <c r="M1045" s="166"/>
      <c r="N1045" s="170"/>
      <c r="O1045" s="171"/>
      <c r="P1045" s="171"/>
      <c r="Q1045" s="172"/>
      <c r="R1045" s="173"/>
      <c r="S1045" s="173"/>
      <c r="T1045" s="173"/>
      <c r="U1045" s="174"/>
      <c r="V1045" s="165"/>
      <c r="W1045" s="188"/>
      <c r="X1045" s="188"/>
      <c r="Y1045" s="188"/>
      <c r="Z1045" s="188"/>
      <c r="AA1045" s="188"/>
      <c r="AB1045" s="188"/>
      <c r="AC1045" s="188"/>
      <c r="AD1045" s="188"/>
      <c r="AE1045" s="188"/>
      <c r="AF1045" s="188"/>
      <c r="AG1045" s="188"/>
      <c r="AH1045" s="188"/>
      <c r="AI1045" s="188"/>
    </row>
    <row r="1046">
      <c r="A1046" s="165">
        <f>IFERROR(__xludf.DUMMYFUNCTION("""COMPUTED_VALUE"""),8657372.0)</f>
        <v>8657372</v>
      </c>
      <c r="B1046" s="166" t="str">
        <f>IFERROR(__xludf.DUMMYFUNCTION("""COMPUTED_VALUE"""),"BookingCom")</f>
        <v>BookingCom</v>
      </c>
      <c r="C1046" s="166" t="str">
        <f>IFERROR(__xludf.DUMMYFUNCTION("""COMPUTED_VALUE"""),"Rebeca Escobedo Romero ")</f>
        <v>Rebeca Escobedo Romero </v>
      </c>
      <c r="D1046" s="165">
        <f>IFERROR(__xludf.DUMMYFUNCTION("""COMPUTED_VALUE"""),46195.0)</f>
        <v>46195</v>
      </c>
      <c r="E1046" s="165">
        <f>IFERROR(__xludf.DUMMYFUNCTION("""COMPUTED_VALUE"""),46196.0)</f>
        <v>46196</v>
      </c>
      <c r="F1046" s="377">
        <f>IFERROR(__xludf.DUMMYFUNCTION("""COMPUTED_VALUE"""),1.0)</f>
        <v>1</v>
      </c>
      <c r="G1046" s="377">
        <f>IFERROR(__xludf.DUMMYFUNCTION("""COMPUTED_VALUE"""),2.0)</f>
        <v>2</v>
      </c>
      <c r="H1046" s="378">
        <f>IFERROR(__xludf.DUMMYFUNCTION("""COMPUTED_VALUE"""),125.09)</f>
        <v>125.09</v>
      </c>
      <c r="I1046" s="378">
        <f>IFERROR(__xludf.DUMMYFUNCTION("""COMPUTED_VALUE"""),100.072)</f>
        <v>100.072</v>
      </c>
      <c r="J1046" s="377"/>
      <c r="K1046" s="166"/>
      <c r="L1046" s="166"/>
      <c r="M1046" s="166"/>
      <c r="N1046" s="170"/>
      <c r="O1046" s="171"/>
      <c r="P1046" s="171"/>
      <c r="Q1046" s="172"/>
      <c r="R1046" s="173"/>
      <c r="S1046" s="173"/>
      <c r="T1046" s="173"/>
      <c r="U1046" s="174"/>
      <c r="V1046" s="16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</row>
    <row r="1047">
      <c r="A1047" s="165">
        <f>IFERROR(__xludf.DUMMYFUNCTION("""COMPUTED_VALUE"""),8657372.0)</f>
        <v>8657372</v>
      </c>
      <c r="B1047" s="166" t="str">
        <f>IFERROR(__xludf.DUMMYFUNCTION("""COMPUTED_VALUE"""),"BookingCom")</f>
        <v>BookingCom</v>
      </c>
      <c r="C1047" s="166" t="str">
        <f>IFERROR(__xludf.DUMMYFUNCTION("""COMPUTED_VALUE"""),"Rebeca Escobedo Romero ")</f>
        <v>Rebeca Escobedo Romero </v>
      </c>
      <c r="D1047" s="165">
        <f>IFERROR(__xludf.DUMMYFUNCTION("""COMPUTED_VALUE"""),46195.0)</f>
        <v>46195</v>
      </c>
      <c r="E1047" s="165">
        <f>IFERROR(__xludf.DUMMYFUNCTION("""COMPUTED_VALUE"""),46196.0)</f>
        <v>46196</v>
      </c>
      <c r="F1047" s="377">
        <f>IFERROR(__xludf.DUMMYFUNCTION("""COMPUTED_VALUE"""),1.0)</f>
        <v>1</v>
      </c>
      <c r="G1047" s="377">
        <f>IFERROR(__xludf.DUMMYFUNCTION("""COMPUTED_VALUE"""),2.0)</f>
        <v>2</v>
      </c>
      <c r="H1047" s="378">
        <f>IFERROR(__xludf.DUMMYFUNCTION("""COMPUTED_VALUE"""),138.0)</f>
        <v>138</v>
      </c>
      <c r="I1047" s="378">
        <f>IFERROR(__xludf.DUMMYFUNCTION("""COMPUTED_VALUE"""),110.4)</f>
        <v>110.4</v>
      </c>
      <c r="J1047" s="377"/>
      <c r="K1047" s="166"/>
      <c r="L1047" s="166"/>
      <c r="M1047" s="166"/>
      <c r="N1047" s="170"/>
      <c r="O1047" s="171"/>
      <c r="P1047" s="171"/>
      <c r="Q1047" s="172"/>
      <c r="R1047" s="173"/>
      <c r="S1047" s="173"/>
      <c r="T1047" s="173"/>
      <c r="U1047" s="174"/>
      <c r="V1047" s="16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  <c r="AH1047" s="35"/>
      <c r="AI1047" s="35"/>
    </row>
    <row r="1048">
      <c r="A1048" s="165">
        <f>IFERROR(__xludf.DUMMYFUNCTION("""COMPUTED_VALUE"""),8658076.0)</f>
        <v>8658076</v>
      </c>
      <c r="B1048" s="166" t="str">
        <f>IFERROR(__xludf.DUMMYFUNCTION("""COMPUTED_VALUE"""),"BookingCom")</f>
        <v>BookingCom</v>
      </c>
      <c r="C1048" s="166" t="str">
        <f>IFERROR(__xludf.DUMMYFUNCTION("""COMPUTED_VALUE"""),"Julien Fosserat ")</f>
        <v>Julien Fosserat </v>
      </c>
      <c r="D1048" s="165">
        <f>IFERROR(__xludf.DUMMYFUNCTION("""COMPUTED_VALUE"""),46274.0)</f>
        <v>46274</v>
      </c>
      <c r="E1048" s="165">
        <f>IFERROR(__xludf.DUMMYFUNCTION("""COMPUTED_VALUE"""),46275.0)</f>
        <v>46275</v>
      </c>
      <c r="F1048" s="377">
        <f>IFERROR(__xludf.DUMMYFUNCTION("""COMPUTED_VALUE"""),1.0)</f>
        <v>1</v>
      </c>
      <c r="G1048" s="377">
        <f>IFERROR(__xludf.DUMMYFUNCTION("""COMPUTED_VALUE"""),2.0)</f>
        <v>2</v>
      </c>
      <c r="H1048" s="378">
        <f>IFERROR(__xludf.DUMMYFUNCTION("""COMPUTED_VALUE"""),139.84)</f>
        <v>139.84</v>
      </c>
      <c r="I1048" s="378">
        <f>IFERROR(__xludf.DUMMYFUNCTION("""COMPUTED_VALUE"""),111.87200000000001)</f>
        <v>111.872</v>
      </c>
      <c r="J1048" s="377"/>
      <c r="K1048" s="166"/>
      <c r="L1048" s="166"/>
      <c r="M1048" s="166"/>
      <c r="N1048" s="170"/>
      <c r="O1048" s="171"/>
      <c r="P1048" s="171"/>
      <c r="Q1048" s="172"/>
      <c r="R1048" s="173"/>
      <c r="S1048" s="173"/>
      <c r="T1048" s="173"/>
      <c r="U1048" s="174"/>
      <c r="V1048" s="16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</row>
    <row r="1049">
      <c r="A1049" s="165">
        <f>IFERROR(__xludf.DUMMYFUNCTION("""COMPUTED_VALUE"""),8659738.0)</f>
        <v>8659738</v>
      </c>
      <c r="B1049" s="166" t="str">
        <f>IFERROR(__xludf.DUMMYFUNCTION("""COMPUTED_VALUE"""),"BookingCom")</f>
        <v>BookingCom</v>
      </c>
      <c r="C1049" s="166" t="str">
        <f>IFERROR(__xludf.DUMMYFUNCTION("""COMPUTED_VALUE"""),"amal karim ep TALBY ")</f>
        <v>amal karim ep TALBY </v>
      </c>
      <c r="D1049" s="165">
        <f>IFERROR(__xludf.DUMMYFUNCTION("""COMPUTED_VALUE"""),46182.0)</f>
        <v>46182</v>
      </c>
      <c r="E1049" s="165">
        <f>IFERROR(__xludf.DUMMYFUNCTION("""COMPUTED_VALUE"""),46184.0)</f>
        <v>46184</v>
      </c>
      <c r="F1049" s="377">
        <f>IFERROR(__xludf.DUMMYFUNCTION("""COMPUTED_VALUE"""),2.0)</f>
        <v>2</v>
      </c>
      <c r="G1049" s="377">
        <f>IFERROR(__xludf.DUMMYFUNCTION("""COMPUTED_VALUE"""),1.0)</f>
        <v>1</v>
      </c>
      <c r="H1049" s="378">
        <f>IFERROR(__xludf.DUMMYFUNCTION("""COMPUTED_VALUE"""),166.46)</f>
        <v>166.46</v>
      </c>
      <c r="I1049" s="378">
        <f>IFERROR(__xludf.DUMMYFUNCTION("""COMPUTED_VALUE"""),266.336)</f>
        <v>266.336</v>
      </c>
      <c r="J1049" s="377"/>
      <c r="K1049" s="166"/>
      <c r="L1049" s="166"/>
      <c r="M1049" s="166"/>
      <c r="N1049" s="170"/>
      <c r="O1049" s="171"/>
      <c r="P1049" s="171"/>
      <c r="Q1049" s="172"/>
      <c r="R1049" s="173"/>
      <c r="S1049" s="173"/>
      <c r="T1049" s="173"/>
      <c r="U1049" s="174"/>
      <c r="V1049" s="16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</row>
    <row r="1050">
      <c r="A1050" s="165">
        <f>IFERROR(__xludf.DUMMYFUNCTION("""COMPUTED_VALUE"""),8660031.0)</f>
        <v>8660031</v>
      </c>
      <c r="B1050" s="166" t="str">
        <f>IFERROR(__xludf.DUMMYFUNCTION("""COMPUTED_VALUE"""),"BookingCom")</f>
        <v>BookingCom</v>
      </c>
      <c r="C1050" s="166" t="str">
        <f>IFERROR(__xludf.DUMMYFUNCTION("""COMPUTED_VALUE"""),"Bellaton Sophie ")</f>
        <v>Bellaton Sophie </v>
      </c>
      <c r="D1050" s="165">
        <f>IFERROR(__xludf.DUMMYFUNCTION("""COMPUTED_VALUE"""),46192.0)</f>
        <v>46192</v>
      </c>
      <c r="E1050" s="165">
        <f>IFERROR(__xludf.DUMMYFUNCTION("""COMPUTED_VALUE"""),46193.0)</f>
        <v>46193</v>
      </c>
      <c r="F1050" s="377">
        <f>IFERROR(__xludf.DUMMYFUNCTION("""COMPUTED_VALUE"""),1.0)</f>
        <v>1</v>
      </c>
      <c r="G1050" s="377">
        <f>IFERROR(__xludf.DUMMYFUNCTION("""COMPUTED_VALUE"""),2.0)</f>
        <v>2</v>
      </c>
      <c r="H1050" s="378">
        <f>IFERROR(__xludf.DUMMYFUNCTION("""COMPUTED_VALUE"""),175.39999999999998)</f>
        <v>175.4</v>
      </c>
      <c r="I1050" s="378">
        <f>IFERROR(__xludf.DUMMYFUNCTION("""COMPUTED_VALUE"""),140.32)</f>
        <v>140.32</v>
      </c>
      <c r="J1050" s="377"/>
      <c r="K1050" s="166"/>
      <c r="L1050" s="166"/>
      <c r="M1050" s="166"/>
      <c r="N1050" s="170"/>
      <c r="O1050" s="171"/>
      <c r="P1050" s="171"/>
      <c r="Q1050" s="172"/>
      <c r="R1050" s="173"/>
      <c r="S1050" s="173"/>
      <c r="T1050" s="173"/>
      <c r="U1050" s="174"/>
      <c r="V1050" s="165"/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</row>
    <row r="1051">
      <c r="A1051" s="165">
        <f>IFERROR(__xludf.DUMMYFUNCTION("""COMPUTED_VALUE"""),8661154.0)</f>
        <v>8661154</v>
      </c>
      <c r="B1051" s="166" t="str">
        <f>IFERROR(__xludf.DUMMYFUNCTION("""COMPUTED_VALUE"""),"BookingCom")</f>
        <v>BookingCom</v>
      </c>
      <c r="C1051" s="166" t="str">
        <f>IFERROR(__xludf.DUMMYFUNCTION("""COMPUTED_VALUE"""),"KEIJIRO KONDO ")</f>
        <v>KEIJIRO KONDO </v>
      </c>
      <c r="D1051" s="165">
        <f>IFERROR(__xludf.DUMMYFUNCTION("""COMPUTED_VALUE"""),46339.0)</f>
        <v>46339</v>
      </c>
      <c r="E1051" s="165">
        <f>IFERROR(__xludf.DUMMYFUNCTION("""COMPUTED_VALUE"""),46340.0)</f>
        <v>46340</v>
      </c>
      <c r="F1051" s="377">
        <f>IFERROR(__xludf.DUMMYFUNCTION("""COMPUTED_VALUE"""),1.0)</f>
        <v>1</v>
      </c>
      <c r="G1051" s="377">
        <f>IFERROR(__xludf.DUMMYFUNCTION("""COMPUTED_VALUE"""),3.0)</f>
        <v>3</v>
      </c>
      <c r="H1051" s="378">
        <f>IFERROR(__xludf.DUMMYFUNCTION("""COMPUTED_VALUE"""),165.15)</f>
        <v>165.15</v>
      </c>
      <c r="I1051" s="378">
        <f>IFERROR(__xludf.DUMMYFUNCTION("""COMPUTED_VALUE"""),132.12)</f>
        <v>132.12</v>
      </c>
      <c r="J1051" s="377"/>
      <c r="K1051" s="166"/>
      <c r="L1051" s="166"/>
      <c r="M1051" s="205"/>
      <c r="N1051" s="170"/>
      <c r="O1051" s="171"/>
      <c r="P1051" s="171"/>
      <c r="Q1051" s="172"/>
      <c r="R1051" s="173"/>
      <c r="S1051" s="173"/>
      <c r="T1051" s="260"/>
      <c r="U1051" s="261"/>
      <c r="V1051" s="251"/>
      <c r="W1051" s="188"/>
      <c r="X1051" s="188"/>
      <c r="Y1051" s="188"/>
      <c r="Z1051" s="188"/>
      <c r="AA1051" s="188"/>
      <c r="AB1051" s="188"/>
      <c r="AC1051" s="188"/>
      <c r="AD1051" s="188"/>
      <c r="AE1051" s="188"/>
      <c r="AF1051" s="188"/>
      <c r="AG1051" s="188"/>
      <c r="AH1051" s="188"/>
      <c r="AI1051" s="188"/>
    </row>
    <row r="1052">
      <c r="A1052" s="165">
        <f>IFERROR(__xludf.DUMMYFUNCTION("""COMPUTED_VALUE"""),8663752.0)</f>
        <v>8663752</v>
      </c>
      <c r="B1052" s="166" t="str">
        <f>IFERROR(__xludf.DUMMYFUNCTION("""COMPUTED_VALUE"""),"BookingCom")</f>
        <v>BookingCom</v>
      </c>
      <c r="C1052" s="166" t="str">
        <f>IFERROR(__xludf.DUMMYFUNCTION("""COMPUTED_VALUE"""),"Marco Corbetta ")</f>
        <v>Marco Corbetta </v>
      </c>
      <c r="D1052" s="165">
        <f>IFERROR(__xludf.DUMMYFUNCTION("""COMPUTED_VALUE"""),46297.0)</f>
        <v>46297</v>
      </c>
      <c r="E1052" s="165">
        <f>IFERROR(__xludf.DUMMYFUNCTION("""COMPUTED_VALUE"""),46301.0)</f>
        <v>46301</v>
      </c>
      <c r="F1052" s="377">
        <f>IFERROR(__xludf.DUMMYFUNCTION("""COMPUTED_VALUE"""),4.0)</f>
        <v>4</v>
      </c>
      <c r="G1052" s="377">
        <f>IFERROR(__xludf.DUMMYFUNCTION("""COMPUTED_VALUE"""),2.0)</f>
        <v>2</v>
      </c>
      <c r="H1052" s="378">
        <f>IFERROR(__xludf.DUMMYFUNCTION("""COMPUTED_VALUE"""),167.25)</f>
        <v>167.25</v>
      </c>
      <c r="I1052" s="378">
        <f>IFERROR(__xludf.DUMMYFUNCTION("""COMPUTED_VALUE"""),535.2)</f>
        <v>535.2</v>
      </c>
      <c r="J1052" s="377"/>
      <c r="K1052" s="166"/>
      <c r="L1052" s="166"/>
      <c r="M1052" s="166"/>
      <c r="N1052" s="170"/>
      <c r="O1052" s="171"/>
      <c r="P1052" s="171"/>
      <c r="Q1052" s="172"/>
      <c r="R1052" s="173"/>
      <c r="S1052" s="173"/>
      <c r="T1052" s="173"/>
      <c r="U1052" s="174"/>
      <c r="V1052" s="16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</row>
    <row r="1053">
      <c r="A1053" s="165">
        <f>IFERROR(__xludf.DUMMYFUNCTION("""COMPUTED_VALUE"""),8665570.0)</f>
        <v>8665570</v>
      </c>
      <c r="B1053" s="166" t="str">
        <f>IFERROR(__xludf.DUMMYFUNCTION("""COMPUTED_VALUE"""),"BookingCom")</f>
        <v>BookingCom</v>
      </c>
      <c r="C1053" s="166" t="str">
        <f>IFERROR(__xludf.DUMMYFUNCTION("""COMPUTED_VALUE"""),"Michael Roots ")</f>
        <v>Michael Roots </v>
      </c>
      <c r="D1053" s="165">
        <f>IFERROR(__xludf.DUMMYFUNCTION("""COMPUTED_VALUE"""),46353.0)</f>
        <v>46353</v>
      </c>
      <c r="E1053" s="165">
        <f>IFERROR(__xludf.DUMMYFUNCTION("""COMPUTED_VALUE"""),46357.0)</f>
        <v>46357</v>
      </c>
      <c r="F1053" s="377">
        <f>IFERROR(__xludf.DUMMYFUNCTION("""COMPUTED_VALUE"""),4.0)</f>
        <v>4</v>
      </c>
      <c r="G1053" s="377">
        <f>IFERROR(__xludf.DUMMYFUNCTION("""COMPUTED_VALUE"""),2.0)</f>
        <v>2</v>
      </c>
      <c r="H1053" s="378">
        <f>IFERROR(__xludf.DUMMYFUNCTION("""COMPUTED_VALUE"""),170.9)</f>
        <v>170.9</v>
      </c>
      <c r="I1053" s="378">
        <f>IFERROR(__xludf.DUMMYFUNCTION("""COMPUTED_VALUE"""),546.88)</f>
        <v>546.88</v>
      </c>
      <c r="J1053" s="377"/>
      <c r="K1053" s="166"/>
      <c r="L1053" s="166"/>
      <c r="M1053" s="166"/>
      <c r="N1053" s="170"/>
      <c r="O1053" s="171"/>
      <c r="P1053" s="171"/>
      <c r="Q1053" s="172"/>
      <c r="R1053" s="173"/>
      <c r="S1053" s="173"/>
      <c r="T1053" s="173"/>
      <c r="U1053" s="174"/>
      <c r="V1053" s="210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</row>
    <row r="1054">
      <c r="A1054" s="165">
        <f>IFERROR(__xludf.DUMMYFUNCTION("""COMPUTED_VALUE"""),8669313.0)</f>
        <v>8669313</v>
      </c>
      <c r="B1054" s="166" t="str">
        <f>IFERROR(__xludf.DUMMYFUNCTION("""COMPUTED_VALUE"""),"BookingCom")</f>
        <v>BookingCom</v>
      </c>
      <c r="C1054" s="166" t="str">
        <f>IFERROR(__xludf.DUMMYFUNCTION("""COMPUTED_VALUE"""),"Corina Brupbacher-Sahli ")</f>
        <v>Corina Brupbacher-Sahli </v>
      </c>
      <c r="D1054" s="165">
        <f>IFERROR(__xludf.DUMMYFUNCTION("""COMPUTED_VALUE"""),46186.0)</f>
        <v>46186</v>
      </c>
      <c r="E1054" s="165">
        <f>IFERROR(__xludf.DUMMYFUNCTION("""COMPUTED_VALUE"""),46187.0)</f>
        <v>46187</v>
      </c>
      <c r="F1054" s="377">
        <f>IFERROR(__xludf.DUMMYFUNCTION("""COMPUTED_VALUE"""),1.0)</f>
        <v>1</v>
      </c>
      <c r="G1054" s="377">
        <f>IFERROR(__xludf.DUMMYFUNCTION("""COMPUTED_VALUE"""),2.0)</f>
        <v>2</v>
      </c>
      <c r="H1054" s="378">
        <f>IFERROR(__xludf.DUMMYFUNCTION("""COMPUTED_VALUE"""),146.0)</f>
        <v>146</v>
      </c>
      <c r="I1054" s="378">
        <f>IFERROR(__xludf.DUMMYFUNCTION("""COMPUTED_VALUE"""),116.80000000000001)</f>
        <v>116.8</v>
      </c>
      <c r="J1054" s="377"/>
      <c r="K1054" s="166"/>
      <c r="L1054" s="166"/>
      <c r="M1054" s="166"/>
      <c r="N1054" s="170"/>
      <c r="O1054" s="171"/>
      <c r="P1054" s="171"/>
      <c r="Q1054" s="172"/>
      <c r="R1054" s="173"/>
      <c r="S1054" s="173"/>
      <c r="T1054" s="173"/>
      <c r="U1054" s="174"/>
      <c r="V1054" s="16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</row>
    <row r="1055">
      <c r="A1055" s="165">
        <f>IFERROR(__xludf.DUMMYFUNCTION("""COMPUTED_VALUE"""),8669810.0)</f>
        <v>8669810</v>
      </c>
      <c r="B1055" s="166" t="str">
        <f>IFERROR(__xludf.DUMMYFUNCTION("""COMPUTED_VALUE"""),"Reseliva Pannel")</f>
        <v>Reseliva Pannel</v>
      </c>
      <c r="C1055" s="166" t="str">
        <f>IFERROR(__xludf.DUMMYFUNCTION("""COMPUTED_VALUE"""),"Elloise Farrow-Smith ")</f>
        <v>Elloise Farrow-Smith </v>
      </c>
      <c r="D1055" s="165">
        <f>IFERROR(__xludf.DUMMYFUNCTION("""COMPUTED_VALUE"""),46182.0)</f>
        <v>46182</v>
      </c>
      <c r="E1055" s="165">
        <f>IFERROR(__xludf.DUMMYFUNCTION("""COMPUTED_VALUE"""),46184.0)</f>
        <v>46184</v>
      </c>
      <c r="F1055" s="377">
        <f>IFERROR(__xludf.DUMMYFUNCTION("""COMPUTED_VALUE"""),2.0)</f>
        <v>2</v>
      </c>
      <c r="G1055" s="377">
        <f>IFERROR(__xludf.DUMMYFUNCTION("""COMPUTED_VALUE"""),2.0)</f>
        <v>2</v>
      </c>
      <c r="H1055" s="378">
        <f>IFERROR(__xludf.DUMMYFUNCTION("""COMPUTED_VALUE"""),472.32)</f>
        <v>472.32</v>
      </c>
      <c r="I1055" s="378">
        <f>IFERROR(__xludf.DUMMYFUNCTION("""COMPUTED_VALUE"""),944.64)</f>
        <v>944.64</v>
      </c>
      <c r="J1055" s="377"/>
      <c r="K1055" s="166"/>
      <c r="L1055" s="166"/>
      <c r="M1055" s="166"/>
      <c r="N1055" s="170"/>
      <c r="O1055" s="171"/>
      <c r="P1055" s="171"/>
      <c r="Q1055" s="172"/>
      <c r="R1055" s="173"/>
      <c r="S1055" s="173"/>
      <c r="T1055" s="173"/>
      <c r="U1055" s="174"/>
      <c r="V1055" s="165"/>
      <c r="W1055" s="188"/>
      <c r="X1055" s="188"/>
      <c r="Y1055" s="188"/>
      <c r="Z1055" s="188"/>
      <c r="AA1055" s="188"/>
      <c r="AB1055" s="188"/>
      <c r="AC1055" s="188"/>
      <c r="AD1055" s="188"/>
      <c r="AE1055" s="188"/>
      <c r="AF1055" s="188"/>
      <c r="AG1055" s="188"/>
      <c r="AH1055" s="188"/>
      <c r="AI1055" s="188"/>
    </row>
    <row r="1056">
      <c r="A1056" s="165">
        <f>IFERROR(__xludf.DUMMYFUNCTION("""COMPUTED_VALUE"""),8669818.0)</f>
        <v>8669818</v>
      </c>
      <c r="B1056" s="166" t="str">
        <f>IFERROR(__xludf.DUMMYFUNCTION("""COMPUTED_VALUE"""),"Reseliva Pannel")</f>
        <v>Reseliva Pannel</v>
      </c>
      <c r="C1056" s="166" t="str">
        <f>IFERROR(__xludf.DUMMYFUNCTION("""COMPUTED_VALUE"""),"Farrow-Smith Farrow-Smith ")</f>
        <v>Farrow-Smith Farrow-Smith </v>
      </c>
      <c r="D1056" s="165">
        <f>IFERROR(__xludf.DUMMYFUNCTION("""COMPUTED_VALUE"""),46181.0)</f>
        <v>46181</v>
      </c>
      <c r="E1056" s="165">
        <f>IFERROR(__xludf.DUMMYFUNCTION("""COMPUTED_VALUE"""),46182.0)</f>
        <v>46182</v>
      </c>
      <c r="F1056" s="377">
        <f>IFERROR(__xludf.DUMMYFUNCTION("""COMPUTED_VALUE"""),1.0)</f>
        <v>1</v>
      </c>
      <c r="G1056" s="377">
        <f>IFERROR(__xludf.DUMMYFUNCTION("""COMPUTED_VALUE"""),2.0)</f>
        <v>2</v>
      </c>
      <c r="H1056" s="378">
        <f>IFERROR(__xludf.DUMMYFUNCTION("""COMPUTED_VALUE"""),243.36)</f>
        <v>243.36</v>
      </c>
      <c r="I1056" s="378">
        <f>IFERROR(__xludf.DUMMYFUNCTION("""COMPUTED_VALUE"""),243.36)</f>
        <v>243.36</v>
      </c>
      <c r="J1056" s="377"/>
      <c r="K1056" s="166"/>
      <c r="L1056" s="166"/>
      <c r="M1056" s="166"/>
      <c r="N1056" s="170"/>
      <c r="O1056" s="171"/>
      <c r="P1056" s="171"/>
      <c r="Q1056" s="172"/>
      <c r="R1056" s="173"/>
      <c r="S1056" s="173"/>
      <c r="T1056" s="173"/>
      <c r="U1056" s="174"/>
      <c r="V1056" s="16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</row>
    <row r="1057">
      <c r="A1057" s="165">
        <f>IFERROR(__xludf.DUMMYFUNCTION("""COMPUTED_VALUE"""),8671465.0)</f>
        <v>8671465</v>
      </c>
      <c r="B1057" s="166" t="str">
        <f>IFERROR(__xludf.DUMMYFUNCTION("""COMPUTED_VALUE"""),"BookingCom")</f>
        <v>BookingCom</v>
      </c>
      <c r="C1057" s="166" t="str">
        <f>IFERROR(__xludf.DUMMYFUNCTION("""COMPUTED_VALUE"""),"Leonie Siessl ")</f>
        <v>Leonie Siessl </v>
      </c>
      <c r="D1057" s="165">
        <f>IFERROR(__xludf.DUMMYFUNCTION("""COMPUTED_VALUE"""),46199.0)</f>
        <v>46199</v>
      </c>
      <c r="E1057" s="165">
        <f>IFERROR(__xludf.DUMMYFUNCTION("""COMPUTED_VALUE"""),46200.0)</f>
        <v>46200</v>
      </c>
      <c r="F1057" s="377">
        <f>IFERROR(__xludf.DUMMYFUNCTION("""COMPUTED_VALUE"""),1.0)</f>
        <v>1</v>
      </c>
      <c r="G1057" s="377">
        <f>IFERROR(__xludf.DUMMYFUNCTION("""COMPUTED_VALUE"""),2.0)</f>
        <v>2</v>
      </c>
      <c r="H1057" s="378">
        <f>IFERROR(__xludf.DUMMYFUNCTION("""COMPUTED_VALUE"""),115.07)</f>
        <v>115.07</v>
      </c>
      <c r="I1057" s="378">
        <f>IFERROR(__xludf.DUMMYFUNCTION("""COMPUTED_VALUE"""),92.056)</f>
        <v>92.056</v>
      </c>
      <c r="J1057" s="377"/>
      <c r="K1057" s="166"/>
      <c r="L1057" s="166"/>
      <c r="M1057" s="166"/>
      <c r="N1057" s="170"/>
      <c r="O1057" s="171"/>
      <c r="P1057" s="171"/>
      <c r="Q1057" s="172"/>
      <c r="R1057" s="173"/>
      <c r="S1057" s="173"/>
      <c r="T1057" s="173"/>
      <c r="U1057" s="174"/>
      <c r="V1057" s="16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</row>
    <row r="1058">
      <c r="A1058" s="165">
        <f>IFERROR(__xludf.DUMMYFUNCTION("""COMPUTED_VALUE"""),8672848.0)</f>
        <v>8672848</v>
      </c>
      <c r="B1058" s="166" t="str">
        <f>IFERROR(__xludf.DUMMYFUNCTION("""COMPUTED_VALUE"""),"Reseliva Pannel")</f>
        <v>Reseliva Pannel</v>
      </c>
      <c r="C1058" s="166" t="str">
        <f>IFERROR(__xludf.DUMMYFUNCTION("""COMPUTED_VALUE"""),"Elloise Farrow Smith ")</f>
        <v>Elloise Farrow Smith </v>
      </c>
      <c r="D1058" s="165">
        <f>IFERROR(__xludf.DUMMYFUNCTION("""COMPUTED_VALUE"""),46186.0)</f>
        <v>46186</v>
      </c>
      <c r="E1058" s="165">
        <f>IFERROR(__xludf.DUMMYFUNCTION("""COMPUTED_VALUE"""),46187.0)</f>
        <v>46187</v>
      </c>
      <c r="F1058" s="377">
        <f>IFERROR(__xludf.DUMMYFUNCTION("""COMPUTED_VALUE"""),1.0)</f>
        <v>1</v>
      </c>
      <c r="G1058" s="377">
        <f>IFERROR(__xludf.DUMMYFUNCTION("""COMPUTED_VALUE"""),2.0)</f>
        <v>2</v>
      </c>
      <c r="H1058" s="378">
        <f>IFERROR(__xludf.DUMMYFUNCTION("""COMPUTED_VALUE"""),243.36)</f>
        <v>243.36</v>
      </c>
      <c r="I1058" s="378">
        <f>IFERROR(__xludf.DUMMYFUNCTION("""COMPUTED_VALUE"""),243.36)</f>
        <v>243.36</v>
      </c>
      <c r="J1058" s="377"/>
      <c r="K1058" s="166"/>
      <c r="L1058" s="166"/>
      <c r="M1058" s="205"/>
      <c r="N1058" s="170"/>
      <c r="O1058" s="171"/>
      <c r="P1058" s="171"/>
      <c r="Q1058" s="172"/>
      <c r="R1058" s="173"/>
      <c r="S1058" s="173"/>
      <c r="T1058" s="173"/>
      <c r="U1058" s="174"/>
      <c r="V1058" s="165"/>
      <c r="W1058" s="188"/>
      <c r="X1058" s="188"/>
      <c r="Y1058" s="188"/>
      <c r="Z1058" s="188"/>
      <c r="AA1058" s="188"/>
      <c r="AB1058" s="188"/>
      <c r="AC1058" s="188"/>
      <c r="AD1058" s="188"/>
      <c r="AE1058" s="188"/>
      <c r="AF1058" s="188"/>
      <c r="AG1058" s="188"/>
      <c r="AH1058" s="188"/>
      <c r="AI1058" s="188"/>
    </row>
    <row r="1059">
      <c r="A1059" s="165">
        <f>IFERROR(__xludf.DUMMYFUNCTION("""COMPUTED_VALUE"""),8674683.0)</f>
        <v>8674683</v>
      </c>
      <c r="B1059" s="166" t="str">
        <f>IFERROR(__xludf.DUMMYFUNCTION("""COMPUTED_VALUE"""),"BookingCom")</f>
        <v>BookingCom</v>
      </c>
      <c r="C1059" s="166" t="str">
        <f>IFERROR(__xludf.DUMMYFUNCTION("""COMPUTED_VALUE"""),"Gaelle MAMDOUH ")</f>
        <v>Gaelle MAMDOUH </v>
      </c>
      <c r="D1059" s="165">
        <f>IFERROR(__xludf.DUMMYFUNCTION("""COMPUTED_VALUE"""),46228.0)</f>
        <v>46228</v>
      </c>
      <c r="E1059" s="165">
        <f>IFERROR(__xludf.DUMMYFUNCTION("""COMPUTED_VALUE"""),46230.0)</f>
        <v>46230</v>
      </c>
      <c r="F1059" s="377">
        <f>IFERROR(__xludf.DUMMYFUNCTION("""COMPUTED_VALUE"""),2.0)</f>
        <v>2</v>
      </c>
      <c r="G1059" s="377">
        <f>IFERROR(__xludf.DUMMYFUNCTION("""COMPUTED_VALUE"""),2.0)</f>
        <v>2</v>
      </c>
      <c r="H1059" s="378">
        <f>IFERROR(__xludf.DUMMYFUNCTION("""COMPUTED_VALUE"""),116.61)</f>
        <v>116.61</v>
      </c>
      <c r="I1059" s="378">
        <f>IFERROR(__xludf.DUMMYFUNCTION("""COMPUTED_VALUE"""),186.57600000000002)</f>
        <v>186.576</v>
      </c>
      <c r="J1059" s="377"/>
      <c r="K1059" s="166"/>
      <c r="L1059" s="166"/>
      <c r="M1059" s="166"/>
      <c r="N1059" s="170"/>
      <c r="O1059" s="171"/>
      <c r="P1059" s="171"/>
      <c r="Q1059" s="172"/>
      <c r="R1059" s="173"/>
      <c r="S1059" s="173"/>
      <c r="T1059" s="173"/>
      <c r="U1059" s="174"/>
      <c r="V1059" s="16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</row>
    <row r="1060">
      <c r="A1060" s="165">
        <f>IFERROR(__xludf.DUMMYFUNCTION("""COMPUTED_VALUE"""),8677048.0)</f>
        <v>8677048</v>
      </c>
      <c r="B1060" s="166" t="str">
        <f>IFERROR(__xludf.DUMMYFUNCTION("""COMPUTED_VALUE"""),"BookingCom")</f>
        <v>BookingCom</v>
      </c>
      <c r="C1060" s="166" t="str">
        <f>IFERROR(__xludf.DUMMYFUNCTION("""COMPUTED_VALUE"""),"Sandrine Schwertler ")</f>
        <v>Sandrine Schwertler </v>
      </c>
      <c r="D1060" s="165">
        <f>IFERROR(__xludf.DUMMYFUNCTION("""COMPUTED_VALUE"""),46306.0)</f>
        <v>46306</v>
      </c>
      <c r="E1060" s="165">
        <f>IFERROR(__xludf.DUMMYFUNCTION("""COMPUTED_VALUE"""),46307.0)</f>
        <v>46307</v>
      </c>
      <c r="F1060" s="377">
        <f>IFERROR(__xludf.DUMMYFUNCTION("""COMPUTED_VALUE"""),1.0)</f>
        <v>1</v>
      </c>
      <c r="G1060" s="377">
        <f>IFERROR(__xludf.DUMMYFUNCTION("""COMPUTED_VALUE"""),3.0)</f>
        <v>3</v>
      </c>
      <c r="H1060" s="378">
        <f>IFERROR(__xludf.DUMMYFUNCTION("""COMPUTED_VALUE"""),182.02)</f>
        <v>182.02</v>
      </c>
      <c r="I1060" s="378">
        <f>IFERROR(__xludf.DUMMYFUNCTION("""COMPUTED_VALUE"""),145.616)</f>
        <v>145.616</v>
      </c>
      <c r="J1060" s="377"/>
      <c r="K1060" s="166"/>
      <c r="L1060" s="166"/>
      <c r="M1060" s="205"/>
      <c r="N1060" s="170"/>
      <c r="O1060" s="171"/>
      <c r="P1060" s="171"/>
      <c r="Q1060" s="172"/>
      <c r="R1060" s="173"/>
      <c r="S1060" s="173"/>
      <c r="T1060" s="173"/>
      <c r="U1060" s="174"/>
      <c r="V1060" s="16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</row>
    <row r="1061">
      <c r="A1061" s="165">
        <f>IFERROR(__xludf.DUMMYFUNCTION("""COMPUTED_VALUE"""),8677436.0)</f>
        <v>8677436</v>
      </c>
      <c r="B1061" s="166" t="str">
        <f>IFERROR(__xludf.DUMMYFUNCTION("""COMPUTED_VALUE"""),"BookingCom")</f>
        <v>BookingCom</v>
      </c>
      <c r="C1061" s="166" t="str">
        <f>IFERROR(__xludf.DUMMYFUNCTION("""COMPUTED_VALUE"""),"Tom Eiberger ")</f>
        <v>Tom Eiberger </v>
      </c>
      <c r="D1061" s="165">
        <f>IFERROR(__xludf.DUMMYFUNCTION("""COMPUTED_VALUE"""),46305.0)</f>
        <v>46305</v>
      </c>
      <c r="E1061" s="165">
        <f>IFERROR(__xludf.DUMMYFUNCTION("""COMPUTED_VALUE"""),46306.0)</f>
        <v>46306</v>
      </c>
      <c r="F1061" s="377">
        <f>IFERROR(__xludf.DUMMYFUNCTION("""COMPUTED_VALUE"""),1.0)</f>
        <v>1</v>
      </c>
      <c r="G1061" s="377">
        <f>IFERROR(__xludf.DUMMYFUNCTION("""COMPUTED_VALUE"""),1.0)</f>
        <v>1</v>
      </c>
      <c r="H1061" s="378">
        <f>IFERROR(__xludf.DUMMYFUNCTION("""COMPUTED_VALUE"""),120.84)</f>
        <v>120.84</v>
      </c>
      <c r="I1061" s="378">
        <f>IFERROR(__xludf.DUMMYFUNCTION("""COMPUTED_VALUE"""),96.67200000000001)</f>
        <v>96.672</v>
      </c>
      <c r="J1061" s="377"/>
      <c r="K1061" s="166"/>
      <c r="L1061" s="166"/>
      <c r="M1061" s="166"/>
      <c r="N1061" s="170"/>
      <c r="O1061" s="171"/>
      <c r="P1061" s="171"/>
      <c r="Q1061" s="172"/>
      <c r="R1061" s="173"/>
      <c r="S1061" s="173"/>
      <c r="T1061" s="173"/>
      <c r="U1061" s="174"/>
      <c r="V1061" s="165"/>
      <c r="W1061" s="188"/>
      <c r="X1061" s="188"/>
      <c r="Y1061" s="188"/>
      <c r="Z1061" s="188"/>
      <c r="AA1061" s="188"/>
      <c r="AB1061" s="188"/>
      <c r="AC1061" s="188"/>
      <c r="AD1061" s="188"/>
      <c r="AE1061" s="188"/>
      <c r="AF1061" s="188"/>
      <c r="AG1061" s="188"/>
      <c r="AH1061" s="188"/>
      <c r="AI1061" s="188"/>
    </row>
    <row r="1062">
      <c r="A1062" s="165">
        <f>IFERROR(__xludf.DUMMYFUNCTION("""COMPUTED_VALUE"""),8677498.0)</f>
        <v>8677498</v>
      </c>
      <c r="B1062" s="166" t="str">
        <f>IFERROR(__xludf.DUMMYFUNCTION("""COMPUTED_VALUE"""),"BookingCom")</f>
        <v>BookingCom</v>
      </c>
      <c r="C1062" s="166" t="str">
        <f>IFERROR(__xludf.DUMMYFUNCTION("""COMPUTED_VALUE"""),"Tom Eiberger ")</f>
        <v>Tom Eiberger </v>
      </c>
      <c r="D1062" s="165">
        <f>IFERROR(__xludf.DUMMYFUNCTION("""COMPUTED_VALUE"""),46306.0)</f>
        <v>46306</v>
      </c>
      <c r="E1062" s="165">
        <f>IFERROR(__xludf.DUMMYFUNCTION("""COMPUTED_VALUE"""),46307.0)</f>
        <v>46307</v>
      </c>
      <c r="F1062" s="377">
        <f>IFERROR(__xludf.DUMMYFUNCTION("""COMPUTED_VALUE"""),1.0)</f>
        <v>1</v>
      </c>
      <c r="G1062" s="377">
        <f>IFERROR(__xludf.DUMMYFUNCTION("""COMPUTED_VALUE"""),1.0)</f>
        <v>1</v>
      </c>
      <c r="H1062" s="378">
        <f>IFERROR(__xludf.DUMMYFUNCTION("""COMPUTED_VALUE"""),147.25)</f>
        <v>147.25</v>
      </c>
      <c r="I1062" s="378">
        <f>IFERROR(__xludf.DUMMYFUNCTION("""COMPUTED_VALUE"""),117.80000000000001)</f>
        <v>117.8</v>
      </c>
      <c r="J1062" s="377"/>
      <c r="K1062" s="166"/>
      <c r="L1062" s="166"/>
      <c r="M1062" s="166"/>
      <c r="N1062" s="170"/>
      <c r="O1062" s="171"/>
      <c r="P1062" s="171"/>
      <c r="Q1062" s="172"/>
      <c r="R1062" s="173"/>
      <c r="S1062" s="173"/>
      <c r="T1062" s="173"/>
      <c r="U1062" s="174"/>
      <c r="V1062" s="16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  <c r="AH1062" s="35"/>
      <c r="AI1062" s="35"/>
    </row>
    <row r="1063">
      <c r="A1063" s="165">
        <f>IFERROR(__xludf.DUMMYFUNCTION("""COMPUTED_VALUE"""),8677498.0)</f>
        <v>8677498</v>
      </c>
      <c r="B1063" s="166" t="str">
        <f>IFERROR(__xludf.DUMMYFUNCTION("""COMPUTED_VALUE"""),"BookingCom")</f>
        <v>BookingCom</v>
      </c>
      <c r="C1063" s="166" t="str">
        <f>IFERROR(__xludf.DUMMYFUNCTION("""COMPUTED_VALUE"""),"Tom Eiberger ")</f>
        <v>Tom Eiberger </v>
      </c>
      <c r="D1063" s="165">
        <f>IFERROR(__xludf.DUMMYFUNCTION("""COMPUTED_VALUE"""),46306.0)</f>
        <v>46306</v>
      </c>
      <c r="E1063" s="165">
        <f>IFERROR(__xludf.DUMMYFUNCTION("""COMPUTED_VALUE"""),46307.0)</f>
        <v>46307</v>
      </c>
      <c r="F1063" s="377">
        <f>IFERROR(__xludf.DUMMYFUNCTION("""COMPUTED_VALUE"""),1.0)</f>
        <v>1</v>
      </c>
      <c r="G1063" s="377">
        <f>IFERROR(__xludf.DUMMYFUNCTION("""COMPUTED_VALUE"""),1.0)</f>
        <v>1</v>
      </c>
      <c r="H1063" s="378">
        <f>IFERROR(__xludf.DUMMYFUNCTION("""COMPUTED_VALUE"""),147.25)</f>
        <v>147.25</v>
      </c>
      <c r="I1063" s="378">
        <f>IFERROR(__xludf.DUMMYFUNCTION("""COMPUTED_VALUE"""),117.80000000000001)</f>
        <v>117.8</v>
      </c>
      <c r="J1063" s="377"/>
      <c r="K1063" s="166"/>
      <c r="L1063" s="166"/>
      <c r="M1063" s="205"/>
      <c r="N1063" s="170"/>
      <c r="O1063" s="171"/>
      <c r="P1063" s="171"/>
      <c r="Q1063" s="172"/>
      <c r="R1063" s="173"/>
      <c r="S1063" s="173"/>
      <c r="T1063" s="173"/>
      <c r="U1063" s="174"/>
      <c r="V1063" s="16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</row>
    <row r="1064">
      <c r="A1064" s="165">
        <f>IFERROR(__xludf.DUMMYFUNCTION("""COMPUTED_VALUE"""),8677498.0)</f>
        <v>8677498</v>
      </c>
      <c r="B1064" s="166" t="str">
        <f>IFERROR(__xludf.DUMMYFUNCTION("""COMPUTED_VALUE"""),"BookingCom")</f>
        <v>BookingCom</v>
      </c>
      <c r="C1064" s="166" t="str">
        <f>IFERROR(__xludf.DUMMYFUNCTION("""COMPUTED_VALUE"""),"Tom Eiberger ")</f>
        <v>Tom Eiberger </v>
      </c>
      <c r="D1064" s="165">
        <f>IFERROR(__xludf.DUMMYFUNCTION("""COMPUTED_VALUE"""),46306.0)</f>
        <v>46306</v>
      </c>
      <c r="E1064" s="165">
        <f>IFERROR(__xludf.DUMMYFUNCTION("""COMPUTED_VALUE"""),46307.0)</f>
        <v>46307</v>
      </c>
      <c r="F1064" s="377">
        <f>IFERROR(__xludf.DUMMYFUNCTION("""COMPUTED_VALUE"""),1.0)</f>
        <v>1</v>
      </c>
      <c r="G1064" s="377">
        <f>IFERROR(__xludf.DUMMYFUNCTION("""COMPUTED_VALUE"""),1.0)</f>
        <v>1</v>
      </c>
      <c r="H1064" s="378">
        <f>IFERROR(__xludf.DUMMYFUNCTION("""COMPUTED_VALUE"""),113.4)</f>
        <v>113.4</v>
      </c>
      <c r="I1064" s="378">
        <f>IFERROR(__xludf.DUMMYFUNCTION("""COMPUTED_VALUE"""),90.72000000000001)</f>
        <v>90.72</v>
      </c>
      <c r="J1064" s="377"/>
      <c r="K1064" s="166"/>
      <c r="L1064" s="166"/>
      <c r="M1064" s="166"/>
      <c r="N1064" s="170"/>
      <c r="O1064" s="171"/>
      <c r="P1064" s="171"/>
      <c r="Q1064" s="172"/>
      <c r="R1064" s="173"/>
      <c r="S1064" s="173"/>
      <c r="T1064" s="173"/>
      <c r="U1064" s="174"/>
      <c r="V1064" s="16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</row>
    <row r="1065">
      <c r="A1065" s="165">
        <f>IFERROR(__xludf.DUMMYFUNCTION("""COMPUTED_VALUE"""),8677550.0)</f>
        <v>8677550</v>
      </c>
      <c r="B1065" s="166" t="str">
        <f>IFERROR(__xludf.DUMMYFUNCTION("""COMPUTED_VALUE"""),"BookingCom")</f>
        <v>BookingCom</v>
      </c>
      <c r="C1065" s="166" t="str">
        <f>IFERROR(__xludf.DUMMYFUNCTION("""COMPUTED_VALUE"""),"Tom Eiberger ")</f>
        <v>Tom Eiberger </v>
      </c>
      <c r="D1065" s="165">
        <f>IFERROR(__xludf.DUMMYFUNCTION("""COMPUTED_VALUE"""),46312.0)</f>
        <v>46312</v>
      </c>
      <c r="E1065" s="165">
        <f>IFERROR(__xludf.DUMMYFUNCTION("""COMPUTED_VALUE"""),46313.0)</f>
        <v>46313</v>
      </c>
      <c r="F1065" s="377">
        <f>IFERROR(__xludf.DUMMYFUNCTION("""COMPUTED_VALUE"""),1.0)</f>
        <v>1</v>
      </c>
      <c r="G1065" s="377">
        <f>IFERROR(__xludf.DUMMYFUNCTION("""COMPUTED_VALUE"""),1.0)</f>
        <v>1</v>
      </c>
      <c r="H1065" s="378">
        <f>IFERROR(__xludf.DUMMYFUNCTION("""COMPUTED_VALUE"""),172.18)</f>
        <v>172.18</v>
      </c>
      <c r="I1065" s="378">
        <f>IFERROR(__xludf.DUMMYFUNCTION("""COMPUTED_VALUE"""),137.744)</f>
        <v>137.744</v>
      </c>
      <c r="J1065" s="377"/>
      <c r="K1065" s="166"/>
      <c r="L1065" s="166"/>
      <c r="M1065" s="166"/>
      <c r="N1065" s="170"/>
      <c r="O1065" s="171"/>
      <c r="P1065" s="171"/>
      <c r="Q1065" s="172"/>
      <c r="R1065" s="173"/>
      <c r="S1065" s="173"/>
      <c r="T1065" s="173"/>
      <c r="U1065" s="174"/>
      <c r="V1065" s="165"/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</row>
    <row r="1066">
      <c r="A1066" s="263">
        <f>IFERROR(__xludf.DUMMYFUNCTION("""COMPUTED_VALUE"""),8677977.0)</f>
        <v>8677977</v>
      </c>
      <c r="B1066" s="264" t="str">
        <f>IFERROR(__xludf.DUMMYFUNCTION("""COMPUTED_VALUE"""),"BookingCom")</f>
        <v>BookingCom</v>
      </c>
      <c r="C1066" s="265" t="str">
        <f>IFERROR(__xludf.DUMMYFUNCTION("""COMPUTED_VALUE"""),"VIRGINIA CHIRICO ")</f>
        <v>VIRGINIA CHIRICO </v>
      </c>
      <c r="D1066" s="374">
        <f>IFERROR(__xludf.DUMMYFUNCTION("""COMPUTED_VALUE"""),46217.0)</f>
        <v>46217</v>
      </c>
      <c r="E1066" s="263">
        <f>IFERROR(__xludf.DUMMYFUNCTION("""COMPUTED_VALUE"""),46219.0)</f>
        <v>46219</v>
      </c>
      <c r="F1066" s="267">
        <f>IFERROR(__xludf.DUMMYFUNCTION("""COMPUTED_VALUE"""),2.0)</f>
        <v>2</v>
      </c>
      <c r="G1066" s="267">
        <f>IFERROR(__xludf.DUMMYFUNCTION("""COMPUTED_VALUE"""),2.0)</f>
        <v>2</v>
      </c>
      <c r="H1066" s="268">
        <f>IFERROR(__xludf.DUMMYFUNCTION("""COMPUTED_VALUE"""),104.5)</f>
        <v>104.5</v>
      </c>
      <c r="I1066" s="268">
        <f>IFERROR(__xludf.DUMMYFUNCTION("""COMPUTED_VALUE"""),167.20000000000002)</f>
        <v>167.2</v>
      </c>
      <c r="J1066" s="377"/>
      <c r="K1066" s="265"/>
      <c r="L1066" s="265"/>
      <c r="M1066" s="264"/>
      <c r="N1066" s="270"/>
      <c r="O1066" s="271"/>
      <c r="P1066" s="271"/>
      <c r="Q1066" s="283"/>
      <c r="R1066" s="273"/>
      <c r="S1066" s="273"/>
      <c r="T1066" s="273"/>
      <c r="U1066" s="274"/>
      <c r="V1066" s="263"/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</row>
    <row r="1067">
      <c r="A1067" s="263">
        <f>IFERROR(__xludf.DUMMYFUNCTION("""COMPUTED_VALUE"""),8678237.0)</f>
        <v>8678237</v>
      </c>
      <c r="B1067" s="264" t="str">
        <f>IFERROR(__xludf.DUMMYFUNCTION("""COMPUTED_VALUE"""),"BookingCom")</f>
        <v>BookingCom</v>
      </c>
      <c r="C1067" s="265" t="str">
        <f>IFERROR(__xludf.DUMMYFUNCTION("""COMPUTED_VALUE"""),"stavros skafidas ")</f>
        <v>stavros skafidas </v>
      </c>
      <c r="D1067" s="266">
        <f>IFERROR(__xludf.DUMMYFUNCTION("""COMPUTED_VALUE"""),46450.0)</f>
        <v>46450</v>
      </c>
      <c r="E1067" s="266">
        <f>IFERROR(__xludf.DUMMYFUNCTION("""COMPUTED_VALUE"""),46453.0)</f>
        <v>46453</v>
      </c>
      <c r="F1067" s="267">
        <f>IFERROR(__xludf.DUMMYFUNCTION("""COMPUTED_VALUE"""),3.0)</f>
        <v>3</v>
      </c>
      <c r="G1067" s="267">
        <f>IFERROR(__xludf.DUMMYFUNCTION("""COMPUTED_VALUE"""),2.0)</f>
        <v>2</v>
      </c>
      <c r="H1067" s="268">
        <f>IFERROR(__xludf.DUMMYFUNCTION("""COMPUTED_VALUE"""),183.87)</f>
        <v>183.87</v>
      </c>
      <c r="I1067" s="268">
        <f>IFERROR(__xludf.DUMMYFUNCTION("""COMPUTED_VALUE"""),441.288)</f>
        <v>441.288</v>
      </c>
      <c r="J1067" s="377"/>
      <c r="K1067" s="265"/>
      <c r="L1067" s="265"/>
      <c r="M1067" s="264"/>
      <c r="N1067" s="270"/>
      <c r="O1067" s="271"/>
      <c r="P1067" s="271"/>
      <c r="Q1067" s="272"/>
      <c r="R1067" s="273"/>
      <c r="S1067" s="273"/>
      <c r="T1067" s="273"/>
      <c r="U1067" s="274"/>
      <c r="V1067" s="266"/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</row>
    <row r="1068">
      <c r="A1068" s="165">
        <f>IFERROR(__xludf.DUMMYFUNCTION("""COMPUTED_VALUE"""),8678913.0)</f>
        <v>8678913</v>
      </c>
      <c r="B1068" s="166" t="str">
        <f>IFERROR(__xludf.DUMMYFUNCTION("""COMPUTED_VALUE"""),"BookingCom")</f>
        <v>BookingCom</v>
      </c>
      <c r="C1068" s="166" t="str">
        <f>IFERROR(__xludf.DUMMYFUNCTION("""COMPUTED_VALUE"""),"Bettina Kempinger ")</f>
        <v>Bettina Kempinger </v>
      </c>
      <c r="D1068" s="165">
        <f>IFERROR(__xludf.DUMMYFUNCTION("""COMPUTED_VALUE"""),46442.0)</f>
        <v>46442</v>
      </c>
      <c r="E1068" s="165">
        <f>IFERROR(__xludf.DUMMYFUNCTION("""COMPUTED_VALUE"""),46444.0)</f>
        <v>46444</v>
      </c>
      <c r="F1068" s="377">
        <f>IFERROR(__xludf.DUMMYFUNCTION("""COMPUTED_VALUE"""),2.0)</f>
        <v>2</v>
      </c>
      <c r="G1068" s="377">
        <f>IFERROR(__xludf.DUMMYFUNCTION("""COMPUTED_VALUE"""),2.0)</f>
        <v>2</v>
      </c>
      <c r="H1068" s="378">
        <f>IFERROR(__xludf.DUMMYFUNCTION("""COMPUTED_VALUE"""),182.08)</f>
        <v>182.08</v>
      </c>
      <c r="I1068" s="378">
        <f>IFERROR(__xludf.DUMMYFUNCTION("""COMPUTED_VALUE"""),291.32800000000003)</f>
        <v>291.328</v>
      </c>
      <c r="J1068" s="377"/>
      <c r="K1068" s="166"/>
      <c r="L1068" s="166"/>
      <c r="M1068" s="205"/>
      <c r="N1068" s="170"/>
      <c r="O1068" s="171"/>
      <c r="P1068" s="171"/>
      <c r="Q1068" s="172"/>
      <c r="R1068" s="173"/>
      <c r="S1068" s="173"/>
      <c r="T1068" s="173"/>
      <c r="U1068" s="174"/>
      <c r="V1068" s="165"/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</row>
    <row r="1069">
      <c r="A1069" s="165">
        <f>IFERROR(__xludf.DUMMYFUNCTION("""COMPUTED_VALUE"""),8680094.0)</f>
        <v>8680094</v>
      </c>
      <c r="B1069" s="166" t="str">
        <f>IFERROR(__xludf.DUMMYFUNCTION("""COMPUTED_VALUE"""),"BookingCom")</f>
        <v>BookingCom</v>
      </c>
      <c r="C1069" s="166" t="str">
        <f>IFERROR(__xludf.DUMMYFUNCTION("""COMPUTED_VALUE"""),"Alexander Aarsman ")</f>
        <v>Alexander Aarsman </v>
      </c>
      <c r="D1069" s="165">
        <f>IFERROR(__xludf.DUMMYFUNCTION("""COMPUTED_VALUE"""),46349.0)</f>
        <v>46349</v>
      </c>
      <c r="E1069" s="165">
        <f>IFERROR(__xludf.DUMMYFUNCTION("""COMPUTED_VALUE"""),46350.0)</f>
        <v>46350</v>
      </c>
      <c r="F1069" s="377">
        <f>IFERROR(__xludf.DUMMYFUNCTION("""COMPUTED_VALUE"""),1.0)</f>
        <v>1</v>
      </c>
      <c r="G1069" s="377">
        <f>IFERROR(__xludf.DUMMYFUNCTION("""COMPUTED_VALUE"""),2.0)</f>
        <v>2</v>
      </c>
      <c r="H1069" s="378">
        <f>IFERROR(__xludf.DUMMYFUNCTION("""COMPUTED_VALUE"""),141.18)</f>
        <v>141.18</v>
      </c>
      <c r="I1069" s="378">
        <f>IFERROR(__xludf.DUMMYFUNCTION("""COMPUTED_VALUE"""),112.94400000000002)</f>
        <v>112.944</v>
      </c>
      <c r="J1069" s="377"/>
      <c r="K1069" s="166"/>
      <c r="L1069" s="166"/>
      <c r="M1069" s="205"/>
      <c r="N1069" s="170"/>
      <c r="O1069" s="171"/>
      <c r="P1069" s="171"/>
      <c r="Q1069" s="172"/>
      <c r="R1069" s="173"/>
      <c r="S1069" s="173"/>
      <c r="T1069" s="173"/>
      <c r="U1069" s="174"/>
      <c r="V1069" s="16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</row>
    <row r="1070">
      <c r="A1070" s="165">
        <f>IFERROR(__xludf.DUMMYFUNCTION("""COMPUTED_VALUE"""),8681436.0)</f>
        <v>8681436</v>
      </c>
      <c r="B1070" s="166" t="str">
        <f>IFERROR(__xludf.DUMMYFUNCTION("""COMPUTED_VALUE"""),"BookingCom")</f>
        <v>BookingCom</v>
      </c>
      <c r="C1070" s="166" t="str">
        <f>IFERROR(__xludf.DUMMYFUNCTION("""COMPUTED_VALUE"""),"Maria Del Rosario Chavez Rosas ")</f>
        <v>Maria Del Rosario Chavez Rosas </v>
      </c>
      <c r="D1070" s="165">
        <f>IFERROR(__xludf.DUMMYFUNCTION("""COMPUTED_VALUE"""),46192.0)</f>
        <v>46192</v>
      </c>
      <c r="E1070" s="165">
        <f>IFERROR(__xludf.DUMMYFUNCTION("""COMPUTED_VALUE"""),46193.0)</f>
        <v>46193</v>
      </c>
      <c r="F1070" s="377">
        <f>IFERROR(__xludf.DUMMYFUNCTION("""COMPUTED_VALUE"""),1.0)</f>
        <v>1</v>
      </c>
      <c r="G1070" s="377">
        <f>IFERROR(__xludf.DUMMYFUNCTION("""COMPUTED_VALUE"""),2.0)</f>
        <v>2</v>
      </c>
      <c r="H1070" s="378">
        <f>IFERROR(__xludf.DUMMYFUNCTION("""COMPUTED_VALUE"""),170.98)</f>
        <v>170.98</v>
      </c>
      <c r="I1070" s="378">
        <f>IFERROR(__xludf.DUMMYFUNCTION("""COMPUTED_VALUE"""),136.784)</f>
        <v>136.784</v>
      </c>
      <c r="J1070" s="377"/>
      <c r="K1070" s="166"/>
      <c r="L1070" s="166"/>
      <c r="M1070" s="205"/>
      <c r="N1070" s="170"/>
      <c r="O1070" s="171"/>
      <c r="P1070" s="171"/>
      <c r="Q1070" s="172"/>
      <c r="R1070" s="173"/>
      <c r="S1070" s="173"/>
      <c r="T1070" s="173"/>
      <c r="U1070" s="174"/>
      <c r="V1070" s="16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</row>
    <row r="1071">
      <c r="A1071" s="165">
        <f>IFERROR(__xludf.DUMMYFUNCTION("""COMPUTED_VALUE"""),8690088.0)</f>
        <v>8690088</v>
      </c>
      <c r="B1071" s="166" t="str">
        <f>IFERROR(__xludf.DUMMYFUNCTION("""COMPUTED_VALUE"""),"BookingCom")</f>
        <v>BookingCom</v>
      </c>
      <c r="C1071" s="166" t="str">
        <f>IFERROR(__xludf.DUMMYFUNCTION("""COMPUTED_VALUE"""),"Chantal Hugli ")</f>
        <v>Chantal Hugli </v>
      </c>
      <c r="D1071" s="165">
        <f>IFERROR(__xludf.DUMMYFUNCTION("""COMPUTED_VALUE"""),46475.0)</f>
        <v>46475</v>
      </c>
      <c r="E1071" s="165">
        <f>IFERROR(__xludf.DUMMYFUNCTION("""COMPUTED_VALUE"""),46480.0)</f>
        <v>46480</v>
      </c>
      <c r="F1071" s="377">
        <f>IFERROR(__xludf.DUMMYFUNCTION("""COMPUTED_VALUE"""),5.0)</f>
        <v>5</v>
      </c>
      <c r="G1071" s="377">
        <f>IFERROR(__xludf.DUMMYFUNCTION("""COMPUTED_VALUE"""),2.0)</f>
        <v>2</v>
      </c>
      <c r="H1071" s="378">
        <f>IFERROR(__xludf.DUMMYFUNCTION("""COMPUTED_VALUE"""),154.05)</f>
        <v>154.05</v>
      </c>
      <c r="I1071" s="378">
        <f>IFERROR(__xludf.DUMMYFUNCTION("""COMPUTED_VALUE"""),616.2)</f>
        <v>616.2</v>
      </c>
      <c r="J1071" s="267"/>
      <c r="K1071" s="166"/>
      <c r="L1071" s="166"/>
      <c r="M1071" s="205"/>
      <c r="N1071" s="170"/>
      <c r="O1071" s="171"/>
      <c r="P1071" s="171"/>
      <c r="Q1071" s="172"/>
      <c r="R1071" s="173"/>
      <c r="S1071" s="173"/>
      <c r="T1071" s="173"/>
      <c r="U1071" s="174"/>
      <c r="V1071" s="16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</row>
    <row r="1072">
      <c r="A1072" s="165">
        <f>IFERROR(__xludf.DUMMYFUNCTION("""COMPUTED_VALUE"""),8690385.0)</f>
        <v>8690385</v>
      </c>
      <c r="B1072" s="166" t="str">
        <f>IFERROR(__xludf.DUMMYFUNCTION("""COMPUTED_VALUE"""),"BookingCom")</f>
        <v>BookingCom</v>
      </c>
      <c r="C1072" s="166" t="str">
        <f>IFERROR(__xludf.DUMMYFUNCTION("""COMPUTED_VALUE"""),"Robin Patricia ")</f>
        <v>Robin Patricia </v>
      </c>
      <c r="D1072" s="165">
        <f>IFERROR(__xludf.DUMMYFUNCTION("""COMPUTED_VALUE"""),46214.0)</f>
        <v>46214</v>
      </c>
      <c r="E1072" s="165">
        <f>IFERROR(__xludf.DUMMYFUNCTION("""COMPUTED_VALUE"""),46216.0)</f>
        <v>46216</v>
      </c>
      <c r="F1072" s="377">
        <f>IFERROR(__xludf.DUMMYFUNCTION("""COMPUTED_VALUE"""),2.0)</f>
        <v>2</v>
      </c>
      <c r="G1072" s="377">
        <f>IFERROR(__xludf.DUMMYFUNCTION("""COMPUTED_VALUE"""),2.0)</f>
        <v>2</v>
      </c>
      <c r="H1072" s="378">
        <f>IFERROR(__xludf.DUMMYFUNCTION("""COMPUTED_VALUE"""),153.12)</f>
        <v>153.12</v>
      </c>
      <c r="I1072" s="378">
        <f>IFERROR(__xludf.DUMMYFUNCTION("""COMPUTED_VALUE"""),244.99200000000002)</f>
        <v>244.992</v>
      </c>
      <c r="J1072" s="267"/>
      <c r="K1072" s="166"/>
      <c r="L1072" s="166"/>
      <c r="M1072" s="205"/>
      <c r="N1072" s="170"/>
      <c r="O1072" s="171"/>
      <c r="P1072" s="171"/>
      <c r="Q1072" s="172"/>
      <c r="R1072" s="173"/>
      <c r="S1072" s="173"/>
      <c r="T1072" s="173"/>
      <c r="U1072" s="174"/>
      <c r="V1072" s="16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</row>
    <row r="1073">
      <c r="A1073" s="165">
        <f>IFERROR(__xludf.DUMMYFUNCTION("""COMPUTED_VALUE"""),8690850.0)</f>
        <v>8690850</v>
      </c>
      <c r="B1073" s="166" t="str">
        <f>IFERROR(__xludf.DUMMYFUNCTION("""COMPUTED_VALUE"""),"BookingCom")</f>
        <v>BookingCom</v>
      </c>
      <c r="C1073" s="166" t="str">
        <f>IFERROR(__xludf.DUMMYFUNCTION("""COMPUTED_VALUE"""),"Lisa Zaleski-Larsen ")</f>
        <v>Lisa Zaleski-Larsen </v>
      </c>
      <c r="D1073" s="165">
        <f>IFERROR(__xludf.DUMMYFUNCTION("""COMPUTED_VALUE"""),46307.0)</f>
        <v>46307</v>
      </c>
      <c r="E1073" s="165">
        <f>IFERROR(__xludf.DUMMYFUNCTION("""COMPUTED_VALUE"""),46308.0)</f>
        <v>46308</v>
      </c>
      <c r="F1073" s="377">
        <f>IFERROR(__xludf.DUMMYFUNCTION("""COMPUTED_VALUE"""),1.0)</f>
        <v>1</v>
      </c>
      <c r="G1073" s="377">
        <f>IFERROR(__xludf.DUMMYFUNCTION("""COMPUTED_VALUE"""),2.0)</f>
        <v>2</v>
      </c>
      <c r="H1073" s="378">
        <f>IFERROR(__xludf.DUMMYFUNCTION("""COMPUTED_VALUE"""),224.77)</f>
        <v>224.77</v>
      </c>
      <c r="I1073" s="378">
        <f>IFERROR(__xludf.DUMMYFUNCTION("""COMPUTED_VALUE"""),179.81600000000003)</f>
        <v>179.816</v>
      </c>
      <c r="J1073" s="377"/>
      <c r="K1073" s="166"/>
      <c r="L1073" s="166"/>
      <c r="M1073" s="166"/>
      <c r="N1073" s="170"/>
      <c r="O1073" s="171"/>
      <c r="P1073" s="171"/>
      <c r="Q1073" s="172"/>
      <c r="R1073" s="173"/>
      <c r="S1073" s="173"/>
      <c r="T1073" s="260"/>
      <c r="U1073" s="261"/>
      <c r="V1073" s="251"/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</row>
    <row r="1074">
      <c r="A1074" s="165">
        <f>IFERROR(__xludf.DUMMYFUNCTION("""COMPUTED_VALUE"""),8693620.0)</f>
        <v>8693620</v>
      </c>
      <c r="B1074" s="166" t="str">
        <f>IFERROR(__xludf.DUMMYFUNCTION("""COMPUTED_VALUE"""),"BookingCom")</f>
        <v>BookingCom</v>
      </c>
      <c r="C1074" s="166" t="str">
        <f>IFERROR(__xludf.DUMMYFUNCTION("""COMPUTED_VALUE"""),"Imane Boughdiri ")</f>
        <v>Imane Boughdiri </v>
      </c>
      <c r="D1074" s="165">
        <f>IFERROR(__xludf.DUMMYFUNCTION("""COMPUTED_VALUE"""),46196.0)</f>
        <v>46196</v>
      </c>
      <c r="E1074" s="165">
        <f>IFERROR(__xludf.DUMMYFUNCTION("""COMPUTED_VALUE"""),46197.0)</f>
        <v>46197</v>
      </c>
      <c r="F1074" s="377">
        <f>IFERROR(__xludf.DUMMYFUNCTION("""COMPUTED_VALUE"""),1.0)</f>
        <v>1</v>
      </c>
      <c r="G1074" s="377">
        <f>IFERROR(__xludf.DUMMYFUNCTION("""COMPUTED_VALUE"""),2.0)</f>
        <v>2</v>
      </c>
      <c r="H1074" s="378">
        <f>IFERROR(__xludf.DUMMYFUNCTION("""COMPUTED_VALUE"""),151.33)</f>
        <v>151.33</v>
      </c>
      <c r="I1074" s="378">
        <f>IFERROR(__xludf.DUMMYFUNCTION("""COMPUTED_VALUE"""),121.06400000000002)</f>
        <v>121.064</v>
      </c>
      <c r="J1074" s="377"/>
      <c r="K1074" s="166"/>
      <c r="L1074" s="166"/>
      <c r="M1074" s="205"/>
      <c r="N1074" s="170"/>
      <c r="O1074" s="171"/>
      <c r="P1074" s="171"/>
      <c r="Q1074" s="172"/>
      <c r="R1074" s="173"/>
      <c r="S1074" s="173"/>
      <c r="T1074" s="173"/>
      <c r="U1074" s="174"/>
      <c r="V1074" s="165"/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</row>
    <row r="1075">
      <c r="A1075" s="165">
        <f>IFERROR(__xludf.DUMMYFUNCTION("""COMPUTED_VALUE"""),8694931.0)</f>
        <v>8694931</v>
      </c>
      <c r="B1075" s="166" t="str">
        <f>IFERROR(__xludf.DUMMYFUNCTION("""COMPUTED_VALUE"""),"BookingCom")</f>
        <v>BookingCom</v>
      </c>
      <c r="C1075" s="166" t="str">
        <f>IFERROR(__xludf.DUMMYFUNCTION("""COMPUTED_VALUE"""),"Tonya Rushmer ")</f>
        <v>Tonya Rushmer </v>
      </c>
      <c r="D1075" s="165">
        <f>IFERROR(__xludf.DUMMYFUNCTION("""COMPUTED_VALUE"""),46235.0)</f>
        <v>46235</v>
      </c>
      <c r="E1075" s="165">
        <f>IFERROR(__xludf.DUMMYFUNCTION("""COMPUTED_VALUE"""),46239.0)</f>
        <v>46239</v>
      </c>
      <c r="F1075" s="377">
        <f>IFERROR(__xludf.DUMMYFUNCTION("""COMPUTED_VALUE"""),4.0)</f>
        <v>4</v>
      </c>
      <c r="G1075" s="377">
        <f>IFERROR(__xludf.DUMMYFUNCTION("""COMPUTED_VALUE"""),1.0)</f>
        <v>1</v>
      </c>
      <c r="H1075" s="378">
        <f>IFERROR(__xludf.DUMMYFUNCTION("""COMPUTED_VALUE"""),156.83)</f>
        <v>156.83</v>
      </c>
      <c r="I1075" s="378">
        <f>IFERROR(__xludf.DUMMYFUNCTION("""COMPUTED_VALUE"""),501.85600000000005)</f>
        <v>501.856</v>
      </c>
      <c r="J1075" s="377"/>
      <c r="K1075" s="166"/>
      <c r="L1075" s="166"/>
      <c r="M1075" s="205"/>
      <c r="N1075" s="170"/>
      <c r="O1075" s="171"/>
      <c r="P1075" s="171"/>
      <c r="Q1075" s="172"/>
      <c r="R1075" s="173"/>
      <c r="S1075" s="173"/>
      <c r="T1075" s="173"/>
      <c r="U1075" s="174"/>
      <c r="V1075" s="16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</row>
    <row r="1076">
      <c r="A1076" s="165">
        <f>IFERROR(__xludf.DUMMYFUNCTION("""COMPUTED_VALUE"""),8694942.0)</f>
        <v>8694942</v>
      </c>
      <c r="B1076" s="166" t="str">
        <f>IFERROR(__xludf.DUMMYFUNCTION("""COMPUTED_VALUE"""),"BookingCom")</f>
        <v>BookingCom</v>
      </c>
      <c r="C1076" s="166" t="str">
        <f>IFERROR(__xludf.DUMMYFUNCTION("""COMPUTED_VALUE"""),"Tonya Rushmer ")</f>
        <v>Tonya Rushmer </v>
      </c>
      <c r="D1076" s="165">
        <f>IFERROR(__xludf.DUMMYFUNCTION("""COMPUTED_VALUE"""),46235.0)</f>
        <v>46235</v>
      </c>
      <c r="E1076" s="165">
        <f>IFERROR(__xludf.DUMMYFUNCTION("""COMPUTED_VALUE"""),46237.0)</f>
        <v>46237</v>
      </c>
      <c r="F1076" s="377">
        <f>IFERROR(__xludf.DUMMYFUNCTION("""COMPUTED_VALUE"""),2.0)</f>
        <v>2</v>
      </c>
      <c r="G1076" s="377">
        <f>IFERROR(__xludf.DUMMYFUNCTION("""COMPUTED_VALUE"""),2.0)</f>
        <v>2</v>
      </c>
      <c r="H1076" s="378">
        <f>IFERROR(__xludf.DUMMYFUNCTION("""COMPUTED_VALUE"""),138.84)</f>
        <v>138.84</v>
      </c>
      <c r="I1076" s="378">
        <f>IFERROR(__xludf.DUMMYFUNCTION("""COMPUTED_VALUE"""),222.144)</f>
        <v>222.144</v>
      </c>
      <c r="J1076" s="377"/>
      <c r="K1076" s="166"/>
      <c r="L1076" s="166"/>
      <c r="M1076" s="205"/>
      <c r="N1076" s="170"/>
      <c r="O1076" s="171"/>
      <c r="P1076" s="171"/>
      <c r="Q1076" s="172"/>
      <c r="R1076" s="173"/>
      <c r="S1076" s="173"/>
      <c r="T1076" s="173"/>
      <c r="U1076" s="174"/>
      <c r="V1076" s="165"/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</row>
    <row r="1077">
      <c r="A1077" s="165">
        <f>IFERROR(__xludf.DUMMYFUNCTION("""COMPUTED_VALUE"""),8703308.0)</f>
        <v>8703308</v>
      </c>
      <c r="B1077" s="166" t="str">
        <f>IFERROR(__xludf.DUMMYFUNCTION("""COMPUTED_VALUE"""),"Reseliva Pannel")</f>
        <v>Reseliva Pannel</v>
      </c>
      <c r="C1077" s="166" t="str">
        <f>IFERROR(__xludf.DUMMYFUNCTION("""COMPUTED_VALUE"""),"Kim Pitcher ")</f>
        <v>Kim Pitcher </v>
      </c>
      <c r="D1077" s="165">
        <f>IFERROR(__xludf.DUMMYFUNCTION("""COMPUTED_VALUE"""),46219.0)</f>
        <v>46219</v>
      </c>
      <c r="E1077" s="165">
        <f>IFERROR(__xludf.DUMMYFUNCTION("""COMPUTED_VALUE"""),46222.0)</f>
        <v>46222</v>
      </c>
      <c r="F1077" s="377">
        <f>IFERROR(__xludf.DUMMYFUNCTION("""COMPUTED_VALUE"""),3.0)</f>
        <v>3</v>
      </c>
      <c r="G1077" s="377">
        <f>IFERROR(__xludf.DUMMYFUNCTION("""COMPUTED_VALUE"""),2.0)</f>
        <v>2</v>
      </c>
      <c r="H1077" s="378">
        <f>IFERROR(__xludf.DUMMYFUNCTION("""COMPUTED_VALUE"""),181.44000000000003)</f>
        <v>181.44</v>
      </c>
      <c r="I1077" s="378">
        <f>IFERROR(__xludf.DUMMYFUNCTION("""COMPUTED_VALUE"""),544.32)</f>
        <v>544.32</v>
      </c>
      <c r="J1077" s="377"/>
      <c r="K1077" s="166"/>
      <c r="L1077" s="166"/>
      <c r="M1077" s="205"/>
      <c r="N1077" s="170"/>
      <c r="O1077" s="171"/>
      <c r="P1077" s="171"/>
      <c r="Q1077" s="172"/>
      <c r="R1077" s="173"/>
      <c r="S1077" s="173"/>
      <c r="T1077" s="173"/>
      <c r="U1077" s="174"/>
      <c r="V1077" s="16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</row>
    <row r="1078">
      <c r="A1078" s="165">
        <f>IFERROR(__xludf.DUMMYFUNCTION("""COMPUTED_VALUE"""),8703942.0)</f>
        <v>8703942</v>
      </c>
      <c r="B1078" s="166" t="str">
        <f>IFERROR(__xludf.DUMMYFUNCTION("""COMPUTED_VALUE"""),"BookingCom")</f>
        <v>BookingCom</v>
      </c>
      <c r="C1078" s="166" t="str">
        <f>IFERROR(__xludf.DUMMYFUNCTION("""COMPUTED_VALUE"""),"Franganillo Carlos ")</f>
        <v>Franganillo Carlos </v>
      </c>
      <c r="D1078" s="165">
        <f>IFERROR(__xludf.DUMMYFUNCTION("""COMPUTED_VALUE"""),46379.0)</f>
        <v>46379</v>
      </c>
      <c r="E1078" s="165">
        <f>IFERROR(__xludf.DUMMYFUNCTION("""COMPUTED_VALUE"""),46381.0)</f>
        <v>46381</v>
      </c>
      <c r="F1078" s="377">
        <f>IFERROR(__xludf.DUMMYFUNCTION("""COMPUTED_VALUE"""),2.0)</f>
        <v>2</v>
      </c>
      <c r="G1078" s="377">
        <f>IFERROR(__xludf.DUMMYFUNCTION("""COMPUTED_VALUE"""),3.0)</f>
        <v>3</v>
      </c>
      <c r="H1078" s="378">
        <f>IFERROR(__xludf.DUMMYFUNCTION("""COMPUTED_VALUE"""),221.64)</f>
        <v>221.64</v>
      </c>
      <c r="I1078" s="378">
        <f>IFERROR(__xludf.DUMMYFUNCTION("""COMPUTED_VALUE"""),354.624)</f>
        <v>354.624</v>
      </c>
      <c r="J1078" s="377"/>
      <c r="K1078" s="166"/>
      <c r="L1078" s="166"/>
      <c r="M1078" s="166"/>
      <c r="N1078" s="170"/>
      <c r="O1078" s="171"/>
      <c r="P1078" s="171"/>
      <c r="Q1078" s="172"/>
      <c r="R1078" s="173"/>
      <c r="S1078" s="173"/>
      <c r="T1078" s="173"/>
      <c r="U1078" s="174"/>
      <c r="V1078" s="16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</row>
    <row r="1079">
      <c r="A1079" s="165">
        <f>IFERROR(__xludf.DUMMYFUNCTION("""COMPUTED_VALUE"""),8703942.0)</f>
        <v>8703942</v>
      </c>
      <c r="B1079" s="166" t="str">
        <f>IFERROR(__xludf.DUMMYFUNCTION("""COMPUTED_VALUE"""),"BookingCom")</f>
        <v>BookingCom</v>
      </c>
      <c r="C1079" s="166" t="str">
        <f>IFERROR(__xludf.DUMMYFUNCTION("""COMPUTED_VALUE"""),"Franganillo Carlos ")</f>
        <v>Franganillo Carlos </v>
      </c>
      <c r="D1079" s="165">
        <f>IFERROR(__xludf.DUMMYFUNCTION("""COMPUTED_VALUE"""),46379.0)</f>
        <v>46379</v>
      </c>
      <c r="E1079" s="165">
        <f>IFERROR(__xludf.DUMMYFUNCTION("""COMPUTED_VALUE"""),46381.0)</f>
        <v>46381</v>
      </c>
      <c r="F1079" s="377">
        <f>IFERROR(__xludf.DUMMYFUNCTION("""COMPUTED_VALUE"""),2.0)</f>
        <v>2</v>
      </c>
      <c r="G1079" s="377">
        <f>IFERROR(__xludf.DUMMYFUNCTION("""COMPUTED_VALUE"""),3.0)</f>
        <v>3</v>
      </c>
      <c r="H1079" s="378">
        <f>IFERROR(__xludf.DUMMYFUNCTION("""COMPUTED_VALUE"""),221.64)</f>
        <v>221.64</v>
      </c>
      <c r="I1079" s="378">
        <f>IFERROR(__xludf.DUMMYFUNCTION("""COMPUTED_VALUE"""),354.624)</f>
        <v>354.624</v>
      </c>
      <c r="J1079" s="377"/>
      <c r="K1079" s="166"/>
      <c r="L1079" s="166"/>
      <c r="M1079" s="166"/>
      <c r="N1079" s="170"/>
      <c r="O1079" s="171"/>
      <c r="P1079" s="171"/>
      <c r="Q1079" s="172"/>
      <c r="R1079" s="173"/>
      <c r="S1079" s="173"/>
      <c r="T1079" s="173"/>
      <c r="U1079" s="174"/>
      <c r="V1079" s="165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</row>
    <row r="1080">
      <c r="A1080" s="165">
        <f>IFERROR(__xludf.DUMMYFUNCTION("""COMPUTED_VALUE"""),8711458.0)</f>
        <v>8711458</v>
      </c>
      <c r="B1080" s="166" t="str">
        <f>IFERROR(__xludf.DUMMYFUNCTION("""COMPUTED_VALUE"""),"BookingCom")</f>
        <v>BookingCom</v>
      </c>
      <c r="C1080" s="166" t="str">
        <f>IFERROR(__xludf.DUMMYFUNCTION("""COMPUTED_VALUE"""),"Laurent Kaeser ")</f>
        <v>Laurent Kaeser </v>
      </c>
      <c r="D1080" s="165">
        <f>IFERROR(__xludf.DUMMYFUNCTION("""COMPUTED_VALUE"""),46190.0)</f>
        <v>46190</v>
      </c>
      <c r="E1080" s="165">
        <f>IFERROR(__xludf.DUMMYFUNCTION("""COMPUTED_VALUE"""),46191.0)</f>
        <v>46191</v>
      </c>
      <c r="F1080" s="377">
        <f>IFERROR(__xludf.DUMMYFUNCTION("""COMPUTED_VALUE"""),1.0)</f>
        <v>1</v>
      </c>
      <c r="G1080" s="377">
        <f>IFERROR(__xludf.DUMMYFUNCTION("""COMPUTED_VALUE"""),2.0)</f>
        <v>2</v>
      </c>
      <c r="H1080" s="378">
        <f>IFERROR(__xludf.DUMMYFUNCTION("""COMPUTED_VALUE"""),138.54)</f>
        <v>138.54</v>
      </c>
      <c r="I1080" s="378">
        <f>IFERROR(__xludf.DUMMYFUNCTION("""COMPUTED_VALUE"""),110.832)</f>
        <v>110.832</v>
      </c>
      <c r="J1080" s="377"/>
      <c r="K1080" s="166"/>
      <c r="L1080" s="166"/>
      <c r="M1080" s="205"/>
      <c r="N1080" s="170"/>
      <c r="O1080" s="171"/>
      <c r="P1080" s="171"/>
      <c r="Q1080" s="172"/>
      <c r="R1080" s="173"/>
      <c r="S1080" s="173"/>
      <c r="T1080" s="173"/>
      <c r="U1080" s="174"/>
      <c r="V1080" s="210"/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</row>
    <row r="1081">
      <c r="A1081" s="165">
        <f>IFERROR(__xludf.DUMMYFUNCTION("""COMPUTED_VALUE"""),8713180.0)</f>
        <v>8713180</v>
      </c>
      <c r="B1081" s="166" t="str">
        <f>IFERROR(__xludf.DUMMYFUNCTION("""COMPUTED_VALUE"""),"Reseliva Pannel")</f>
        <v>Reseliva Pannel</v>
      </c>
      <c r="C1081" s="166" t="str">
        <f>IFERROR(__xludf.DUMMYFUNCTION("""COMPUTED_VALUE"""),"Pierre Baux ")</f>
        <v>Pierre Baux </v>
      </c>
      <c r="D1081" s="165">
        <f>IFERROR(__xludf.DUMMYFUNCTION("""COMPUTED_VALUE"""),46222.0)</f>
        <v>46222</v>
      </c>
      <c r="E1081" s="165">
        <f>IFERROR(__xludf.DUMMYFUNCTION("""COMPUTED_VALUE"""),46227.0)</f>
        <v>46227</v>
      </c>
      <c r="F1081" s="377">
        <f>IFERROR(__xludf.DUMMYFUNCTION("""COMPUTED_VALUE"""),5.0)</f>
        <v>5</v>
      </c>
      <c r="G1081" s="377">
        <f>IFERROR(__xludf.DUMMYFUNCTION("""COMPUTED_VALUE"""),2.0)</f>
        <v>2</v>
      </c>
      <c r="H1081" s="378">
        <f>IFERROR(__xludf.DUMMYFUNCTION("""COMPUTED_VALUE"""),181.44)</f>
        <v>181.44</v>
      </c>
      <c r="I1081" s="378">
        <f>IFERROR(__xludf.DUMMYFUNCTION("""COMPUTED_VALUE"""),907.2)</f>
        <v>907.2</v>
      </c>
      <c r="J1081" s="377"/>
      <c r="K1081" s="166"/>
      <c r="L1081" s="166"/>
      <c r="M1081" s="205"/>
      <c r="N1081" s="170"/>
      <c r="O1081" s="171"/>
      <c r="P1081" s="171"/>
      <c r="Q1081" s="172"/>
      <c r="R1081" s="173"/>
      <c r="S1081" s="173"/>
      <c r="T1081" s="173"/>
      <c r="U1081" s="174"/>
      <c r="V1081" s="16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</row>
    <row r="1082">
      <c r="A1082" s="165">
        <f>IFERROR(__xludf.DUMMYFUNCTION("""COMPUTED_VALUE"""),8713180.0)</f>
        <v>8713180</v>
      </c>
      <c r="B1082" s="166" t="str">
        <f>IFERROR(__xludf.DUMMYFUNCTION("""COMPUTED_VALUE"""),"Reseliva Pannel")</f>
        <v>Reseliva Pannel</v>
      </c>
      <c r="C1082" s="166" t="str">
        <f>IFERROR(__xludf.DUMMYFUNCTION("""COMPUTED_VALUE"""),"Pierre Baux ")</f>
        <v>Pierre Baux </v>
      </c>
      <c r="D1082" s="165">
        <f>IFERROR(__xludf.DUMMYFUNCTION("""COMPUTED_VALUE"""),46222.0)</f>
        <v>46222</v>
      </c>
      <c r="E1082" s="165">
        <f>IFERROR(__xludf.DUMMYFUNCTION("""COMPUTED_VALUE"""),46227.0)</f>
        <v>46227</v>
      </c>
      <c r="F1082" s="377">
        <f>IFERROR(__xludf.DUMMYFUNCTION("""COMPUTED_VALUE"""),5.0)</f>
        <v>5</v>
      </c>
      <c r="G1082" s="377">
        <f>IFERROR(__xludf.DUMMYFUNCTION("""COMPUTED_VALUE"""),2.0)</f>
        <v>2</v>
      </c>
      <c r="H1082" s="378">
        <f>IFERROR(__xludf.DUMMYFUNCTION("""COMPUTED_VALUE"""),181.44)</f>
        <v>181.44</v>
      </c>
      <c r="I1082" s="378">
        <f>IFERROR(__xludf.DUMMYFUNCTION("""COMPUTED_VALUE"""),907.2)</f>
        <v>907.2</v>
      </c>
      <c r="J1082" s="377"/>
      <c r="K1082" s="166"/>
      <c r="L1082" s="166"/>
      <c r="M1082" s="166"/>
      <c r="N1082" s="170"/>
      <c r="O1082" s="171"/>
      <c r="P1082" s="171"/>
      <c r="Q1082" s="172"/>
      <c r="R1082" s="173"/>
      <c r="S1082" s="173"/>
      <c r="T1082" s="173"/>
      <c r="U1082" s="174"/>
      <c r="V1082" s="16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</row>
    <row r="1083">
      <c r="A1083" s="165">
        <f>IFERROR(__xludf.DUMMYFUNCTION("""COMPUTED_VALUE"""),8718357.0)</f>
        <v>8718357</v>
      </c>
      <c r="B1083" s="166" t="str">
        <f>IFERROR(__xludf.DUMMYFUNCTION("""COMPUTED_VALUE"""),"BookingCom")</f>
        <v>BookingCom</v>
      </c>
      <c r="C1083" s="166" t="str">
        <f>IFERROR(__xludf.DUMMYFUNCTION("""COMPUTED_VALUE"""),"Elisa Lopez Molina ")</f>
        <v>Elisa Lopez Molina </v>
      </c>
      <c r="D1083" s="165">
        <f>IFERROR(__xludf.DUMMYFUNCTION("""COMPUTED_VALUE"""),46239.0)</f>
        <v>46239</v>
      </c>
      <c r="E1083" s="165">
        <f>IFERROR(__xludf.DUMMYFUNCTION("""COMPUTED_VALUE"""),46242.0)</f>
        <v>46242</v>
      </c>
      <c r="F1083" s="377">
        <f>IFERROR(__xludf.DUMMYFUNCTION("""COMPUTED_VALUE"""),3.0)</f>
        <v>3</v>
      </c>
      <c r="G1083" s="377">
        <f>IFERROR(__xludf.DUMMYFUNCTION("""COMPUTED_VALUE"""),3.0)</f>
        <v>3</v>
      </c>
      <c r="H1083" s="378">
        <f>IFERROR(__xludf.DUMMYFUNCTION("""COMPUTED_VALUE"""),384.26)</f>
        <v>384.26</v>
      </c>
      <c r="I1083" s="378">
        <f>IFERROR(__xludf.DUMMYFUNCTION("""COMPUTED_VALUE"""),922.224)</f>
        <v>922.224</v>
      </c>
      <c r="J1083" s="377"/>
      <c r="K1083" s="166"/>
      <c r="L1083" s="166"/>
      <c r="M1083" s="166"/>
      <c r="N1083" s="170"/>
      <c r="O1083" s="171"/>
      <c r="P1083" s="171"/>
      <c r="Q1083" s="172"/>
      <c r="R1083" s="173"/>
      <c r="S1083" s="173"/>
      <c r="T1083" s="173"/>
      <c r="U1083" s="174"/>
      <c r="V1083" s="165"/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</row>
    <row r="1084">
      <c r="A1084" s="351">
        <f>IFERROR(__xludf.DUMMYFUNCTION("""COMPUTED_VALUE"""),8718357.0)</f>
        <v>8718357</v>
      </c>
      <c r="B1084" s="290" t="str">
        <f>IFERROR(__xludf.DUMMYFUNCTION("""COMPUTED_VALUE"""),"BookingCom")</f>
        <v>BookingCom</v>
      </c>
      <c r="C1084" s="291" t="str">
        <f>IFERROR(__xludf.DUMMYFUNCTION("""COMPUTED_VALUE"""),"Elisa Lopez Molina ")</f>
        <v>Elisa Lopez Molina </v>
      </c>
      <c r="D1084" s="352">
        <f>IFERROR(__xludf.DUMMYFUNCTION("""COMPUTED_VALUE"""),46239.0)</f>
        <v>46239</v>
      </c>
      <c r="E1084" s="351">
        <f>IFERROR(__xludf.DUMMYFUNCTION("""COMPUTED_VALUE"""),46242.0)</f>
        <v>46242</v>
      </c>
      <c r="F1084" s="353">
        <f>IFERROR(__xludf.DUMMYFUNCTION("""COMPUTED_VALUE"""),3.0)</f>
        <v>3</v>
      </c>
      <c r="G1084" s="353">
        <f>IFERROR(__xludf.DUMMYFUNCTION("""COMPUTED_VALUE"""),2.0)</f>
        <v>2</v>
      </c>
      <c r="H1084" s="354">
        <f>IFERROR(__xludf.DUMMYFUNCTION("""COMPUTED_VALUE"""),142.83)</f>
        <v>142.83</v>
      </c>
      <c r="I1084" s="354">
        <f>IFERROR(__xludf.DUMMYFUNCTION("""COMPUTED_VALUE"""),342.79200000000003)</f>
        <v>342.792</v>
      </c>
      <c r="J1084" s="377"/>
      <c r="K1084" s="291"/>
      <c r="L1084" s="291"/>
      <c r="M1084" s="290"/>
      <c r="N1084" s="295"/>
      <c r="O1084" s="296"/>
      <c r="P1084" s="296"/>
      <c r="Q1084" s="294"/>
      <c r="R1084" s="297"/>
      <c r="S1084" s="297"/>
      <c r="T1084" s="297"/>
      <c r="U1084" s="298"/>
      <c r="V1084" s="351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</row>
    <row r="1085">
      <c r="A1085" s="165">
        <f>IFERROR(__xludf.DUMMYFUNCTION("""COMPUTED_VALUE"""),8719328.0)</f>
        <v>8719328</v>
      </c>
      <c r="B1085" s="166" t="str">
        <f>IFERROR(__xludf.DUMMYFUNCTION("""COMPUTED_VALUE"""),"BookingCom")</f>
        <v>BookingCom</v>
      </c>
      <c r="C1085" s="166" t="str">
        <f>IFERROR(__xludf.DUMMYFUNCTION("""COMPUTED_VALUE"""),"tatiana Cecilia oyarzun ")</f>
        <v>tatiana Cecilia oyarzun </v>
      </c>
      <c r="D1085" s="165">
        <f>IFERROR(__xludf.DUMMYFUNCTION("""COMPUTED_VALUE"""),46623.0)</f>
        <v>46623</v>
      </c>
      <c r="E1085" s="165">
        <f>IFERROR(__xludf.DUMMYFUNCTION("""COMPUTED_VALUE"""),46626.0)</f>
        <v>46626</v>
      </c>
      <c r="F1085" s="377">
        <f>IFERROR(__xludf.DUMMYFUNCTION("""COMPUTED_VALUE"""),3.0)</f>
        <v>3</v>
      </c>
      <c r="G1085" s="377">
        <f>IFERROR(__xludf.DUMMYFUNCTION("""COMPUTED_VALUE"""),4.0)</f>
        <v>4</v>
      </c>
      <c r="H1085" s="378">
        <f>IFERROR(__xludf.DUMMYFUNCTION("""COMPUTED_VALUE"""),318.98)</f>
        <v>318.98</v>
      </c>
      <c r="I1085" s="378">
        <f>IFERROR(__xludf.DUMMYFUNCTION("""COMPUTED_VALUE"""),765.5520000000001)</f>
        <v>765.552</v>
      </c>
      <c r="J1085" s="377"/>
      <c r="K1085" s="166"/>
      <c r="L1085" s="166"/>
      <c r="M1085" s="166"/>
      <c r="N1085" s="170"/>
      <c r="O1085" s="171"/>
      <c r="P1085" s="171"/>
      <c r="Q1085" s="172"/>
      <c r="R1085" s="173"/>
      <c r="S1085" s="173"/>
      <c r="T1085" s="173"/>
      <c r="U1085" s="174"/>
      <c r="V1085" s="165"/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  <c r="AH1085" s="35"/>
      <c r="AI1085" s="35"/>
    </row>
    <row r="1086">
      <c r="A1086" s="165">
        <f>IFERROR(__xludf.DUMMYFUNCTION("""COMPUTED_VALUE"""),8722636.0)</f>
        <v>8722636</v>
      </c>
      <c r="B1086" s="166" t="str">
        <f>IFERROR(__xludf.DUMMYFUNCTION("""COMPUTED_VALUE"""),"BookingCom")</f>
        <v>BookingCom</v>
      </c>
      <c r="C1086" s="166" t="str">
        <f>IFERROR(__xludf.DUMMYFUNCTION("""COMPUTED_VALUE"""),"Kajsa Oldin ")</f>
        <v>Kajsa Oldin </v>
      </c>
      <c r="D1086" s="165">
        <f>IFERROR(__xludf.DUMMYFUNCTION("""COMPUTED_VALUE"""),46230.0)</f>
        <v>46230</v>
      </c>
      <c r="E1086" s="165">
        <f>IFERROR(__xludf.DUMMYFUNCTION("""COMPUTED_VALUE"""),46231.0)</f>
        <v>46231</v>
      </c>
      <c r="F1086" s="377">
        <f>IFERROR(__xludf.DUMMYFUNCTION("""COMPUTED_VALUE"""),1.0)</f>
        <v>1</v>
      </c>
      <c r="G1086" s="377">
        <f>IFERROR(__xludf.DUMMYFUNCTION("""COMPUTED_VALUE"""),2.0)</f>
        <v>2</v>
      </c>
      <c r="H1086" s="378">
        <f>IFERROR(__xludf.DUMMYFUNCTION("""COMPUTED_VALUE"""),112.1)</f>
        <v>112.1</v>
      </c>
      <c r="I1086" s="378">
        <f>IFERROR(__xludf.DUMMYFUNCTION("""COMPUTED_VALUE"""),89.68)</f>
        <v>89.68</v>
      </c>
      <c r="J1086" s="377"/>
      <c r="K1086" s="166"/>
      <c r="L1086" s="166"/>
      <c r="M1086" s="205"/>
      <c r="N1086" s="170"/>
      <c r="O1086" s="171"/>
      <c r="P1086" s="171"/>
      <c r="Q1086" s="172"/>
      <c r="R1086" s="173"/>
      <c r="S1086" s="173"/>
      <c r="T1086" s="173"/>
      <c r="U1086" s="174"/>
      <c r="V1086" s="165"/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</row>
    <row r="1087">
      <c r="A1087" s="165">
        <f>IFERROR(__xludf.DUMMYFUNCTION("""COMPUTED_VALUE"""),8724087.0)</f>
        <v>8724087</v>
      </c>
      <c r="B1087" s="166" t="str">
        <f>IFERROR(__xludf.DUMMYFUNCTION("""COMPUTED_VALUE"""),"BookingCom")</f>
        <v>BookingCom</v>
      </c>
      <c r="C1087" s="166" t="str">
        <f>IFERROR(__xludf.DUMMYFUNCTION("""COMPUTED_VALUE"""),"Leslie Blankenship ")</f>
        <v>Leslie Blankenship </v>
      </c>
      <c r="D1087" s="165">
        <f>IFERROR(__xludf.DUMMYFUNCTION("""COMPUTED_VALUE"""),46302.0)</f>
        <v>46302</v>
      </c>
      <c r="E1087" s="165">
        <f>IFERROR(__xludf.DUMMYFUNCTION("""COMPUTED_VALUE"""),46303.0)</f>
        <v>46303</v>
      </c>
      <c r="F1087" s="377">
        <f>IFERROR(__xludf.DUMMYFUNCTION("""COMPUTED_VALUE"""),1.0)</f>
        <v>1</v>
      </c>
      <c r="G1087" s="377">
        <f>IFERROR(__xludf.DUMMYFUNCTION("""COMPUTED_VALUE"""),2.0)</f>
        <v>2</v>
      </c>
      <c r="H1087" s="378">
        <f>IFERROR(__xludf.DUMMYFUNCTION("""COMPUTED_VALUE"""),185.2)</f>
        <v>185.2</v>
      </c>
      <c r="I1087" s="378">
        <f>IFERROR(__xludf.DUMMYFUNCTION("""COMPUTED_VALUE"""),148.16)</f>
        <v>148.16</v>
      </c>
      <c r="J1087" s="377"/>
      <c r="K1087" s="166"/>
      <c r="L1087" s="166"/>
      <c r="M1087" s="166"/>
      <c r="N1087" s="170"/>
      <c r="O1087" s="171"/>
      <c r="P1087" s="171"/>
      <c r="Q1087" s="172"/>
      <c r="R1087" s="173"/>
      <c r="S1087" s="173"/>
      <c r="T1087" s="173"/>
      <c r="U1087" s="174"/>
      <c r="V1087" s="16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  <c r="AH1087" s="35"/>
      <c r="AI1087" s="35"/>
    </row>
    <row r="1088">
      <c r="A1088" s="165">
        <f>IFERROR(__xludf.DUMMYFUNCTION("""COMPUTED_VALUE"""),8731896.0)</f>
        <v>8731896</v>
      </c>
      <c r="B1088" s="166" t="str">
        <f>IFERROR(__xludf.DUMMYFUNCTION("""COMPUTED_VALUE"""),"Reseliva Pannel")</f>
        <v>Reseliva Pannel</v>
      </c>
      <c r="C1088" s="166" t="str">
        <f>IFERROR(__xludf.DUMMYFUNCTION("""COMPUTED_VALUE"""),"Christian Mr. Lhomony ")</f>
        <v>Christian Mr. Lhomony </v>
      </c>
      <c r="D1088" s="165">
        <f>IFERROR(__xludf.DUMMYFUNCTION("""COMPUTED_VALUE"""),46197.0)</f>
        <v>46197</v>
      </c>
      <c r="E1088" s="165">
        <f>IFERROR(__xludf.DUMMYFUNCTION("""COMPUTED_VALUE"""),46198.0)</f>
        <v>46198</v>
      </c>
      <c r="F1088" s="377">
        <f>IFERROR(__xludf.DUMMYFUNCTION("""COMPUTED_VALUE"""),1.0)</f>
        <v>1</v>
      </c>
      <c r="G1088" s="377">
        <f>IFERROR(__xludf.DUMMYFUNCTION("""COMPUTED_VALUE"""),2.0)</f>
        <v>2</v>
      </c>
      <c r="H1088" s="378">
        <f>IFERROR(__xludf.DUMMYFUNCTION("""COMPUTED_VALUE"""),181.44)</f>
        <v>181.44</v>
      </c>
      <c r="I1088" s="378">
        <f>IFERROR(__xludf.DUMMYFUNCTION("""COMPUTED_VALUE"""),181.44)</f>
        <v>181.44</v>
      </c>
      <c r="J1088" s="377"/>
      <c r="K1088" s="166"/>
      <c r="L1088" s="166"/>
      <c r="M1088" s="166"/>
      <c r="N1088" s="170"/>
      <c r="O1088" s="171"/>
      <c r="P1088" s="171"/>
      <c r="Q1088" s="172"/>
      <c r="R1088" s="173"/>
      <c r="S1088" s="173"/>
      <c r="T1088" s="173"/>
      <c r="U1088" s="174"/>
      <c r="V1088" s="16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  <c r="AH1088" s="35"/>
      <c r="AI1088" s="35"/>
    </row>
    <row r="1089">
      <c r="A1089" s="165">
        <f>IFERROR(__xludf.DUMMYFUNCTION("""COMPUTED_VALUE"""),8732221.0)</f>
        <v>8732221</v>
      </c>
      <c r="B1089" s="166" t="str">
        <f>IFERROR(__xludf.DUMMYFUNCTION("""COMPUTED_VALUE"""),"BookingCom")</f>
        <v>BookingCom</v>
      </c>
      <c r="C1089" s="166" t="str">
        <f>IFERROR(__xludf.DUMMYFUNCTION("""COMPUTED_VALUE"""),"Janko Rawiel ")</f>
        <v>Janko Rawiel </v>
      </c>
      <c r="D1089" s="165">
        <f>IFERROR(__xludf.DUMMYFUNCTION("""COMPUTED_VALUE"""),46271.0)</f>
        <v>46271</v>
      </c>
      <c r="E1089" s="165">
        <f>IFERROR(__xludf.DUMMYFUNCTION("""COMPUTED_VALUE"""),46272.0)</f>
        <v>46272</v>
      </c>
      <c r="F1089" s="377">
        <f>IFERROR(__xludf.DUMMYFUNCTION("""COMPUTED_VALUE"""),1.0)</f>
        <v>1</v>
      </c>
      <c r="G1089" s="377">
        <f>IFERROR(__xludf.DUMMYFUNCTION("""COMPUTED_VALUE"""),2.0)</f>
        <v>2</v>
      </c>
      <c r="H1089" s="378">
        <f>IFERROR(__xludf.DUMMYFUNCTION("""COMPUTED_VALUE"""),164.93)</f>
        <v>164.93</v>
      </c>
      <c r="I1089" s="378">
        <f>IFERROR(__xludf.DUMMYFUNCTION("""COMPUTED_VALUE"""),131.94400000000002)</f>
        <v>131.944</v>
      </c>
      <c r="J1089" s="353"/>
      <c r="K1089" s="166"/>
      <c r="L1089" s="166"/>
      <c r="M1089" s="205"/>
      <c r="N1089" s="170"/>
      <c r="O1089" s="171"/>
      <c r="P1089" s="171"/>
      <c r="Q1089" s="172"/>
      <c r="R1089" s="173"/>
      <c r="S1089" s="173"/>
      <c r="T1089" s="173"/>
      <c r="U1089" s="174"/>
      <c r="V1089" s="165"/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</row>
    <row r="1090">
      <c r="A1090" s="263">
        <f>IFERROR(__xludf.DUMMYFUNCTION("""COMPUTED_VALUE"""),8733101.0)</f>
        <v>8733101</v>
      </c>
      <c r="B1090" s="264" t="str">
        <f>IFERROR(__xludf.DUMMYFUNCTION("""COMPUTED_VALUE"""),"BookingCom")</f>
        <v>BookingCom</v>
      </c>
      <c r="C1090" s="265" t="str">
        <f>IFERROR(__xludf.DUMMYFUNCTION("""COMPUTED_VALUE"""),"Nico Cossyns ")</f>
        <v>Nico Cossyns </v>
      </c>
      <c r="D1090" s="266">
        <f>IFERROR(__xludf.DUMMYFUNCTION("""COMPUTED_VALUE"""),46347.0)</f>
        <v>46347</v>
      </c>
      <c r="E1090" s="263">
        <f>IFERROR(__xludf.DUMMYFUNCTION("""COMPUTED_VALUE"""),46349.0)</f>
        <v>46349</v>
      </c>
      <c r="F1090" s="267">
        <f>IFERROR(__xludf.DUMMYFUNCTION("""COMPUTED_VALUE"""),2.0)</f>
        <v>2</v>
      </c>
      <c r="G1090" s="267">
        <f>IFERROR(__xludf.DUMMYFUNCTION("""COMPUTED_VALUE"""),2.0)</f>
        <v>2</v>
      </c>
      <c r="H1090" s="268">
        <f>IFERROR(__xludf.DUMMYFUNCTION("""COMPUTED_VALUE"""),179.74)</f>
        <v>179.74</v>
      </c>
      <c r="I1090" s="268">
        <f>IFERROR(__xludf.DUMMYFUNCTION("""COMPUTED_VALUE"""),287.584)</f>
        <v>287.584</v>
      </c>
      <c r="J1090" s="377"/>
      <c r="K1090" s="265"/>
      <c r="L1090" s="265"/>
      <c r="M1090" s="269"/>
      <c r="N1090" s="270"/>
      <c r="O1090" s="271"/>
      <c r="P1090" s="271"/>
      <c r="Q1090" s="272"/>
      <c r="R1090" s="273"/>
      <c r="S1090" s="273"/>
      <c r="T1090" s="273"/>
      <c r="U1090" s="274"/>
      <c r="V1090" s="263"/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</row>
    <row r="1091">
      <c r="A1091" s="165">
        <f>IFERROR(__xludf.DUMMYFUNCTION("""COMPUTED_VALUE"""),8733637.0)</f>
        <v>8733637</v>
      </c>
      <c r="B1091" s="166" t="str">
        <f>IFERROR(__xludf.DUMMYFUNCTION("""COMPUTED_VALUE"""),"BookingCom")</f>
        <v>BookingCom</v>
      </c>
      <c r="C1091" s="166" t="str">
        <f>IFERROR(__xludf.DUMMYFUNCTION("""COMPUTED_VALUE"""),"Alina Berger ")</f>
        <v>Alina Berger </v>
      </c>
      <c r="D1091" s="165">
        <f>IFERROR(__xludf.DUMMYFUNCTION("""COMPUTED_VALUE"""),46386.0)</f>
        <v>46386</v>
      </c>
      <c r="E1091" s="165">
        <f>IFERROR(__xludf.DUMMYFUNCTION("""COMPUTED_VALUE"""),46388.0)</f>
        <v>46388</v>
      </c>
      <c r="F1091" s="377">
        <f>IFERROR(__xludf.DUMMYFUNCTION("""COMPUTED_VALUE"""),2.0)</f>
        <v>2</v>
      </c>
      <c r="G1091" s="377">
        <f>IFERROR(__xludf.DUMMYFUNCTION("""COMPUTED_VALUE"""),2.0)</f>
        <v>2</v>
      </c>
      <c r="H1091" s="378">
        <f>IFERROR(__xludf.DUMMYFUNCTION("""COMPUTED_VALUE"""),149.16)</f>
        <v>149.16</v>
      </c>
      <c r="I1091" s="378">
        <f>IFERROR(__xludf.DUMMYFUNCTION("""COMPUTED_VALUE"""),238.656)</f>
        <v>238.656</v>
      </c>
      <c r="J1091" s="377"/>
      <c r="K1091" s="166"/>
      <c r="L1091" s="166"/>
      <c r="M1091" s="166"/>
      <c r="N1091" s="170"/>
      <c r="O1091" s="171"/>
      <c r="P1091" s="171"/>
      <c r="Q1091" s="172"/>
      <c r="R1091" s="173"/>
      <c r="S1091" s="173"/>
      <c r="T1091" s="173"/>
      <c r="U1091" s="174"/>
      <c r="V1091" s="16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</row>
    <row r="1092">
      <c r="A1092" s="165">
        <f>IFERROR(__xludf.DUMMYFUNCTION("""COMPUTED_VALUE"""),8737108.0)</f>
        <v>8737108</v>
      </c>
      <c r="B1092" s="166" t="str">
        <f>IFERROR(__xludf.DUMMYFUNCTION("""COMPUTED_VALUE"""),"BookingCom")</f>
        <v>BookingCom</v>
      </c>
      <c r="C1092" s="166" t="str">
        <f>IFERROR(__xludf.DUMMYFUNCTION("""COMPUTED_VALUE"""),"Jean DUCHATEL ")</f>
        <v>Jean DUCHATEL </v>
      </c>
      <c r="D1092" s="165">
        <f>IFERROR(__xludf.DUMMYFUNCTION("""COMPUTED_VALUE"""),46284.0)</f>
        <v>46284</v>
      </c>
      <c r="E1092" s="165">
        <f>IFERROR(__xludf.DUMMYFUNCTION("""COMPUTED_VALUE"""),46290.0)</f>
        <v>46290</v>
      </c>
      <c r="F1092" s="377">
        <f>IFERROR(__xludf.DUMMYFUNCTION("""COMPUTED_VALUE"""),2.0)</f>
        <v>2</v>
      </c>
      <c r="G1092" s="377">
        <f>IFERROR(__xludf.DUMMYFUNCTION("""COMPUTED_VALUE"""),2.0)</f>
        <v>2</v>
      </c>
      <c r="H1092" s="378">
        <f>IFERROR(__xludf.DUMMYFUNCTION("""COMPUTED_VALUE"""),151.67)</f>
        <v>151.67</v>
      </c>
      <c r="I1092" s="378">
        <f>IFERROR(__xludf.DUMMYFUNCTION("""COMPUTED_VALUE"""),242.672)</f>
        <v>242.672</v>
      </c>
      <c r="J1092" s="377"/>
      <c r="K1092" s="166"/>
      <c r="L1092" s="166"/>
      <c r="M1092" s="205"/>
      <c r="N1092" s="170"/>
      <c r="O1092" s="171"/>
      <c r="P1092" s="171"/>
      <c r="Q1092" s="172"/>
      <c r="R1092" s="173"/>
      <c r="S1092" s="173"/>
      <c r="T1092" s="173"/>
      <c r="U1092" s="174"/>
      <c r="V1092" s="16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</row>
    <row r="1093">
      <c r="A1093" s="165">
        <f>IFERROR(__xludf.DUMMYFUNCTION("""COMPUTED_VALUE"""),8739301.0)</f>
        <v>8739301</v>
      </c>
      <c r="B1093" s="166" t="str">
        <f>IFERROR(__xludf.DUMMYFUNCTION("""COMPUTED_VALUE"""),"BookingCom")</f>
        <v>BookingCom</v>
      </c>
      <c r="C1093" s="166" t="str">
        <f>IFERROR(__xludf.DUMMYFUNCTION("""COMPUTED_VALUE"""),"Jean-Jacques Suter ")</f>
        <v>Jean-Jacques Suter </v>
      </c>
      <c r="D1093" s="165">
        <f>IFERROR(__xludf.DUMMYFUNCTION("""COMPUTED_VALUE"""),46377.0)</f>
        <v>46377</v>
      </c>
      <c r="E1093" s="165">
        <f>IFERROR(__xludf.DUMMYFUNCTION("""COMPUTED_VALUE"""),46386.0)</f>
        <v>46386</v>
      </c>
      <c r="F1093" s="377">
        <f>IFERROR(__xludf.DUMMYFUNCTION("""COMPUTED_VALUE"""),9.0)</f>
        <v>9</v>
      </c>
      <c r="G1093" s="377">
        <f>IFERROR(__xludf.DUMMYFUNCTION("""COMPUTED_VALUE"""),2.0)</f>
        <v>2</v>
      </c>
      <c r="H1093" s="378">
        <f>IFERROR(__xludf.DUMMYFUNCTION("""COMPUTED_VALUE"""),198.02222222222224)</f>
        <v>198.0222222</v>
      </c>
      <c r="I1093" s="378">
        <f>IFERROR(__xludf.DUMMYFUNCTION("""COMPUTED_VALUE"""),1425.7600000000002)</f>
        <v>1425.76</v>
      </c>
      <c r="J1093" s="377"/>
      <c r="K1093" s="166"/>
      <c r="L1093" s="166"/>
      <c r="M1093" s="166"/>
      <c r="N1093" s="170"/>
      <c r="O1093" s="171"/>
      <c r="P1093" s="171"/>
      <c r="Q1093" s="172"/>
      <c r="R1093" s="173"/>
      <c r="S1093" s="173"/>
      <c r="T1093" s="173"/>
      <c r="U1093" s="174"/>
      <c r="V1093" s="16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</row>
    <row r="1094">
      <c r="A1094" s="165">
        <f>IFERROR(__xludf.DUMMYFUNCTION("""COMPUTED_VALUE"""),8747314.0)</f>
        <v>8747314</v>
      </c>
      <c r="B1094" s="166" t="str">
        <f>IFERROR(__xludf.DUMMYFUNCTION("""COMPUTED_VALUE"""),"BookingCom")</f>
        <v>BookingCom</v>
      </c>
      <c r="C1094" s="166" t="str">
        <f>IFERROR(__xludf.DUMMYFUNCTION("""COMPUTED_VALUE"""),"Alexander Gillen ")</f>
        <v>Alexander Gillen </v>
      </c>
      <c r="D1094" s="165">
        <f>IFERROR(__xludf.DUMMYFUNCTION("""COMPUTED_VALUE"""),46197.0)</f>
        <v>46197</v>
      </c>
      <c r="E1094" s="165">
        <f>IFERROR(__xludf.DUMMYFUNCTION("""COMPUTED_VALUE"""),46198.0)</f>
        <v>46198</v>
      </c>
      <c r="F1094" s="377">
        <f>IFERROR(__xludf.DUMMYFUNCTION("""COMPUTED_VALUE"""),1.0)</f>
        <v>1</v>
      </c>
      <c r="G1094" s="377">
        <f>IFERROR(__xludf.DUMMYFUNCTION("""COMPUTED_VALUE"""),1.0)</f>
        <v>1</v>
      </c>
      <c r="H1094" s="378">
        <f>IFERROR(__xludf.DUMMYFUNCTION("""COMPUTED_VALUE"""),134.91)</f>
        <v>134.91</v>
      </c>
      <c r="I1094" s="378">
        <f>IFERROR(__xludf.DUMMYFUNCTION("""COMPUTED_VALUE"""),107.928)</f>
        <v>107.928</v>
      </c>
      <c r="J1094" s="377"/>
      <c r="K1094" s="166"/>
      <c r="L1094" s="166"/>
      <c r="M1094" s="166"/>
      <c r="N1094" s="170"/>
      <c r="O1094" s="171"/>
      <c r="P1094" s="171"/>
      <c r="Q1094" s="172"/>
      <c r="R1094" s="173"/>
      <c r="S1094" s="173"/>
      <c r="T1094" s="173"/>
      <c r="U1094" s="174"/>
      <c r="V1094" s="16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</row>
    <row r="1095">
      <c r="A1095" s="165">
        <f>IFERROR(__xludf.DUMMYFUNCTION("""COMPUTED_VALUE"""),8747718.0)</f>
        <v>8747718</v>
      </c>
      <c r="B1095" s="166" t="str">
        <f>IFERROR(__xludf.DUMMYFUNCTION("""COMPUTED_VALUE"""),"Reseliva")</f>
        <v>Reseliva</v>
      </c>
      <c r="C1095" s="166" t="str">
        <f>IFERROR(__xludf.DUMMYFUNCTION("""COMPUTED_VALUE"""),"Margaret Dempster ")</f>
        <v>Margaret Dempster </v>
      </c>
      <c r="D1095" s="165">
        <f>IFERROR(__xludf.DUMMYFUNCTION("""COMPUTED_VALUE"""),46478.0)</f>
        <v>46478</v>
      </c>
      <c r="E1095" s="165">
        <f>IFERROR(__xludf.DUMMYFUNCTION("""COMPUTED_VALUE"""),46479.0)</f>
        <v>46479</v>
      </c>
      <c r="F1095" s="377">
        <f>IFERROR(__xludf.DUMMYFUNCTION("""COMPUTED_VALUE"""),1.0)</f>
        <v>1</v>
      </c>
      <c r="G1095" s="377">
        <f>IFERROR(__xludf.DUMMYFUNCTION("""COMPUTED_VALUE"""),1.0)</f>
        <v>1</v>
      </c>
      <c r="H1095" s="378">
        <f>IFERROR(__xludf.DUMMYFUNCTION("""COMPUTED_VALUE"""),210.24)</f>
        <v>210.24</v>
      </c>
      <c r="I1095" s="378">
        <f>IFERROR(__xludf.DUMMYFUNCTION("""COMPUTED_VALUE"""),208.13760000000002)</f>
        <v>208.1376</v>
      </c>
      <c r="J1095" s="267"/>
      <c r="K1095" s="166"/>
      <c r="L1095" s="166"/>
      <c r="M1095" s="205"/>
      <c r="N1095" s="170"/>
      <c r="O1095" s="171"/>
      <c r="P1095" s="171"/>
      <c r="Q1095" s="172"/>
      <c r="R1095" s="173"/>
      <c r="S1095" s="173"/>
      <c r="T1095" s="173"/>
      <c r="U1095" s="174"/>
      <c r="V1095" s="165"/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</row>
    <row r="1096">
      <c r="A1096" s="165">
        <f>IFERROR(__xludf.DUMMYFUNCTION("""COMPUTED_VALUE"""),8753672.0)</f>
        <v>8753672</v>
      </c>
      <c r="B1096" s="166" t="str">
        <f>IFERROR(__xludf.DUMMYFUNCTION("""COMPUTED_VALUE"""),"Reseliva Pannel")</f>
        <v>Reseliva Pannel</v>
      </c>
      <c r="C1096" s="166" t="str">
        <f>IFERROR(__xludf.DUMMYFUNCTION("""COMPUTED_VALUE"""),"Travaux travaux ")</f>
        <v>Travaux travaux </v>
      </c>
      <c r="D1096" s="165">
        <f>IFERROR(__xludf.DUMMYFUNCTION("""COMPUTED_VALUE"""),46202.0)</f>
        <v>46202</v>
      </c>
      <c r="E1096" s="165">
        <f>IFERROR(__xludf.DUMMYFUNCTION("""COMPUTED_VALUE"""),46218.0)</f>
        <v>46218</v>
      </c>
      <c r="F1096" s="377">
        <f>IFERROR(__xludf.DUMMYFUNCTION("""COMPUTED_VALUE"""),16.0)</f>
        <v>16</v>
      </c>
      <c r="G1096" s="377">
        <f>IFERROR(__xludf.DUMMYFUNCTION("""COMPUTED_VALUE"""),2.0)</f>
        <v>2</v>
      </c>
      <c r="H1096" s="378">
        <f>IFERROR(__xludf.DUMMYFUNCTION("""COMPUTED_VALUE"""),225.36)</f>
        <v>225.36</v>
      </c>
      <c r="I1096" s="378">
        <f>IFERROR(__xludf.DUMMYFUNCTION("""COMPUTED_VALUE"""),3605.76)</f>
        <v>3605.76</v>
      </c>
      <c r="J1096" s="377"/>
      <c r="K1096" s="166"/>
      <c r="L1096" s="166"/>
      <c r="M1096" s="166"/>
      <c r="N1096" s="170"/>
      <c r="O1096" s="171"/>
      <c r="P1096" s="171"/>
      <c r="Q1096" s="172"/>
      <c r="R1096" s="173"/>
      <c r="S1096" s="173"/>
      <c r="T1096" s="173"/>
      <c r="U1096" s="174"/>
      <c r="V1096" s="165"/>
      <c r="W1096" s="188"/>
      <c r="X1096" s="188"/>
      <c r="Y1096" s="188"/>
      <c r="Z1096" s="188"/>
      <c r="AA1096" s="188"/>
      <c r="AB1096" s="188"/>
      <c r="AC1096" s="188"/>
      <c r="AD1096" s="188"/>
      <c r="AE1096" s="188"/>
      <c r="AF1096" s="188"/>
      <c r="AG1096" s="188"/>
      <c r="AH1096" s="188"/>
      <c r="AI1096" s="188"/>
    </row>
    <row r="1097">
      <c r="A1097" s="165">
        <f>IFERROR(__xludf.DUMMYFUNCTION("""COMPUTED_VALUE"""),8754090.0)</f>
        <v>8754090</v>
      </c>
      <c r="B1097" s="166" t="str">
        <f>IFERROR(__xludf.DUMMYFUNCTION("""COMPUTED_VALUE"""),"BookingCom")</f>
        <v>BookingCom</v>
      </c>
      <c r="C1097" s="166" t="str">
        <f>IFERROR(__xludf.DUMMYFUNCTION("""COMPUTED_VALUE"""),"Jamil Ajjane ")</f>
        <v>Jamil Ajjane </v>
      </c>
      <c r="D1097" s="165">
        <f>IFERROR(__xludf.DUMMYFUNCTION("""COMPUTED_VALUE"""),46235.0)</f>
        <v>46235</v>
      </c>
      <c r="E1097" s="165">
        <f>IFERROR(__xludf.DUMMYFUNCTION("""COMPUTED_VALUE"""),46237.0)</f>
        <v>46237</v>
      </c>
      <c r="F1097" s="377">
        <f>IFERROR(__xludf.DUMMYFUNCTION("""COMPUTED_VALUE"""),2.0)</f>
        <v>2</v>
      </c>
      <c r="G1097" s="377">
        <f>IFERROR(__xludf.DUMMYFUNCTION("""COMPUTED_VALUE"""),2.0)</f>
        <v>2</v>
      </c>
      <c r="H1097" s="378">
        <f>IFERROR(__xludf.DUMMYFUNCTION("""COMPUTED_VALUE"""),154.46)</f>
        <v>154.46</v>
      </c>
      <c r="I1097" s="378">
        <f>IFERROR(__xludf.DUMMYFUNCTION("""COMPUTED_VALUE"""),247.13600000000002)</f>
        <v>247.136</v>
      </c>
      <c r="J1097" s="377"/>
      <c r="K1097" s="166"/>
      <c r="L1097" s="166"/>
      <c r="M1097" s="166"/>
      <c r="N1097" s="170"/>
      <c r="O1097" s="171"/>
      <c r="P1097" s="171"/>
      <c r="Q1097" s="169"/>
      <c r="R1097" s="173"/>
      <c r="S1097" s="173"/>
      <c r="T1097" s="173"/>
      <c r="U1097" s="174"/>
      <c r="V1097" s="16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</row>
    <row r="1098">
      <c r="A1098" s="165">
        <f>IFERROR(__xludf.DUMMYFUNCTION("""COMPUTED_VALUE"""),8755598.0)</f>
        <v>8755598</v>
      </c>
      <c r="B1098" s="166" t="str">
        <f>IFERROR(__xludf.DUMMYFUNCTION("""COMPUTED_VALUE"""),"BookingCom")</f>
        <v>BookingCom</v>
      </c>
      <c r="C1098" s="166" t="str">
        <f>IFERROR(__xludf.DUMMYFUNCTION("""COMPUTED_VALUE"""),"MAVIYA NOOR MOHAMMADI ")</f>
        <v>MAVIYA NOOR MOHAMMADI </v>
      </c>
      <c r="D1098" s="165">
        <f>IFERROR(__xludf.DUMMYFUNCTION("""COMPUTED_VALUE"""),46386.0)</f>
        <v>46386</v>
      </c>
      <c r="E1098" s="165">
        <f>IFERROR(__xludf.DUMMYFUNCTION("""COMPUTED_VALUE"""),46391.0)</f>
        <v>46391</v>
      </c>
      <c r="F1098" s="377">
        <f>IFERROR(__xludf.DUMMYFUNCTION("""COMPUTED_VALUE"""),5.0)</f>
        <v>5</v>
      </c>
      <c r="G1098" s="377">
        <f>IFERROR(__xludf.DUMMYFUNCTION("""COMPUTED_VALUE"""),3.0)</f>
        <v>3</v>
      </c>
      <c r="H1098" s="378">
        <f>IFERROR(__xludf.DUMMYFUNCTION("""COMPUTED_VALUE"""),231.16)</f>
        <v>231.16</v>
      </c>
      <c r="I1098" s="378">
        <f>IFERROR(__xludf.DUMMYFUNCTION("""COMPUTED_VALUE"""),924.64)</f>
        <v>924.64</v>
      </c>
      <c r="J1098" s="377"/>
      <c r="K1098" s="166"/>
      <c r="L1098" s="166"/>
      <c r="M1098" s="205"/>
      <c r="N1098" s="170"/>
      <c r="O1098" s="171"/>
      <c r="P1098" s="171"/>
      <c r="Q1098" s="169"/>
      <c r="R1098" s="173"/>
      <c r="S1098" s="173"/>
      <c r="T1098" s="173"/>
      <c r="U1098" s="174"/>
      <c r="V1098" s="165"/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</row>
    <row r="1099">
      <c r="A1099" s="165">
        <f>IFERROR(__xludf.DUMMYFUNCTION("""COMPUTED_VALUE"""),8766385.0)</f>
        <v>8766385</v>
      </c>
      <c r="B1099" s="166" t="str">
        <f>IFERROR(__xludf.DUMMYFUNCTION("""COMPUTED_VALUE"""),"BookingCom")</f>
        <v>BookingCom</v>
      </c>
      <c r="C1099" s="166" t="str">
        <f>IFERROR(__xludf.DUMMYFUNCTION("""COMPUTED_VALUE"""),"Stephanie Bach ")</f>
        <v>Stephanie Bach </v>
      </c>
      <c r="D1099" s="165">
        <f>IFERROR(__xludf.DUMMYFUNCTION("""COMPUTED_VALUE"""),46302.0)</f>
        <v>46302</v>
      </c>
      <c r="E1099" s="165">
        <f>IFERROR(__xludf.DUMMYFUNCTION("""COMPUTED_VALUE"""),46305.0)</f>
        <v>46305</v>
      </c>
      <c r="F1099" s="377">
        <f>IFERROR(__xludf.DUMMYFUNCTION("""COMPUTED_VALUE"""),3.0)</f>
        <v>3</v>
      </c>
      <c r="G1099" s="377">
        <f>IFERROR(__xludf.DUMMYFUNCTION("""COMPUTED_VALUE"""),3.0)</f>
        <v>3</v>
      </c>
      <c r="H1099" s="378">
        <f>IFERROR(__xludf.DUMMYFUNCTION("""COMPUTED_VALUE"""),184.88)</f>
        <v>184.88</v>
      </c>
      <c r="I1099" s="378">
        <f>IFERROR(__xludf.DUMMYFUNCTION("""COMPUTED_VALUE"""),443.712)</f>
        <v>443.712</v>
      </c>
      <c r="J1099" s="377"/>
      <c r="K1099" s="166"/>
      <c r="L1099" s="166"/>
      <c r="M1099" s="205"/>
      <c r="N1099" s="170"/>
      <c r="O1099" s="171"/>
      <c r="P1099" s="171"/>
      <c r="Q1099" s="172"/>
      <c r="R1099" s="173"/>
      <c r="S1099" s="173"/>
      <c r="T1099" s="173"/>
      <c r="U1099" s="174"/>
      <c r="V1099" s="16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</row>
    <row r="1100">
      <c r="A1100" s="263">
        <f>IFERROR(__xludf.DUMMYFUNCTION("""COMPUTED_VALUE"""),8766510.0)</f>
        <v>8766510</v>
      </c>
      <c r="B1100" s="264" t="str">
        <f>IFERROR(__xludf.DUMMYFUNCTION("""COMPUTED_VALUE"""),"BookingCom")</f>
        <v>BookingCom</v>
      </c>
      <c r="C1100" s="265" t="str">
        <f>IFERROR(__xludf.DUMMYFUNCTION("""COMPUTED_VALUE"""),"Sandra Finnegan ")</f>
        <v>Sandra Finnegan </v>
      </c>
      <c r="D1100" s="266">
        <f>IFERROR(__xludf.DUMMYFUNCTION("""COMPUTED_VALUE"""),46242.0)</f>
        <v>46242</v>
      </c>
      <c r="E1100" s="263">
        <f>IFERROR(__xludf.DUMMYFUNCTION("""COMPUTED_VALUE"""),46245.0)</f>
        <v>46245</v>
      </c>
      <c r="F1100" s="267">
        <f>IFERROR(__xludf.DUMMYFUNCTION("""COMPUTED_VALUE"""),3.0)</f>
        <v>3</v>
      </c>
      <c r="G1100" s="267">
        <f>IFERROR(__xludf.DUMMYFUNCTION("""COMPUTED_VALUE"""),2.0)</f>
        <v>2</v>
      </c>
      <c r="H1100" s="268">
        <f>IFERROR(__xludf.DUMMYFUNCTION("""COMPUTED_VALUE"""),153.68)</f>
        <v>153.68</v>
      </c>
      <c r="I1100" s="268">
        <f>IFERROR(__xludf.DUMMYFUNCTION("""COMPUTED_VALUE"""),368.83200000000005)</f>
        <v>368.832</v>
      </c>
      <c r="J1100" s="377"/>
      <c r="K1100" s="265"/>
      <c r="L1100" s="265"/>
      <c r="M1100" s="269"/>
      <c r="N1100" s="270"/>
      <c r="O1100" s="271"/>
      <c r="P1100" s="271"/>
      <c r="Q1100" s="272"/>
      <c r="R1100" s="273"/>
      <c r="S1100" s="273"/>
      <c r="T1100" s="273"/>
      <c r="U1100" s="274"/>
      <c r="V1100" s="263"/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</row>
    <row r="1101">
      <c r="A1101" s="165">
        <f>IFERROR(__xludf.DUMMYFUNCTION("""COMPUTED_VALUE"""),8772522.0)</f>
        <v>8772522</v>
      </c>
      <c r="B1101" s="166" t="str">
        <f>IFERROR(__xludf.DUMMYFUNCTION("""COMPUTED_VALUE"""),"Reseliva Pannel")</f>
        <v>Reseliva Pannel</v>
      </c>
      <c r="C1101" s="166" t="str">
        <f>IFERROR(__xludf.DUMMYFUNCTION("""COMPUTED_VALUE"""),"Marine legrande ")</f>
        <v>Marine legrande </v>
      </c>
      <c r="D1101" s="165">
        <f>IFERROR(__xludf.DUMMYFUNCTION("""COMPUTED_VALUE"""),46207.0)</f>
        <v>46207</v>
      </c>
      <c r="E1101" s="165">
        <f>IFERROR(__xludf.DUMMYFUNCTION("""COMPUTED_VALUE"""),46214.0)</f>
        <v>46214</v>
      </c>
      <c r="F1101" s="377">
        <f>IFERROR(__xludf.DUMMYFUNCTION("""COMPUTED_VALUE"""),7.0)</f>
        <v>7</v>
      </c>
      <c r="G1101" s="377">
        <f>IFERROR(__xludf.DUMMYFUNCTION("""COMPUTED_VALUE"""),2.0)</f>
        <v>2</v>
      </c>
      <c r="H1101" s="378">
        <f>IFERROR(__xludf.DUMMYFUNCTION("""COMPUTED_VALUE"""),225.35999999999999)</f>
        <v>225.36</v>
      </c>
      <c r="I1101" s="378">
        <f>IFERROR(__xludf.DUMMYFUNCTION("""COMPUTED_VALUE"""),1577.52)</f>
        <v>1577.52</v>
      </c>
      <c r="J1101" s="377"/>
      <c r="K1101" s="166"/>
      <c r="L1101" s="166"/>
      <c r="M1101" s="166"/>
      <c r="N1101" s="170"/>
      <c r="O1101" s="171"/>
      <c r="P1101" s="171"/>
      <c r="Q1101" s="172"/>
      <c r="R1101" s="173"/>
      <c r="S1101" s="173"/>
      <c r="T1101" s="173"/>
      <c r="U1101" s="174"/>
      <c r="V1101" s="16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</row>
    <row r="1102">
      <c r="A1102" s="165">
        <f>IFERROR(__xludf.DUMMYFUNCTION("""COMPUTED_VALUE"""),8773861.0)</f>
        <v>8773861</v>
      </c>
      <c r="B1102" s="166" t="str">
        <f>IFERROR(__xludf.DUMMYFUNCTION("""COMPUTED_VALUE"""),"Reseliva")</f>
        <v>Reseliva</v>
      </c>
      <c r="C1102" s="166" t="str">
        <f>IFERROR(__xludf.DUMMYFUNCTION("""COMPUTED_VALUE"""),"Wessal Riad Ambre ")</f>
        <v>Wessal Riad Ambre </v>
      </c>
      <c r="D1102" s="165">
        <f>IFERROR(__xludf.DUMMYFUNCTION("""COMPUTED_VALUE"""),46202.0)</f>
        <v>46202</v>
      </c>
      <c r="E1102" s="165">
        <f>IFERROR(__xludf.DUMMYFUNCTION("""COMPUTED_VALUE"""),46207.0)</f>
        <v>46207</v>
      </c>
      <c r="F1102" s="377">
        <f>IFERROR(__xludf.DUMMYFUNCTION("""COMPUTED_VALUE"""),5.0)</f>
        <v>5</v>
      </c>
      <c r="G1102" s="377">
        <f>IFERROR(__xludf.DUMMYFUNCTION("""COMPUTED_VALUE"""),2.0)</f>
        <v>2</v>
      </c>
      <c r="H1102" s="378">
        <f>IFERROR(__xludf.DUMMYFUNCTION("""COMPUTED_VALUE"""),181.44)</f>
        <v>181.44</v>
      </c>
      <c r="I1102" s="378">
        <f>IFERROR(__xludf.DUMMYFUNCTION("""COMPUTED_VALUE"""),898.1279999999999)</f>
        <v>898.128</v>
      </c>
      <c r="J1102" s="377"/>
      <c r="K1102" s="166"/>
      <c r="L1102" s="166"/>
      <c r="M1102" s="166"/>
      <c r="N1102" s="170"/>
      <c r="O1102" s="171"/>
      <c r="P1102" s="171"/>
      <c r="Q1102" s="172"/>
      <c r="R1102" s="173"/>
      <c r="S1102" s="173"/>
      <c r="T1102" s="173"/>
      <c r="U1102" s="174"/>
      <c r="V1102" s="16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</row>
    <row r="1103">
      <c r="A1103" s="165">
        <f>IFERROR(__xludf.DUMMYFUNCTION("""COMPUTED_VALUE"""),8775132.0)</f>
        <v>8775132</v>
      </c>
      <c r="B1103" s="166" t="str">
        <f>IFERROR(__xludf.DUMMYFUNCTION("""COMPUTED_VALUE"""),"Reseliva")</f>
        <v>Reseliva</v>
      </c>
      <c r="C1103" s="166" t="str">
        <f>IFERROR(__xludf.DUMMYFUNCTION("""COMPUTED_VALUE"""),"Massimo magni ")</f>
        <v>Massimo magni </v>
      </c>
      <c r="D1103" s="165">
        <f>IFERROR(__xludf.DUMMYFUNCTION("""COMPUTED_VALUE"""),46258.0)</f>
        <v>46258</v>
      </c>
      <c r="E1103" s="165">
        <f>IFERROR(__xludf.DUMMYFUNCTION("""COMPUTED_VALUE"""),46262.0)</f>
        <v>46262</v>
      </c>
      <c r="F1103" s="377">
        <f>IFERROR(__xludf.DUMMYFUNCTION("""COMPUTED_VALUE"""),4.0)</f>
        <v>4</v>
      </c>
      <c r="G1103" s="377">
        <f>IFERROR(__xludf.DUMMYFUNCTION("""COMPUTED_VALUE"""),2.0)</f>
        <v>2</v>
      </c>
      <c r="H1103" s="378">
        <f>IFERROR(__xludf.DUMMYFUNCTION("""COMPUTED_VALUE"""),200.16)</f>
        <v>200.16</v>
      </c>
      <c r="I1103" s="378">
        <f>IFERROR(__xludf.DUMMYFUNCTION("""COMPUTED_VALUE"""),792.6336)</f>
        <v>792.6336</v>
      </c>
      <c r="J1103" s="377"/>
      <c r="K1103" s="166"/>
      <c r="L1103" s="166"/>
      <c r="M1103" s="166"/>
      <c r="N1103" s="170"/>
      <c r="O1103" s="171"/>
      <c r="P1103" s="171"/>
      <c r="Q1103" s="172"/>
      <c r="R1103" s="173"/>
      <c r="S1103" s="173"/>
      <c r="T1103" s="173"/>
      <c r="U1103" s="174"/>
      <c r="V1103" s="165"/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</row>
    <row r="1104">
      <c r="A1104" s="165">
        <f>IFERROR(__xludf.DUMMYFUNCTION("""COMPUTED_VALUE"""),8776791.0)</f>
        <v>8776791</v>
      </c>
      <c r="B1104" s="166" t="str">
        <f>IFERROR(__xludf.DUMMYFUNCTION("""COMPUTED_VALUE"""),"BookingCom")</f>
        <v>BookingCom</v>
      </c>
      <c r="C1104" s="166" t="str">
        <f>IFERROR(__xludf.DUMMYFUNCTION("""COMPUTED_VALUE"""),"Martin Veitzman ")</f>
        <v>Martin Veitzman </v>
      </c>
      <c r="D1104" s="165">
        <f>IFERROR(__xludf.DUMMYFUNCTION("""COMPUTED_VALUE"""),46284.0)</f>
        <v>46284</v>
      </c>
      <c r="E1104" s="165">
        <f>IFERROR(__xludf.DUMMYFUNCTION("""COMPUTED_VALUE"""),46285.0)</f>
        <v>46285</v>
      </c>
      <c r="F1104" s="377">
        <f>IFERROR(__xludf.DUMMYFUNCTION("""COMPUTED_VALUE"""),1.0)</f>
        <v>1</v>
      </c>
      <c r="G1104" s="377">
        <f>IFERROR(__xludf.DUMMYFUNCTION("""COMPUTED_VALUE"""),5.0)</f>
        <v>5</v>
      </c>
      <c r="H1104" s="378">
        <f>IFERROR(__xludf.DUMMYFUNCTION("""COMPUTED_VALUE"""),357.31)</f>
        <v>357.31</v>
      </c>
      <c r="I1104" s="378">
        <f>IFERROR(__xludf.DUMMYFUNCTION("""COMPUTED_VALUE"""),285.848)</f>
        <v>285.848</v>
      </c>
      <c r="J1104" s="377"/>
      <c r="K1104" s="166"/>
      <c r="L1104" s="166"/>
      <c r="M1104" s="205"/>
      <c r="N1104" s="170"/>
      <c r="O1104" s="171"/>
      <c r="P1104" s="171"/>
      <c r="Q1104" s="172"/>
      <c r="R1104" s="173"/>
      <c r="S1104" s="173"/>
      <c r="T1104" s="173"/>
      <c r="U1104" s="174"/>
      <c r="V1104" s="16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</row>
    <row r="1105">
      <c r="A1105" s="165">
        <f>IFERROR(__xludf.DUMMYFUNCTION("""COMPUTED_VALUE"""),8779197.0)</f>
        <v>8779197</v>
      </c>
      <c r="B1105" s="166" t="str">
        <f>IFERROR(__xludf.DUMMYFUNCTION("""COMPUTED_VALUE"""),"BookingCom")</f>
        <v>BookingCom</v>
      </c>
      <c r="C1105" s="166" t="str">
        <f>IFERROR(__xludf.DUMMYFUNCTION("""COMPUTED_VALUE"""),"Benjamin Bratby ")</f>
        <v>Benjamin Bratby </v>
      </c>
      <c r="D1105" s="165">
        <f>IFERROR(__xludf.DUMMYFUNCTION("""COMPUTED_VALUE"""),46510.0)</f>
        <v>46510</v>
      </c>
      <c r="E1105" s="165">
        <f>IFERROR(__xludf.DUMMYFUNCTION("""COMPUTED_VALUE"""),46511.0)</f>
        <v>46511</v>
      </c>
      <c r="F1105" s="377">
        <f>IFERROR(__xludf.DUMMYFUNCTION("""COMPUTED_VALUE"""),1.0)</f>
        <v>1</v>
      </c>
      <c r="G1105" s="377">
        <f>IFERROR(__xludf.DUMMYFUNCTION("""COMPUTED_VALUE"""),2.0)</f>
        <v>2</v>
      </c>
      <c r="H1105" s="378">
        <f>IFERROR(__xludf.DUMMYFUNCTION("""COMPUTED_VALUE"""),294.24)</f>
        <v>294.24</v>
      </c>
      <c r="I1105" s="378">
        <f>IFERROR(__xludf.DUMMYFUNCTION("""COMPUTED_VALUE"""),235.39200000000002)</f>
        <v>235.392</v>
      </c>
      <c r="J1105" s="267"/>
      <c r="K1105" s="166"/>
      <c r="L1105" s="166"/>
      <c r="M1105" s="166"/>
      <c r="N1105" s="170"/>
      <c r="O1105" s="171"/>
      <c r="P1105" s="171"/>
      <c r="Q1105" s="172"/>
      <c r="R1105" s="173"/>
      <c r="S1105" s="173"/>
      <c r="T1105" s="173"/>
      <c r="U1105" s="174"/>
      <c r="V1105" s="165"/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</row>
    <row r="1106">
      <c r="A1106" s="165">
        <f>IFERROR(__xludf.DUMMYFUNCTION("""COMPUTED_VALUE"""),8779197.0)</f>
        <v>8779197</v>
      </c>
      <c r="B1106" s="166" t="str">
        <f>IFERROR(__xludf.DUMMYFUNCTION("""COMPUTED_VALUE"""),"BookingCom")</f>
        <v>BookingCom</v>
      </c>
      <c r="C1106" s="166" t="str">
        <f>IFERROR(__xludf.DUMMYFUNCTION("""COMPUTED_VALUE"""),"Benjamin Bratby ")</f>
        <v>Benjamin Bratby </v>
      </c>
      <c r="D1106" s="165">
        <f>IFERROR(__xludf.DUMMYFUNCTION("""COMPUTED_VALUE"""),46510.0)</f>
        <v>46510</v>
      </c>
      <c r="E1106" s="165">
        <f>IFERROR(__xludf.DUMMYFUNCTION("""COMPUTED_VALUE"""),46511.0)</f>
        <v>46511</v>
      </c>
      <c r="F1106" s="377">
        <f>IFERROR(__xludf.DUMMYFUNCTION("""COMPUTED_VALUE"""),1.0)</f>
        <v>1</v>
      </c>
      <c r="G1106" s="377">
        <f>IFERROR(__xludf.DUMMYFUNCTION("""COMPUTED_VALUE"""),2.0)</f>
        <v>2</v>
      </c>
      <c r="H1106" s="378">
        <f>IFERROR(__xludf.DUMMYFUNCTION("""COMPUTED_VALUE"""),204.24)</f>
        <v>204.24</v>
      </c>
      <c r="I1106" s="378">
        <f>IFERROR(__xludf.DUMMYFUNCTION("""COMPUTED_VALUE"""),163.39200000000002)</f>
        <v>163.392</v>
      </c>
      <c r="J1106" s="377"/>
      <c r="K1106" s="166"/>
      <c r="L1106" s="166"/>
      <c r="M1106" s="205"/>
      <c r="N1106" s="170"/>
      <c r="O1106" s="171"/>
      <c r="P1106" s="171"/>
      <c r="Q1106" s="172"/>
      <c r="R1106" s="173"/>
      <c r="S1106" s="173"/>
      <c r="T1106" s="173"/>
      <c r="U1106" s="174"/>
      <c r="V1106" s="16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</row>
    <row r="1107">
      <c r="A1107" s="165">
        <f>IFERROR(__xludf.DUMMYFUNCTION("""COMPUTED_VALUE"""),8781009.0)</f>
        <v>8781009</v>
      </c>
      <c r="B1107" s="166" t="str">
        <f>IFERROR(__xludf.DUMMYFUNCTION("""COMPUTED_VALUE"""),"BookingCom")</f>
        <v>BookingCom</v>
      </c>
      <c r="C1107" s="166" t="str">
        <f>IFERROR(__xludf.DUMMYFUNCTION("""COMPUTED_VALUE"""),"Jasmine Kelly ")</f>
        <v>Jasmine Kelly </v>
      </c>
      <c r="D1107" s="165">
        <f>IFERROR(__xludf.DUMMYFUNCTION("""COMPUTED_VALUE"""),46636.0)</f>
        <v>46636</v>
      </c>
      <c r="E1107" s="165">
        <f>IFERROR(__xludf.DUMMYFUNCTION("""COMPUTED_VALUE"""),46641.0)</f>
        <v>46641</v>
      </c>
      <c r="F1107" s="377">
        <f>IFERROR(__xludf.DUMMYFUNCTION("""COMPUTED_VALUE"""),5.0)</f>
        <v>5</v>
      </c>
      <c r="G1107" s="377">
        <f>IFERROR(__xludf.DUMMYFUNCTION("""COMPUTED_VALUE"""),2.0)</f>
        <v>2</v>
      </c>
      <c r="H1107" s="378">
        <f>IFERROR(__xludf.DUMMYFUNCTION("""COMPUTED_VALUE"""),161.12)</f>
        <v>161.12</v>
      </c>
      <c r="I1107" s="378">
        <f>IFERROR(__xludf.DUMMYFUNCTION("""COMPUTED_VALUE"""),644.48)</f>
        <v>644.48</v>
      </c>
      <c r="J1107" s="377"/>
      <c r="K1107" s="166"/>
      <c r="L1107" s="166"/>
      <c r="M1107" s="166"/>
      <c r="N1107" s="170"/>
      <c r="O1107" s="171"/>
      <c r="P1107" s="171"/>
      <c r="Q1107" s="172"/>
      <c r="R1107" s="173"/>
      <c r="S1107" s="173"/>
      <c r="T1107" s="173"/>
      <c r="U1107" s="201"/>
      <c r="V1107" s="165"/>
      <c r="W1107" s="188"/>
      <c r="X1107" s="188"/>
      <c r="Y1107" s="188"/>
      <c r="Z1107" s="188"/>
      <c r="AA1107" s="188"/>
      <c r="AB1107" s="188"/>
      <c r="AC1107" s="188"/>
      <c r="AD1107" s="188"/>
      <c r="AE1107" s="188"/>
      <c r="AF1107" s="188"/>
      <c r="AG1107" s="188"/>
      <c r="AH1107" s="188"/>
      <c r="AI1107" s="188"/>
    </row>
    <row r="1108">
      <c r="A1108" s="165">
        <f>IFERROR(__xludf.DUMMYFUNCTION("""COMPUTED_VALUE"""),8783550.0)</f>
        <v>8783550</v>
      </c>
      <c r="B1108" s="166" t="str">
        <f>IFERROR(__xludf.DUMMYFUNCTION("""COMPUTED_VALUE"""),"BookingCom")</f>
        <v>BookingCom</v>
      </c>
      <c r="C1108" s="166" t="str">
        <f>IFERROR(__xludf.DUMMYFUNCTION("""COMPUTED_VALUE"""),"Yeray Sanchez Pizarro ")</f>
        <v>Yeray Sanchez Pizarro </v>
      </c>
      <c r="D1108" s="165">
        <f>IFERROR(__xludf.DUMMYFUNCTION("""COMPUTED_VALUE"""),46254.0)</f>
        <v>46254</v>
      </c>
      <c r="E1108" s="165">
        <f>IFERROR(__xludf.DUMMYFUNCTION("""COMPUTED_VALUE"""),46257.0)</f>
        <v>46257</v>
      </c>
      <c r="F1108" s="377">
        <f>IFERROR(__xludf.DUMMYFUNCTION("""COMPUTED_VALUE"""),3.0)</f>
        <v>3</v>
      </c>
      <c r="G1108" s="377">
        <f>IFERROR(__xludf.DUMMYFUNCTION("""COMPUTED_VALUE"""),2.0)</f>
        <v>2</v>
      </c>
      <c r="H1108" s="378">
        <f>IFERROR(__xludf.DUMMYFUNCTION("""COMPUTED_VALUE"""),109.33999999999999)</f>
        <v>109.34</v>
      </c>
      <c r="I1108" s="378">
        <f>IFERROR(__xludf.DUMMYFUNCTION("""COMPUTED_VALUE"""),262.416)</f>
        <v>262.416</v>
      </c>
      <c r="J1108" s="377"/>
      <c r="K1108" s="166"/>
      <c r="L1108" s="166"/>
      <c r="M1108" s="205"/>
      <c r="N1108" s="170"/>
      <c r="O1108" s="171"/>
      <c r="P1108" s="171"/>
      <c r="Q1108" s="172"/>
      <c r="R1108" s="173"/>
      <c r="S1108" s="173"/>
      <c r="T1108" s="173"/>
      <c r="U1108" s="174"/>
      <c r="V1108" s="165"/>
      <c r="W1108" s="35"/>
      <c r="X1108" s="35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</row>
    <row r="1109">
      <c r="A1109" s="165">
        <f>IFERROR(__xludf.DUMMYFUNCTION("""COMPUTED_VALUE"""),8783550.0)</f>
        <v>8783550</v>
      </c>
      <c r="B1109" s="166" t="str">
        <f>IFERROR(__xludf.DUMMYFUNCTION("""COMPUTED_VALUE"""),"BookingCom")</f>
        <v>BookingCom</v>
      </c>
      <c r="C1109" s="166" t="str">
        <f>IFERROR(__xludf.DUMMYFUNCTION("""COMPUTED_VALUE"""),"Yeray Sanchez Pizarro ")</f>
        <v>Yeray Sanchez Pizarro </v>
      </c>
      <c r="D1109" s="165">
        <f>IFERROR(__xludf.DUMMYFUNCTION("""COMPUTED_VALUE"""),46254.0)</f>
        <v>46254</v>
      </c>
      <c r="E1109" s="165">
        <f>IFERROR(__xludf.DUMMYFUNCTION("""COMPUTED_VALUE"""),46257.0)</f>
        <v>46257</v>
      </c>
      <c r="F1109" s="377">
        <f>IFERROR(__xludf.DUMMYFUNCTION("""COMPUTED_VALUE"""),3.0)</f>
        <v>3</v>
      </c>
      <c r="G1109" s="377">
        <f>IFERROR(__xludf.DUMMYFUNCTION("""COMPUTED_VALUE"""),2.0)</f>
        <v>2</v>
      </c>
      <c r="H1109" s="378">
        <f>IFERROR(__xludf.DUMMYFUNCTION("""COMPUTED_VALUE"""),109.33999999999999)</f>
        <v>109.34</v>
      </c>
      <c r="I1109" s="378">
        <f>IFERROR(__xludf.DUMMYFUNCTION("""COMPUTED_VALUE"""),262.416)</f>
        <v>262.416</v>
      </c>
      <c r="J1109" s="377"/>
      <c r="K1109" s="166"/>
      <c r="L1109" s="166"/>
      <c r="M1109" s="166"/>
      <c r="N1109" s="170"/>
      <c r="O1109" s="171"/>
      <c r="P1109" s="171"/>
      <c r="Q1109" s="172"/>
      <c r="R1109" s="173"/>
      <c r="S1109" s="173"/>
      <c r="T1109" s="173"/>
      <c r="U1109" s="174"/>
      <c r="V1109" s="165"/>
      <c r="W1109" s="35"/>
      <c r="X1109" s="35"/>
      <c r="Y1109" s="35"/>
      <c r="Z1109" s="35"/>
      <c r="AA1109" s="35"/>
      <c r="AB1109" s="35"/>
      <c r="AC1109" s="35"/>
      <c r="AD1109" s="35"/>
      <c r="AE1109" s="35"/>
      <c r="AF1109" s="35"/>
      <c r="AG1109" s="35"/>
      <c r="AH1109" s="35"/>
      <c r="AI1109" s="35"/>
    </row>
    <row r="1110">
      <c r="A1110" s="165">
        <f>IFERROR(__xludf.DUMMYFUNCTION("""COMPUTED_VALUE"""),8784712.0)</f>
        <v>8784712</v>
      </c>
      <c r="B1110" s="166" t="str">
        <f>IFERROR(__xludf.DUMMYFUNCTION("""COMPUTED_VALUE"""),"Reseliva Pannel")</f>
        <v>Reseliva Pannel</v>
      </c>
      <c r="C1110" s="166" t="str">
        <f>IFERROR(__xludf.DUMMYFUNCTION("""COMPUTED_VALUE"""),"Wessal ibtissam ")</f>
        <v>Wessal ibtissam </v>
      </c>
      <c r="D1110" s="165">
        <f>IFERROR(__xludf.DUMMYFUNCTION("""COMPUTED_VALUE"""),46207.0)</f>
        <v>46207</v>
      </c>
      <c r="E1110" s="165">
        <f>IFERROR(__xludf.DUMMYFUNCTION("""COMPUTED_VALUE"""),46213.0)</f>
        <v>46213</v>
      </c>
      <c r="F1110" s="377">
        <f>IFERROR(__xludf.DUMMYFUNCTION("""COMPUTED_VALUE"""),6.0)</f>
        <v>6</v>
      </c>
      <c r="G1110" s="377">
        <f>IFERROR(__xludf.DUMMYFUNCTION("""COMPUTED_VALUE"""),2.0)</f>
        <v>2</v>
      </c>
      <c r="H1110" s="378">
        <f>IFERROR(__xludf.DUMMYFUNCTION("""COMPUTED_VALUE"""),181.44000000000003)</f>
        <v>181.44</v>
      </c>
      <c r="I1110" s="378">
        <f>IFERROR(__xludf.DUMMYFUNCTION("""COMPUTED_VALUE"""),1088.64)</f>
        <v>1088.64</v>
      </c>
      <c r="J1110" s="377"/>
      <c r="K1110" s="166"/>
      <c r="L1110" s="166"/>
      <c r="M1110" s="205"/>
      <c r="N1110" s="170"/>
      <c r="O1110" s="171"/>
      <c r="P1110" s="171"/>
      <c r="Q1110" s="172"/>
      <c r="R1110" s="173"/>
      <c r="S1110" s="173"/>
      <c r="T1110" s="173"/>
      <c r="U1110" s="174"/>
      <c r="V1110" s="165"/>
      <c r="W1110" s="35"/>
      <c r="X1110" s="35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</row>
    <row r="1111">
      <c r="A1111" s="165">
        <f>IFERROR(__xludf.DUMMYFUNCTION("""COMPUTED_VALUE"""),8792364.0)</f>
        <v>8792364</v>
      </c>
      <c r="B1111" s="166" t="str">
        <f>IFERROR(__xludf.DUMMYFUNCTION("""COMPUTED_VALUE"""),"BookingCom")</f>
        <v>BookingCom</v>
      </c>
      <c r="C1111" s="166" t="str">
        <f>IFERROR(__xludf.DUMMYFUNCTION("""COMPUTED_VALUE"""),"De Gennaro Angelo ")</f>
        <v>De Gennaro Angelo </v>
      </c>
      <c r="D1111" s="165">
        <f>IFERROR(__xludf.DUMMYFUNCTION("""COMPUTED_VALUE"""),46236.0)</f>
        <v>46236</v>
      </c>
      <c r="E1111" s="165">
        <f>IFERROR(__xludf.DUMMYFUNCTION("""COMPUTED_VALUE"""),46239.0)</f>
        <v>46239</v>
      </c>
      <c r="F1111" s="377">
        <f>IFERROR(__xludf.DUMMYFUNCTION("""COMPUTED_VALUE"""),3.0)</f>
        <v>3</v>
      </c>
      <c r="G1111" s="377">
        <f>IFERROR(__xludf.DUMMYFUNCTION("""COMPUTED_VALUE"""),2.0)</f>
        <v>2</v>
      </c>
      <c r="H1111" s="378">
        <f>IFERROR(__xludf.DUMMYFUNCTION("""COMPUTED_VALUE"""),137.43)</f>
        <v>137.43</v>
      </c>
      <c r="I1111" s="378">
        <f>IFERROR(__xludf.DUMMYFUNCTION("""COMPUTED_VALUE"""),329.83200000000005)</f>
        <v>329.832</v>
      </c>
      <c r="J1111" s="377"/>
      <c r="K1111" s="166"/>
      <c r="L1111" s="166"/>
      <c r="M1111" s="205"/>
      <c r="N1111" s="170"/>
      <c r="O1111" s="171"/>
      <c r="P1111" s="171"/>
      <c r="Q1111" s="172"/>
      <c r="R1111" s="173"/>
      <c r="S1111" s="173"/>
      <c r="T1111" s="173"/>
      <c r="U1111" s="174"/>
      <c r="V1111" s="165"/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</row>
    <row r="1112">
      <c r="A1112" s="165">
        <f>IFERROR(__xludf.DUMMYFUNCTION("""COMPUTED_VALUE"""),8792364.0)</f>
        <v>8792364</v>
      </c>
      <c r="B1112" s="166" t="str">
        <f>IFERROR(__xludf.DUMMYFUNCTION("""COMPUTED_VALUE"""),"BookingCom")</f>
        <v>BookingCom</v>
      </c>
      <c r="C1112" s="166" t="str">
        <f>IFERROR(__xludf.DUMMYFUNCTION("""COMPUTED_VALUE"""),"De Gennaro Angelo ")</f>
        <v>De Gennaro Angelo </v>
      </c>
      <c r="D1112" s="165">
        <f>IFERROR(__xludf.DUMMYFUNCTION("""COMPUTED_VALUE"""),46236.0)</f>
        <v>46236</v>
      </c>
      <c r="E1112" s="165">
        <f>IFERROR(__xludf.DUMMYFUNCTION("""COMPUTED_VALUE"""),46239.0)</f>
        <v>46239</v>
      </c>
      <c r="F1112" s="377">
        <f>IFERROR(__xludf.DUMMYFUNCTION("""COMPUTED_VALUE"""),3.0)</f>
        <v>3</v>
      </c>
      <c r="G1112" s="377">
        <f>IFERROR(__xludf.DUMMYFUNCTION("""COMPUTED_VALUE"""),2.0)</f>
        <v>2</v>
      </c>
      <c r="H1112" s="378">
        <f>IFERROR(__xludf.DUMMYFUNCTION("""COMPUTED_VALUE"""),170.15)</f>
        <v>170.15</v>
      </c>
      <c r="I1112" s="378">
        <f>IFERROR(__xludf.DUMMYFUNCTION("""COMPUTED_VALUE"""),408.36)</f>
        <v>408.36</v>
      </c>
      <c r="J1112" s="377"/>
      <c r="K1112" s="166"/>
      <c r="L1112" s="166"/>
      <c r="M1112" s="205"/>
      <c r="N1112" s="170"/>
      <c r="O1112" s="171"/>
      <c r="P1112" s="171"/>
      <c r="Q1112" s="172"/>
      <c r="R1112" s="173"/>
      <c r="S1112" s="173"/>
      <c r="T1112" s="173"/>
      <c r="U1112" s="174"/>
      <c r="V1112" s="165"/>
      <c r="W1112" s="188"/>
      <c r="X1112" s="188"/>
      <c r="Y1112" s="188"/>
      <c r="Z1112" s="188"/>
      <c r="AA1112" s="188"/>
      <c r="AB1112" s="188"/>
      <c r="AC1112" s="188"/>
      <c r="AD1112" s="188"/>
      <c r="AE1112" s="188"/>
      <c r="AF1112" s="188"/>
      <c r="AG1112" s="188"/>
      <c r="AH1112" s="188"/>
      <c r="AI1112" s="188"/>
    </row>
    <row r="1113">
      <c r="A1113" s="165">
        <f>IFERROR(__xludf.DUMMYFUNCTION("""COMPUTED_VALUE"""),8792453.0)</f>
        <v>8792453</v>
      </c>
      <c r="B1113" s="166" t="str">
        <f>IFERROR(__xludf.DUMMYFUNCTION("""COMPUTED_VALUE"""),"BookingCom")</f>
        <v>BookingCom</v>
      </c>
      <c r="C1113" s="166" t="str">
        <f>IFERROR(__xludf.DUMMYFUNCTION("""COMPUTED_VALUE"""),"Joe Munroe ")</f>
        <v>Joe Munroe </v>
      </c>
      <c r="D1113" s="165">
        <f>IFERROR(__xludf.DUMMYFUNCTION("""COMPUTED_VALUE"""),46689.0)</f>
        <v>46689</v>
      </c>
      <c r="E1113" s="165">
        <f>IFERROR(__xludf.DUMMYFUNCTION("""COMPUTED_VALUE"""),46694.0)</f>
        <v>46694</v>
      </c>
      <c r="F1113" s="377">
        <f>IFERROR(__xludf.DUMMYFUNCTION("""COMPUTED_VALUE"""),5.0)</f>
        <v>5</v>
      </c>
      <c r="G1113" s="377">
        <f>IFERROR(__xludf.DUMMYFUNCTION("""COMPUTED_VALUE"""),2.0)</f>
        <v>2</v>
      </c>
      <c r="H1113" s="378">
        <f>IFERROR(__xludf.DUMMYFUNCTION("""COMPUTED_VALUE"""),198.56)</f>
        <v>198.56</v>
      </c>
      <c r="I1113" s="378">
        <f>IFERROR(__xludf.DUMMYFUNCTION("""COMPUTED_VALUE"""),794.24)</f>
        <v>794.24</v>
      </c>
      <c r="J1113" s="377"/>
      <c r="K1113" s="166"/>
      <c r="L1113" s="166"/>
      <c r="M1113" s="205"/>
      <c r="N1113" s="170"/>
      <c r="O1113" s="171"/>
      <c r="P1113" s="171"/>
      <c r="Q1113" s="172"/>
      <c r="R1113" s="173"/>
      <c r="S1113" s="173"/>
      <c r="T1113" s="173"/>
      <c r="U1113" s="174"/>
      <c r="V1113" s="16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</row>
    <row r="1114">
      <c r="A1114" s="165">
        <f>IFERROR(__xludf.DUMMYFUNCTION("""COMPUTED_VALUE"""),8797092.0)</f>
        <v>8797092</v>
      </c>
      <c r="B1114" s="166" t="str">
        <f>IFERROR(__xludf.DUMMYFUNCTION("""COMPUTED_VALUE"""),"Expedia Affiliate Network")</f>
        <v>Expedia Affiliate Network</v>
      </c>
      <c r="C1114" s="166" t="str">
        <f>IFERROR(__xludf.DUMMYFUNCTION("""COMPUTED_VALUE"""),"GIULIA FERRARI ")</f>
        <v>GIULIA FERRARI </v>
      </c>
      <c r="D1114" s="165">
        <f>IFERROR(__xludf.DUMMYFUNCTION("""COMPUTED_VALUE"""),46271.0)</f>
        <v>46271</v>
      </c>
      <c r="E1114" s="165">
        <f>IFERROR(__xludf.DUMMYFUNCTION("""COMPUTED_VALUE"""),46273.0)</f>
        <v>46273</v>
      </c>
      <c r="F1114" s="377">
        <f>IFERROR(__xludf.DUMMYFUNCTION("""COMPUTED_VALUE"""),2.0)</f>
        <v>2</v>
      </c>
      <c r="G1114" s="377">
        <f>IFERROR(__xludf.DUMMYFUNCTION("""COMPUTED_VALUE"""),2.0)</f>
        <v>2</v>
      </c>
      <c r="H1114" s="378">
        <f>IFERROR(__xludf.DUMMYFUNCTION("""COMPUTED_VALUE"""),175.68)</f>
        <v>175.68</v>
      </c>
      <c r="I1114" s="378">
        <f>IFERROR(__xludf.DUMMYFUNCTION("""COMPUTED_VALUE"""),281.088)</f>
        <v>281.088</v>
      </c>
      <c r="J1114" s="377"/>
      <c r="K1114" s="166"/>
      <c r="L1114" s="166"/>
      <c r="M1114" s="205"/>
      <c r="N1114" s="170"/>
      <c r="O1114" s="171"/>
      <c r="P1114" s="171"/>
      <c r="Q1114" s="172"/>
      <c r="R1114" s="173"/>
      <c r="S1114" s="173"/>
      <c r="T1114" s="173"/>
      <c r="U1114" s="174"/>
      <c r="V1114" s="165"/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</row>
    <row r="1115">
      <c r="A1115" s="165">
        <f>IFERROR(__xludf.DUMMYFUNCTION("""COMPUTED_VALUE"""),8797507.0)</f>
        <v>8797507</v>
      </c>
      <c r="B1115" s="166" t="str">
        <f>IFERROR(__xludf.DUMMYFUNCTION("""COMPUTED_VALUE"""),"BookingCom")</f>
        <v>BookingCom</v>
      </c>
      <c r="C1115" s="166" t="str">
        <f>IFERROR(__xludf.DUMMYFUNCTION("""COMPUTED_VALUE"""),"inga zelvyte ")</f>
        <v>inga zelvyte </v>
      </c>
      <c r="D1115" s="165">
        <f>IFERROR(__xludf.DUMMYFUNCTION("""COMPUTED_VALUE"""),46253.0)</f>
        <v>46253</v>
      </c>
      <c r="E1115" s="165">
        <f>IFERROR(__xludf.DUMMYFUNCTION("""COMPUTED_VALUE"""),46256.0)</f>
        <v>46256</v>
      </c>
      <c r="F1115" s="377">
        <f>IFERROR(__xludf.DUMMYFUNCTION("""COMPUTED_VALUE"""),3.0)</f>
        <v>3</v>
      </c>
      <c r="G1115" s="377">
        <f>IFERROR(__xludf.DUMMYFUNCTION("""COMPUTED_VALUE"""),2.0)</f>
        <v>2</v>
      </c>
      <c r="H1115" s="378">
        <f>IFERROR(__xludf.DUMMYFUNCTION("""COMPUTED_VALUE"""),134.41)</f>
        <v>134.41</v>
      </c>
      <c r="I1115" s="378">
        <f>IFERROR(__xludf.DUMMYFUNCTION("""COMPUTED_VALUE"""),322.584)</f>
        <v>322.584</v>
      </c>
      <c r="J1115" s="377"/>
      <c r="K1115" s="166"/>
      <c r="L1115" s="166"/>
      <c r="M1115" s="166"/>
      <c r="N1115" s="170"/>
      <c r="O1115" s="171"/>
      <c r="P1115" s="171"/>
      <c r="Q1115" s="172"/>
      <c r="R1115" s="173"/>
      <c r="S1115" s="173"/>
      <c r="T1115" s="173"/>
      <c r="U1115" s="174"/>
      <c r="V1115" s="16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</row>
    <row r="1116">
      <c r="A1116" s="165">
        <f>IFERROR(__xludf.DUMMYFUNCTION("""COMPUTED_VALUE"""),8802652.0)</f>
        <v>8802652</v>
      </c>
      <c r="B1116" s="166" t="str">
        <f>IFERROR(__xludf.DUMMYFUNCTION("""COMPUTED_VALUE"""),"Reseliva Pannel")</f>
        <v>Reseliva Pannel</v>
      </c>
      <c r="C1116" s="166" t="str">
        <f>IFERROR(__xludf.DUMMYFUNCTION("""COMPUTED_VALUE"""),"Abdelah Kamal ")</f>
        <v>Abdelah Kamal </v>
      </c>
      <c r="D1116" s="165">
        <f>IFERROR(__xludf.DUMMYFUNCTION("""COMPUTED_VALUE"""),46233.0)</f>
        <v>46233</v>
      </c>
      <c r="E1116" s="165">
        <f>IFERROR(__xludf.DUMMYFUNCTION("""COMPUTED_VALUE"""),46234.0)</f>
        <v>46234</v>
      </c>
      <c r="F1116" s="377">
        <f>IFERROR(__xludf.DUMMYFUNCTION("""COMPUTED_VALUE"""),1.0)</f>
        <v>1</v>
      </c>
      <c r="G1116" s="377">
        <f>IFERROR(__xludf.DUMMYFUNCTION("""COMPUTED_VALUE"""),2.0)</f>
        <v>2</v>
      </c>
      <c r="H1116" s="378">
        <f>IFERROR(__xludf.DUMMYFUNCTION("""COMPUTED_VALUE"""),181.44)</f>
        <v>181.44</v>
      </c>
      <c r="I1116" s="378">
        <f>IFERROR(__xludf.DUMMYFUNCTION("""COMPUTED_VALUE"""),181.44)</f>
        <v>181.44</v>
      </c>
      <c r="J1116" s="377"/>
      <c r="K1116" s="166"/>
      <c r="L1116" s="166"/>
      <c r="M1116" s="166"/>
      <c r="N1116" s="170"/>
      <c r="O1116" s="171"/>
      <c r="P1116" s="171"/>
      <c r="Q1116" s="172"/>
      <c r="R1116" s="173"/>
      <c r="S1116" s="173"/>
      <c r="T1116" s="173"/>
      <c r="U1116" s="174"/>
      <c r="V1116" s="16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</row>
    <row r="1117">
      <c r="A1117" s="165">
        <f>IFERROR(__xludf.DUMMYFUNCTION("""COMPUTED_VALUE"""),8802652.0)</f>
        <v>8802652</v>
      </c>
      <c r="B1117" s="166" t="str">
        <f>IFERROR(__xludf.DUMMYFUNCTION("""COMPUTED_VALUE"""),"Reseliva Pannel")</f>
        <v>Reseliva Pannel</v>
      </c>
      <c r="C1117" s="166" t="str">
        <f>IFERROR(__xludf.DUMMYFUNCTION("""COMPUTED_VALUE"""),"Abdelah Kamal ")</f>
        <v>Abdelah Kamal </v>
      </c>
      <c r="D1117" s="165">
        <f>IFERROR(__xludf.DUMMYFUNCTION("""COMPUTED_VALUE"""),46233.0)</f>
        <v>46233</v>
      </c>
      <c r="E1117" s="165">
        <f>IFERROR(__xludf.DUMMYFUNCTION("""COMPUTED_VALUE"""),46234.0)</f>
        <v>46234</v>
      </c>
      <c r="F1117" s="377">
        <f>IFERROR(__xludf.DUMMYFUNCTION("""COMPUTED_VALUE"""),1.0)</f>
        <v>1</v>
      </c>
      <c r="G1117" s="377">
        <f>IFERROR(__xludf.DUMMYFUNCTION("""COMPUTED_VALUE"""),2.0)</f>
        <v>2</v>
      </c>
      <c r="H1117" s="378">
        <f>IFERROR(__xludf.DUMMYFUNCTION("""COMPUTED_VALUE"""),181.44)</f>
        <v>181.44</v>
      </c>
      <c r="I1117" s="378">
        <f>IFERROR(__xludf.DUMMYFUNCTION("""COMPUTED_VALUE"""),181.44)</f>
        <v>181.44</v>
      </c>
      <c r="J1117" s="377"/>
      <c r="K1117" s="166"/>
      <c r="L1117" s="166"/>
      <c r="M1117" s="205"/>
      <c r="N1117" s="170"/>
      <c r="O1117" s="171"/>
      <c r="P1117" s="171"/>
      <c r="Q1117" s="172"/>
      <c r="R1117" s="173"/>
      <c r="S1117" s="173"/>
      <c r="T1117" s="173"/>
      <c r="U1117" s="174"/>
      <c r="V1117" s="165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</row>
    <row r="1118">
      <c r="A1118" s="165">
        <f>IFERROR(__xludf.DUMMYFUNCTION("""COMPUTED_VALUE"""),8803152.0)</f>
        <v>8803152</v>
      </c>
      <c r="B1118" s="166" t="str">
        <f>IFERROR(__xludf.DUMMYFUNCTION("""COMPUTED_VALUE"""),"Reseliva Pannel")</f>
        <v>Reseliva Pannel</v>
      </c>
      <c r="C1118" s="166" t="str">
        <f>IFERROR(__xludf.DUMMYFUNCTION("""COMPUTED_VALUE"""),"Jean-Jacques Suter ")</f>
        <v>Jean-Jacques Suter </v>
      </c>
      <c r="D1118" s="165">
        <f>IFERROR(__xludf.DUMMYFUNCTION("""COMPUTED_VALUE"""),46376.0)</f>
        <v>46376</v>
      </c>
      <c r="E1118" s="165">
        <f>IFERROR(__xludf.DUMMYFUNCTION("""COMPUTED_VALUE"""),46377.0)</f>
        <v>46377</v>
      </c>
      <c r="F1118" s="377">
        <f>IFERROR(__xludf.DUMMYFUNCTION("""COMPUTED_VALUE"""),1.0)</f>
        <v>1</v>
      </c>
      <c r="G1118" s="377">
        <f>IFERROR(__xludf.DUMMYFUNCTION("""COMPUTED_VALUE"""),1.0)</f>
        <v>1</v>
      </c>
      <c r="H1118" s="378">
        <f>IFERROR(__xludf.DUMMYFUNCTION("""COMPUTED_VALUE"""),270.0)</f>
        <v>270</v>
      </c>
      <c r="I1118" s="378">
        <f>IFERROR(__xludf.DUMMYFUNCTION("""COMPUTED_VALUE"""),270.0)</f>
        <v>270</v>
      </c>
      <c r="J1118" s="377"/>
      <c r="K1118" s="166"/>
      <c r="L1118" s="166"/>
      <c r="M1118" s="166"/>
      <c r="N1118" s="170"/>
      <c r="O1118" s="171"/>
      <c r="P1118" s="171"/>
      <c r="Q1118" s="172"/>
      <c r="R1118" s="173"/>
      <c r="S1118" s="173"/>
      <c r="T1118" s="173"/>
      <c r="U1118" s="174"/>
      <c r="V1118" s="207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</row>
    <row r="1119">
      <c r="A1119" s="165">
        <f>IFERROR(__xludf.DUMMYFUNCTION("""COMPUTED_VALUE"""),8805678.0)</f>
        <v>8805678</v>
      </c>
      <c r="B1119" s="166" t="str">
        <f>IFERROR(__xludf.DUMMYFUNCTION("""COMPUTED_VALUE"""),"BookingCom")</f>
        <v>BookingCom</v>
      </c>
      <c r="C1119" s="166" t="str">
        <f>IFERROR(__xludf.DUMMYFUNCTION("""COMPUTED_VALUE"""),"Graeme Popplewell ")</f>
        <v>Graeme Popplewell </v>
      </c>
      <c r="D1119" s="165">
        <f>IFERROR(__xludf.DUMMYFUNCTION("""COMPUTED_VALUE"""),46303.0)</f>
        <v>46303</v>
      </c>
      <c r="E1119" s="165">
        <f>IFERROR(__xludf.DUMMYFUNCTION("""COMPUTED_VALUE"""),46305.0)</f>
        <v>46305</v>
      </c>
      <c r="F1119" s="377">
        <f>IFERROR(__xludf.DUMMYFUNCTION("""COMPUTED_VALUE"""),2.0)</f>
        <v>2</v>
      </c>
      <c r="G1119" s="377">
        <f>IFERROR(__xludf.DUMMYFUNCTION("""COMPUTED_VALUE"""),2.0)</f>
        <v>2</v>
      </c>
      <c r="H1119" s="378">
        <f>IFERROR(__xludf.DUMMYFUNCTION("""COMPUTED_VALUE"""),298.13)</f>
        <v>298.13</v>
      </c>
      <c r="I1119" s="378">
        <f>IFERROR(__xludf.DUMMYFUNCTION("""COMPUTED_VALUE"""),477.00800000000004)</f>
        <v>477.008</v>
      </c>
      <c r="J1119" s="377"/>
      <c r="K1119" s="166"/>
      <c r="L1119" s="166"/>
      <c r="M1119" s="205"/>
      <c r="N1119" s="170"/>
      <c r="O1119" s="171"/>
      <c r="P1119" s="171"/>
      <c r="Q1119" s="169"/>
      <c r="R1119" s="173"/>
      <c r="S1119" s="173"/>
      <c r="T1119" s="173"/>
      <c r="U1119" s="174"/>
      <c r="V1119" s="165"/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</row>
    <row r="1120">
      <c r="A1120" s="386">
        <f>IFERROR(__xludf.DUMMYFUNCTION("""COMPUTED_VALUE"""),8810941.0)</f>
        <v>8810941</v>
      </c>
      <c r="B1120" s="166" t="str">
        <f>IFERROR(__xludf.DUMMYFUNCTION("""COMPUTED_VALUE"""),"Expedia Affiliate Network")</f>
        <v>Expedia Affiliate Network</v>
      </c>
      <c r="C1120" s="166" t="str">
        <f>IFERROR(__xludf.DUMMYFUNCTION("""COMPUTED_VALUE"""),"Stefanie Stauter ")</f>
        <v>Stefanie Stauter </v>
      </c>
      <c r="D1120" s="165">
        <f>IFERROR(__xludf.DUMMYFUNCTION("""COMPUTED_VALUE"""),46605.0)</f>
        <v>46605</v>
      </c>
      <c r="E1120" s="165">
        <f>IFERROR(__xludf.DUMMYFUNCTION("""COMPUTED_VALUE"""),46608.0)</f>
        <v>46608</v>
      </c>
      <c r="F1120" s="377">
        <f>IFERROR(__xludf.DUMMYFUNCTION("""COMPUTED_VALUE"""),3.0)</f>
        <v>3</v>
      </c>
      <c r="G1120" s="377">
        <f>IFERROR(__xludf.DUMMYFUNCTION("""COMPUTED_VALUE"""),2.0)</f>
        <v>2</v>
      </c>
      <c r="H1120" s="378">
        <f>IFERROR(__xludf.DUMMYFUNCTION("""COMPUTED_VALUE"""),0.0)</f>
        <v>0</v>
      </c>
      <c r="I1120" s="378">
        <f>IFERROR(__xludf.DUMMYFUNCTION("""COMPUTED_VALUE"""),0.0)</f>
        <v>0</v>
      </c>
      <c r="J1120" s="377"/>
      <c r="K1120" s="166"/>
      <c r="L1120" s="166"/>
      <c r="M1120" s="166"/>
      <c r="N1120" s="170"/>
      <c r="O1120" s="171"/>
      <c r="P1120" s="171"/>
      <c r="Q1120" s="172"/>
      <c r="R1120" s="173"/>
      <c r="S1120" s="173"/>
      <c r="T1120" s="173"/>
      <c r="U1120" s="174"/>
      <c r="V1120" s="16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</row>
    <row r="1121">
      <c r="A1121" s="165">
        <f>IFERROR(__xludf.DUMMYFUNCTION("""COMPUTED_VALUE"""),8812302.0)</f>
        <v>8812302</v>
      </c>
      <c r="B1121" s="166" t="str">
        <f>IFERROR(__xludf.DUMMYFUNCTION("""COMPUTED_VALUE"""),"BookingCom")</f>
        <v>BookingCom</v>
      </c>
      <c r="C1121" s="166" t="str">
        <f>IFERROR(__xludf.DUMMYFUNCTION("""COMPUTED_VALUE"""),"Castro Ana ")</f>
        <v>Castro Ana </v>
      </c>
      <c r="D1121" s="165">
        <f>IFERROR(__xludf.DUMMYFUNCTION("""COMPUTED_VALUE"""),46602.0)</f>
        <v>46602</v>
      </c>
      <c r="E1121" s="165">
        <f>IFERROR(__xludf.DUMMYFUNCTION("""COMPUTED_VALUE"""),46605.0)</f>
        <v>46605</v>
      </c>
      <c r="F1121" s="377">
        <f>IFERROR(__xludf.DUMMYFUNCTION("""COMPUTED_VALUE"""),3.0)</f>
        <v>3</v>
      </c>
      <c r="G1121" s="377">
        <f>IFERROR(__xludf.DUMMYFUNCTION("""COMPUTED_VALUE"""),2.0)</f>
        <v>2</v>
      </c>
      <c r="H1121" s="378">
        <f>IFERROR(__xludf.DUMMYFUNCTION("""COMPUTED_VALUE"""),118.27999999999999)</f>
        <v>118.28</v>
      </c>
      <c r="I1121" s="378">
        <f>IFERROR(__xludf.DUMMYFUNCTION("""COMPUTED_VALUE"""),283.87199999999996)</f>
        <v>283.872</v>
      </c>
      <c r="J1121" s="377"/>
      <c r="K1121" s="166"/>
      <c r="L1121" s="166"/>
      <c r="M1121" s="205"/>
      <c r="N1121" s="170"/>
      <c r="O1121" s="171"/>
      <c r="P1121" s="171"/>
      <c r="Q1121" s="169"/>
      <c r="R1121" s="173"/>
      <c r="S1121" s="173"/>
      <c r="T1121" s="173"/>
      <c r="U1121" s="174"/>
      <c r="V1121" s="165"/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</row>
    <row r="1122">
      <c r="A1122" s="165">
        <f>IFERROR(__xludf.DUMMYFUNCTION("""COMPUTED_VALUE"""),8814622.0)</f>
        <v>8814622</v>
      </c>
      <c r="B1122" s="166" t="str">
        <f>IFERROR(__xludf.DUMMYFUNCTION("""COMPUTED_VALUE"""),"BookingCom")</f>
        <v>BookingCom</v>
      </c>
      <c r="C1122" s="166" t="str">
        <f>IFERROR(__xludf.DUMMYFUNCTION("""COMPUTED_VALUE"""),"Gerard VdVegt ")</f>
        <v>Gerard VdVegt </v>
      </c>
      <c r="D1122" s="165">
        <f>IFERROR(__xludf.DUMMYFUNCTION("""COMPUTED_VALUE"""),46278.0)</f>
        <v>46278</v>
      </c>
      <c r="E1122" s="165">
        <f>IFERROR(__xludf.DUMMYFUNCTION("""COMPUTED_VALUE"""),46283.0)</f>
        <v>46283</v>
      </c>
      <c r="F1122" s="377">
        <f>IFERROR(__xludf.DUMMYFUNCTION("""COMPUTED_VALUE"""),5.0)</f>
        <v>5</v>
      </c>
      <c r="G1122" s="377">
        <f>IFERROR(__xludf.DUMMYFUNCTION("""COMPUTED_VALUE"""),2.0)</f>
        <v>2</v>
      </c>
      <c r="H1122" s="378">
        <f>IFERROR(__xludf.DUMMYFUNCTION("""COMPUTED_VALUE"""),135.75)</f>
        <v>135.75</v>
      </c>
      <c r="I1122" s="378">
        <f>IFERROR(__xludf.DUMMYFUNCTION("""COMPUTED_VALUE"""),543.0)</f>
        <v>543</v>
      </c>
      <c r="J1122" s="377"/>
      <c r="K1122" s="166"/>
      <c r="L1122" s="166"/>
      <c r="M1122" s="205"/>
      <c r="N1122" s="170"/>
      <c r="O1122" s="171"/>
      <c r="P1122" s="171"/>
      <c r="Q1122" s="172"/>
      <c r="R1122" s="173"/>
      <c r="S1122" s="173"/>
      <c r="T1122" s="173"/>
      <c r="U1122" s="174"/>
      <c r="V1122" s="165"/>
      <c r="W1122" s="188"/>
      <c r="X1122" s="188"/>
      <c r="Y1122" s="188"/>
      <c r="Z1122" s="188"/>
      <c r="AA1122" s="188"/>
      <c r="AB1122" s="188"/>
      <c r="AC1122" s="188"/>
      <c r="AD1122" s="188"/>
      <c r="AE1122" s="188"/>
      <c r="AF1122" s="188"/>
      <c r="AG1122" s="188"/>
      <c r="AH1122" s="188"/>
      <c r="AI1122" s="188"/>
    </row>
    <row r="1123">
      <c r="A1123" s="165">
        <f>IFERROR(__xludf.DUMMYFUNCTION("""COMPUTED_VALUE"""),8816086.0)</f>
        <v>8816086</v>
      </c>
      <c r="B1123" s="166" t="str">
        <f>IFERROR(__xludf.DUMMYFUNCTION("""COMPUTED_VALUE"""),"BookingCom")</f>
        <v>BookingCom</v>
      </c>
      <c r="C1123" s="166" t="str">
        <f>IFERROR(__xludf.DUMMYFUNCTION("""COMPUTED_VALUE"""),"Iris Hofbeck ")</f>
        <v>Iris Hofbeck </v>
      </c>
      <c r="D1123" s="165">
        <f>IFERROR(__xludf.DUMMYFUNCTION("""COMPUTED_VALUE"""),46337.0)</f>
        <v>46337</v>
      </c>
      <c r="E1123" s="165">
        <f>IFERROR(__xludf.DUMMYFUNCTION("""COMPUTED_VALUE"""),46339.0)</f>
        <v>46339</v>
      </c>
      <c r="F1123" s="377">
        <f>IFERROR(__xludf.DUMMYFUNCTION("""COMPUTED_VALUE"""),2.0)</f>
        <v>2</v>
      </c>
      <c r="G1123" s="377">
        <f>IFERROR(__xludf.DUMMYFUNCTION("""COMPUTED_VALUE"""),2.0)</f>
        <v>2</v>
      </c>
      <c r="H1123" s="378">
        <f>IFERROR(__xludf.DUMMYFUNCTION("""COMPUTED_VALUE"""),221.64)</f>
        <v>221.64</v>
      </c>
      <c r="I1123" s="378">
        <f>IFERROR(__xludf.DUMMYFUNCTION("""COMPUTED_VALUE"""),354.624)</f>
        <v>354.624</v>
      </c>
      <c r="J1123" s="377"/>
      <c r="K1123" s="166"/>
      <c r="L1123" s="166"/>
      <c r="M1123" s="166"/>
      <c r="N1123" s="170"/>
      <c r="O1123" s="171"/>
      <c r="P1123" s="171"/>
      <c r="Q1123" s="172"/>
      <c r="R1123" s="173"/>
      <c r="S1123" s="173"/>
      <c r="T1123" s="173"/>
      <c r="U1123" s="174"/>
      <c r="V1123" s="165"/>
      <c r="W1123" s="35"/>
      <c r="X1123" s="35"/>
      <c r="Y1123" s="35"/>
      <c r="Z1123" s="35"/>
      <c r="AA1123" s="35"/>
      <c r="AB1123" s="35"/>
      <c r="AC1123" s="35"/>
      <c r="AD1123" s="35"/>
      <c r="AE1123" s="35"/>
      <c r="AF1123" s="35"/>
      <c r="AG1123" s="35"/>
      <c r="AH1123" s="35"/>
      <c r="AI1123" s="35"/>
    </row>
    <row r="1124">
      <c r="A1124" s="165">
        <f>IFERROR(__xludf.DUMMYFUNCTION("""COMPUTED_VALUE"""),8819218.0)</f>
        <v>8819218</v>
      </c>
      <c r="B1124" s="166" t="str">
        <f>IFERROR(__xludf.DUMMYFUNCTION("""COMPUTED_VALUE"""),"BookingCom")</f>
        <v>BookingCom</v>
      </c>
      <c r="C1124" s="166" t="str">
        <f>IFERROR(__xludf.DUMMYFUNCTION("""COMPUTED_VALUE"""),"Emela Durakovic ")</f>
        <v>Emela Durakovic </v>
      </c>
      <c r="D1124" s="165">
        <f>IFERROR(__xludf.DUMMYFUNCTION("""COMPUTED_VALUE"""),46371.0)</f>
        <v>46371</v>
      </c>
      <c r="E1124" s="165">
        <f>IFERROR(__xludf.DUMMYFUNCTION("""COMPUTED_VALUE"""),46374.0)</f>
        <v>46374</v>
      </c>
      <c r="F1124" s="377">
        <f>IFERROR(__xludf.DUMMYFUNCTION("""COMPUTED_VALUE"""),3.0)</f>
        <v>3</v>
      </c>
      <c r="G1124" s="377">
        <f>IFERROR(__xludf.DUMMYFUNCTION("""COMPUTED_VALUE"""),2.0)</f>
        <v>2</v>
      </c>
      <c r="H1124" s="378">
        <f>IFERROR(__xludf.DUMMYFUNCTION("""COMPUTED_VALUE"""),173.4)</f>
        <v>173.4</v>
      </c>
      <c r="I1124" s="378">
        <f>IFERROR(__xludf.DUMMYFUNCTION("""COMPUTED_VALUE"""),416.15999999999997)</f>
        <v>416.16</v>
      </c>
      <c r="J1124" s="377"/>
      <c r="K1124" s="166"/>
      <c r="L1124" s="166"/>
      <c r="M1124" s="166"/>
      <c r="N1124" s="170"/>
      <c r="O1124" s="171"/>
      <c r="P1124" s="171"/>
      <c r="Q1124" s="172"/>
      <c r="R1124" s="173"/>
      <c r="S1124" s="173"/>
      <c r="T1124" s="173"/>
      <c r="U1124" s="174"/>
      <c r="V1124" s="165"/>
      <c r="W1124" s="35"/>
      <c r="X1124" s="35"/>
      <c r="Y1124" s="35"/>
      <c r="Z1124" s="35"/>
      <c r="AA1124" s="35"/>
      <c r="AB1124" s="35"/>
      <c r="AC1124" s="35"/>
      <c r="AD1124" s="35"/>
      <c r="AE1124" s="35"/>
      <c r="AF1124" s="35"/>
      <c r="AG1124" s="35"/>
      <c r="AH1124" s="35"/>
      <c r="AI1124" s="35"/>
    </row>
    <row r="1125">
      <c r="A1125" s="165">
        <f>IFERROR(__xludf.DUMMYFUNCTION("""COMPUTED_VALUE"""),8823713.0)</f>
        <v>8823713</v>
      </c>
      <c r="B1125" s="166" t="str">
        <f>IFERROR(__xludf.DUMMYFUNCTION("""COMPUTED_VALUE"""),"BookingCom")</f>
        <v>BookingCom</v>
      </c>
      <c r="C1125" s="166" t="str">
        <f>IFERROR(__xludf.DUMMYFUNCTION("""COMPUTED_VALUE"""),"Jorg Messirek ")</f>
        <v>Jorg Messirek </v>
      </c>
      <c r="D1125" s="165">
        <f>IFERROR(__xludf.DUMMYFUNCTION("""COMPUTED_VALUE"""),46265.0)</f>
        <v>46265</v>
      </c>
      <c r="E1125" s="165">
        <f>IFERROR(__xludf.DUMMYFUNCTION("""COMPUTED_VALUE"""),46269.0)</f>
        <v>46269</v>
      </c>
      <c r="F1125" s="377">
        <f>IFERROR(__xludf.DUMMYFUNCTION("""COMPUTED_VALUE"""),4.0)</f>
        <v>4</v>
      </c>
      <c r="G1125" s="377">
        <f>IFERROR(__xludf.DUMMYFUNCTION("""COMPUTED_VALUE"""),1.0)</f>
        <v>1</v>
      </c>
      <c r="H1125" s="378">
        <f>IFERROR(__xludf.DUMMYFUNCTION("""COMPUTED_VALUE"""),114.2775)</f>
        <v>114.2775</v>
      </c>
      <c r="I1125" s="378">
        <f>IFERROR(__xludf.DUMMYFUNCTION("""COMPUTED_VALUE"""),365.68800000000005)</f>
        <v>365.688</v>
      </c>
      <c r="J1125" s="377"/>
      <c r="K1125" s="166"/>
      <c r="L1125" s="166"/>
      <c r="M1125" s="166"/>
      <c r="N1125" s="170"/>
      <c r="O1125" s="171"/>
      <c r="P1125" s="171"/>
      <c r="Q1125" s="172"/>
      <c r="R1125" s="173"/>
      <c r="S1125" s="173"/>
      <c r="T1125" s="173"/>
      <c r="U1125" s="174"/>
      <c r="V1125" s="165"/>
      <c r="W1125" s="188"/>
      <c r="X1125" s="188"/>
      <c r="Y1125" s="188"/>
      <c r="Z1125" s="188"/>
      <c r="AA1125" s="188"/>
      <c r="AB1125" s="188"/>
      <c r="AC1125" s="188"/>
      <c r="AD1125" s="188"/>
      <c r="AE1125" s="188"/>
      <c r="AF1125" s="188"/>
      <c r="AG1125" s="188"/>
      <c r="AH1125" s="188"/>
      <c r="AI1125" s="188"/>
    </row>
    <row r="1126">
      <c r="A1126" s="165">
        <f>IFERROR(__xludf.DUMMYFUNCTION("""COMPUTED_VALUE"""),8823770.0)</f>
        <v>8823770</v>
      </c>
      <c r="B1126" s="166" t="str">
        <f>IFERROR(__xludf.DUMMYFUNCTION("""COMPUTED_VALUE"""),"BookingCom")</f>
        <v>BookingCom</v>
      </c>
      <c r="C1126" s="166" t="str">
        <f>IFERROR(__xludf.DUMMYFUNCTION("""COMPUTED_VALUE"""),"Federico Aleotti ")</f>
        <v>Federico Aleotti </v>
      </c>
      <c r="D1126" s="165">
        <f>IFERROR(__xludf.DUMMYFUNCTION("""COMPUTED_VALUE"""),46237.0)</f>
        <v>46237</v>
      </c>
      <c r="E1126" s="165">
        <f>IFERROR(__xludf.DUMMYFUNCTION("""COMPUTED_VALUE"""),46239.0)</f>
        <v>46239</v>
      </c>
      <c r="F1126" s="377">
        <f>IFERROR(__xludf.DUMMYFUNCTION("""COMPUTED_VALUE"""),2.0)</f>
        <v>2</v>
      </c>
      <c r="G1126" s="377">
        <f>IFERROR(__xludf.DUMMYFUNCTION("""COMPUTED_VALUE"""),2.0)</f>
        <v>2</v>
      </c>
      <c r="H1126" s="378">
        <f>IFERROR(__xludf.DUMMYFUNCTION("""COMPUTED_VALUE"""),115.84)</f>
        <v>115.84</v>
      </c>
      <c r="I1126" s="378">
        <f>IFERROR(__xludf.DUMMYFUNCTION("""COMPUTED_VALUE"""),185.34400000000002)</f>
        <v>185.344</v>
      </c>
      <c r="J1126" s="377"/>
      <c r="K1126" s="166"/>
      <c r="L1126" s="166"/>
      <c r="M1126" s="166"/>
      <c r="N1126" s="170"/>
      <c r="O1126" s="171"/>
      <c r="P1126" s="171"/>
      <c r="Q1126" s="172"/>
      <c r="R1126" s="173"/>
      <c r="S1126" s="173"/>
      <c r="T1126" s="173"/>
      <c r="U1126" s="174"/>
      <c r="V1126" s="165"/>
      <c r="W1126" s="35"/>
      <c r="X1126" s="35"/>
      <c r="Y1126" s="35"/>
      <c r="Z1126" s="35"/>
      <c r="AA1126" s="35"/>
      <c r="AB1126" s="35"/>
      <c r="AC1126" s="35"/>
      <c r="AD1126" s="35"/>
      <c r="AE1126" s="35"/>
      <c r="AF1126" s="35"/>
      <c r="AG1126" s="35"/>
      <c r="AH1126" s="35"/>
      <c r="AI1126" s="35"/>
    </row>
    <row r="1127">
      <c r="A1127" s="165">
        <f>IFERROR(__xludf.DUMMYFUNCTION("""COMPUTED_VALUE"""),8825301.0)</f>
        <v>8825301</v>
      </c>
      <c r="B1127" s="166" t="str">
        <f>IFERROR(__xludf.DUMMYFUNCTION("""COMPUTED_VALUE"""),"BookingCom")</f>
        <v>BookingCom</v>
      </c>
      <c r="C1127" s="166" t="str">
        <f>IFERROR(__xludf.DUMMYFUNCTION("""COMPUTED_VALUE"""),"Alessandro Gentile ")</f>
        <v>Alessandro Gentile </v>
      </c>
      <c r="D1127" s="165">
        <f>IFERROR(__xludf.DUMMYFUNCTION("""COMPUTED_VALUE"""),46305.0)</f>
        <v>46305</v>
      </c>
      <c r="E1127" s="165">
        <f>IFERROR(__xludf.DUMMYFUNCTION("""COMPUTED_VALUE"""),46309.0)</f>
        <v>46309</v>
      </c>
      <c r="F1127" s="377">
        <f>IFERROR(__xludf.DUMMYFUNCTION("""COMPUTED_VALUE"""),4.0)</f>
        <v>4</v>
      </c>
      <c r="G1127" s="377">
        <f>IFERROR(__xludf.DUMMYFUNCTION("""COMPUTED_VALUE"""),2.0)</f>
        <v>2</v>
      </c>
      <c r="H1127" s="378">
        <f>IFERROR(__xludf.DUMMYFUNCTION("""COMPUTED_VALUE"""),152.84)</f>
        <v>152.84</v>
      </c>
      <c r="I1127" s="378">
        <f>IFERROR(__xludf.DUMMYFUNCTION("""COMPUTED_VALUE"""),489.088)</f>
        <v>489.088</v>
      </c>
      <c r="J1127" s="377"/>
      <c r="K1127" s="166"/>
      <c r="L1127" s="166"/>
      <c r="M1127" s="166"/>
      <c r="N1127" s="170"/>
      <c r="O1127" s="171"/>
      <c r="P1127" s="171"/>
      <c r="Q1127" s="172"/>
      <c r="R1127" s="173"/>
      <c r="S1127" s="173"/>
      <c r="T1127" s="173"/>
      <c r="U1127" s="174"/>
      <c r="V1127" s="165"/>
      <c r="W1127" s="188"/>
      <c r="X1127" s="188"/>
      <c r="Y1127" s="188"/>
      <c r="Z1127" s="188"/>
      <c r="AA1127" s="188"/>
      <c r="AB1127" s="188"/>
      <c r="AC1127" s="188"/>
      <c r="AD1127" s="188"/>
      <c r="AE1127" s="188"/>
      <c r="AF1127" s="188"/>
      <c r="AG1127" s="188"/>
      <c r="AH1127" s="188"/>
      <c r="AI1127" s="188"/>
    </row>
    <row r="1128">
      <c r="A1128" s="165">
        <f>IFERROR(__xludf.DUMMYFUNCTION("""COMPUTED_VALUE"""),8825378.0)</f>
        <v>8825378</v>
      </c>
      <c r="B1128" s="166" t="str">
        <f>IFERROR(__xludf.DUMMYFUNCTION("""COMPUTED_VALUE"""),"Reseliva Pannel")</f>
        <v>Reseliva Pannel</v>
      </c>
      <c r="C1128" s="166" t="str">
        <f>IFERROR(__xludf.DUMMYFUNCTION("""COMPUTED_VALUE"""),"Mounia Nati ")</f>
        <v>Mounia Nati </v>
      </c>
      <c r="D1128" s="165">
        <f>IFERROR(__xludf.DUMMYFUNCTION("""COMPUTED_VALUE"""),46344.0)</f>
        <v>46344</v>
      </c>
      <c r="E1128" s="165">
        <f>IFERROR(__xludf.DUMMYFUNCTION("""COMPUTED_VALUE"""),46347.0)</f>
        <v>46347</v>
      </c>
      <c r="F1128" s="377">
        <f>IFERROR(__xludf.DUMMYFUNCTION("""COMPUTED_VALUE"""),3.0)</f>
        <v>3</v>
      </c>
      <c r="G1128" s="377">
        <f>IFERROR(__xludf.DUMMYFUNCTION("""COMPUTED_VALUE"""),2.0)</f>
        <v>2</v>
      </c>
      <c r="H1128" s="378">
        <f>IFERROR(__xludf.DUMMYFUNCTION("""COMPUTED_VALUE"""),270.0)</f>
        <v>270</v>
      </c>
      <c r="I1128" s="378">
        <f>IFERROR(__xludf.DUMMYFUNCTION("""COMPUTED_VALUE"""),810.0)</f>
        <v>810</v>
      </c>
      <c r="J1128" s="377"/>
      <c r="K1128" s="166"/>
      <c r="L1128" s="166"/>
      <c r="M1128" s="205"/>
      <c r="N1128" s="170"/>
      <c r="O1128" s="171"/>
      <c r="P1128" s="171"/>
      <c r="Q1128" s="172"/>
      <c r="R1128" s="173"/>
      <c r="S1128" s="173"/>
      <c r="T1128" s="173"/>
      <c r="U1128" s="174"/>
      <c r="V1128" s="165"/>
      <c r="W1128" s="35"/>
      <c r="X1128" s="35"/>
      <c r="Y1128" s="35"/>
      <c r="Z1128" s="35"/>
      <c r="AA1128" s="35"/>
      <c r="AB1128" s="35"/>
      <c r="AC1128" s="35"/>
      <c r="AD1128" s="35"/>
      <c r="AE1128" s="35"/>
      <c r="AF1128" s="35"/>
      <c r="AG1128" s="35"/>
      <c r="AH1128" s="35"/>
      <c r="AI1128" s="35"/>
    </row>
    <row r="1129">
      <c r="A1129" s="165">
        <f>IFERROR(__xludf.DUMMYFUNCTION("""COMPUTED_VALUE"""),8825378.0)</f>
        <v>8825378</v>
      </c>
      <c r="B1129" s="166" t="str">
        <f>IFERROR(__xludf.DUMMYFUNCTION("""COMPUTED_VALUE"""),"Reseliva Pannel")</f>
        <v>Reseliva Pannel</v>
      </c>
      <c r="C1129" s="166" t="str">
        <f>IFERROR(__xludf.DUMMYFUNCTION("""COMPUTED_VALUE"""),"Mounia Nati ")</f>
        <v>Mounia Nati </v>
      </c>
      <c r="D1129" s="165">
        <f>IFERROR(__xludf.DUMMYFUNCTION("""COMPUTED_VALUE"""),46344.0)</f>
        <v>46344</v>
      </c>
      <c r="E1129" s="165">
        <f>IFERROR(__xludf.DUMMYFUNCTION("""COMPUTED_VALUE"""),46347.0)</f>
        <v>46347</v>
      </c>
      <c r="F1129" s="377">
        <f>IFERROR(__xludf.DUMMYFUNCTION("""COMPUTED_VALUE"""),3.0)</f>
        <v>3</v>
      </c>
      <c r="G1129" s="377">
        <f>IFERROR(__xludf.DUMMYFUNCTION("""COMPUTED_VALUE"""),2.0)</f>
        <v>2</v>
      </c>
      <c r="H1129" s="378">
        <f>IFERROR(__xludf.DUMMYFUNCTION("""COMPUTED_VALUE"""),300.24)</f>
        <v>300.24</v>
      </c>
      <c r="I1129" s="378">
        <f>IFERROR(__xludf.DUMMYFUNCTION("""COMPUTED_VALUE"""),900.72)</f>
        <v>900.72</v>
      </c>
      <c r="J1129" s="377"/>
      <c r="K1129" s="166"/>
      <c r="L1129" s="166"/>
      <c r="M1129" s="166"/>
      <c r="N1129" s="170"/>
      <c r="O1129" s="171"/>
      <c r="P1129" s="171"/>
      <c r="Q1129" s="172"/>
      <c r="R1129" s="173"/>
      <c r="S1129" s="173"/>
      <c r="T1129" s="173"/>
      <c r="U1129" s="174"/>
      <c r="V1129" s="165"/>
      <c r="W1129" s="35"/>
      <c r="X1129" s="35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</row>
    <row r="1130">
      <c r="A1130" s="165">
        <f>IFERROR(__xludf.DUMMYFUNCTION("""COMPUTED_VALUE"""),8825378.0)</f>
        <v>8825378</v>
      </c>
      <c r="B1130" s="166" t="str">
        <f>IFERROR(__xludf.DUMMYFUNCTION("""COMPUTED_VALUE"""),"Reseliva Pannel")</f>
        <v>Reseliva Pannel</v>
      </c>
      <c r="C1130" s="166" t="str">
        <f>IFERROR(__xludf.DUMMYFUNCTION("""COMPUTED_VALUE"""),"Mounia Nati ")</f>
        <v>Mounia Nati </v>
      </c>
      <c r="D1130" s="165">
        <f>IFERROR(__xludf.DUMMYFUNCTION("""COMPUTED_VALUE"""),46344.0)</f>
        <v>46344</v>
      </c>
      <c r="E1130" s="165">
        <f>IFERROR(__xludf.DUMMYFUNCTION("""COMPUTED_VALUE"""),46347.0)</f>
        <v>46347</v>
      </c>
      <c r="F1130" s="377">
        <f>IFERROR(__xludf.DUMMYFUNCTION("""COMPUTED_VALUE"""),3.0)</f>
        <v>3</v>
      </c>
      <c r="G1130" s="377">
        <f>IFERROR(__xludf.DUMMYFUNCTION("""COMPUTED_VALUE"""),2.0)</f>
        <v>2</v>
      </c>
      <c r="H1130" s="378">
        <f>IFERROR(__xludf.DUMMYFUNCTION("""COMPUTED_VALUE"""),300.24)</f>
        <v>300.24</v>
      </c>
      <c r="I1130" s="378">
        <f>IFERROR(__xludf.DUMMYFUNCTION("""COMPUTED_VALUE"""),900.72)</f>
        <v>900.72</v>
      </c>
      <c r="J1130" s="377"/>
      <c r="K1130" s="166"/>
      <c r="L1130" s="166"/>
      <c r="M1130" s="205"/>
      <c r="N1130" s="170"/>
      <c r="O1130" s="171"/>
      <c r="P1130" s="171"/>
      <c r="Q1130" s="172"/>
      <c r="R1130" s="173"/>
      <c r="S1130" s="173"/>
      <c r="T1130" s="173"/>
      <c r="U1130" s="174"/>
      <c r="V1130" s="165"/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</row>
    <row r="1131">
      <c r="A1131" s="165">
        <f>IFERROR(__xludf.DUMMYFUNCTION("""COMPUTED_VALUE"""),8828717.0)</f>
        <v>8828717</v>
      </c>
      <c r="B1131" s="166" t="str">
        <f>IFERROR(__xludf.DUMMYFUNCTION("""COMPUTED_VALUE"""),"Reseliva Pannel")</f>
        <v>Reseliva Pannel</v>
      </c>
      <c r="C1131" s="166" t="str">
        <f>IFERROR(__xludf.DUMMYFUNCTION("""COMPUTED_VALUE"""),"Natasha English ")</f>
        <v>Natasha English </v>
      </c>
      <c r="D1131" s="165">
        <f>IFERROR(__xludf.DUMMYFUNCTION("""COMPUTED_VALUE"""),46212.0)</f>
        <v>46212</v>
      </c>
      <c r="E1131" s="165">
        <f>IFERROR(__xludf.DUMMYFUNCTION("""COMPUTED_VALUE"""),46213.0)</f>
        <v>46213</v>
      </c>
      <c r="F1131" s="377">
        <f>IFERROR(__xludf.DUMMYFUNCTION("""COMPUTED_VALUE"""),1.0)</f>
        <v>1</v>
      </c>
      <c r="G1131" s="377">
        <f>IFERROR(__xludf.DUMMYFUNCTION("""COMPUTED_VALUE"""),2.0)</f>
        <v>2</v>
      </c>
      <c r="H1131" s="378">
        <f>IFERROR(__xludf.DUMMYFUNCTION("""COMPUTED_VALUE"""),225.36)</f>
        <v>225.36</v>
      </c>
      <c r="I1131" s="378">
        <f>IFERROR(__xludf.DUMMYFUNCTION("""COMPUTED_VALUE"""),225.36)</f>
        <v>225.36</v>
      </c>
      <c r="J1131" s="377"/>
      <c r="K1131" s="166"/>
      <c r="L1131" s="166"/>
      <c r="M1131" s="205"/>
      <c r="N1131" s="170"/>
      <c r="O1131" s="171"/>
      <c r="P1131" s="171"/>
      <c r="Q1131" s="172"/>
      <c r="R1131" s="173"/>
      <c r="S1131" s="173"/>
      <c r="T1131" s="173"/>
      <c r="U1131" s="174"/>
      <c r="V1131" s="165"/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</row>
    <row r="1132">
      <c r="A1132" s="165">
        <f>IFERROR(__xludf.DUMMYFUNCTION("""COMPUTED_VALUE"""),8829051.0)</f>
        <v>8829051</v>
      </c>
      <c r="B1132" s="166" t="str">
        <f>IFERROR(__xludf.DUMMYFUNCTION("""COMPUTED_VALUE"""),"Reseliva Pannel")</f>
        <v>Reseliva Pannel</v>
      </c>
      <c r="C1132" s="166" t="str">
        <f>IFERROR(__xludf.DUMMYFUNCTION("""COMPUTED_VALUE"""),"Sabine Mayer ")</f>
        <v>Sabine Mayer </v>
      </c>
      <c r="D1132" s="165">
        <f>IFERROR(__xludf.DUMMYFUNCTION("""COMPUTED_VALUE"""),46340.0)</f>
        <v>46340</v>
      </c>
      <c r="E1132" s="165">
        <f>IFERROR(__xludf.DUMMYFUNCTION("""COMPUTED_VALUE"""),46341.0)</f>
        <v>46341</v>
      </c>
      <c r="F1132" s="377">
        <f>IFERROR(__xludf.DUMMYFUNCTION("""COMPUTED_VALUE"""),1.0)</f>
        <v>1</v>
      </c>
      <c r="G1132" s="377">
        <f>IFERROR(__xludf.DUMMYFUNCTION("""COMPUTED_VALUE"""),2.0)</f>
        <v>2</v>
      </c>
      <c r="H1132" s="378">
        <f>IFERROR(__xludf.DUMMYFUNCTION("""COMPUTED_VALUE"""),239.76)</f>
        <v>239.76</v>
      </c>
      <c r="I1132" s="378">
        <f>IFERROR(__xludf.DUMMYFUNCTION("""COMPUTED_VALUE"""),239.76)</f>
        <v>239.76</v>
      </c>
      <c r="J1132" s="377"/>
      <c r="K1132" s="166"/>
      <c r="L1132" s="166"/>
      <c r="M1132" s="166"/>
      <c r="N1132" s="170"/>
      <c r="O1132" s="171"/>
      <c r="P1132" s="171"/>
      <c r="Q1132" s="172"/>
      <c r="R1132" s="173"/>
      <c r="S1132" s="173"/>
      <c r="T1132" s="173"/>
      <c r="U1132" s="174"/>
      <c r="V1132" s="165"/>
      <c r="W1132" s="188"/>
      <c r="X1132" s="188"/>
      <c r="Y1132" s="188"/>
      <c r="Z1132" s="188"/>
      <c r="AA1132" s="188"/>
      <c r="AB1132" s="188"/>
      <c r="AC1132" s="188"/>
      <c r="AD1132" s="188"/>
      <c r="AE1132" s="188"/>
      <c r="AF1132" s="188"/>
      <c r="AG1132" s="188"/>
      <c r="AH1132" s="188"/>
      <c r="AI1132" s="188"/>
    </row>
    <row r="1133">
      <c r="A1133" s="165">
        <f>IFERROR(__xludf.DUMMYFUNCTION("""COMPUTED_VALUE"""),8829051.0)</f>
        <v>8829051</v>
      </c>
      <c r="B1133" s="166" t="str">
        <f>IFERROR(__xludf.DUMMYFUNCTION("""COMPUTED_VALUE"""),"Reseliva Pannel")</f>
        <v>Reseliva Pannel</v>
      </c>
      <c r="C1133" s="166" t="str">
        <f>IFERROR(__xludf.DUMMYFUNCTION("""COMPUTED_VALUE"""),"Sabine Mayer ")</f>
        <v>Sabine Mayer </v>
      </c>
      <c r="D1133" s="165">
        <f>IFERROR(__xludf.DUMMYFUNCTION("""COMPUTED_VALUE"""),46340.0)</f>
        <v>46340</v>
      </c>
      <c r="E1133" s="165">
        <f>IFERROR(__xludf.DUMMYFUNCTION("""COMPUTED_VALUE"""),46341.0)</f>
        <v>46341</v>
      </c>
      <c r="F1133" s="377">
        <f>IFERROR(__xludf.DUMMYFUNCTION("""COMPUTED_VALUE"""),1.0)</f>
        <v>1</v>
      </c>
      <c r="G1133" s="377">
        <f>IFERROR(__xludf.DUMMYFUNCTION("""COMPUTED_VALUE"""),2.0)</f>
        <v>2</v>
      </c>
      <c r="H1133" s="378">
        <f>IFERROR(__xludf.DUMMYFUNCTION("""COMPUTED_VALUE"""),239.76)</f>
        <v>239.76</v>
      </c>
      <c r="I1133" s="378">
        <f>IFERROR(__xludf.DUMMYFUNCTION("""COMPUTED_VALUE"""),239.76)</f>
        <v>239.76</v>
      </c>
      <c r="J1133" s="377"/>
      <c r="K1133" s="166"/>
      <c r="L1133" s="166"/>
      <c r="M1133" s="166"/>
      <c r="N1133" s="170"/>
      <c r="O1133" s="171"/>
      <c r="P1133" s="171"/>
      <c r="Q1133" s="172"/>
      <c r="R1133" s="173"/>
      <c r="S1133" s="173"/>
      <c r="T1133" s="173"/>
      <c r="U1133" s="174"/>
      <c r="V1133" s="165"/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</row>
    <row r="1134">
      <c r="A1134" s="165">
        <f>IFERROR(__xludf.DUMMYFUNCTION("""COMPUTED_VALUE"""),8829051.0)</f>
        <v>8829051</v>
      </c>
      <c r="B1134" s="166" t="str">
        <f>IFERROR(__xludf.DUMMYFUNCTION("""COMPUTED_VALUE"""),"Reseliva Pannel")</f>
        <v>Reseliva Pannel</v>
      </c>
      <c r="C1134" s="166" t="str">
        <f>IFERROR(__xludf.DUMMYFUNCTION("""COMPUTED_VALUE"""),"Sabine Mayer ")</f>
        <v>Sabine Mayer </v>
      </c>
      <c r="D1134" s="165">
        <f>IFERROR(__xludf.DUMMYFUNCTION("""COMPUTED_VALUE"""),46340.0)</f>
        <v>46340</v>
      </c>
      <c r="E1134" s="165">
        <f>IFERROR(__xludf.DUMMYFUNCTION("""COMPUTED_VALUE"""),46341.0)</f>
        <v>46341</v>
      </c>
      <c r="F1134" s="377">
        <f>IFERROR(__xludf.DUMMYFUNCTION("""COMPUTED_VALUE"""),1.0)</f>
        <v>1</v>
      </c>
      <c r="G1134" s="377">
        <f>IFERROR(__xludf.DUMMYFUNCTION("""COMPUTED_VALUE"""),2.0)</f>
        <v>2</v>
      </c>
      <c r="H1134" s="378">
        <f>IFERROR(__xludf.DUMMYFUNCTION("""COMPUTED_VALUE"""),239.76)</f>
        <v>239.76</v>
      </c>
      <c r="I1134" s="378">
        <f>IFERROR(__xludf.DUMMYFUNCTION("""COMPUTED_VALUE"""),239.76)</f>
        <v>239.76</v>
      </c>
      <c r="J1134" s="377"/>
      <c r="K1134" s="166"/>
      <c r="L1134" s="166"/>
      <c r="M1134" s="205"/>
      <c r="N1134" s="170"/>
      <c r="O1134" s="171"/>
      <c r="P1134" s="171"/>
      <c r="Q1134" s="172"/>
      <c r="R1134" s="173"/>
      <c r="S1134" s="173"/>
      <c r="T1134" s="173"/>
      <c r="U1134" s="174"/>
      <c r="V1134" s="165"/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</row>
    <row r="1135">
      <c r="A1135" s="165">
        <f>IFERROR(__xludf.DUMMYFUNCTION("""COMPUTED_VALUE"""),8830504.0)</f>
        <v>8830504</v>
      </c>
      <c r="B1135" s="166" t="str">
        <f>IFERROR(__xludf.DUMMYFUNCTION("""COMPUTED_VALUE"""),"BookingCom")</f>
        <v>BookingCom</v>
      </c>
      <c r="C1135" s="166" t="str">
        <f>IFERROR(__xludf.DUMMYFUNCTION("""COMPUTED_VALUE"""),"Claudia Venzin ")</f>
        <v>Claudia Venzin </v>
      </c>
      <c r="D1135" s="165">
        <f>IFERROR(__xludf.DUMMYFUNCTION("""COMPUTED_VALUE"""),46276.0)</f>
        <v>46276</v>
      </c>
      <c r="E1135" s="165">
        <f>IFERROR(__xludf.DUMMYFUNCTION("""COMPUTED_VALUE"""),46280.0)</f>
        <v>46280</v>
      </c>
      <c r="F1135" s="377">
        <f>IFERROR(__xludf.DUMMYFUNCTION("""COMPUTED_VALUE"""),4.0)</f>
        <v>4</v>
      </c>
      <c r="G1135" s="377">
        <f>IFERROR(__xludf.DUMMYFUNCTION("""COMPUTED_VALUE"""),2.0)</f>
        <v>2</v>
      </c>
      <c r="H1135" s="378">
        <f>IFERROR(__xludf.DUMMYFUNCTION("""COMPUTED_VALUE"""),136.58)</f>
        <v>136.58</v>
      </c>
      <c r="I1135" s="378">
        <f>IFERROR(__xludf.DUMMYFUNCTION("""COMPUTED_VALUE"""),437.05600000000004)</f>
        <v>437.056</v>
      </c>
      <c r="J1135" s="377"/>
      <c r="K1135" s="166"/>
      <c r="L1135" s="166"/>
      <c r="M1135" s="205"/>
      <c r="N1135" s="170"/>
      <c r="O1135" s="171"/>
      <c r="P1135" s="171"/>
      <c r="Q1135" s="172"/>
      <c r="R1135" s="173"/>
      <c r="S1135" s="173"/>
      <c r="T1135" s="173"/>
      <c r="U1135" s="174"/>
      <c r="V1135" s="210"/>
      <c r="W1135" s="188"/>
      <c r="X1135" s="188"/>
      <c r="Y1135" s="188"/>
      <c r="Z1135" s="188"/>
      <c r="AA1135" s="188"/>
      <c r="AB1135" s="188"/>
      <c r="AC1135" s="188"/>
      <c r="AD1135" s="188"/>
      <c r="AE1135" s="188"/>
      <c r="AF1135" s="188"/>
      <c r="AG1135" s="188"/>
      <c r="AH1135" s="188"/>
      <c r="AI1135" s="188"/>
    </row>
    <row r="1136">
      <c r="A1136" s="165">
        <f>IFERROR(__xludf.DUMMYFUNCTION("""COMPUTED_VALUE"""),8831442.0)</f>
        <v>8831442</v>
      </c>
      <c r="B1136" s="166" t="str">
        <f>IFERROR(__xludf.DUMMYFUNCTION("""COMPUTED_VALUE"""),"BookingCom")</f>
        <v>BookingCom</v>
      </c>
      <c r="C1136" s="166" t="str">
        <f>IFERROR(__xludf.DUMMYFUNCTION("""COMPUTED_VALUE"""),"Martin Brodnan ")</f>
        <v>Martin Brodnan </v>
      </c>
      <c r="D1136" s="165">
        <f>IFERROR(__xludf.DUMMYFUNCTION("""COMPUTED_VALUE"""),46251.0)</f>
        <v>46251</v>
      </c>
      <c r="E1136" s="165">
        <f>IFERROR(__xludf.DUMMYFUNCTION("""COMPUTED_VALUE"""),46254.0)</f>
        <v>46254</v>
      </c>
      <c r="F1136" s="377">
        <f>IFERROR(__xludf.DUMMYFUNCTION("""COMPUTED_VALUE"""),3.0)</f>
        <v>3</v>
      </c>
      <c r="G1136" s="377">
        <f>IFERROR(__xludf.DUMMYFUNCTION("""COMPUTED_VALUE"""),2.0)</f>
        <v>2</v>
      </c>
      <c r="H1136" s="378">
        <f>IFERROR(__xludf.DUMMYFUNCTION("""COMPUTED_VALUE"""),73.67999999999999)</f>
        <v>73.68</v>
      </c>
      <c r="I1136" s="378">
        <f>IFERROR(__xludf.DUMMYFUNCTION("""COMPUTED_VALUE"""),176.832)</f>
        <v>176.832</v>
      </c>
      <c r="J1136" s="377"/>
      <c r="K1136" s="166"/>
      <c r="L1136" s="166"/>
      <c r="M1136" s="166"/>
      <c r="N1136" s="170"/>
      <c r="O1136" s="171"/>
      <c r="P1136" s="171"/>
      <c r="Q1136" s="172"/>
      <c r="R1136" s="173"/>
      <c r="S1136" s="173"/>
      <c r="T1136" s="173"/>
      <c r="U1136" s="174"/>
      <c r="V1136" s="165"/>
      <c r="W1136" s="35"/>
      <c r="X1136" s="35"/>
      <c r="Y1136" s="35"/>
      <c r="Z1136" s="35"/>
      <c r="AA1136" s="35"/>
      <c r="AB1136" s="35"/>
      <c r="AC1136" s="35"/>
      <c r="AD1136" s="35"/>
      <c r="AE1136" s="35"/>
      <c r="AF1136" s="35"/>
      <c r="AG1136" s="35"/>
      <c r="AH1136" s="35"/>
      <c r="AI1136" s="35"/>
    </row>
    <row r="1137">
      <c r="A1137" s="165">
        <f>IFERROR(__xludf.DUMMYFUNCTION("""COMPUTED_VALUE"""),8832105.0)</f>
        <v>8832105</v>
      </c>
      <c r="B1137" s="166" t="str">
        <f>IFERROR(__xludf.DUMMYFUNCTION("""COMPUTED_VALUE"""),"BookingCom")</f>
        <v>BookingCom</v>
      </c>
      <c r="C1137" s="166" t="str">
        <f>IFERROR(__xludf.DUMMYFUNCTION("""COMPUTED_VALUE"""),"Marta Chmielewska ")</f>
        <v>Marta Chmielewska </v>
      </c>
      <c r="D1137" s="165">
        <f>IFERROR(__xludf.DUMMYFUNCTION("""COMPUTED_VALUE"""),46214.0)</f>
        <v>46214</v>
      </c>
      <c r="E1137" s="165">
        <f>IFERROR(__xludf.DUMMYFUNCTION("""COMPUTED_VALUE"""),46215.0)</f>
        <v>46215</v>
      </c>
      <c r="F1137" s="377">
        <f>IFERROR(__xludf.DUMMYFUNCTION("""COMPUTED_VALUE"""),1.0)</f>
        <v>1</v>
      </c>
      <c r="G1137" s="377">
        <f>IFERROR(__xludf.DUMMYFUNCTION("""COMPUTED_VALUE"""),2.0)</f>
        <v>2</v>
      </c>
      <c r="H1137" s="378">
        <f>IFERROR(__xludf.DUMMYFUNCTION("""COMPUTED_VALUE"""),79.38)</f>
        <v>79.38</v>
      </c>
      <c r="I1137" s="378">
        <f>IFERROR(__xludf.DUMMYFUNCTION("""COMPUTED_VALUE"""),63.504)</f>
        <v>63.504</v>
      </c>
      <c r="J1137" s="377"/>
      <c r="K1137" s="166"/>
      <c r="L1137" s="166"/>
      <c r="M1137" s="166"/>
      <c r="N1137" s="170"/>
      <c r="O1137" s="171"/>
      <c r="P1137" s="171"/>
      <c r="Q1137" s="172"/>
      <c r="R1137" s="173"/>
      <c r="S1137" s="173"/>
      <c r="T1137" s="173"/>
      <c r="U1137" s="174"/>
      <c r="V1137" s="165"/>
      <c r="W1137" s="188"/>
      <c r="X1137" s="188"/>
      <c r="Y1137" s="188"/>
      <c r="Z1137" s="188"/>
      <c r="AA1137" s="188"/>
      <c r="AB1137" s="188"/>
      <c r="AC1137" s="188"/>
      <c r="AD1137" s="188"/>
      <c r="AE1137" s="188"/>
      <c r="AF1137" s="188"/>
      <c r="AG1137" s="188"/>
      <c r="AH1137" s="188"/>
      <c r="AI1137" s="188"/>
    </row>
    <row r="1138">
      <c r="A1138" s="263">
        <f>IFERROR(__xludf.DUMMYFUNCTION("""COMPUTED_VALUE"""),8832889.0)</f>
        <v>8832889</v>
      </c>
      <c r="B1138" s="264" t="str">
        <f>IFERROR(__xludf.DUMMYFUNCTION("""COMPUTED_VALUE"""),"Reseliva Pannel")</f>
        <v>Reseliva Pannel</v>
      </c>
      <c r="C1138" s="265" t="str">
        <f>IFERROR(__xludf.DUMMYFUNCTION("""COMPUTED_VALUE"""),"Traveaux Chambre ")</f>
        <v>Traveaux Chambre </v>
      </c>
      <c r="D1138" s="266">
        <f>IFERROR(__xludf.DUMMYFUNCTION("""COMPUTED_VALUE"""),46218.0)</f>
        <v>46218</v>
      </c>
      <c r="E1138" s="266">
        <f>IFERROR(__xludf.DUMMYFUNCTION("""COMPUTED_VALUE"""),46224.0)</f>
        <v>46224</v>
      </c>
      <c r="F1138" s="267">
        <f>IFERROR(__xludf.DUMMYFUNCTION("""COMPUTED_VALUE"""),6.0)</f>
        <v>6</v>
      </c>
      <c r="G1138" s="267">
        <f>IFERROR(__xludf.DUMMYFUNCTION("""COMPUTED_VALUE"""),2.0)</f>
        <v>2</v>
      </c>
      <c r="H1138" s="268">
        <f>IFERROR(__xludf.DUMMYFUNCTION("""COMPUTED_VALUE"""),174.96)</f>
        <v>174.96</v>
      </c>
      <c r="I1138" s="268">
        <f>IFERROR(__xludf.DUMMYFUNCTION("""COMPUTED_VALUE"""),1049.76)</f>
        <v>1049.76</v>
      </c>
      <c r="J1138" s="377"/>
      <c r="K1138" s="265"/>
      <c r="L1138" s="265"/>
      <c r="M1138" s="264"/>
      <c r="N1138" s="270"/>
      <c r="O1138" s="271"/>
      <c r="P1138" s="271"/>
      <c r="Q1138" s="283"/>
      <c r="R1138" s="273"/>
      <c r="S1138" s="273"/>
      <c r="T1138" s="273"/>
      <c r="U1138" s="274"/>
      <c r="V1138" s="266"/>
      <c r="W1138" s="35"/>
      <c r="X1138" s="35"/>
      <c r="Y1138" s="35"/>
      <c r="Z1138" s="35"/>
      <c r="AA1138" s="35"/>
      <c r="AB1138" s="35"/>
      <c r="AC1138" s="35"/>
      <c r="AD1138" s="35"/>
      <c r="AE1138" s="35"/>
      <c r="AF1138" s="35"/>
      <c r="AG1138" s="35"/>
      <c r="AH1138" s="35"/>
      <c r="AI1138" s="35"/>
    </row>
    <row r="1139">
      <c r="A1139" s="165">
        <f>IFERROR(__xludf.DUMMYFUNCTION("""COMPUTED_VALUE"""),8834716.0)</f>
        <v>8834716</v>
      </c>
      <c r="B1139" s="166" t="str">
        <f>IFERROR(__xludf.DUMMYFUNCTION("""COMPUTED_VALUE"""),"Reseliva Pannel")</f>
        <v>Reseliva Pannel</v>
      </c>
      <c r="C1139" s="166" t="str">
        <f>IFERROR(__xludf.DUMMYFUNCTION("""COMPUTED_VALUE"""),"Thomas Kristensen ")</f>
        <v>Thomas Kristensen </v>
      </c>
      <c r="D1139" s="165">
        <f>IFERROR(__xludf.DUMMYFUNCTION("""COMPUTED_VALUE"""),46217.0)</f>
        <v>46217</v>
      </c>
      <c r="E1139" s="165">
        <f>IFERROR(__xludf.DUMMYFUNCTION("""COMPUTED_VALUE"""),46220.0)</f>
        <v>46220</v>
      </c>
      <c r="F1139" s="377">
        <f>IFERROR(__xludf.DUMMYFUNCTION("""COMPUTED_VALUE"""),3.0)</f>
        <v>3</v>
      </c>
      <c r="G1139" s="377">
        <f>IFERROR(__xludf.DUMMYFUNCTION("""COMPUTED_VALUE"""),2.0)</f>
        <v>2</v>
      </c>
      <c r="H1139" s="378">
        <f>IFERROR(__xludf.DUMMYFUNCTION("""COMPUTED_VALUE"""),144.0)</f>
        <v>144</v>
      </c>
      <c r="I1139" s="378">
        <f>IFERROR(__xludf.DUMMYFUNCTION("""COMPUTED_VALUE"""),432.0)</f>
        <v>432</v>
      </c>
      <c r="J1139" s="377"/>
      <c r="K1139" s="166"/>
      <c r="L1139" s="166"/>
      <c r="M1139" s="166"/>
      <c r="N1139" s="170"/>
      <c r="O1139" s="171"/>
      <c r="P1139" s="171"/>
      <c r="Q1139" s="172"/>
      <c r="R1139" s="173"/>
      <c r="S1139" s="173"/>
      <c r="T1139" s="173"/>
      <c r="U1139" s="174"/>
      <c r="V1139" s="165"/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</row>
    <row r="1140">
      <c r="A1140" s="165">
        <f>IFERROR(__xludf.DUMMYFUNCTION("""COMPUTED_VALUE"""),8834716.0)</f>
        <v>8834716</v>
      </c>
      <c r="B1140" s="166" t="str">
        <f>IFERROR(__xludf.DUMMYFUNCTION("""COMPUTED_VALUE"""),"Reseliva Pannel")</f>
        <v>Reseliva Pannel</v>
      </c>
      <c r="C1140" s="166" t="str">
        <f>IFERROR(__xludf.DUMMYFUNCTION("""COMPUTED_VALUE"""),"Thomas Kristensen ")</f>
        <v>Thomas Kristensen </v>
      </c>
      <c r="D1140" s="165">
        <f>IFERROR(__xludf.DUMMYFUNCTION("""COMPUTED_VALUE"""),46217.0)</f>
        <v>46217</v>
      </c>
      <c r="E1140" s="165">
        <f>IFERROR(__xludf.DUMMYFUNCTION("""COMPUTED_VALUE"""),46220.0)</f>
        <v>46220</v>
      </c>
      <c r="F1140" s="377">
        <f>IFERROR(__xludf.DUMMYFUNCTION("""COMPUTED_VALUE"""),3.0)</f>
        <v>3</v>
      </c>
      <c r="G1140" s="377">
        <f>IFERROR(__xludf.DUMMYFUNCTION("""COMPUTED_VALUE"""),2.0)</f>
        <v>2</v>
      </c>
      <c r="H1140" s="378">
        <f>IFERROR(__xludf.DUMMYFUNCTION("""COMPUTED_VALUE"""),174.96)</f>
        <v>174.96</v>
      </c>
      <c r="I1140" s="378">
        <f>IFERROR(__xludf.DUMMYFUNCTION("""COMPUTED_VALUE"""),524.88)</f>
        <v>524.88</v>
      </c>
      <c r="J1140" s="377"/>
      <c r="K1140" s="166"/>
      <c r="L1140" s="166"/>
      <c r="M1140" s="166"/>
      <c r="N1140" s="170"/>
      <c r="O1140" s="171"/>
      <c r="P1140" s="171"/>
      <c r="Q1140" s="169"/>
      <c r="R1140" s="173"/>
      <c r="S1140" s="173"/>
      <c r="T1140" s="173"/>
      <c r="U1140" s="174"/>
      <c r="V1140" s="165"/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</row>
    <row r="1141">
      <c r="A1141" s="165">
        <f>IFERROR(__xludf.DUMMYFUNCTION("""COMPUTED_VALUE"""),8836068.0)</f>
        <v>8836068</v>
      </c>
      <c r="B1141" s="166" t="str">
        <f>IFERROR(__xludf.DUMMYFUNCTION("""COMPUTED_VALUE"""),"BookingCom")</f>
        <v>BookingCom</v>
      </c>
      <c r="C1141" s="166" t="str">
        <f>IFERROR(__xludf.DUMMYFUNCTION("""COMPUTED_VALUE"""),"Benedetta Pacini ")</f>
        <v>Benedetta Pacini </v>
      </c>
      <c r="D1141" s="165">
        <f>IFERROR(__xludf.DUMMYFUNCTION("""COMPUTED_VALUE"""),46239.0)</f>
        <v>46239</v>
      </c>
      <c r="E1141" s="165">
        <f>IFERROR(__xludf.DUMMYFUNCTION("""COMPUTED_VALUE"""),46244.0)</f>
        <v>46244</v>
      </c>
      <c r="F1141" s="377">
        <f>IFERROR(__xludf.DUMMYFUNCTION("""COMPUTED_VALUE"""),5.0)</f>
        <v>5</v>
      </c>
      <c r="G1141" s="377">
        <f>IFERROR(__xludf.DUMMYFUNCTION("""COMPUTED_VALUE"""),3.0)</f>
        <v>3</v>
      </c>
      <c r="H1141" s="378">
        <f>IFERROR(__xludf.DUMMYFUNCTION("""COMPUTED_VALUE"""),109.9)</f>
        <v>109.9</v>
      </c>
      <c r="I1141" s="378">
        <f>IFERROR(__xludf.DUMMYFUNCTION("""COMPUTED_VALUE"""),439.6000000000001)</f>
        <v>439.6</v>
      </c>
      <c r="J1141" s="377"/>
      <c r="K1141" s="166"/>
      <c r="L1141" s="166"/>
      <c r="M1141" s="166"/>
      <c r="N1141" s="170"/>
      <c r="O1141" s="171"/>
      <c r="P1141" s="171"/>
      <c r="Q1141" s="172"/>
      <c r="R1141" s="173"/>
      <c r="S1141" s="173"/>
      <c r="T1141" s="173"/>
      <c r="U1141" s="174"/>
      <c r="V1141" s="165"/>
      <c r="W1141" s="35"/>
      <c r="X1141" s="35"/>
      <c r="Y1141" s="35"/>
      <c r="Z1141" s="35"/>
      <c r="AA1141" s="35"/>
      <c r="AB1141" s="35"/>
      <c r="AC1141" s="35"/>
      <c r="AD1141" s="35"/>
      <c r="AE1141" s="35"/>
      <c r="AF1141" s="35"/>
      <c r="AG1141" s="35"/>
      <c r="AH1141" s="35"/>
      <c r="AI1141" s="35"/>
    </row>
    <row r="1142">
      <c r="A1142" s="165">
        <f>IFERROR(__xludf.DUMMYFUNCTION("""COMPUTED_VALUE"""),8837081.0)</f>
        <v>8837081</v>
      </c>
      <c r="B1142" s="166" t="str">
        <f>IFERROR(__xludf.DUMMYFUNCTION("""COMPUTED_VALUE"""),"BookingCom")</f>
        <v>BookingCom</v>
      </c>
      <c r="C1142" s="166" t="str">
        <f>IFERROR(__xludf.DUMMYFUNCTION("""COMPUTED_VALUE"""),"Ahmed Alrammah ")</f>
        <v>Ahmed Alrammah </v>
      </c>
      <c r="D1142" s="165">
        <f>IFERROR(__xludf.DUMMYFUNCTION("""COMPUTED_VALUE"""),46222.0)</f>
        <v>46222</v>
      </c>
      <c r="E1142" s="165">
        <f>IFERROR(__xludf.DUMMYFUNCTION("""COMPUTED_VALUE"""),46224.0)</f>
        <v>46224</v>
      </c>
      <c r="F1142" s="377">
        <f>IFERROR(__xludf.DUMMYFUNCTION("""COMPUTED_VALUE"""),2.0)</f>
        <v>2</v>
      </c>
      <c r="G1142" s="377">
        <f>IFERROR(__xludf.DUMMYFUNCTION("""COMPUTED_VALUE"""),2.0)</f>
        <v>2</v>
      </c>
      <c r="H1142" s="378">
        <f>IFERROR(__xludf.DUMMYFUNCTION("""COMPUTED_VALUE"""),83.65)</f>
        <v>83.65</v>
      </c>
      <c r="I1142" s="378">
        <f>IFERROR(__xludf.DUMMYFUNCTION("""COMPUTED_VALUE"""),133.84)</f>
        <v>133.84</v>
      </c>
      <c r="J1142" s="377"/>
      <c r="K1142" s="166"/>
      <c r="L1142" s="166"/>
      <c r="M1142" s="166"/>
      <c r="N1142" s="170"/>
      <c r="O1142" s="171"/>
      <c r="P1142" s="171"/>
      <c r="Q1142" s="172"/>
      <c r="R1142" s="173"/>
      <c r="S1142" s="173"/>
      <c r="T1142" s="173"/>
      <c r="U1142" s="174"/>
      <c r="V1142" s="165"/>
      <c r="W1142" s="35"/>
      <c r="X1142" s="35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</row>
    <row r="1143">
      <c r="A1143" s="165">
        <f>IFERROR(__xludf.DUMMYFUNCTION("""COMPUTED_VALUE"""),8837969.0)</f>
        <v>8837969</v>
      </c>
      <c r="B1143" s="166" t="str">
        <f>IFERROR(__xludf.DUMMYFUNCTION("""COMPUTED_VALUE"""),"BookingCom")</f>
        <v>BookingCom</v>
      </c>
      <c r="C1143" s="166" t="str">
        <f>IFERROR(__xludf.DUMMYFUNCTION("""COMPUTED_VALUE"""),"Marco Di Giambattista ")</f>
        <v>Marco Di Giambattista </v>
      </c>
      <c r="D1143" s="165">
        <f>IFERROR(__xludf.DUMMYFUNCTION("""COMPUTED_VALUE"""),46229.0)</f>
        <v>46229</v>
      </c>
      <c r="E1143" s="165">
        <f>IFERROR(__xludf.DUMMYFUNCTION("""COMPUTED_VALUE"""),46232.0)</f>
        <v>46232</v>
      </c>
      <c r="F1143" s="377">
        <f>IFERROR(__xludf.DUMMYFUNCTION("""COMPUTED_VALUE"""),3.0)</f>
        <v>3</v>
      </c>
      <c r="G1143" s="377">
        <f>IFERROR(__xludf.DUMMYFUNCTION("""COMPUTED_VALUE"""),2.0)</f>
        <v>2</v>
      </c>
      <c r="H1143" s="378">
        <f>IFERROR(__xludf.DUMMYFUNCTION("""COMPUTED_VALUE"""),107.62)</f>
        <v>107.62</v>
      </c>
      <c r="I1143" s="378">
        <f>IFERROR(__xludf.DUMMYFUNCTION("""COMPUTED_VALUE"""),258.288)</f>
        <v>258.288</v>
      </c>
      <c r="J1143" s="267"/>
      <c r="K1143" s="166"/>
      <c r="L1143" s="166"/>
      <c r="M1143" s="166"/>
      <c r="N1143" s="170"/>
      <c r="O1143" s="171"/>
      <c r="P1143" s="171"/>
      <c r="Q1143" s="172"/>
      <c r="R1143" s="173"/>
      <c r="S1143" s="173"/>
      <c r="T1143" s="173"/>
      <c r="U1143" s="174"/>
      <c r="V1143" s="165"/>
      <c r="W1143" s="35"/>
      <c r="X1143" s="35"/>
      <c r="Y1143" s="35"/>
      <c r="Z1143" s="35"/>
      <c r="AA1143" s="35"/>
      <c r="AB1143" s="35"/>
      <c r="AC1143" s="35"/>
      <c r="AD1143" s="35"/>
      <c r="AE1143" s="35"/>
      <c r="AF1143" s="35"/>
      <c r="AG1143" s="35"/>
      <c r="AH1143" s="35"/>
      <c r="AI1143" s="35"/>
    </row>
    <row r="1144">
      <c r="A1144" s="165">
        <f>IFERROR(__xludf.DUMMYFUNCTION("""COMPUTED_VALUE"""),8838587.0)</f>
        <v>8838587</v>
      </c>
      <c r="B1144" s="166" t="str">
        <f>IFERROR(__xludf.DUMMYFUNCTION("""COMPUTED_VALUE"""),"Reseliva Pannel")</f>
        <v>Reseliva Pannel</v>
      </c>
      <c r="C1144" s="166" t="str">
        <f>IFERROR(__xludf.DUMMYFUNCTION("""COMPUTED_VALUE"""),"Hofbeck Iris ")</f>
        <v>Hofbeck Iris </v>
      </c>
      <c r="D1144" s="165">
        <f>IFERROR(__xludf.DUMMYFUNCTION("""COMPUTED_VALUE"""),46336.0)</f>
        <v>46336</v>
      </c>
      <c r="E1144" s="165">
        <f>IFERROR(__xludf.DUMMYFUNCTION("""COMPUTED_VALUE"""),46337.0)</f>
        <v>46337</v>
      </c>
      <c r="F1144" s="377">
        <f>IFERROR(__xludf.DUMMYFUNCTION("""COMPUTED_VALUE"""),1.0)</f>
        <v>1</v>
      </c>
      <c r="G1144" s="377">
        <f>IFERROR(__xludf.DUMMYFUNCTION("""COMPUTED_VALUE"""),2.0)</f>
        <v>2</v>
      </c>
      <c r="H1144" s="378">
        <f>IFERROR(__xludf.DUMMYFUNCTION("""COMPUTED_VALUE"""),210.24)</f>
        <v>210.24</v>
      </c>
      <c r="I1144" s="378">
        <f>IFERROR(__xludf.DUMMYFUNCTION("""COMPUTED_VALUE"""),210.24)</f>
        <v>210.24</v>
      </c>
      <c r="J1144" s="377"/>
      <c r="K1144" s="166"/>
      <c r="L1144" s="166"/>
      <c r="M1144" s="166"/>
      <c r="N1144" s="170"/>
      <c r="O1144" s="171"/>
      <c r="P1144" s="171"/>
      <c r="Q1144" s="172"/>
      <c r="R1144" s="173"/>
      <c r="S1144" s="173"/>
      <c r="T1144" s="173"/>
      <c r="U1144" s="174"/>
      <c r="V1144" s="165"/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</row>
    <row r="1145">
      <c r="A1145" s="165">
        <f>IFERROR(__xludf.DUMMYFUNCTION("""COMPUTED_VALUE"""),8838828.0)</f>
        <v>8838828</v>
      </c>
      <c r="B1145" s="166" t="str">
        <f>IFERROR(__xludf.DUMMYFUNCTION("""COMPUTED_VALUE"""),"BookingCom")</f>
        <v>BookingCom</v>
      </c>
      <c r="C1145" s="166" t="str">
        <f>IFERROR(__xludf.DUMMYFUNCTION("""COMPUTED_VALUE"""),"Lewis Davis ")</f>
        <v>Lewis Davis </v>
      </c>
      <c r="D1145" s="165">
        <f>IFERROR(__xludf.DUMMYFUNCTION("""COMPUTED_VALUE"""),46228.0)</f>
        <v>46228</v>
      </c>
      <c r="E1145" s="165">
        <f>IFERROR(__xludf.DUMMYFUNCTION("""COMPUTED_VALUE"""),46231.0)</f>
        <v>46231</v>
      </c>
      <c r="F1145" s="377">
        <f>IFERROR(__xludf.DUMMYFUNCTION("""COMPUTED_VALUE"""),3.0)</f>
        <v>3</v>
      </c>
      <c r="G1145" s="377">
        <f>IFERROR(__xludf.DUMMYFUNCTION("""COMPUTED_VALUE"""),1.0)</f>
        <v>1</v>
      </c>
      <c r="H1145" s="378">
        <f>IFERROR(__xludf.DUMMYFUNCTION("""COMPUTED_VALUE"""),157.10999999999999)</f>
        <v>157.11</v>
      </c>
      <c r="I1145" s="378">
        <f>IFERROR(__xludf.DUMMYFUNCTION("""COMPUTED_VALUE"""),377.06399999999996)</f>
        <v>377.064</v>
      </c>
      <c r="J1145" s="377"/>
      <c r="K1145" s="166"/>
      <c r="L1145" s="166"/>
      <c r="M1145" s="166"/>
      <c r="N1145" s="170"/>
      <c r="O1145" s="171"/>
      <c r="P1145" s="171"/>
      <c r="Q1145" s="172"/>
      <c r="R1145" s="173"/>
      <c r="S1145" s="173"/>
      <c r="T1145" s="173"/>
      <c r="U1145" s="174"/>
      <c r="V1145" s="165"/>
      <c r="W1145" s="188"/>
      <c r="X1145" s="188"/>
      <c r="Y1145" s="188"/>
      <c r="Z1145" s="188"/>
      <c r="AA1145" s="188"/>
      <c r="AB1145" s="188"/>
      <c r="AC1145" s="188"/>
      <c r="AD1145" s="188"/>
      <c r="AE1145" s="188"/>
      <c r="AF1145" s="188"/>
      <c r="AG1145" s="188"/>
      <c r="AH1145" s="188"/>
      <c r="AI1145" s="188"/>
    </row>
    <row r="1146">
      <c r="A1146" s="165">
        <f>IFERROR(__xludf.DUMMYFUNCTION("""COMPUTED_VALUE"""),8839579.0)</f>
        <v>8839579</v>
      </c>
      <c r="B1146" s="166" t="str">
        <f>IFERROR(__xludf.DUMMYFUNCTION("""COMPUTED_VALUE"""),"BookingCom")</f>
        <v>BookingCom</v>
      </c>
      <c r="C1146" s="166" t="str">
        <f>IFERROR(__xludf.DUMMYFUNCTION("""COMPUTED_VALUE"""),"jaap kroot ")</f>
        <v>jaap kroot </v>
      </c>
      <c r="D1146" s="165">
        <f>IFERROR(__xludf.DUMMYFUNCTION("""COMPUTED_VALUE"""),46239.0)</f>
        <v>46239</v>
      </c>
      <c r="E1146" s="165">
        <f>IFERROR(__xludf.DUMMYFUNCTION("""COMPUTED_VALUE"""),46241.0)</f>
        <v>46241</v>
      </c>
      <c r="F1146" s="377">
        <f>IFERROR(__xludf.DUMMYFUNCTION("""COMPUTED_VALUE"""),2.0)</f>
        <v>2</v>
      </c>
      <c r="G1146" s="377">
        <f>IFERROR(__xludf.DUMMYFUNCTION("""COMPUTED_VALUE"""),2.0)</f>
        <v>2</v>
      </c>
      <c r="H1146" s="378">
        <f>IFERROR(__xludf.DUMMYFUNCTION("""COMPUTED_VALUE"""),73.7)</f>
        <v>73.7</v>
      </c>
      <c r="I1146" s="378">
        <f>IFERROR(__xludf.DUMMYFUNCTION("""COMPUTED_VALUE"""),117.92000000000002)</f>
        <v>117.92</v>
      </c>
      <c r="J1146" s="377"/>
      <c r="K1146" s="166"/>
      <c r="L1146" s="166"/>
      <c r="M1146" s="166"/>
      <c r="N1146" s="170"/>
      <c r="O1146" s="171"/>
      <c r="P1146" s="171"/>
      <c r="Q1146" s="172"/>
      <c r="R1146" s="173"/>
      <c r="S1146" s="173"/>
      <c r="T1146" s="173"/>
      <c r="U1146" s="174"/>
      <c r="V1146" s="165"/>
      <c r="W1146" s="35"/>
      <c r="X1146" s="35"/>
      <c r="Y1146" s="35"/>
      <c r="Z1146" s="35"/>
      <c r="AA1146" s="35"/>
      <c r="AB1146" s="35"/>
      <c r="AC1146" s="35"/>
      <c r="AD1146" s="35"/>
      <c r="AE1146" s="35"/>
      <c r="AF1146" s="35"/>
      <c r="AG1146" s="35"/>
      <c r="AH1146" s="35"/>
      <c r="AI1146" s="35"/>
    </row>
    <row r="1147">
      <c r="A1147" s="165">
        <f>IFERROR(__xludf.DUMMYFUNCTION("""COMPUTED_VALUE"""),8841435.0)</f>
        <v>8841435</v>
      </c>
      <c r="B1147" s="166" t="str">
        <f>IFERROR(__xludf.DUMMYFUNCTION("""COMPUTED_VALUE"""),"BookingCom")</f>
        <v>BookingCom</v>
      </c>
      <c r="C1147" s="166" t="str">
        <f>IFERROR(__xludf.DUMMYFUNCTION("""COMPUTED_VALUE"""),"Lourdes Pastor ponce ")</f>
        <v>Lourdes Pastor ponce </v>
      </c>
      <c r="D1147" s="165">
        <f>IFERROR(__xludf.DUMMYFUNCTION("""COMPUTED_VALUE"""),46246.0)</f>
        <v>46246</v>
      </c>
      <c r="E1147" s="165">
        <f>IFERROR(__xludf.DUMMYFUNCTION("""COMPUTED_VALUE"""),46249.0)</f>
        <v>46249</v>
      </c>
      <c r="F1147" s="377">
        <f>IFERROR(__xludf.DUMMYFUNCTION("""COMPUTED_VALUE"""),3.0)</f>
        <v>3</v>
      </c>
      <c r="G1147" s="377">
        <f>IFERROR(__xludf.DUMMYFUNCTION("""COMPUTED_VALUE"""),2.0)</f>
        <v>2</v>
      </c>
      <c r="H1147" s="378">
        <f>IFERROR(__xludf.DUMMYFUNCTION("""COMPUTED_VALUE"""),93.83999999999999)</f>
        <v>93.84</v>
      </c>
      <c r="I1147" s="378">
        <f>IFERROR(__xludf.DUMMYFUNCTION("""COMPUTED_VALUE"""),225.21599999999995)</f>
        <v>225.216</v>
      </c>
      <c r="J1147" s="377"/>
      <c r="K1147" s="166"/>
      <c r="L1147" s="166"/>
      <c r="M1147" s="166"/>
      <c r="N1147" s="170"/>
      <c r="O1147" s="171"/>
      <c r="P1147" s="171"/>
      <c r="Q1147" s="172"/>
      <c r="R1147" s="173"/>
      <c r="S1147" s="173"/>
      <c r="T1147" s="173"/>
      <c r="U1147" s="174"/>
      <c r="V1147" s="165"/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</row>
    <row r="1148">
      <c r="A1148" s="165">
        <f>IFERROR(__xludf.DUMMYFUNCTION("""COMPUTED_VALUE"""),8841603.0)</f>
        <v>8841603</v>
      </c>
      <c r="B1148" s="166" t="str">
        <f>IFERROR(__xludf.DUMMYFUNCTION("""COMPUTED_VALUE"""),"BookingCom")</f>
        <v>BookingCom</v>
      </c>
      <c r="C1148" s="166" t="str">
        <f>IFERROR(__xludf.DUMMYFUNCTION("""COMPUTED_VALUE"""),"Marco Strambi ")</f>
        <v>Marco Strambi </v>
      </c>
      <c r="D1148" s="165">
        <f>IFERROR(__xludf.DUMMYFUNCTION("""COMPUTED_VALUE"""),46238.0)</f>
        <v>46238</v>
      </c>
      <c r="E1148" s="165">
        <f>IFERROR(__xludf.DUMMYFUNCTION("""COMPUTED_VALUE"""),46239.0)</f>
        <v>46239</v>
      </c>
      <c r="F1148" s="377">
        <f>IFERROR(__xludf.DUMMYFUNCTION("""COMPUTED_VALUE"""),1.0)</f>
        <v>1</v>
      </c>
      <c r="G1148" s="377">
        <f>IFERROR(__xludf.DUMMYFUNCTION("""COMPUTED_VALUE"""),2.0)</f>
        <v>2</v>
      </c>
      <c r="H1148" s="378">
        <f>IFERROR(__xludf.DUMMYFUNCTION("""COMPUTED_VALUE"""),78.73)</f>
        <v>78.73</v>
      </c>
      <c r="I1148" s="378">
        <f>IFERROR(__xludf.DUMMYFUNCTION("""COMPUTED_VALUE"""),62.98400000000001)</f>
        <v>62.984</v>
      </c>
      <c r="J1148" s="377"/>
      <c r="K1148" s="166"/>
      <c r="L1148" s="166"/>
      <c r="M1148" s="166"/>
      <c r="N1148" s="170"/>
      <c r="O1148" s="171"/>
      <c r="P1148" s="171"/>
      <c r="Q1148" s="172"/>
      <c r="R1148" s="173"/>
      <c r="S1148" s="173"/>
      <c r="T1148" s="173"/>
      <c r="U1148" s="174"/>
      <c r="V1148" s="165"/>
      <c r="W1148" s="188"/>
      <c r="X1148" s="188"/>
      <c r="Y1148" s="188"/>
      <c r="Z1148" s="188"/>
      <c r="AA1148" s="188"/>
      <c r="AB1148" s="188"/>
      <c r="AC1148" s="188"/>
      <c r="AD1148" s="188"/>
      <c r="AE1148" s="188"/>
      <c r="AF1148" s="188"/>
      <c r="AG1148" s="188"/>
      <c r="AH1148" s="188"/>
      <c r="AI1148" s="188"/>
    </row>
    <row r="1149">
      <c r="A1149" s="165">
        <f>IFERROR(__xludf.DUMMYFUNCTION("""COMPUTED_VALUE"""),8843139.0)</f>
        <v>8843139</v>
      </c>
      <c r="B1149" s="166" t="str">
        <f>IFERROR(__xludf.DUMMYFUNCTION("""COMPUTED_VALUE"""),"BookingCom")</f>
        <v>BookingCom</v>
      </c>
      <c r="C1149" s="166" t="str">
        <f>IFERROR(__xludf.DUMMYFUNCTION("""COMPUTED_VALUE"""),"Abedul Hussain ")</f>
        <v>Abedul Hussain </v>
      </c>
      <c r="D1149" s="165">
        <f>IFERROR(__xludf.DUMMYFUNCTION("""COMPUTED_VALUE"""),46240.0)</f>
        <v>46240</v>
      </c>
      <c r="E1149" s="165">
        <f>IFERROR(__xludf.DUMMYFUNCTION("""COMPUTED_VALUE"""),46244.0)</f>
        <v>46244</v>
      </c>
      <c r="F1149" s="377">
        <f>IFERROR(__xludf.DUMMYFUNCTION("""COMPUTED_VALUE"""),4.0)</f>
        <v>4</v>
      </c>
      <c r="G1149" s="377">
        <f>IFERROR(__xludf.DUMMYFUNCTION("""COMPUTED_VALUE"""),2.0)</f>
        <v>2</v>
      </c>
      <c r="H1149" s="378">
        <f>IFERROR(__xludf.DUMMYFUNCTION("""COMPUTED_VALUE"""),89.86)</f>
        <v>89.86</v>
      </c>
      <c r="I1149" s="378">
        <f>IFERROR(__xludf.DUMMYFUNCTION("""COMPUTED_VALUE"""),287.552)</f>
        <v>287.552</v>
      </c>
      <c r="J1149" s="377"/>
      <c r="K1149" s="166"/>
      <c r="L1149" s="166"/>
      <c r="M1149" s="166"/>
      <c r="N1149" s="170"/>
      <c r="O1149" s="171"/>
      <c r="P1149" s="171"/>
      <c r="Q1149" s="172"/>
      <c r="R1149" s="173"/>
      <c r="S1149" s="173"/>
      <c r="T1149" s="173"/>
      <c r="U1149" s="174"/>
      <c r="V1149" s="210"/>
      <c r="W1149" s="35"/>
      <c r="X1149" s="35"/>
      <c r="Y1149" s="35"/>
      <c r="Z1149" s="35"/>
      <c r="AA1149" s="35"/>
      <c r="AB1149" s="35"/>
      <c r="AC1149" s="35"/>
      <c r="AD1149" s="35"/>
      <c r="AE1149" s="35"/>
      <c r="AF1149" s="35"/>
      <c r="AG1149" s="35"/>
      <c r="AH1149" s="35"/>
      <c r="AI1149" s="35"/>
    </row>
    <row r="1150">
      <c r="A1150" s="165">
        <f>IFERROR(__xludf.DUMMYFUNCTION("""COMPUTED_VALUE"""),8843139.0)</f>
        <v>8843139</v>
      </c>
      <c r="B1150" s="166" t="str">
        <f>IFERROR(__xludf.DUMMYFUNCTION("""COMPUTED_VALUE"""),"BookingCom")</f>
        <v>BookingCom</v>
      </c>
      <c r="C1150" s="166" t="str">
        <f>IFERROR(__xludf.DUMMYFUNCTION("""COMPUTED_VALUE"""),"Abedul Hussain ")</f>
        <v>Abedul Hussain </v>
      </c>
      <c r="D1150" s="165">
        <f>IFERROR(__xludf.DUMMYFUNCTION("""COMPUTED_VALUE"""),46240.0)</f>
        <v>46240</v>
      </c>
      <c r="E1150" s="165">
        <f>IFERROR(__xludf.DUMMYFUNCTION("""COMPUTED_VALUE"""),46244.0)</f>
        <v>46244</v>
      </c>
      <c r="F1150" s="377">
        <f>IFERROR(__xludf.DUMMYFUNCTION("""COMPUTED_VALUE"""),4.0)</f>
        <v>4</v>
      </c>
      <c r="G1150" s="377">
        <f>IFERROR(__xludf.DUMMYFUNCTION("""COMPUTED_VALUE"""),3.0)</f>
        <v>3</v>
      </c>
      <c r="H1150" s="378">
        <f>IFERROR(__xludf.DUMMYFUNCTION("""COMPUTED_VALUE"""),89.86)</f>
        <v>89.86</v>
      </c>
      <c r="I1150" s="378">
        <f>IFERROR(__xludf.DUMMYFUNCTION("""COMPUTED_VALUE"""),287.552)</f>
        <v>287.552</v>
      </c>
      <c r="J1150" s="377"/>
      <c r="K1150" s="166"/>
      <c r="L1150" s="166"/>
      <c r="M1150" s="205"/>
      <c r="N1150" s="170"/>
      <c r="O1150" s="171"/>
      <c r="P1150" s="171"/>
      <c r="Q1150" s="172"/>
      <c r="R1150" s="173"/>
      <c r="S1150" s="173"/>
      <c r="T1150" s="173"/>
      <c r="U1150" s="174"/>
      <c r="V1150" s="165"/>
      <c r="W1150" s="188"/>
      <c r="X1150" s="188"/>
      <c r="Y1150" s="188"/>
      <c r="Z1150" s="188"/>
      <c r="AA1150" s="188"/>
      <c r="AB1150" s="188"/>
      <c r="AC1150" s="188"/>
      <c r="AD1150" s="188"/>
      <c r="AE1150" s="188"/>
      <c r="AF1150" s="188"/>
      <c r="AG1150" s="188"/>
      <c r="AH1150" s="188"/>
      <c r="AI1150" s="188"/>
    </row>
    <row r="1151">
      <c r="A1151" s="165">
        <f>IFERROR(__xludf.DUMMYFUNCTION("""COMPUTED_VALUE"""),8844254.0)</f>
        <v>8844254</v>
      </c>
      <c r="B1151" s="166" t="str">
        <f>IFERROR(__xludf.DUMMYFUNCTION("""COMPUTED_VALUE"""),"BookingCom")</f>
        <v>BookingCom</v>
      </c>
      <c r="C1151" s="166" t="str">
        <f>IFERROR(__xludf.DUMMYFUNCTION("""COMPUTED_VALUE"""),"Alexandra Pohlmann ")</f>
        <v>Alexandra Pohlmann </v>
      </c>
      <c r="D1151" s="165">
        <f>IFERROR(__xludf.DUMMYFUNCTION("""COMPUTED_VALUE"""),46332.0)</f>
        <v>46332</v>
      </c>
      <c r="E1151" s="165">
        <f>IFERROR(__xludf.DUMMYFUNCTION("""COMPUTED_VALUE"""),46336.0)</f>
        <v>46336</v>
      </c>
      <c r="F1151" s="377">
        <f>IFERROR(__xludf.DUMMYFUNCTION("""COMPUTED_VALUE"""),4.0)</f>
        <v>4</v>
      </c>
      <c r="G1151" s="377">
        <f>IFERROR(__xludf.DUMMYFUNCTION("""COMPUTED_VALUE"""),2.0)</f>
        <v>2</v>
      </c>
      <c r="H1151" s="378">
        <f>IFERROR(__xludf.DUMMYFUNCTION("""COMPUTED_VALUE"""),212.85)</f>
        <v>212.85</v>
      </c>
      <c r="I1151" s="378">
        <f>IFERROR(__xludf.DUMMYFUNCTION("""COMPUTED_VALUE"""),681.12)</f>
        <v>681.12</v>
      </c>
      <c r="J1151" s="377"/>
      <c r="K1151" s="166"/>
      <c r="L1151" s="166"/>
      <c r="M1151" s="166"/>
      <c r="N1151" s="170"/>
      <c r="O1151" s="171"/>
      <c r="P1151" s="171"/>
      <c r="Q1151" s="172"/>
      <c r="R1151" s="173"/>
      <c r="S1151" s="173"/>
      <c r="T1151" s="173"/>
      <c r="U1151" s="174"/>
      <c r="V1151" s="165"/>
      <c r="W1151" s="35"/>
      <c r="X1151" s="35"/>
      <c r="Y1151" s="35"/>
      <c r="Z1151" s="35"/>
      <c r="AA1151" s="35"/>
      <c r="AB1151" s="35"/>
      <c r="AC1151" s="35"/>
      <c r="AD1151" s="35"/>
      <c r="AE1151" s="35"/>
      <c r="AF1151" s="35"/>
      <c r="AG1151" s="35"/>
      <c r="AH1151" s="35"/>
      <c r="AI1151" s="35"/>
    </row>
    <row r="1152">
      <c r="A1152" s="165">
        <f>IFERROR(__xludf.DUMMYFUNCTION("""COMPUTED_VALUE"""),8844659.0)</f>
        <v>8844659</v>
      </c>
      <c r="B1152" s="166" t="str">
        <f>IFERROR(__xludf.DUMMYFUNCTION("""COMPUTED_VALUE"""),"BookingCom")</f>
        <v>BookingCom</v>
      </c>
      <c r="C1152" s="166" t="str">
        <f>IFERROR(__xludf.DUMMYFUNCTION("""COMPUTED_VALUE"""),"Javier Martin ")</f>
        <v>Javier Martin </v>
      </c>
      <c r="D1152" s="165">
        <f>IFERROR(__xludf.DUMMYFUNCTION("""COMPUTED_VALUE"""),46238.0)</f>
        <v>46238</v>
      </c>
      <c r="E1152" s="165">
        <f>IFERROR(__xludf.DUMMYFUNCTION("""COMPUTED_VALUE"""),46240.0)</f>
        <v>46240</v>
      </c>
      <c r="F1152" s="377">
        <f>IFERROR(__xludf.DUMMYFUNCTION("""COMPUTED_VALUE"""),2.0)</f>
        <v>2</v>
      </c>
      <c r="G1152" s="377">
        <f>IFERROR(__xludf.DUMMYFUNCTION("""COMPUTED_VALUE"""),2.0)</f>
        <v>2</v>
      </c>
      <c r="H1152" s="378">
        <f>IFERROR(__xludf.DUMMYFUNCTION("""COMPUTED_VALUE"""),73.7)</f>
        <v>73.7</v>
      </c>
      <c r="I1152" s="378">
        <f>IFERROR(__xludf.DUMMYFUNCTION("""COMPUTED_VALUE"""),117.92000000000002)</f>
        <v>117.92</v>
      </c>
      <c r="J1152" s="377"/>
      <c r="K1152" s="166"/>
      <c r="L1152" s="166"/>
      <c r="M1152" s="166"/>
      <c r="N1152" s="170"/>
      <c r="O1152" s="171"/>
      <c r="P1152" s="171"/>
      <c r="Q1152" s="172"/>
      <c r="R1152" s="173"/>
      <c r="S1152" s="173"/>
      <c r="T1152" s="173"/>
      <c r="U1152" s="174"/>
      <c r="V1152" s="165"/>
      <c r="W1152" s="35"/>
      <c r="X1152" s="35"/>
      <c r="Y1152" s="35"/>
      <c r="Z1152" s="35"/>
      <c r="AA1152" s="35"/>
      <c r="AB1152" s="35"/>
      <c r="AC1152" s="35"/>
      <c r="AD1152" s="35"/>
      <c r="AE1152" s="35"/>
      <c r="AF1152" s="35"/>
      <c r="AG1152" s="35"/>
      <c r="AH1152" s="35"/>
      <c r="AI1152" s="35"/>
    </row>
    <row r="1153">
      <c r="A1153" s="165">
        <f>IFERROR(__xludf.DUMMYFUNCTION("""COMPUTED_VALUE"""),8845597.0)</f>
        <v>8845597</v>
      </c>
      <c r="B1153" s="166" t="str">
        <f>IFERROR(__xludf.DUMMYFUNCTION("""COMPUTED_VALUE"""),"Ctrip")</f>
        <v>Ctrip</v>
      </c>
      <c r="C1153" s="166" t="str">
        <f>IFERROR(__xludf.DUMMYFUNCTION("""COMPUTED_VALUE"""),"Scarlett Ho ")</f>
        <v>Scarlett Ho </v>
      </c>
      <c r="D1153" s="165">
        <f>IFERROR(__xludf.DUMMYFUNCTION("""COMPUTED_VALUE"""),46282.0)</f>
        <v>46282</v>
      </c>
      <c r="E1153" s="165">
        <f>IFERROR(__xludf.DUMMYFUNCTION("""COMPUTED_VALUE"""),46283.0)</f>
        <v>46283</v>
      </c>
      <c r="F1153" s="377">
        <f>IFERROR(__xludf.DUMMYFUNCTION("""COMPUTED_VALUE"""),1.0)</f>
        <v>1</v>
      </c>
      <c r="G1153" s="377">
        <f>IFERROR(__xludf.DUMMYFUNCTION("""COMPUTED_VALUE"""),2.0)</f>
        <v>2</v>
      </c>
      <c r="H1153" s="378">
        <f>IFERROR(__xludf.DUMMYFUNCTION("""COMPUTED_VALUE"""),0.0)</f>
        <v>0</v>
      </c>
      <c r="I1153" s="378">
        <f>IFERROR(__xludf.DUMMYFUNCTION("""COMPUTED_VALUE"""),0.0)</f>
        <v>0</v>
      </c>
      <c r="J1153" s="377"/>
      <c r="K1153" s="166"/>
      <c r="L1153" s="166"/>
      <c r="M1153" s="205"/>
      <c r="N1153" s="170"/>
      <c r="O1153" s="171"/>
      <c r="P1153" s="171"/>
      <c r="Q1153" s="172"/>
      <c r="R1153" s="173"/>
      <c r="S1153" s="173"/>
      <c r="T1153" s="173"/>
      <c r="U1153" s="174"/>
      <c r="V1153" s="165"/>
      <c r="W1153" s="188"/>
      <c r="X1153" s="188"/>
      <c r="Y1153" s="188"/>
      <c r="Z1153" s="188"/>
      <c r="AA1153" s="188"/>
      <c r="AB1153" s="188"/>
      <c r="AC1153" s="188"/>
      <c r="AD1153" s="188"/>
      <c r="AE1153" s="188"/>
      <c r="AF1153" s="188"/>
      <c r="AG1153" s="188"/>
      <c r="AH1153" s="188"/>
      <c r="AI1153" s="188"/>
    </row>
    <row r="1154">
      <c r="A1154" s="165">
        <f>IFERROR(__xludf.DUMMYFUNCTION("""COMPUTED_VALUE"""),8845809.0)</f>
        <v>8845809</v>
      </c>
      <c r="B1154" s="166" t="str">
        <f>IFERROR(__xludf.DUMMYFUNCTION("""COMPUTED_VALUE"""),"BookingCom")</f>
        <v>BookingCom</v>
      </c>
      <c r="C1154" s="166" t="str">
        <f>IFERROR(__xludf.DUMMYFUNCTION("""COMPUTED_VALUE"""),"CATHERINE ERALDI ")</f>
        <v>CATHERINE ERALDI </v>
      </c>
      <c r="D1154" s="165">
        <f>IFERROR(__xludf.DUMMYFUNCTION("""COMPUTED_VALUE"""),46280.0)</f>
        <v>46280</v>
      </c>
      <c r="E1154" s="165">
        <f>IFERROR(__xludf.DUMMYFUNCTION("""COMPUTED_VALUE"""),46283.0)</f>
        <v>46283</v>
      </c>
      <c r="F1154" s="377">
        <f>IFERROR(__xludf.DUMMYFUNCTION("""COMPUTED_VALUE"""),3.0)</f>
        <v>3</v>
      </c>
      <c r="G1154" s="377">
        <f>IFERROR(__xludf.DUMMYFUNCTION("""COMPUTED_VALUE"""),2.0)</f>
        <v>2</v>
      </c>
      <c r="H1154" s="378">
        <f>IFERROR(__xludf.DUMMYFUNCTION("""COMPUTED_VALUE"""),198.4)</f>
        <v>198.4</v>
      </c>
      <c r="I1154" s="378">
        <f>IFERROR(__xludf.DUMMYFUNCTION("""COMPUTED_VALUE"""),476.1600000000001)</f>
        <v>476.16</v>
      </c>
      <c r="J1154" s="377"/>
      <c r="K1154" s="166"/>
      <c r="L1154" s="166"/>
      <c r="M1154" s="166"/>
      <c r="N1154" s="170"/>
      <c r="O1154" s="171"/>
      <c r="P1154" s="171"/>
      <c r="Q1154" s="172"/>
      <c r="R1154" s="173"/>
      <c r="S1154" s="173"/>
      <c r="T1154" s="173"/>
      <c r="U1154" s="174"/>
      <c r="V1154" s="165"/>
      <c r="W1154" s="35"/>
      <c r="X1154" s="35"/>
      <c r="Y1154" s="35"/>
      <c r="Z1154" s="35"/>
      <c r="AA1154" s="35"/>
      <c r="AB1154" s="35"/>
      <c r="AC1154" s="35"/>
      <c r="AD1154" s="35"/>
      <c r="AE1154" s="35"/>
      <c r="AF1154" s="35"/>
      <c r="AG1154" s="35"/>
      <c r="AH1154" s="35"/>
      <c r="AI1154" s="35"/>
    </row>
    <row r="1155">
      <c r="A1155" s="165">
        <f>IFERROR(__xludf.DUMMYFUNCTION("""COMPUTED_VALUE"""),8845871.0)</f>
        <v>8845871</v>
      </c>
      <c r="B1155" s="166" t="str">
        <f>IFERROR(__xludf.DUMMYFUNCTION("""COMPUTED_VALUE"""),"BookingCom")</f>
        <v>BookingCom</v>
      </c>
      <c r="C1155" s="166" t="str">
        <f>IFERROR(__xludf.DUMMYFUNCTION("""COMPUTED_VALUE"""),"Georgia Leaning ")</f>
        <v>Georgia Leaning </v>
      </c>
      <c r="D1155" s="165">
        <f>IFERROR(__xludf.DUMMYFUNCTION("""COMPUTED_VALUE"""),46234.0)</f>
        <v>46234</v>
      </c>
      <c r="E1155" s="165">
        <f>IFERROR(__xludf.DUMMYFUNCTION("""COMPUTED_VALUE"""),46236.0)</f>
        <v>46236</v>
      </c>
      <c r="F1155" s="377">
        <f>IFERROR(__xludf.DUMMYFUNCTION("""COMPUTED_VALUE"""),2.0)</f>
        <v>2</v>
      </c>
      <c r="G1155" s="377">
        <f>IFERROR(__xludf.DUMMYFUNCTION("""COMPUTED_VALUE"""),2.0)</f>
        <v>2</v>
      </c>
      <c r="H1155" s="378">
        <f>IFERROR(__xludf.DUMMYFUNCTION("""COMPUTED_VALUE"""),118.32)</f>
        <v>118.32</v>
      </c>
      <c r="I1155" s="378">
        <f>IFERROR(__xludf.DUMMYFUNCTION("""COMPUTED_VALUE"""),189.312)</f>
        <v>189.312</v>
      </c>
      <c r="J1155" s="377"/>
      <c r="K1155" s="166"/>
      <c r="L1155" s="166"/>
      <c r="M1155" s="166"/>
      <c r="N1155" s="170"/>
      <c r="O1155" s="171"/>
      <c r="P1155" s="171"/>
      <c r="Q1155" s="172"/>
      <c r="R1155" s="173"/>
      <c r="S1155" s="173"/>
      <c r="T1155" s="173"/>
      <c r="U1155" s="174"/>
      <c r="V1155" s="16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  <c r="AH1155" s="35"/>
      <c r="AI1155" s="35"/>
    </row>
    <row r="1156">
      <c r="A1156" s="165">
        <f>IFERROR(__xludf.DUMMYFUNCTION("""COMPUTED_VALUE"""),8846460.0)</f>
        <v>8846460</v>
      </c>
      <c r="B1156" s="166" t="str">
        <f>IFERROR(__xludf.DUMMYFUNCTION("""COMPUTED_VALUE"""),"BookingCom")</f>
        <v>BookingCom</v>
      </c>
      <c r="C1156" s="166" t="str">
        <f>IFERROR(__xludf.DUMMYFUNCTION("""COMPUTED_VALUE"""),"Hugo Fournier ")</f>
        <v>Hugo Fournier </v>
      </c>
      <c r="D1156" s="165">
        <f>IFERROR(__xludf.DUMMYFUNCTION("""COMPUTED_VALUE"""),46259.0)</f>
        <v>46259</v>
      </c>
      <c r="E1156" s="165">
        <f>IFERROR(__xludf.DUMMYFUNCTION("""COMPUTED_VALUE"""),46262.0)</f>
        <v>46262</v>
      </c>
      <c r="F1156" s="377">
        <f>IFERROR(__xludf.DUMMYFUNCTION("""COMPUTED_VALUE"""),3.0)</f>
        <v>3</v>
      </c>
      <c r="G1156" s="377">
        <f>IFERROR(__xludf.DUMMYFUNCTION("""COMPUTED_VALUE"""),2.0)</f>
        <v>2</v>
      </c>
      <c r="H1156" s="378">
        <f>IFERROR(__xludf.DUMMYFUNCTION("""COMPUTED_VALUE"""),81.14)</f>
        <v>81.14</v>
      </c>
      <c r="I1156" s="378">
        <f>IFERROR(__xludf.DUMMYFUNCTION("""COMPUTED_VALUE"""),194.73600000000002)</f>
        <v>194.736</v>
      </c>
      <c r="J1156" s="377"/>
      <c r="K1156" s="166"/>
      <c r="L1156" s="166"/>
      <c r="M1156" s="166"/>
      <c r="N1156" s="170"/>
      <c r="O1156" s="171"/>
      <c r="P1156" s="171"/>
      <c r="Q1156" s="172"/>
      <c r="R1156" s="173"/>
      <c r="S1156" s="173"/>
      <c r="T1156" s="173"/>
      <c r="U1156" s="174"/>
      <c r="V1156" s="165"/>
      <c r="W1156" s="188"/>
      <c r="X1156" s="188"/>
      <c r="Y1156" s="188"/>
      <c r="Z1156" s="188"/>
      <c r="AA1156" s="188"/>
      <c r="AB1156" s="188"/>
      <c r="AC1156" s="188"/>
      <c r="AD1156" s="188"/>
      <c r="AE1156" s="188"/>
      <c r="AF1156" s="188"/>
      <c r="AG1156" s="188"/>
      <c r="AH1156" s="188"/>
      <c r="AI1156" s="188"/>
    </row>
    <row r="1157">
      <c r="A1157" s="165">
        <f>IFERROR(__xludf.DUMMYFUNCTION("""COMPUTED_VALUE"""),8846746.0)</f>
        <v>8846746</v>
      </c>
      <c r="B1157" s="166" t="str">
        <f>IFERROR(__xludf.DUMMYFUNCTION("""COMPUTED_VALUE"""),"BookingCom")</f>
        <v>BookingCom</v>
      </c>
      <c r="C1157" s="166" t="str">
        <f>IFERROR(__xludf.DUMMYFUNCTION("""COMPUTED_VALUE"""),"Sharon Guenard ")</f>
        <v>Sharon Guenard </v>
      </c>
      <c r="D1157" s="165">
        <f>IFERROR(__xludf.DUMMYFUNCTION("""COMPUTED_VALUE"""),46245.0)</f>
        <v>46245</v>
      </c>
      <c r="E1157" s="165">
        <f>IFERROR(__xludf.DUMMYFUNCTION("""COMPUTED_VALUE"""),46246.0)</f>
        <v>46246</v>
      </c>
      <c r="F1157" s="377">
        <f>IFERROR(__xludf.DUMMYFUNCTION("""COMPUTED_VALUE"""),1.0)</f>
        <v>1</v>
      </c>
      <c r="G1157" s="377">
        <f>IFERROR(__xludf.DUMMYFUNCTION("""COMPUTED_VALUE"""),2.0)</f>
        <v>2</v>
      </c>
      <c r="H1157" s="378">
        <f>IFERROR(__xludf.DUMMYFUNCTION("""COMPUTED_VALUE"""),82.18)</f>
        <v>82.18</v>
      </c>
      <c r="I1157" s="378">
        <f>IFERROR(__xludf.DUMMYFUNCTION("""COMPUTED_VALUE"""),65.74400000000001)</f>
        <v>65.744</v>
      </c>
      <c r="J1157" s="377"/>
      <c r="K1157" s="166"/>
      <c r="L1157" s="166"/>
      <c r="M1157" s="166"/>
      <c r="N1157" s="170"/>
      <c r="O1157" s="171"/>
      <c r="P1157" s="171"/>
      <c r="Q1157" s="172"/>
      <c r="R1157" s="173"/>
      <c r="S1157" s="173"/>
      <c r="T1157" s="173"/>
      <c r="U1157" s="174"/>
      <c r="V1157" s="165"/>
      <c r="W1157" s="35"/>
      <c r="X1157" s="35"/>
      <c r="Y1157" s="35"/>
      <c r="Z1157" s="35"/>
      <c r="AA1157" s="35"/>
      <c r="AB1157" s="35"/>
      <c r="AC1157" s="35"/>
      <c r="AD1157" s="35"/>
      <c r="AE1157" s="35"/>
      <c r="AF1157" s="35"/>
      <c r="AG1157" s="35"/>
      <c r="AH1157" s="35"/>
      <c r="AI1157" s="35"/>
    </row>
    <row r="1158">
      <c r="A1158" s="165">
        <f>IFERROR(__xludf.DUMMYFUNCTION("""COMPUTED_VALUE"""),8846934.0)</f>
        <v>8846934</v>
      </c>
      <c r="B1158" s="166" t="str">
        <f>IFERROR(__xludf.DUMMYFUNCTION("""COMPUTED_VALUE"""),"BookingCom")</f>
        <v>BookingCom</v>
      </c>
      <c r="C1158" s="166" t="str">
        <f>IFERROR(__xludf.DUMMYFUNCTION("""COMPUTED_VALUE"""),"Louise Thirot ")</f>
        <v>Louise Thirot </v>
      </c>
      <c r="D1158" s="165">
        <f>IFERROR(__xludf.DUMMYFUNCTION("""COMPUTED_VALUE"""),46238.0)</f>
        <v>46238</v>
      </c>
      <c r="E1158" s="165">
        <f>IFERROR(__xludf.DUMMYFUNCTION("""COMPUTED_VALUE"""),46240.0)</f>
        <v>46240</v>
      </c>
      <c r="F1158" s="377">
        <f>IFERROR(__xludf.DUMMYFUNCTION("""COMPUTED_VALUE"""),2.0)</f>
        <v>2</v>
      </c>
      <c r="G1158" s="377">
        <f>IFERROR(__xludf.DUMMYFUNCTION("""COMPUTED_VALUE"""),2.0)</f>
        <v>2</v>
      </c>
      <c r="H1158" s="378">
        <f>IFERROR(__xludf.DUMMYFUNCTION("""COMPUTED_VALUE"""),87.55)</f>
        <v>87.55</v>
      </c>
      <c r="I1158" s="378">
        <f>IFERROR(__xludf.DUMMYFUNCTION("""COMPUTED_VALUE"""),140.08)</f>
        <v>140.08</v>
      </c>
      <c r="J1158" s="377"/>
      <c r="K1158" s="166"/>
      <c r="L1158" s="166"/>
      <c r="M1158" s="166"/>
      <c r="N1158" s="170"/>
      <c r="O1158" s="171"/>
      <c r="P1158" s="171"/>
      <c r="Q1158" s="172"/>
      <c r="R1158" s="173"/>
      <c r="S1158" s="173"/>
      <c r="T1158" s="173"/>
      <c r="U1158" s="174"/>
      <c r="V1158" s="165"/>
      <c r="W1158" s="35"/>
      <c r="X1158" s="35"/>
      <c r="Y1158" s="35"/>
      <c r="Z1158" s="35"/>
      <c r="AA1158" s="35"/>
      <c r="AB1158" s="35"/>
      <c r="AC1158" s="35"/>
      <c r="AD1158" s="35"/>
      <c r="AE1158" s="35"/>
      <c r="AF1158" s="35"/>
      <c r="AG1158" s="35"/>
      <c r="AH1158" s="35"/>
      <c r="AI1158" s="35"/>
    </row>
    <row r="1159">
      <c r="A1159" s="165">
        <f>IFERROR(__xludf.DUMMYFUNCTION("""COMPUTED_VALUE"""),8849012.0)</f>
        <v>8849012</v>
      </c>
      <c r="B1159" s="166" t="str">
        <f>IFERROR(__xludf.DUMMYFUNCTION("""COMPUTED_VALUE"""),"BookingCom")</f>
        <v>BookingCom</v>
      </c>
      <c r="C1159" s="166" t="str">
        <f>IFERROR(__xludf.DUMMYFUNCTION("""COMPUTED_VALUE"""),"Sana Jamil ")</f>
        <v>Sana Jamil </v>
      </c>
      <c r="D1159" s="165">
        <f>IFERROR(__xludf.DUMMYFUNCTION("""COMPUTED_VALUE"""),46626.0)</f>
        <v>46626</v>
      </c>
      <c r="E1159" s="165">
        <f>IFERROR(__xludf.DUMMYFUNCTION("""COMPUTED_VALUE"""),46631.0)</f>
        <v>46631</v>
      </c>
      <c r="F1159" s="377">
        <f>IFERROR(__xludf.DUMMYFUNCTION("""COMPUTED_VALUE"""),5.0)</f>
        <v>5</v>
      </c>
      <c r="G1159" s="377">
        <f>IFERROR(__xludf.DUMMYFUNCTION("""COMPUTED_VALUE"""),3.0)</f>
        <v>3</v>
      </c>
      <c r="H1159" s="378">
        <f>IFERROR(__xludf.DUMMYFUNCTION("""COMPUTED_VALUE"""),144.14000000000001)</f>
        <v>144.14</v>
      </c>
      <c r="I1159" s="378">
        <f>IFERROR(__xludf.DUMMYFUNCTION("""COMPUTED_VALUE"""),576.5600000000001)</f>
        <v>576.56</v>
      </c>
      <c r="J1159" s="377"/>
      <c r="K1159" s="166"/>
      <c r="L1159" s="166"/>
      <c r="M1159" s="205"/>
      <c r="N1159" s="170"/>
      <c r="O1159" s="171"/>
      <c r="P1159" s="171"/>
      <c r="Q1159" s="172"/>
      <c r="R1159" s="173"/>
      <c r="S1159" s="173"/>
      <c r="T1159" s="173"/>
      <c r="U1159" s="174"/>
      <c r="V1159" s="165"/>
      <c r="W1159" s="35"/>
      <c r="X1159" s="35"/>
      <c r="Y1159" s="35"/>
      <c r="Z1159" s="35"/>
      <c r="AA1159" s="35"/>
      <c r="AB1159" s="35"/>
      <c r="AC1159" s="35"/>
      <c r="AD1159" s="35"/>
      <c r="AE1159" s="35"/>
      <c r="AF1159" s="35"/>
      <c r="AG1159" s="35"/>
      <c r="AH1159" s="35"/>
      <c r="AI1159" s="35"/>
    </row>
    <row r="1160">
      <c r="A1160" s="165">
        <f>IFERROR(__xludf.DUMMYFUNCTION("""COMPUTED_VALUE"""),8850655.0)</f>
        <v>8850655</v>
      </c>
      <c r="B1160" s="166" t="str">
        <f>IFERROR(__xludf.DUMMYFUNCTION("""COMPUTED_VALUE"""),"BookingCom")</f>
        <v>BookingCom</v>
      </c>
      <c r="C1160" s="166" t="str">
        <f>IFERROR(__xludf.DUMMYFUNCTION("""COMPUTED_VALUE"""),"Angel Luis Sancho Praena ")</f>
        <v>Angel Luis Sancho Praena </v>
      </c>
      <c r="D1160" s="165">
        <f>IFERROR(__xludf.DUMMYFUNCTION("""COMPUTED_VALUE"""),46257.0)</f>
        <v>46257</v>
      </c>
      <c r="E1160" s="165">
        <f>IFERROR(__xludf.DUMMYFUNCTION("""COMPUTED_VALUE"""),46260.0)</f>
        <v>46260</v>
      </c>
      <c r="F1160" s="377">
        <f>IFERROR(__xludf.DUMMYFUNCTION("""COMPUTED_VALUE"""),3.0)</f>
        <v>3</v>
      </c>
      <c r="G1160" s="377">
        <f>IFERROR(__xludf.DUMMYFUNCTION("""COMPUTED_VALUE"""),2.0)</f>
        <v>2</v>
      </c>
      <c r="H1160" s="378">
        <f>IFERROR(__xludf.DUMMYFUNCTION("""COMPUTED_VALUE"""),84.73)</f>
        <v>84.73</v>
      </c>
      <c r="I1160" s="378">
        <f>IFERROR(__xludf.DUMMYFUNCTION("""COMPUTED_VALUE"""),203.35200000000003)</f>
        <v>203.352</v>
      </c>
      <c r="J1160" s="377"/>
      <c r="K1160" s="166"/>
      <c r="L1160" s="166"/>
      <c r="M1160" s="166"/>
      <c r="N1160" s="170"/>
      <c r="O1160" s="171"/>
      <c r="P1160" s="171"/>
      <c r="Q1160" s="172"/>
      <c r="R1160" s="173"/>
      <c r="S1160" s="173"/>
      <c r="T1160" s="173"/>
      <c r="U1160" s="174"/>
      <c r="V1160" s="207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35"/>
    </row>
    <row r="1161">
      <c r="A1161" s="165">
        <f>IFERROR(__xludf.DUMMYFUNCTION("""COMPUTED_VALUE"""),8851516.0)</f>
        <v>8851516</v>
      </c>
      <c r="B1161" s="166" t="str">
        <f>IFERROR(__xludf.DUMMYFUNCTION("""COMPUTED_VALUE"""),"BookingCom")</f>
        <v>BookingCom</v>
      </c>
      <c r="C1161" s="166" t="str">
        <f>IFERROR(__xludf.DUMMYFUNCTION("""COMPUTED_VALUE"""),"Shirly Czaikowski ")</f>
        <v>Shirly Czaikowski </v>
      </c>
      <c r="D1161" s="165">
        <f>IFERROR(__xludf.DUMMYFUNCTION("""COMPUTED_VALUE"""),46251.0)</f>
        <v>46251</v>
      </c>
      <c r="E1161" s="165">
        <f>IFERROR(__xludf.DUMMYFUNCTION("""COMPUTED_VALUE"""),46253.0)</f>
        <v>46253</v>
      </c>
      <c r="F1161" s="377">
        <f>IFERROR(__xludf.DUMMYFUNCTION("""COMPUTED_VALUE"""),2.0)</f>
        <v>2</v>
      </c>
      <c r="G1161" s="377">
        <f>IFERROR(__xludf.DUMMYFUNCTION("""COMPUTED_VALUE"""),2.0)</f>
        <v>2</v>
      </c>
      <c r="H1161" s="378">
        <f>IFERROR(__xludf.DUMMYFUNCTION("""COMPUTED_VALUE"""),107.71)</f>
        <v>107.71</v>
      </c>
      <c r="I1161" s="378">
        <f>IFERROR(__xludf.DUMMYFUNCTION("""COMPUTED_VALUE"""),172.336)</f>
        <v>172.336</v>
      </c>
      <c r="J1161" s="377"/>
      <c r="K1161" s="166"/>
      <c r="L1161" s="166"/>
      <c r="M1161" s="166"/>
      <c r="N1161" s="170"/>
      <c r="O1161" s="171"/>
      <c r="P1161" s="171"/>
      <c r="Q1161" s="172"/>
      <c r="R1161" s="173"/>
      <c r="S1161" s="173"/>
      <c r="T1161" s="173"/>
      <c r="U1161" s="174"/>
      <c r="V1161" s="165"/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</row>
    <row r="1162">
      <c r="A1162" s="165">
        <f>IFERROR(__xludf.DUMMYFUNCTION("""COMPUTED_VALUE"""),8851841.0)</f>
        <v>8851841</v>
      </c>
      <c r="B1162" s="166" t="str">
        <f>IFERROR(__xludf.DUMMYFUNCTION("""COMPUTED_VALUE"""),"BookingCom")</f>
        <v>BookingCom</v>
      </c>
      <c r="C1162" s="166" t="str">
        <f>IFERROR(__xludf.DUMMYFUNCTION("""COMPUTED_VALUE"""),"Julie Zweili ")</f>
        <v>Julie Zweili </v>
      </c>
      <c r="D1162" s="165">
        <f>IFERROR(__xludf.DUMMYFUNCTION("""COMPUTED_VALUE"""),46488.0)</f>
        <v>46488</v>
      </c>
      <c r="E1162" s="165">
        <f>IFERROR(__xludf.DUMMYFUNCTION("""COMPUTED_VALUE"""),46489.0)</f>
        <v>46489</v>
      </c>
      <c r="F1162" s="377">
        <f>IFERROR(__xludf.DUMMYFUNCTION("""COMPUTED_VALUE"""),1.0)</f>
        <v>1</v>
      </c>
      <c r="G1162" s="377">
        <f>IFERROR(__xludf.DUMMYFUNCTION("""COMPUTED_VALUE"""),5.0)</f>
        <v>5</v>
      </c>
      <c r="H1162" s="378">
        <f>IFERROR(__xludf.DUMMYFUNCTION("""COMPUTED_VALUE"""),556.84)</f>
        <v>556.84</v>
      </c>
      <c r="I1162" s="378">
        <f>IFERROR(__xludf.DUMMYFUNCTION("""COMPUTED_VALUE"""),445.47200000000004)</f>
        <v>445.472</v>
      </c>
      <c r="J1162" s="377"/>
      <c r="K1162" s="166"/>
      <c r="L1162" s="166"/>
      <c r="M1162" s="166"/>
      <c r="N1162" s="170"/>
      <c r="O1162" s="171"/>
      <c r="P1162" s="171"/>
      <c r="Q1162" s="172"/>
      <c r="R1162" s="173"/>
      <c r="S1162" s="173"/>
      <c r="T1162" s="173"/>
      <c r="U1162" s="174"/>
      <c r="V1162" s="165"/>
      <c r="W1162" s="188"/>
      <c r="X1162" s="188"/>
      <c r="Y1162" s="188"/>
      <c r="Z1162" s="188"/>
      <c r="AA1162" s="188"/>
      <c r="AB1162" s="188"/>
      <c r="AC1162" s="188"/>
      <c r="AD1162" s="188"/>
      <c r="AE1162" s="188"/>
      <c r="AF1162" s="188"/>
      <c r="AG1162" s="188"/>
      <c r="AH1162" s="188"/>
      <c r="AI1162" s="188"/>
    </row>
    <row r="1163">
      <c r="A1163" s="165">
        <f>IFERROR(__xludf.DUMMYFUNCTION("""COMPUTED_VALUE"""),8851956.0)</f>
        <v>8851956</v>
      </c>
      <c r="B1163" s="166" t="str">
        <f>IFERROR(__xludf.DUMMYFUNCTION("""COMPUTED_VALUE"""),"Reseliva Pannel")</f>
        <v>Reseliva Pannel</v>
      </c>
      <c r="C1163" s="166" t="str">
        <f>IFERROR(__xludf.DUMMYFUNCTION("""COMPUTED_VALUE"""),"Yassir Semmar ")</f>
        <v>Yassir Semmar </v>
      </c>
      <c r="D1163" s="165">
        <f>IFERROR(__xludf.DUMMYFUNCTION("""COMPUTED_VALUE"""),46275.0)</f>
        <v>46275</v>
      </c>
      <c r="E1163" s="165">
        <f>IFERROR(__xludf.DUMMYFUNCTION("""COMPUTED_VALUE"""),46278.0)</f>
        <v>46278</v>
      </c>
      <c r="F1163" s="377">
        <f>IFERROR(__xludf.DUMMYFUNCTION("""COMPUTED_VALUE"""),3.0)</f>
        <v>3</v>
      </c>
      <c r="G1163" s="377">
        <f>IFERROR(__xludf.DUMMYFUNCTION("""COMPUTED_VALUE"""),2.0)</f>
        <v>2</v>
      </c>
      <c r="H1163" s="378">
        <f>IFERROR(__xludf.DUMMYFUNCTION("""COMPUTED_VALUE"""),472.32)</f>
        <v>472.32</v>
      </c>
      <c r="I1163" s="378">
        <f>IFERROR(__xludf.DUMMYFUNCTION("""COMPUTED_VALUE"""),1416.96)</f>
        <v>1416.96</v>
      </c>
      <c r="J1163" s="377"/>
      <c r="K1163" s="166"/>
      <c r="L1163" s="166"/>
      <c r="M1163" s="205"/>
      <c r="N1163" s="170"/>
      <c r="O1163" s="171"/>
      <c r="P1163" s="171"/>
      <c r="Q1163" s="172"/>
      <c r="R1163" s="173"/>
      <c r="S1163" s="173"/>
      <c r="T1163" s="173"/>
      <c r="U1163" s="174"/>
      <c r="V1163" s="165"/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</row>
    <row r="1164">
      <c r="A1164" s="165">
        <f>IFERROR(__xludf.DUMMYFUNCTION("""COMPUTED_VALUE"""),8852638.0)</f>
        <v>8852638</v>
      </c>
      <c r="B1164" s="166" t="str">
        <f>IFERROR(__xludf.DUMMYFUNCTION("""COMPUTED_VALUE"""),"BookingCom")</f>
        <v>BookingCom</v>
      </c>
      <c r="C1164" s="166" t="str">
        <f>IFERROR(__xludf.DUMMYFUNCTION("""COMPUTED_VALUE"""),"Suhaila Volpe ")</f>
        <v>Suhaila Volpe </v>
      </c>
      <c r="D1164" s="165">
        <f>IFERROR(__xludf.DUMMYFUNCTION("""COMPUTED_VALUE"""),46239.0)</f>
        <v>46239</v>
      </c>
      <c r="E1164" s="165">
        <f>IFERROR(__xludf.DUMMYFUNCTION("""COMPUTED_VALUE"""),46242.0)</f>
        <v>46242</v>
      </c>
      <c r="F1164" s="377">
        <f>IFERROR(__xludf.DUMMYFUNCTION("""COMPUTED_VALUE"""),3.0)</f>
        <v>3</v>
      </c>
      <c r="G1164" s="377">
        <f>IFERROR(__xludf.DUMMYFUNCTION("""COMPUTED_VALUE"""),2.0)</f>
        <v>2</v>
      </c>
      <c r="H1164" s="378">
        <f>IFERROR(__xludf.DUMMYFUNCTION("""COMPUTED_VALUE"""),102.64)</f>
        <v>102.64</v>
      </c>
      <c r="I1164" s="378">
        <f>IFERROR(__xludf.DUMMYFUNCTION("""COMPUTED_VALUE"""),246.336)</f>
        <v>246.336</v>
      </c>
      <c r="J1164" s="377"/>
      <c r="K1164" s="166"/>
      <c r="L1164" s="166"/>
      <c r="M1164" s="205"/>
      <c r="N1164" s="170"/>
      <c r="O1164" s="171"/>
      <c r="P1164" s="171"/>
      <c r="Q1164" s="172"/>
      <c r="R1164" s="173"/>
      <c r="S1164" s="173"/>
      <c r="T1164" s="173"/>
      <c r="U1164" s="174"/>
      <c r="V1164" s="165"/>
      <c r="W1164" s="188"/>
      <c r="X1164" s="188"/>
      <c r="Y1164" s="188"/>
      <c r="Z1164" s="188"/>
      <c r="AA1164" s="188"/>
      <c r="AB1164" s="188"/>
      <c r="AC1164" s="188"/>
      <c r="AD1164" s="188"/>
      <c r="AE1164" s="188"/>
      <c r="AF1164" s="188"/>
      <c r="AG1164" s="188"/>
      <c r="AH1164" s="188"/>
      <c r="AI1164" s="188"/>
    </row>
    <row r="1165">
      <c r="A1165" s="165">
        <f>IFERROR(__xludf.DUMMYFUNCTION("""COMPUTED_VALUE"""),8854030.0)</f>
        <v>8854030</v>
      </c>
      <c r="B1165" s="166" t="str">
        <f>IFERROR(__xludf.DUMMYFUNCTION("""COMPUTED_VALUE"""),"Reseliva Pannel")</f>
        <v>Reseliva Pannel</v>
      </c>
      <c r="C1165" s="166" t="str">
        <f>IFERROR(__xludf.DUMMYFUNCTION("""COMPUTED_VALUE"""),"travaux travaux ")</f>
        <v>travaux travaux </v>
      </c>
      <c r="D1165" s="165">
        <f>IFERROR(__xludf.DUMMYFUNCTION("""COMPUTED_VALUE"""),46224.0)</f>
        <v>46224</v>
      </c>
      <c r="E1165" s="165">
        <f>IFERROR(__xludf.DUMMYFUNCTION("""COMPUTED_VALUE"""),46229.0)</f>
        <v>46229</v>
      </c>
      <c r="F1165" s="377">
        <f>IFERROR(__xludf.DUMMYFUNCTION("""COMPUTED_VALUE"""),5.0)</f>
        <v>5</v>
      </c>
      <c r="G1165" s="377">
        <f>IFERROR(__xludf.DUMMYFUNCTION("""COMPUTED_VALUE"""),2.0)</f>
        <v>2</v>
      </c>
      <c r="H1165" s="378">
        <f>IFERROR(__xludf.DUMMYFUNCTION("""COMPUTED_VALUE"""),185.04000000000002)</f>
        <v>185.04</v>
      </c>
      <c r="I1165" s="378">
        <f>IFERROR(__xludf.DUMMYFUNCTION("""COMPUTED_VALUE"""),925.2)</f>
        <v>925.2</v>
      </c>
      <c r="J1165" s="377"/>
      <c r="K1165" s="166"/>
      <c r="L1165" s="166"/>
      <c r="M1165" s="166"/>
      <c r="N1165" s="170"/>
      <c r="O1165" s="171"/>
      <c r="P1165" s="171"/>
      <c r="Q1165" s="172"/>
      <c r="R1165" s="173"/>
      <c r="S1165" s="173"/>
      <c r="T1165" s="173"/>
      <c r="U1165" s="201"/>
      <c r="V1165" s="165"/>
      <c r="W1165" s="188"/>
      <c r="X1165" s="188"/>
      <c r="Y1165" s="188"/>
      <c r="Z1165" s="188"/>
      <c r="AA1165" s="188"/>
      <c r="AB1165" s="188"/>
      <c r="AC1165" s="188"/>
      <c r="AD1165" s="188"/>
      <c r="AE1165" s="188"/>
      <c r="AF1165" s="188"/>
      <c r="AG1165" s="188"/>
      <c r="AH1165" s="188"/>
      <c r="AI1165" s="188"/>
    </row>
    <row r="1166">
      <c r="A1166" s="165">
        <f>IFERROR(__xludf.DUMMYFUNCTION("""COMPUTED_VALUE"""),8854378.0)</f>
        <v>8854378</v>
      </c>
      <c r="B1166" s="166" t="str">
        <f>IFERROR(__xludf.DUMMYFUNCTION("""COMPUTED_VALUE"""),"BookingCom")</f>
        <v>BookingCom</v>
      </c>
      <c r="C1166" s="166" t="str">
        <f>IFERROR(__xludf.DUMMYFUNCTION("""COMPUTED_VALUE"""),"Ansaldi Francesco ")</f>
        <v>Ansaldi Francesco </v>
      </c>
      <c r="D1166" s="165">
        <f>IFERROR(__xludf.DUMMYFUNCTION("""COMPUTED_VALUE"""),46275.0)</f>
        <v>46275</v>
      </c>
      <c r="E1166" s="165">
        <f>IFERROR(__xludf.DUMMYFUNCTION("""COMPUTED_VALUE"""),46278.0)</f>
        <v>46278</v>
      </c>
      <c r="F1166" s="377">
        <f>IFERROR(__xludf.DUMMYFUNCTION("""COMPUTED_VALUE"""),3.0)</f>
        <v>3</v>
      </c>
      <c r="G1166" s="377">
        <f>IFERROR(__xludf.DUMMYFUNCTION("""COMPUTED_VALUE"""),2.0)</f>
        <v>2</v>
      </c>
      <c r="H1166" s="378">
        <f>IFERROR(__xludf.DUMMYFUNCTION("""COMPUTED_VALUE"""),183.41)</f>
        <v>183.41</v>
      </c>
      <c r="I1166" s="378">
        <f>IFERROR(__xludf.DUMMYFUNCTION("""COMPUTED_VALUE"""),440.184)</f>
        <v>440.184</v>
      </c>
      <c r="J1166" s="377"/>
      <c r="K1166" s="166"/>
      <c r="L1166" s="166"/>
      <c r="M1166" s="166"/>
      <c r="N1166" s="170"/>
      <c r="O1166" s="171"/>
      <c r="P1166" s="171"/>
      <c r="Q1166" s="172"/>
      <c r="R1166" s="173"/>
      <c r="S1166" s="173"/>
      <c r="T1166" s="173"/>
      <c r="U1166" s="174"/>
      <c r="V1166" s="165"/>
      <c r="W1166" s="188"/>
      <c r="X1166" s="188"/>
      <c r="Y1166" s="188"/>
      <c r="Z1166" s="188"/>
      <c r="AA1166" s="188"/>
      <c r="AB1166" s="188"/>
      <c r="AC1166" s="188"/>
      <c r="AD1166" s="188"/>
      <c r="AE1166" s="188"/>
      <c r="AF1166" s="188"/>
      <c r="AG1166" s="188"/>
      <c r="AH1166" s="188"/>
      <c r="AI1166" s="188"/>
    </row>
    <row r="1167">
      <c r="A1167" s="165">
        <f>IFERROR(__xludf.DUMMYFUNCTION("""COMPUTED_VALUE"""),8857845.0)</f>
        <v>8857845</v>
      </c>
      <c r="B1167" s="166" t="str">
        <f>IFERROR(__xludf.DUMMYFUNCTION("""COMPUTED_VALUE"""),"BookingCom")</f>
        <v>BookingCom</v>
      </c>
      <c r="C1167" s="166" t="str">
        <f>IFERROR(__xludf.DUMMYFUNCTION("""COMPUTED_VALUE"""),"Ismael Fernandez ")</f>
        <v>Ismael Fernandez </v>
      </c>
      <c r="D1167" s="165">
        <f>IFERROR(__xludf.DUMMYFUNCTION("""COMPUTED_VALUE"""),46251.0)</f>
        <v>46251</v>
      </c>
      <c r="E1167" s="165">
        <f>IFERROR(__xludf.DUMMYFUNCTION("""COMPUTED_VALUE"""),46254.0)</f>
        <v>46254</v>
      </c>
      <c r="F1167" s="377">
        <f>IFERROR(__xludf.DUMMYFUNCTION("""COMPUTED_VALUE"""),3.0)</f>
        <v>3</v>
      </c>
      <c r="G1167" s="377">
        <f>IFERROR(__xludf.DUMMYFUNCTION("""COMPUTED_VALUE"""),2.0)</f>
        <v>2</v>
      </c>
      <c r="H1167" s="378">
        <f>IFERROR(__xludf.DUMMYFUNCTION("""COMPUTED_VALUE"""),67.17)</f>
        <v>67.17</v>
      </c>
      <c r="I1167" s="378">
        <f>IFERROR(__xludf.DUMMYFUNCTION("""COMPUTED_VALUE"""),161.20800000000003)</f>
        <v>161.208</v>
      </c>
      <c r="J1167" s="377"/>
      <c r="K1167" s="166"/>
      <c r="L1167" s="166"/>
      <c r="M1167" s="205"/>
      <c r="N1167" s="170"/>
      <c r="O1167" s="171"/>
      <c r="P1167" s="171"/>
      <c r="Q1167" s="172"/>
      <c r="R1167" s="173"/>
      <c r="S1167" s="173"/>
      <c r="T1167" s="173"/>
      <c r="U1167" s="174"/>
      <c r="V1167" s="165"/>
      <c r="W1167" s="35"/>
      <c r="X1167" s="35"/>
      <c r="Y1167" s="35"/>
      <c r="Z1167" s="35"/>
      <c r="AA1167" s="35"/>
      <c r="AB1167" s="35"/>
      <c r="AC1167" s="35"/>
      <c r="AD1167" s="35"/>
      <c r="AE1167" s="35"/>
      <c r="AF1167" s="35"/>
      <c r="AG1167" s="35"/>
      <c r="AH1167" s="35"/>
      <c r="AI1167" s="35"/>
    </row>
    <row r="1168">
      <c r="A1168" s="165">
        <f>IFERROR(__xludf.DUMMYFUNCTION("""COMPUTED_VALUE"""),8858715.0)</f>
        <v>8858715</v>
      </c>
      <c r="B1168" s="166" t="str">
        <f>IFERROR(__xludf.DUMMYFUNCTION("""COMPUTED_VALUE"""),"BookingCom")</f>
        <v>BookingCom</v>
      </c>
      <c r="C1168" s="166" t="str">
        <f>IFERROR(__xludf.DUMMYFUNCTION("""COMPUTED_VALUE"""),"Marcela Monteiro Soares De Oliveira ")</f>
        <v>Marcela Monteiro Soares De Oliveira </v>
      </c>
      <c r="D1168" s="165">
        <f>IFERROR(__xludf.DUMMYFUNCTION("""COMPUTED_VALUE"""),46253.0)</f>
        <v>46253</v>
      </c>
      <c r="E1168" s="165">
        <f>IFERROR(__xludf.DUMMYFUNCTION("""COMPUTED_VALUE"""),46255.0)</f>
        <v>46255</v>
      </c>
      <c r="F1168" s="377">
        <f>IFERROR(__xludf.DUMMYFUNCTION("""COMPUTED_VALUE"""),2.0)</f>
        <v>2</v>
      </c>
      <c r="G1168" s="377">
        <f>IFERROR(__xludf.DUMMYFUNCTION("""COMPUTED_VALUE"""),2.0)</f>
        <v>2</v>
      </c>
      <c r="H1168" s="378">
        <f>IFERROR(__xludf.DUMMYFUNCTION("""COMPUTED_VALUE"""),98.74)</f>
        <v>98.74</v>
      </c>
      <c r="I1168" s="378">
        <f>IFERROR(__xludf.DUMMYFUNCTION("""COMPUTED_VALUE"""),157.984)</f>
        <v>157.984</v>
      </c>
      <c r="J1168" s="377"/>
      <c r="K1168" s="166"/>
      <c r="L1168" s="166"/>
      <c r="M1168" s="166"/>
      <c r="N1168" s="170"/>
      <c r="O1168" s="171"/>
      <c r="P1168" s="171"/>
      <c r="Q1168" s="172"/>
      <c r="R1168" s="173"/>
      <c r="S1168" s="173"/>
      <c r="T1168" s="173"/>
      <c r="U1168" s="174"/>
      <c r="V1168" s="165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</row>
    <row r="1169">
      <c r="A1169" s="165">
        <f>IFERROR(__xludf.DUMMYFUNCTION("""COMPUTED_VALUE"""),8860906.0)</f>
        <v>8860906</v>
      </c>
      <c r="B1169" s="166" t="str">
        <f>IFERROR(__xludf.DUMMYFUNCTION("""COMPUTED_VALUE"""),"BookingCom")</f>
        <v>BookingCom</v>
      </c>
      <c r="C1169" s="166" t="str">
        <f>IFERROR(__xludf.DUMMYFUNCTION("""COMPUTED_VALUE"""),"Elodie Blanc ")</f>
        <v>Elodie Blanc </v>
      </c>
      <c r="D1169" s="165">
        <f>IFERROR(__xludf.DUMMYFUNCTION("""COMPUTED_VALUE"""),46283.0)</f>
        <v>46283</v>
      </c>
      <c r="E1169" s="165">
        <f>IFERROR(__xludf.DUMMYFUNCTION("""COMPUTED_VALUE"""),46285.0)</f>
        <v>46285</v>
      </c>
      <c r="F1169" s="377">
        <f>IFERROR(__xludf.DUMMYFUNCTION("""COMPUTED_VALUE"""),2.0)</f>
        <v>2</v>
      </c>
      <c r="G1169" s="377">
        <f>IFERROR(__xludf.DUMMYFUNCTION("""COMPUTED_VALUE"""),2.0)</f>
        <v>2</v>
      </c>
      <c r="H1169" s="378">
        <f>IFERROR(__xludf.DUMMYFUNCTION("""COMPUTED_VALUE"""),208.82)</f>
        <v>208.82</v>
      </c>
      <c r="I1169" s="378">
        <f>IFERROR(__xludf.DUMMYFUNCTION("""COMPUTED_VALUE"""),334.112)</f>
        <v>334.112</v>
      </c>
      <c r="J1169" s="377"/>
      <c r="K1169" s="166"/>
      <c r="L1169" s="166"/>
      <c r="M1169" s="166"/>
      <c r="N1169" s="170"/>
      <c r="O1169" s="171"/>
      <c r="P1169" s="171"/>
      <c r="Q1169" s="172"/>
      <c r="R1169" s="173"/>
      <c r="S1169" s="173"/>
      <c r="T1169" s="173"/>
      <c r="U1169" s="174"/>
      <c r="V1169" s="16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</row>
    <row r="1170">
      <c r="A1170" s="165">
        <f>IFERROR(__xludf.DUMMYFUNCTION("""COMPUTED_VALUE"""),8861721.0)</f>
        <v>8861721</v>
      </c>
      <c r="B1170" s="166" t="str">
        <f>IFERROR(__xludf.DUMMYFUNCTION("""COMPUTED_VALUE"""),"BookingCom")</f>
        <v>BookingCom</v>
      </c>
      <c r="C1170" s="166" t="str">
        <f>IFERROR(__xludf.DUMMYFUNCTION("""COMPUTED_VALUE"""),"Jacek Borysowski ")</f>
        <v>Jacek Borysowski </v>
      </c>
      <c r="D1170" s="165">
        <f>IFERROR(__xludf.DUMMYFUNCTION("""COMPUTED_VALUE"""),46237.0)</f>
        <v>46237</v>
      </c>
      <c r="E1170" s="165">
        <f>IFERROR(__xludf.DUMMYFUNCTION("""COMPUTED_VALUE"""),46241.0)</f>
        <v>46241</v>
      </c>
      <c r="F1170" s="377">
        <f>IFERROR(__xludf.DUMMYFUNCTION("""COMPUTED_VALUE"""),4.0)</f>
        <v>4</v>
      </c>
      <c r="G1170" s="377">
        <f>IFERROR(__xludf.DUMMYFUNCTION("""COMPUTED_VALUE"""),2.0)</f>
        <v>2</v>
      </c>
      <c r="H1170" s="378">
        <f>IFERROR(__xludf.DUMMYFUNCTION("""COMPUTED_VALUE"""),102.64)</f>
        <v>102.64</v>
      </c>
      <c r="I1170" s="378">
        <f>IFERROR(__xludf.DUMMYFUNCTION("""COMPUTED_VALUE"""),328.44800000000004)</f>
        <v>328.448</v>
      </c>
      <c r="J1170" s="377"/>
      <c r="K1170" s="166"/>
      <c r="L1170" s="166"/>
      <c r="M1170" s="166"/>
      <c r="N1170" s="170"/>
      <c r="O1170" s="171"/>
      <c r="P1170" s="171"/>
      <c r="Q1170" s="172"/>
      <c r="R1170" s="173"/>
      <c r="S1170" s="173"/>
      <c r="T1170" s="173"/>
      <c r="U1170" s="174"/>
      <c r="V1170" s="208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</row>
    <row r="1171">
      <c r="A1171" s="165">
        <f>IFERROR(__xludf.DUMMYFUNCTION("""COMPUTED_VALUE"""),8863154.0)</f>
        <v>8863154</v>
      </c>
      <c r="B1171" s="166" t="str">
        <f>IFERROR(__xludf.DUMMYFUNCTION("""COMPUTED_VALUE"""),"Reseliva")</f>
        <v>Reseliva</v>
      </c>
      <c r="C1171" s="166" t="str">
        <f>IFERROR(__xludf.DUMMYFUNCTION("""COMPUTED_VALUE"""),"IGNACIO Rodrigo Jarque ")</f>
        <v>IGNACIO Rodrigo Jarque </v>
      </c>
      <c r="D1171" s="165">
        <f>IFERROR(__xludf.DUMMYFUNCTION("""COMPUTED_VALUE"""),46229.0)</f>
        <v>46229</v>
      </c>
      <c r="E1171" s="165">
        <f>IFERROR(__xludf.DUMMYFUNCTION("""COMPUTED_VALUE"""),46232.0)</f>
        <v>46232</v>
      </c>
      <c r="F1171" s="377">
        <f>IFERROR(__xludf.DUMMYFUNCTION("""COMPUTED_VALUE"""),3.0)</f>
        <v>3</v>
      </c>
      <c r="G1171" s="377">
        <f>IFERROR(__xludf.DUMMYFUNCTION("""COMPUTED_VALUE"""),3.0)</f>
        <v>3</v>
      </c>
      <c r="H1171" s="378">
        <f>IFERROR(__xludf.DUMMYFUNCTION("""COMPUTED_VALUE"""),294.25666666666666)</f>
        <v>294.2566667</v>
      </c>
      <c r="I1171" s="378">
        <f>IFERROR(__xludf.DUMMYFUNCTION("""COMPUTED_VALUE"""),873.9422999999999)</f>
        <v>873.9423</v>
      </c>
      <c r="J1171" s="377"/>
      <c r="K1171" s="166"/>
      <c r="L1171" s="166"/>
      <c r="M1171" s="166"/>
      <c r="N1171" s="170"/>
      <c r="O1171" s="171"/>
      <c r="P1171" s="171"/>
      <c r="Q1171" s="172"/>
      <c r="R1171" s="173"/>
      <c r="S1171" s="173"/>
      <c r="T1171" s="173"/>
      <c r="U1171" s="201"/>
      <c r="V1171" s="16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</row>
    <row r="1172">
      <c r="A1172" s="251">
        <f>IFERROR(__xludf.DUMMYFUNCTION("""COMPUTED_VALUE"""),8863154.0)</f>
        <v>8863154</v>
      </c>
      <c r="B1172" s="252" t="str">
        <f>IFERROR(__xludf.DUMMYFUNCTION("""COMPUTED_VALUE"""),"Reseliva")</f>
        <v>Reseliva</v>
      </c>
      <c r="C1172" s="253" t="str">
        <f>IFERROR(__xludf.DUMMYFUNCTION("""COMPUTED_VALUE"""),"IGNACIO Rodrigo Jarque ")</f>
        <v>IGNACIO Rodrigo Jarque </v>
      </c>
      <c r="D1172" s="254">
        <f>IFERROR(__xludf.DUMMYFUNCTION("""COMPUTED_VALUE"""),46229.0)</f>
        <v>46229</v>
      </c>
      <c r="E1172" s="251">
        <f>IFERROR(__xludf.DUMMYFUNCTION("""COMPUTED_VALUE"""),46232.0)</f>
        <v>46232</v>
      </c>
      <c r="F1172" s="255">
        <f>IFERROR(__xludf.DUMMYFUNCTION("""COMPUTED_VALUE"""),3.0)</f>
        <v>3</v>
      </c>
      <c r="G1172" s="255">
        <f>IFERROR(__xludf.DUMMYFUNCTION("""COMPUTED_VALUE"""),2.0)</f>
        <v>2</v>
      </c>
      <c r="H1172" s="256">
        <f>IFERROR(__xludf.DUMMYFUNCTION("""COMPUTED_VALUE"""),142.15666666666667)</f>
        <v>142.1566667</v>
      </c>
      <c r="I1172" s="256">
        <f>IFERROR(__xludf.DUMMYFUNCTION("""COMPUTED_VALUE"""),422.20529999999997)</f>
        <v>422.2053</v>
      </c>
      <c r="J1172" s="377"/>
      <c r="K1172" s="253"/>
      <c r="L1172" s="253"/>
      <c r="M1172" s="275"/>
      <c r="N1172" s="258"/>
      <c r="O1172" s="259"/>
      <c r="P1172" s="259"/>
      <c r="Q1172" s="262"/>
      <c r="R1172" s="260"/>
      <c r="S1172" s="260"/>
      <c r="T1172" s="260"/>
      <c r="U1172" s="261"/>
      <c r="V1172" s="251"/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  <c r="AH1172" s="35"/>
      <c r="AI1172" s="35"/>
    </row>
    <row r="1173">
      <c r="A1173" s="165">
        <f>IFERROR(__xludf.DUMMYFUNCTION("""COMPUTED_VALUE"""),8863268.0)</f>
        <v>8863268</v>
      </c>
      <c r="B1173" s="166" t="str">
        <f>IFERROR(__xludf.DUMMYFUNCTION("""COMPUTED_VALUE"""),"Reseliva")</f>
        <v>Reseliva</v>
      </c>
      <c r="C1173" s="166" t="str">
        <f>IFERROR(__xludf.DUMMYFUNCTION("""COMPUTED_VALUE"""),"VIRGINIA CHIRICO ")</f>
        <v>VIRGINIA CHIRICO </v>
      </c>
      <c r="D1173" s="165">
        <f>IFERROR(__xludf.DUMMYFUNCTION("""COMPUTED_VALUE"""),46221.0)</f>
        <v>46221</v>
      </c>
      <c r="E1173" s="165">
        <f>IFERROR(__xludf.DUMMYFUNCTION("""COMPUTED_VALUE"""),46222.0)</f>
        <v>46222</v>
      </c>
      <c r="F1173" s="377">
        <f>IFERROR(__xludf.DUMMYFUNCTION("""COMPUTED_VALUE"""),1.0)</f>
        <v>1</v>
      </c>
      <c r="G1173" s="377">
        <f>IFERROR(__xludf.DUMMYFUNCTION("""COMPUTED_VALUE"""),2.0)</f>
        <v>2</v>
      </c>
      <c r="H1173" s="378">
        <f>IFERROR(__xludf.DUMMYFUNCTION("""COMPUTED_VALUE"""),362.16)</f>
        <v>362.16</v>
      </c>
      <c r="I1173" s="378">
        <f>IFERROR(__xludf.DUMMYFUNCTION("""COMPUTED_VALUE"""),358.5384)</f>
        <v>358.5384</v>
      </c>
      <c r="J1173" s="377"/>
      <c r="K1173" s="166"/>
      <c r="L1173" s="166"/>
      <c r="M1173" s="166"/>
      <c r="N1173" s="170"/>
      <c r="O1173" s="171"/>
      <c r="P1173" s="171"/>
      <c r="Q1173" s="172"/>
      <c r="R1173" s="173"/>
      <c r="S1173" s="173"/>
      <c r="T1173" s="173"/>
      <c r="U1173" s="174"/>
      <c r="V1173" s="165"/>
      <c r="W1173" s="35"/>
      <c r="X1173" s="35"/>
      <c r="Y1173" s="35"/>
      <c r="Z1173" s="35"/>
      <c r="AA1173" s="35"/>
      <c r="AB1173" s="35"/>
      <c r="AC1173" s="35"/>
      <c r="AD1173" s="35"/>
      <c r="AE1173" s="35"/>
      <c r="AF1173" s="35"/>
      <c r="AG1173" s="35"/>
      <c r="AH1173" s="35"/>
      <c r="AI1173" s="35"/>
    </row>
    <row r="1174">
      <c r="A1174" s="165">
        <f>IFERROR(__xludf.DUMMYFUNCTION("""COMPUTED_VALUE"""),8863476.0)</f>
        <v>8863476</v>
      </c>
      <c r="B1174" s="166" t="str">
        <f>IFERROR(__xludf.DUMMYFUNCTION("""COMPUTED_VALUE"""),"BookingCom")</f>
        <v>BookingCom</v>
      </c>
      <c r="C1174" s="166" t="str">
        <f>IFERROR(__xludf.DUMMYFUNCTION("""COMPUTED_VALUE"""),"fikri bouhoudane ")</f>
        <v>fikri bouhoudane </v>
      </c>
      <c r="D1174" s="165">
        <f>IFERROR(__xludf.DUMMYFUNCTION("""COMPUTED_VALUE"""),46239.0)</f>
        <v>46239</v>
      </c>
      <c r="E1174" s="165">
        <f>IFERROR(__xludf.DUMMYFUNCTION("""COMPUTED_VALUE"""),46241.0)</f>
        <v>46241</v>
      </c>
      <c r="F1174" s="377">
        <f>IFERROR(__xludf.DUMMYFUNCTION("""COMPUTED_VALUE"""),2.0)</f>
        <v>2</v>
      </c>
      <c r="G1174" s="377">
        <f>IFERROR(__xludf.DUMMYFUNCTION("""COMPUTED_VALUE"""),2.0)</f>
        <v>2</v>
      </c>
      <c r="H1174" s="378">
        <f>IFERROR(__xludf.DUMMYFUNCTION("""COMPUTED_VALUE"""),74.7)</f>
        <v>74.7</v>
      </c>
      <c r="I1174" s="378">
        <f>IFERROR(__xludf.DUMMYFUNCTION("""COMPUTED_VALUE"""),119.52000000000001)</f>
        <v>119.52</v>
      </c>
      <c r="J1174" s="377"/>
      <c r="K1174" s="166"/>
      <c r="L1174" s="166"/>
      <c r="M1174" s="166"/>
      <c r="N1174" s="170"/>
      <c r="O1174" s="171"/>
      <c r="P1174" s="171"/>
      <c r="Q1174" s="172"/>
      <c r="R1174" s="173"/>
      <c r="S1174" s="173"/>
      <c r="T1174" s="173"/>
      <c r="U1174" s="174"/>
      <c r="V1174" s="165"/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  <c r="AH1174" s="35"/>
      <c r="AI1174" s="35"/>
    </row>
    <row r="1175">
      <c r="A1175" s="165">
        <f>IFERROR(__xludf.DUMMYFUNCTION("""COMPUTED_VALUE"""),8864507.0)</f>
        <v>8864507</v>
      </c>
      <c r="B1175" s="166" t="str">
        <f>IFERROR(__xludf.DUMMYFUNCTION("""COMPUTED_VALUE"""),"BookingCom")</f>
        <v>BookingCom</v>
      </c>
      <c r="C1175" s="166" t="str">
        <f>IFERROR(__xludf.DUMMYFUNCTION("""COMPUTED_VALUE"""),"Lucas Nunes Quirino ")</f>
        <v>Lucas Nunes Quirino </v>
      </c>
      <c r="D1175" s="165">
        <f>IFERROR(__xludf.DUMMYFUNCTION("""COMPUTED_VALUE"""),46228.0)</f>
        <v>46228</v>
      </c>
      <c r="E1175" s="165">
        <f>IFERROR(__xludf.DUMMYFUNCTION("""COMPUTED_VALUE"""),46232.0)</f>
        <v>46232</v>
      </c>
      <c r="F1175" s="377">
        <f>IFERROR(__xludf.DUMMYFUNCTION("""COMPUTED_VALUE"""),4.0)</f>
        <v>4</v>
      </c>
      <c r="G1175" s="377">
        <f>IFERROR(__xludf.DUMMYFUNCTION("""COMPUTED_VALUE"""),1.0)</f>
        <v>1</v>
      </c>
      <c r="H1175" s="378">
        <f>IFERROR(__xludf.DUMMYFUNCTION("""COMPUTED_VALUE"""),88.74)</f>
        <v>88.74</v>
      </c>
      <c r="I1175" s="378">
        <f>IFERROR(__xludf.DUMMYFUNCTION("""COMPUTED_VALUE"""),283.968)</f>
        <v>283.968</v>
      </c>
      <c r="J1175" s="377"/>
      <c r="K1175" s="166"/>
      <c r="L1175" s="166"/>
      <c r="M1175" s="166"/>
      <c r="N1175" s="170"/>
      <c r="O1175" s="171"/>
      <c r="P1175" s="171"/>
      <c r="Q1175" s="172"/>
      <c r="R1175" s="173"/>
      <c r="S1175" s="173"/>
      <c r="T1175" s="173"/>
      <c r="U1175" s="174"/>
      <c r="V1175" s="16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</row>
    <row r="1176">
      <c r="A1176" s="165">
        <f>IFERROR(__xludf.DUMMYFUNCTION("""COMPUTED_VALUE"""),8865591.0)</f>
        <v>8865591</v>
      </c>
      <c r="B1176" s="166" t="str">
        <f>IFERROR(__xludf.DUMMYFUNCTION("""COMPUTED_VALUE"""),"BookingCom")</f>
        <v>BookingCom</v>
      </c>
      <c r="C1176" s="166" t="str">
        <f>IFERROR(__xludf.DUMMYFUNCTION("""COMPUTED_VALUE"""),"Oriol Ortiz Noriega ")</f>
        <v>Oriol Ortiz Noriega </v>
      </c>
      <c r="D1176" s="165">
        <f>IFERROR(__xludf.DUMMYFUNCTION("""COMPUTED_VALUE"""),46251.0)</f>
        <v>46251</v>
      </c>
      <c r="E1176" s="165">
        <f>IFERROR(__xludf.DUMMYFUNCTION("""COMPUTED_VALUE"""),46253.0)</f>
        <v>46253</v>
      </c>
      <c r="F1176" s="377">
        <f>IFERROR(__xludf.DUMMYFUNCTION("""COMPUTED_VALUE"""),2.0)</f>
        <v>2</v>
      </c>
      <c r="G1176" s="377">
        <f>IFERROR(__xludf.DUMMYFUNCTION("""COMPUTED_VALUE"""),2.0)</f>
        <v>2</v>
      </c>
      <c r="H1176" s="378">
        <f>IFERROR(__xludf.DUMMYFUNCTION("""COMPUTED_VALUE"""),74.7)</f>
        <v>74.7</v>
      </c>
      <c r="I1176" s="378">
        <f>IFERROR(__xludf.DUMMYFUNCTION("""COMPUTED_VALUE"""),119.52000000000001)</f>
        <v>119.52</v>
      </c>
      <c r="J1176" s="377"/>
      <c r="K1176" s="166"/>
      <c r="L1176" s="166"/>
      <c r="M1176" s="166"/>
      <c r="N1176" s="170"/>
      <c r="O1176" s="171"/>
      <c r="P1176" s="171"/>
      <c r="Q1176" s="172"/>
      <c r="R1176" s="173"/>
      <c r="S1176" s="173"/>
      <c r="T1176" s="173"/>
      <c r="U1176" s="174"/>
      <c r="V1176" s="16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</row>
    <row r="1177">
      <c r="A1177" s="165">
        <f>IFERROR(__xludf.DUMMYFUNCTION("""COMPUTED_VALUE"""),8865812.0)</f>
        <v>8865812</v>
      </c>
      <c r="B1177" s="166" t="str">
        <f>IFERROR(__xludf.DUMMYFUNCTION("""COMPUTED_VALUE"""),"Ctrip")</f>
        <v>Ctrip</v>
      </c>
      <c r="C1177" s="166" t="str">
        <f>IFERROR(__xludf.DUMMYFUNCTION("""COMPUTED_VALUE"""),"KEIGO MIYOSHI ")</f>
        <v>KEIGO MIYOSHI </v>
      </c>
      <c r="D1177" s="165">
        <f>IFERROR(__xludf.DUMMYFUNCTION("""COMPUTED_VALUE"""),46220.0)</f>
        <v>46220</v>
      </c>
      <c r="E1177" s="165">
        <f>IFERROR(__xludf.DUMMYFUNCTION("""COMPUTED_VALUE"""),46221.0)</f>
        <v>46221</v>
      </c>
      <c r="F1177" s="377">
        <f>IFERROR(__xludf.DUMMYFUNCTION("""COMPUTED_VALUE"""),1.0)</f>
        <v>1</v>
      </c>
      <c r="G1177" s="377">
        <f>IFERROR(__xludf.DUMMYFUNCTION("""COMPUTED_VALUE"""),2.0)</f>
        <v>2</v>
      </c>
      <c r="H1177" s="378">
        <f>IFERROR(__xludf.DUMMYFUNCTION("""COMPUTED_VALUE"""),0.0)</f>
        <v>0</v>
      </c>
      <c r="I1177" s="378">
        <f>IFERROR(__xludf.DUMMYFUNCTION("""COMPUTED_VALUE"""),0.0)</f>
        <v>0</v>
      </c>
      <c r="J1177" s="255"/>
      <c r="K1177" s="166"/>
      <c r="L1177" s="166"/>
      <c r="M1177" s="166"/>
      <c r="N1177" s="170"/>
      <c r="O1177" s="171"/>
      <c r="P1177" s="171"/>
      <c r="Q1177" s="172"/>
      <c r="R1177" s="173"/>
      <c r="S1177" s="173"/>
      <c r="T1177" s="173"/>
      <c r="U1177" s="174"/>
      <c r="V1177" s="165"/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</row>
    <row r="1178">
      <c r="A1178" s="165">
        <f>IFERROR(__xludf.DUMMYFUNCTION("""COMPUTED_VALUE"""),8865951.0)</f>
        <v>8865951</v>
      </c>
      <c r="B1178" s="166" t="str">
        <f>IFERROR(__xludf.DUMMYFUNCTION("""COMPUTED_VALUE"""),"BookingCom")</f>
        <v>BookingCom</v>
      </c>
      <c r="C1178" s="166" t="str">
        <f>IFERROR(__xludf.DUMMYFUNCTION("""COMPUTED_VALUE"""),"Frederik Hill ")</f>
        <v>Frederik Hill </v>
      </c>
      <c r="D1178" s="165">
        <f>IFERROR(__xludf.DUMMYFUNCTION("""COMPUTED_VALUE"""),46251.0)</f>
        <v>46251</v>
      </c>
      <c r="E1178" s="165">
        <f>IFERROR(__xludf.DUMMYFUNCTION("""COMPUTED_VALUE"""),46252.0)</f>
        <v>46252</v>
      </c>
      <c r="F1178" s="377">
        <f>IFERROR(__xludf.DUMMYFUNCTION("""COMPUTED_VALUE"""),1.0)</f>
        <v>1</v>
      </c>
      <c r="G1178" s="377">
        <f>IFERROR(__xludf.DUMMYFUNCTION("""COMPUTED_VALUE"""),2.0)</f>
        <v>2</v>
      </c>
      <c r="H1178" s="378">
        <f>IFERROR(__xludf.DUMMYFUNCTION("""COMPUTED_VALUE"""),88.74)</f>
        <v>88.74</v>
      </c>
      <c r="I1178" s="378">
        <f>IFERROR(__xludf.DUMMYFUNCTION("""COMPUTED_VALUE"""),70.992)</f>
        <v>70.992</v>
      </c>
      <c r="J1178" s="377"/>
      <c r="K1178" s="166"/>
      <c r="L1178" s="166"/>
      <c r="M1178" s="166"/>
      <c r="N1178" s="170"/>
      <c r="O1178" s="171"/>
      <c r="P1178" s="171"/>
      <c r="Q1178" s="172"/>
      <c r="R1178" s="173"/>
      <c r="S1178" s="173"/>
      <c r="T1178" s="173"/>
      <c r="U1178" s="201"/>
      <c r="V1178" s="16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</row>
    <row r="1179">
      <c r="A1179" s="165">
        <f>IFERROR(__xludf.DUMMYFUNCTION("""COMPUTED_VALUE"""),8866387.0)</f>
        <v>8866387</v>
      </c>
      <c r="B1179" s="166" t="str">
        <f>IFERROR(__xludf.DUMMYFUNCTION("""COMPUTED_VALUE"""),"Ctrip")</f>
        <v>Ctrip</v>
      </c>
      <c r="C1179" s="166" t="str">
        <f>IFERROR(__xludf.DUMMYFUNCTION("""COMPUTED_VALUE"""),"INOUE SAYAKO ")</f>
        <v>INOUE SAYAKO </v>
      </c>
      <c r="D1179" s="165">
        <f>IFERROR(__xludf.DUMMYFUNCTION("""COMPUTED_VALUE"""),46219.0)</f>
        <v>46219</v>
      </c>
      <c r="E1179" s="165">
        <f>IFERROR(__xludf.DUMMYFUNCTION("""COMPUTED_VALUE"""),46220.0)</f>
        <v>46220</v>
      </c>
      <c r="F1179" s="377">
        <f>IFERROR(__xludf.DUMMYFUNCTION("""COMPUTED_VALUE"""),1.0)</f>
        <v>1</v>
      </c>
      <c r="G1179" s="377">
        <f>IFERROR(__xludf.DUMMYFUNCTION("""COMPUTED_VALUE"""),2.0)</f>
        <v>2</v>
      </c>
      <c r="H1179" s="378">
        <f>IFERROR(__xludf.DUMMYFUNCTION("""COMPUTED_VALUE"""),0.0)</f>
        <v>0</v>
      </c>
      <c r="I1179" s="378">
        <f>IFERROR(__xludf.DUMMYFUNCTION("""COMPUTED_VALUE"""),0.0)</f>
        <v>0</v>
      </c>
      <c r="J1179" s="377"/>
      <c r="K1179" s="166"/>
      <c r="L1179" s="166"/>
      <c r="M1179" s="166"/>
      <c r="N1179" s="170"/>
      <c r="O1179" s="171"/>
      <c r="P1179" s="171"/>
      <c r="Q1179" s="172"/>
      <c r="R1179" s="173"/>
      <c r="S1179" s="173"/>
      <c r="T1179" s="173"/>
      <c r="U1179" s="174"/>
      <c r="V1179" s="165"/>
      <c r="W1179" s="188"/>
      <c r="X1179" s="188"/>
      <c r="Y1179" s="188"/>
      <c r="Z1179" s="188"/>
      <c r="AA1179" s="188"/>
      <c r="AB1179" s="188"/>
      <c r="AC1179" s="188"/>
      <c r="AD1179" s="188"/>
      <c r="AE1179" s="188"/>
      <c r="AF1179" s="188"/>
      <c r="AG1179" s="188"/>
      <c r="AH1179" s="188"/>
      <c r="AI1179" s="188"/>
    </row>
    <row r="1180">
      <c r="A1180" s="165">
        <f>IFERROR(__xludf.DUMMYFUNCTION("""COMPUTED_VALUE"""),8870710.0)</f>
        <v>8870710</v>
      </c>
      <c r="B1180" s="166" t="str">
        <f>IFERROR(__xludf.DUMMYFUNCTION("""COMPUTED_VALUE"""),"BookingCom")</f>
        <v>BookingCom</v>
      </c>
      <c r="C1180" s="166" t="str">
        <f>IFERROR(__xludf.DUMMYFUNCTION("""COMPUTED_VALUE"""),"Cheyanne Chamberlain ")</f>
        <v>Cheyanne Chamberlain </v>
      </c>
      <c r="D1180" s="165">
        <f>IFERROR(__xludf.DUMMYFUNCTION("""COMPUTED_VALUE"""),46265.0)</f>
        <v>46265</v>
      </c>
      <c r="E1180" s="165">
        <f>IFERROR(__xludf.DUMMYFUNCTION("""COMPUTED_VALUE"""),46266.0)</f>
        <v>46266</v>
      </c>
      <c r="F1180" s="377">
        <f>IFERROR(__xludf.DUMMYFUNCTION("""COMPUTED_VALUE"""),1.0)</f>
        <v>1</v>
      </c>
      <c r="G1180" s="377">
        <f>IFERROR(__xludf.DUMMYFUNCTION("""COMPUTED_VALUE"""),2.0)</f>
        <v>2</v>
      </c>
      <c r="H1180" s="378">
        <f>IFERROR(__xludf.DUMMYFUNCTION("""COMPUTED_VALUE"""),75.79)</f>
        <v>75.79</v>
      </c>
      <c r="I1180" s="378">
        <f>IFERROR(__xludf.DUMMYFUNCTION("""COMPUTED_VALUE"""),60.632000000000005)</f>
        <v>60.632</v>
      </c>
      <c r="J1180" s="377"/>
      <c r="K1180" s="166"/>
      <c r="L1180" s="166"/>
      <c r="M1180" s="166"/>
      <c r="N1180" s="170"/>
      <c r="O1180" s="171"/>
      <c r="P1180" s="171"/>
      <c r="Q1180" s="172"/>
      <c r="R1180" s="173"/>
      <c r="S1180" s="173"/>
      <c r="T1180" s="173"/>
      <c r="U1180" s="201"/>
      <c r="V1180" s="165"/>
      <c r="W1180" s="188"/>
      <c r="X1180" s="188"/>
      <c r="Y1180" s="188"/>
      <c r="Z1180" s="188"/>
      <c r="AA1180" s="188"/>
      <c r="AB1180" s="188"/>
      <c r="AC1180" s="188"/>
      <c r="AD1180" s="188"/>
      <c r="AE1180" s="188"/>
      <c r="AF1180" s="188"/>
      <c r="AG1180" s="188"/>
      <c r="AH1180" s="188"/>
      <c r="AI1180" s="188"/>
    </row>
    <row r="1181">
      <c r="A1181" s="165">
        <f>IFERROR(__xludf.DUMMYFUNCTION("""COMPUTED_VALUE"""),8872070.0)</f>
        <v>8872070</v>
      </c>
      <c r="B1181" s="166" t="str">
        <f>IFERROR(__xludf.DUMMYFUNCTION("""COMPUTED_VALUE"""),"BookingCom")</f>
        <v>BookingCom</v>
      </c>
      <c r="C1181" s="166" t="str">
        <f>IFERROR(__xludf.DUMMYFUNCTION("""COMPUTED_VALUE"""),"Sofie Sonck ")</f>
        <v>Sofie Sonck </v>
      </c>
      <c r="D1181" s="165">
        <f>IFERROR(__xludf.DUMMYFUNCTION("""COMPUTED_VALUE"""),46235.0)</f>
        <v>46235</v>
      </c>
      <c r="E1181" s="165">
        <f>IFERROR(__xludf.DUMMYFUNCTION("""COMPUTED_VALUE"""),46237.0)</f>
        <v>46237</v>
      </c>
      <c r="F1181" s="377">
        <f>IFERROR(__xludf.DUMMYFUNCTION("""COMPUTED_VALUE"""),2.0)</f>
        <v>2</v>
      </c>
      <c r="G1181" s="377">
        <f>IFERROR(__xludf.DUMMYFUNCTION("""COMPUTED_VALUE"""),2.0)</f>
        <v>2</v>
      </c>
      <c r="H1181" s="378">
        <f>IFERROR(__xludf.DUMMYFUNCTION("""COMPUTED_VALUE"""),94.59)</f>
        <v>94.59</v>
      </c>
      <c r="I1181" s="378">
        <f>IFERROR(__xludf.DUMMYFUNCTION("""COMPUTED_VALUE"""),151.34400000000002)</f>
        <v>151.344</v>
      </c>
      <c r="J1181" s="377"/>
      <c r="K1181" s="166"/>
      <c r="L1181" s="166"/>
      <c r="M1181" s="166"/>
      <c r="N1181" s="170"/>
      <c r="O1181" s="171"/>
      <c r="P1181" s="171"/>
      <c r="Q1181" s="172"/>
      <c r="R1181" s="173"/>
      <c r="S1181" s="173"/>
      <c r="T1181" s="173"/>
      <c r="U1181" s="201"/>
      <c r="V1181" s="165"/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</row>
    <row r="1182">
      <c r="A1182" s="165">
        <f>IFERROR(__xludf.DUMMYFUNCTION("""COMPUTED_VALUE"""),8872359.0)</f>
        <v>8872359</v>
      </c>
      <c r="B1182" s="166" t="str">
        <f>IFERROR(__xludf.DUMMYFUNCTION("""COMPUTED_VALUE"""),"BookingCom")</f>
        <v>BookingCom</v>
      </c>
      <c r="C1182" s="166" t="str">
        <f>IFERROR(__xludf.DUMMYFUNCTION("""COMPUTED_VALUE"""),"Manon van der Grijn-Visser ")</f>
        <v>Manon van der Grijn-Visser </v>
      </c>
      <c r="D1182" s="165">
        <f>IFERROR(__xludf.DUMMYFUNCTION("""COMPUTED_VALUE"""),46392.0)</f>
        <v>46392</v>
      </c>
      <c r="E1182" s="165">
        <f>IFERROR(__xludf.DUMMYFUNCTION("""COMPUTED_VALUE"""),46398.0)</f>
        <v>46398</v>
      </c>
      <c r="F1182" s="377">
        <f>IFERROR(__xludf.DUMMYFUNCTION("""COMPUTED_VALUE"""),6.0)</f>
        <v>6</v>
      </c>
      <c r="G1182" s="377">
        <f>IFERROR(__xludf.DUMMYFUNCTION("""COMPUTED_VALUE"""),2.0)</f>
        <v>2</v>
      </c>
      <c r="H1182" s="378">
        <f>IFERROR(__xludf.DUMMYFUNCTION("""COMPUTED_VALUE"""),219.59)</f>
        <v>219.59</v>
      </c>
      <c r="I1182" s="378">
        <f>IFERROR(__xludf.DUMMYFUNCTION("""COMPUTED_VALUE"""),1054.0320000000002)</f>
        <v>1054.032</v>
      </c>
      <c r="J1182" s="377"/>
      <c r="K1182" s="166"/>
      <c r="L1182" s="166"/>
      <c r="M1182" s="166"/>
      <c r="N1182" s="170"/>
      <c r="O1182" s="171"/>
      <c r="P1182" s="171"/>
      <c r="Q1182" s="172"/>
      <c r="R1182" s="173"/>
      <c r="S1182" s="173"/>
      <c r="T1182" s="173"/>
      <c r="U1182" s="201"/>
      <c r="V1182" s="16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</row>
    <row r="1183">
      <c r="A1183" s="165">
        <f>IFERROR(__xludf.DUMMYFUNCTION("""COMPUTED_VALUE"""),8872596.0)</f>
        <v>8872596</v>
      </c>
      <c r="B1183" s="166" t="str">
        <f>IFERROR(__xludf.DUMMYFUNCTION("""COMPUTED_VALUE"""),"Ctrip")</f>
        <v>Ctrip</v>
      </c>
      <c r="C1183" s="166" t="str">
        <f>IFERROR(__xludf.DUMMYFUNCTION("""COMPUTED_VALUE"""),"XUPENG YANG ")</f>
        <v>XUPENG YANG </v>
      </c>
      <c r="D1183" s="165">
        <f>IFERROR(__xludf.DUMMYFUNCTION("""COMPUTED_VALUE"""),46220.0)</f>
        <v>46220</v>
      </c>
      <c r="E1183" s="165">
        <f>IFERROR(__xludf.DUMMYFUNCTION("""COMPUTED_VALUE"""),46221.0)</f>
        <v>46221</v>
      </c>
      <c r="F1183" s="377">
        <f>IFERROR(__xludf.DUMMYFUNCTION("""COMPUTED_VALUE"""),1.0)</f>
        <v>1</v>
      </c>
      <c r="G1183" s="377">
        <f>IFERROR(__xludf.DUMMYFUNCTION("""COMPUTED_VALUE"""),2.0)</f>
        <v>2</v>
      </c>
      <c r="H1183" s="378">
        <f>IFERROR(__xludf.DUMMYFUNCTION("""COMPUTED_VALUE"""),0.0)</f>
        <v>0</v>
      </c>
      <c r="I1183" s="378">
        <f>IFERROR(__xludf.DUMMYFUNCTION("""COMPUTED_VALUE"""),0.0)</f>
        <v>0</v>
      </c>
      <c r="J1183" s="377"/>
      <c r="K1183" s="166"/>
      <c r="L1183" s="166"/>
      <c r="M1183" s="166"/>
      <c r="N1183" s="170"/>
      <c r="O1183" s="171"/>
      <c r="P1183" s="171"/>
      <c r="Q1183" s="172"/>
      <c r="R1183" s="173"/>
      <c r="S1183" s="173"/>
      <c r="T1183" s="173"/>
      <c r="U1183" s="201"/>
      <c r="V1183" s="165"/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</row>
    <row r="1184">
      <c r="A1184" s="165">
        <f>IFERROR(__xludf.DUMMYFUNCTION("""COMPUTED_VALUE"""),8874706.0)</f>
        <v>8874706</v>
      </c>
      <c r="B1184" s="166" t="str">
        <f>IFERROR(__xludf.DUMMYFUNCTION("""COMPUTED_VALUE"""),"Agoda2")</f>
        <v>Agoda2</v>
      </c>
      <c r="C1184" s="166" t="str">
        <f>IFERROR(__xludf.DUMMYFUNCTION("""COMPUTED_VALUE"""),"YI LU ")</f>
        <v>YI LU </v>
      </c>
      <c r="D1184" s="165">
        <f>IFERROR(__xludf.DUMMYFUNCTION("""COMPUTED_VALUE"""),46222.0)</f>
        <v>46222</v>
      </c>
      <c r="E1184" s="165">
        <f>IFERROR(__xludf.DUMMYFUNCTION("""COMPUTED_VALUE"""),46223.0)</f>
        <v>46223</v>
      </c>
      <c r="F1184" s="377">
        <f>IFERROR(__xludf.DUMMYFUNCTION("""COMPUTED_VALUE"""),1.0)</f>
        <v>1</v>
      </c>
      <c r="G1184" s="377">
        <f>IFERROR(__xludf.DUMMYFUNCTION("""COMPUTED_VALUE"""),2.0)</f>
        <v>2</v>
      </c>
      <c r="H1184" s="378">
        <f>IFERROR(__xludf.DUMMYFUNCTION("""COMPUTED_VALUE"""),110.93)</f>
        <v>110.93</v>
      </c>
      <c r="I1184" s="378">
        <f>IFERROR(__xludf.DUMMYFUNCTION("""COMPUTED_VALUE"""),88.74400000000001)</f>
        <v>88.744</v>
      </c>
      <c r="J1184" s="377"/>
      <c r="K1184" s="166"/>
      <c r="L1184" s="166"/>
      <c r="M1184" s="166"/>
      <c r="N1184" s="170"/>
      <c r="O1184" s="171"/>
      <c r="P1184" s="171"/>
      <c r="Q1184" s="172"/>
      <c r="R1184" s="173"/>
      <c r="S1184" s="173"/>
      <c r="T1184" s="173"/>
      <c r="U1184" s="201"/>
      <c r="V1184" s="16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</row>
    <row r="1185">
      <c r="A1185" s="165">
        <f>IFERROR(__xludf.DUMMYFUNCTION("""COMPUTED_VALUE"""),8876451.0)</f>
        <v>8876451</v>
      </c>
      <c r="B1185" s="166" t="str">
        <f>IFERROR(__xludf.DUMMYFUNCTION("""COMPUTED_VALUE"""),"Reseliva Pannel")</f>
        <v>Reseliva Pannel</v>
      </c>
      <c r="C1185" s="166" t="str">
        <f>IFERROR(__xludf.DUMMYFUNCTION("""COMPUTED_VALUE"""),"Claudio Claudio ")</f>
        <v>Claudio Claudio </v>
      </c>
      <c r="D1185" s="165">
        <f>IFERROR(__xludf.DUMMYFUNCTION("""COMPUTED_VALUE"""),46232.0)</f>
        <v>46232</v>
      </c>
      <c r="E1185" s="165">
        <f>IFERROR(__xludf.DUMMYFUNCTION("""COMPUTED_VALUE"""),46235.0)</f>
        <v>46235</v>
      </c>
      <c r="F1185" s="377">
        <f>IFERROR(__xludf.DUMMYFUNCTION("""COMPUTED_VALUE"""),3.0)</f>
        <v>3</v>
      </c>
      <c r="G1185" s="377">
        <f>IFERROR(__xludf.DUMMYFUNCTION("""COMPUTED_VALUE"""),2.0)</f>
        <v>2</v>
      </c>
      <c r="H1185" s="378">
        <f>IFERROR(__xludf.DUMMYFUNCTION("""COMPUTED_VALUE"""),362.16)</f>
        <v>362.16</v>
      </c>
      <c r="I1185" s="378">
        <f>IFERROR(__xludf.DUMMYFUNCTION("""COMPUTED_VALUE"""),1086.48)</f>
        <v>1086.48</v>
      </c>
      <c r="J1185" s="377"/>
      <c r="K1185" s="166"/>
      <c r="L1185" s="166"/>
      <c r="M1185" s="166"/>
      <c r="N1185" s="170"/>
      <c r="O1185" s="171"/>
      <c r="P1185" s="171"/>
      <c r="Q1185" s="172"/>
      <c r="R1185" s="173"/>
      <c r="S1185" s="173"/>
      <c r="T1185" s="173"/>
      <c r="U1185" s="201"/>
      <c r="V1185" s="165"/>
      <c r="W1185" s="35"/>
      <c r="X1185" s="35"/>
      <c r="Y1185" s="35"/>
      <c r="Z1185" s="35"/>
      <c r="AA1185" s="35"/>
      <c r="AB1185" s="35"/>
      <c r="AC1185" s="35"/>
      <c r="AD1185" s="35"/>
      <c r="AE1185" s="35"/>
      <c r="AF1185" s="35"/>
      <c r="AG1185" s="35"/>
      <c r="AH1185" s="35"/>
      <c r="AI1185" s="35"/>
    </row>
    <row r="1186">
      <c r="A1186" s="165">
        <f>IFERROR(__xludf.DUMMYFUNCTION("""COMPUTED_VALUE"""),8877127.0)</f>
        <v>8877127</v>
      </c>
      <c r="B1186" s="166" t="str">
        <f>IFERROR(__xludf.DUMMYFUNCTION("""COMPUTED_VALUE"""),"BookingCom")</f>
        <v>BookingCom</v>
      </c>
      <c r="C1186" s="166" t="str">
        <f>IFERROR(__xludf.DUMMYFUNCTION("""COMPUTED_VALUE"""),"ODYSSEFS MARINOS ")</f>
        <v>ODYSSEFS MARINOS </v>
      </c>
      <c r="D1186" s="165">
        <f>IFERROR(__xludf.DUMMYFUNCTION("""COMPUTED_VALUE"""),46245.0)</f>
        <v>46245</v>
      </c>
      <c r="E1186" s="165">
        <f>IFERROR(__xludf.DUMMYFUNCTION("""COMPUTED_VALUE"""),46246.0)</f>
        <v>46246</v>
      </c>
      <c r="F1186" s="377">
        <f>IFERROR(__xludf.DUMMYFUNCTION("""COMPUTED_VALUE"""),1.0)</f>
        <v>1</v>
      </c>
      <c r="G1186" s="377">
        <f>IFERROR(__xludf.DUMMYFUNCTION("""COMPUTED_VALUE"""),2.0)</f>
        <v>2</v>
      </c>
      <c r="H1186" s="378">
        <f>IFERROR(__xludf.DUMMYFUNCTION("""COMPUTED_VALUE"""),94.59)</f>
        <v>94.59</v>
      </c>
      <c r="I1186" s="378">
        <f>IFERROR(__xludf.DUMMYFUNCTION("""COMPUTED_VALUE"""),75.67200000000001)</f>
        <v>75.672</v>
      </c>
      <c r="J1186" s="377"/>
      <c r="K1186" s="166"/>
      <c r="L1186" s="166"/>
      <c r="M1186" s="205"/>
      <c r="N1186" s="170"/>
      <c r="O1186" s="171"/>
      <c r="P1186" s="171"/>
      <c r="Q1186" s="172"/>
      <c r="R1186" s="173"/>
      <c r="S1186" s="173"/>
      <c r="T1186" s="173"/>
      <c r="U1186" s="201"/>
      <c r="V1186" s="165"/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</row>
    <row r="1187">
      <c r="A1187" s="165">
        <f>IFERROR(__xludf.DUMMYFUNCTION("""COMPUTED_VALUE"""),8879777.0)</f>
        <v>8879777</v>
      </c>
      <c r="B1187" s="166" t="str">
        <f>IFERROR(__xludf.DUMMYFUNCTION("""COMPUTED_VALUE"""),"Agoda2")</f>
        <v>Agoda2</v>
      </c>
      <c r="C1187" s="166" t="str">
        <f>IFERROR(__xludf.DUMMYFUNCTION("""COMPUTED_VALUE"""),"Laney Keys ")</f>
        <v>Laney Keys </v>
      </c>
      <c r="D1187" s="165">
        <f>IFERROR(__xludf.DUMMYFUNCTION("""COMPUTED_VALUE"""),46221.0)</f>
        <v>46221</v>
      </c>
      <c r="E1187" s="165">
        <f>IFERROR(__xludf.DUMMYFUNCTION("""COMPUTED_VALUE"""),46222.0)</f>
        <v>46222</v>
      </c>
      <c r="F1187" s="377">
        <f>IFERROR(__xludf.DUMMYFUNCTION("""COMPUTED_VALUE"""),1.0)</f>
        <v>1</v>
      </c>
      <c r="G1187" s="377">
        <f>IFERROR(__xludf.DUMMYFUNCTION("""COMPUTED_VALUE"""),2.0)</f>
        <v>2</v>
      </c>
      <c r="H1187" s="378">
        <f>IFERROR(__xludf.DUMMYFUNCTION("""COMPUTED_VALUE"""),110.93)</f>
        <v>110.93</v>
      </c>
      <c r="I1187" s="378">
        <f>IFERROR(__xludf.DUMMYFUNCTION("""COMPUTED_VALUE"""),88.74400000000001)</f>
        <v>88.744</v>
      </c>
      <c r="J1187" s="377"/>
      <c r="K1187" s="166"/>
      <c r="L1187" s="166"/>
      <c r="M1187" s="166"/>
      <c r="N1187" s="170"/>
      <c r="O1187" s="171"/>
      <c r="P1187" s="171"/>
      <c r="Q1187" s="172"/>
      <c r="R1187" s="173"/>
      <c r="S1187" s="173"/>
      <c r="T1187" s="173"/>
      <c r="U1187" s="201"/>
      <c r="V1187" s="165"/>
      <c r="W1187" s="35"/>
      <c r="X1187" s="35"/>
      <c r="Y1187" s="35"/>
      <c r="Z1187" s="35"/>
      <c r="AA1187" s="35"/>
      <c r="AB1187" s="35"/>
      <c r="AC1187" s="35"/>
      <c r="AD1187" s="35"/>
      <c r="AE1187" s="35"/>
      <c r="AF1187" s="35"/>
      <c r="AG1187" s="35"/>
      <c r="AH1187" s="35"/>
      <c r="AI1187" s="35"/>
    </row>
    <row r="1188">
      <c r="A1188" s="165">
        <f>IFERROR(__xludf.DUMMYFUNCTION("""COMPUTED_VALUE"""),8880027.0)</f>
        <v>8880027</v>
      </c>
      <c r="B1188" s="166" t="str">
        <f>IFERROR(__xludf.DUMMYFUNCTION("""COMPUTED_VALUE"""),"BookingCom")</f>
        <v>BookingCom</v>
      </c>
      <c r="C1188" s="166" t="str">
        <f>IFERROR(__xludf.DUMMYFUNCTION("""COMPUTED_VALUE"""),"Simone Bandini ")</f>
        <v>Simone Bandini </v>
      </c>
      <c r="D1188" s="165">
        <f>IFERROR(__xludf.DUMMYFUNCTION("""COMPUTED_VALUE"""),46245.0)</f>
        <v>46245</v>
      </c>
      <c r="E1188" s="165">
        <f>IFERROR(__xludf.DUMMYFUNCTION("""COMPUTED_VALUE"""),46249.0)</f>
        <v>46249</v>
      </c>
      <c r="F1188" s="377">
        <f>IFERROR(__xludf.DUMMYFUNCTION("""COMPUTED_VALUE"""),4.0)</f>
        <v>4</v>
      </c>
      <c r="G1188" s="377">
        <f>IFERROR(__xludf.DUMMYFUNCTION("""COMPUTED_VALUE"""),2.0)</f>
        <v>2</v>
      </c>
      <c r="H1188" s="378">
        <f>IFERROR(__xludf.DUMMYFUNCTION("""COMPUTED_VALUE"""),109.44)</f>
        <v>109.44</v>
      </c>
      <c r="I1188" s="378">
        <f>IFERROR(__xludf.DUMMYFUNCTION("""COMPUTED_VALUE"""),350.208)</f>
        <v>350.208</v>
      </c>
      <c r="J1188" s="377"/>
      <c r="K1188" s="166"/>
      <c r="L1188" s="166"/>
      <c r="M1188" s="166"/>
      <c r="N1188" s="170"/>
      <c r="O1188" s="171"/>
      <c r="P1188" s="171"/>
      <c r="Q1188" s="172"/>
      <c r="R1188" s="173"/>
      <c r="S1188" s="173"/>
      <c r="T1188" s="173"/>
      <c r="U1188" s="174"/>
      <c r="V1188" s="165"/>
      <c r="W1188" s="35"/>
      <c r="X1188" s="35"/>
      <c r="Y1188" s="35"/>
      <c r="Z1188" s="35"/>
      <c r="AA1188" s="35"/>
      <c r="AB1188" s="35"/>
      <c r="AC1188" s="35"/>
      <c r="AD1188" s="35"/>
      <c r="AE1188" s="35"/>
      <c r="AF1188" s="35"/>
      <c r="AG1188" s="35"/>
      <c r="AH1188" s="35"/>
      <c r="AI1188" s="35"/>
    </row>
    <row r="1189">
      <c r="A1189" s="165">
        <f>IFERROR(__xludf.DUMMYFUNCTION("""COMPUTED_VALUE"""),8883058.0)</f>
        <v>8883058</v>
      </c>
      <c r="B1189" s="166" t="str">
        <f>IFERROR(__xludf.DUMMYFUNCTION("""COMPUTED_VALUE"""),"BookingCom")</f>
        <v>BookingCom</v>
      </c>
      <c r="C1189" s="166" t="str">
        <f>IFERROR(__xludf.DUMMYFUNCTION("""COMPUTED_VALUE"""),"Philipp Hurt ")</f>
        <v>Philipp Hurt </v>
      </c>
      <c r="D1189" s="165">
        <f>IFERROR(__xludf.DUMMYFUNCTION("""COMPUTED_VALUE"""),46255.0)</f>
        <v>46255</v>
      </c>
      <c r="E1189" s="165">
        <f>IFERROR(__xludf.DUMMYFUNCTION("""COMPUTED_VALUE"""),46257.0)</f>
        <v>46257</v>
      </c>
      <c r="F1189" s="377">
        <f>IFERROR(__xludf.DUMMYFUNCTION("""COMPUTED_VALUE"""),2.0)</f>
        <v>2</v>
      </c>
      <c r="G1189" s="377">
        <f>IFERROR(__xludf.DUMMYFUNCTION("""COMPUTED_VALUE"""),3.0)</f>
        <v>3</v>
      </c>
      <c r="H1189" s="378">
        <f>IFERROR(__xludf.DUMMYFUNCTION("""COMPUTED_VALUE"""),108.94)</f>
        <v>108.94</v>
      </c>
      <c r="I1189" s="378">
        <f>IFERROR(__xludf.DUMMYFUNCTION("""COMPUTED_VALUE"""),174.304)</f>
        <v>174.304</v>
      </c>
      <c r="J1189" s="377"/>
      <c r="K1189" s="166"/>
      <c r="L1189" s="166"/>
      <c r="M1189" s="166"/>
      <c r="N1189" s="170"/>
      <c r="O1189" s="171"/>
      <c r="P1189" s="171"/>
      <c r="Q1189" s="172"/>
      <c r="R1189" s="173"/>
      <c r="S1189" s="173"/>
      <c r="T1189" s="173"/>
      <c r="U1189" s="201"/>
      <c r="V1189" s="16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</row>
    <row r="1190">
      <c r="A1190" s="165">
        <f>IFERROR(__xludf.DUMMYFUNCTION("""COMPUTED_VALUE"""),8884531.0)</f>
        <v>8884531</v>
      </c>
      <c r="B1190" s="166" t="str">
        <f>IFERROR(__xludf.DUMMYFUNCTION("""COMPUTED_VALUE"""),"BookingCom")</f>
        <v>BookingCom</v>
      </c>
      <c r="C1190" s="166" t="str">
        <f>IFERROR(__xludf.DUMMYFUNCTION("""COMPUTED_VALUE"""),"Kebira EL MOUCHIR ")</f>
        <v>Kebira EL MOUCHIR </v>
      </c>
      <c r="D1190" s="165">
        <f>IFERROR(__xludf.DUMMYFUNCTION("""COMPUTED_VALUE"""),46224.0)</f>
        <v>46224</v>
      </c>
      <c r="E1190" s="165">
        <f>IFERROR(__xludf.DUMMYFUNCTION("""COMPUTED_VALUE"""),46226.0)</f>
        <v>46226</v>
      </c>
      <c r="F1190" s="377">
        <f>IFERROR(__xludf.DUMMYFUNCTION("""COMPUTED_VALUE"""),2.0)</f>
        <v>2</v>
      </c>
      <c r="G1190" s="377">
        <f>IFERROR(__xludf.DUMMYFUNCTION("""COMPUTED_VALUE"""),2.0)</f>
        <v>2</v>
      </c>
      <c r="H1190" s="378">
        <f>IFERROR(__xludf.DUMMYFUNCTION("""COMPUTED_VALUE"""),94.31)</f>
        <v>94.31</v>
      </c>
      <c r="I1190" s="378">
        <f>IFERROR(__xludf.DUMMYFUNCTION("""COMPUTED_VALUE"""),150.89600000000002)</f>
        <v>150.896</v>
      </c>
      <c r="J1190" s="377"/>
      <c r="K1190" s="166"/>
      <c r="L1190" s="166"/>
      <c r="M1190" s="205"/>
      <c r="N1190" s="170"/>
      <c r="O1190" s="171"/>
      <c r="P1190" s="171"/>
      <c r="Q1190" s="172"/>
      <c r="R1190" s="173"/>
      <c r="S1190" s="173"/>
      <c r="T1190" s="173"/>
      <c r="U1190" s="201"/>
      <c r="V1190" s="16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</row>
    <row r="1191">
      <c r="A1191" s="165">
        <f>IFERROR(__xludf.DUMMYFUNCTION("""COMPUTED_VALUE"""),8885246.0)</f>
        <v>8885246</v>
      </c>
      <c r="B1191" s="166" t="str">
        <f>IFERROR(__xludf.DUMMYFUNCTION("""COMPUTED_VALUE"""),"BookingCom")</f>
        <v>BookingCom</v>
      </c>
      <c r="C1191" s="166" t="str">
        <f>IFERROR(__xludf.DUMMYFUNCTION("""COMPUTED_VALUE"""),"Ralia Doma ")</f>
        <v>Ralia Doma </v>
      </c>
      <c r="D1191" s="165">
        <f>IFERROR(__xludf.DUMMYFUNCTION("""COMPUTED_VALUE"""),46305.0)</f>
        <v>46305</v>
      </c>
      <c r="E1191" s="165">
        <f>IFERROR(__xludf.DUMMYFUNCTION("""COMPUTED_VALUE"""),46306.0)</f>
        <v>46306</v>
      </c>
      <c r="F1191" s="377">
        <f>IFERROR(__xludf.DUMMYFUNCTION("""COMPUTED_VALUE"""),1.0)</f>
        <v>1</v>
      </c>
      <c r="G1191" s="377">
        <f>IFERROR(__xludf.DUMMYFUNCTION("""COMPUTED_VALUE"""),2.0)</f>
        <v>2</v>
      </c>
      <c r="H1191" s="378">
        <f>IFERROR(__xludf.DUMMYFUNCTION("""COMPUTED_VALUE"""),189.67)</f>
        <v>189.67</v>
      </c>
      <c r="I1191" s="378">
        <f>IFERROR(__xludf.DUMMYFUNCTION("""COMPUTED_VALUE"""),151.736)</f>
        <v>151.736</v>
      </c>
      <c r="J1191" s="377"/>
      <c r="K1191" s="166"/>
      <c r="L1191" s="166"/>
      <c r="M1191" s="166"/>
      <c r="N1191" s="170"/>
      <c r="O1191" s="171"/>
      <c r="P1191" s="171"/>
      <c r="Q1191" s="172"/>
      <c r="R1191" s="173"/>
      <c r="S1191" s="173"/>
      <c r="T1191" s="173"/>
      <c r="U1191" s="201"/>
      <c r="V1191" s="16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</row>
    <row r="1192">
      <c r="A1192" s="165">
        <f>IFERROR(__xludf.DUMMYFUNCTION("""COMPUTED_VALUE"""),8885786.0)</f>
        <v>8885786</v>
      </c>
      <c r="B1192" s="166" t="str">
        <f>IFERROR(__xludf.DUMMYFUNCTION("""COMPUTED_VALUE"""),"BookingCom")</f>
        <v>BookingCom</v>
      </c>
      <c r="C1192" s="166" t="str">
        <f>IFERROR(__xludf.DUMMYFUNCTION("""COMPUTED_VALUE"""),"Ariel Franz Ledda Howard ")</f>
        <v>Ariel Franz Ledda Howard </v>
      </c>
      <c r="D1192" s="165">
        <f>IFERROR(__xludf.DUMMYFUNCTION("""COMPUTED_VALUE"""),46251.0)</f>
        <v>46251</v>
      </c>
      <c r="E1192" s="165">
        <f>IFERROR(__xludf.DUMMYFUNCTION("""COMPUTED_VALUE"""),46255.0)</f>
        <v>46255</v>
      </c>
      <c r="F1192" s="377">
        <f>IFERROR(__xludf.DUMMYFUNCTION("""COMPUTED_VALUE"""),4.0)</f>
        <v>4</v>
      </c>
      <c r="G1192" s="377">
        <f>IFERROR(__xludf.DUMMYFUNCTION("""COMPUTED_VALUE"""),2.0)</f>
        <v>2</v>
      </c>
      <c r="H1192" s="378">
        <f>IFERROR(__xludf.DUMMYFUNCTION("""COMPUTED_VALUE"""),132.39)</f>
        <v>132.39</v>
      </c>
      <c r="I1192" s="378">
        <f>IFERROR(__xludf.DUMMYFUNCTION("""COMPUTED_VALUE"""),423.64799999999997)</f>
        <v>423.648</v>
      </c>
      <c r="J1192" s="377"/>
      <c r="K1192" s="166"/>
      <c r="L1192" s="166"/>
      <c r="M1192" s="166"/>
      <c r="N1192" s="170"/>
      <c r="O1192" s="171"/>
      <c r="P1192" s="171"/>
      <c r="Q1192" s="172"/>
      <c r="R1192" s="173"/>
      <c r="S1192" s="173"/>
      <c r="T1192" s="173"/>
      <c r="U1192" s="201"/>
      <c r="V1192" s="165"/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5"/>
      <c r="AG1192" s="35"/>
      <c r="AH1192" s="35"/>
      <c r="AI1192" s="35"/>
    </row>
    <row r="1193">
      <c r="A1193" s="165">
        <f>IFERROR(__xludf.DUMMYFUNCTION("""COMPUTED_VALUE"""),8886041.0)</f>
        <v>8886041</v>
      </c>
      <c r="B1193" s="166" t="str">
        <f>IFERROR(__xludf.DUMMYFUNCTION("""COMPUTED_VALUE"""),"BookingCom")</f>
        <v>BookingCom</v>
      </c>
      <c r="C1193" s="166" t="str">
        <f>IFERROR(__xludf.DUMMYFUNCTION("""COMPUTED_VALUE"""),"Celeste Villalobos ")</f>
        <v>Celeste Villalobos </v>
      </c>
      <c r="D1193" s="165">
        <f>IFERROR(__xludf.DUMMYFUNCTION("""COMPUTED_VALUE"""),46238.0)</f>
        <v>46238</v>
      </c>
      <c r="E1193" s="165">
        <f>IFERROR(__xludf.DUMMYFUNCTION("""COMPUTED_VALUE"""),46239.0)</f>
        <v>46239</v>
      </c>
      <c r="F1193" s="377">
        <f>IFERROR(__xludf.DUMMYFUNCTION("""COMPUTED_VALUE"""),1.0)</f>
        <v>1</v>
      </c>
      <c r="G1193" s="377">
        <f>IFERROR(__xludf.DUMMYFUNCTION("""COMPUTED_VALUE"""),2.0)</f>
        <v>2</v>
      </c>
      <c r="H1193" s="378">
        <f>IFERROR(__xludf.DUMMYFUNCTION("""COMPUTED_VALUE"""),105.38)</f>
        <v>105.38</v>
      </c>
      <c r="I1193" s="378">
        <f>IFERROR(__xludf.DUMMYFUNCTION("""COMPUTED_VALUE"""),84.304)</f>
        <v>84.304</v>
      </c>
      <c r="J1193" s="377"/>
      <c r="K1193" s="166"/>
      <c r="L1193" s="166"/>
      <c r="M1193" s="166"/>
      <c r="N1193" s="170"/>
      <c r="O1193" s="171"/>
      <c r="P1193" s="171"/>
      <c r="Q1193" s="172"/>
      <c r="R1193" s="173"/>
      <c r="S1193" s="173"/>
      <c r="T1193" s="173"/>
      <c r="U1193" s="201"/>
      <c r="V1193" s="165"/>
      <c r="W1193" s="188"/>
      <c r="X1193" s="188"/>
      <c r="Y1193" s="188"/>
      <c r="Z1193" s="188"/>
      <c r="AA1193" s="188"/>
      <c r="AB1193" s="188"/>
      <c r="AC1193" s="188"/>
      <c r="AD1193" s="188"/>
      <c r="AE1193" s="188"/>
      <c r="AF1193" s="188"/>
      <c r="AG1193" s="188"/>
      <c r="AH1193" s="188"/>
      <c r="AI1193" s="188"/>
    </row>
    <row r="1194">
      <c r="A1194" s="165">
        <f>IFERROR(__xludf.DUMMYFUNCTION("""COMPUTED_VALUE"""),8886801.0)</f>
        <v>8886801</v>
      </c>
      <c r="B1194" s="166" t="str">
        <f>IFERROR(__xludf.DUMMYFUNCTION("""COMPUTED_VALUE"""),"Reseliva Pannel")</f>
        <v>Reseliva Pannel</v>
      </c>
      <c r="C1194" s="166" t="str">
        <f>IFERROR(__xludf.DUMMYFUNCTION("""COMPUTED_VALUE"""),"Ahmed Iraq ")</f>
        <v>Ahmed Iraq </v>
      </c>
      <c r="D1194" s="165">
        <f>IFERROR(__xludf.DUMMYFUNCTION("""COMPUTED_VALUE"""),46224.0)</f>
        <v>46224</v>
      </c>
      <c r="E1194" s="165">
        <f>IFERROR(__xludf.DUMMYFUNCTION("""COMPUTED_VALUE"""),46225.0)</f>
        <v>46225</v>
      </c>
      <c r="F1194" s="377">
        <f>IFERROR(__xludf.DUMMYFUNCTION("""COMPUTED_VALUE"""),1.0)</f>
        <v>1</v>
      </c>
      <c r="G1194" s="377">
        <f>IFERROR(__xludf.DUMMYFUNCTION("""COMPUTED_VALUE"""),2.0)</f>
        <v>2</v>
      </c>
      <c r="H1194" s="378">
        <f>IFERROR(__xludf.DUMMYFUNCTION("""COMPUTED_VALUE"""),174.96)</f>
        <v>174.96</v>
      </c>
      <c r="I1194" s="378">
        <f>IFERROR(__xludf.DUMMYFUNCTION("""COMPUTED_VALUE"""),174.96)</f>
        <v>174.96</v>
      </c>
      <c r="J1194" s="377"/>
      <c r="K1194" s="166"/>
      <c r="L1194" s="166"/>
      <c r="M1194" s="166"/>
      <c r="N1194" s="170"/>
      <c r="O1194" s="171"/>
      <c r="P1194" s="171"/>
      <c r="Q1194" s="172"/>
      <c r="R1194" s="173"/>
      <c r="S1194" s="173"/>
      <c r="T1194" s="173"/>
      <c r="U1194" s="201"/>
      <c r="V1194" s="165"/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5"/>
      <c r="AG1194" s="35"/>
      <c r="AH1194" s="35"/>
      <c r="AI1194" s="35"/>
    </row>
    <row r="1195">
      <c r="A1195" s="165">
        <f>IFERROR(__xludf.DUMMYFUNCTION("""COMPUTED_VALUE"""),8889192.0)</f>
        <v>8889192</v>
      </c>
      <c r="B1195" s="166" t="str">
        <f>IFERROR(__xludf.DUMMYFUNCTION("""COMPUTED_VALUE"""),"HotelBeds")</f>
        <v>HotelBeds</v>
      </c>
      <c r="C1195" s="166" t="str">
        <f>IFERROR(__xludf.DUMMYFUNCTION("""COMPUTED_VALUE"""),"JOSE RUBIÑO GARCIA ")</f>
        <v>JOSE RUBIÑO GARCIA </v>
      </c>
      <c r="D1195" s="165">
        <f>IFERROR(__xludf.DUMMYFUNCTION("""COMPUTED_VALUE"""),46295.0)</f>
        <v>46295</v>
      </c>
      <c r="E1195" s="165">
        <f>IFERROR(__xludf.DUMMYFUNCTION("""COMPUTED_VALUE"""),46296.0)</f>
        <v>46296</v>
      </c>
      <c r="F1195" s="377">
        <f>IFERROR(__xludf.DUMMYFUNCTION("""COMPUTED_VALUE"""),1.0)</f>
        <v>1</v>
      </c>
      <c r="G1195" s="377">
        <f>IFERROR(__xludf.DUMMYFUNCTION("""COMPUTED_VALUE"""),2.0)</f>
        <v>2</v>
      </c>
      <c r="H1195" s="378">
        <f>IFERROR(__xludf.DUMMYFUNCTION("""COMPUTED_VALUE"""),170.07)</f>
        <v>170.07</v>
      </c>
      <c r="I1195" s="378">
        <f>IFERROR(__xludf.DUMMYFUNCTION("""COMPUTED_VALUE"""),136.056)</f>
        <v>136.056</v>
      </c>
      <c r="J1195" s="377"/>
      <c r="K1195" s="166"/>
      <c r="L1195" s="166"/>
      <c r="M1195" s="166"/>
      <c r="N1195" s="170"/>
      <c r="O1195" s="171"/>
      <c r="P1195" s="171"/>
      <c r="Q1195" s="172"/>
      <c r="R1195" s="173"/>
      <c r="S1195" s="173"/>
      <c r="T1195" s="173"/>
      <c r="U1195" s="201"/>
      <c r="V1195" s="207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</row>
    <row r="1196">
      <c r="A1196" s="165">
        <f>IFERROR(__xludf.DUMMYFUNCTION("""COMPUTED_VALUE"""),8889192.0)</f>
        <v>8889192</v>
      </c>
      <c r="B1196" s="166" t="str">
        <f>IFERROR(__xludf.DUMMYFUNCTION("""COMPUTED_VALUE"""),"HotelBeds")</f>
        <v>HotelBeds</v>
      </c>
      <c r="C1196" s="166" t="str">
        <f>IFERROR(__xludf.DUMMYFUNCTION("""COMPUTED_VALUE"""),"JOSE RUBIÑO GARCIA ")</f>
        <v>JOSE RUBIÑO GARCIA </v>
      </c>
      <c r="D1196" s="165">
        <f>IFERROR(__xludf.DUMMYFUNCTION("""COMPUTED_VALUE"""),46295.0)</f>
        <v>46295</v>
      </c>
      <c r="E1196" s="165">
        <f>IFERROR(__xludf.DUMMYFUNCTION("""COMPUTED_VALUE"""),46296.0)</f>
        <v>46296</v>
      </c>
      <c r="F1196" s="377">
        <f>IFERROR(__xludf.DUMMYFUNCTION("""COMPUTED_VALUE"""),1.0)</f>
        <v>1</v>
      </c>
      <c r="G1196" s="377">
        <f>IFERROR(__xludf.DUMMYFUNCTION("""COMPUTED_VALUE"""),2.0)</f>
        <v>2</v>
      </c>
      <c r="H1196" s="378">
        <f>IFERROR(__xludf.DUMMYFUNCTION("""COMPUTED_VALUE"""),189.58)</f>
        <v>189.58</v>
      </c>
      <c r="I1196" s="378">
        <f>IFERROR(__xludf.DUMMYFUNCTION("""COMPUTED_VALUE"""),151.66400000000002)</f>
        <v>151.664</v>
      </c>
      <c r="J1196" s="377"/>
      <c r="K1196" s="166"/>
      <c r="L1196" s="166"/>
      <c r="M1196" s="166"/>
      <c r="N1196" s="170"/>
      <c r="O1196" s="171"/>
      <c r="P1196" s="171"/>
      <c r="Q1196" s="172"/>
      <c r="R1196" s="173"/>
      <c r="S1196" s="173"/>
      <c r="T1196" s="173"/>
      <c r="U1196" s="201"/>
      <c r="V1196" s="16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</row>
    <row r="1197">
      <c r="A1197" s="165">
        <f>IFERROR(__xludf.DUMMYFUNCTION("""COMPUTED_VALUE"""),8890641.0)</f>
        <v>8890641</v>
      </c>
      <c r="B1197" s="166" t="str">
        <f>IFERROR(__xludf.DUMMYFUNCTION("""COMPUTED_VALUE"""),"BookingCom")</f>
        <v>BookingCom</v>
      </c>
      <c r="C1197" s="166" t="str">
        <f>IFERROR(__xludf.DUMMYFUNCTION("""COMPUTED_VALUE"""),"Alexandra Chapcakova ")</f>
        <v>Alexandra Chapcakova </v>
      </c>
      <c r="D1197" s="165">
        <f>IFERROR(__xludf.DUMMYFUNCTION("""COMPUTED_VALUE"""),46225.0)</f>
        <v>46225</v>
      </c>
      <c r="E1197" s="165">
        <f>IFERROR(__xludf.DUMMYFUNCTION("""COMPUTED_VALUE"""),46228.0)</f>
        <v>46228</v>
      </c>
      <c r="F1197" s="377">
        <f>IFERROR(__xludf.DUMMYFUNCTION("""COMPUTED_VALUE"""),3.0)</f>
        <v>3</v>
      </c>
      <c r="G1197" s="377">
        <f>IFERROR(__xludf.DUMMYFUNCTION("""COMPUTED_VALUE"""),2.0)</f>
        <v>2</v>
      </c>
      <c r="H1197" s="378">
        <f>IFERROR(__xludf.DUMMYFUNCTION("""COMPUTED_VALUE"""),119.95333333333333)</f>
        <v>119.9533333</v>
      </c>
      <c r="I1197" s="378">
        <f>IFERROR(__xludf.DUMMYFUNCTION("""COMPUTED_VALUE"""),287.88800000000003)</f>
        <v>287.888</v>
      </c>
      <c r="J1197" s="377"/>
      <c r="K1197" s="166"/>
      <c r="L1197" s="166"/>
      <c r="M1197" s="166"/>
      <c r="N1197" s="170"/>
      <c r="O1197" s="171"/>
      <c r="P1197" s="171"/>
      <c r="Q1197" s="172"/>
      <c r="R1197" s="173"/>
      <c r="S1197" s="173"/>
      <c r="T1197" s="173"/>
      <c r="U1197" s="201"/>
      <c r="V1197" s="16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</row>
    <row r="1198">
      <c r="A1198" s="165">
        <f>IFERROR(__xludf.DUMMYFUNCTION("""COMPUTED_VALUE"""),8891138.0)</f>
        <v>8891138</v>
      </c>
      <c r="B1198" s="166" t="str">
        <f>IFERROR(__xludf.DUMMYFUNCTION("""COMPUTED_VALUE"""),"BookingCom")</f>
        <v>BookingCom</v>
      </c>
      <c r="C1198" s="166" t="str">
        <f>IFERROR(__xludf.DUMMYFUNCTION("""COMPUTED_VALUE"""),"Jose Manuel Rodriguez Zarate ")</f>
        <v>Jose Manuel Rodriguez Zarate </v>
      </c>
      <c r="D1198" s="165">
        <f>IFERROR(__xludf.DUMMYFUNCTION("""COMPUTED_VALUE"""),46280.0)</f>
        <v>46280</v>
      </c>
      <c r="E1198" s="165">
        <f>IFERROR(__xludf.DUMMYFUNCTION("""COMPUTED_VALUE"""),46282.0)</f>
        <v>46282</v>
      </c>
      <c r="F1198" s="377">
        <f>IFERROR(__xludf.DUMMYFUNCTION("""COMPUTED_VALUE"""),2.0)</f>
        <v>2</v>
      </c>
      <c r="G1198" s="377">
        <f>IFERROR(__xludf.DUMMYFUNCTION("""COMPUTED_VALUE"""),2.0)</f>
        <v>2</v>
      </c>
      <c r="H1198" s="378">
        <f>IFERROR(__xludf.DUMMYFUNCTION("""COMPUTED_VALUE"""),129.92)</f>
        <v>129.92</v>
      </c>
      <c r="I1198" s="378">
        <f>IFERROR(__xludf.DUMMYFUNCTION("""COMPUTED_VALUE"""),207.87199999999999)</f>
        <v>207.872</v>
      </c>
      <c r="J1198" s="377"/>
      <c r="K1198" s="166"/>
      <c r="L1198" s="166"/>
      <c r="M1198" s="166"/>
      <c r="N1198" s="170"/>
      <c r="O1198" s="171"/>
      <c r="P1198" s="171"/>
      <c r="Q1198" s="172"/>
      <c r="R1198" s="173"/>
      <c r="S1198" s="173"/>
      <c r="T1198" s="173"/>
      <c r="U1198" s="201"/>
      <c r="V1198" s="165"/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</row>
    <row r="1199">
      <c r="A1199" s="165">
        <f>IFERROR(__xludf.DUMMYFUNCTION("""COMPUTED_VALUE"""),8891329.0)</f>
        <v>8891329</v>
      </c>
      <c r="B1199" s="166" t="str">
        <f>IFERROR(__xludf.DUMMYFUNCTION("""COMPUTED_VALUE"""),"Reseliva")</f>
        <v>Reseliva</v>
      </c>
      <c r="C1199" s="166" t="str">
        <f>IFERROR(__xludf.DUMMYFUNCTION("""COMPUTED_VALUE"""),"Alejandro Argenal ")</f>
        <v>Alejandro Argenal </v>
      </c>
      <c r="D1199" s="165">
        <f>IFERROR(__xludf.DUMMYFUNCTION("""COMPUTED_VALUE"""),46285.0)</f>
        <v>46285</v>
      </c>
      <c r="E1199" s="165">
        <f>IFERROR(__xludf.DUMMYFUNCTION("""COMPUTED_VALUE"""),46287.0)</f>
        <v>46287</v>
      </c>
      <c r="F1199" s="377">
        <f>IFERROR(__xludf.DUMMYFUNCTION("""COMPUTED_VALUE"""),2.0)</f>
        <v>2</v>
      </c>
      <c r="G1199" s="377">
        <f>IFERROR(__xludf.DUMMYFUNCTION("""COMPUTED_VALUE"""),2.0)</f>
        <v>2</v>
      </c>
      <c r="H1199" s="378">
        <f>IFERROR(__xludf.DUMMYFUNCTION("""COMPUTED_VALUE"""),197.73)</f>
        <v>197.73</v>
      </c>
      <c r="I1199" s="378">
        <f>IFERROR(__xludf.DUMMYFUNCTION("""COMPUTED_VALUE"""),391.50539999999995)</f>
        <v>391.5054</v>
      </c>
      <c r="J1199" s="377"/>
      <c r="K1199" s="166"/>
      <c r="L1199" s="166"/>
      <c r="M1199" s="166"/>
      <c r="N1199" s="170"/>
      <c r="O1199" s="171"/>
      <c r="P1199" s="171"/>
      <c r="Q1199" s="172"/>
      <c r="R1199" s="173"/>
      <c r="S1199" s="173"/>
      <c r="T1199" s="173"/>
      <c r="U1199" s="174"/>
      <c r="V1199" s="165"/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</row>
    <row r="1200">
      <c r="A1200" s="165">
        <f>IFERROR(__xludf.DUMMYFUNCTION("""COMPUTED_VALUE"""),8893500.0)</f>
        <v>8893500</v>
      </c>
      <c r="B1200" s="166" t="str">
        <f>IFERROR(__xludf.DUMMYFUNCTION("""COMPUTED_VALUE"""),"BookingCom")</f>
        <v>BookingCom</v>
      </c>
      <c r="C1200" s="166" t="str">
        <f>IFERROR(__xludf.DUMMYFUNCTION("""COMPUTED_VALUE"""),"Juan Cardona ")</f>
        <v>Juan Cardona </v>
      </c>
      <c r="D1200" s="165">
        <f>IFERROR(__xludf.DUMMYFUNCTION("""COMPUTED_VALUE"""),46253.0)</f>
        <v>46253</v>
      </c>
      <c r="E1200" s="165">
        <f>IFERROR(__xludf.DUMMYFUNCTION("""COMPUTED_VALUE"""),46254.0)</f>
        <v>46254</v>
      </c>
      <c r="F1200" s="377">
        <f>IFERROR(__xludf.DUMMYFUNCTION("""COMPUTED_VALUE"""),1.0)</f>
        <v>1</v>
      </c>
      <c r="G1200" s="377">
        <f>IFERROR(__xludf.DUMMYFUNCTION("""COMPUTED_VALUE"""),2.0)</f>
        <v>2</v>
      </c>
      <c r="H1200" s="378">
        <f>IFERROR(__xludf.DUMMYFUNCTION("""COMPUTED_VALUE"""),89.92)</f>
        <v>89.92</v>
      </c>
      <c r="I1200" s="378">
        <f>IFERROR(__xludf.DUMMYFUNCTION("""COMPUTED_VALUE"""),71.936)</f>
        <v>71.936</v>
      </c>
      <c r="J1200" s="377"/>
      <c r="K1200" s="166"/>
      <c r="L1200" s="166"/>
      <c r="M1200" s="166"/>
      <c r="N1200" s="170"/>
      <c r="O1200" s="171"/>
      <c r="P1200" s="171"/>
      <c r="Q1200" s="172"/>
      <c r="R1200" s="173"/>
      <c r="S1200" s="173"/>
      <c r="T1200" s="173"/>
      <c r="U1200" s="201"/>
      <c r="V1200" s="165"/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</row>
    <row r="1201">
      <c r="A1201" s="165">
        <f>IFERROR(__xludf.DUMMYFUNCTION("""COMPUTED_VALUE"""),8894743.0)</f>
        <v>8894743</v>
      </c>
      <c r="B1201" s="166" t="str">
        <f>IFERROR(__xludf.DUMMYFUNCTION("""COMPUTED_VALUE"""),"Expedia Affiliate Network")</f>
        <v>Expedia Affiliate Network</v>
      </c>
      <c r="C1201" s="166" t="str">
        <f>IFERROR(__xludf.DUMMYFUNCTION("""COMPUTED_VALUE"""),"Laura Schliz ")</f>
        <v>Laura Schliz </v>
      </c>
      <c r="D1201" s="165">
        <f>IFERROR(__xludf.DUMMYFUNCTION("""COMPUTED_VALUE"""),46469.0)</f>
        <v>46469</v>
      </c>
      <c r="E1201" s="165">
        <f>IFERROR(__xludf.DUMMYFUNCTION("""COMPUTED_VALUE"""),46474.0)</f>
        <v>46474</v>
      </c>
      <c r="F1201" s="377">
        <f>IFERROR(__xludf.DUMMYFUNCTION("""COMPUTED_VALUE"""),5.0)</f>
        <v>5</v>
      </c>
      <c r="G1201" s="377">
        <f>IFERROR(__xludf.DUMMYFUNCTION("""COMPUTED_VALUE"""),3.0)</f>
        <v>3</v>
      </c>
      <c r="H1201" s="378">
        <f>IFERROR(__xludf.DUMMYFUNCTION("""COMPUTED_VALUE"""),0.0)</f>
        <v>0</v>
      </c>
      <c r="I1201" s="378">
        <f>IFERROR(__xludf.DUMMYFUNCTION("""COMPUTED_VALUE"""),0.0)</f>
        <v>0</v>
      </c>
      <c r="J1201" s="377"/>
      <c r="K1201" s="166"/>
      <c r="L1201" s="166"/>
      <c r="M1201" s="166"/>
      <c r="N1201" s="170"/>
      <c r="O1201" s="171"/>
      <c r="P1201" s="171"/>
      <c r="Q1201" s="172"/>
      <c r="R1201" s="173"/>
      <c r="S1201" s="173"/>
      <c r="T1201" s="173"/>
      <c r="U1201" s="201"/>
      <c r="V1201" s="165"/>
      <c r="W1201" s="35"/>
      <c r="X1201" s="35"/>
      <c r="Y1201" s="35"/>
      <c r="Z1201" s="35"/>
      <c r="AA1201" s="35"/>
      <c r="AB1201" s="35"/>
      <c r="AC1201" s="35"/>
      <c r="AD1201" s="35"/>
      <c r="AE1201" s="35"/>
      <c r="AF1201" s="35"/>
      <c r="AG1201" s="35"/>
      <c r="AH1201" s="35"/>
      <c r="AI1201" s="35"/>
    </row>
    <row r="1202">
      <c r="A1202" s="165">
        <f>IFERROR(__xludf.DUMMYFUNCTION("""COMPUTED_VALUE"""),8896221.0)</f>
        <v>8896221</v>
      </c>
      <c r="B1202" s="166" t="str">
        <f>IFERROR(__xludf.DUMMYFUNCTION("""COMPUTED_VALUE"""),"BookingCom")</f>
        <v>BookingCom</v>
      </c>
      <c r="C1202" s="166" t="str">
        <f>IFERROR(__xludf.DUMMYFUNCTION("""COMPUTED_VALUE"""),"Isabel Loschner ")</f>
        <v>Isabel Loschner </v>
      </c>
      <c r="D1202" s="165">
        <f>IFERROR(__xludf.DUMMYFUNCTION("""COMPUTED_VALUE"""),46278.0)</f>
        <v>46278</v>
      </c>
      <c r="E1202" s="165">
        <f>IFERROR(__xludf.DUMMYFUNCTION("""COMPUTED_VALUE"""),46281.0)</f>
        <v>46281</v>
      </c>
      <c r="F1202" s="377">
        <f>IFERROR(__xludf.DUMMYFUNCTION("""COMPUTED_VALUE"""),3.0)</f>
        <v>3</v>
      </c>
      <c r="G1202" s="377">
        <f>IFERROR(__xludf.DUMMYFUNCTION("""COMPUTED_VALUE"""),2.0)</f>
        <v>2</v>
      </c>
      <c r="H1202" s="378">
        <f>IFERROR(__xludf.DUMMYFUNCTION("""COMPUTED_VALUE"""),179.96)</f>
        <v>179.96</v>
      </c>
      <c r="I1202" s="378">
        <f>IFERROR(__xludf.DUMMYFUNCTION("""COMPUTED_VALUE"""),431.90400000000005)</f>
        <v>431.904</v>
      </c>
      <c r="J1202" s="377"/>
      <c r="K1202" s="166"/>
      <c r="L1202" s="166"/>
      <c r="M1202" s="166"/>
      <c r="N1202" s="170"/>
      <c r="O1202" s="171"/>
      <c r="P1202" s="171"/>
      <c r="Q1202" s="172"/>
      <c r="R1202" s="173"/>
      <c r="S1202" s="173"/>
      <c r="T1202" s="173"/>
      <c r="U1202" s="201"/>
      <c r="V1202" s="16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</row>
    <row r="1203">
      <c r="A1203" s="165">
        <f>IFERROR(__xludf.DUMMYFUNCTION("""COMPUTED_VALUE"""),8896902.0)</f>
        <v>8896902</v>
      </c>
      <c r="B1203" s="166" t="str">
        <f>IFERROR(__xludf.DUMMYFUNCTION("""COMPUTED_VALUE"""),"BookingCom")</f>
        <v>BookingCom</v>
      </c>
      <c r="C1203" s="166" t="str">
        <f>IFERROR(__xludf.DUMMYFUNCTION("""COMPUTED_VALUE"""),"Fernando Fernandez ")</f>
        <v>Fernando Fernandez </v>
      </c>
      <c r="D1203" s="165">
        <f>IFERROR(__xludf.DUMMYFUNCTION("""COMPUTED_VALUE"""),46242.0)</f>
        <v>46242</v>
      </c>
      <c r="E1203" s="165">
        <f>IFERROR(__xludf.DUMMYFUNCTION("""COMPUTED_VALUE"""),46243.0)</f>
        <v>46243</v>
      </c>
      <c r="F1203" s="377">
        <f>IFERROR(__xludf.DUMMYFUNCTION("""COMPUTED_VALUE"""),1.0)</f>
        <v>1</v>
      </c>
      <c r="G1203" s="377">
        <f>IFERROR(__xludf.DUMMYFUNCTION("""COMPUTED_VALUE"""),3.0)</f>
        <v>3</v>
      </c>
      <c r="H1203" s="378">
        <f>IFERROR(__xludf.DUMMYFUNCTION("""COMPUTED_VALUE"""),94.59)</f>
        <v>94.59</v>
      </c>
      <c r="I1203" s="378">
        <f>IFERROR(__xludf.DUMMYFUNCTION("""COMPUTED_VALUE"""),75.67200000000001)</f>
        <v>75.672</v>
      </c>
      <c r="J1203" s="377"/>
      <c r="K1203" s="166"/>
      <c r="L1203" s="166"/>
      <c r="M1203" s="166"/>
      <c r="N1203" s="170"/>
      <c r="O1203" s="171"/>
      <c r="P1203" s="171"/>
      <c r="Q1203" s="172"/>
      <c r="R1203" s="173"/>
      <c r="S1203" s="173"/>
      <c r="T1203" s="173"/>
      <c r="U1203" s="201"/>
      <c r="V1203" s="16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</row>
    <row r="1204">
      <c r="A1204" s="165">
        <f>IFERROR(__xludf.DUMMYFUNCTION("""COMPUTED_VALUE"""),8899882.0)</f>
        <v>8899882</v>
      </c>
      <c r="B1204" s="166" t="str">
        <f>IFERROR(__xludf.DUMMYFUNCTION("""COMPUTED_VALUE"""),"BookingCom")</f>
        <v>BookingCom</v>
      </c>
      <c r="C1204" s="166" t="str">
        <f>IFERROR(__xludf.DUMMYFUNCTION("""COMPUTED_VALUE"""),"rosettano navarra ")</f>
        <v>rosettano navarra </v>
      </c>
      <c r="D1204" s="165">
        <f>IFERROR(__xludf.DUMMYFUNCTION("""COMPUTED_VALUE"""),46242.0)</f>
        <v>46242</v>
      </c>
      <c r="E1204" s="165">
        <f>IFERROR(__xludf.DUMMYFUNCTION("""COMPUTED_VALUE"""),46243.0)</f>
        <v>46243</v>
      </c>
      <c r="F1204" s="377">
        <f>IFERROR(__xludf.DUMMYFUNCTION("""COMPUTED_VALUE"""),1.0)</f>
        <v>1</v>
      </c>
      <c r="G1204" s="377">
        <f>IFERROR(__xludf.DUMMYFUNCTION("""COMPUTED_VALUE"""),3.0)</f>
        <v>3</v>
      </c>
      <c r="H1204" s="378">
        <f>IFERROR(__xludf.DUMMYFUNCTION("""COMPUTED_VALUE"""),147.06)</f>
        <v>147.06</v>
      </c>
      <c r="I1204" s="378">
        <f>IFERROR(__xludf.DUMMYFUNCTION("""COMPUTED_VALUE"""),117.64800000000001)</f>
        <v>117.648</v>
      </c>
      <c r="J1204" s="377"/>
      <c r="K1204" s="166"/>
      <c r="L1204" s="166"/>
      <c r="M1204" s="205"/>
      <c r="N1204" s="170"/>
      <c r="O1204" s="171"/>
      <c r="P1204" s="171"/>
      <c r="Q1204" s="172"/>
      <c r="R1204" s="173"/>
      <c r="S1204" s="173"/>
      <c r="T1204" s="173"/>
      <c r="U1204" s="201"/>
      <c r="V1204" s="16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</row>
    <row r="1205">
      <c r="A1205" s="165">
        <f>IFERROR(__xludf.DUMMYFUNCTION("""COMPUTED_VALUE"""),8899882.0)</f>
        <v>8899882</v>
      </c>
      <c r="B1205" s="166" t="str">
        <f>IFERROR(__xludf.DUMMYFUNCTION("""COMPUTED_VALUE"""),"BookingCom")</f>
        <v>BookingCom</v>
      </c>
      <c r="C1205" s="166" t="str">
        <f>IFERROR(__xludf.DUMMYFUNCTION("""COMPUTED_VALUE"""),"rosettano navarra ")</f>
        <v>rosettano navarra </v>
      </c>
      <c r="D1205" s="165">
        <f>IFERROR(__xludf.DUMMYFUNCTION("""COMPUTED_VALUE"""),46242.0)</f>
        <v>46242</v>
      </c>
      <c r="E1205" s="165">
        <f>IFERROR(__xludf.DUMMYFUNCTION("""COMPUTED_VALUE"""),46243.0)</f>
        <v>46243</v>
      </c>
      <c r="F1205" s="377">
        <f>IFERROR(__xludf.DUMMYFUNCTION("""COMPUTED_VALUE"""),1.0)</f>
        <v>1</v>
      </c>
      <c r="G1205" s="377">
        <f>IFERROR(__xludf.DUMMYFUNCTION("""COMPUTED_VALUE"""),3.0)</f>
        <v>3</v>
      </c>
      <c r="H1205" s="378">
        <f>IFERROR(__xludf.DUMMYFUNCTION("""COMPUTED_VALUE"""),147.06)</f>
        <v>147.06</v>
      </c>
      <c r="I1205" s="378">
        <f>IFERROR(__xludf.DUMMYFUNCTION("""COMPUTED_VALUE"""),117.64800000000001)</f>
        <v>117.648</v>
      </c>
      <c r="J1205" s="377"/>
      <c r="K1205" s="166"/>
      <c r="L1205" s="166"/>
      <c r="M1205" s="205"/>
      <c r="N1205" s="170"/>
      <c r="O1205" s="171"/>
      <c r="P1205" s="171"/>
      <c r="Q1205" s="172"/>
      <c r="R1205" s="173"/>
      <c r="S1205" s="173"/>
      <c r="T1205" s="173"/>
      <c r="U1205" s="201"/>
      <c r="V1205" s="16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</row>
    <row r="1206">
      <c r="A1206" s="165">
        <f>IFERROR(__xludf.DUMMYFUNCTION("""COMPUTED_VALUE"""),8901424.0)</f>
        <v>8901424</v>
      </c>
      <c r="B1206" s="166" t="str">
        <f>IFERROR(__xludf.DUMMYFUNCTION("""COMPUTED_VALUE"""),"BookingCom")</f>
        <v>BookingCom</v>
      </c>
      <c r="C1206" s="166" t="str">
        <f>IFERROR(__xludf.DUMMYFUNCTION("""COMPUTED_VALUE"""),"Christian Ullmann ")</f>
        <v>Christian Ullmann </v>
      </c>
      <c r="D1206" s="165">
        <f>IFERROR(__xludf.DUMMYFUNCTION("""COMPUTED_VALUE"""),46246.0)</f>
        <v>46246</v>
      </c>
      <c r="E1206" s="165">
        <f>IFERROR(__xludf.DUMMYFUNCTION("""COMPUTED_VALUE"""),46248.0)</f>
        <v>46248</v>
      </c>
      <c r="F1206" s="377">
        <f>IFERROR(__xludf.DUMMYFUNCTION("""COMPUTED_VALUE"""),2.0)</f>
        <v>2</v>
      </c>
      <c r="G1206" s="377">
        <f>IFERROR(__xludf.DUMMYFUNCTION("""COMPUTED_VALUE"""),2.0)</f>
        <v>2</v>
      </c>
      <c r="H1206" s="378">
        <f>IFERROR(__xludf.DUMMYFUNCTION("""COMPUTED_VALUE"""),74.7)</f>
        <v>74.7</v>
      </c>
      <c r="I1206" s="378">
        <f>IFERROR(__xludf.DUMMYFUNCTION("""COMPUTED_VALUE"""),119.52000000000001)</f>
        <v>119.52</v>
      </c>
      <c r="J1206" s="377"/>
      <c r="K1206" s="166"/>
      <c r="L1206" s="166"/>
      <c r="M1206" s="166"/>
      <c r="N1206" s="170"/>
      <c r="O1206" s="171"/>
      <c r="P1206" s="171"/>
      <c r="Q1206" s="172"/>
      <c r="R1206" s="173"/>
      <c r="S1206" s="173"/>
      <c r="T1206" s="173"/>
      <c r="U1206" s="201"/>
      <c r="V1206" s="165"/>
      <c r="W1206" s="35"/>
      <c r="X1206" s="35"/>
      <c r="Y1206" s="35"/>
      <c r="Z1206" s="35"/>
      <c r="AA1206" s="35"/>
      <c r="AB1206" s="35"/>
      <c r="AC1206" s="35"/>
      <c r="AD1206" s="35"/>
      <c r="AE1206" s="35"/>
      <c r="AF1206" s="35"/>
      <c r="AG1206" s="35"/>
      <c r="AH1206" s="35"/>
      <c r="AI1206" s="35"/>
    </row>
    <row r="1207">
      <c r="A1207" s="165">
        <f>IFERROR(__xludf.DUMMYFUNCTION("""COMPUTED_VALUE"""),8902181.0)</f>
        <v>8902181</v>
      </c>
      <c r="B1207" s="166" t="str">
        <f>IFERROR(__xludf.DUMMYFUNCTION("""COMPUTED_VALUE"""),"BookingCom")</f>
        <v>BookingCom</v>
      </c>
      <c r="C1207" s="166" t="str">
        <f>IFERROR(__xludf.DUMMYFUNCTION("""COMPUTED_VALUE"""),"cristina jaramillo ")</f>
        <v>cristina jaramillo </v>
      </c>
      <c r="D1207" s="165">
        <f>IFERROR(__xludf.DUMMYFUNCTION("""COMPUTED_VALUE"""),46269.0)</f>
        <v>46269</v>
      </c>
      <c r="E1207" s="165">
        <f>IFERROR(__xludf.DUMMYFUNCTION("""COMPUTED_VALUE"""),46270.0)</f>
        <v>46270</v>
      </c>
      <c r="F1207" s="377">
        <f>IFERROR(__xludf.DUMMYFUNCTION("""COMPUTED_VALUE"""),1.0)</f>
        <v>1</v>
      </c>
      <c r="G1207" s="377">
        <f>IFERROR(__xludf.DUMMYFUNCTION("""COMPUTED_VALUE"""),2.0)</f>
        <v>2</v>
      </c>
      <c r="H1207" s="378">
        <f>IFERROR(__xludf.DUMMYFUNCTION("""COMPUTED_VALUE"""),169.82)</f>
        <v>169.82</v>
      </c>
      <c r="I1207" s="378">
        <f>IFERROR(__xludf.DUMMYFUNCTION("""COMPUTED_VALUE"""),135.856)</f>
        <v>135.856</v>
      </c>
      <c r="J1207" s="377"/>
      <c r="K1207" s="166"/>
      <c r="L1207" s="166"/>
      <c r="M1207" s="166"/>
      <c r="N1207" s="170"/>
      <c r="O1207" s="171"/>
      <c r="P1207" s="171"/>
      <c r="Q1207" s="172"/>
      <c r="R1207" s="173"/>
      <c r="S1207" s="173"/>
      <c r="T1207" s="173"/>
      <c r="U1207" s="201"/>
      <c r="V1207" s="165"/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</row>
    <row r="1208">
      <c r="A1208" s="165">
        <f>IFERROR(__xludf.DUMMYFUNCTION("""COMPUTED_VALUE"""),8904400.0)</f>
        <v>8904400</v>
      </c>
      <c r="B1208" s="166" t="str">
        <f>IFERROR(__xludf.DUMMYFUNCTION("""COMPUTED_VALUE"""),"BookingCom")</f>
        <v>BookingCom</v>
      </c>
      <c r="C1208" s="166" t="str">
        <f>IFERROR(__xludf.DUMMYFUNCTION("""COMPUTED_VALUE"""),"Eleanor Robinson ")</f>
        <v>Eleanor Robinson </v>
      </c>
      <c r="D1208" s="165">
        <f>IFERROR(__xludf.DUMMYFUNCTION("""COMPUTED_VALUE"""),46278.0)</f>
        <v>46278</v>
      </c>
      <c r="E1208" s="165">
        <f>IFERROR(__xludf.DUMMYFUNCTION("""COMPUTED_VALUE"""),46282.0)</f>
        <v>46282</v>
      </c>
      <c r="F1208" s="377">
        <f>IFERROR(__xludf.DUMMYFUNCTION("""COMPUTED_VALUE"""),4.0)</f>
        <v>4</v>
      </c>
      <c r="G1208" s="377">
        <f>IFERROR(__xludf.DUMMYFUNCTION("""COMPUTED_VALUE"""),2.0)</f>
        <v>2</v>
      </c>
      <c r="H1208" s="378">
        <f>IFERROR(__xludf.DUMMYFUNCTION("""COMPUTED_VALUE"""),196.95)</f>
        <v>196.95</v>
      </c>
      <c r="I1208" s="378">
        <f>IFERROR(__xludf.DUMMYFUNCTION("""COMPUTED_VALUE"""),630.24)</f>
        <v>630.24</v>
      </c>
      <c r="J1208" s="377"/>
      <c r="K1208" s="166"/>
      <c r="L1208" s="166"/>
      <c r="M1208" s="166"/>
      <c r="N1208" s="170"/>
      <c r="O1208" s="171"/>
      <c r="P1208" s="171"/>
      <c r="Q1208" s="172"/>
      <c r="R1208" s="173"/>
      <c r="S1208" s="173"/>
      <c r="T1208" s="173"/>
      <c r="U1208" s="201"/>
      <c r="V1208" s="165"/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</row>
    <row r="1209">
      <c r="A1209" s="165">
        <f>IFERROR(__xludf.DUMMYFUNCTION("""COMPUTED_VALUE"""),8905117.0)</f>
        <v>8905117</v>
      </c>
      <c r="B1209" s="166" t="str">
        <f>IFERROR(__xludf.DUMMYFUNCTION("""COMPUTED_VALUE"""),"BookingCom")</f>
        <v>BookingCom</v>
      </c>
      <c r="C1209" s="166" t="str">
        <f>IFERROR(__xludf.DUMMYFUNCTION("""COMPUTED_VALUE"""),"Sanne Feenstra ")</f>
        <v>Sanne Feenstra </v>
      </c>
      <c r="D1209" s="165">
        <f>IFERROR(__xludf.DUMMYFUNCTION("""COMPUTED_VALUE"""),46335.0)</f>
        <v>46335</v>
      </c>
      <c r="E1209" s="165">
        <f>IFERROR(__xludf.DUMMYFUNCTION("""COMPUTED_VALUE"""),46340.0)</f>
        <v>46340</v>
      </c>
      <c r="F1209" s="377">
        <f>IFERROR(__xludf.DUMMYFUNCTION("""COMPUTED_VALUE"""),5.0)</f>
        <v>5</v>
      </c>
      <c r="G1209" s="377">
        <f>IFERROR(__xludf.DUMMYFUNCTION("""COMPUTED_VALUE"""),2.0)</f>
        <v>2</v>
      </c>
      <c r="H1209" s="378">
        <f>IFERROR(__xludf.DUMMYFUNCTION("""COMPUTED_VALUE"""),201.45)</f>
        <v>201.45</v>
      </c>
      <c r="I1209" s="378">
        <f>IFERROR(__xludf.DUMMYFUNCTION("""COMPUTED_VALUE"""),805.8)</f>
        <v>805.8</v>
      </c>
      <c r="J1209" s="377"/>
      <c r="K1209" s="166"/>
      <c r="L1209" s="166"/>
      <c r="M1209" s="166"/>
      <c r="N1209" s="170"/>
      <c r="O1209" s="171"/>
      <c r="P1209" s="171"/>
      <c r="Q1209" s="172"/>
      <c r="R1209" s="173"/>
      <c r="S1209" s="173"/>
      <c r="T1209" s="173"/>
      <c r="U1209" s="201"/>
      <c r="V1209" s="165"/>
      <c r="W1209" s="35"/>
      <c r="X1209" s="35"/>
      <c r="Y1209" s="35"/>
      <c r="Z1209" s="35"/>
      <c r="AA1209" s="35"/>
      <c r="AB1209" s="35"/>
      <c r="AC1209" s="35"/>
      <c r="AD1209" s="35"/>
      <c r="AE1209" s="35"/>
      <c r="AF1209" s="35"/>
      <c r="AG1209" s="35"/>
      <c r="AH1209" s="35"/>
      <c r="AI1209" s="35"/>
    </row>
    <row r="1210">
      <c r="A1210" s="165">
        <f>IFERROR(__xludf.DUMMYFUNCTION("""COMPUTED_VALUE"""),8906402.0)</f>
        <v>8906402</v>
      </c>
      <c r="B1210" s="166" t="str">
        <f>IFERROR(__xludf.DUMMYFUNCTION("""COMPUTED_VALUE"""),"BookingCom")</f>
        <v>BookingCom</v>
      </c>
      <c r="C1210" s="166" t="str">
        <f>IFERROR(__xludf.DUMMYFUNCTION("""COMPUTED_VALUE"""),"Valentina De Dominicis ")</f>
        <v>Valentina De Dominicis </v>
      </c>
      <c r="D1210" s="165">
        <f>IFERROR(__xludf.DUMMYFUNCTION("""COMPUTED_VALUE"""),46381.0)</f>
        <v>46381</v>
      </c>
      <c r="E1210" s="165">
        <f>IFERROR(__xludf.DUMMYFUNCTION("""COMPUTED_VALUE"""),46385.0)</f>
        <v>46385</v>
      </c>
      <c r="F1210" s="377">
        <f>IFERROR(__xludf.DUMMYFUNCTION("""COMPUTED_VALUE"""),4.0)</f>
        <v>4</v>
      </c>
      <c r="G1210" s="377">
        <f>IFERROR(__xludf.DUMMYFUNCTION("""COMPUTED_VALUE"""),2.0)</f>
        <v>2</v>
      </c>
      <c r="H1210" s="378">
        <f>IFERROR(__xludf.DUMMYFUNCTION("""COMPUTED_VALUE"""),191.77)</f>
        <v>191.77</v>
      </c>
      <c r="I1210" s="378">
        <f>IFERROR(__xludf.DUMMYFUNCTION("""COMPUTED_VALUE"""),613.6640000000001)</f>
        <v>613.664</v>
      </c>
      <c r="J1210" s="377"/>
      <c r="K1210" s="166"/>
      <c r="L1210" s="166"/>
      <c r="M1210" s="166"/>
      <c r="N1210" s="170"/>
      <c r="O1210" s="171"/>
      <c r="P1210" s="171"/>
      <c r="Q1210" s="172"/>
      <c r="R1210" s="173"/>
      <c r="S1210" s="173"/>
      <c r="T1210" s="173"/>
      <c r="U1210" s="201"/>
      <c r="V1210" s="165"/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</row>
    <row r="1211">
      <c r="A1211" s="165">
        <f>IFERROR(__xludf.DUMMYFUNCTION("""COMPUTED_VALUE"""),8908879.0)</f>
        <v>8908879</v>
      </c>
      <c r="B1211" s="166" t="str">
        <f>IFERROR(__xludf.DUMMYFUNCTION("""COMPUTED_VALUE"""),"Expedia Affiliate Network")</f>
        <v>Expedia Affiliate Network</v>
      </c>
      <c r="C1211" s="166" t="str">
        <f>IFERROR(__xludf.DUMMYFUNCTION("""COMPUTED_VALUE"""),"ANTONIO DE LEO ")</f>
        <v>ANTONIO DE LEO </v>
      </c>
      <c r="D1211" s="165">
        <f>IFERROR(__xludf.DUMMYFUNCTION("""COMPUTED_VALUE"""),46321.0)</f>
        <v>46321</v>
      </c>
      <c r="E1211" s="165">
        <f>IFERROR(__xludf.DUMMYFUNCTION("""COMPUTED_VALUE"""),46323.0)</f>
        <v>46323</v>
      </c>
      <c r="F1211" s="377">
        <f>IFERROR(__xludf.DUMMYFUNCTION("""COMPUTED_VALUE"""),2.0)</f>
        <v>2</v>
      </c>
      <c r="G1211" s="377">
        <f>IFERROR(__xludf.DUMMYFUNCTION("""COMPUTED_VALUE"""),3.0)</f>
        <v>3</v>
      </c>
      <c r="H1211" s="378">
        <f>IFERROR(__xludf.DUMMYFUNCTION("""COMPUTED_VALUE"""),239.76)</f>
        <v>239.76</v>
      </c>
      <c r="I1211" s="378">
        <f>IFERROR(__xludf.DUMMYFUNCTION("""COMPUTED_VALUE"""),383.616)</f>
        <v>383.616</v>
      </c>
      <c r="J1211" s="377"/>
      <c r="K1211" s="166"/>
      <c r="L1211" s="166"/>
      <c r="M1211" s="166"/>
      <c r="N1211" s="170"/>
      <c r="O1211" s="171"/>
      <c r="P1211" s="171"/>
      <c r="Q1211" s="172"/>
      <c r="R1211" s="173"/>
      <c r="S1211" s="173"/>
      <c r="T1211" s="173"/>
      <c r="U1211" s="201"/>
      <c r="V1211" s="165"/>
      <c r="W1211" s="188"/>
      <c r="X1211" s="188"/>
      <c r="Y1211" s="188"/>
      <c r="Z1211" s="188"/>
      <c r="AA1211" s="188"/>
      <c r="AB1211" s="188"/>
      <c r="AC1211" s="188"/>
      <c r="AD1211" s="188"/>
      <c r="AE1211" s="188"/>
      <c r="AF1211" s="188"/>
      <c r="AG1211" s="188"/>
      <c r="AH1211" s="188"/>
      <c r="AI1211" s="188"/>
    </row>
    <row r="1212">
      <c r="A1212" s="165">
        <f>IFERROR(__xludf.DUMMYFUNCTION("""COMPUTED_VALUE"""),8908880.0)</f>
        <v>8908880</v>
      </c>
      <c r="B1212" s="166" t="str">
        <f>IFERROR(__xludf.DUMMYFUNCTION("""COMPUTED_VALUE"""),"Expedia Affiliate Network")</f>
        <v>Expedia Affiliate Network</v>
      </c>
      <c r="C1212" s="166" t="str">
        <f>IFERROR(__xludf.DUMMYFUNCTION("""COMPUTED_VALUE"""),"SIMONA POLITO ")</f>
        <v>SIMONA POLITO </v>
      </c>
      <c r="D1212" s="165">
        <f>IFERROR(__xludf.DUMMYFUNCTION("""COMPUTED_VALUE"""),46321.0)</f>
        <v>46321</v>
      </c>
      <c r="E1212" s="165">
        <f>IFERROR(__xludf.DUMMYFUNCTION("""COMPUTED_VALUE"""),46323.0)</f>
        <v>46323</v>
      </c>
      <c r="F1212" s="377">
        <f>IFERROR(__xludf.DUMMYFUNCTION("""COMPUTED_VALUE"""),2.0)</f>
        <v>2</v>
      </c>
      <c r="G1212" s="377">
        <f>IFERROR(__xludf.DUMMYFUNCTION("""COMPUTED_VALUE"""),2.0)</f>
        <v>2</v>
      </c>
      <c r="H1212" s="378">
        <f>IFERROR(__xludf.DUMMYFUNCTION("""COMPUTED_VALUE"""),239.76)</f>
        <v>239.76</v>
      </c>
      <c r="I1212" s="378">
        <f>IFERROR(__xludf.DUMMYFUNCTION("""COMPUTED_VALUE"""),383.616)</f>
        <v>383.616</v>
      </c>
      <c r="J1212" s="377"/>
      <c r="K1212" s="166"/>
      <c r="L1212" s="166"/>
      <c r="M1212" s="166"/>
      <c r="N1212" s="170"/>
      <c r="O1212" s="171"/>
      <c r="P1212" s="171"/>
      <c r="Q1212" s="172"/>
      <c r="R1212" s="173"/>
      <c r="S1212" s="173"/>
      <c r="T1212" s="173"/>
      <c r="U1212" s="201"/>
      <c r="V1212" s="165"/>
      <c r="W1212" s="188"/>
      <c r="X1212" s="188"/>
      <c r="Y1212" s="188"/>
      <c r="Z1212" s="188"/>
      <c r="AA1212" s="188"/>
      <c r="AB1212" s="188"/>
      <c r="AC1212" s="188"/>
      <c r="AD1212" s="188"/>
      <c r="AE1212" s="188"/>
      <c r="AF1212" s="188"/>
      <c r="AG1212" s="188"/>
      <c r="AH1212" s="188"/>
      <c r="AI1212" s="188"/>
    </row>
    <row r="1213">
      <c r="A1213" s="165">
        <f>IFERROR(__xludf.DUMMYFUNCTION("""COMPUTED_VALUE"""),8909086.0)</f>
        <v>8909086</v>
      </c>
      <c r="B1213" s="166" t="str">
        <f>IFERROR(__xludf.DUMMYFUNCTION("""COMPUTED_VALUE"""),"BookingCom")</f>
        <v>BookingCom</v>
      </c>
      <c r="C1213" s="166" t="str">
        <f>IFERROR(__xludf.DUMMYFUNCTION("""COMPUTED_VALUE"""),"Mickael Bouchot ")</f>
        <v>Mickael Bouchot </v>
      </c>
      <c r="D1213" s="165">
        <f>IFERROR(__xludf.DUMMYFUNCTION("""COMPUTED_VALUE"""),46290.0)</f>
        <v>46290</v>
      </c>
      <c r="E1213" s="165">
        <f>IFERROR(__xludf.DUMMYFUNCTION("""COMPUTED_VALUE"""),46291.0)</f>
        <v>46291</v>
      </c>
      <c r="F1213" s="377">
        <f>IFERROR(__xludf.DUMMYFUNCTION("""COMPUTED_VALUE"""),1.0)</f>
        <v>1</v>
      </c>
      <c r="G1213" s="377">
        <f>IFERROR(__xludf.DUMMYFUNCTION("""COMPUTED_VALUE"""),2.0)</f>
        <v>2</v>
      </c>
      <c r="H1213" s="378">
        <f>IFERROR(__xludf.DUMMYFUNCTION("""COMPUTED_VALUE"""),130.76)</f>
        <v>130.76</v>
      </c>
      <c r="I1213" s="378">
        <f>IFERROR(__xludf.DUMMYFUNCTION("""COMPUTED_VALUE"""),104.608)</f>
        <v>104.608</v>
      </c>
      <c r="J1213" s="377"/>
      <c r="K1213" s="166"/>
      <c r="L1213" s="166"/>
      <c r="M1213" s="205"/>
      <c r="N1213" s="170"/>
      <c r="O1213" s="171"/>
      <c r="P1213" s="171"/>
      <c r="Q1213" s="172"/>
      <c r="R1213" s="173"/>
      <c r="S1213" s="173"/>
      <c r="T1213" s="173"/>
      <c r="U1213" s="201"/>
      <c r="V1213" s="165"/>
      <c r="W1213" s="188"/>
      <c r="X1213" s="188"/>
      <c r="Y1213" s="188"/>
      <c r="Z1213" s="188"/>
      <c r="AA1213" s="188"/>
      <c r="AB1213" s="188"/>
      <c r="AC1213" s="188"/>
      <c r="AD1213" s="188"/>
      <c r="AE1213" s="188"/>
      <c r="AF1213" s="188"/>
      <c r="AG1213" s="188"/>
      <c r="AH1213" s="188"/>
      <c r="AI1213" s="188"/>
    </row>
    <row r="1214">
      <c r="A1214" s="165">
        <f>IFERROR(__xludf.DUMMYFUNCTION("""COMPUTED_VALUE"""),8909138.0)</f>
        <v>8909138</v>
      </c>
      <c r="B1214" s="166" t="str">
        <f>IFERROR(__xludf.DUMMYFUNCTION("""COMPUTED_VALUE"""),"Expedia Affiliate Network")</f>
        <v>Expedia Affiliate Network</v>
      </c>
      <c r="C1214" s="166" t="str">
        <f>IFERROR(__xludf.DUMMYFUNCTION("""COMPUTED_VALUE"""),"SIMONA POLITO ")</f>
        <v>SIMONA POLITO </v>
      </c>
      <c r="D1214" s="165">
        <f>IFERROR(__xludf.DUMMYFUNCTION("""COMPUTED_VALUE"""),46324.0)</f>
        <v>46324</v>
      </c>
      <c r="E1214" s="165">
        <f>IFERROR(__xludf.DUMMYFUNCTION("""COMPUTED_VALUE"""),46325.0)</f>
        <v>46325</v>
      </c>
      <c r="F1214" s="377">
        <f>IFERROR(__xludf.DUMMYFUNCTION("""COMPUTED_VALUE"""),1.0)</f>
        <v>1</v>
      </c>
      <c r="G1214" s="377">
        <f>IFERROR(__xludf.DUMMYFUNCTION("""COMPUTED_VALUE"""),2.0)</f>
        <v>2</v>
      </c>
      <c r="H1214" s="378">
        <f>IFERROR(__xludf.DUMMYFUNCTION("""COMPUTED_VALUE"""),239.76)</f>
        <v>239.76</v>
      </c>
      <c r="I1214" s="378">
        <f>IFERROR(__xludf.DUMMYFUNCTION("""COMPUTED_VALUE"""),191.808)</f>
        <v>191.808</v>
      </c>
      <c r="J1214" s="377"/>
      <c r="K1214" s="166"/>
      <c r="L1214" s="166"/>
      <c r="M1214" s="166"/>
      <c r="N1214" s="170"/>
      <c r="O1214" s="171"/>
      <c r="P1214" s="171"/>
      <c r="Q1214" s="172"/>
      <c r="R1214" s="173"/>
      <c r="S1214" s="173"/>
      <c r="T1214" s="173"/>
      <c r="U1214" s="201"/>
      <c r="V1214" s="165"/>
      <c r="W1214" s="188"/>
      <c r="X1214" s="188"/>
      <c r="Y1214" s="188"/>
      <c r="Z1214" s="188"/>
      <c r="AA1214" s="188"/>
      <c r="AB1214" s="188"/>
      <c r="AC1214" s="188"/>
      <c r="AD1214" s="188"/>
      <c r="AE1214" s="188"/>
      <c r="AF1214" s="188"/>
      <c r="AG1214" s="188"/>
      <c r="AH1214" s="188"/>
      <c r="AI1214" s="188"/>
    </row>
    <row r="1215">
      <c r="A1215" s="165">
        <f>IFERROR(__xludf.DUMMYFUNCTION("""COMPUTED_VALUE"""),8909137.0)</f>
        <v>8909137</v>
      </c>
      <c r="B1215" s="166" t="str">
        <f>IFERROR(__xludf.DUMMYFUNCTION("""COMPUTED_VALUE"""),"Expedia Affiliate Network")</f>
        <v>Expedia Affiliate Network</v>
      </c>
      <c r="C1215" s="166" t="str">
        <f>IFERROR(__xludf.DUMMYFUNCTION("""COMPUTED_VALUE"""),"ANTONIO DE LEO ")</f>
        <v>ANTONIO DE LEO </v>
      </c>
      <c r="D1215" s="165">
        <f>IFERROR(__xludf.DUMMYFUNCTION("""COMPUTED_VALUE"""),46324.0)</f>
        <v>46324</v>
      </c>
      <c r="E1215" s="165">
        <f>IFERROR(__xludf.DUMMYFUNCTION("""COMPUTED_VALUE"""),46325.0)</f>
        <v>46325</v>
      </c>
      <c r="F1215" s="377">
        <f>IFERROR(__xludf.DUMMYFUNCTION("""COMPUTED_VALUE"""),1.0)</f>
        <v>1</v>
      </c>
      <c r="G1215" s="377">
        <f>IFERROR(__xludf.DUMMYFUNCTION("""COMPUTED_VALUE"""),3.0)</f>
        <v>3</v>
      </c>
      <c r="H1215" s="378">
        <f>IFERROR(__xludf.DUMMYFUNCTION("""COMPUTED_VALUE"""),239.76)</f>
        <v>239.76</v>
      </c>
      <c r="I1215" s="378">
        <f>IFERROR(__xludf.DUMMYFUNCTION("""COMPUTED_VALUE"""),191.808)</f>
        <v>191.808</v>
      </c>
      <c r="J1215" s="377"/>
      <c r="K1215" s="166"/>
      <c r="L1215" s="166"/>
      <c r="M1215" s="166"/>
      <c r="N1215" s="170"/>
      <c r="O1215" s="171"/>
      <c r="P1215" s="171"/>
      <c r="Q1215" s="172"/>
      <c r="R1215" s="173"/>
      <c r="S1215" s="173"/>
      <c r="T1215" s="173"/>
      <c r="U1215" s="201"/>
      <c r="V1215" s="165"/>
      <c r="W1215" s="188"/>
      <c r="X1215" s="188"/>
      <c r="Y1215" s="188"/>
      <c r="Z1215" s="188"/>
      <c r="AA1215" s="188"/>
      <c r="AB1215" s="188"/>
      <c r="AC1215" s="188"/>
      <c r="AD1215" s="188"/>
      <c r="AE1215" s="188"/>
      <c r="AF1215" s="188"/>
      <c r="AG1215" s="188"/>
      <c r="AH1215" s="188"/>
      <c r="AI1215" s="188"/>
    </row>
    <row r="1216">
      <c r="A1216" s="165">
        <f>IFERROR(__xludf.DUMMYFUNCTION("""COMPUTED_VALUE"""),8909167.0)</f>
        <v>8909167</v>
      </c>
      <c r="B1216" s="166" t="str">
        <f>IFERROR(__xludf.DUMMYFUNCTION("""COMPUTED_VALUE"""),"BookingCom")</f>
        <v>BookingCom</v>
      </c>
      <c r="C1216" s="166" t="str">
        <f>IFERROR(__xludf.DUMMYFUNCTION("""COMPUTED_VALUE"""),"Emma Gough ")</f>
        <v>Emma Gough </v>
      </c>
      <c r="D1216" s="165">
        <f>IFERROR(__xludf.DUMMYFUNCTION("""COMPUTED_VALUE"""),46244.0)</f>
        <v>46244</v>
      </c>
      <c r="E1216" s="165">
        <f>IFERROR(__xludf.DUMMYFUNCTION("""COMPUTED_VALUE"""),46247.0)</f>
        <v>46247</v>
      </c>
      <c r="F1216" s="377">
        <f>IFERROR(__xludf.DUMMYFUNCTION("""COMPUTED_VALUE"""),3.0)</f>
        <v>3</v>
      </c>
      <c r="G1216" s="377">
        <f>IFERROR(__xludf.DUMMYFUNCTION("""COMPUTED_VALUE"""),5.0)</f>
        <v>5</v>
      </c>
      <c r="H1216" s="378">
        <f>IFERROR(__xludf.DUMMYFUNCTION("""COMPUTED_VALUE"""),290.21)</f>
        <v>290.21</v>
      </c>
      <c r="I1216" s="378">
        <f>IFERROR(__xludf.DUMMYFUNCTION("""COMPUTED_VALUE"""),696.504)</f>
        <v>696.504</v>
      </c>
      <c r="J1216" s="377"/>
      <c r="K1216" s="166"/>
      <c r="L1216" s="166"/>
      <c r="M1216" s="166"/>
      <c r="N1216" s="170"/>
      <c r="O1216" s="171"/>
      <c r="P1216" s="171"/>
      <c r="Q1216" s="172"/>
      <c r="R1216" s="173"/>
      <c r="S1216" s="173"/>
      <c r="T1216" s="173"/>
      <c r="U1216" s="201"/>
      <c r="V1216" s="165"/>
      <c r="W1216" s="36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</row>
    <row r="1217">
      <c r="A1217" s="165">
        <f>IFERROR(__xludf.DUMMYFUNCTION("""COMPUTED_VALUE"""),8910880.0)</f>
        <v>8910880</v>
      </c>
      <c r="B1217" s="166" t="str">
        <f>IFERROR(__xludf.DUMMYFUNCTION("""COMPUTED_VALUE"""),"BookingCom")</f>
        <v>BookingCom</v>
      </c>
      <c r="C1217" s="166" t="str">
        <f>IFERROR(__xludf.DUMMYFUNCTION("""COMPUTED_VALUE"""),"Laura Donaldson ")</f>
        <v>Laura Donaldson </v>
      </c>
      <c r="D1217" s="165">
        <f>IFERROR(__xludf.DUMMYFUNCTION("""COMPUTED_VALUE"""),46261.0)</f>
        <v>46261</v>
      </c>
      <c r="E1217" s="165">
        <f>IFERROR(__xludf.DUMMYFUNCTION("""COMPUTED_VALUE"""),46262.0)</f>
        <v>46262</v>
      </c>
      <c r="F1217" s="377">
        <f>IFERROR(__xludf.DUMMYFUNCTION("""COMPUTED_VALUE"""),1.0)</f>
        <v>1</v>
      </c>
      <c r="G1217" s="377">
        <f>IFERROR(__xludf.DUMMYFUNCTION("""COMPUTED_VALUE"""),2.0)</f>
        <v>2</v>
      </c>
      <c r="H1217" s="378">
        <f>IFERROR(__xludf.DUMMYFUNCTION("""COMPUTED_VALUE"""),80.04)</f>
        <v>80.04</v>
      </c>
      <c r="I1217" s="378">
        <f>IFERROR(__xludf.DUMMYFUNCTION("""COMPUTED_VALUE"""),64.03200000000001)</f>
        <v>64.032</v>
      </c>
      <c r="J1217" s="377"/>
      <c r="K1217" s="166"/>
      <c r="L1217" s="166"/>
      <c r="M1217" s="166"/>
      <c r="N1217" s="170"/>
      <c r="O1217" s="171"/>
      <c r="P1217" s="171"/>
      <c r="Q1217" s="172"/>
      <c r="R1217" s="173"/>
      <c r="S1217" s="173"/>
      <c r="T1217" s="173"/>
      <c r="U1217" s="201"/>
      <c r="V1217" s="165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</row>
    <row r="1218">
      <c r="A1218" s="165">
        <f>IFERROR(__xludf.DUMMYFUNCTION("""COMPUTED_VALUE"""),8912009.0)</f>
        <v>8912009</v>
      </c>
      <c r="B1218" s="166" t="str">
        <f>IFERROR(__xludf.DUMMYFUNCTION("""COMPUTED_VALUE"""),"BookingCom")</f>
        <v>BookingCom</v>
      </c>
      <c r="C1218" s="166" t="str">
        <f>IFERROR(__xludf.DUMMYFUNCTION("""COMPUTED_VALUE"""),"Nils Breuer ")</f>
        <v>Nils Breuer </v>
      </c>
      <c r="D1218" s="165">
        <f>IFERROR(__xludf.DUMMYFUNCTION("""COMPUTED_VALUE"""),46286.0)</f>
        <v>46286</v>
      </c>
      <c r="E1218" s="165">
        <f>IFERROR(__xludf.DUMMYFUNCTION("""COMPUTED_VALUE"""),46289.0)</f>
        <v>46289</v>
      </c>
      <c r="F1218" s="377">
        <f>IFERROR(__xludf.DUMMYFUNCTION("""COMPUTED_VALUE"""),3.0)</f>
        <v>3</v>
      </c>
      <c r="G1218" s="377">
        <f>IFERROR(__xludf.DUMMYFUNCTION("""COMPUTED_VALUE"""),2.0)</f>
        <v>2</v>
      </c>
      <c r="H1218" s="378">
        <f>IFERROR(__xludf.DUMMYFUNCTION("""COMPUTED_VALUE"""),124.10000000000001)</f>
        <v>124.1</v>
      </c>
      <c r="I1218" s="378">
        <f>IFERROR(__xludf.DUMMYFUNCTION("""COMPUTED_VALUE"""),297.84000000000003)</f>
        <v>297.84</v>
      </c>
      <c r="J1218" s="377"/>
      <c r="K1218" s="166"/>
      <c r="L1218" s="166"/>
      <c r="M1218" s="205"/>
      <c r="N1218" s="170"/>
      <c r="O1218" s="171"/>
      <c r="P1218" s="171"/>
      <c r="Q1218" s="172"/>
      <c r="R1218" s="173"/>
      <c r="S1218" s="173"/>
      <c r="T1218" s="173"/>
      <c r="U1218" s="201"/>
      <c r="V1218" s="165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</row>
    <row r="1219">
      <c r="A1219" s="165">
        <f>IFERROR(__xludf.DUMMYFUNCTION("""COMPUTED_VALUE"""),8915790.0)</f>
        <v>8915790</v>
      </c>
      <c r="B1219" s="166" t="str">
        <f>IFERROR(__xludf.DUMMYFUNCTION("""COMPUTED_VALUE"""),"Reseliva Pannel")</f>
        <v>Reseliva Pannel</v>
      </c>
      <c r="C1219" s="166" t="str">
        <f>IFERROR(__xludf.DUMMYFUNCTION("""COMPUTED_VALUE"""),"Nina Whatsapp ")</f>
        <v>Nina Whatsapp </v>
      </c>
      <c r="D1219" s="165">
        <f>IFERROR(__xludf.DUMMYFUNCTION("""COMPUTED_VALUE"""),46231.0)</f>
        <v>46231</v>
      </c>
      <c r="E1219" s="165">
        <f>IFERROR(__xludf.DUMMYFUNCTION("""COMPUTED_VALUE"""),46233.0)</f>
        <v>46233</v>
      </c>
      <c r="F1219" s="377">
        <f>IFERROR(__xludf.DUMMYFUNCTION("""COMPUTED_VALUE"""),2.0)</f>
        <v>2</v>
      </c>
      <c r="G1219" s="377">
        <f>IFERROR(__xludf.DUMMYFUNCTION("""COMPUTED_VALUE"""),1.0)</f>
        <v>1</v>
      </c>
      <c r="H1219" s="378">
        <f>IFERROR(__xludf.DUMMYFUNCTION("""COMPUTED_VALUE"""),144.0)</f>
        <v>144</v>
      </c>
      <c r="I1219" s="378">
        <f>IFERROR(__xludf.DUMMYFUNCTION("""COMPUTED_VALUE"""),288.0)</f>
        <v>288</v>
      </c>
      <c r="J1219" s="377"/>
      <c r="K1219" s="166"/>
      <c r="L1219" s="166"/>
      <c r="M1219" s="166"/>
      <c r="N1219" s="170"/>
      <c r="O1219" s="171"/>
      <c r="P1219" s="171"/>
      <c r="Q1219" s="172"/>
      <c r="R1219" s="173"/>
      <c r="S1219" s="173"/>
      <c r="T1219" s="173"/>
      <c r="U1219" s="201"/>
      <c r="V1219" s="165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</row>
    <row r="1220">
      <c r="A1220" s="165">
        <f>IFERROR(__xludf.DUMMYFUNCTION("""COMPUTED_VALUE"""),8915790.0)</f>
        <v>8915790</v>
      </c>
      <c r="B1220" s="166" t="str">
        <f>IFERROR(__xludf.DUMMYFUNCTION("""COMPUTED_VALUE"""),"Reseliva Pannel")</f>
        <v>Reseliva Pannel</v>
      </c>
      <c r="C1220" s="166" t="str">
        <f>IFERROR(__xludf.DUMMYFUNCTION("""COMPUTED_VALUE"""),"Nina Whatsapp ")</f>
        <v>Nina Whatsapp </v>
      </c>
      <c r="D1220" s="165">
        <f>IFERROR(__xludf.DUMMYFUNCTION("""COMPUTED_VALUE"""),46231.0)</f>
        <v>46231</v>
      </c>
      <c r="E1220" s="165">
        <f>IFERROR(__xludf.DUMMYFUNCTION("""COMPUTED_VALUE"""),46233.0)</f>
        <v>46233</v>
      </c>
      <c r="F1220" s="377">
        <f>IFERROR(__xludf.DUMMYFUNCTION("""COMPUTED_VALUE"""),2.0)</f>
        <v>2</v>
      </c>
      <c r="G1220" s="377">
        <f>IFERROR(__xludf.DUMMYFUNCTION("""COMPUTED_VALUE"""),1.0)</f>
        <v>1</v>
      </c>
      <c r="H1220" s="378">
        <f>IFERROR(__xludf.DUMMYFUNCTION("""COMPUTED_VALUE"""),174.96)</f>
        <v>174.96</v>
      </c>
      <c r="I1220" s="378">
        <f>IFERROR(__xludf.DUMMYFUNCTION("""COMPUTED_VALUE"""),349.92)</f>
        <v>349.92</v>
      </c>
      <c r="J1220" s="377"/>
      <c r="K1220" s="166"/>
      <c r="L1220" s="166"/>
      <c r="M1220" s="166"/>
      <c r="N1220" s="170"/>
      <c r="O1220" s="171"/>
      <c r="P1220" s="171"/>
      <c r="Q1220" s="172"/>
      <c r="R1220" s="173"/>
      <c r="S1220" s="173"/>
      <c r="T1220" s="173"/>
      <c r="U1220" s="201"/>
      <c r="V1220" s="165"/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</row>
    <row r="1221">
      <c r="A1221" s="165">
        <f>IFERROR(__xludf.DUMMYFUNCTION("""COMPUTED_VALUE"""),8917552.0)</f>
        <v>8917552</v>
      </c>
      <c r="B1221" s="166" t="str">
        <f>IFERROR(__xludf.DUMMYFUNCTION("""COMPUTED_VALUE"""),"BookingCom")</f>
        <v>BookingCom</v>
      </c>
      <c r="C1221" s="166" t="str">
        <f>IFERROR(__xludf.DUMMYFUNCTION("""COMPUTED_VALUE"""),"Claire Lovatt ")</f>
        <v>Claire Lovatt </v>
      </c>
      <c r="D1221" s="165">
        <f>IFERROR(__xludf.DUMMYFUNCTION("""COMPUTED_VALUE"""),46269.0)</f>
        <v>46269</v>
      </c>
      <c r="E1221" s="165">
        <f>IFERROR(__xludf.DUMMYFUNCTION("""COMPUTED_VALUE"""),46272.0)</f>
        <v>46272</v>
      </c>
      <c r="F1221" s="377">
        <f>IFERROR(__xludf.DUMMYFUNCTION("""COMPUTED_VALUE"""),3.0)</f>
        <v>3</v>
      </c>
      <c r="G1221" s="377">
        <f>IFERROR(__xludf.DUMMYFUNCTION("""COMPUTED_VALUE"""),2.0)</f>
        <v>2</v>
      </c>
      <c r="H1221" s="378">
        <f>IFERROR(__xludf.DUMMYFUNCTION("""COMPUTED_VALUE"""),169.85)</f>
        <v>169.85</v>
      </c>
      <c r="I1221" s="378">
        <f>IFERROR(__xludf.DUMMYFUNCTION("""COMPUTED_VALUE"""),407.64)</f>
        <v>407.64</v>
      </c>
      <c r="J1221" s="377"/>
      <c r="K1221" s="166"/>
      <c r="L1221" s="166"/>
      <c r="M1221" s="166"/>
      <c r="N1221" s="170"/>
      <c r="O1221" s="171"/>
      <c r="P1221" s="171"/>
      <c r="Q1221" s="172"/>
      <c r="R1221" s="173"/>
      <c r="S1221" s="173"/>
      <c r="T1221" s="173"/>
      <c r="U1221" s="201"/>
      <c r="V1221" s="212"/>
      <c r="W1221" s="35"/>
      <c r="X1221" s="35"/>
      <c r="Y1221" s="35"/>
      <c r="Z1221" s="35"/>
      <c r="AA1221" s="35"/>
      <c r="AB1221" s="35"/>
      <c r="AC1221" s="35"/>
      <c r="AD1221" s="35"/>
      <c r="AE1221" s="35"/>
      <c r="AF1221" s="35"/>
      <c r="AG1221" s="35"/>
      <c r="AH1221" s="35"/>
      <c r="AI1221" s="35"/>
    </row>
    <row r="1222">
      <c r="A1222" s="165">
        <f>IFERROR(__xludf.DUMMYFUNCTION("""COMPUTED_VALUE"""),8919226.0)</f>
        <v>8919226</v>
      </c>
      <c r="B1222" s="166" t="str">
        <f>IFERROR(__xludf.DUMMYFUNCTION("""COMPUTED_VALUE"""),"Agoda2")</f>
        <v>Agoda2</v>
      </c>
      <c r="C1222" s="166" t="str">
        <f>IFERROR(__xludf.DUMMYFUNCTION("""COMPUTED_VALUE"""),"RUNQI ZHANG ")</f>
        <v>RUNQI ZHANG </v>
      </c>
      <c r="D1222" s="165">
        <f>IFERROR(__xludf.DUMMYFUNCTION("""COMPUTED_VALUE"""),46251.0)</f>
        <v>46251</v>
      </c>
      <c r="E1222" s="165">
        <f>IFERROR(__xludf.DUMMYFUNCTION("""COMPUTED_VALUE"""),46253.0)</f>
        <v>46253</v>
      </c>
      <c r="F1222" s="377">
        <f>IFERROR(__xludf.DUMMYFUNCTION("""COMPUTED_VALUE"""),2.0)</f>
        <v>2</v>
      </c>
      <c r="G1222" s="377">
        <f>IFERROR(__xludf.DUMMYFUNCTION("""COMPUTED_VALUE"""),1.0)</f>
        <v>1</v>
      </c>
      <c r="H1222" s="378">
        <f>IFERROR(__xludf.DUMMYFUNCTION("""COMPUTED_VALUE"""),94.35)</f>
        <v>94.35</v>
      </c>
      <c r="I1222" s="378">
        <f>IFERROR(__xludf.DUMMYFUNCTION("""COMPUTED_VALUE"""),150.96)</f>
        <v>150.96</v>
      </c>
      <c r="J1222" s="377"/>
      <c r="K1222" s="166"/>
      <c r="L1222" s="166"/>
      <c r="M1222" s="166"/>
      <c r="N1222" s="170"/>
      <c r="O1222" s="171"/>
      <c r="P1222" s="171"/>
      <c r="Q1222" s="172"/>
      <c r="R1222" s="173"/>
      <c r="S1222" s="173"/>
      <c r="T1222" s="173"/>
      <c r="U1222" s="201"/>
      <c r="V1222" s="165"/>
      <c r="W1222" s="35"/>
      <c r="X1222" s="35"/>
      <c r="Y1222" s="35"/>
      <c r="Z1222" s="35"/>
      <c r="AA1222" s="35"/>
      <c r="AB1222" s="35"/>
      <c r="AC1222" s="35"/>
      <c r="AD1222" s="35"/>
      <c r="AE1222" s="35"/>
      <c r="AF1222" s="35"/>
      <c r="AG1222" s="35"/>
      <c r="AH1222" s="35"/>
      <c r="AI1222" s="35"/>
    </row>
    <row r="1223">
      <c r="A1223" s="165">
        <f>IFERROR(__xludf.DUMMYFUNCTION("""COMPUTED_VALUE"""),8921402.0)</f>
        <v>8921402</v>
      </c>
      <c r="B1223" s="166" t="str">
        <f>IFERROR(__xludf.DUMMYFUNCTION("""COMPUTED_VALUE"""),"BookingCom")</f>
        <v>BookingCom</v>
      </c>
      <c r="C1223" s="166" t="str">
        <f>IFERROR(__xludf.DUMMYFUNCTION("""COMPUTED_VALUE"""),"Sharma Samir ")</f>
        <v>Sharma Samir </v>
      </c>
      <c r="D1223" s="165">
        <f>IFERROR(__xludf.DUMMYFUNCTION("""COMPUTED_VALUE"""),46350.0)</f>
        <v>46350</v>
      </c>
      <c r="E1223" s="165">
        <f>IFERROR(__xludf.DUMMYFUNCTION("""COMPUTED_VALUE"""),46353.0)</f>
        <v>46353</v>
      </c>
      <c r="F1223" s="377">
        <f>IFERROR(__xludf.DUMMYFUNCTION("""COMPUTED_VALUE"""),3.0)</f>
        <v>3</v>
      </c>
      <c r="G1223" s="377">
        <f>IFERROR(__xludf.DUMMYFUNCTION("""COMPUTED_VALUE"""),2.0)</f>
        <v>2</v>
      </c>
      <c r="H1223" s="378">
        <f>IFERROR(__xludf.DUMMYFUNCTION("""COMPUTED_VALUE"""),172.11)</f>
        <v>172.11</v>
      </c>
      <c r="I1223" s="378">
        <f>IFERROR(__xludf.DUMMYFUNCTION("""COMPUTED_VALUE"""),413.0640000000001)</f>
        <v>413.064</v>
      </c>
      <c r="J1223" s="377"/>
      <c r="K1223" s="166"/>
      <c r="L1223" s="166"/>
      <c r="M1223" s="166"/>
      <c r="N1223" s="170"/>
      <c r="O1223" s="171"/>
      <c r="P1223" s="171"/>
      <c r="Q1223" s="172"/>
      <c r="R1223" s="173"/>
      <c r="S1223" s="173"/>
      <c r="T1223" s="173"/>
      <c r="U1223" s="201"/>
      <c r="V1223" s="165"/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</row>
    <row r="1224">
      <c r="A1224" s="165">
        <f>IFERROR(__xludf.DUMMYFUNCTION("""COMPUTED_VALUE"""),8921558.0)</f>
        <v>8921558</v>
      </c>
      <c r="B1224" s="166" t="str">
        <f>IFERROR(__xludf.DUMMYFUNCTION("""COMPUTED_VALUE"""),"BookingCom")</f>
        <v>BookingCom</v>
      </c>
      <c r="C1224" s="166" t="str">
        <f>IFERROR(__xludf.DUMMYFUNCTION("""COMPUTED_VALUE"""),"Marco Amato ")</f>
        <v>Marco Amato </v>
      </c>
      <c r="D1224" s="165">
        <f>IFERROR(__xludf.DUMMYFUNCTION("""COMPUTED_VALUE"""),46295.0)</f>
        <v>46295</v>
      </c>
      <c r="E1224" s="165">
        <f>IFERROR(__xludf.DUMMYFUNCTION("""COMPUTED_VALUE"""),46296.0)</f>
        <v>46296</v>
      </c>
      <c r="F1224" s="377">
        <f>IFERROR(__xludf.DUMMYFUNCTION("""COMPUTED_VALUE"""),1.0)</f>
        <v>1</v>
      </c>
      <c r="G1224" s="377">
        <f>IFERROR(__xludf.DUMMYFUNCTION("""COMPUTED_VALUE"""),2.0)</f>
        <v>2</v>
      </c>
      <c r="H1224" s="378">
        <f>IFERROR(__xludf.DUMMYFUNCTION("""COMPUTED_VALUE"""),186.08999999999997)</f>
        <v>186.09</v>
      </c>
      <c r="I1224" s="378">
        <f>IFERROR(__xludf.DUMMYFUNCTION("""COMPUTED_VALUE"""),148.87199999999999)</f>
        <v>148.872</v>
      </c>
      <c r="J1224" s="377"/>
      <c r="K1224" s="166"/>
      <c r="L1224" s="166"/>
      <c r="M1224" s="166"/>
      <c r="N1224" s="169"/>
      <c r="O1224" s="171"/>
      <c r="P1224" s="171"/>
      <c r="Q1224" s="169"/>
      <c r="R1224" s="173"/>
      <c r="S1224" s="173"/>
      <c r="T1224" s="260"/>
      <c r="U1224" s="261"/>
      <c r="V1224" s="251"/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</row>
    <row r="1225">
      <c r="A1225" s="165">
        <f>IFERROR(__xludf.DUMMYFUNCTION("""COMPUTED_VALUE"""),8921875.0)</f>
        <v>8921875</v>
      </c>
      <c r="B1225" s="166" t="str">
        <f>IFERROR(__xludf.DUMMYFUNCTION("""COMPUTED_VALUE"""),"Agoda2")</f>
        <v>Agoda2</v>
      </c>
      <c r="C1225" s="166" t="str">
        <f>IFERROR(__xludf.DUMMYFUNCTION("""COMPUTED_VALUE"""),"Lea Lehner ")</f>
        <v>Lea Lehner </v>
      </c>
      <c r="D1225" s="165">
        <f>IFERROR(__xludf.DUMMYFUNCTION("""COMPUTED_VALUE"""),46284.0)</f>
        <v>46284</v>
      </c>
      <c r="E1225" s="165">
        <f>IFERROR(__xludf.DUMMYFUNCTION("""COMPUTED_VALUE"""),46286.0)</f>
        <v>46286</v>
      </c>
      <c r="F1225" s="377">
        <f>IFERROR(__xludf.DUMMYFUNCTION("""COMPUTED_VALUE"""),3.0)</f>
        <v>3</v>
      </c>
      <c r="G1225" s="377">
        <f>IFERROR(__xludf.DUMMYFUNCTION("""COMPUTED_VALUE"""),2.0)</f>
        <v>2</v>
      </c>
      <c r="H1225" s="378">
        <f>IFERROR(__xludf.DUMMYFUNCTION("""COMPUTED_VALUE"""),191.25)</f>
        <v>191.25</v>
      </c>
      <c r="I1225" s="378">
        <f>IFERROR(__xludf.DUMMYFUNCTION("""COMPUTED_VALUE"""),459.0)</f>
        <v>459</v>
      </c>
      <c r="J1225" s="377"/>
      <c r="K1225" s="166"/>
      <c r="L1225" s="166"/>
      <c r="M1225" s="205"/>
      <c r="N1225" s="170"/>
      <c r="O1225" s="171"/>
      <c r="P1225" s="171"/>
      <c r="Q1225" s="172"/>
      <c r="R1225" s="173"/>
      <c r="S1225" s="173"/>
      <c r="T1225" s="173"/>
      <c r="U1225" s="201"/>
      <c r="V1225" s="165"/>
      <c r="W1225" s="188"/>
      <c r="X1225" s="188"/>
      <c r="Y1225" s="188"/>
      <c r="Z1225" s="188"/>
      <c r="AA1225" s="188"/>
      <c r="AB1225" s="188"/>
      <c r="AC1225" s="188"/>
      <c r="AD1225" s="188"/>
      <c r="AE1225" s="188"/>
      <c r="AF1225" s="188"/>
      <c r="AG1225" s="188"/>
      <c r="AH1225" s="188"/>
      <c r="AI1225" s="188"/>
    </row>
    <row r="1226">
      <c r="A1226" s="165">
        <f>IFERROR(__xludf.DUMMYFUNCTION("""COMPUTED_VALUE"""),8922309.0)</f>
        <v>8922309</v>
      </c>
      <c r="B1226" s="166" t="str">
        <f>IFERROR(__xludf.DUMMYFUNCTION("""COMPUTED_VALUE"""),"BookingCom")</f>
        <v>BookingCom</v>
      </c>
      <c r="C1226" s="166" t="str">
        <f>IFERROR(__xludf.DUMMYFUNCTION("""COMPUTED_VALUE"""),"Helge Kuehl ")</f>
        <v>Helge Kuehl </v>
      </c>
      <c r="D1226" s="165">
        <f>IFERROR(__xludf.DUMMYFUNCTION("""COMPUTED_VALUE"""),46279.0)</f>
        <v>46279</v>
      </c>
      <c r="E1226" s="165">
        <f>IFERROR(__xludf.DUMMYFUNCTION("""COMPUTED_VALUE"""),46281.0)</f>
        <v>46281</v>
      </c>
      <c r="F1226" s="377">
        <f>IFERROR(__xludf.DUMMYFUNCTION("""COMPUTED_VALUE"""),2.0)</f>
        <v>2</v>
      </c>
      <c r="G1226" s="377">
        <f>IFERROR(__xludf.DUMMYFUNCTION("""COMPUTED_VALUE"""),2.0)</f>
        <v>2</v>
      </c>
      <c r="H1226" s="378">
        <f>IFERROR(__xludf.DUMMYFUNCTION("""COMPUTED_VALUE"""),133.62)</f>
        <v>133.62</v>
      </c>
      <c r="I1226" s="378">
        <f>IFERROR(__xludf.DUMMYFUNCTION("""COMPUTED_VALUE"""),213.79200000000003)</f>
        <v>213.792</v>
      </c>
      <c r="J1226" s="377"/>
      <c r="K1226" s="166"/>
      <c r="L1226" s="166"/>
      <c r="M1226" s="166"/>
      <c r="N1226" s="170"/>
      <c r="O1226" s="171"/>
      <c r="P1226" s="171"/>
      <c r="Q1226" s="172"/>
      <c r="R1226" s="173"/>
      <c r="S1226" s="173"/>
      <c r="T1226" s="173"/>
      <c r="U1226" s="201"/>
      <c r="V1226" s="165"/>
      <c r="W1226" s="35"/>
      <c r="X1226" s="35"/>
      <c r="Y1226" s="35"/>
      <c r="Z1226" s="35"/>
      <c r="AA1226" s="35"/>
      <c r="AB1226" s="35"/>
      <c r="AC1226" s="35"/>
      <c r="AD1226" s="35"/>
      <c r="AE1226" s="35"/>
      <c r="AF1226" s="35"/>
      <c r="AG1226" s="35"/>
      <c r="AH1226" s="35"/>
      <c r="AI1226" s="35"/>
    </row>
    <row r="1227">
      <c r="A1227" s="165">
        <f>IFERROR(__xludf.DUMMYFUNCTION("""COMPUTED_VALUE"""),8922329.0)</f>
        <v>8922329</v>
      </c>
      <c r="B1227" s="166" t="str">
        <f>IFERROR(__xludf.DUMMYFUNCTION("""COMPUTED_VALUE"""),"Ctrip")</f>
        <v>Ctrip</v>
      </c>
      <c r="C1227" s="166" t="str">
        <f>IFERROR(__xludf.DUMMYFUNCTION("""COMPUTED_VALUE"""),"TIANYUAN ZHAO ")</f>
        <v>TIANYUAN ZHAO </v>
      </c>
      <c r="D1227" s="165">
        <f>IFERROR(__xludf.DUMMYFUNCTION("""COMPUTED_VALUE"""),46231.0)</f>
        <v>46231</v>
      </c>
      <c r="E1227" s="165">
        <f>IFERROR(__xludf.DUMMYFUNCTION("""COMPUTED_VALUE"""),46232.0)</f>
        <v>46232</v>
      </c>
      <c r="F1227" s="377">
        <f>IFERROR(__xludf.DUMMYFUNCTION("""COMPUTED_VALUE"""),1.0)</f>
        <v>1</v>
      </c>
      <c r="G1227" s="377">
        <f>IFERROR(__xludf.DUMMYFUNCTION("""COMPUTED_VALUE"""),2.0)</f>
        <v>2</v>
      </c>
      <c r="H1227" s="378">
        <f>IFERROR(__xludf.DUMMYFUNCTION("""COMPUTED_VALUE"""),0.0)</f>
        <v>0</v>
      </c>
      <c r="I1227" s="378">
        <f>IFERROR(__xludf.DUMMYFUNCTION("""COMPUTED_VALUE"""),0.0)</f>
        <v>0</v>
      </c>
      <c r="J1227" s="377"/>
      <c r="K1227" s="166"/>
      <c r="L1227" s="166"/>
      <c r="M1227" s="166"/>
      <c r="N1227" s="170"/>
      <c r="O1227" s="171"/>
      <c r="P1227" s="171"/>
      <c r="Q1227" s="172"/>
      <c r="R1227" s="173"/>
      <c r="S1227" s="173"/>
      <c r="T1227" s="173"/>
      <c r="U1227" s="201"/>
      <c r="V1227" s="165"/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</row>
    <row r="1228">
      <c r="A1228" s="165">
        <f>IFERROR(__xludf.DUMMYFUNCTION("""COMPUTED_VALUE"""),8923890.0)</f>
        <v>8923890</v>
      </c>
      <c r="B1228" s="166" t="str">
        <f>IFERROR(__xludf.DUMMYFUNCTION("""COMPUTED_VALUE"""),"BookingCom")</f>
        <v>BookingCom</v>
      </c>
      <c r="C1228" s="166" t="str">
        <f>IFERROR(__xludf.DUMMYFUNCTION("""COMPUTED_VALUE"""),"Loic GODFROY ")</f>
        <v>Loic GODFROY </v>
      </c>
      <c r="D1228" s="165">
        <f>IFERROR(__xludf.DUMMYFUNCTION("""COMPUTED_VALUE"""),46380.0)</f>
        <v>46380</v>
      </c>
      <c r="E1228" s="165">
        <f>IFERROR(__xludf.DUMMYFUNCTION("""COMPUTED_VALUE"""),46386.0)</f>
        <v>46386</v>
      </c>
      <c r="F1228" s="377">
        <f>IFERROR(__xludf.DUMMYFUNCTION("""COMPUTED_VALUE"""),6.0)</f>
        <v>6</v>
      </c>
      <c r="G1228" s="377">
        <f>IFERROR(__xludf.DUMMYFUNCTION("""COMPUTED_VALUE"""),2.0)</f>
        <v>2</v>
      </c>
      <c r="H1228" s="378">
        <f>IFERROR(__xludf.DUMMYFUNCTION("""COMPUTED_VALUE"""),194.54999999999998)</f>
        <v>194.55</v>
      </c>
      <c r="I1228" s="378">
        <f>IFERROR(__xludf.DUMMYFUNCTION("""COMPUTED_VALUE"""),933.8399999999999)</f>
        <v>933.84</v>
      </c>
      <c r="J1228" s="377"/>
      <c r="K1228" s="166"/>
      <c r="L1228" s="166"/>
      <c r="M1228" s="166"/>
      <c r="N1228" s="170"/>
      <c r="O1228" s="171"/>
      <c r="P1228" s="171"/>
      <c r="Q1228" s="172"/>
      <c r="R1228" s="173"/>
      <c r="S1228" s="173"/>
      <c r="T1228" s="173"/>
      <c r="U1228" s="201"/>
      <c r="V1228" s="165"/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</row>
    <row r="1229">
      <c r="A1229" s="165">
        <f>IFERROR(__xludf.DUMMYFUNCTION("""COMPUTED_VALUE"""),8924613.0)</f>
        <v>8924613</v>
      </c>
      <c r="B1229" s="166" t="str">
        <f>IFERROR(__xludf.DUMMYFUNCTION("""COMPUTED_VALUE"""),"BookingCom")</f>
        <v>BookingCom</v>
      </c>
      <c r="C1229" s="166" t="str">
        <f>IFERROR(__xludf.DUMMYFUNCTION("""COMPUTED_VALUE"""),"Tatiana Laverde ")</f>
        <v>Tatiana Laverde </v>
      </c>
      <c r="D1229" s="165">
        <f>IFERROR(__xludf.DUMMYFUNCTION("""COMPUTED_VALUE"""),46270.0)</f>
        <v>46270</v>
      </c>
      <c r="E1229" s="165">
        <f>IFERROR(__xludf.DUMMYFUNCTION("""COMPUTED_VALUE"""),46272.0)</f>
        <v>46272</v>
      </c>
      <c r="F1229" s="377">
        <f>IFERROR(__xludf.DUMMYFUNCTION("""COMPUTED_VALUE"""),2.0)</f>
        <v>2</v>
      </c>
      <c r="G1229" s="377">
        <f>IFERROR(__xludf.DUMMYFUNCTION("""COMPUTED_VALUE"""),2.0)</f>
        <v>2</v>
      </c>
      <c r="H1229" s="378">
        <f>IFERROR(__xludf.DUMMYFUNCTION("""COMPUTED_VALUE"""),168.19)</f>
        <v>168.19</v>
      </c>
      <c r="I1229" s="378">
        <f>IFERROR(__xludf.DUMMYFUNCTION("""COMPUTED_VALUE"""),269.104)</f>
        <v>269.104</v>
      </c>
      <c r="J1229" s="377"/>
      <c r="K1229" s="166"/>
      <c r="L1229" s="166"/>
      <c r="M1229" s="205"/>
      <c r="N1229" s="169"/>
      <c r="O1229" s="171"/>
      <c r="P1229" s="171"/>
      <c r="Q1229" s="169"/>
      <c r="R1229" s="173"/>
      <c r="S1229" s="173"/>
      <c r="T1229" s="173"/>
      <c r="U1229" s="201"/>
      <c r="V1229" s="165"/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</row>
    <row r="1230">
      <c r="A1230" s="165">
        <f>IFERROR(__xludf.DUMMYFUNCTION("""COMPUTED_VALUE"""),8929344.0)</f>
        <v>8929344</v>
      </c>
      <c r="B1230" s="166" t="str">
        <f>IFERROR(__xludf.DUMMYFUNCTION("""COMPUTED_VALUE"""),"BookingCom")</f>
        <v>BookingCom</v>
      </c>
      <c r="C1230" s="166" t="str">
        <f>IFERROR(__xludf.DUMMYFUNCTION("""COMPUTED_VALUE"""),"Elisa Adocchio ")</f>
        <v>Elisa Adocchio </v>
      </c>
      <c r="D1230" s="165">
        <f>IFERROR(__xludf.DUMMYFUNCTION("""COMPUTED_VALUE"""),46256.0)</f>
        <v>46256</v>
      </c>
      <c r="E1230" s="165">
        <f>IFERROR(__xludf.DUMMYFUNCTION("""COMPUTED_VALUE"""),46258.0)</f>
        <v>46258</v>
      </c>
      <c r="F1230" s="377">
        <f>IFERROR(__xludf.DUMMYFUNCTION("""COMPUTED_VALUE"""),2.0)</f>
        <v>2</v>
      </c>
      <c r="G1230" s="377">
        <f>IFERROR(__xludf.DUMMYFUNCTION("""COMPUTED_VALUE"""),2.0)</f>
        <v>2</v>
      </c>
      <c r="H1230" s="378">
        <f>IFERROR(__xludf.DUMMYFUNCTION("""COMPUTED_VALUE"""),129.58)</f>
        <v>129.58</v>
      </c>
      <c r="I1230" s="378">
        <f>IFERROR(__xludf.DUMMYFUNCTION("""COMPUTED_VALUE"""),207.32800000000003)</f>
        <v>207.328</v>
      </c>
      <c r="J1230" s="377"/>
      <c r="K1230" s="166"/>
      <c r="L1230" s="166"/>
      <c r="M1230" s="166"/>
      <c r="N1230" s="170"/>
      <c r="O1230" s="171"/>
      <c r="P1230" s="171"/>
      <c r="Q1230" s="169"/>
      <c r="R1230" s="173"/>
      <c r="S1230" s="173"/>
      <c r="T1230" s="173"/>
      <c r="U1230" s="201"/>
      <c r="V1230" s="16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</row>
    <row r="1231">
      <c r="A1231" s="165">
        <f>IFERROR(__xludf.DUMMYFUNCTION("""COMPUTED_VALUE"""),8931416.0)</f>
        <v>8931416</v>
      </c>
      <c r="B1231" s="166" t="str">
        <f>IFERROR(__xludf.DUMMYFUNCTION("""COMPUTED_VALUE"""),"Reseliva Pannel")</f>
        <v>Reseliva Pannel</v>
      </c>
      <c r="C1231" s="166" t="str">
        <f>IFERROR(__xludf.DUMMYFUNCTION("""COMPUTED_VALUE"""),"Laura Donaldso, ")</f>
        <v>Laura Donaldso, </v>
      </c>
      <c r="D1231" s="165">
        <f>IFERROR(__xludf.DUMMYFUNCTION("""COMPUTED_VALUE"""),46231.0)</f>
        <v>46231</v>
      </c>
      <c r="E1231" s="165">
        <f>IFERROR(__xludf.DUMMYFUNCTION("""COMPUTED_VALUE"""),46232.0)</f>
        <v>46232</v>
      </c>
      <c r="F1231" s="377">
        <f>IFERROR(__xludf.DUMMYFUNCTION("""COMPUTED_VALUE"""),1.0)</f>
        <v>1</v>
      </c>
      <c r="G1231" s="377">
        <f>IFERROR(__xludf.DUMMYFUNCTION("""COMPUTED_VALUE"""),2.0)</f>
        <v>2</v>
      </c>
      <c r="H1231" s="378">
        <f>IFERROR(__xludf.DUMMYFUNCTION("""COMPUTED_VALUE"""),125.28)</f>
        <v>125.28</v>
      </c>
      <c r="I1231" s="378">
        <f>IFERROR(__xludf.DUMMYFUNCTION("""COMPUTED_VALUE"""),125.28)</f>
        <v>125.28</v>
      </c>
      <c r="J1231" s="377"/>
      <c r="K1231" s="166"/>
      <c r="L1231" s="166"/>
      <c r="M1231" s="166"/>
      <c r="N1231" s="170"/>
      <c r="O1231" s="171"/>
      <c r="P1231" s="171"/>
      <c r="Q1231" s="172"/>
      <c r="R1231" s="173"/>
      <c r="S1231" s="173"/>
      <c r="T1231" s="173"/>
      <c r="U1231" s="201"/>
      <c r="V1231" s="165"/>
      <c r="W1231" s="188"/>
      <c r="X1231" s="188"/>
      <c r="Y1231" s="188"/>
      <c r="Z1231" s="188"/>
      <c r="AA1231" s="188"/>
      <c r="AB1231" s="188"/>
      <c r="AC1231" s="188"/>
      <c r="AD1231" s="188"/>
      <c r="AE1231" s="188"/>
      <c r="AF1231" s="188"/>
      <c r="AG1231" s="188"/>
      <c r="AH1231" s="188"/>
      <c r="AI1231" s="188"/>
    </row>
    <row r="1232">
      <c r="A1232" s="165">
        <f>IFERROR(__xludf.DUMMYFUNCTION("""COMPUTED_VALUE"""),8931987.0)</f>
        <v>8931987</v>
      </c>
      <c r="B1232" s="166" t="str">
        <f>IFERROR(__xludf.DUMMYFUNCTION("""COMPUTED_VALUE"""),"BookingCom")</f>
        <v>BookingCom</v>
      </c>
      <c r="C1232" s="166" t="str">
        <f>IFERROR(__xludf.DUMMYFUNCTION("""COMPUTED_VALUE"""),"Muawia Yousif Fadlelmola Mohamed ")</f>
        <v>Muawia Yousif Fadlelmola Mohamed </v>
      </c>
      <c r="D1232" s="165">
        <f>IFERROR(__xludf.DUMMYFUNCTION("""COMPUTED_VALUE"""),46263.0)</f>
        <v>46263</v>
      </c>
      <c r="E1232" s="165">
        <f>IFERROR(__xludf.DUMMYFUNCTION("""COMPUTED_VALUE"""),46265.0)</f>
        <v>46265</v>
      </c>
      <c r="F1232" s="377">
        <f>IFERROR(__xludf.DUMMYFUNCTION("""COMPUTED_VALUE"""),2.0)</f>
        <v>2</v>
      </c>
      <c r="G1232" s="377">
        <f>IFERROR(__xludf.DUMMYFUNCTION("""COMPUTED_VALUE"""),2.0)</f>
        <v>2</v>
      </c>
      <c r="H1232" s="378">
        <f>IFERROR(__xludf.DUMMYFUNCTION("""COMPUTED_VALUE"""),95.84)</f>
        <v>95.84</v>
      </c>
      <c r="I1232" s="378">
        <f>IFERROR(__xludf.DUMMYFUNCTION("""COMPUTED_VALUE"""),153.34400000000002)</f>
        <v>153.344</v>
      </c>
      <c r="J1232" s="377"/>
      <c r="K1232" s="166"/>
      <c r="L1232" s="166"/>
      <c r="M1232" s="166"/>
      <c r="N1232" s="170"/>
      <c r="O1232" s="171"/>
      <c r="P1232" s="171"/>
      <c r="Q1232" s="172"/>
      <c r="R1232" s="173"/>
      <c r="S1232" s="173"/>
      <c r="T1232" s="173"/>
      <c r="U1232" s="201"/>
      <c r="V1232" s="165"/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</row>
    <row r="1233">
      <c r="A1233" s="165">
        <f>IFERROR(__xludf.DUMMYFUNCTION("""COMPUTED_VALUE"""),8933107.0)</f>
        <v>8933107</v>
      </c>
      <c r="B1233" s="166" t="str">
        <f>IFERROR(__xludf.DUMMYFUNCTION("""COMPUTED_VALUE"""),"BookingCom")</f>
        <v>BookingCom</v>
      </c>
      <c r="C1233" s="166" t="str">
        <f>IFERROR(__xludf.DUMMYFUNCTION("""COMPUTED_VALUE"""),"Melissa Wascheszio ")</f>
        <v>Melissa Wascheszio </v>
      </c>
      <c r="D1233" s="165">
        <f>IFERROR(__xludf.DUMMYFUNCTION("""COMPUTED_VALUE"""),46262.0)</f>
        <v>46262</v>
      </c>
      <c r="E1233" s="165">
        <f>IFERROR(__xludf.DUMMYFUNCTION("""COMPUTED_VALUE"""),46265.0)</f>
        <v>46265</v>
      </c>
      <c r="F1233" s="377">
        <f>IFERROR(__xludf.DUMMYFUNCTION("""COMPUTED_VALUE"""),3.0)</f>
        <v>3</v>
      </c>
      <c r="G1233" s="377">
        <f>IFERROR(__xludf.DUMMYFUNCTION("""COMPUTED_VALUE"""),2.0)</f>
        <v>2</v>
      </c>
      <c r="H1233" s="378">
        <f>IFERROR(__xludf.DUMMYFUNCTION("""COMPUTED_VALUE"""),106.56)</f>
        <v>106.56</v>
      </c>
      <c r="I1233" s="378">
        <f>IFERROR(__xludf.DUMMYFUNCTION("""COMPUTED_VALUE"""),255.74400000000003)</f>
        <v>255.744</v>
      </c>
      <c r="J1233" s="377"/>
      <c r="K1233" s="166"/>
      <c r="L1233" s="166"/>
      <c r="M1233" s="166"/>
      <c r="N1233" s="169"/>
      <c r="O1233" s="171"/>
      <c r="P1233" s="171"/>
      <c r="Q1233" s="169"/>
      <c r="R1233" s="173"/>
      <c r="S1233" s="173"/>
      <c r="T1233" s="173"/>
      <c r="U1233" s="201"/>
      <c r="V1233" s="165"/>
      <c r="W1233" s="225"/>
      <c r="X1233" s="225"/>
      <c r="Y1233" s="225"/>
      <c r="Z1233" s="225"/>
      <c r="AA1233" s="225"/>
      <c r="AB1233" s="225"/>
      <c r="AC1233" s="225"/>
      <c r="AD1233" s="225"/>
      <c r="AE1233" s="225"/>
      <c r="AF1233" s="225"/>
      <c r="AG1233" s="225"/>
      <c r="AH1233" s="225"/>
      <c r="AI1233" s="225"/>
    </row>
    <row r="1234">
      <c r="A1234" s="165">
        <f>IFERROR(__xludf.DUMMYFUNCTION("""COMPUTED_VALUE"""),8933212.0)</f>
        <v>8933212</v>
      </c>
      <c r="B1234" s="166" t="str">
        <f>IFERROR(__xludf.DUMMYFUNCTION("""COMPUTED_VALUE"""),"BookingCom")</f>
        <v>BookingCom</v>
      </c>
      <c r="C1234" s="166" t="str">
        <f>IFERROR(__xludf.DUMMYFUNCTION("""COMPUTED_VALUE"""),"Melissa Wascheszio ")</f>
        <v>Melissa Wascheszio </v>
      </c>
      <c r="D1234" s="165">
        <f>IFERROR(__xludf.DUMMYFUNCTION("""COMPUTED_VALUE"""),46270.0)</f>
        <v>46270</v>
      </c>
      <c r="E1234" s="165">
        <f>IFERROR(__xludf.DUMMYFUNCTION("""COMPUTED_VALUE"""),46271.0)</f>
        <v>46271</v>
      </c>
      <c r="F1234" s="377">
        <f>IFERROR(__xludf.DUMMYFUNCTION("""COMPUTED_VALUE"""),1.0)</f>
        <v>1</v>
      </c>
      <c r="G1234" s="377">
        <f>IFERROR(__xludf.DUMMYFUNCTION("""COMPUTED_VALUE"""),2.0)</f>
        <v>2</v>
      </c>
      <c r="H1234" s="378">
        <f>IFERROR(__xludf.DUMMYFUNCTION("""COMPUTED_VALUE"""),151.36)</f>
        <v>151.36</v>
      </c>
      <c r="I1234" s="378">
        <f>IFERROR(__xludf.DUMMYFUNCTION("""COMPUTED_VALUE"""),121.08800000000002)</f>
        <v>121.088</v>
      </c>
      <c r="J1234" s="377"/>
      <c r="K1234" s="166"/>
      <c r="L1234" s="166"/>
      <c r="M1234" s="166"/>
      <c r="N1234" s="170"/>
      <c r="O1234" s="171"/>
      <c r="P1234" s="171"/>
      <c r="Q1234" s="172"/>
      <c r="R1234" s="173"/>
      <c r="S1234" s="173"/>
      <c r="T1234" s="173"/>
      <c r="U1234" s="201"/>
      <c r="V1234" s="165"/>
      <c r="W1234" s="35"/>
      <c r="X1234" s="35"/>
      <c r="Y1234" s="35"/>
      <c r="Z1234" s="35"/>
      <c r="AA1234" s="35"/>
      <c r="AB1234" s="35"/>
      <c r="AC1234" s="35"/>
      <c r="AD1234" s="35"/>
      <c r="AE1234" s="35"/>
      <c r="AF1234" s="35"/>
      <c r="AG1234" s="35"/>
      <c r="AH1234" s="35"/>
      <c r="AI1234" s="35"/>
    </row>
    <row r="1235">
      <c r="A1235" s="165">
        <f>IFERROR(__xludf.DUMMYFUNCTION("""COMPUTED_VALUE"""),8933463.0)</f>
        <v>8933463</v>
      </c>
      <c r="B1235" s="166" t="str">
        <f>IFERROR(__xludf.DUMMYFUNCTION("""COMPUTED_VALUE"""),"BookingCom")</f>
        <v>BookingCom</v>
      </c>
      <c r="C1235" s="166" t="str">
        <f>IFERROR(__xludf.DUMMYFUNCTION("""COMPUTED_VALUE"""),"Juergen&amp;Astrid Breuer-Rindermann ")</f>
        <v>Juergen&amp;Astrid Breuer-Rindermann </v>
      </c>
      <c r="D1235" s="165">
        <f>IFERROR(__xludf.DUMMYFUNCTION("""COMPUTED_VALUE"""),46431.0)</f>
        <v>46431</v>
      </c>
      <c r="E1235" s="165">
        <f>IFERROR(__xludf.DUMMYFUNCTION("""COMPUTED_VALUE"""),46438.0)</f>
        <v>46438</v>
      </c>
      <c r="F1235" s="377">
        <f>IFERROR(__xludf.DUMMYFUNCTION("""COMPUTED_VALUE"""),7.0)</f>
        <v>7</v>
      </c>
      <c r="G1235" s="377">
        <f>IFERROR(__xludf.DUMMYFUNCTION("""COMPUTED_VALUE"""),3.0)</f>
        <v>3</v>
      </c>
      <c r="H1235" s="378">
        <f>IFERROR(__xludf.DUMMYFUNCTION("""COMPUTED_VALUE"""),229.14000000000001)</f>
        <v>229.14</v>
      </c>
      <c r="I1235" s="378">
        <f>IFERROR(__xludf.DUMMYFUNCTION("""COMPUTED_VALUE"""),1283.1840000000002)</f>
        <v>1283.184</v>
      </c>
      <c r="J1235" s="377"/>
      <c r="K1235" s="166"/>
      <c r="L1235" s="166"/>
      <c r="M1235" s="166"/>
      <c r="N1235" s="170"/>
      <c r="O1235" s="171"/>
      <c r="P1235" s="171"/>
      <c r="Q1235" s="172"/>
      <c r="R1235" s="173"/>
      <c r="S1235" s="173"/>
      <c r="T1235" s="173"/>
      <c r="U1235" s="201"/>
      <c r="V1235" s="165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</row>
    <row r="1236">
      <c r="A1236" s="165">
        <f>IFERROR(__xludf.DUMMYFUNCTION("""COMPUTED_VALUE"""),8933463.0)</f>
        <v>8933463</v>
      </c>
      <c r="B1236" s="166" t="str">
        <f>IFERROR(__xludf.DUMMYFUNCTION("""COMPUTED_VALUE"""),"BookingCom")</f>
        <v>BookingCom</v>
      </c>
      <c r="C1236" s="166" t="str">
        <f>IFERROR(__xludf.DUMMYFUNCTION("""COMPUTED_VALUE"""),"Juergen&amp;Astrid Breuer-Rindermann ")</f>
        <v>Juergen&amp;Astrid Breuer-Rindermann </v>
      </c>
      <c r="D1236" s="165">
        <f>IFERROR(__xludf.DUMMYFUNCTION("""COMPUTED_VALUE"""),46431.0)</f>
        <v>46431</v>
      </c>
      <c r="E1236" s="165">
        <f>IFERROR(__xludf.DUMMYFUNCTION("""COMPUTED_VALUE"""),46438.0)</f>
        <v>46438</v>
      </c>
      <c r="F1236" s="377">
        <f>IFERROR(__xludf.DUMMYFUNCTION("""COMPUTED_VALUE"""),7.0)</f>
        <v>7</v>
      </c>
      <c r="G1236" s="377">
        <f>IFERROR(__xludf.DUMMYFUNCTION("""COMPUTED_VALUE"""),2.0)</f>
        <v>2</v>
      </c>
      <c r="H1236" s="378">
        <f>IFERROR(__xludf.DUMMYFUNCTION("""COMPUTED_VALUE"""),198.76)</f>
        <v>198.76</v>
      </c>
      <c r="I1236" s="378">
        <f>IFERROR(__xludf.DUMMYFUNCTION("""COMPUTED_VALUE"""),1113.056)</f>
        <v>1113.056</v>
      </c>
      <c r="J1236" s="377"/>
      <c r="K1236" s="166"/>
      <c r="L1236" s="166"/>
      <c r="M1236" s="166"/>
      <c r="N1236" s="170"/>
      <c r="O1236" s="171"/>
      <c r="P1236" s="171"/>
      <c r="Q1236" s="172"/>
      <c r="R1236" s="173"/>
      <c r="S1236" s="173"/>
      <c r="T1236" s="173"/>
      <c r="U1236" s="201"/>
      <c r="V1236" s="165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</row>
    <row r="1237">
      <c r="A1237" s="165">
        <f>IFERROR(__xludf.DUMMYFUNCTION("""COMPUTED_VALUE"""),8933463.0)</f>
        <v>8933463</v>
      </c>
      <c r="B1237" s="166" t="str">
        <f>IFERROR(__xludf.DUMMYFUNCTION("""COMPUTED_VALUE"""),"BookingCom")</f>
        <v>BookingCom</v>
      </c>
      <c r="C1237" s="166" t="str">
        <f>IFERROR(__xludf.DUMMYFUNCTION("""COMPUTED_VALUE"""),"Juergen&amp;Astrid Breuer-Rindermann ")</f>
        <v>Juergen&amp;Astrid Breuer-Rindermann </v>
      </c>
      <c r="D1237" s="165">
        <f>IFERROR(__xludf.DUMMYFUNCTION("""COMPUTED_VALUE"""),46431.0)</f>
        <v>46431</v>
      </c>
      <c r="E1237" s="165">
        <f>IFERROR(__xludf.DUMMYFUNCTION("""COMPUTED_VALUE"""),46438.0)</f>
        <v>46438</v>
      </c>
      <c r="F1237" s="377">
        <f>IFERROR(__xludf.DUMMYFUNCTION("""COMPUTED_VALUE"""),7.0)</f>
        <v>7</v>
      </c>
      <c r="G1237" s="377">
        <f>IFERROR(__xludf.DUMMYFUNCTION("""COMPUTED_VALUE"""),2.0)</f>
        <v>2</v>
      </c>
      <c r="H1237" s="378">
        <f>IFERROR(__xludf.DUMMYFUNCTION("""COMPUTED_VALUE"""),226.64000000000001)</f>
        <v>226.64</v>
      </c>
      <c r="I1237" s="378">
        <f>IFERROR(__xludf.DUMMYFUNCTION("""COMPUTED_VALUE"""),1269.1840000000002)</f>
        <v>1269.184</v>
      </c>
      <c r="J1237" s="377"/>
      <c r="K1237" s="166"/>
      <c r="L1237" s="166"/>
      <c r="M1237" s="166"/>
      <c r="N1237" s="169"/>
      <c r="O1237" s="171"/>
      <c r="P1237" s="171"/>
      <c r="Q1237" s="169"/>
      <c r="R1237" s="173"/>
      <c r="S1237" s="173"/>
      <c r="T1237" s="173"/>
      <c r="U1237" s="201"/>
      <c r="V1237" s="165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</row>
    <row r="1238">
      <c r="A1238" s="165">
        <f>IFERROR(__xludf.DUMMYFUNCTION("""COMPUTED_VALUE"""),8933661.0)</f>
        <v>8933661</v>
      </c>
      <c r="B1238" s="166" t="str">
        <f>IFERROR(__xludf.DUMMYFUNCTION("""COMPUTED_VALUE"""),"Ctrip")</f>
        <v>Ctrip</v>
      </c>
      <c r="C1238" s="166" t="str">
        <f>IFERROR(__xludf.DUMMYFUNCTION("""COMPUTED_VALUE"""),"HANKE LI ")</f>
        <v>HANKE LI </v>
      </c>
      <c r="D1238" s="165">
        <f>IFERROR(__xludf.DUMMYFUNCTION("""COMPUTED_VALUE"""),46249.0)</f>
        <v>46249</v>
      </c>
      <c r="E1238" s="165">
        <f>IFERROR(__xludf.DUMMYFUNCTION("""COMPUTED_VALUE"""),46250.0)</f>
        <v>46250</v>
      </c>
      <c r="F1238" s="377">
        <f>IFERROR(__xludf.DUMMYFUNCTION("""COMPUTED_VALUE"""),1.0)</f>
        <v>1</v>
      </c>
      <c r="G1238" s="377">
        <f>IFERROR(__xludf.DUMMYFUNCTION("""COMPUTED_VALUE"""),2.0)</f>
        <v>2</v>
      </c>
      <c r="H1238" s="378">
        <f>IFERROR(__xludf.DUMMYFUNCTION("""COMPUTED_VALUE"""),0.0)</f>
        <v>0</v>
      </c>
      <c r="I1238" s="378">
        <f>IFERROR(__xludf.DUMMYFUNCTION("""COMPUTED_VALUE"""),0.0)</f>
        <v>0</v>
      </c>
      <c r="J1238" s="377"/>
      <c r="K1238" s="166"/>
      <c r="L1238" s="166"/>
      <c r="M1238" s="166"/>
      <c r="N1238" s="170"/>
      <c r="O1238" s="171"/>
      <c r="P1238" s="171"/>
      <c r="Q1238" s="172"/>
      <c r="R1238" s="173"/>
      <c r="S1238" s="173"/>
      <c r="T1238" s="173"/>
      <c r="U1238" s="201"/>
      <c r="V1238" s="165"/>
      <c r="W1238" s="35"/>
      <c r="X1238" s="35"/>
      <c r="Y1238" s="35"/>
      <c r="Z1238" s="35"/>
      <c r="AA1238" s="35"/>
      <c r="AB1238" s="35"/>
      <c r="AC1238" s="35"/>
      <c r="AD1238" s="35"/>
      <c r="AE1238" s="35"/>
      <c r="AF1238" s="35"/>
      <c r="AG1238" s="35"/>
      <c r="AH1238" s="35"/>
      <c r="AI1238" s="35"/>
    </row>
    <row r="1239">
      <c r="A1239" s="165">
        <f>IFERROR(__xludf.DUMMYFUNCTION("""COMPUTED_VALUE"""),8933708.0)</f>
        <v>8933708</v>
      </c>
      <c r="B1239" s="166" t="str">
        <f>IFERROR(__xludf.DUMMYFUNCTION("""COMPUTED_VALUE"""),"Ctrip")</f>
        <v>Ctrip</v>
      </c>
      <c r="C1239" s="166" t="str">
        <f>IFERROR(__xludf.DUMMYFUNCTION("""COMPUTED_VALUE"""),"HANKE LI ")</f>
        <v>HANKE LI </v>
      </c>
      <c r="D1239" s="165">
        <f>IFERROR(__xludf.DUMMYFUNCTION("""COMPUTED_VALUE"""),46252.0)</f>
        <v>46252</v>
      </c>
      <c r="E1239" s="165">
        <f>IFERROR(__xludf.DUMMYFUNCTION("""COMPUTED_VALUE"""),46253.0)</f>
        <v>46253</v>
      </c>
      <c r="F1239" s="377">
        <f>IFERROR(__xludf.DUMMYFUNCTION("""COMPUTED_VALUE"""),1.0)</f>
        <v>1</v>
      </c>
      <c r="G1239" s="377">
        <f>IFERROR(__xludf.DUMMYFUNCTION("""COMPUTED_VALUE"""),2.0)</f>
        <v>2</v>
      </c>
      <c r="H1239" s="378">
        <f>IFERROR(__xludf.DUMMYFUNCTION("""COMPUTED_VALUE"""),0.0)</f>
        <v>0</v>
      </c>
      <c r="I1239" s="378">
        <f>IFERROR(__xludf.DUMMYFUNCTION("""COMPUTED_VALUE"""),0.0)</f>
        <v>0</v>
      </c>
      <c r="J1239" s="377"/>
      <c r="K1239" s="166"/>
      <c r="L1239" s="166"/>
      <c r="M1239" s="166"/>
      <c r="N1239" s="170"/>
      <c r="O1239" s="171"/>
      <c r="P1239" s="171"/>
      <c r="Q1239" s="172"/>
      <c r="R1239" s="173"/>
      <c r="S1239" s="173"/>
      <c r="T1239" s="173"/>
      <c r="U1239" s="201"/>
      <c r="V1239" s="165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</row>
    <row r="1240">
      <c r="A1240" s="165">
        <f>IFERROR(__xludf.DUMMYFUNCTION("""COMPUTED_VALUE"""),8934064.0)</f>
        <v>8934064</v>
      </c>
      <c r="B1240" s="166" t="str">
        <f>IFERROR(__xludf.DUMMYFUNCTION("""COMPUTED_VALUE"""),"BookingCom")</f>
        <v>BookingCom</v>
      </c>
      <c r="C1240" s="166" t="str">
        <f>IFERROR(__xludf.DUMMYFUNCTION("""COMPUTED_VALUE"""),"Kristin Hoyt ")</f>
        <v>Kristin Hoyt </v>
      </c>
      <c r="D1240" s="165">
        <f>IFERROR(__xludf.DUMMYFUNCTION("""COMPUTED_VALUE"""),46388.0)</f>
        <v>46388</v>
      </c>
      <c r="E1240" s="165">
        <f>IFERROR(__xludf.DUMMYFUNCTION("""COMPUTED_VALUE"""),46391.0)</f>
        <v>46391</v>
      </c>
      <c r="F1240" s="377">
        <f>IFERROR(__xludf.DUMMYFUNCTION("""COMPUTED_VALUE"""),3.0)</f>
        <v>3</v>
      </c>
      <c r="G1240" s="377">
        <f>IFERROR(__xludf.DUMMYFUNCTION("""COMPUTED_VALUE"""),2.0)</f>
        <v>2</v>
      </c>
      <c r="H1240" s="378">
        <f>IFERROR(__xludf.DUMMYFUNCTION("""COMPUTED_VALUE"""),234.47)</f>
        <v>234.47</v>
      </c>
      <c r="I1240" s="378">
        <f>IFERROR(__xludf.DUMMYFUNCTION("""COMPUTED_VALUE"""),562.7280000000001)</f>
        <v>562.728</v>
      </c>
      <c r="J1240" s="377"/>
      <c r="K1240" s="166"/>
      <c r="L1240" s="166"/>
      <c r="M1240" s="166"/>
      <c r="N1240" s="170"/>
      <c r="O1240" s="171"/>
      <c r="P1240" s="171"/>
      <c r="Q1240" s="172"/>
      <c r="R1240" s="173"/>
      <c r="S1240" s="173"/>
      <c r="T1240" s="173"/>
      <c r="U1240" s="201"/>
      <c r="V1240" s="165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</row>
    <row r="1241">
      <c r="A1241" s="165">
        <f>IFERROR(__xludf.DUMMYFUNCTION("""COMPUTED_VALUE"""),8934706.0)</f>
        <v>8934706</v>
      </c>
      <c r="B1241" s="166" t="str">
        <f>IFERROR(__xludf.DUMMYFUNCTION("""COMPUTED_VALUE"""),"BookingCom")</f>
        <v>BookingCom</v>
      </c>
      <c r="C1241" s="166" t="str">
        <f>IFERROR(__xludf.DUMMYFUNCTION("""COMPUTED_VALUE"""),"Peter Lund ")</f>
        <v>Peter Lund </v>
      </c>
      <c r="D1241" s="165">
        <f>IFERROR(__xludf.DUMMYFUNCTION("""COMPUTED_VALUE"""),46231.0)</f>
        <v>46231</v>
      </c>
      <c r="E1241" s="165">
        <f>IFERROR(__xludf.DUMMYFUNCTION("""COMPUTED_VALUE"""),46233.0)</f>
        <v>46233</v>
      </c>
      <c r="F1241" s="377">
        <f>IFERROR(__xludf.DUMMYFUNCTION("""COMPUTED_VALUE"""),2.0)</f>
        <v>2</v>
      </c>
      <c r="G1241" s="377">
        <f>IFERROR(__xludf.DUMMYFUNCTION("""COMPUTED_VALUE"""),2.0)</f>
        <v>2</v>
      </c>
      <c r="H1241" s="378">
        <f>IFERROR(__xludf.DUMMYFUNCTION("""COMPUTED_VALUE"""),94.17)</f>
        <v>94.17</v>
      </c>
      <c r="I1241" s="378">
        <f>IFERROR(__xludf.DUMMYFUNCTION("""COMPUTED_VALUE"""),150.672)</f>
        <v>150.672</v>
      </c>
      <c r="J1241" s="377"/>
      <c r="K1241" s="166"/>
      <c r="L1241" s="166"/>
      <c r="M1241" s="166"/>
      <c r="N1241" s="170"/>
      <c r="O1241" s="171"/>
      <c r="P1241" s="171"/>
      <c r="Q1241" s="172"/>
      <c r="R1241" s="173"/>
      <c r="S1241" s="173"/>
      <c r="T1241" s="173"/>
      <c r="U1241" s="201"/>
      <c r="V1241" s="165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</row>
    <row r="1242">
      <c r="A1242" s="165">
        <f>IFERROR(__xludf.DUMMYFUNCTION("""COMPUTED_VALUE"""),8934706.0)</f>
        <v>8934706</v>
      </c>
      <c r="B1242" s="166" t="str">
        <f>IFERROR(__xludf.DUMMYFUNCTION("""COMPUTED_VALUE"""),"BookingCom")</f>
        <v>BookingCom</v>
      </c>
      <c r="C1242" s="166" t="str">
        <f>IFERROR(__xludf.DUMMYFUNCTION("""COMPUTED_VALUE"""),"Peter Lund ")</f>
        <v>Peter Lund </v>
      </c>
      <c r="D1242" s="165">
        <f>IFERROR(__xludf.DUMMYFUNCTION("""COMPUTED_VALUE"""),46231.0)</f>
        <v>46231</v>
      </c>
      <c r="E1242" s="165">
        <f>IFERROR(__xludf.DUMMYFUNCTION("""COMPUTED_VALUE"""),46233.0)</f>
        <v>46233</v>
      </c>
      <c r="F1242" s="377">
        <f>IFERROR(__xludf.DUMMYFUNCTION("""COMPUTED_VALUE"""),2.0)</f>
        <v>2</v>
      </c>
      <c r="G1242" s="377">
        <f>IFERROR(__xludf.DUMMYFUNCTION("""COMPUTED_VALUE"""),2.0)</f>
        <v>2</v>
      </c>
      <c r="H1242" s="378">
        <f>IFERROR(__xludf.DUMMYFUNCTION("""COMPUTED_VALUE"""),94.17)</f>
        <v>94.17</v>
      </c>
      <c r="I1242" s="378">
        <f>IFERROR(__xludf.DUMMYFUNCTION("""COMPUTED_VALUE"""),150.672)</f>
        <v>150.672</v>
      </c>
      <c r="J1242" s="377"/>
      <c r="K1242" s="166"/>
      <c r="L1242" s="166"/>
      <c r="M1242" s="166"/>
      <c r="N1242" s="170"/>
      <c r="O1242" s="171"/>
      <c r="P1242" s="171"/>
      <c r="Q1242" s="172"/>
      <c r="R1242" s="173"/>
      <c r="S1242" s="173"/>
      <c r="T1242" s="173"/>
      <c r="U1242" s="201"/>
      <c r="V1242" s="165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</row>
    <row r="1243">
      <c r="A1243" s="165">
        <f>IFERROR(__xludf.DUMMYFUNCTION("""COMPUTED_VALUE"""),8934826.0)</f>
        <v>8934826</v>
      </c>
      <c r="B1243" s="166" t="str">
        <f>IFERROR(__xludf.DUMMYFUNCTION("""COMPUTED_VALUE"""),"BookingCom")</f>
        <v>BookingCom</v>
      </c>
      <c r="C1243" s="166" t="str">
        <f>IFERROR(__xludf.DUMMYFUNCTION("""COMPUTED_VALUE"""),"Arnaud Van Melkebeke ")</f>
        <v>Arnaud Van Melkebeke </v>
      </c>
      <c r="D1243" s="165">
        <f>IFERROR(__xludf.DUMMYFUNCTION("""COMPUTED_VALUE"""),46257.0)</f>
        <v>46257</v>
      </c>
      <c r="E1243" s="165">
        <f>IFERROR(__xludf.DUMMYFUNCTION("""COMPUTED_VALUE"""),46259.0)</f>
        <v>46259</v>
      </c>
      <c r="F1243" s="377">
        <f>IFERROR(__xludf.DUMMYFUNCTION("""COMPUTED_VALUE"""),2.0)</f>
        <v>2</v>
      </c>
      <c r="G1243" s="377">
        <f>IFERROR(__xludf.DUMMYFUNCTION("""COMPUTED_VALUE"""),2.0)</f>
        <v>2</v>
      </c>
      <c r="H1243" s="378">
        <f>IFERROR(__xludf.DUMMYFUNCTION("""COMPUTED_VALUE"""),75.71)</f>
        <v>75.71</v>
      </c>
      <c r="I1243" s="378">
        <f>IFERROR(__xludf.DUMMYFUNCTION("""COMPUTED_VALUE"""),121.136)</f>
        <v>121.136</v>
      </c>
      <c r="J1243" s="377"/>
      <c r="K1243" s="166"/>
      <c r="L1243" s="166"/>
      <c r="M1243" s="166"/>
      <c r="N1243" s="170"/>
      <c r="O1243" s="171"/>
      <c r="P1243" s="171"/>
      <c r="Q1243" s="172"/>
      <c r="R1243" s="173"/>
      <c r="S1243" s="173"/>
      <c r="T1243" s="173"/>
      <c r="U1243" s="201"/>
      <c r="V1243" s="165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</row>
    <row r="1244">
      <c r="A1244" s="165">
        <f>IFERROR(__xludf.DUMMYFUNCTION("""COMPUTED_VALUE"""),8935978.0)</f>
        <v>8935978</v>
      </c>
      <c r="B1244" s="166" t="str">
        <f>IFERROR(__xludf.DUMMYFUNCTION("""COMPUTED_VALUE"""),"BookingCom")</f>
        <v>BookingCom</v>
      </c>
      <c r="C1244" s="166" t="str">
        <f>IFERROR(__xludf.DUMMYFUNCTION("""COMPUTED_VALUE"""),"Patricia Skolaude Dini ")</f>
        <v>Patricia Skolaude Dini </v>
      </c>
      <c r="D1244" s="165">
        <f>IFERROR(__xludf.DUMMYFUNCTION("""COMPUTED_VALUE"""),46264.0)</f>
        <v>46264</v>
      </c>
      <c r="E1244" s="165">
        <f>IFERROR(__xludf.DUMMYFUNCTION("""COMPUTED_VALUE"""),46266.0)</f>
        <v>46266</v>
      </c>
      <c r="F1244" s="377">
        <f>IFERROR(__xludf.DUMMYFUNCTION("""COMPUTED_VALUE"""),2.0)</f>
        <v>2</v>
      </c>
      <c r="G1244" s="377">
        <f>IFERROR(__xludf.DUMMYFUNCTION("""COMPUTED_VALUE"""),2.0)</f>
        <v>2</v>
      </c>
      <c r="H1244" s="378">
        <f>IFERROR(__xludf.DUMMYFUNCTION("""COMPUTED_VALUE"""),105.86)</f>
        <v>105.86</v>
      </c>
      <c r="I1244" s="378">
        <f>IFERROR(__xludf.DUMMYFUNCTION("""COMPUTED_VALUE"""),169.376)</f>
        <v>169.376</v>
      </c>
      <c r="J1244" s="377"/>
      <c r="K1244" s="166"/>
      <c r="L1244" s="166"/>
      <c r="M1244" s="166"/>
      <c r="N1244" s="170"/>
      <c r="O1244" s="171"/>
      <c r="P1244" s="171"/>
      <c r="Q1244" s="172"/>
      <c r="R1244" s="173"/>
      <c r="S1244" s="173"/>
      <c r="T1244" s="173"/>
      <c r="U1244" s="201"/>
      <c r="V1244" s="165"/>
      <c r="W1244" s="35"/>
      <c r="X1244" s="35"/>
      <c r="Y1244" s="35"/>
      <c r="Z1244" s="35"/>
      <c r="AA1244" s="35"/>
      <c r="AB1244" s="35"/>
      <c r="AC1244" s="35"/>
      <c r="AD1244" s="35"/>
      <c r="AE1244" s="35"/>
      <c r="AF1244" s="35"/>
      <c r="AG1244" s="35"/>
      <c r="AH1244" s="35"/>
      <c r="AI1244" s="35"/>
    </row>
    <row r="1245">
      <c r="A1245" s="165">
        <f>IFERROR(__xludf.DUMMYFUNCTION("""COMPUTED_VALUE"""),8937580.0)</f>
        <v>8937580</v>
      </c>
      <c r="B1245" s="166" t="str">
        <f>IFERROR(__xludf.DUMMYFUNCTION("""COMPUTED_VALUE"""),"BookingCom")</f>
        <v>BookingCom</v>
      </c>
      <c r="C1245" s="166" t="str">
        <f>IFERROR(__xludf.DUMMYFUNCTION("""COMPUTED_VALUE"""),"Anoesjka Kiemeney ")</f>
        <v>Anoesjka Kiemeney </v>
      </c>
      <c r="D1245" s="165">
        <f>IFERROR(__xludf.DUMMYFUNCTION("""COMPUTED_VALUE"""),46290.0)</f>
        <v>46290</v>
      </c>
      <c r="E1245" s="165">
        <f>IFERROR(__xludf.DUMMYFUNCTION("""COMPUTED_VALUE"""),46291.0)</f>
        <v>46291</v>
      </c>
      <c r="F1245" s="377">
        <f>IFERROR(__xludf.DUMMYFUNCTION("""COMPUTED_VALUE"""),1.0)</f>
        <v>1</v>
      </c>
      <c r="G1245" s="377">
        <f>IFERROR(__xludf.DUMMYFUNCTION("""COMPUTED_VALUE"""),2.0)</f>
        <v>2</v>
      </c>
      <c r="H1245" s="378">
        <f>IFERROR(__xludf.DUMMYFUNCTION("""COMPUTED_VALUE"""),162.98)</f>
        <v>162.98</v>
      </c>
      <c r="I1245" s="378">
        <f>IFERROR(__xludf.DUMMYFUNCTION("""COMPUTED_VALUE"""),130.384)</f>
        <v>130.384</v>
      </c>
      <c r="J1245" s="377"/>
      <c r="K1245" s="166"/>
      <c r="L1245" s="166"/>
      <c r="M1245" s="166"/>
      <c r="N1245" s="169"/>
      <c r="O1245" s="171"/>
      <c r="P1245" s="171"/>
      <c r="Q1245" s="169"/>
      <c r="R1245" s="173"/>
      <c r="S1245" s="173"/>
      <c r="T1245" s="173"/>
      <c r="U1245" s="201"/>
      <c r="V1245" s="165"/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</row>
    <row r="1246">
      <c r="A1246" s="165">
        <f>IFERROR(__xludf.DUMMYFUNCTION("""COMPUTED_VALUE"""),8938038.0)</f>
        <v>8938038</v>
      </c>
      <c r="B1246" s="166" t="str">
        <f>IFERROR(__xludf.DUMMYFUNCTION("""COMPUTED_VALUE"""),"Reseliva Pannel")</f>
        <v>Reseliva Pannel</v>
      </c>
      <c r="C1246" s="166" t="str">
        <f>IFERROR(__xludf.DUMMYFUNCTION("""COMPUTED_VALUE"""),"Ellie Saad ")</f>
        <v>Ellie Saad </v>
      </c>
      <c r="D1246" s="165">
        <f>IFERROR(__xludf.DUMMYFUNCTION("""COMPUTED_VALUE"""),46520.0)</f>
        <v>46520</v>
      </c>
      <c r="E1246" s="165">
        <f>IFERROR(__xludf.DUMMYFUNCTION("""COMPUTED_VALUE"""),46524.0)</f>
        <v>46524</v>
      </c>
      <c r="F1246" s="377">
        <f>IFERROR(__xludf.DUMMYFUNCTION("""COMPUTED_VALUE"""),4.0)</f>
        <v>4</v>
      </c>
      <c r="G1246" s="377">
        <f>IFERROR(__xludf.DUMMYFUNCTION("""COMPUTED_VALUE"""),2.0)</f>
        <v>2</v>
      </c>
      <c r="H1246" s="378">
        <f>IFERROR(__xludf.DUMMYFUNCTION("""COMPUTED_VALUE"""),210.24)</f>
        <v>210.24</v>
      </c>
      <c r="I1246" s="378">
        <f>IFERROR(__xludf.DUMMYFUNCTION("""COMPUTED_VALUE"""),840.96)</f>
        <v>840.96</v>
      </c>
      <c r="J1246" s="377"/>
      <c r="K1246" s="166"/>
      <c r="L1246" s="166"/>
      <c r="M1246" s="166"/>
      <c r="N1246" s="170"/>
      <c r="O1246" s="171"/>
      <c r="P1246" s="171"/>
      <c r="Q1246" s="172"/>
      <c r="R1246" s="173"/>
      <c r="S1246" s="173"/>
      <c r="T1246" s="173"/>
      <c r="U1246" s="201"/>
      <c r="V1246" s="165"/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</row>
    <row r="1247">
      <c r="A1247" s="165">
        <f>IFERROR(__xludf.DUMMYFUNCTION("""COMPUTED_VALUE"""),8938038.0)</f>
        <v>8938038</v>
      </c>
      <c r="B1247" s="166" t="str">
        <f>IFERROR(__xludf.DUMMYFUNCTION("""COMPUTED_VALUE"""),"Reseliva Pannel")</f>
        <v>Reseliva Pannel</v>
      </c>
      <c r="C1247" s="166" t="str">
        <f>IFERROR(__xludf.DUMMYFUNCTION("""COMPUTED_VALUE"""),"Ellie Saad ")</f>
        <v>Ellie Saad </v>
      </c>
      <c r="D1247" s="165">
        <f>IFERROR(__xludf.DUMMYFUNCTION("""COMPUTED_VALUE"""),46520.0)</f>
        <v>46520</v>
      </c>
      <c r="E1247" s="165">
        <f>IFERROR(__xludf.DUMMYFUNCTION("""COMPUTED_VALUE"""),46524.0)</f>
        <v>46524</v>
      </c>
      <c r="F1247" s="377">
        <f>IFERROR(__xludf.DUMMYFUNCTION("""COMPUTED_VALUE"""),4.0)</f>
        <v>4</v>
      </c>
      <c r="G1247" s="377">
        <f>IFERROR(__xludf.DUMMYFUNCTION("""COMPUTED_VALUE"""),2.0)</f>
        <v>2</v>
      </c>
      <c r="H1247" s="378">
        <f>IFERROR(__xludf.DUMMYFUNCTION("""COMPUTED_VALUE"""),239.76)</f>
        <v>239.76</v>
      </c>
      <c r="I1247" s="378">
        <f>IFERROR(__xludf.DUMMYFUNCTION("""COMPUTED_VALUE"""),959.04)</f>
        <v>959.04</v>
      </c>
      <c r="J1247" s="377"/>
      <c r="K1247" s="166"/>
      <c r="L1247" s="166"/>
      <c r="M1247" s="166"/>
      <c r="N1247" s="170"/>
      <c r="O1247" s="171"/>
      <c r="P1247" s="171"/>
      <c r="Q1247" s="172"/>
      <c r="R1247" s="173"/>
      <c r="S1247" s="173"/>
      <c r="T1247" s="173"/>
      <c r="U1247" s="201"/>
      <c r="V1247" s="165"/>
      <c r="W1247" s="188"/>
      <c r="X1247" s="35"/>
      <c r="Y1247" s="35"/>
      <c r="Z1247" s="35"/>
      <c r="AA1247" s="35"/>
      <c r="AB1247" s="35"/>
      <c r="AC1247" s="35"/>
      <c r="AD1247" s="35"/>
      <c r="AE1247" s="35"/>
      <c r="AF1247" s="35"/>
      <c r="AG1247" s="35"/>
      <c r="AH1247" s="35"/>
      <c r="AI1247" s="35"/>
    </row>
    <row r="1248">
      <c r="A1248" s="165">
        <f>IFERROR(__xludf.DUMMYFUNCTION("""COMPUTED_VALUE"""),8938038.0)</f>
        <v>8938038</v>
      </c>
      <c r="B1248" s="166" t="str">
        <f>IFERROR(__xludf.DUMMYFUNCTION("""COMPUTED_VALUE"""),"Reseliva Pannel")</f>
        <v>Reseliva Pannel</v>
      </c>
      <c r="C1248" s="166" t="str">
        <f>IFERROR(__xludf.DUMMYFUNCTION("""COMPUTED_VALUE"""),"Ellie Saad ")</f>
        <v>Ellie Saad </v>
      </c>
      <c r="D1248" s="165">
        <f>IFERROR(__xludf.DUMMYFUNCTION("""COMPUTED_VALUE"""),46520.0)</f>
        <v>46520</v>
      </c>
      <c r="E1248" s="165">
        <f>IFERROR(__xludf.DUMMYFUNCTION("""COMPUTED_VALUE"""),46524.0)</f>
        <v>46524</v>
      </c>
      <c r="F1248" s="377">
        <f>IFERROR(__xludf.DUMMYFUNCTION("""COMPUTED_VALUE"""),4.0)</f>
        <v>4</v>
      </c>
      <c r="G1248" s="377">
        <f>IFERROR(__xludf.DUMMYFUNCTION("""COMPUTED_VALUE"""),2.0)</f>
        <v>2</v>
      </c>
      <c r="H1248" s="378">
        <f>IFERROR(__xludf.DUMMYFUNCTION("""COMPUTED_VALUE"""),239.76)</f>
        <v>239.76</v>
      </c>
      <c r="I1248" s="378">
        <f>IFERROR(__xludf.DUMMYFUNCTION("""COMPUTED_VALUE"""),959.04)</f>
        <v>959.04</v>
      </c>
      <c r="J1248" s="377"/>
      <c r="K1248" s="166"/>
      <c r="L1248" s="166"/>
      <c r="M1248" s="166"/>
      <c r="N1248" s="170"/>
      <c r="O1248" s="171"/>
      <c r="P1248" s="171"/>
      <c r="Q1248" s="172"/>
      <c r="R1248" s="173"/>
      <c r="S1248" s="173"/>
      <c r="T1248" s="173"/>
      <c r="U1248" s="201"/>
      <c r="V1248" s="165"/>
      <c r="W1248" s="36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</row>
    <row r="1249">
      <c r="A1249" s="165">
        <f>IFERROR(__xludf.DUMMYFUNCTION("""COMPUTED_VALUE"""),8938038.0)</f>
        <v>8938038</v>
      </c>
      <c r="B1249" s="166" t="str">
        <f>IFERROR(__xludf.DUMMYFUNCTION("""COMPUTED_VALUE"""),"Reseliva Pannel")</f>
        <v>Reseliva Pannel</v>
      </c>
      <c r="C1249" s="166" t="str">
        <f>IFERROR(__xludf.DUMMYFUNCTION("""COMPUTED_VALUE"""),"Ellie Saad ")</f>
        <v>Ellie Saad </v>
      </c>
      <c r="D1249" s="165">
        <f>IFERROR(__xludf.DUMMYFUNCTION("""COMPUTED_VALUE"""),46520.0)</f>
        <v>46520</v>
      </c>
      <c r="E1249" s="165">
        <f>IFERROR(__xludf.DUMMYFUNCTION("""COMPUTED_VALUE"""),46524.0)</f>
        <v>46524</v>
      </c>
      <c r="F1249" s="377">
        <f>IFERROR(__xludf.DUMMYFUNCTION("""COMPUTED_VALUE"""),4.0)</f>
        <v>4</v>
      </c>
      <c r="G1249" s="377">
        <f>IFERROR(__xludf.DUMMYFUNCTION("""COMPUTED_VALUE"""),2.0)</f>
        <v>2</v>
      </c>
      <c r="H1249" s="378">
        <f>IFERROR(__xludf.DUMMYFUNCTION("""COMPUTED_VALUE"""),239.76)</f>
        <v>239.76</v>
      </c>
      <c r="I1249" s="378">
        <f>IFERROR(__xludf.DUMMYFUNCTION("""COMPUTED_VALUE"""),959.04)</f>
        <v>959.04</v>
      </c>
      <c r="J1249" s="377"/>
      <c r="K1249" s="166"/>
      <c r="L1249" s="166"/>
      <c r="M1249" s="166"/>
      <c r="N1249" s="170"/>
      <c r="O1249" s="171"/>
      <c r="P1249" s="171"/>
      <c r="Q1249" s="172"/>
      <c r="R1249" s="173"/>
      <c r="S1249" s="173"/>
      <c r="T1249" s="173"/>
      <c r="U1249" s="201"/>
      <c r="V1249" s="165"/>
      <c r="W1249" s="36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</row>
    <row r="1250">
      <c r="A1250" s="165">
        <f>IFERROR(__xludf.DUMMYFUNCTION("""COMPUTED_VALUE"""),8938038.0)</f>
        <v>8938038</v>
      </c>
      <c r="B1250" s="166" t="str">
        <f>IFERROR(__xludf.DUMMYFUNCTION("""COMPUTED_VALUE"""),"Reseliva Pannel")</f>
        <v>Reseliva Pannel</v>
      </c>
      <c r="C1250" s="166" t="str">
        <f>IFERROR(__xludf.DUMMYFUNCTION("""COMPUTED_VALUE"""),"Ellie Saad ")</f>
        <v>Ellie Saad </v>
      </c>
      <c r="D1250" s="165">
        <f>IFERROR(__xludf.DUMMYFUNCTION("""COMPUTED_VALUE"""),46520.0)</f>
        <v>46520</v>
      </c>
      <c r="E1250" s="165">
        <f>IFERROR(__xludf.DUMMYFUNCTION("""COMPUTED_VALUE"""),46524.0)</f>
        <v>46524</v>
      </c>
      <c r="F1250" s="377">
        <f>IFERROR(__xludf.DUMMYFUNCTION("""COMPUTED_VALUE"""),4.0)</f>
        <v>4</v>
      </c>
      <c r="G1250" s="377">
        <f>IFERROR(__xludf.DUMMYFUNCTION("""COMPUTED_VALUE"""),2.0)</f>
        <v>2</v>
      </c>
      <c r="H1250" s="378">
        <f>IFERROR(__xludf.DUMMYFUNCTION("""COMPUTED_VALUE"""),239.76)</f>
        <v>239.76</v>
      </c>
      <c r="I1250" s="378">
        <f>IFERROR(__xludf.DUMMYFUNCTION("""COMPUTED_VALUE"""),959.04)</f>
        <v>959.04</v>
      </c>
      <c r="J1250" s="377"/>
      <c r="K1250" s="166"/>
      <c r="L1250" s="166"/>
      <c r="M1250" s="166"/>
      <c r="N1250" s="170"/>
      <c r="O1250" s="171"/>
      <c r="P1250" s="171"/>
      <c r="Q1250" s="172"/>
      <c r="R1250" s="173"/>
      <c r="S1250" s="173"/>
      <c r="T1250" s="173"/>
      <c r="U1250" s="201"/>
      <c r="V1250" s="165"/>
      <c r="W1250" s="188"/>
      <c r="X1250" s="188"/>
      <c r="Y1250" s="188"/>
      <c r="Z1250" s="188"/>
      <c r="AA1250" s="188"/>
      <c r="AB1250" s="188"/>
      <c r="AC1250" s="188"/>
      <c r="AD1250" s="188"/>
      <c r="AE1250" s="188"/>
      <c r="AF1250" s="188"/>
      <c r="AG1250" s="188"/>
      <c r="AH1250" s="188"/>
      <c r="AI1250" s="188"/>
    </row>
    <row r="1251">
      <c r="A1251" s="165">
        <f>IFERROR(__xludf.DUMMYFUNCTION("""COMPUTED_VALUE"""),8938038.0)</f>
        <v>8938038</v>
      </c>
      <c r="B1251" s="166" t="str">
        <f>IFERROR(__xludf.DUMMYFUNCTION("""COMPUTED_VALUE"""),"Reseliva Pannel")</f>
        <v>Reseliva Pannel</v>
      </c>
      <c r="C1251" s="166" t="str">
        <f>IFERROR(__xludf.DUMMYFUNCTION("""COMPUTED_VALUE"""),"Ellie Saad ")</f>
        <v>Ellie Saad </v>
      </c>
      <c r="D1251" s="165">
        <f>IFERROR(__xludf.DUMMYFUNCTION("""COMPUTED_VALUE"""),46520.0)</f>
        <v>46520</v>
      </c>
      <c r="E1251" s="165">
        <f>IFERROR(__xludf.DUMMYFUNCTION("""COMPUTED_VALUE"""),46524.0)</f>
        <v>46524</v>
      </c>
      <c r="F1251" s="377">
        <f>IFERROR(__xludf.DUMMYFUNCTION("""COMPUTED_VALUE"""),4.0)</f>
        <v>4</v>
      </c>
      <c r="G1251" s="377">
        <f>IFERROR(__xludf.DUMMYFUNCTION("""COMPUTED_VALUE"""),2.0)</f>
        <v>2</v>
      </c>
      <c r="H1251" s="378">
        <f>IFERROR(__xludf.DUMMYFUNCTION("""COMPUTED_VALUE"""),270.0)</f>
        <v>270</v>
      </c>
      <c r="I1251" s="378">
        <f>IFERROR(__xludf.DUMMYFUNCTION("""COMPUTED_VALUE"""),1080.0)</f>
        <v>1080</v>
      </c>
      <c r="J1251" s="377"/>
      <c r="K1251" s="166"/>
      <c r="L1251" s="166"/>
      <c r="M1251" s="166"/>
      <c r="N1251" s="170"/>
      <c r="O1251" s="171"/>
      <c r="P1251" s="171"/>
      <c r="Q1251" s="172"/>
      <c r="R1251" s="173"/>
      <c r="S1251" s="173"/>
      <c r="T1251" s="173"/>
      <c r="U1251" s="201"/>
      <c r="V1251" s="165"/>
      <c r="W1251" s="36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</row>
    <row r="1252">
      <c r="A1252" s="165">
        <f>IFERROR(__xludf.DUMMYFUNCTION("""COMPUTED_VALUE"""),8938038.0)</f>
        <v>8938038</v>
      </c>
      <c r="B1252" s="166" t="str">
        <f>IFERROR(__xludf.DUMMYFUNCTION("""COMPUTED_VALUE"""),"Reseliva Pannel")</f>
        <v>Reseliva Pannel</v>
      </c>
      <c r="C1252" s="166" t="str">
        <f>IFERROR(__xludf.DUMMYFUNCTION("""COMPUTED_VALUE"""),"Ellie Saad ")</f>
        <v>Ellie Saad </v>
      </c>
      <c r="D1252" s="165">
        <f>IFERROR(__xludf.DUMMYFUNCTION("""COMPUTED_VALUE"""),46520.0)</f>
        <v>46520</v>
      </c>
      <c r="E1252" s="165">
        <f>IFERROR(__xludf.DUMMYFUNCTION("""COMPUTED_VALUE"""),46524.0)</f>
        <v>46524</v>
      </c>
      <c r="F1252" s="377">
        <f>IFERROR(__xludf.DUMMYFUNCTION("""COMPUTED_VALUE"""),4.0)</f>
        <v>4</v>
      </c>
      <c r="G1252" s="377">
        <f>IFERROR(__xludf.DUMMYFUNCTION("""COMPUTED_VALUE"""),2.0)</f>
        <v>2</v>
      </c>
      <c r="H1252" s="378">
        <f>IFERROR(__xludf.DUMMYFUNCTION("""COMPUTED_VALUE"""),270.0)</f>
        <v>270</v>
      </c>
      <c r="I1252" s="378">
        <f>IFERROR(__xludf.DUMMYFUNCTION("""COMPUTED_VALUE"""),1080.0)</f>
        <v>1080</v>
      </c>
      <c r="J1252" s="377"/>
      <c r="K1252" s="166"/>
      <c r="L1252" s="166"/>
      <c r="M1252" s="166"/>
      <c r="N1252" s="170"/>
      <c r="O1252" s="171"/>
      <c r="P1252" s="171"/>
      <c r="Q1252" s="172"/>
      <c r="R1252" s="173"/>
      <c r="S1252" s="173"/>
      <c r="T1252" s="173"/>
      <c r="U1252" s="201"/>
      <c r="V1252" s="165"/>
      <c r="W1252" s="35"/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</row>
    <row r="1253">
      <c r="A1253" s="165">
        <f>IFERROR(__xludf.DUMMYFUNCTION("""COMPUTED_VALUE"""),8938387.0)</f>
        <v>8938387</v>
      </c>
      <c r="B1253" s="166" t="str">
        <f>IFERROR(__xludf.DUMMYFUNCTION("""COMPUTED_VALUE"""),"Ctrip")</f>
        <v>Ctrip</v>
      </c>
      <c r="C1253" s="166" t="str">
        <f>IFERROR(__xludf.DUMMYFUNCTION("""COMPUTED_VALUE"""),"JOHANNA FANG ")</f>
        <v>JOHANNA FANG </v>
      </c>
      <c r="D1253" s="165">
        <f>IFERROR(__xludf.DUMMYFUNCTION("""COMPUTED_VALUE"""),46232.0)</f>
        <v>46232</v>
      </c>
      <c r="E1253" s="165">
        <f>IFERROR(__xludf.DUMMYFUNCTION("""COMPUTED_VALUE"""),46233.0)</f>
        <v>46233</v>
      </c>
      <c r="F1253" s="377">
        <f>IFERROR(__xludf.DUMMYFUNCTION("""COMPUTED_VALUE"""),1.0)</f>
        <v>1</v>
      </c>
      <c r="G1253" s="377">
        <f>IFERROR(__xludf.DUMMYFUNCTION("""COMPUTED_VALUE"""),2.0)</f>
        <v>2</v>
      </c>
      <c r="H1253" s="378">
        <f>IFERROR(__xludf.DUMMYFUNCTION("""COMPUTED_VALUE"""),0.0)</f>
        <v>0</v>
      </c>
      <c r="I1253" s="378">
        <f>IFERROR(__xludf.DUMMYFUNCTION("""COMPUTED_VALUE"""),0.0)</f>
        <v>0</v>
      </c>
      <c r="J1253" s="377"/>
      <c r="K1253" s="166"/>
      <c r="L1253" s="166"/>
      <c r="M1253" s="166"/>
      <c r="N1253" s="170"/>
      <c r="O1253" s="171"/>
      <c r="P1253" s="171"/>
      <c r="Q1253" s="172"/>
      <c r="R1253" s="173"/>
      <c r="S1253" s="173"/>
      <c r="T1253" s="173"/>
      <c r="U1253" s="201"/>
      <c r="V1253" s="165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</row>
    <row r="1254">
      <c r="A1254" s="165">
        <f>IFERROR(__xludf.DUMMYFUNCTION("""COMPUTED_VALUE"""),8940271.0)</f>
        <v>8940271</v>
      </c>
      <c r="B1254" s="166" t="str">
        <f>IFERROR(__xludf.DUMMYFUNCTION("""COMPUTED_VALUE"""),"BookingCom")</f>
        <v>BookingCom</v>
      </c>
      <c r="C1254" s="166" t="str">
        <f>IFERROR(__xludf.DUMMYFUNCTION("""COMPUTED_VALUE"""),"Tilbe Arar ")</f>
        <v>Tilbe Arar </v>
      </c>
      <c r="D1254" s="165">
        <f>IFERROR(__xludf.DUMMYFUNCTION("""COMPUTED_VALUE"""),46251.0)</f>
        <v>46251</v>
      </c>
      <c r="E1254" s="165">
        <f>IFERROR(__xludf.DUMMYFUNCTION("""COMPUTED_VALUE"""),46255.0)</f>
        <v>46255</v>
      </c>
      <c r="F1254" s="377">
        <f>IFERROR(__xludf.DUMMYFUNCTION("""COMPUTED_VALUE"""),4.0)</f>
        <v>4</v>
      </c>
      <c r="G1254" s="377">
        <f>IFERROR(__xludf.DUMMYFUNCTION("""COMPUTED_VALUE"""),2.0)</f>
        <v>2</v>
      </c>
      <c r="H1254" s="378">
        <f>IFERROR(__xludf.DUMMYFUNCTION("""COMPUTED_VALUE"""),105.6)</f>
        <v>105.6</v>
      </c>
      <c r="I1254" s="378">
        <f>IFERROR(__xludf.DUMMYFUNCTION("""COMPUTED_VALUE"""),337.92)</f>
        <v>337.92</v>
      </c>
      <c r="J1254" s="377"/>
      <c r="K1254" s="166"/>
      <c r="L1254" s="166"/>
      <c r="M1254" s="166"/>
      <c r="N1254" s="170"/>
      <c r="O1254" s="171"/>
      <c r="P1254" s="171"/>
      <c r="Q1254" s="172"/>
      <c r="R1254" s="173"/>
      <c r="S1254" s="173"/>
      <c r="T1254" s="173"/>
      <c r="U1254" s="201"/>
      <c r="V1254" s="165"/>
      <c r="W1254" s="188"/>
      <c r="X1254" s="188"/>
      <c r="Y1254" s="188"/>
      <c r="Z1254" s="188"/>
      <c r="AA1254" s="188"/>
      <c r="AB1254" s="188"/>
      <c r="AC1254" s="188"/>
      <c r="AD1254" s="188"/>
      <c r="AE1254" s="188"/>
      <c r="AF1254" s="188"/>
      <c r="AG1254" s="188"/>
      <c r="AH1254" s="188"/>
      <c r="AI1254" s="188"/>
    </row>
    <row r="1255">
      <c r="A1255" s="165">
        <f>IFERROR(__xludf.DUMMYFUNCTION("""COMPUTED_VALUE"""),8940690.0)</f>
        <v>8940690</v>
      </c>
      <c r="B1255" s="166" t="str">
        <f>IFERROR(__xludf.DUMMYFUNCTION("""COMPUTED_VALUE"""),"Reseliva")</f>
        <v>Reseliva</v>
      </c>
      <c r="C1255" s="166" t="str">
        <f>IFERROR(__xludf.DUMMYFUNCTION("""COMPUTED_VALUE"""),"stephane morice ")</f>
        <v>stephane morice </v>
      </c>
      <c r="D1255" s="165">
        <f>IFERROR(__xludf.DUMMYFUNCTION("""COMPUTED_VALUE"""),46309.0)</f>
        <v>46309</v>
      </c>
      <c r="E1255" s="165">
        <f>IFERROR(__xludf.DUMMYFUNCTION("""COMPUTED_VALUE"""),46311.0)</f>
        <v>46311</v>
      </c>
      <c r="F1255" s="377">
        <f>IFERROR(__xludf.DUMMYFUNCTION("""COMPUTED_VALUE"""),2.0)</f>
        <v>2</v>
      </c>
      <c r="G1255" s="377">
        <f>IFERROR(__xludf.DUMMYFUNCTION("""COMPUTED_VALUE"""),2.0)</f>
        <v>2</v>
      </c>
      <c r="H1255" s="378">
        <f>IFERROR(__xludf.DUMMYFUNCTION("""COMPUTED_VALUE"""),300.0)</f>
        <v>300</v>
      </c>
      <c r="I1255" s="378">
        <f>IFERROR(__xludf.DUMMYFUNCTION("""COMPUTED_VALUE"""),594.0)</f>
        <v>594</v>
      </c>
      <c r="J1255" s="377"/>
      <c r="K1255" s="166"/>
      <c r="L1255" s="166"/>
      <c r="M1255" s="166"/>
      <c r="N1255" s="170"/>
      <c r="O1255" s="171"/>
      <c r="P1255" s="171"/>
      <c r="Q1255" s="172"/>
      <c r="R1255" s="173"/>
      <c r="S1255" s="173"/>
      <c r="T1255" s="173"/>
      <c r="U1255" s="201"/>
      <c r="V1255" s="165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</row>
    <row r="1256">
      <c r="A1256" s="165">
        <f>IFERROR(__xludf.DUMMYFUNCTION("""COMPUTED_VALUE"""),8940690.0)</f>
        <v>8940690</v>
      </c>
      <c r="B1256" s="166" t="str">
        <f>IFERROR(__xludf.DUMMYFUNCTION("""COMPUTED_VALUE"""),"Reseliva")</f>
        <v>Reseliva</v>
      </c>
      <c r="C1256" s="166" t="str">
        <f>IFERROR(__xludf.DUMMYFUNCTION("""COMPUTED_VALUE"""),"stephane morice ")</f>
        <v>stephane morice </v>
      </c>
      <c r="D1256" s="165">
        <f>IFERROR(__xludf.DUMMYFUNCTION("""COMPUTED_VALUE"""),46309.0)</f>
        <v>46309</v>
      </c>
      <c r="E1256" s="165">
        <f>IFERROR(__xludf.DUMMYFUNCTION("""COMPUTED_VALUE"""),46311.0)</f>
        <v>46311</v>
      </c>
      <c r="F1256" s="377">
        <f>IFERROR(__xludf.DUMMYFUNCTION("""COMPUTED_VALUE"""),2.0)</f>
        <v>2</v>
      </c>
      <c r="G1256" s="377">
        <f>IFERROR(__xludf.DUMMYFUNCTION("""COMPUTED_VALUE"""),2.0)</f>
        <v>2</v>
      </c>
      <c r="H1256" s="378">
        <f>IFERROR(__xludf.DUMMYFUNCTION("""COMPUTED_VALUE"""),266.4)</f>
        <v>266.4</v>
      </c>
      <c r="I1256" s="378">
        <f>IFERROR(__xludf.DUMMYFUNCTION("""COMPUTED_VALUE"""),527.472)</f>
        <v>527.472</v>
      </c>
      <c r="J1256" s="377"/>
      <c r="K1256" s="166"/>
      <c r="L1256" s="166"/>
      <c r="M1256" s="166"/>
      <c r="N1256" s="170"/>
      <c r="O1256" s="171"/>
      <c r="P1256" s="171"/>
      <c r="Q1256" s="172"/>
      <c r="R1256" s="173"/>
      <c r="S1256" s="173"/>
      <c r="T1256" s="173"/>
      <c r="U1256" s="201"/>
      <c r="V1256" s="165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</row>
    <row r="1257">
      <c r="A1257" s="165">
        <f>IFERROR(__xludf.DUMMYFUNCTION("""COMPUTED_VALUE"""),8941120.0)</f>
        <v>8941120</v>
      </c>
      <c r="B1257" s="166" t="str">
        <f>IFERROR(__xludf.DUMMYFUNCTION("""COMPUTED_VALUE"""),"BookingCom")</f>
        <v>BookingCom</v>
      </c>
      <c r="C1257" s="166" t="str">
        <f>IFERROR(__xludf.DUMMYFUNCTION("""COMPUTED_VALUE"""),"Filipe Cordeiro ")</f>
        <v>Filipe Cordeiro </v>
      </c>
      <c r="D1257" s="165">
        <f>IFERROR(__xludf.DUMMYFUNCTION("""COMPUTED_VALUE"""),46249.0)</f>
        <v>46249</v>
      </c>
      <c r="E1257" s="165">
        <f>IFERROR(__xludf.DUMMYFUNCTION("""COMPUTED_VALUE"""),46254.0)</f>
        <v>46254</v>
      </c>
      <c r="F1257" s="377">
        <f>IFERROR(__xludf.DUMMYFUNCTION("""COMPUTED_VALUE"""),5.0)</f>
        <v>5</v>
      </c>
      <c r="G1257" s="377">
        <f>IFERROR(__xludf.DUMMYFUNCTION("""COMPUTED_VALUE"""),2.0)</f>
        <v>2</v>
      </c>
      <c r="H1257" s="378">
        <f>IFERROR(__xludf.DUMMYFUNCTION("""COMPUTED_VALUE"""),125.08)</f>
        <v>125.08</v>
      </c>
      <c r="I1257" s="378">
        <f>IFERROR(__xludf.DUMMYFUNCTION("""COMPUTED_VALUE"""),500.32000000000005)</f>
        <v>500.32</v>
      </c>
      <c r="J1257" s="377"/>
      <c r="K1257" s="166"/>
      <c r="L1257" s="166"/>
      <c r="M1257" s="166"/>
      <c r="N1257" s="169"/>
      <c r="O1257" s="171"/>
      <c r="P1257" s="171"/>
      <c r="Q1257" s="169"/>
      <c r="R1257" s="173"/>
      <c r="S1257" s="173"/>
      <c r="T1257" s="173"/>
      <c r="U1257" s="201"/>
      <c r="V1257" s="165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</row>
    <row r="1258">
      <c r="A1258" s="165">
        <f>IFERROR(__xludf.DUMMYFUNCTION("""COMPUTED_VALUE"""),8941623.0)</f>
        <v>8941623</v>
      </c>
      <c r="B1258" s="166" t="str">
        <f>IFERROR(__xludf.DUMMYFUNCTION("""COMPUTED_VALUE"""),"BookingCom")</f>
        <v>BookingCom</v>
      </c>
      <c r="C1258" s="166" t="str">
        <f>IFERROR(__xludf.DUMMYFUNCTION("""COMPUTED_VALUE"""),"nicolas de la croix Vaubois ")</f>
        <v>nicolas de la croix Vaubois </v>
      </c>
      <c r="D1258" s="165">
        <f>IFERROR(__xludf.DUMMYFUNCTION("""COMPUTED_VALUE"""),46237.0)</f>
        <v>46237</v>
      </c>
      <c r="E1258" s="165">
        <f>IFERROR(__xludf.DUMMYFUNCTION("""COMPUTED_VALUE"""),46239.0)</f>
        <v>46239</v>
      </c>
      <c r="F1258" s="377">
        <f>IFERROR(__xludf.DUMMYFUNCTION("""COMPUTED_VALUE"""),2.0)</f>
        <v>2</v>
      </c>
      <c r="G1258" s="377">
        <f>IFERROR(__xludf.DUMMYFUNCTION("""COMPUTED_VALUE"""),2.0)</f>
        <v>2</v>
      </c>
      <c r="H1258" s="378">
        <f>IFERROR(__xludf.DUMMYFUNCTION("""COMPUTED_VALUE"""),140.42)</f>
        <v>140.42</v>
      </c>
      <c r="I1258" s="378">
        <f>IFERROR(__xludf.DUMMYFUNCTION("""COMPUTED_VALUE"""),224.672)</f>
        <v>224.672</v>
      </c>
      <c r="J1258" s="377"/>
      <c r="K1258" s="166"/>
      <c r="L1258" s="166"/>
      <c r="M1258" s="166"/>
      <c r="N1258" s="170"/>
      <c r="O1258" s="171"/>
      <c r="P1258" s="171"/>
      <c r="Q1258" s="172"/>
      <c r="R1258" s="173"/>
      <c r="S1258" s="173"/>
      <c r="T1258" s="173"/>
      <c r="U1258" s="201"/>
      <c r="V1258" s="165"/>
      <c r="W1258" s="188"/>
      <c r="X1258" s="188"/>
      <c r="Y1258" s="188"/>
      <c r="Z1258" s="188"/>
      <c r="AA1258" s="188"/>
      <c r="AB1258" s="188"/>
      <c r="AC1258" s="188"/>
      <c r="AD1258" s="188"/>
      <c r="AE1258" s="188"/>
      <c r="AF1258" s="188"/>
      <c r="AG1258" s="188"/>
      <c r="AH1258" s="188"/>
      <c r="AI1258" s="188"/>
    </row>
    <row r="1259">
      <c r="A1259" s="263">
        <f>IFERROR(__xludf.DUMMYFUNCTION("""COMPUTED_VALUE"""),8941864.0)</f>
        <v>8941864</v>
      </c>
      <c r="B1259" s="264" t="str">
        <f>IFERROR(__xludf.DUMMYFUNCTION("""COMPUTED_VALUE"""),"Agoda2")</f>
        <v>Agoda2</v>
      </c>
      <c r="C1259" s="265" t="str">
        <f>IFERROR(__xludf.DUMMYFUNCTION("""COMPUTED_VALUE"""),"Peter Lund ")</f>
        <v>Peter Lund </v>
      </c>
      <c r="D1259" s="266">
        <f>IFERROR(__xludf.DUMMYFUNCTION("""COMPUTED_VALUE"""),46233.0)</f>
        <v>46233</v>
      </c>
      <c r="E1259" s="263">
        <f>IFERROR(__xludf.DUMMYFUNCTION("""COMPUTED_VALUE"""),46234.0)</f>
        <v>46234</v>
      </c>
      <c r="F1259" s="267">
        <f>IFERROR(__xludf.DUMMYFUNCTION("""COMPUTED_VALUE"""),1.0)</f>
        <v>1</v>
      </c>
      <c r="G1259" s="267">
        <f>IFERROR(__xludf.DUMMYFUNCTION("""COMPUTED_VALUE"""),2.0)</f>
        <v>2</v>
      </c>
      <c r="H1259" s="268">
        <f>IFERROR(__xludf.DUMMYFUNCTION("""COMPUTED_VALUE"""),127.5)</f>
        <v>127.5</v>
      </c>
      <c r="I1259" s="268">
        <f>IFERROR(__xludf.DUMMYFUNCTION("""COMPUTED_VALUE"""),102.0)</f>
        <v>102</v>
      </c>
      <c r="J1259" s="377"/>
      <c r="K1259" s="265"/>
      <c r="L1259" s="265"/>
      <c r="M1259" s="269"/>
      <c r="N1259" s="270"/>
      <c r="O1259" s="271"/>
      <c r="P1259" s="271"/>
      <c r="Q1259" s="272"/>
      <c r="R1259" s="273"/>
      <c r="S1259" s="273"/>
      <c r="T1259" s="273"/>
      <c r="U1259" s="274"/>
      <c r="V1259" s="263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</row>
    <row r="1260">
      <c r="A1260" s="165">
        <f>IFERROR(__xludf.DUMMYFUNCTION("""COMPUTED_VALUE"""),8941864.0)</f>
        <v>8941864</v>
      </c>
      <c r="B1260" s="166" t="str">
        <f>IFERROR(__xludf.DUMMYFUNCTION("""COMPUTED_VALUE"""),"Agoda2")</f>
        <v>Agoda2</v>
      </c>
      <c r="C1260" s="166" t="str">
        <f>IFERROR(__xludf.DUMMYFUNCTION("""COMPUTED_VALUE"""),"Peter Lund ")</f>
        <v>Peter Lund </v>
      </c>
      <c r="D1260" s="165">
        <f>IFERROR(__xludf.DUMMYFUNCTION("""COMPUTED_VALUE"""),46233.0)</f>
        <v>46233</v>
      </c>
      <c r="E1260" s="165">
        <f>IFERROR(__xludf.DUMMYFUNCTION("""COMPUTED_VALUE"""),46234.0)</f>
        <v>46234</v>
      </c>
      <c r="F1260" s="377">
        <f>IFERROR(__xludf.DUMMYFUNCTION("""COMPUTED_VALUE"""),1.0)</f>
        <v>1</v>
      </c>
      <c r="G1260" s="377">
        <f>IFERROR(__xludf.DUMMYFUNCTION("""COMPUTED_VALUE"""),2.0)</f>
        <v>2</v>
      </c>
      <c r="H1260" s="378">
        <f>IFERROR(__xludf.DUMMYFUNCTION("""COMPUTED_VALUE"""),127.5)</f>
        <v>127.5</v>
      </c>
      <c r="I1260" s="378">
        <f>IFERROR(__xludf.DUMMYFUNCTION("""COMPUTED_VALUE"""),102.0)</f>
        <v>102</v>
      </c>
      <c r="J1260" s="377"/>
      <c r="K1260" s="166"/>
      <c r="L1260" s="166"/>
      <c r="M1260" s="166"/>
      <c r="N1260" s="169"/>
      <c r="O1260" s="171"/>
      <c r="P1260" s="171"/>
      <c r="Q1260" s="169"/>
      <c r="R1260" s="173"/>
      <c r="S1260" s="173"/>
      <c r="T1260" s="173"/>
      <c r="U1260" s="201"/>
      <c r="V1260" s="165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</row>
    <row r="1261">
      <c r="A1261" s="165">
        <f>IFERROR(__xludf.DUMMYFUNCTION("""COMPUTED_VALUE"""),8942654.0)</f>
        <v>8942654</v>
      </c>
      <c r="B1261" s="166" t="str">
        <f>IFERROR(__xludf.DUMMYFUNCTION("""COMPUTED_VALUE"""),"BookingCom")</f>
        <v>BookingCom</v>
      </c>
      <c r="C1261" s="166" t="str">
        <f>IFERROR(__xludf.DUMMYFUNCTION("""COMPUTED_VALUE"""),"Latifa Elbioui ")</f>
        <v>Latifa Elbioui </v>
      </c>
      <c r="D1261" s="165">
        <f>IFERROR(__xludf.DUMMYFUNCTION("""COMPUTED_VALUE"""),46241.0)</f>
        <v>46241</v>
      </c>
      <c r="E1261" s="165">
        <f>IFERROR(__xludf.DUMMYFUNCTION("""COMPUTED_VALUE"""),46242.0)</f>
        <v>46242</v>
      </c>
      <c r="F1261" s="377">
        <f>IFERROR(__xludf.DUMMYFUNCTION("""COMPUTED_VALUE"""),1.0)</f>
        <v>1</v>
      </c>
      <c r="G1261" s="377">
        <f>IFERROR(__xludf.DUMMYFUNCTION("""COMPUTED_VALUE"""),2.0)</f>
        <v>2</v>
      </c>
      <c r="H1261" s="378">
        <f>IFERROR(__xludf.DUMMYFUNCTION("""COMPUTED_VALUE"""),75.12)</f>
        <v>75.12</v>
      </c>
      <c r="I1261" s="378">
        <f>IFERROR(__xludf.DUMMYFUNCTION("""COMPUTED_VALUE"""),60.096000000000004)</f>
        <v>60.096</v>
      </c>
      <c r="J1261" s="377"/>
      <c r="K1261" s="166"/>
      <c r="L1261" s="166"/>
      <c r="M1261" s="205"/>
      <c r="N1261" s="169"/>
      <c r="O1261" s="171"/>
      <c r="P1261" s="171"/>
      <c r="Q1261" s="169"/>
      <c r="R1261" s="173"/>
      <c r="S1261" s="173"/>
      <c r="T1261" s="173"/>
      <c r="U1261" s="201"/>
      <c r="V1261" s="165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</row>
    <row r="1262">
      <c r="A1262" s="165">
        <f>IFERROR(__xludf.DUMMYFUNCTION("""COMPUTED_VALUE"""),8942654.0)</f>
        <v>8942654</v>
      </c>
      <c r="B1262" s="166" t="str">
        <f>IFERROR(__xludf.DUMMYFUNCTION("""COMPUTED_VALUE"""),"BookingCom")</f>
        <v>BookingCom</v>
      </c>
      <c r="C1262" s="166" t="str">
        <f>IFERROR(__xludf.DUMMYFUNCTION("""COMPUTED_VALUE"""),"Latifa Elbioui ")</f>
        <v>Latifa Elbioui </v>
      </c>
      <c r="D1262" s="165">
        <f>IFERROR(__xludf.DUMMYFUNCTION("""COMPUTED_VALUE"""),46241.0)</f>
        <v>46241</v>
      </c>
      <c r="E1262" s="165">
        <f>IFERROR(__xludf.DUMMYFUNCTION("""COMPUTED_VALUE"""),46242.0)</f>
        <v>46242</v>
      </c>
      <c r="F1262" s="377">
        <f>IFERROR(__xludf.DUMMYFUNCTION("""COMPUTED_VALUE"""),1.0)</f>
        <v>1</v>
      </c>
      <c r="G1262" s="377">
        <f>IFERROR(__xludf.DUMMYFUNCTION("""COMPUTED_VALUE"""),2.0)</f>
        <v>2</v>
      </c>
      <c r="H1262" s="378">
        <f>IFERROR(__xludf.DUMMYFUNCTION("""COMPUTED_VALUE"""),75.12)</f>
        <v>75.12</v>
      </c>
      <c r="I1262" s="378">
        <f>IFERROR(__xludf.DUMMYFUNCTION("""COMPUTED_VALUE"""),60.096000000000004)</f>
        <v>60.096</v>
      </c>
      <c r="J1262" s="377"/>
      <c r="K1262" s="166"/>
      <c r="L1262" s="166"/>
      <c r="M1262" s="166"/>
      <c r="N1262" s="169"/>
      <c r="O1262" s="171"/>
      <c r="P1262" s="171"/>
      <c r="Q1262" s="169"/>
      <c r="R1262" s="173"/>
      <c r="S1262" s="173"/>
      <c r="T1262" s="173"/>
      <c r="U1262" s="201"/>
      <c r="V1262" s="165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</row>
    <row r="1263">
      <c r="A1263" s="165">
        <f>IFERROR(__xludf.DUMMYFUNCTION("""COMPUTED_VALUE"""),8943559.0)</f>
        <v>8943559</v>
      </c>
      <c r="B1263" s="166" t="str">
        <f>IFERROR(__xludf.DUMMYFUNCTION("""COMPUTED_VALUE"""),"Reseliva Pannel")</f>
        <v>Reseliva Pannel</v>
      </c>
      <c r="C1263" s="166" t="str">
        <f>IFERROR(__xludf.DUMMYFUNCTION("""COMPUTED_VALUE"""),"Michelle Prall ")</f>
        <v>Michelle Prall </v>
      </c>
      <c r="D1263" s="165">
        <f>IFERROR(__xludf.DUMMYFUNCTION("""COMPUTED_VALUE"""),46279.0)</f>
        <v>46279</v>
      </c>
      <c r="E1263" s="165">
        <f>IFERROR(__xludf.DUMMYFUNCTION("""COMPUTED_VALUE"""),46280.0)</f>
        <v>46280</v>
      </c>
      <c r="F1263" s="377">
        <f>IFERROR(__xludf.DUMMYFUNCTION("""COMPUTED_VALUE"""),1.0)</f>
        <v>1</v>
      </c>
      <c r="G1263" s="377">
        <f>IFERROR(__xludf.DUMMYFUNCTION("""COMPUTED_VALUE"""),2.0)</f>
        <v>2</v>
      </c>
      <c r="H1263" s="378">
        <f>IFERROR(__xludf.DUMMYFUNCTION("""COMPUTED_VALUE"""),195.84)</f>
        <v>195.84</v>
      </c>
      <c r="I1263" s="378">
        <f>IFERROR(__xludf.DUMMYFUNCTION("""COMPUTED_VALUE"""),195.84)</f>
        <v>195.84</v>
      </c>
      <c r="J1263" s="377"/>
      <c r="K1263" s="166"/>
      <c r="L1263" s="166"/>
      <c r="M1263" s="166"/>
      <c r="N1263" s="170"/>
      <c r="O1263" s="171"/>
      <c r="P1263" s="171"/>
      <c r="Q1263" s="172"/>
      <c r="R1263" s="173"/>
      <c r="S1263" s="173"/>
      <c r="T1263" s="173"/>
      <c r="U1263" s="201"/>
      <c r="V1263" s="165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</row>
    <row r="1264">
      <c r="A1264" s="165">
        <f>IFERROR(__xludf.DUMMYFUNCTION("""COMPUTED_VALUE"""),8947421.0)</f>
        <v>8947421</v>
      </c>
      <c r="B1264" s="166" t="str">
        <f>IFERROR(__xludf.DUMMYFUNCTION("""COMPUTED_VALUE"""),"BookingCom")</f>
        <v>BookingCom</v>
      </c>
      <c r="C1264" s="166" t="str">
        <f>IFERROR(__xludf.DUMMYFUNCTION("""COMPUTED_VALUE"""),"Mohamad Amin Idlibi ")</f>
        <v>Mohamad Amin Idlibi </v>
      </c>
      <c r="D1264" s="165">
        <f>IFERROR(__xludf.DUMMYFUNCTION("""COMPUTED_VALUE"""),46235.0)</f>
        <v>46235</v>
      </c>
      <c r="E1264" s="165">
        <f>IFERROR(__xludf.DUMMYFUNCTION("""COMPUTED_VALUE"""),46236.0)</f>
        <v>46236</v>
      </c>
      <c r="F1264" s="377">
        <f>IFERROR(__xludf.DUMMYFUNCTION("""COMPUTED_VALUE"""),1.0)</f>
        <v>1</v>
      </c>
      <c r="G1264" s="377">
        <f>IFERROR(__xludf.DUMMYFUNCTION("""COMPUTED_VALUE"""),2.0)</f>
        <v>2</v>
      </c>
      <c r="H1264" s="378">
        <f>IFERROR(__xludf.DUMMYFUNCTION("""COMPUTED_VALUE"""),79.38)</f>
        <v>79.38</v>
      </c>
      <c r="I1264" s="378">
        <f>IFERROR(__xludf.DUMMYFUNCTION("""COMPUTED_VALUE"""),63.504)</f>
        <v>63.504</v>
      </c>
      <c r="J1264" s="267"/>
      <c r="K1264" s="166"/>
      <c r="L1264" s="166"/>
      <c r="M1264" s="166"/>
      <c r="N1264" s="170"/>
      <c r="O1264" s="171"/>
      <c r="P1264" s="171"/>
      <c r="Q1264" s="172"/>
      <c r="R1264" s="173"/>
      <c r="S1264" s="173"/>
      <c r="T1264" s="173"/>
      <c r="U1264" s="201"/>
      <c r="V1264" s="165"/>
      <c r="W1264" s="36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</row>
    <row r="1265">
      <c r="A1265" s="165">
        <f>IFERROR(__xludf.DUMMYFUNCTION("""COMPUTED_VALUE"""),8947799.0)</f>
        <v>8947799</v>
      </c>
      <c r="B1265" s="166" t="str">
        <f>IFERROR(__xludf.DUMMYFUNCTION("""COMPUTED_VALUE"""),"BookingCom")</f>
        <v>BookingCom</v>
      </c>
      <c r="C1265" s="166" t="str">
        <f>IFERROR(__xludf.DUMMYFUNCTION("""COMPUTED_VALUE"""),"Peter Lund ")</f>
        <v>Peter Lund </v>
      </c>
      <c r="D1265" s="165">
        <f>IFERROR(__xludf.DUMMYFUNCTION("""COMPUTED_VALUE"""),46234.0)</f>
        <v>46234</v>
      </c>
      <c r="E1265" s="165">
        <f>IFERROR(__xludf.DUMMYFUNCTION("""COMPUTED_VALUE"""),46235.0)</f>
        <v>46235</v>
      </c>
      <c r="F1265" s="377">
        <f>IFERROR(__xludf.DUMMYFUNCTION("""COMPUTED_VALUE"""),1.0)</f>
        <v>1</v>
      </c>
      <c r="G1265" s="377">
        <f>IFERROR(__xludf.DUMMYFUNCTION("""COMPUTED_VALUE"""),2.0)</f>
        <v>2</v>
      </c>
      <c r="H1265" s="378">
        <f>IFERROR(__xludf.DUMMYFUNCTION("""COMPUTED_VALUE"""),76.18)</f>
        <v>76.18</v>
      </c>
      <c r="I1265" s="378">
        <f>IFERROR(__xludf.DUMMYFUNCTION("""COMPUTED_VALUE"""),60.94400000000001)</f>
        <v>60.944</v>
      </c>
      <c r="J1265" s="377"/>
      <c r="K1265" s="166"/>
      <c r="L1265" s="166"/>
      <c r="M1265" s="166"/>
      <c r="N1265" s="170"/>
      <c r="O1265" s="171"/>
      <c r="P1265" s="171"/>
      <c r="Q1265" s="172"/>
      <c r="R1265" s="173"/>
      <c r="S1265" s="173"/>
      <c r="T1265" s="173"/>
      <c r="U1265" s="201"/>
      <c r="V1265" s="165"/>
      <c r="W1265" s="36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</row>
    <row r="1266">
      <c r="A1266" s="165">
        <f>IFERROR(__xludf.DUMMYFUNCTION("""COMPUTED_VALUE"""),8947799.0)</f>
        <v>8947799</v>
      </c>
      <c r="B1266" s="166" t="str">
        <f>IFERROR(__xludf.DUMMYFUNCTION("""COMPUTED_VALUE"""),"BookingCom")</f>
        <v>BookingCom</v>
      </c>
      <c r="C1266" s="166" t="str">
        <f>IFERROR(__xludf.DUMMYFUNCTION("""COMPUTED_VALUE"""),"Peter Lund ")</f>
        <v>Peter Lund </v>
      </c>
      <c r="D1266" s="165">
        <f>IFERROR(__xludf.DUMMYFUNCTION("""COMPUTED_VALUE"""),46234.0)</f>
        <v>46234</v>
      </c>
      <c r="E1266" s="165">
        <f>IFERROR(__xludf.DUMMYFUNCTION("""COMPUTED_VALUE"""),46235.0)</f>
        <v>46235</v>
      </c>
      <c r="F1266" s="377">
        <f>IFERROR(__xludf.DUMMYFUNCTION("""COMPUTED_VALUE"""),1.0)</f>
        <v>1</v>
      </c>
      <c r="G1266" s="377">
        <f>IFERROR(__xludf.DUMMYFUNCTION("""COMPUTED_VALUE"""),2.0)</f>
        <v>2</v>
      </c>
      <c r="H1266" s="378">
        <f>IFERROR(__xludf.DUMMYFUNCTION("""COMPUTED_VALUE"""),104.64)</f>
        <v>104.64</v>
      </c>
      <c r="I1266" s="378">
        <f>IFERROR(__xludf.DUMMYFUNCTION("""COMPUTED_VALUE"""),83.712)</f>
        <v>83.712</v>
      </c>
      <c r="J1266" s="377"/>
      <c r="K1266" s="166"/>
      <c r="L1266" s="166"/>
      <c r="M1266" s="166"/>
      <c r="N1266" s="169"/>
      <c r="O1266" s="171"/>
      <c r="P1266" s="171"/>
      <c r="Q1266" s="169"/>
      <c r="R1266" s="173"/>
      <c r="S1266" s="173"/>
      <c r="T1266" s="173"/>
      <c r="U1266" s="201"/>
      <c r="V1266" s="165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</row>
    <row r="1267">
      <c r="A1267" s="165">
        <f>IFERROR(__xludf.DUMMYFUNCTION("""COMPUTED_VALUE"""),8948823.0)</f>
        <v>8948823</v>
      </c>
      <c r="B1267" s="166" t="str">
        <f>IFERROR(__xludf.DUMMYFUNCTION("""COMPUTED_VALUE"""),"BookingCom")</f>
        <v>BookingCom</v>
      </c>
      <c r="C1267" s="166" t="str">
        <f>IFERROR(__xludf.DUMMYFUNCTION("""COMPUTED_VALUE"""),"Marianna Neri ")</f>
        <v>Marianna Neri </v>
      </c>
      <c r="D1267" s="165">
        <f>IFERROR(__xludf.DUMMYFUNCTION("""COMPUTED_VALUE"""),46345.0)</f>
        <v>46345</v>
      </c>
      <c r="E1267" s="165">
        <f>IFERROR(__xludf.DUMMYFUNCTION("""COMPUTED_VALUE"""),46348.0)</f>
        <v>46348</v>
      </c>
      <c r="F1267" s="377">
        <f>IFERROR(__xludf.DUMMYFUNCTION("""COMPUTED_VALUE"""),3.0)</f>
        <v>3</v>
      </c>
      <c r="G1267" s="377">
        <f>IFERROR(__xludf.DUMMYFUNCTION("""COMPUTED_VALUE"""),2.0)</f>
        <v>2</v>
      </c>
      <c r="H1267" s="378">
        <f>IFERROR(__xludf.DUMMYFUNCTION("""COMPUTED_VALUE"""),237.1)</f>
        <v>237.1</v>
      </c>
      <c r="I1267" s="378">
        <f>IFERROR(__xludf.DUMMYFUNCTION("""COMPUTED_VALUE"""),569.04)</f>
        <v>569.04</v>
      </c>
      <c r="J1267" s="377"/>
      <c r="K1267" s="166"/>
      <c r="L1267" s="166"/>
      <c r="M1267" s="166"/>
      <c r="N1267" s="170"/>
      <c r="O1267" s="171"/>
      <c r="P1267" s="171"/>
      <c r="Q1267" s="172"/>
      <c r="R1267" s="173"/>
      <c r="S1267" s="173"/>
      <c r="T1267" s="173"/>
      <c r="U1267" s="201"/>
      <c r="V1267" s="165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</row>
    <row r="1268">
      <c r="A1268" s="165">
        <f>IFERROR(__xludf.DUMMYFUNCTION("""COMPUTED_VALUE"""),8952361.0)</f>
        <v>8952361</v>
      </c>
      <c r="B1268" s="166" t="str">
        <f>IFERROR(__xludf.DUMMYFUNCTION("""COMPUTED_VALUE"""),"Ctrip")</f>
        <v>Ctrip</v>
      </c>
      <c r="C1268" s="166" t="str">
        <f>IFERROR(__xludf.DUMMYFUNCTION("""COMPUTED_VALUE"""),"deyvid demirali ")</f>
        <v>deyvid demirali </v>
      </c>
      <c r="D1268" s="165">
        <f>IFERROR(__xludf.DUMMYFUNCTION("""COMPUTED_VALUE"""),46234.0)</f>
        <v>46234</v>
      </c>
      <c r="E1268" s="165">
        <f>IFERROR(__xludf.DUMMYFUNCTION("""COMPUTED_VALUE"""),46235.0)</f>
        <v>46235</v>
      </c>
      <c r="F1268" s="377">
        <f>IFERROR(__xludf.DUMMYFUNCTION("""COMPUTED_VALUE"""),1.0)</f>
        <v>1</v>
      </c>
      <c r="G1268" s="377">
        <f>IFERROR(__xludf.DUMMYFUNCTION("""COMPUTED_VALUE"""),2.0)</f>
        <v>2</v>
      </c>
      <c r="H1268" s="378">
        <f>IFERROR(__xludf.DUMMYFUNCTION("""COMPUTED_VALUE"""),0.0)</f>
        <v>0</v>
      </c>
      <c r="I1268" s="378">
        <f>IFERROR(__xludf.DUMMYFUNCTION("""COMPUTED_VALUE"""),0.0)</f>
        <v>0</v>
      </c>
      <c r="J1268" s="377"/>
      <c r="K1268" s="166"/>
      <c r="L1268" s="166"/>
      <c r="M1268" s="166"/>
      <c r="N1268" s="170"/>
      <c r="O1268" s="171"/>
      <c r="P1268" s="171"/>
      <c r="Q1268" s="172"/>
      <c r="R1268" s="173"/>
      <c r="S1268" s="173"/>
      <c r="T1268" s="173"/>
      <c r="U1268" s="201"/>
      <c r="V1268" s="165"/>
      <c r="W1268" s="36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</row>
    <row r="1269">
      <c r="A1269" s="165">
        <f>IFERROR(__xludf.DUMMYFUNCTION("""COMPUTED_VALUE"""),8952444.0)</f>
        <v>8952444</v>
      </c>
      <c r="B1269" s="166" t="str">
        <f>IFERROR(__xludf.DUMMYFUNCTION("""COMPUTED_VALUE"""),"BookingCom")</f>
        <v>BookingCom</v>
      </c>
      <c r="C1269" s="166" t="str">
        <f>IFERROR(__xludf.DUMMYFUNCTION("""COMPUTED_VALUE"""),"Zineb Thomas ")</f>
        <v>Zineb Thomas </v>
      </c>
      <c r="D1269" s="165">
        <f>IFERROR(__xludf.DUMMYFUNCTION("""COMPUTED_VALUE"""),46256.0)</f>
        <v>46256</v>
      </c>
      <c r="E1269" s="165">
        <f>IFERROR(__xludf.DUMMYFUNCTION("""COMPUTED_VALUE"""),46258.0)</f>
        <v>46258</v>
      </c>
      <c r="F1269" s="377">
        <f>IFERROR(__xludf.DUMMYFUNCTION("""COMPUTED_VALUE"""),2.0)</f>
        <v>2</v>
      </c>
      <c r="G1269" s="377">
        <f>IFERROR(__xludf.DUMMYFUNCTION("""COMPUTED_VALUE"""),3.0)</f>
        <v>3</v>
      </c>
      <c r="H1269" s="378">
        <f>IFERROR(__xludf.DUMMYFUNCTION("""COMPUTED_VALUE"""),102.64)</f>
        <v>102.64</v>
      </c>
      <c r="I1269" s="378">
        <f>IFERROR(__xludf.DUMMYFUNCTION("""COMPUTED_VALUE"""),164.22400000000002)</f>
        <v>164.224</v>
      </c>
      <c r="J1269" s="377"/>
      <c r="K1269" s="166"/>
      <c r="L1269" s="166"/>
      <c r="M1269" s="166"/>
      <c r="N1269" s="169"/>
      <c r="O1269" s="171"/>
      <c r="P1269" s="171"/>
      <c r="Q1269" s="169"/>
      <c r="R1269" s="173"/>
      <c r="S1269" s="173"/>
      <c r="T1269" s="173"/>
      <c r="U1269" s="201"/>
      <c r="V1269" s="165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</row>
    <row r="1270">
      <c r="A1270" s="165">
        <f>IFERROR(__xludf.DUMMYFUNCTION("""COMPUTED_VALUE"""),8952903.0)</f>
        <v>8952903</v>
      </c>
      <c r="B1270" s="166" t="str">
        <f>IFERROR(__xludf.DUMMYFUNCTION("""COMPUTED_VALUE"""),"BookingCom")</f>
        <v>BookingCom</v>
      </c>
      <c r="C1270" s="166" t="str">
        <f>IFERROR(__xludf.DUMMYFUNCTION("""COMPUTED_VALUE"""),"Masaaki Sueyoshi ")</f>
        <v>Masaaki Sueyoshi </v>
      </c>
      <c r="D1270" s="165">
        <f>IFERROR(__xludf.DUMMYFUNCTION("""COMPUTED_VALUE"""),46381.0)</f>
        <v>46381</v>
      </c>
      <c r="E1270" s="165">
        <f>IFERROR(__xludf.DUMMYFUNCTION("""COMPUTED_VALUE"""),46382.0)</f>
        <v>46382</v>
      </c>
      <c r="F1270" s="377">
        <f>IFERROR(__xludf.DUMMYFUNCTION("""COMPUTED_VALUE"""),1.0)</f>
        <v>1</v>
      </c>
      <c r="G1270" s="377">
        <f>IFERROR(__xludf.DUMMYFUNCTION("""COMPUTED_VALUE"""),2.0)</f>
        <v>2</v>
      </c>
      <c r="H1270" s="378">
        <f>IFERROR(__xludf.DUMMYFUNCTION("""COMPUTED_VALUE"""),259.96)</f>
        <v>259.96</v>
      </c>
      <c r="I1270" s="378">
        <f>IFERROR(__xludf.DUMMYFUNCTION("""COMPUTED_VALUE"""),207.968)</f>
        <v>207.968</v>
      </c>
      <c r="J1270" s="377"/>
      <c r="K1270" s="166"/>
      <c r="L1270" s="166"/>
      <c r="M1270" s="166"/>
      <c r="N1270" s="170"/>
      <c r="O1270" s="171"/>
      <c r="P1270" s="171"/>
      <c r="Q1270" s="172"/>
      <c r="R1270" s="173"/>
      <c r="S1270" s="173"/>
      <c r="T1270" s="173"/>
      <c r="U1270" s="201"/>
      <c r="V1270" s="165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</row>
    <row r="1271">
      <c r="A1271" s="165">
        <f>IFERROR(__xludf.DUMMYFUNCTION("""COMPUTED_VALUE"""),8952916.0)</f>
        <v>8952916</v>
      </c>
      <c r="B1271" s="166" t="str">
        <f>IFERROR(__xludf.DUMMYFUNCTION("""COMPUTED_VALUE"""),"BookingCom")</f>
        <v>BookingCom</v>
      </c>
      <c r="C1271" s="166" t="str">
        <f>IFERROR(__xludf.DUMMYFUNCTION("""COMPUTED_VALUE"""),"Masaaki Sueyoshi ")</f>
        <v>Masaaki Sueyoshi </v>
      </c>
      <c r="D1271" s="165">
        <f>IFERROR(__xludf.DUMMYFUNCTION("""COMPUTED_VALUE"""),46379.0)</f>
        <v>46379</v>
      </c>
      <c r="E1271" s="165">
        <f>IFERROR(__xludf.DUMMYFUNCTION("""COMPUTED_VALUE"""),46380.0)</f>
        <v>46380</v>
      </c>
      <c r="F1271" s="377">
        <f>IFERROR(__xludf.DUMMYFUNCTION("""COMPUTED_VALUE"""),1.0)</f>
        <v>1</v>
      </c>
      <c r="G1271" s="377">
        <f>IFERROR(__xludf.DUMMYFUNCTION("""COMPUTED_VALUE"""),2.0)</f>
        <v>2</v>
      </c>
      <c r="H1271" s="378">
        <f>IFERROR(__xludf.DUMMYFUNCTION("""COMPUTED_VALUE"""),256.9)</f>
        <v>256.9</v>
      </c>
      <c r="I1271" s="378">
        <f>IFERROR(__xludf.DUMMYFUNCTION("""COMPUTED_VALUE"""),205.51999999999998)</f>
        <v>205.52</v>
      </c>
      <c r="J1271" s="377"/>
      <c r="K1271" s="166"/>
      <c r="L1271" s="166"/>
      <c r="M1271" s="166"/>
      <c r="N1271" s="169"/>
      <c r="O1271" s="171"/>
      <c r="P1271" s="171"/>
      <c r="Q1271" s="169"/>
      <c r="R1271" s="173"/>
      <c r="S1271" s="173"/>
      <c r="T1271" s="173"/>
      <c r="U1271" s="201"/>
      <c r="V1271" s="165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</row>
    <row r="1272">
      <c r="A1272" s="165">
        <f>IFERROR(__xludf.DUMMYFUNCTION("""COMPUTED_VALUE"""),8953211.0)</f>
        <v>8953211</v>
      </c>
      <c r="B1272" s="166" t="str">
        <f>IFERROR(__xludf.DUMMYFUNCTION("""COMPUTED_VALUE"""),"BookingCom")</f>
        <v>BookingCom</v>
      </c>
      <c r="C1272" s="166" t="str">
        <f>IFERROR(__xludf.DUMMYFUNCTION("""COMPUTED_VALUE"""),"Martina Scarabel ")</f>
        <v>Martina Scarabel </v>
      </c>
      <c r="D1272" s="165">
        <f>IFERROR(__xludf.DUMMYFUNCTION("""COMPUTED_VALUE"""),46257.0)</f>
        <v>46257</v>
      </c>
      <c r="E1272" s="165">
        <f>IFERROR(__xludf.DUMMYFUNCTION("""COMPUTED_VALUE"""),46258.0)</f>
        <v>46258</v>
      </c>
      <c r="F1272" s="377">
        <f>IFERROR(__xludf.DUMMYFUNCTION("""COMPUTED_VALUE"""),1.0)</f>
        <v>1</v>
      </c>
      <c r="G1272" s="377">
        <f>IFERROR(__xludf.DUMMYFUNCTION("""COMPUTED_VALUE"""),2.0)</f>
        <v>2</v>
      </c>
      <c r="H1272" s="378">
        <f>IFERROR(__xludf.DUMMYFUNCTION("""COMPUTED_VALUE"""),79.74)</f>
        <v>79.74</v>
      </c>
      <c r="I1272" s="378">
        <f>IFERROR(__xludf.DUMMYFUNCTION("""COMPUTED_VALUE"""),63.792)</f>
        <v>63.792</v>
      </c>
      <c r="J1272" s="377"/>
      <c r="K1272" s="166"/>
      <c r="L1272" s="166"/>
      <c r="M1272" s="205"/>
      <c r="N1272" s="169"/>
      <c r="O1272" s="171"/>
      <c r="P1272" s="171"/>
      <c r="Q1272" s="169"/>
      <c r="R1272" s="173"/>
      <c r="S1272" s="173"/>
      <c r="T1272" s="173"/>
      <c r="U1272" s="201"/>
      <c r="V1272" s="165"/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</row>
    <row r="1273">
      <c r="A1273" s="165">
        <f>IFERROR(__xludf.DUMMYFUNCTION("""COMPUTED_VALUE"""),8954747.0)</f>
        <v>8954747</v>
      </c>
      <c r="B1273" s="166" t="str">
        <f>IFERROR(__xludf.DUMMYFUNCTION("""COMPUTED_VALUE"""),"BookingCom")</f>
        <v>BookingCom</v>
      </c>
      <c r="C1273" s="166" t="str">
        <f>IFERROR(__xludf.DUMMYFUNCTION("""COMPUTED_VALUE"""),"Jan Salzwedel ")</f>
        <v>Jan Salzwedel </v>
      </c>
      <c r="D1273" s="165">
        <f>IFERROR(__xludf.DUMMYFUNCTION("""COMPUTED_VALUE"""),46295.0)</f>
        <v>46295</v>
      </c>
      <c r="E1273" s="165">
        <f>IFERROR(__xludf.DUMMYFUNCTION("""COMPUTED_VALUE"""),46296.0)</f>
        <v>46296</v>
      </c>
      <c r="F1273" s="377">
        <f>IFERROR(__xludf.DUMMYFUNCTION("""COMPUTED_VALUE"""),1.0)</f>
        <v>1</v>
      </c>
      <c r="G1273" s="377">
        <f>IFERROR(__xludf.DUMMYFUNCTION("""COMPUTED_VALUE"""),2.0)</f>
        <v>2</v>
      </c>
      <c r="H1273" s="378">
        <f>IFERROR(__xludf.DUMMYFUNCTION("""COMPUTED_VALUE"""),151.72)</f>
        <v>151.72</v>
      </c>
      <c r="I1273" s="378">
        <f>IFERROR(__xludf.DUMMYFUNCTION("""COMPUTED_VALUE"""),121.376)</f>
        <v>121.376</v>
      </c>
      <c r="J1273" s="377"/>
      <c r="K1273" s="166"/>
      <c r="L1273" s="166"/>
      <c r="M1273" s="166"/>
      <c r="N1273" s="170"/>
      <c r="O1273" s="171"/>
      <c r="P1273" s="171"/>
      <c r="Q1273" s="172"/>
      <c r="R1273" s="173"/>
      <c r="S1273" s="173"/>
      <c r="T1273" s="173"/>
      <c r="U1273" s="201"/>
      <c r="V1273" s="165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</row>
    <row r="1274">
      <c r="A1274" s="165">
        <f>IFERROR(__xludf.DUMMYFUNCTION("""COMPUTED_VALUE"""),8960967.0)</f>
        <v>8960967</v>
      </c>
      <c r="B1274" s="166" t="str">
        <f>IFERROR(__xludf.DUMMYFUNCTION("""COMPUTED_VALUE"""),"BookingCom")</f>
        <v>BookingCom</v>
      </c>
      <c r="C1274" s="166" t="str">
        <f>IFERROR(__xludf.DUMMYFUNCTION("""COMPUTED_VALUE"""),"simon rosales vicente ")</f>
        <v>simon rosales vicente </v>
      </c>
      <c r="D1274" s="165">
        <f>IFERROR(__xludf.DUMMYFUNCTION("""COMPUTED_VALUE"""),46294.0)</f>
        <v>46294</v>
      </c>
      <c r="E1274" s="165">
        <f>IFERROR(__xludf.DUMMYFUNCTION("""COMPUTED_VALUE"""),46297.0)</f>
        <v>46297</v>
      </c>
      <c r="F1274" s="377">
        <f>IFERROR(__xludf.DUMMYFUNCTION("""COMPUTED_VALUE"""),3.0)</f>
        <v>3</v>
      </c>
      <c r="G1274" s="377">
        <f>IFERROR(__xludf.DUMMYFUNCTION("""COMPUTED_VALUE"""),2.0)</f>
        <v>2</v>
      </c>
      <c r="H1274" s="378">
        <f>IFERROR(__xludf.DUMMYFUNCTION("""COMPUTED_VALUE"""),143.26)</f>
        <v>143.26</v>
      </c>
      <c r="I1274" s="378">
        <f>IFERROR(__xludf.DUMMYFUNCTION("""COMPUTED_VALUE"""),343.824)</f>
        <v>343.824</v>
      </c>
      <c r="J1274" s="377"/>
      <c r="K1274" s="166"/>
      <c r="L1274" s="166"/>
      <c r="M1274" s="166"/>
      <c r="N1274" s="169"/>
      <c r="O1274" s="171"/>
      <c r="P1274" s="171"/>
      <c r="Q1274" s="169"/>
      <c r="R1274" s="173"/>
      <c r="S1274" s="173"/>
      <c r="T1274" s="173"/>
      <c r="U1274" s="201"/>
      <c r="V1274" s="165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</row>
    <row r="1275">
      <c r="A1275" s="165">
        <f>IFERROR(__xludf.DUMMYFUNCTION("""COMPUTED_VALUE"""),8961810.0)</f>
        <v>8961810</v>
      </c>
      <c r="B1275" s="166" t="str">
        <f>IFERROR(__xludf.DUMMYFUNCTION("""COMPUTED_VALUE"""),"BookingCom")</f>
        <v>BookingCom</v>
      </c>
      <c r="C1275" s="166" t="str">
        <f>IFERROR(__xludf.DUMMYFUNCTION("""COMPUTED_VALUE"""),"Geraldine Canalejas ")</f>
        <v>Geraldine Canalejas </v>
      </c>
      <c r="D1275" s="165">
        <f>IFERROR(__xludf.DUMMYFUNCTION("""COMPUTED_VALUE"""),46561.0)</f>
        <v>46561</v>
      </c>
      <c r="E1275" s="165">
        <f>IFERROR(__xludf.DUMMYFUNCTION("""COMPUTED_VALUE"""),46564.0)</f>
        <v>46564</v>
      </c>
      <c r="F1275" s="377">
        <f>IFERROR(__xludf.DUMMYFUNCTION("""COMPUTED_VALUE"""),3.0)</f>
        <v>3</v>
      </c>
      <c r="G1275" s="377">
        <f>IFERROR(__xludf.DUMMYFUNCTION("""COMPUTED_VALUE"""),2.0)</f>
        <v>2</v>
      </c>
      <c r="H1275" s="378">
        <f>IFERROR(__xludf.DUMMYFUNCTION("""COMPUTED_VALUE"""),115.56)</f>
        <v>115.56</v>
      </c>
      <c r="I1275" s="378">
        <f>IFERROR(__xludf.DUMMYFUNCTION("""COMPUTED_VALUE"""),277.34400000000005)</f>
        <v>277.344</v>
      </c>
      <c r="J1275" s="377"/>
      <c r="K1275" s="166"/>
      <c r="L1275" s="166"/>
      <c r="M1275" s="205"/>
      <c r="N1275" s="170"/>
      <c r="O1275" s="171"/>
      <c r="P1275" s="171"/>
      <c r="Q1275" s="172"/>
      <c r="R1275" s="173"/>
      <c r="S1275" s="173"/>
      <c r="T1275" s="173"/>
      <c r="U1275" s="201"/>
      <c r="V1275" s="165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</row>
    <row r="1276">
      <c r="A1276" s="165">
        <f>IFERROR(__xludf.DUMMYFUNCTION("""COMPUTED_VALUE"""),8963374.0)</f>
        <v>8963374</v>
      </c>
      <c r="B1276" s="166" t="str">
        <f>IFERROR(__xludf.DUMMYFUNCTION("""COMPUTED_VALUE"""),"Ctrip")</f>
        <v>Ctrip</v>
      </c>
      <c r="C1276" s="166" t="str">
        <f>IFERROR(__xludf.DUMMYFUNCTION("""COMPUTED_VALUE"""),"INDIA LUCY CRADDOCK ")</f>
        <v>INDIA LUCY CRADDOCK </v>
      </c>
      <c r="D1276" s="165">
        <f>IFERROR(__xludf.DUMMYFUNCTION("""COMPUTED_VALUE"""),46244.0)</f>
        <v>46244</v>
      </c>
      <c r="E1276" s="165">
        <f>IFERROR(__xludf.DUMMYFUNCTION("""COMPUTED_VALUE"""),46247.0)</f>
        <v>46247</v>
      </c>
      <c r="F1276" s="377">
        <f>IFERROR(__xludf.DUMMYFUNCTION("""COMPUTED_VALUE"""),3.0)</f>
        <v>3</v>
      </c>
      <c r="G1276" s="377">
        <f>IFERROR(__xludf.DUMMYFUNCTION("""COMPUTED_VALUE"""),2.0)</f>
        <v>2</v>
      </c>
      <c r="H1276" s="378">
        <f>IFERROR(__xludf.DUMMYFUNCTION("""COMPUTED_VALUE"""),0.0)</f>
        <v>0</v>
      </c>
      <c r="I1276" s="378">
        <f>IFERROR(__xludf.DUMMYFUNCTION("""COMPUTED_VALUE"""),0.0)</f>
        <v>0</v>
      </c>
      <c r="J1276" s="377"/>
      <c r="K1276" s="166"/>
      <c r="L1276" s="166"/>
      <c r="M1276" s="166"/>
      <c r="N1276" s="170"/>
      <c r="O1276" s="171"/>
      <c r="P1276" s="171"/>
      <c r="Q1276" s="172"/>
      <c r="R1276" s="173"/>
      <c r="S1276" s="173"/>
      <c r="T1276" s="173"/>
      <c r="U1276" s="201"/>
      <c r="V1276" s="165"/>
      <c r="W1276" s="35"/>
      <c r="X1276" s="35"/>
      <c r="Y1276" s="35"/>
      <c r="Z1276" s="35"/>
      <c r="AA1276" s="35"/>
      <c r="AB1276" s="35"/>
      <c r="AC1276" s="35"/>
      <c r="AD1276" s="35"/>
      <c r="AE1276" s="35"/>
      <c r="AF1276" s="35"/>
      <c r="AG1276" s="35"/>
      <c r="AH1276" s="35"/>
      <c r="AI1276" s="35"/>
    </row>
    <row r="1277">
      <c r="A1277" s="165">
        <f>IFERROR(__xludf.DUMMYFUNCTION("""COMPUTED_VALUE"""),8963828.0)</f>
        <v>8963828</v>
      </c>
      <c r="B1277" s="166" t="str">
        <f>IFERROR(__xludf.DUMMYFUNCTION("""COMPUTED_VALUE"""),"BookingCom")</f>
        <v>BookingCom</v>
      </c>
      <c r="C1277" s="166" t="str">
        <f>IFERROR(__xludf.DUMMYFUNCTION("""COMPUTED_VALUE"""),"miguel sapiro vaz ")</f>
        <v>miguel sapiro vaz </v>
      </c>
      <c r="D1277" s="165">
        <f>IFERROR(__xludf.DUMMYFUNCTION("""COMPUTED_VALUE"""),46316.0)</f>
        <v>46316</v>
      </c>
      <c r="E1277" s="165">
        <f>IFERROR(__xludf.DUMMYFUNCTION("""COMPUTED_VALUE"""),46318.0)</f>
        <v>46318</v>
      </c>
      <c r="F1277" s="377">
        <f>IFERROR(__xludf.DUMMYFUNCTION("""COMPUTED_VALUE"""),2.0)</f>
        <v>2</v>
      </c>
      <c r="G1277" s="377">
        <f>IFERROR(__xludf.DUMMYFUNCTION("""COMPUTED_VALUE"""),2.0)</f>
        <v>2</v>
      </c>
      <c r="H1277" s="378">
        <f>IFERROR(__xludf.DUMMYFUNCTION("""COMPUTED_VALUE"""),195.04)</f>
        <v>195.04</v>
      </c>
      <c r="I1277" s="378">
        <f>IFERROR(__xludf.DUMMYFUNCTION("""COMPUTED_VALUE"""),312.064)</f>
        <v>312.064</v>
      </c>
      <c r="J1277" s="377"/>
      <c r="K1277" s="166"/>
      <c r="L1277" s="166"/>
      <c r="M1277" s="166"/>
      <c r="N1277" s="170"/>
      <c r="O1277" s="171"/>
      <c r="P1277" s="171"/>
      <c r="Q1277" s="169"/>
      <c r="R1277" s="173"/>
      <c r="S1277" s="173"/>
      <c r="T1277" s="173"/>
      <c r="U1277" s="201"/>
      <c r="V1277" s="165"/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</row>
    <row r="1278">
      <c r="A1278" s="263">
        <f>IFERROR(__xludf.DUMMYFUNCTION("""COMPUTED_VALUE"""),8963933.0)</f>
        <v>8963933</v>
      </c>
      <c r="B1278" s="264" t="str">
        <f>IFERROR(__xludf.DUMMYFUNCTION("""COMPUTED_VALUE"""),"BookingCom")</f>
        <v>BookingCom</v>
      </c>
      <c r="C1278" s="265" t="str">
        <f>IFERROR(__xludf.DUMMYFUNCTION("""COMPUTED_VALUE"""),"Christophe FARRIOL ")</f>
        <v>Christophe FARRIOL </v>
      </c>
      <c r="D1278" s="266">
        <f>IFERROR(__xludf.DUMMYFUNCTION("""COMPUTED_VALUE"""),46264.0)</f>
        <v>46264</v>
      </c>
      <c r="E1278" s="263">
        <f>IFERROR(__xludf.DUMMYFUNCTION("""COMPUTED_VALUE"""),46268.0)</f>
        <v>46268</v>
      </c>
      <c r="F1278" s="267">
        <f>IFERROR(__xludf.DUMMYFUNCTION("""COMPUTED_VALUE"""),4.0)</f>
        <v>4</v>
      </c>
      <c r="G1278" s="267">
        <f>IFERROR(__xludf.DUMMYFUNCTION("""COMPUTED_VALUE"""),3.0)</f>
        <v>3</v>
      </c>
      <c r="H1278" s="268">
        <f>IFERROR(__xludf.DUMMYFUNCTION("""COMPUTED_VALUE"""),294.81)</f>
        <v>294.81</v>
      </c>
      <c r="I1278" s="268">
        <f>IFERROR(__xludf.DUMMYFUNCTION("""COMPUTED_VALUE"""),943.392)</f>
        <v>943.392</v>
      </c>
      <c r="J1278" s="377"/>
      <c r="K1278" s="265"/>
      <c r="L1278" s="265"/>
      <c r="M1278" s="269"/>
      <c r="N1278" s="270"/>
      <c r="O1278" s="271"/>
      <c r="P1278" s="271"/>
      <c r="Q1278" s="272"/>
      <c r="R1278" s="273"/>
      <c r="S1278" s="273"/>
      <c r="T1278" s="273"/>
      <c r="U1278" s="274"/>
      <c r="V1278" s="263"/>
      <c r="W1278" s="188"/>
      <c r="X1278" s="188"/>
      <c r="Y1278" s="188"/>
      <c r="Z1278" s="188"/>
      <c r="AA1278" s="188"/>
      <c r="AB1278" s="188"/>
      <c r="AC1278" s="188"/>
      <c r="AD1278" s="188"/>
      <c r="AE1278" s="188"/>
      <c r="AF1278" s="188"/>
      <c r="AG1278" s="188"/>
      <c r="AH1278" s="188"/>
      <c r="AI1278" s="188"/>
    </row>
    <row r="1279">
      <c r="A1279" s="165">
        <f>IFERROR(__xludf.DUMMYFUNCTION("""COMPUTED_VALUE"""),8964825.0)</f>
        <v>8964825</v>
      </c>
      <c r="B1279" s="166" t="str">
        <f>IFERROR(__xludf.DUMMYFUNCTION("""COMPUTED_VALUE"""),"BookingCom")</f>
        <v>BookingCom</v>
      </c>
      <c r="C1279" s="166" t="str">
        <f>IFERROR(__xludf.DUMMYFUNCTION("""COMPUTED_VALUE"""),"Dionisio Peralta ")</f>
        <v>Dionisio Peralta </v>
      </c>
      <c r="D1279" s="165">
        <f>IFERROR(__xludf.DUMMYFUNCTION("""COMPUTED_VALUE"""),46357.0)</f>
        <v>46357</v>
      </c>
      <c r="E1279" s="165">
        <f>IFERROR(__xludf.DUMMYFUNCTION("""COMPUTED_VALUE"""),46359.0)</f>
        <v>46359</v>
      </c>
      <c r="F1279" s="377">
        <f>IFERROR(__xludf.DUMMYFUNCTION("""COMPUTED_VALUE"""),2.0)</f>
        <v>2</v>
      </c>
      <c r="G1279" s="377">
        <f>IFERROR(__xludf.DUMMYFUNCTION("""COMPUTED_VALUE"""),2.0)</f>
        <v>2</v>
      </c>
      <c r="H1279" s="378">
        <f>IFERROR(__xludf.DUMMYFUNCTION("""COMPUTED_VALUE"""),201.61)</f>
        <v>201.61</v>
      </c>
      <c r="I1279" s="378">
        <f>IFERROR(__xludf.DUMMYFUNCTION("""COMPUTED_VALUE"""),322.576)</f>
        <v>322.576</v>
      </c>
      <c r="J1279" s="377"/>
      <c r="K1279" s="166"/>
      <c r="L1279" s="166"/>
      <c r="M1279" s="166"/>
      <c r="N1279" s="170"/>
      <c r="O1279" s="171"/>
      <c r="P1279" s="171"/>
      <c r="Q1279" s="172"/>
      <c r="R1279" s="173"/>
      <c r="S1279" s="173"/>
      <c r="T1279" s="173"/>
      <c r="U1279" s="201"/>
      <c r="V1279" s="165"/>
      <c r="W1279" s="35"/>
      <c r="X1279" s="35"/>
      <c r="Y1279" s="35"/>
      <c r="Z1279" s="35"/>
      <c r="AA1279" s="35"/>
      <c r="AB1279" s="35"/>
      <c r="AC1279" s="35"/>
      <c r="AD1279" s="35"/>
      <c r="AE1279" s="35"/>
      <c r="AF1279" s="35"/>
      <c r="AG1279" s="35"/>
      <c r="AH1279" s="35"/>
      <c r="AI1279" s="35"/>
    </row>
    <row r="1280">
      <c r="A1280" s="165">
        <f>IFERROR(__xludf.DUMMYFUNCTION("""COMPUTED_VALUE"""),8966683.0)</f>
        <v>8966683</v>
      </c>
      <c r="B1280" s="166" t="str">
        <f>IFERROR(__xludf.DUMMYFUNCTION("""COMPUTED_VALUE"""),"BookingCom")</f>
        <v>BookingCom</v>
      </c>
      <c r="C1280" s="166" t="str">
        <f>IFERROR(__xludf.DUMMYFUNCTION("""COMPUTED_VALUE"""),"Agustin Alejandro De Abreu ")</f>
        <v>Agustin Alejandro De Abreu </v>
      </c>
      <c r="D1280" s="165">
        <f>IFERROR(__xludf.DUMMYFUNCTION("""COMPUTED_VALUE"""),46340.0)</f>
        <v>46340</v>
      </c>
      <c r="E1280" s="165">
        <f>IFERROR(__xludf.DUMMYFUNCTION("""COMPUTED_VALUE"""),46341.0)</f>
        <v>46341</v>
      </c>
      <c r="F1280" s="377">
        <f>IFERROR(__xludf.DUMMYFUNCTION("""COMPUTED_VALUE"""),1.0)</f>
        <v>1</v>
      </c>
      <c r="G1280" s="377">
        <f>IFERROR(__xludf.DUMMYFUNCTION("""COMPUTED_VALUE"""),2.0)</f>
        <v>2</v>
      </c>
      <c r="H1280" s="378">
        <f>IFERROR(__xludf.DUMMYFUNCTION("""COMPUTED_VALUE"""),261.0)</f>
        <v>261</v>
      </c>
      <c r="I1280" s="378">
        <f>IFERROR(__xludf.DUMMYFUNCTION("""COMPUTED_VALUE"""),208.8)</f>
        <v>208.8</v>
      </c>
      <c r="J1280" s="377"/>
      <c r="K1280" s="166"/>
      <c r="L1280" s="166"/>
      <c r="M1280" s="166"/>
      <c r="N1280" s="170"/>
      <c r="O1280" s="171"/>
      <c r="P1280" s="171"/>
      <c r="Q1280" s="169"/>
      <c r="R1280" s="173"/>
      <c r="S1280" s="173"/>
      <c r="T1280" s="173"/>
      <c r="U1280" s="201"/>
      <c r="V1280" s="16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</row>
    <row r="1281">
      <c r="A1281" s="165">
        <f>IFERROR(__xludf.DUMMYFUNCTION("""COMPUTED_VALUE"""),8966976.0)</f>
        <v>8966976</v>
      </c>
      <c r="B1281" s="166" t="str">
        <f>IFERROR(__xludf.DUMMYFUNCTION("""COMPUTED_VALUE"""),"Ctrip")</f>
        <v>Ctrip</v>
      </c>
      <c r="C1281" s="166" t="str">
        <f>IFERROR(__xludf.DUMMYFUNCTION("""COMPUTED_VALUE"""),"melanie marod ")</f>
        <v>melanie marod </v>
      </c>
      <c r="D1281" s="165">
        <f>IFERROR(__xludf.DUMMYFUNCTION("""COMPUTED_VALUE"""),46237.0)</f>
        <v>46237</v>
      </c>
      <c r="E1281" s="165">
        <f>IFERROR(__xludf.DUMMYFUNCTION("""COMPUTED_VALUE"""),46238.0)</f>
        <v>46238</v>
      </c>
      <c r="F1281" s="377">
        <f>IFERROR(__xludf.DUMMYFUNCTION("""COMPUTED_VALUE"""),1.0)</f>
        <v>1</v>
      </c>
      <c r="G1281" s="377">
        <f>IFERROR(__xludf.DUMMYFUNCTION("""COMPUTED_VALUE"""),2.0)</f>
        <v>2</v>
      </c>
      <c r="H1281" s="378">
        <f>IFERROR(__xludf.DUMMYFUNCTION("""COMPUTED_VALUE"""),0.0)</f>
        <v>0</v>
      </c>
      <c r="I1281" s="378">
        <f>IFERROR(__xludf.DUMMYFUNCTION("""COMPUTED_VALUE"""),0.0)</f>
        <v>0</v>
      </c>
      <c r="J1281" s="377"/>
      <c r="K1281" s="166"/>
      <c r="L1281" s="166"/>
      <c r="M1281" s="166"/>
      <c r="N1281" s="170"/>
      <c r="O1281" s="171"/>
      <c r="P1281" s="171"/>
      <c r="Q1281" s="172"/>
      <c r="R1281" s="173"/>
      <c r="S1281" s="173"/>
      <c r="T1281" s="173"/>
      <c r="U1281" s="201"/>
      <c r="V1281" s="208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</row>
    <row r="1282">
      <c r="A1282" s="165">
        <f>IFERROR(__xludf.DUMMYFUNCTION("""COMPUTED_VALUE"""),8969786.0)</f>
        <v>8969786</v>
      </c>
      <c r="B1282" s="166" t="str">
        <f>IFERROR(__xludf.DUMMYFUNCTION("""COMPUTED_VALUE"""),"BookingCom")</f>
        <v>BookingCom</v>
      </c>
      <c r="C1282" s="166" t="str">
        <f>IFERROR(__xludf.DUMMYFUNCTION("""COMPUTED_VALUE"""),"Viktor Kozel ")</f>
        <v>Viktor Kozel </v>
      </c>
      <c r="D1282" s="165">
        <f>IFERROR(__xludf.DUMMYFUNCTION("""COMPUTED_VALUE"""),46438.0)</f>
        <v>46438</v>
      </c>
      <c r="E1282" s="165">
        <f>IFERROR(__xludf.DUMMYFUNCTION("""COMPUTED_VALUE"""),46439.0)</f>
        <v>46439</v>
      </c>
      <c r="F1282" s="377">
        <f>IFERROR(__xludf.DUMMYFUNCTION("""COMPUTED_VALUE"""),1.0)</f>
        <v>1</v>
      </c>
      <c r="G1282" s="377">
        <f>IFERROR(__xludf.DUMMYFUNCTION("""COMPUTED_VALUE"""),2.0)</f>
        <v>2</v>
      </c>
      <c r="H1282" s="378">
        <f>IFERROR(__xludf.DUMMYFUNCTION("""COMPUTED_VALUE"""),240.0)</f>
        <v>240</v>
      </c>
      <c r="I1282" s="378">
        <f>IFERROR(__xludf.DUMMYFUNCTION("""COMPUTED_VALUE"""),192.0)</f>
        <v>192</v>
      </c>
      <c r="J1282" s="377"/>
      <c r="K1282" s="166"/>
      <c r="L1282" s="166"/>
      <c r="M1282" s="166"/>
      <c r="N1282" s="170"/>
      <c r="O1282" s="171"/>
      <c r="P1282" s="171"/>
      <c r="Q1282" s="169"/>
      <c r="R1282" s="173"/>
      <c r="S1282" s="173"/>
      <c r="T1282" s="173"/>
      <c r="U1282" s="201"/>
      <c r="V1282" s="165"/>
      <c r="W1282" s="35"/>
      <c r="X1282" s="35"/>
      <c r="Y1282" s="35"/>
      <c r="Z1282" s="35"/>
      <c r="AA1282" s="35"/>
      <c r="AB1282" s="35"/>
      <c r="AC1282" s="35"/>
      <c r="AD1282" s="35"/>
      <c r="AE1282" s="35"/>
      <c r="AF1282" s="35"/>
      <c r="AG1282" s="35"/>
      <c r="AH1282" s="35"/>
      <c r="AI1282" s="35"/>
    </row>
    <row r="1283">
      <c r="A1283" s="165">
        <f>IFERROR(__xludf.DUMMYFUNCTION("""COMPUTED_VALUE"""),8969786.0)</f>
        <v>8969786</v>
      </c>
      <c r="B1283" s="166" t="str">
        <f>IFERROR(__xludf.DUMMYFUNCTION("""COMPUTED_VALUE"""),"BookingCom")</f>
        <v>BookingCom</v>
      </c>
      <c r="C1283" s="166" t="str">
        <f>IFERROR(__xludf.DUMMYFUNCTION("""COMPUTED_VALUE"""),"Viktor Kozel ")</f>
        <v>Viktor Kozel </v>
      </c>
      <c r="D1283" s="165">
        <f>IFERROR(__xludf.DUMMYFUNCTION("""COMPUTED_VALUE"""),46438.0)</f>
        <v>46438</v>
      </c>
      <c r="E1283" s="165">
        <f>IFERROR(__xludf.DUMMYFUNCTION("""COMPUTED_VALUE"""),46439.0)</f>
        <v>46439</v>
      </c>
      <c r="F1283" s="377">
        <f>IFERROR(__xludf.DUMMYFUNCTION("""COMPUTED_VALUE"""),1.0)</f>
        <v>1</v>
      </c>
      <c r="G1283" s="377">
        <f>IFERROR(__xludf.DUMMYFUNCTION("""COMPUTED_VALUE"""),2.0)</f>
        <v>2</v>
      </c>
      <c r="H1283" s="378">
        <f>IFERROR(__xludf.DUMMYFUNCTION("""COMPUTED_VALUE"""),266.88)</f>
        <v>266.88</v>
      </c>
      <c r="I1283" s="378">
        <f>IFERROR(__xludf.DUMMYFUNCTION("""COMPUTED_VALUE"""),213.50400000000002)</f>
        <v>213.504</v>
      </c>
      <c r="J1283" s="267"/>
      <c r="K1283" s="166"/>
      <c r="L1283" s="166"/>
      <c r="M1283" s="166"/>
      <c r="N1283" s="170"/>
      <c r="O1283" s="171"/>
      <c r="P1283" s="171"/>
      <c r="Q1283" s="172"/>
      <c r="R1283" s="173"/>
      <c r="S1283" s="173"/>
      <c r="T1283" s="173"/>
      <c r="U1283" s="201"/>
      <c r="V1283" s="165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</row>
    <row r="1284">
      <c r="A1284" s="165">
        <f>IFERROR(__xludf.DUMMYFUNCTION("""COMPUTED_VALUE"""),8969896.0)</f>
        <v>8969896</v>
      </c>
      <c r="B1284" s="166" t="str">
        <f>IFERROR(__xludf.DUMMYFUNCTION("""COMPUTED_VALUE"""),"BookingCom")</f>
        <v>BookingCom</v>
      </c>
      <c r="C1284" s="166" t="str">
        <f>IFERROR(__xludf.DUMMYFUNCTION("""COMPUTED_VALUE"""),"virginia rapado garcia ")</f>
        <v>virginia rapado garcia </v>
      </c>
      <c r="D1284" s="165">
        <f>IFERROR(__xludf.DUMMYFUNCTION("""COMPUTED_VALUE"""),46254.0)</f>
        <v>46254</v>
      </c>
      <c r="E1284" s="165">
        <f>IFERROR(__xludf.DUMMYFUNCTION("""COMPUTED_VALUE"""),46257.0)</f>
        <v>46257</v>
      </c>
      <c r="F1284" s="377">
        <f>IFERROR(__xludf.DUMMYFUNCTION("""COMPUTED_VALUE"""),3.0)</f>
        <v>3</v>
      </c>
      <c r="G1284" s="377">
        <f>IFERROR(__xludf.DUMMYFUNCTION("""COMPUTED_VALUE"""),3.0)</f>
        <v>3</v>
      </c>
      <c r="H1284" s="378">
        <f>IFERROR(__xludf.DUMMYFUNCTION("""COMPUTED_VALUE"""),134.0)</f>
        <v>134</v>
      </c>
      <c r="I1284" s="378">
        <f>IFERROR(__xludf.DUMMYFUNCTION("""COMPUTED_VALUE"""),321.6)</f>
        <v>321.6</v>
      </c>
      <c r="J1284" s="377"/>
      <c r="K1284" s="166"/>
      <c r="L1284" s="166"/>
      <c r="M1284" s="166"/>
      <c r="N1284" s="169"/>
      <c r="O1284" s="171"/>
      <c r="P1284" s="171"/>
      <c r="Q1284" s="169"/>
      <c r="R1284" s="173"/>
      <c r="S1284" s="173"/>
      <c r="T1284" s="173"/>
      <c r="U1284" s="201"/>
      <c r="V1284" s="165"/>
      <c r="W1284" s="188"/>
      <c r="X1284" s="188"/>
      <c r="Y1284" s="188"/>
      <c r="Z1284" s="188"/>
      <c r="AA1284" s="188"/>
      <c r="AB1284" s="188"/>
      <c r="AC1284" s="188"/>
      <c r="AD1284" s="188"/>
      <c r="AE1284" s="188"/>
      <c r="AF1284" s="188"/>
      <c r="AG1284" s="188"/>
      <c r="AH1284" s="188"/>
      <c r="AI1284" s="188"/>
    </row>
    <row r="1285">
      <c r="A1285" s="165">
        <f>IFERROR(__xludf.DUMMYFUNCTION("""COMPUTED_VALUE"""),8970254.0)</f>
        <v>8970254</v>
      </c>
      <c r="B1285" s="166" t="str">
        <f>IFERROR(__xludf.DUMMYFUNCTION("""COMPUTED_VALUE"""),"BookingCom")</f>
        <v>BookingCom</v>
      </c>
      <c r="C1285" s="166" t="str">
        <f>IFERROR(__xludf.DUMMYFUNCTION("""COMPUTED_VALUE"""),"Dimitra Adamidou ")</f>
        <v>Dimitra Adamidou </v>
      </c>
      <c r="D1285" s="165">
        <f>IFERROR(__xludf.DUMMYFUNCTION("""COMPUTED_VALUE"""),46262.0)</f>
        <v>46262</v>
      </c>
      <c r="E1285" s="165">
        <f>IFERROR(__xludf.DUMMYFUNCTION("""COMPUTED_VALUE"""),46265.0)</f>
        <v>46265</v>
      </c>
      <c r="F1285" s="377">
        <f>IFERROR(__xludf.DUMMYFUNCTION("""COMPUTED_VALUE"""),3.0)</f>
        <v>3</v>
      </c>
      <c r="G1285" s="377">
        <f>IFERROR(__xludf.DUMMYFUNCTION("""COMPUTED_VALUE"""),2.0)</f>
        <v>2</v>
      </c>
      <c r="H1285" s="378">
        <f>IFERROR(__xludf.DUMMYFUNCTION("""COMPUTED_VALUE"""),130.66)</f>
        <v>130.66</v>
      </c>
      <c r="I1285" s="378">
        <f>IFERROR(__xludf.DUMMYFUNCTION("""COMPUTED_VALUE"""),313.584)</f>
        <v>313.584</v>
      </c>
      <c r="J1285" s="377"/>
      <c r="K1285" s="166"/>
      <c r="L1285" s="166"/>
      <c r="M1285" s="166"/>
      <c r="N1285" s="170"/>
      <c r="O1285" s="171"/>
      <c r="P1285" s="171"/>
      <c r="Q1285" s="169"/>
      <c r="R1285" s="173"/>
      <c r="S1285" s="173"/>
      <c r="T1285" s="173"/>
      <c r="U1285" s="201"/>
      <c r="V1285" s="165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</row>
    <row r="1286">
      <c r="A1286" s="165">
        <f>IFERROR(__xludf.DUMMYFUNCTION("""COMPUTED_VALUE"""),8972476.0)</f>
        <v>8972476</v>
      </c>
      <c r="B1286" s="166" t="str">
        <f>IFERROR(__xludf.DUMMYFUNCTION("""COMPUTED_VALUE"""),"BookingCom")</f>
        <v>BookingCom</v>
      </c>
      <c r="C1286" s="166" t="str">
        <f>IFERROR(__xludf.DUMMYFUNCTION("""COMPUTED_VALUE"""),"Edera Giampiero ")</f>
        <v>Edera Giampiero </v>
      </c>
      <c r="D1286" s="165">
        <f>IFERROR(__xludf.DUMMYFUNCTION("""COMPUTED_VALUE"""),46254.0)</f>
        <v>46254</v>
      </c>
      <c r="E1286" s="165">
        <f>IFERROR(__xludf.DUMMYFUNCTION("""COMPUTED_VALUE"""),46257.0)</f>
        <v>46257</v>
      </c>
      <c r="F1286" s="377">
        <f>IFERROR(__xludf.DUMMYFUNCTION("""COMPUTED_VALUE"""),3.0)</f>
        <v>3</v>
      </c>
      <c r="G1286" s="377">
        <f>IFERROR(__xludf.DUMMYFUNCTION("""COMPUTED_VALUE"""),2.0)</f>
        <v>2</v>
      </c>
      <c r="H1286" s="378">
        <f>IFERROR(__xludf.DUMMYFUNCTION("""COMPUTED_VALUE"""),282.71)</f>
        <v>282.71</v>
      </c>
      <c r="I1286" s="378">
        <f>IFERROR(__xludf.DUMMYFUNCTION("""COMPUTED_VALUE"""),678.504)</f>
        <v>678.504</v>
      </c>
      <c r="J1286" s="377"/>
      <c r="K1286" s="166"/>
      <c r="L1286" s="166"/>
      <c r="M1286" s="166"/>
      <c r="N1286" s="170"/>
      <c r="O1286" s="171"/>
      <c r="P1286" s="171"/>
      <c r="Q1286" s="169"/>
      <c r="R1286" s="173"/>
      <c r="S1286" s="173"/>
      <c r="T1286" s="173"/>
      <c r="U1286" s="201"/>
      <c r="V1286" s="165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</row>
    <row r="1287">
      <c r="A1287" s="165">
        <f>IFERROR(__xludf.DUMMYFUNCTION("""COMPUTED_VALUE"""),8974796.0)</f>
        <v>8974796</v>
      </c>
      <c r="B1287" s="166" t="str">
        <f>IFERROR(__xludf.DUMMYFUNCTION("""COMPUTED_VALUE"""),"BookingCom")</f>
        <v>BookingCom</v>
      </c>
      <c r="C1287" s="166" t="str">
        <f>IFERROR(__xludf.DUMMYFUNCTION("""COMPUTED_VALUE"""),"Anastasiia Iarkova ")</f>
        <v>Anastasiia Iarkova </v>
      </c>
      <c r="D1287" s="165">
        <f>IFERROR(__xludf.DUMMYFUNCTION("""COMPUTED_VALUE"""),46322.0)</f>
        <v>46322</v>
      </c>
      <c r="E1287" s="165">
        <f>IFERROR(__xludf.DUMMYFUNCTION("""COMPUTED_VALUE"""),46324.0)</f>
        <v>46324</v>
      </c>
      <c r="F1287" s="377">
        <f>IFERROR(__xludf.DUMMYFUNCTION("""COMPUTED_VALUE"""),2.0)</f>
        <v>2</v>
      </c>
      <c r="G1287" s="377">
        <f>IFERROR(__xludf.DUMMYFUNCTION("""COMPUTED_VALUE"""),3.0)</f>
        <v>3</v>
      </c>
      <c r="H1287" s="378">
        <f>IFERROR(__xludf.DUMMYFUNCTION("""COMPUTED_VALUE"""),177.23)</f>
        <v>177.23</v>
      </c>
      <c r="I1287" s="378">
        <f>IFERROR(__xludf.DUMMYFUNCTION("""COMPUTED_VALUE"""),283.568)</f>
        <v>283.568</v>
      </c>
      <c r="J1287" s="377"/>
      <c r="K1287" s="166"/>
      <c r="L1287" s="166"/>
      <c r="M1287" s="205"/>
      <c r="N1287" s="170"/>
      <c r="O1287" s="171"/>
      <c r="P1287" s="171"/>
      <c r="Q1287" s="172"/>
      <c r="R1287" s="173"/>
      <c r="S1287" s="173"/>
      <c r="T1287" s="173"/>
      <c r="U1287" s="201"/>
      <c r="V1287" s="165"/>
      <c r="W1287" s="36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</row>
    <row r="1288">
      <c r="A1288" s="263">
        <f>IFERROR(__xludf.DUMMYFUNCTION("""COMPUTED_VALUE"""),8974908.0)</f>
        <v>8974908</v>
      </c>
      <c r="B1288" s="264" t="str">
        <f>IFERROR(__xludf.DUMMYFUNCTION("""COMPUTED_VALUE"""),"BookingCom")</f>
        <v>BookingCom</v>
      </c>
      <c r="C1288" s="265" t="str">
        <f>IFERROR(__xludf.DUMMYFUNCTION("""COMPUTED_VALUE"""),"Sandie Nicaty ")</f>
        <v>Sandie Nicaty </v>
      </c>
      <c r="D1288" s="266">
        <f>IFERROR(__xludf.DUMMYFUNCTION("""COMPUTED_VALUE"""),46496.0)</f>
        <v>46496</v>
      </c>
      <c r="E1288" s="263">
        <f>IFERROR(__xludf.DUMMYFUNCTION("""COMPUTED_VALUE"""),46498.0)</f>
        <v>46498</v>
      </c>
      <c r="F1288" s="267">
        <f>IFERROR(__xludf.DUMMYFUNCTION("""COMPUTED_VALUE"""),2.0)</f>
        <v>2</v>
      </c>
      <c r="G1288" s="267">
        <f>IFERROR(__xludf.DUMMYFUNCTION("""COMPUTED_VALUE"""),2.0)</f>
        <v>2</v>
      </c>
      <c r="H1288" s="268">
        <f>IFERROR(__xludf.DUMMYFUNCTION("""COMPUTED_VALUE"""),303.84)</f>
        <v>303.84</v>
      </c>
      <c r="I1288" s="268">
        <f>IFERROR(__xludf.DUMMYFUNCTION("""COMPUTED_VALUE"""),486.144)</f>
        <v>486.144</v>
      </c>
      <c r="J1288" s="377"/>
      <c r="K1288" s="265"/>
      <c r="L1288" s="265"/>
      <c r="M1288" s="269"/>
      <c r="N1288" s="270"/>
      <c r="O1288" s="271"/>
      <c r="P1288" s="271"/>
      <c r="Q1288" s="272"/>
      <c r="R1288" s="273"/>
      <c r="S1288" s="273"/>
      <c r="T1288" s="273"/>
      <c r="U1288" s="274"/>
      <c r="V1288" s="263"/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</row>
    <row r="1289">
      <c r="A1289" s="263">
        <f>IFERROR(__xludf.DUMMYFUNCTION("""COMPUTED_VALUE"""),8976056.0)</f>
        <v>8976056</v>
      </c>
      <c r="B1289" s="264" t="str">
        <f>IFERROR(__xludf.DUMMYFUNCTION("""COMPUTED_VALUE"""),"BookingCom")</f>
        <v>BookingCom</v>
      </c>
      <c r="C1289" s="265" t="str">
        <f>IFERROR(__xludf.DUMMYFUNCTION("""COMPUTED_VALUE"""),"Pablo Via Mallo ")</f>
        <v>Pablo Via Mallo </v>
      </c>
      <c r="D1289" s="266">
        <f>IFERROR(__xludf.DUMMYFUNCTION("""COMPUTED_VALUE"""),46257.0)</f>
        <v>46257</v>
      </c>
      <c r="E1289" s="263">
        <f>IFERROR(__xludf.DUMMYFUNCTION("""COMPUTED_VALUE"""),46258.0)</f>
        <v>46258</v>
      </c>
      <c r="F1289" s="267">
        <f>IFERROR(__xludf.DUMMYFUNCTION("""COMPUTED_VALUE"""),1.0)</f>
        <v>1</v>
      </c>
      <c r="G1289" s="267">
        <f>IFERROR(__xludf.DUMMYFUNCTION("""COMPUTED_VALUE"""),2.0)</f>
        <v>2</v>
      </c>
      <c r="H1289" s="268">
        <f>IFERROR(__xludf.DUMMYFUNCTION("""COMPUTED_VALUE"""),121.04)</f>
        <v>121.04</v>
      </c>
      <c r="I1289" s="268">
        <f>IFERROR(__xludf.DUMMYFUNCTION("""COMPUTED_VALUE"""),96.83200000000001)</f>
        <v>96.832</v>
      </c>
      <c r="J1289" s="377"/>
      <c r="K1289" s="265"/>
      <c r="L1289" s="265"/>
      <c r="M1289" s="269"/>
      <c r="N1289" s="270"/>
      <c r="O1289" s="271"/>
      <c r="P1289" s="271"/>
      <c r="Q1289" s="272"/>
      <c r="R1289" s="273"/>
      <c r="S1289" s="273"/>
      <c r="T1289" s="273"/>
      <c r="U1289" s="274"/>
      <c r="V1289" s="263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</row>
    <row r="1290">
      <c r="A1290" s="165">
        <f>IFERROR(__xludf.DUMMYFUNCTION("""COMPUTED_VALUE"""),8977036.0)</f>
        <v>8977036</v>
      </c>
      <c r="B1290" s="166" t="str">
        <f>IFERROR(__xludf.DUMMYFUNCTION("""COMPUTED_VALUE"""),"BookingCom")</f>
        <v>BookingCom</v>
      </c>
      <c r="C1290" s="166" t="str">
        <f>IFERROR(__xludf.DUMMYFUNCTION("""COMPUTED_VALUE"""),"Tatiana Laverde ")</f>
        <v>Tatiana Laverde </v>
      </c>
      <c r="D1290" s="165">
        <f>IFERROR(__xludf.DUMMYFUNCTION("""COMPUTED_VALUE"""),46274.0)</f>
        <v>46274</v>
      </c>
      <c r="E1290" s="165">
        <f>IFERROR(__xludf.DUMMYFUNCTION("""COMPUTED_VALUE"""),46275.0)</f>
        <v>46275</v>
      </c>
      <c r="F1290" s="377">
        <f>IFERROR(__xludf.DUMMYFUNCTION("""COMPUTED_VALUE"""),1.0)</f>
        <v>1</v>
      </c>
      <c r="G1290" s="377">
        <f>IFERROR(__xludf.DUMMYFUNCTION("""COMPUTED_VALUE"""),2.0)</f>
        <v>2</v>
      </c>
      <c r="H1290" s="378">
        <f>IFERROR(__xludf.DUMMYFUNCTION("""COMPUTED_VALUE"""),182.4)</f>
        <v>182.4</v>
      </c>
      <c r="I1290" s="378">
        <f>IFERROR(__xludf.DUMMYFUNCTION("""COMPUTED_VALUE"""),145.92000000000002)</f>
        <v>145.92</v>
      </c>
      <c r="J1290" s="377"/>
      <c r="K1290" s="166"/>
      <c r="L1290" s="166"/>
      <c r="M1290" s="166"/>
      <c r="N1290" s="169"/>
      <c r="O1290" s="171"/>
      <c r="P1290" s="171"/>
      <c r="Q1290" s="169"/>
      <c r="R1290" s="173"/>
      <c r="S1290" s="173"/>
      <c r="T1290" s="173"/>
      <c r="U1290" s="201"/>
      <c r="V1290" s="165"/>
      <c r="W1290" s="36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</row>
    <row r="1291">
      <c r="A1291" s="165">
        <f>IFERROR(__xludf.DUMMYFUNCTION("""COMPUTED_VALUE"""),8981611.0)</f>
        <v>8981611</v>
      </c>
      <c r="B1291" s="166" t="str">
        <f>IFERROR(__xludf.DUMMYFUNCTION("""COMPUTED_VALUE"""),"BookingCom")</f>
        <v>BookingCom</v>
      </c>
      <c r="C1291" s="166" t="str">
        <f>IFERROR(__xludf.DUMMYFUNCTION("""COMPUTED_VALUE"""),"Cedric Lacroix ")</f>
        <v>Cedric Lacroix </v>
      </c>
      <c r="D1291" s="165">
        <f>IFERROR(__xludf.DUMMYFUNCTION("""COMPUTED_VALUE"""),46245.0)</f>
        <v>46245</v>
      </c>
      <c r="E1291" s="165">
        <f>IFERROR(__xludf.DUMMYFUNCTION("""COMPUTED_VALUE"""),46247.0)</f>
        <v>46247</v>
      </c>
      <c r="F1291" s="377">
        <f>IFERROR(__xludf.DUMMYFUNCTION("""COMPUTED_VALUE"""),2.0)</f>
        <v>2</v>
      </c>
      <c r="G1291" s="377">
        <f>IFERROR(__xludf.DUMMYFUNCTION("""COMPUTED_VALUE"""),2.0)</f>
        <v>2</v>
      </c>
      <c r="H1291" s="378">
        <f>IFERROR(__xludf.DUMMYFUNCTION("""COMPUTED_VALUE"""),137.79)</f>
        <v>137.79</v>
      </c>
      <c r="I1291" s="378">
        <f>IFERROR(__xludf.DUMMYFUNCTION("""COMPUTED_VALUE"""),220.464)</f>
        <v>220.464</v>
      </c>
      <c r="J1291" s="377"/>
      <c r="K1291" s="166"/>
      <c r="L1291" s="166"/>
      <c r="M1291" s="166"/>
      <c r="N1291" s="170"/>
      <c r="O1291" s="171"/>
      <c r="P1291" s="171"/>
      <c r="Q1291" s="172"/>
      <c r="R1291" s="173"/>
      <c r="S1291" s="173"/>
      <c r="T1291" s="173"/>
      <c r="U1291" s="201"/>
      <c r="V1291" s="165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</row>
    <row r="1292">
      <c r="A1292" s="165">
        <f>IFERROR(__xludf.DUMMYFUNCTION("""COMPUTED_VALUE"""),8981984.0)</f>
        <v>8981984</v>
      </c>
      <c r="B1292" s="166" t="str">
        <f>IFERROR(__xludf.DUMMYFUNCTION("""COMPUTED_VALUE"""),"BookingCom")</f>
        <v>BookingCom</v>
      </c>
      <c r="C1292" s="166" t="str">
        <f>IFERROR(__xludf.DUMMYFUNCTION("""COMPUTED_VALUE"""),"Stephane Morera ")</f>
        <v>Stephane Morera </v>
      </c>
      <c r="D1292" s="165">
        <f>IFERROR(__xludf.DUMMYFUNCTION("""COMPUTED_VALUE"""),46239.0)</f>
        <v>46239</v>
      </c>
      <c r="E1292" s="165">
        <f>IFERROR(__xludf.DUMMYFUNCTION("""COMPUTED_VALUE"""),46240.0)</f>
        <v>46240</v>
      </c>
      <c r="F1292" s="377">
        <f>IFERROR(__xludf.DUMMYFUNCTION("""COMPUTED_VALUE"""),1.0)</f>
        <v>1</v>
      </c>
      <c r="G1292" s="377">
        <f>IFERROR(__xludf.DUMMYFUNCTION("""COMPUTED_VALUE"""),1.0)</f>
        <v>1</v>
      </c>
      <c r="H1292" s="378">
        <f>IFERROR(__xludf.DUMMYFUNCTION("""COMPUTED_VALUE"""),108.99)</f>
        <v>108.99</v>
      </c>
      <c r="I1292" s="378">
        <f>IFERROR(__xludf.DUMMYFUNCTION("""COMPUTED_VALUE"""),87.19200000000001)</f>
        <v>87.192</v>
      </c>
      <c r="J1292" s="377"/>
      <c r="K1292" s="166"/>
      <c r="L1292" s="166"/>
      <c r="M1292" s="166"/>
      <c r="N1292" s="170"/>
      <c r="O1292" s="171"/>
      <c r="P1292" s="171"/>
      <c r="Q1292" s="172"/>
      <c r="R1292" s="173"/>
      <c r="S1292" s="173"/>
      <c r="T1292" s="173"/>
      <c r="U1292" s="201"/>
      <c r="V1292" s="165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</row>
    <row r="1293">
      <c r="A1293" s="165">
        <f>IFERROR(__xludf.DUMMYFUNCTION("""COMPUTED_VALUE"""),8983043.0)</f>
        <v>8983043</v>
      </c>
      <c r="B1293" s="166" t="str">
        <f>IFERROR(__xludf.DUMMYFUNCTION("""COMPUTED_VALUE"""),"BookingCom")</f>
        <v>BookingCom</v>
      </c>
      <c r="C1293" s="166" t="str">
        <f>IFERROR(__xludf.DUMMYFUNCTION("""COMPUTED_VALUE"""),"julie bak ")</f>
        <v>julie bak </v>
      </c>
      <c r="D1293" s="165">
        <f>IFERROR(__xludf.DUMMYFUNCTION("""COMPUTED_VALUE"""),46263.0)</f>
        <v>46263</v>
      </c>
      <c r="E1293" s="165">
        <f>IFERROR(__xludf.DUMMYFUNCTION("""COMPUTED_VALUE"""),46265.0)</f>
        <v>46265</v>
      </c>
      <c r="F1293" s="377">
        <f>IFERROR(__xludf.DUMMYFUNCTION("""COMPUTED_VALUE"""),2.0)</f>
        <v>2</v>
      </c>
      <c r="G1293" s="377">
        <f>IFERROR(__xludf.DUMMYFUNCTION("""COMPUTED_VALUE"""),2.0)</f>
        <v>2</v>
      </c>
      <c r="H1293" s="378">
        <f>IFERROR(__xludf.DUMMYFUNCTION("""COMPUTED_VALUE"""),174.96)</f>
        <v>174.96</v>
      </c>
      <c r="I1293" s="378">
        <f>IFERROR(__xludf.DUMMYFUNCTION("""COMPUTED_VALUE"""),279.93600000000004)</f>
        <v>279.936</v>
      </c>
      <c r="J1293" s="267"/>
      <c r="K1293" s="166"/>
      <c r="L1293" s="166"/>
      <c r="M1293" s="205"/>
      <c r="N1293" s="170"/>
      <c r="O1293" s="171"/>
      <c r="P1293" s="171"/>
      <c r="Q1293" s="172"/>
      <c r="R1293" s="173"/>
      <c r="S1293" s="173"/>
      <c r="T1293" s="173"/>
      <c r="U1293" s="201"/>
      <c r="V1293" s="165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</row>
    <row r="1294">
      <c r="A1294" s="263">
        <f>IFERROR(__xludf.DUMMYFUNCTION("""COMPUTED_VALUE"""),8983162.0)</f>
        <v>8983162</v>
      </c>
      <c r="B1294" s="264" t="str">
        <f>IFERROR(__xludf.DUMMYFUNCTION("""COMPUTED_VALUE"""),"BookingCom")</f>
        <v>BookingCom</v>
      </c>
      <c r="C1294" s="265" t="str">
        <f>IFERROR(__xludf.DUMMYFUNCTION("""COMPUTED_VALUE"""),"Nazha Etahlali ")</f>
        <v>Nazha Etahlali </v>
      </c>
      <c r="D1294" s="266">
        <f>IFERROR(__xludf.DUMMYFUNCTION("""COMPUTED_VALUE"""),46243.0)</f>
        <v>46243</v>
      </c>
      <c r="E1294" s="263">
        <f>IFERROR(__xludf.DUMMYFUNCTION("""COMPUTED_VALUE"""),46246.0)</f>
        <v>46246</v>
      </c>
      <c r="F1294" s="267">
        <f>IFERROR(__xludf.DUMMYFUNCTION("""COMPUTED_VALUE"""),3.0)</f>
        <v>3</v>
      </c>
      <c r="G1294" s="267">
        <f>IFERROR(__xludf.DUMMYFUNCTION("""COMPUTED_VALUE"""),2.0)</f>
        <v>2</v>
      </c>
      <c r="H1294" s="268">
        <f>IFERROR(__xludf.DUMMYFUNCTION("""COMPUTED_VALUE"""),110.66000000000001)</f>
        <v>110.66</v>
      </c>
      <c r="I1294" s="268">
        <f>IFERROR(__xludf.DUMMYFUNCTION("""COMPUTED_VALUE"""),265.58400000000006)</f>
        <v>265.584</v>
      </c>
      <c r="J1294" s="267"/>
      <c r="K1294" s="265"/>
      <c r="L1294" s="265"/>
      <c r="M1294" s="269"/>
      <c r="N1294" s="270"/>
      <c r="O1294" s="271"/>
      <c r="P1294" s="271"/>
      <c r="Q1294" s="272"/>
      <c r="R1294" s="273"/>
      <c r="S1294" s="273"/>
      <c r="T1294" s="273"/>
      <c r="U1294" s="274"/>
      <c r="V1294" s="263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</row>
    <row r="1295">
      <c r="A1295" s="165">
        <f>IFERROR(__xludf.DUMMYFUNCTION("""COMPUTED_VALUE"""),8983199.0)</f>
        <v>8983199</v>
      </c>
      <c r="B1295" s="166" t="str">
        <f>IFERROR(__xludf.DUMMYFUNCTION("""COMPUTED_VALUE"""),"BookingCom")</f>
        <v>BookingCom</v>
      </c>
      <c r="C1295" s="166" t="str">
        <f>IFERROR(__xludf.DUMMYFUNCTION("""COMPUTED_VALUE"""),"Caroline Baser ")</f>
        <v>Caroline Baser </v>
      </c>
      <c r="D1295" s="165">
        <f>IFERROR(__xludf.DUMMYFUNCTION("""COMPUTED_VALUE"""),46286.0)</f>
        <v>46286</v>
      </c>
      <c r="E1295" s="165">
        <f>IFERROR(__xludf.DUMMYFUNCTION("""COMPUTED_VALUE"""),46288.0)</f>
        <v>46288</v>
      </c>
      <c r="F1295" s="377">
        <f>IFERROR(__xludf.DUMMYFUNCTION("""COMPUTED_VALUE"""),2.0)</f>
        <v>2</v>
      </c>
      <c r="G1295" s="377">
        <f>IFERROR(__xludf.DUMMYFUNCTION("""COMPUTED_VALUE"""),1.0)</f>
        <v>1</v>
      </c>
      <c r="H1295" s="378">
        <f>IFERROR(__xludf.DUMMYFUNCTION("""COMPUTED_VALUE"""),131.78)</f>
        <v>131.78</v>
      </c>
      <c r="I1295" s="378">
        <f>IFERROR(__xludf.DUMMYFUNCTION("""COMPUTED_VALUE"""),210.848)</f>
        <v>210.848</v>
      </c>
      <c r="J1295" s="377"/>
      <c r="K1295" s="166"/>
      <c r="L1295" s="166"/>
      <c r="M1295" s="166"/>
      <c r="N1295" s="170"/>
      <c r="O1295" s="171"/>
      <c r="P1295" s="171"/>
      <c r="Q1295" s="172"/>
      <c r="R1295" s="173"/>
      <c r="S1295" s="173"/>
      <c r="T1295" s="173"/>
      <c r="U1295" s="201"/>
      <c r="V1295" s="165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</row>
    <row r="1296">
      <c r="A1296" s="165">
        <f>IFERROR(__xludf.DUMMYFUNCTION("""COMPUTED_VALUE"""),8983761.0)</f>
        <v>8983761</v>
      </c>
      <c r="B1296" s="166" t="str">
        <f>IFERROR(__xludf.DUMMYFUNCTION("""COMPUTED_VALUE"""),"BookingCom")</f>
        <v>BookingCom</v>
      </c>
      <c r="C1296" s="166" t="str">
        <f>IFERROR(__xludf.DUMMYFUNCTION("""COMPUTED_VALUE"""),"Dominik Moser ")</f>
        <v>Dominik Moser </v>
      </c>
      <c r="D1296" s="165">
        <f>IFERROR(__xludf.DUMMYFUNCTION("""COMPUTED_VALUE"""),46391.0)</f>
        <v>46391</v>
      </c>
      <c r="E1296" s="165">
        <f>IFERROR(__xludf.DUMMYFUNCTION("""COMPUTED_VALUE"""),46392.0)</f>
        <v>46392</v>
      </c>
      <c r="F1296" s="377">
        <f>IFERROR(__xludf.DUMMYFUNCTION("""COMPUTED_VALUE"""),1.0)</f>
        <v>1</v>
      </c>
      <c r="G1296" s="377">
        <f>IFERROR(__xludf.DUMMYFUNCTION("""COMPUTED_VALUE"""),2.0)</f>
        <v>2</v>
      </c>
      <c r="H1296" s="378">
        <f>IFERROR(__xludf.DUMMYFUNCTION("""COMPUTED_VALUE"""),205.54)</f>
        <v>205.54</v>
      </c>
      <c r="I1296" s="378">
        <f>IFERROR(__xludf.DUMMYFUNCTION("""COMPUTED_VALUE"""),164.43200000000002)</f>
        <v>164.432</v>
      </c>
      <c r="J1296" s="377"/>
      <c r="K1296" s="166"/>
      <c r="L1296" s="166"/>
      <c r="M1296" s="166"/>
      <c r="N1296" s="170"/>
      <c r="O1296" s="171"/>
      <c r="P1296" s="171"/>
      <c r="Q1296" s="172"/>
      <c r="R1296" s="173"/>
      <c r="S1296" s="173"/>
      <c r="T1296" s="173"/>
      <c r="U1296" s="201"/>
      <c r="V1296" s="165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</row>
    <row r="1297">
      <c r="A1297" s="165">
        <f>IFERROR(__xludf.DUMMYFUNCTION("""COMPUTED_VALUE"""),8983818.0)</f>
        <v>8983818</v>
      </c>
      <c r="B1297" s="166" t="str">
        <f>IFERROR(__xludf.DUMMYFUNCTION("""COMPUTED_VALUE"""),"BookingCom")</f>
        <v>BookingCom</v>
      </c>
      <c r="C1297" s="166" t="str">
        <f>IFERROR(__xludf.DUMMYFUNCTION("""COMPUTED_VALUE"""),"Ayala Elian ")</f>
        <v>Ayala Elian </v>
      </c>
      <c r="D1297" s="165">
        <f>IFERROR(__xludf.DUMMYFUNCTION("""COMPUTED_VALUE"""),46278.0)</f>
        <v>46278</v>
      </c>
      <c r="E1297" s="165">
        <f>IFERROR(__xludf.DUMMYFUNCTION("""COMPUTED_VALUE"""),46280.0)</f>
        <v>46280</v>
      </c>
      <c r="F1297" s="377">
        <f>IFERROR(__xludf.DUMMYFUNCTION("""COMPUTED_VALUE"""),2.0)</f>
        <v>2</v>
      </c>
      <c r="G1297" s="377">
        <f>IFERROR(__xludf.DUMMYFUNCTION("""COMPUTED_VALUE"""),2.0)</f>
        <v>2</v>
      </c>
      <c r="H1297" s="378">
        <f>IFERROR(__xludf.DUMMYFUNCTION("""COMPUTED_VALUE"""),137.29)</f>
        <v>137.29</v>
      </c>
      <c r="I1297" s="378">
        <f>IFERROR(__xludf.DUMMYFUNCTION("""COMPUTED_VALUE"""),219.664)</f>
        <v>219.664</v>
      </c>
      <c r="J1297" s="377"/>
      <c r="K1297" s="166"/>
      <c r="L1297" s="166"/>
      <c r="M1297" s="166"/>
      <c r="N1297" s="169"/>
      <c r="O1297" s="171"/>
      <c r="P1297" s="171"/>
      <c r="Q1297" s="169"/>
      <c r="R1297" s="173"/>
      <c r="S1297" s="173"/>
      <c r="T1297" s="173"/>
      <c r="U1297" s="201"/>
      <c r="V1297" s="165"/>
      <c r="W1297" s="36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</row>
    <row r="1298">
      <c r="A1298" s="165">
        <f>IFERROR(__xludf.DUMMYFUNCTION("""COMPUTED_VALUE"""),8987958.0)</f>
        <v>8987958</v>
      </c>
      <c r="B1298" s="166" t="str">
        <f>IFERROR(__xludf.DUMMYFUNCTION("""COMPUTED_VALUE"""),"BookingCom")</f>
        <v>BookingCom</v>
      </c>
      <c r="C1298" s="166" t="str">
        <f>IFERROR(__xludf.DUMMYFUNCTION("""COMPUTED_VALUE"""),"Riva de Vries ")</f>
        <v>Riva de Vries </v>
      </c>
      <c r="D1298" s="165">
        <f>IFERROR(__xludf.DUMMYFUNCTION("""COMPUTED_VALUE"""),46295.0)</f>
        <v>46295</v>
      </c>
      <c r="E1298" s="165">
        <f>IFERROR(__xludf.DUMMYFUNCTION("""COMPUTED_VALUE"""),46297.0)</f>
        <v>46297</v>
      </c>
      <c r="F1298" s="377">
        <f>IFERROR(__xludf.DUMMYFUNCTION("""COMPUTED_VALUE"""),2.0)</f>
        <v>2</v>
      </c>
      <c r="G1298" s="377">
        <f>IFERROR(__xludf.DUMMYFUNCTION("""COMPUTED_VALUE"""),2.0)</f>
        <v>2</v>
      </c>
      <c r="H1298" s="378">
        <f>IFERROR(__xludf.DUMMYFUNCTION("""COMPUTED_VALUE"""),152.72)</f>
        <v>152.72</v>
      </c>
      <c r="I1298" s="378">
        <f>IFERROR(__xludf.DUMMYFUNCTION("""COMPUTED_VALUE"""),244.352)</f>
        <v>244.352</v>
      </c>
      <c r="J1298" s="377"/>
      <c r="K1298" s="166"/>
      <c r="L1298" s="166"/>
      <c r="M1298" s="166"/>
      <c r="N1298" s="170"/>
      <c r="O1298" s="171"/>
      <c r="P1298" s="171"/>
      <c r="Q1298" s="172"/>
      <c r="R1298" s="173"/>
      <c r="S1298" s="173"/>
      <c r="T1298" s="173"/>
      <c r="U1298" s="201"/>
      <c r="V1298" s="165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</row>
    <row r="1299">
      <c r="A1299" s="165">
        <f>IFERROR(__xludf.DUMMYFUNCTION("""COMPUTED_VALUE"""),8988666.0)</f>
        <v>8988666</v>
      </c>
      <c r="B1299" s="166" t="str">
        <f>IFERROR(__xludf.DUMMYFUNCTION("""COMPUTED_VALUE"""),"BookingCom")</f>
        <v>BookingCom</v>
      </c>
      <c r="C1299" s="166" t="str">
        <f>IFERROR(__xludf.DUMMYFUNCTION("""COMPUTED_VALUE"""),"Helena Lorenz ")</f>
        <v>Helena Lorenz </v>
      </c>
      <c r="D1299" s="165">
        <f>IFERROR(__xludf.DUMMYFUNCTION("""COMPUTED_VALUE"""),46381.0)</f>
        <v>46381</v>
      </c>
      <c r="E1299" s="165">
        <f>IFERROR(__xludf.DUMMYFUNCTION("""COMPUTED_VALUE"""),46382.0)</f>
        <v>46382</v>
      </c>
      <c r="F1299" s="377">
        <f>IFERROR(__xludf.DUMMYFUNCTION("""COMPUTED_VALUE"""),1.0)</f>
        <v>1</v>
      </c>
      <c r="G1299" s="377">
        <f>IFERROR(__xludf.DUMMYFUNCTION("""COMPUTED_VALUE"""),1.0)</f>
        <v>1</v>
      </c>
      <c r="H1299" s="378">
        <f>IFERROR(__xludf.DUMMYFUNCTION("""COMPUTED_VALUE"""),158.75)</f>
        <v>158.75</v>
      </c>
      <c r="I1299" s="378">
        <f>IFERROR(__xludf.DUMMYFUNCTION("""COMPUTED_VALUE"""),127.0)</f>
        <v>127</v>
      </c>
      <c r="J1299" s="267"/>
      <c r="K1299" s="166"/>
      <c r="L1299" s="166"/>
      <c r="M1299" s="166"/>
      <c r="N1299" s="169"/>
      <c r="O1299" s="171"/>
      <c r="P1299" s="171"/>
      <c r="Q1299" s="169"/>
      <c r="R1299" s="173"/>
      <c r="S1299" s="173"/>
      <c r="T1299" s="173"/>
      <c r="U1299" s="201"/>
      <c r="V1299" s="165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8"/>
      <c r="AH1299" s="188"/>
      <c r="AI1299" s="188"/>
    </row>
    <row r="1300">
      <c r="A1300" s="165">
        <f>IFERROR(__xludf.DUMMYFUNCTION("""COMPUTED_VALUE"""),8989110.0)</f>
        <v>8989110</v>
      </c>
      <c r="B1300" s="166" t="str">
        <f>IFERROR(__xludf.DUMMYFUNCTION("""COMPUTED_VALUE"""),"BookingCom")</f>
        <v>BookingCom</v>
      </c>
      <c r="C1300" s="166" t="str">
        <f>IFERROR(__xludf.DUMMYFUNCTION("""COMPUTED_VALUE"""),"Hugo Huis in t Veld ")</f>
        <v>Hugo Huis in t Veld </v>
      </c>
      <c r="D1300" s="165">
        <f>IFERROR(__xludf.DUMMYFUNCTION("""COMPUTED_VALUE"""),46295.0)</f>
        <v>46295</v>
      </c>
      <c r="E1300" s="165">
        <f>IFERROR(__xludf.DUMMYFUNCTION("""COMPUTED_VALUE"""),46297.0)</f>
        <v>46297</v>
      </c>
      <c r="F1300" s="377">
        <f>IFERROR(__xludf.DUMMYFUNCTION("""COMPUTED_VALUE"""),2.0)</f>
        <v>2</v>
      </c>
      <c r="G1300" s="377">
        <f>IFERROR(__xludf.DUMMYFUNCTION("""COMPUTED_VALUE"""),2.0)</f>
        <v>2</v>
      </c>
      <c r="H1300" s="378">
        <f>IFERROR(__xludf.DUMMYFUNCTION("""COMPUTED_VALUE"""),155.74)</f>
        <v>155.74</v>
      </c>
      <c r="I1300" s="378">
        <f>IFERROR(__xludf.DUMMYFUNCTION("""COMPUTED_VALUE"""),249.18400000000003)</f>
        <v>249.184</v>
      </c>
      <c r="J1300" s="377"/>
      <c r="K1300" s="166"/>
      <c r="L1300" s="166"/>
      <c r="M1300" s="205"/>
      <c r="N1300" s="170"/>
      <c r="O1300" s="171"/>
      <c r="P1300" s="171"/>
      <c r="Q1300" s="172"/>
      <c r="R1300" s="173"/>
      <c r="S1300" s="173"/>
      <c r="T1300" s="173"/>
      <c r="U1300" s="201"/>
      <c r="V1300" s="16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</row>
    <row r="1301">
      <c r="A1301" s="165">
        <f>IFERROR(__xludf.DUMMYFUNCTION("""COMPUTED_VALUE"""),8990481.0)</f>
        <v>8990481</v>
      </c>
      <c r="B1301" s="166" t="str">
        <f>IFERROR(__xludf.DUMMYFUNCTION("""COMPUTED_VALUE"""),"BookingCom")</f>
        <v>BookingCom</v>
      </c>
      <c r="C1301" s="166" t="str">
        <f>IFERROR(__xludf.DUMMYFUNCTION("""COMPUTED_VALUE"""),"Melanie Largeteau ")</f>
        <v>Melanie Largeteau </v>
      </c>
      <c r="D1301" s="165">
        <f>IFERROR(__xludf.DUMMYFUNCTION("""COMPUTED_VALUE"""),46332.0)</f>
        <v>46332</v>
      </c>
      <c r="E1301" s="165">
        <f>IFERROR(__xludf.DUMMYFUNCTION("""COMPUTED_VALUE"""),46334.0)</f>
        <v>46334</v>
      </c>
      <c r="F1301" s="377">
        <f>IFERROR(__xludf.DUMMYFUNCTION("""COMPUTED_VALUE"""),2.0)</f>
        <v>2</v>
      </c>
      <c r="G1301" s="377">
        <f>IFERROR(__xludf.DUMMYFUNCTION("""COMPUTED_VALUE"""),3.0)</f>
        <v>3</v>
      </c>
      <c r="H1301" s="378">
        <f>IFERROR(__xludf.DUMMYFUNCTION("""COMPUTED_VALUE"""),158.96)</f>
        <v>158.96</v>
      </c>
      <c r="I1301" s="378">
        <f>IFERROR(__xludf.DUMMYFUNCTION("""COMPUTED_VALUE"""),254.336)</f>
        <v>254.336</v>
      </c>
      <c r="J1301" s="377"/>
      <c r="K1301" s="166"/>
      <c r="L1301" s="166"/>
      <c r="M1301" s="205"/>
      <c r="N1301" s="170"/>
      <c r="O1301" s="171"/>
      <c r="P1301" s="171"/>
      <c r="Q1301" s="172"/>
      <c r="R1301" s="173"/>
      <c r="S1301" s="173"/>
      <c r="T1301" s="173"/>
      <c r="U1301" s="201"/>
      <c r="V1301" s="165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</row>
    <row r="1302">
      <c r="A1302" s="165">
        <f>IFERROR(__xludf.DUMMYFUNCTION("""COMPUTED_VALUE"""),8991807.0)</f>
        <v>8991807</v>
      </c>
      <c r="B1302" s="166" t="str">
        <f>IFERROR(__xludf.DUMMYFUNCTION("""COMPUTED_VALUE"""),"BookingCom")</f>
        <v>BookingCom</v>
      </c>
      <c r="C1302" s="166" t="str">
        <f>IFERROR(__xludf.DUMMYFUNCTION("""COMPUTED_VALUE"""),"Lericolais Lucie ")</f>
        <v>Lericolais Lucie </v>
      </c>
      <c r="D1302" s="165">
        <f>IFERROR(__xludf.DUMMYFUNCTION("""COMPUTED_VALUE"""),46348.0)</f>
        <v>46348</v>
      </c>
      <c r="E1302" s="165">
        <f>IFERROR(__xludf.DUMMYFUNCTION("""COMPUTED_VALUE"""),46349.0)</f>
        <v>46349</v>
      </c>
      <c r="F1302" s="377">
        <f>IFERROR(__xludf.DUMMYFUNCTION("""COMPUTED_VALUE"""),1.0)</f>
        <v>1</v>
      </c>
      <c r="G1302" s="377">
        <f>IFERROR(__xludf.DUMMYFUNCTION("""COMPUTED_VALUE"""),2.0)</f>
        <v>2</v>
      </c>
      <c r="H1302" s="378">
        <f>IFERROR(__xludf.DUMMYFUNCTION("""COMPUTED_VALUE"""),146.03)</f>
        <v>146.03</v>
      </c>
      <c r="I1302" s="378">
        <f>IFERROR(__xludf.DUMMYFUNCTION("""COMPUTED_VALUE"""),116.82400000000001)</f>
        <v>116.824</v>
      </c>
      <c r="J1302" s="377"/>
      <c r="K1302" s="166"/>
      <c r="L1302" s="166"/>
      <c r="M1302" s="166"/>
      <c r="N1302" s="169"/>
      <c r="O1302" s="171"/>
      <c r="P1302" s="171"/>
      <c r="Q1302" s="169"/>
      <c r="R1302" s="173"/>
      <c r="S1302" s="173"/>
      <c r="T1302" s="173"/>
      <c r="U1302" s="201"/>
      <c r="V1302" s="165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</row>
    <row r="1303">
      <c r="A1303" s="165">
        <f>IFERROR(__xludf.DUMMYFUNCTION("""COMPUTED_VALUE"""),8992199.0)</f>
        <v>8992199</v>
      </c>
      <c r="B1303" s="166" t="str">
        <f>IFERROR(__xludf.DUMMYFUNCTION("""COMPUTED_VALUE"""),"BookingCom")</f>
        <v>BookingCom</v>
      </c>
      <c r="C1303" s="166" t="str">
        <f>IFERROR(__xludf.DUMMYFUNCTION("""COMPUTED_VALUE"""),"marta gonzalez carballada ")</f>
        <v>marta gonzalez carballada </v>
      </c>
      <c r="D1303" s="165">
        <f>IFERROR(__xludf.DUMMYFUNCTION("""COMPUTED_VALUE"""),46244.0)</f>
        <v>46244</v>
      </c>
      <c r="E1303" s="165">
        <f>IFERROR(__xludf.DUMMYFUNCTION("""COMPUTED_VALUE"""),46246.0)</f>
        <v>46246</v>
      </c>
      <c r="F1303" s="377">
        <f>IFERROR(__xludf.DUMMYFUNCTION("""COMPUTED_VALUE"""),2.0)</f>
        <v>2</v>
      </c>
      <c r="G1303" s="377">
        <f>IFERROR(__xludf.DUMMYFUNCTION("""COMPUTED_VALUE"""),2.0)</f>
        <v>2</v>
      </c>
      <c r="H1303" s="378">
        <f>IFERROR(__xludf.DUMMYFUNCTION("""COMPUTED_VALUE"""),101.69)</f>
        <v>101.69</v>
      </c>
      <c r="I1303" s="378">
        <f>IFERROR(__xludf.DUMMYFUNCTION("""COMPUTED_VALUE"""),162.704)</f>
        <v>162.704</v>
      </c>
      <c r="J1303" s="377"/>
      <c r="K1303" s="166"/>
      <c r="L1303" s="166"/>
      <c r="M1303" s="166"/>
      <c r="N1303" s="169"/>
      <c r="O1303" s="171"/>
      <c r="P1303" s="171"/>
      <c r="Q1303" s="169"/>
      <c r="R1303" s="173"/>
      <c r="S1303" s="173"/>
      <c r="T1303" s="173"/>
      <c r="U1303" s="201"/>
      <c r="V1303" s="165"/>
      <c r="W1303" s="35"/>
      <c r="X1303" s="35"/>
      <c r="Y1303" s="35"/>
      <c r="Z1303" s="35"/>
      <c r="AA1303" s="35"/>
      <c r="AB1303" s="35"/>
      <c r="AC1303" s="35"/>
      <c r="AD1303" s="35"/>
      <c r="AE1303" s="35"/>
      <c r="AF1303" s="35"/>
      <c r="AG1303" s="35"/>
      <c r="AH1303" s="35"/>
      <c r="AI1303" s="35"/>
    </row>
    <row r="1304">
      <c r="A1304" s="165">
        <f>IFERROR(__xludf.DUMMYFUNCTION("""COMPUTED_VALUE"""),8994365.0)</f>
        <v>8994365</v>
      </c>
      <c r="B1304" s="166" t="str">
        <f>IFERROR(__xludf.DUMMYFUNCTION("""COMPUTED_VALUE"""),"BookingCom")</f>
        <v>BookingCom</v>
      </c>
      <c r="C1304" s="166" t="str">
        <f>IFERROR(__xludf.DUMMYFUNCTION("""COMPUTED_VALUE"""),"Michael Berner ")</f>
        <v>Michael Berner </v>
      </c>
      <c r="D1304" s="165">
        <f>IFERROR(__xludf.DUMMYFUNCTION("""COMPUTED_VALUE"""),46242.0)</f>
        <v>46242</v>
      </c>
      <c r="E1304" s="165">
        <f>IFERROR(__xludf.DUMMYFUNCTION("""COMPUTED_VALUE"""),46243.0)</f>
        <v>46243</v>
      </c>
      <c r="F1304" s="377">
        <f>IFERROR(__xludf.DUMMYFUNCTION("""COMPUTED_VALUE"""),1.0)</f>
        <v>1</v>
      </c>
      <c r="G1304" s="377">
        <f>IFERROR(__xludf.DUMMYFUNCTION("""COMPUTED_VALUE"""),2.0)</f>
        <v>2</v>
      </c>
      <c r="H1304" s="378">
        <f>IFERROR(__xludf.DUMMYFUNCTION("""COMPUTED_VALUE"""),87.9)</f>
        <v>87.9</v>
      </c>
      <c r="I1304" s="378">
        <f>IFERROR(__xludf.DUMMYFUNCTION("""COMPUTED_VALUE"""),70.32000000000001)</f>
        <v>70.32</v>
      </c>
      <c r="J1304" s="377"/>
      <c r="K1304" s="166"/>
      <c r="L1304" s="166"/>
      <c r="M1304" s="166"/>
      <c r="N1304" s="170"/>
      <c r="O1304" s="171"/>
      <c r="P1304" s="171"/>
      <c r="Q1304" s="172"/>
      <c r="R1304" s="173"/>
      <c r="S1304" s="173"/>
      <c r="T1304" s="173"/>
      <c r="U1304" s="201"/>
      <c r="V1304" s="212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</row>
    <row r="1305">
      <c r="A1305" s="165">
        <f>IFERROR(__xludf.DUMMYFUNCTION("""COMPUTED_VALUE"""),8994976.0)</f>
        <v>8994976</v>
      </c>
      <c r="B1305" s="166" t="str">
        <f>IFERROR(__xludf.DUMMYFUNCTION("""COMPUTED_VALUE"""),"BookingCom")</f>
        <v>BookingCom</v>
      </c>
      <c r="C1305" s="166" t="str">
        <f>IFERROR(__xludf.DUMMYFUNCTION("""COMPUTED_VALUE"""),"Damian Borsboom ")</f>
        <v>Damian Borsboom </v>
      </c>
      <c r="D1305" s="165">
        <f>IFERROR(__xludf.DUMMYFUNCTION("""COMPUTED_VALUE"""),46273.0)</f>
        <v>46273</v>
      </c>
      <c r="E1305" s="165">
        <f>IFERROR(__xludf.DUMMYFUNCTION("""COMPUTED_VALUE"""),46274.0)</f>
        <v>46274</v>
      </c>
      <c r="F1305" s="377">
        <f>IFERROR(__xludf.DUMMYFUNCTION("""COMPUTED_VALUE"""),1.0)</f>
        <v>1</v>
      </c>
      <c r="G1305" s="377">
        <f>IFERROR(__xludf.DUMMYFUNCTION("""COMPUTED_VALUE"""),2.0)</f>
        <v>2</v>
      </c>
      <c r="H1305" s="378">
        <f>IFERROR(__xludf.DUMMYFUNCTION("""COMPUTED_VALUE"""),119.86)</f>
        <v>119.86</v>
      </c>
      <c r="I1305" s="378">
        <f>IFERROR(__xludf.DUMMYFUNCTION("""COMPUTED_VALUE"""),95.888)</f>
        <v>95.888</v>
      </c>
      <c r="J1305" s="377"/>
      <c r="K1305" s="166"/>
      <c r="L1305" s="166"/>
      <c r="M1305" s="166"/>
      <c r="N1305" s="170"/>
      <c r="O1305" s="171"/>
      <c r="P1305" s="171"/>
      <c r="Q1305" s="172"/>
      <c r="R1305" s="173"/>
      <c r="S1305" s="173"/>
      <c r="T1305" s="173"/>
      <c r="U1305" s="201"/>
      <c r="V1305" s="165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</row>
    <row r="1306">
      <c r="A1306" s="165">
        <f>IFERROR(__xludf.DUMMYFUNCTION("""COMPUTED_VALUE"""),8997440.0)</f>
        <v>8997440</v>
      </c>
      <c r="B1306" s="166" t="str">
        <f>IFERROR(__xludf.DUMMYFUNCTION("""COMPUTED_VALUE"""),"BookingCom")</f>
        <v>BookingCom</v>
      </c>
      <c r="C1306" s="166" t="str">
        <f>IFERROR(__xludf.DUMMYFUNCTION("""COMPUTED_VALUE"""),"Felix Kampfel ")</f>
        <v>Felix Kampfel </v>
      </c>
      <c r="D1306" s="165">
        <f>IFERROR(__xludf.DUMMYFUNCTION("""COMPUTED_VALUE"""),46501.0)</f>
        <v>46501</v>
      </c>
      <c r="E1306" s="165">
        <f>IFERROR(__xludf.DUMMYFUNCTION("""COMPUTED_VALUE"""),46507.0)</f>
        <v>46507</v>
      </c>
      <c r="F1306" s="377">
        <f>IFERROR(__xludf.DUMMYFUNCTION("""COMPUTED_VALUE"""),6.0)</f>
        <v>6</v>
      </c>
      <c r="G1306" s="377">
        <f>IFERROR(__xludf.DUMMYFUNCTION("""COMPUTED_VALUE"""),2.0)</f>
        <v>2</v>
      </c>
      <c r="H1306" s="378">
        <f>IFERROR(__xludf.DUMMYFUNCTION("""COMPUTED_VALUE"""),182.08)</f>
        <v>182.08</v>
      </c>
      <c r="I1306" s="378">
        <f>IFERROR(__xludf.DUMMYFUNCTION("""COMPUTED_VALUE"""),873.9840000000002)</f>
        <v>873.984</v>
      </c>
      <c r="J1306" s="377"/>
      <c r="K1306" s="166"/>
      <c r="L1306" s="166"/>
      <c r="M1306" s="205"/>
      <c r="N1306" s="170"/>
      <c r="O1306" s="171"/>
      <c r="P1306" s="171"/>
      <c r="Q1306" s="172"/>
      <c r="R1306" s="173"/>
      <c r="S1306" s="173"/>
      <c r="T1306" s="173"/>
      <c r="U1306" s="201"/>
      <c r="V1306" s="165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</row>
    <row r="1307">
      <c r="A1307" s="165">
        <f>IFERROR(__xludf.DUMMYFUNCTION("""COMPUTED_VALUE"""),8997440.0)</f>
        <v>8997440</v>
      </c>
      <c r="B1307" s="166" t="str">
        <f>IFERROR(__xludf.DUMMYFUNCTION("""COMPUTED_VALUE"""),"BookingCom")</f>
        <v>BookingCom</v>
      </c>
      <c r="C1307" s="166" t="str">
        <f>IFERROR(__xludf.DUMMYFUNCTION("""COMPUTED_VALUE"""),"Felix Kampfel ")</f>
        <v>Felix Kampfel </v>
      </c>
      <c r="D1307" s="165">
        <f>IFERROR(__xludf.DUMMYFUNCTION("""COMPUTED_VALUE"""),46501.0)</f>
        <v>46501</v>
      </c>
      <c r="E1307" s="165">
        <f>IFERROR(__xludf.DUMMYFUNCTION("""COMPUTED_VALUE"""),46507.0)</f>
        <v>46507</v>
      </c>
      <c r="F1307" s="377">
        <f>IFERROR(__xludf.DUMMYFUNCTION("""COMPUTED_VALUE"""),6.0)</f>
        <v>6</v>
      </c>
      <c r="G1307" s="377">
        <f>IFERROR(__xludf.DUMMYFUNCTION("""COMPUTED_VALUE"""),1.0)</f>
        <v>1</v>
      </c>
      <c r="H1307" s="378">
        <f>IFERROR(__xludf.DUMMYFUNCTION("""COMPUTED_VALUE"""),182.08)</f>
        <v>182.08</v>
      </c>
      <c r="I1307" s="378">
        <f>IFERROR(__xludf.DUMMYFUNCTION("""COMPUTED_VALUE"""),873.9840000000002)</f>
        <v>873.984</v>
      </c>
      <c r="J1307" s="377"/>
      <c r="K1307" s="166"/>
      <c r="L1307" s="166"/>
      <c r="M1307" s="166"/>
      <c r="N1307" s="170"/>
      <c r="O1307" s="171"/>
      <c r="P1307" s="171"/>
      <c r="Q1307" s="169"/>
      <c r="R1307" s="173"/>
      <c r="S1307" s="173"/>
      <c r="T1307" s="173"/>
      <c r="U1307" s="201"/>
      <c r="V1307" s="165"/>
      <c r="W1307" s="35"/>
      <c r="X1307" s="35"/>
      <c r="Y1307" s="35"/>
      <c r="Z1307" s="35"/>
      <c r="AA1307" s="35"/>
      <c r="AB1307" s="35"/>
      <c r="AC1307" s="35"/>
      <c r="AD1307" s="35"/>
      <c r="AE1307" s="35"/>
      <c r="AF1307" s="35"/>
      <c r="AG1307" s="35"/>
      <c r="AH1307" s="35"/>
      <c r="AI1307" s="35"/>
    </row>
    <row r="1308">
      <c r="A1308" s="165">
        <f>IFERROR(__xludf.DUMMYFUNCTION("""COMPUTED_VALUE"""),8998864.0)</f>
        <v>8998864</v>
      </c>
      <c r="B1308" s="166" t="str">
        <f>IFERROR(__xludf.DUMMYFUNCTION("""COMPUTED_VALUE"""),"BookingCom")</f>
        <v>BookingCom</v>
      </c>
      <c r="C1308" s="166" t="str">
        <f>IFERROR(__xludf.DUMMYFUNCTION("""COMPUTED_VALUE"""),"anton mullo ")</f>
        <v>anton mullo </v>
      </c>
      <c r="D1308" s="165">
        <f>IFERROR(__xludf.DUMMYFUNCTION("""COMPUTED_VALUE"""),46377.0)</f>
        <v>46377</v>
      </c>
      <c r="E1308" s="165">
        <f>IFERROR(__xludf.DUMMYFUNCTION("""COMPUTED_VALUE"""),46381.0)</f>
        <v>46381</v>
      </c>
      <c r="F1308" s="377">
        <f>IFERROR(__xludf.DUMMYFUNCTION("""COMPUTED_VALUE"""),4.0)</f>
        <v>4</v>
      </c>
      <c r="G1308" s="377">
        <f>IFERROR(__xludf.DUMMYFUNCTION("""COMPUTED_VALUE"""),3.0)</f>
        <v>3</v>
      </c>
      <c r="H1308" s="378">
        <f>IFERROR(__xludf.DUMMYFUNCTION("""COMPUTED_VALUE"""),215.2)</f>
        <v>215.2</v>
      </c>
      <c r="I1308" s="378">
        <f>IFERROR(__xludf.DUMMYFUNCTION("""COMPUTED_VALUE"""),688.64)</f>
        <v>688.64</v>
      </c>
      <c r="J1308" s="377"/>
      <c r="K1308" s="166"/>
      <c r="L1308" s="166"/>
      <c r="M1308" s="166"/>
      <c r="N1308" s="169"/>
      <c r="O1308" s="171"/>
      <c r="P1308" s="171"/>
      <c r="Q1308" s="169"/>
      <c r="R1308" s="173"/>
      <c r="S1308" s="173"/>
      <c r="T1308" s="173"/>
      <c r="U1308" s="174"/>
      <c r="V1308" s="165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</row>
    <row r="1309">
      <c r="A1309" s="165">
        <f>IFERROR(__xludf.DUMMYFUNCTION("""COMPUTED_VALUE"""),8998864.0)</f>
        <v>8998864</v>
      </c>
      <c r="B1309" s="166" t="str">
        <f>IFERROR(__xludf.DUMMYFUNCTION("""COMPUTED_VALUE"""),"BookingCom")</f>
        <v>BookingCom</v>
      </c>
      <c r="C1309" s="166" t="str">
        <f>IFERROR(__xludf.DUMMYFUNCTION("""COMPUTED_VALUE"""),"anton mullo ")</f>
        <v>anton mullo </v>
      </c>
      <c r="D1309" s="165">
        <f>IFERROR(__xludf.DUMMYFUNCTION("""COMPUTED_VALUE"""),46377.0)</f>
        <v>46377</v>
      </c>
      <c r="E1309" s="165">
        <f>IFERROR(__xludf.DUMMYFUNCTION("""COMPUTED_VALUE"""),46381.0)</f>
        <v>46381</v>
      </c>
      <c r="F1309" s="377">
        <f>IFERROR(__xludf.DUMMYFUNCTION("""COMPUTED_VALUE"""),4.0)</f>
        <v>4</v>
      </c>
      <c r="G1309" s="377">
        <f>IFERROR(__xludf.DUMMYFUNCTION("""COMPUTED_VALUE"""),2.0)</f>
        <v>2</v>
      </c>
      <c r="H1309" s="378">
        <f>IFERROR(__xludf.DUMMYFUNCTION("""COMPUTED_VALUE"""),215.2)</f>
        <v>215.2</v>
      </c>
      <c r="I1309" s="378">
        <f>IFERROR(__xludf.DUMMYFUNCTION("""COMPUTED_VALUE"""),688.64)</f>
        <v>688.64</v>
      </c>
      <c r="J1309" s="377"/>
      <c r="K1309" s="166"/>
      <c r="L1309" s="166"/>
      <c r="M1309" s="166"/>
      <c r="N1309" s="169"/>
      <c r="O1309" s="171"/>
      <c r="P1309" s="171"/>
      <c r="Q1309" s="169"/>
      <c r="R1309" s="173"/>
      <c r="S1309" s="173"/>
      <c r="T1309" s="173"/>
      <c r="U1309" s="201"/>
      <c r="V1309" s="165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</row>
    <row r="1310">
      <c r="A1310" s="165">
        <f>IFERROR(__xludf.DUMMYFUNCTION("""COMPUTED_VALUE"""),9000023.0)</f>
        <v>9000023</v>
      </c>
      <c r="B1310" s="166" t="str">
        <f>IFERROR(__xludf.DUMMYFUNCTION("""COMPUTED_VALUE"""),"Reseliva Pannel")</f>
        <v>Reseliva Pannel</v>
      </c>
      <c r="C1310" s="166" t="str">
        <f>IFERROR(__xludf.DUMMYFUNCTION("""COMPUTED_VALUE"""),"Nadine Leder-Rademacher ")</f>
        <v>Nadine Leder-Rademacher </v>
      </c>
      <c r="D1310" s="165">
        <f>IFERROR(__xludf.DUMMYFUNCTION("""COMPUTED_VALUE"""),46250.0)</f>
        <v>46250</v>
      </c>
      <c r="E1310" s="165">
        <f>IFERROR(__xludf.DUMMYFUNCTION("""COMPUTED_VALUE"""),46252.0)</f>
        <v>46252</v>
      </c>
      <c r="F1310" s="377">
        <f>IFERROR(__xludf.DUMMYFUNCTION("""COMPUTED_VALUE"""),2.0)</f>
        <v>2</v>
      </c>
      <c r="G1310" s="377">
        <f>IFERROR(__xludf.DUMMYFUNCTION("""COMPUTED_VALUE"""),2.0)</f>
        <v>2</v>
      </c>
      <c r="H1310" s="378">
        <f>IFERROR(__xludf.DUMMYFUNCTION("""COMPUTED_VALUE"""),362.16)</f>
        <v>362.16</v>
      </c>
      <c r="I1310" s="378">
        <f>IFERROR(__xludf.DUMMYFUNCTION("""COMPUTED_VALUE"""),724.32)</f>
        <v>724.32</v>
      </c>
      <c r="J1310" s="377"/>
      <c r="K1310" s="166"/>
      <c r="L1310" s="166"/>
      <c r="M1310" s="166"/>
      <c r="N1310" s="169"/>
      <c r="O1310" s="171"/>
      <c r="P1310" s="171"/>
      <c r="Q1310" s="169"/>
      <c r="R1310" s="173"/>
      <c r="S1310" s="173"/>
      <c r="T1310" s="173"/>
      <c r="U1310" s="201"/>
      <c r="V1310" s="165"/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</row>
    <row r="1311">
      <c r="A1311" s="165">
        <f>IFERROR(__xludf.DUMMYFUNCTION("""COMPUTED_VALUE"""),9000037.0)</f>
        <v>9000037</v>
      </c>
      <c r="B1311" s="166" t="str">
        <f>IFERROR(__xludf.DUMMYFUNCTION("""COMPUTED_VALUE"""),"Reseliva Pannel")</f>
        <v>Reseliva Pannel</v>
      </c>
      <c r="C1311" s="166" t="str">
        <f>IFERROR(__xludf.DUMMYFUNCTION("""COMPUTED_VALUE"""),"Nadine Leder-Rademacher ")</f>
        <v>Nadine Leder-Rademacher </v>
      </c>
      <c r="D1311" s="165">
        <f>IFERROR(__xludf.DUMMYFUNCTION("""COMPUTED_VALUE"""),46250.0)</f>
        <v>46250</v>
      </c>
      <c r="E1311" s="165">
        <f>IFERROR(__xludf.DUMMYFUNCTION("""COMPUTED_VALUE"""),46252.0)</f>
        <v>46252</v>
      </c>
      <c r="F1311" s="377">
        <f>IFERROR(__xludf.DUMMYFUNCTION("""COMPUTED_VALUE"""),2.0)</f>
        <v>2</v>
      </c>
      <c r="G1311" s="377">
        <f>IFERROR(__xludf.DUMMYFUNCTION("""COMPUTED_VALUE"""),2.0)</f>
        <v>2</v>
      </c>
      <c r="H1311" s="378">
        <f>IFERROR(__xludf.DUMMYFUNCTION("""COMPUTED_VALUE"""),144.0)</f>
        <v>144</v>
      </c>
      <c r="I1311" s="378">
        <f>IFERROR(__xludf.DUMMYFUNCTION("""COMPUTED_VALUE"""),288.0)</f>
        <v>288</v>
      </c>
      <c r="J1311" s="377"/>
      <c r="K1311" s="166"/>
      <c r="L1311" s="166"/>
      <c r="M1311" s="166"/>
      <c r="N1311" s="170"/>
      <c r="O1311" s="171"/>
      <c r="P1311" s="171"/>
      <c r="Q1311" s="172"/>
      <c r="R1311" s="173"/>
      <c r="S1311" s="173"/>
      <c r="T1311" s="173"/>
      <c r="U1311" s="201"/>
      <c r="V1311" s="165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</row>
    <row r="1312">
      <c r="A1312" s="165">
        <f>IFERROR(__xludf.DUMMYFUNCTION("""COMPUTED_VALUE"""),9004107.0)</f>
        <v>9004107</v>
      </c>
      <c r="B1312" s="166" t="str">
        <f>IFERROR(__xludf.DUMMYFUNCTION("""COMPUTED_VALUE"""),"BookingCom")</f>
        <v>BookingCom</v>
      </c>
      <c r="C1312" s="166" t="str">
        <f>IFERROR(__xludf.DUMMYFUNCTION("""COMPUTED_VALUE"""),"Philippe Blando ")</f>
        <v>Philippe Blando </v>
      </c>
      <c r="D1312" s="165">
        <f>IFERROR(__xludf.DUMMYFUNCTION("""COMPUTED_VALUE"""),46540.0)</f>
        <v>46540</v>
      </c>
      <c r="E1312" s="165">
        <f>IFERROR(__xludf.DUMMYFUNCTION("""COMPUTED_VALUE"""),46544.0)</f>
        <v>46544</v>
      </c>
      <c r="F1312" s="377">
        <f>IFERROR(__xludf.DUMMYFUNCTION("""COMPUTED_VALUE"""),4.0)</f>
        <v>4</v>
      </c>
      <c r="G1312" s="377">
        <f>IFERROR(__xludf.DUMMYFUNCTION("""COMPUTED_VALUE"""),2.0)</f>
        <v>2</v>
      </c>
      <c r="H1312" s="378">
        <f>IFERROR(__xludf.DUMMYFUNCTION("""COMPUTED_VALUE"""),121.44)</f>
        <v>121.44</v>
      </c>
      <c r="I1312" s="378">
        <f>IFERROR(__xludf.DUMMYFUNCTION("""COMPUTED_VALUE"""),388.608)</f>
        <v>388.608</v>
      </c>
      <c r="J1312" s="377"/>
      <c r="K1312" s="166"/>
      <c r="L1312" s="166"/>
      <c r="M1312" s="166"/>
      <c r="N1312" s="170"/>
      <c r="O1312" s="171"/>
      <c r="P1312" s="171"/>
      <c r="Q1312" s="172"/>
      <c r="R1312" s="173"/>
      <c r="S1312" s="173"/>
      <c r="T1312" s="173"/>
      <c r="U1312" s="201"/>
      <c r="V1312" s="165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</row>
    <row r="1313">
      <c r="A1313" s="165">
        <f>IFERROR(__xludf.DUMMYFUNCTION("""COMPUTED_VALUE"""),9004729.0)</f>
        <v>9004729</v>
      </c>
      <c r="B1313" s="166" t="str">
        <f>IFERROR(__xludf.DUMMYFUNCTION("""COMPUTED_VALUE"""),"BookingCom")</f>
        <v>BookingCom</v>
      </c>
      <c r="C1313" s="166" t="str">
        <f>IFERROR(__xludf.DUMMYFUNCTION("""COMPUTED_VALUE"""),"Noemie Sifakis ")</f>
        <v>Noemie Sifakis </v>
      </c>
      <c r="D1313" s="165">
        <f>IFERROR(__xludf.DUMMYFUNCTION("""COMPUTED_VALUE"""),46380.0)</f>
        <v>46380</v>
      </c>
      <c r="E1313" s="165">
        <f>IFERROR(__xludf.DUMMYFUNCTION("""COMPUTED_VALUE"""),46382.0)</f>
        <v>46382</v>
      </c>
      <c r="F1313" s="377">
        <f>IFERROR(__xludf.DUMMYFUNCTION("""COMPUTED_VALUE"""),2.0)</f>
        <v>2</v>
      </c>
      <c r="G1313" s="377">
        <f>IFERROR(__xludf.DUMMYFUNCTION("""COMPUTED_VALUE"""),5.0)</f>
        <v>5</v>
      </c>
      <c r="H1313" s="378">
        <f>IFERROR(__xludf.DUMMYFUNCTION("""COMPUTED_VALUE"""),407.48)</f>
        <v>407.48</v>
      </c>
      <c r="I1313" s="378">
        <f>IFERROR(__xludf.DUMMYFUNCTION("""COMPUTED_VALUE"""),651.9680000000001)</f>
        <v>651.968</v>
      </c>
      <c r="J1313" s="377"/>
      <c r="K1313" s="166"/>
      <c r="L1313" s="166"/>
      <c r="M1313" s="166"/>
      <c r="N1313" s="169"/>
      <c r="O1313" s="171"/>
      <c r="P1313" s="171"/>
      <c r="Q1313" s="169"/>
      <c r="R1313" s="173"/>
      <c r="S1313" s="173"/>
      <c r="T1313" s="173"/>
      <c r="U1313" s="201"/>
      <c r="V1313" s="165"/>
      <c r="W1313" s="35"/>
      <c r="X1313" s="35"/>
      <c r="Y1313" s="35"/>
      <c r="Z1313" s="35"/>
      <c r="AA1313" s="35"/>
      <c r="AB1313" s="35"/>
      <c r="AC1313" s="35"/>
      <c r="AD1313" s="35"/>
      <c r="AE1313" s="35"/>
      <c r="AF1313" s="35"/>
      <c r="AG1313" s="35"/>
      <c r="AH1313" s="35"/>
      <c r="AI1313" s="35"/>
    </row>
    <row r="1314">
      <c r="A1314" s="165">
        <f>IFERROR(__xludf.DUMMYFUNCTION("""COMPUTED_VALUE"""),9008543.0)</f>
        <v>9008543</v>
      </c>
      <c r="B1314" s="166" t="str">
        <f>IFERROR(__xludf.DUMMYFUNCTION("""COMPUTED_VALUE"""),"BookingCom")</f>
        <v>BookingCom</v>
      </c>
      <c r="C1314" s="166" t="str">
        <f>IFERROR(__xludf.DUMMYFUNCTION("""COMPUTED_VALUE"""),"George Beveridge ")</f>
        <v>George Beveridge </v>
      </c>
      <c r="D1314" s="165">
        <f>IFERROR(__xludf.DUMMYFUNCTION("""COMPUTED_VALUE"""),46593.0)</f>
        <v>46593</v>
      </c>
      <c r="E1314" s="165">
        <f>IFERROR(__xludf.DUMMYFUNCTION("""COMPUTED_VALUE"""),46597.0)</f>
        <v>46597</v>
      </c>
      <c r="F1314" s="377">
        <f>IFERROR(__xludf.DUMMYFUNCTION("""COMPUTED_VALUE"""),4.0)</f>
        <v>4</v>
      </c>
      <c r="G1314" s="377">
        <f>IFERROR(__xludf.DUMMYFUNCTION("""COMPUTED_VALUE"""),1.0)</f>
        <v>1</v>
      </c>
      <c r="H1314" s="378">
        <f>IFERROR(__xludf.DUMMYFUNCTION("""COMPUTED_VALUE"""),97.5)</f>
        <v>97.5</v>
      </c>
      <c r="I1314" s="378">
        <f>IFERROR(__xludf.DUMMYFUNCTION("""COMPUTED_VALUE"""),312.0)</f>
        <v>312</v>
      </c>
      <c r="J1314" s="377"/>
      <c r="K1314" s="166"/>
      <c r="L1314" s="166"/>
      <c r="M1314" s="166"/>
      <c r="N1314" s="169"/>
      <c r="O1314" s="171"/>
      <c r="P1314" s="171"/>
      <c r="Q1314" s="169"/>
      <c r="R1314" s="173"/>
      <c r="S1314" s="173"/>
      <c r="T1314" s="173"/>
      <c r="U1314" s="201"/>
      <c r="V1314" s="165"/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</row>
    <row r="1315">
      <c r="A1315" s="165">
        <f>IFERROR(__xludf.DUMMYFUNCTION("""COMPUTED_VALUE"""),9008601.0)</f>
        <v>9008601</v>
      </c>
      <c r="B1315" s="166" t="str">
        <f>IFERROR(__xludf.DUMMYFUNCTION("""COMPUTED_VALUE"""),"BookingCom")</f>
        <v>BookingCom</v>
      </c>
      <c r="C1315" s="166" t="str">
        <f>IFERROR(__xludf.DUMMYFUNCTION("""COMPUTED_VALUE"""),"Zakaria Abanouj ")</f>
        <v>Zakaria Abanouj </v>
      </c>
      <c r="D1315" s="165">
        <f>IFERROR(__xludf.DUMMYFUNCTION("""COMPUTED_VALUE"""),46277.0)</f>
        <v>46277</v>
      </c>
      <c r="E1315" s="165">
        <f>IFERROR(__xludf.DUMMYFUNCTION("""COMPUTED_VALUE"""),46279.0)</f>
        <v>46279</v>
      </c>
      <c r="F1315" s="377">
        <f>IFERROR(__xludf.DUMMYFUNCTION("""COMPUTED_VALUE"""),2.0)</f>
        <v>2</v>
      </c>
      <c r="G1315" s="377">
        <f>IFERROR(__xludf.DUMMYFUNCTION("""COMPUTED_VALUE"""),2.0)</f>
        <v>2</v>
      </c>
      <c r="H1315" s="378">
        <f>IFERROR(__xludf.DUMMYFUNCTION("""COMPUTED_VALUE"""),127.43)</f>
        <v>127.43</v>
      </c>
      <c r="I1315" s="378">
        <f>IFERROR(__xludf.DUMMYFUNCTION("""COMPUTED_VALUE"""),203.88800000000003)</f>
        <v>203.888</v>
      </c>
      <c r="J1315" s="377"/>
      <c r="K1315" s="166"/>
      <c r="L1315" s="166"/>
      <c r="M1315" s="166"/>
      <c r="N1315" s="169"/>
      <c r="O1315" s="171"/>
      <c r="P1315" s="171"/>
      <c r="Q1315" s="169"/>
      <c r="R1315" s="173"/>
      <c r="S1315" s="173"/>
      <c r="T1315" s="173"/>
      <c r="U1315" s="201"/>
      <c r="V1315" s="165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</row>
    <row r="1316">
      <c r="A1316" s="165">
        <f>IFERROR(__xludf.DUMMYFUNCTION("""COMPUTED_VALUE"""),9009591.0)</f>
        <v>9009591</v>
      </c>
      <c r="B1316" s="166" t="str">
        <f>IFERROR(__xludf.DUMMYFUNCTION("""COMPUTED_VALUE"""),"BookingCom")</f>
        <v>BookingCom</v>
      </c>
      <c r="C1316" s="166" t="str">
        <f>IFERROR(__xludf.DUMMYFUNCTION("""COMPUTED_VALUE"""),"Imad Hawwach ")</f>
        <v>Imad Hawwach </v>
      </c>
      <c r="D1316" s="165">
        <f>IFERROR(__xludf.DUMMYFUNCTION("""COMPUTED_VALUE"""),46271.0)</f>
        <v>46271</v>
      </c>
      <c r="E1316" s="165">
        <f>IFERROR(__xludf.DUMMYFUNCTION("""COMPUTED_VALUE"""),46273.0)</f>
        <v>46273</v>
      </c>
      <c r="F1316" s="377">
        <f>IFERROR(__xludf.DUMMYFUNCTION("""COMPUTED_VALUE"""),2.0)</f>
        <v>2</v>
      </c>
      <c r="G1316" s="377">
        <f>IFERROR(__xludf.DUMMYFUNCTION("""COMPUTED_VALUE"""),2.0)</f>
        <v>2</v>
      </c>
      <c r="H1316" s="378">
        <f>IFERROR(__xludf.DUMMYFUNCTION("""COMPUTED_VALUE"""),145.02)</f>
        <v>145.02</v>
      </c>
      <c r="I1316" s="378">
        <f>IFERROR(__xludf.DUMMYFUNCTION("""COMPUTED_VALUE"""),232.03200000000004)</f>
        <v>232.032</v>
      </c>
      <c r="J1316" s="377"/>
      <c r="K1316" s="166"/>
      <c r="L1316" s="166"/>
      <c r="M1316" s="166"/>
      <c r="N1316" s="169"/>
      <c r="O1316" s="171"/>
      <c r="P1316" s="171"/>
      <c r="Q1316" s="169"/>
      <c r="R1316" s="173"/>
      <c r="S1316" s="173"/>
      <c r="T1316" s="173"/>
      <c r="U1316" s="201"/>
      <c r="V1316" s="165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</row>
    <row r="1317">
      <c r="A1317" s="165">
        <f>IFERROR(__xludf.DUMMYFUNCTION("""COMPUTED_VALUE"""),9011836.0)</f>
        <v>9011836</v>
      </c>
      <c r="B1317" s="166" t="str">
        <f>IFERROR(__xludf.DUMMYFUNCTION("""COMPUTED_VALUE"""),"Reseliva")</f>
        <v>Reseliva</v>
      </c>
      <c r="C1317" s="166" t="str">
        <f>IFERROR(__xludf.DUMMYFUNCTION("""COMPUTED_VALUE"""),"Jennifer Zhou ")</f>
        <v>Jennifer Zhou </v>
      </c>
      <c r="D1317" s="165">
        <f>IFERROR(__xludf.DUMMYFUNCTION("""COMPUTED_VALUE"""),46380.0)</f>
        <v>46380</v>
      </c>
      <c r="E1317" s="165">
        <f>IFERROR(__xludf.DUMMYFUNCTION("""COMPUTED_VALUE"""),46384.0)</f>
        <v>46384</v>
      </c>
      <c r="F1317" s="377">
        <f>IFERROR(__xludf.DUMMYFUNCTION("""COMPUTED_VALUE"""),4.0)</f>
        <v>4</v>
      </c>
      <c r="G1317" s="377">
        <f>IFERROR(__xludf.DUMMYFUNCTION("""COMPUTED_VALUE"""),2.0)</f>
        <v>2</v>
      </c>
      <c r="H1317" s="378">
        <f>IFERROR(__xludf.DUMMYFUNCTION("""COMPUTED_VALUE"""),202.995)</f>
        <v>202.995</v>
      </c>
      <c r="I1317" s="378">
        <f>IFERROR(__xludf.DUMMYFUNCTION("""COMPUTED_VALUE"""),803.8602)</f>
        <v>803.8602</v>
      </c>
      <c r="J1317" s="377"/>
      <c r="K1317" s="166"/>
      <c r="L1317" s="166"/>
      <c r="M1317" s="166"/>
      <c r="N1317" s="170"/>
      <c r="O1317" s="171"/>
      <c r="P1317" s="171"/>
      <c r="Q1317" s="172"/>
      <c r="R1317" s="173"/>
      <c r="S1317" s="173"/>
      <c r="T1317" s="173"/>
      <c r="U1317" s="201"/>
      <c r="V1317" s="165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</row>
    <row r="1318">
      <c r="A1318" s="165">
        <f>IFERROR(__xludf.DUMMYFUNCTION("""COMPUTED_VALUE"""),9012673.0)</f>
        <v>9012673</v>
      </c>
      <c r="B1318" s="166" t="str">
        <f>IFERROR(__xludf.DUMMYFUNCTION("""COMPUTED_VALUE"""),"BookingCom")</f>
        <v>BookingCom</v>
      </c>
      <c r="C1318" s="166" t="str">
        <f>IFERROR(__xludf.DUMMYFUNCTION("""COMPUTED_VALUE"""),"Hedwig Pique ")</f>
        <v>Hedwig Pique </v>
      </c>
      <c r="D1318" s="165">
        <f>IFERROR(__xludf.DUMMYFUNCTION("""COMPUTED_VALUE"""),46283.0)</f>
        <v>46283</v>
      </c>
      <c r="E1318" s="165">
        <f>IFERROR(__xludf.DUMMYFUNCTION("""COMPUTED_VALUE"""),46285.0)</f>
        <v>46285</v>
      </c>
      <c r="F1318" s="377">
        <f>IFERROR(__xludf.DUMMYFUNCTION("""COMPUTED_VALUE"""),2.0)</f>
        <v>2</v>
      </c>
      <c r="G1318" s="377">
        <f>IFERROR(__xludf.DUMMYFUNCTION("""COMPUTED_VALUE"""),2.0)</f>
        <v>2</v>
      </c>
      <c r="H1318" s="378">
        <f>IFERROR(__xludf.DUMMYFUNCTION("""COMPUTED_VALUE"""),129.09)</f>
        <v>129.09</v>
      </c>
      <c r="I1318" s="378">
        <f>IFERROR(__xludf.DUMMYFUNCTION("""COMPUTED_VALUE"""),206.544)</f>
        <v>206.544</v>
      </c>
      <c r="J1318" s="377"/>
      <c r="K1318" s="166"/>
      <c r="L1318" s="166"/>
      <c r="M1318" s="166"/>
      <c r="N1318" s="169"/>
      <c r="O1318" s="171"/>
      <c r="P1318" s="171"/>
      <c r="Q1318" s="169"/>
      <c r="R1318" s="173"/>
      <c r="S1318" s="173"/>
      <c r="T1318" s="173"/>
      <c r="U1318" s="174"/>
      <c r="V1318" s="165"/>
      <c r="W1318" s="188"/>
      <c r="X1318" s="188"/>
      <c r="Y1318" s="188"/>
      <c r="Z1318" s="188"/>
      <c r="AA1318" s="188"/>
      <c r="AB1318" s="188"/>
      <c r="AC1318" s="188"/>
      <c r="AD1318" s="188"/>
      <c r="AE1318" s="188"/>
      <c r="AF1318" s="188"/>
      <c r="AG1318" s="188"/>
      <c r="AH1318" s="188"/>
      <c r="AI1318" s="188"/>
    </row>
    <row r="1319">
      <c r="A1319" s="165">
        <f>IFERROR(__xludf.DUMMYFUNCTION("""COMPUTED_VALUE"""),9014647.0)</f>
        <v>9014647</v>
      </c>
      <c r="B1319" s="166" t="str">
        <f>IFERROR(__xludf.DUMMYFUNCTION("""COMPUTED_VALUE"""),"BookingCom")</f>
        <v>BookingCom</v>
      </c>
      <c r="C1319" s="166" t="str">
        <f>IFERROR(__xludf.DUMMYFUNCTION("""COMPUTED_VALUE"""),"Rebeca Nkoy Sandiel ")</f>
        <v>Rebeca Nkoy Sandiel </v>
      </c>
      <c r="D1319" s="165">
        <f>IFERROR(__xludf.DUMMYFUNCTION("""COMPUTED_VALUE"""),46540.0)</f>
        <v>46540</v>
      </c>
      <c r="E1319" s="165">
        <f>IFERROR(__xludf.DUMMYFUNCTION("""COMPUTED_VALUE"""),46545.0)</f>
        <v>46545</v>
      </c>
      <c r="F1319" s="377">
        <f>IFERROR(__xludf.DUMMYFUNCTION("""COMPUTED_VALUE"""),5.0)</f>
        <v>5</v>
      </c>
      <c r="G1319" s="377">
        <f>IFERROR(__xludf.DUMMYFUNCTION("""COMPUTED_VALUE"""),2.0)</f>
        <v>2</v>
      </c>
      <c r="H1319" s="378">
        <f>IFERROR(__xludf.DUMMYFUNCTION("""COMPUTED_VALUE"""),115.55999999999999)</f>
        <v>115.56</v>
      </c>
      <c r="I1319" s="378">
        <f>IFERROR(__xludf.DUMMYFUNCTION("""COMPUTED_VALUE"""),462.23999999999995)</f>
        <v>462.24</v>
      </c>
      <c r="J1319" s="377"/>
      <c r="K1319" s="166"/>
      <c r="L1319" s="166"/>
      <c r="M1319" s="166"/>
      <c r="N1319" s="170"/>
      <c r="O1319" s="171"/>
      <c r="P1319" s="171"/>
      <c r="Q1319" s="169"/>
      <c r="R1319" s="173"/>
      <c r="S1319" s="173"/>
      <c r="T1319" s="173"/>
      <c r="U1319" s="201"/>
      <c r="V1319" s="208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</row>
    <row r="1320">
      <c r="A1320" s="263">
        <f>IFERROR(__xludf.DUMMYFUNCTION("""COMPUTED_VALUE"""),9016065.0)</f>
        <v>9016065</v>
      </c>
      <c r="B1320" s="264" t="str">
        <f>IFERROR(__xludf.DUMMYFUNCTION("""COMPUTED_VALUE"""),"BookingCom")</f>
        <v>BookingCom</v>
      </c>
      <c r="C1320" s="265" t="str">
        <f>IFERROR(__xludf.DUMMYFUNCTION("""COMPUTED_VALUE"""),"Erwin Staneke ")</f>
        <v>Erwin Staneke </v>
      </c>
      <c r="D1320" s="266">
        <f>IFERROR(__xludf.DUMMYFUNCTION("""COMPUTED_VALUE"""),46331.0)</f>
        <v>46331</v>
      </c>
      <c r="E1320" s="263">
        <f>IFERROR(__xludf.DUMMYFUNCTION("""COMPUTED_VALUE"""),46334.0)</f>
        <v>46334</v>
      </c>
      <c r="F1320" s="267">
        <f>IFERROR(__xludf.DUMMYFUNCTION("""COMPUTED_VALUE"""),3.0)</f>
        <v>3</v>
      </c>
      <c r="G1320" s="267">
        <f>IFERROR(__xludf.DUMMYFUNCTION("""COMPUTED_VALUE"""),2.0)</f>
        <v>2</v>
      </c>
      <c r="H1320" s="268">
        <f>IFERROR(__xludf.DUMMYFUNCTION("""COMPUTED_VALUE"""),156.92)</f>
        <v>156.92</v>
      </c>
      <c r="I1320" s="268">
        <f>IFERROR(__xludf.DUMMYFUNCTION("""COMPUTED_VALUE"""),376.608)</f>
        <v>376.608</v>
      </c>
      <c r="J1320" s="377"/>
      <c r="K1320" s="265"/>
      <c r="L1320" s="265"/>
      <c r="M1320" s="269"/>
      <c r="N1320" s="283"/>
      <c r="O1320" s="271"/>
      <c r="P1320" s="271"/>
      <c r="Q1320" s="283"/>
      <c r="R1320" s="273"/>
      <c r="S1320" s="273"/>
      <c r="T1320" s="273"/>
      <c r="U1320" s="274"/>
      <c r="V1320" s="263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</row>
    <row r="1321">
      <c r="A1321" s="263">
        <f>IFERROR(__xludf.DUMMYFUNCTION("""COMPUTED_VALUE"""),9016391.0)</f>
        <v>9016391</v>
      </c>
      <c r="B1321" s="264" t="str">
        <f>IFERROR(__xludf.DUMMYFUNCTION("""COMPUTED_VALUE"""),"BookingCom")</f>
        <v>BookingCom</v>
      </c>
      <c r="C1321" s="265" t="str">
        <f>IFERROR(__xludf.DUMMYFUNCTION("""COMPUTED_VALUE"""),"Camille Monney ")</f>
        <v>Camille Monney </v>
      </c>
      <c r="D1321" s="266">
        <f>IFERROR(__xludf.DUMMYFUNCTION("""COMPUTED_VALUE"""),46258.0)</f>
        <v>46258</v>
      </c>
      <c r="E1321" s="263">
        <f>IFERROR(__xludf.DUMMYFUNCTION("""COMPUTED_VALUE"""),46259.0)</f>
        <v>46259</v>
      </c>
      <c r="F1321" s="267">
        <f>IFERROR(__xludf.DUMMYFUNCTION("""COMPUTED_VALUE"""),1.0)</f>
        <v>1</v>
      </c>
      <c r="G1321" s="267">
        <f>IFERROR(__xludf.DUMMYFUNCTION("""COMPUTED_VALUE"""),2.0)</f>
        <v>2</v>
      </c>
      <c r="H1321" s="268">
        <f>IFERROR(__xludf.DUMMYFUNCTION("""COMPUTED_VALUE"""),93.54)</f>
        <v>93.54</v>
      </c>
      <c r="I1321" s="268">
        <f>IFERROR(__xludf.DUMMYFUNCTION("""COMPUTED_VALUE"""),74.83200000000001)</f>
        <v>74.832</v>
      </c>
      <c r="J1321" s="377"/>
      <c r="K1321" s="265"/>
      <c r="L1321" s="265"/>
      <c r="M1321" s="269"/>
      <c r="N1321" s="270"/>
      <c r="O1321" s="271"/>
      <c r="P1321" s="271"/>
      <c r="Q1321" s="272"/>
      <c r="R1321" s="273"/>
      <c r="S1321" s="273"/>
      <c r="T1321" s="273"/>
      <c r="U1321" s="274"/>
      <c r="V1321" s="263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</row>
    <row r="1322">
      <c r="A1322" s="165">
        <f>IFERROR(__xludf.DUMMYFUNCTION("""COMPUTED_VALUE"""),9018117.0)</f>
        <v>9018117</v>
      </c>
      <c r="B1322" s="166" t="str">
        <f>IFERROR(__xludf.DUMMYFUNCTION("""COMPUTED_VALUE"""),"BookingCom")</f>
        <v>BookingCom</v>
      </c>
      <c r="C1322" s="166" t="str">
        <f>IFERROR(__xludf.DUMMYFUNCTION("""COMPUTED_VALUE"""),"Charlotte Malone ")</f>
        <v>Charlotte Malone </v>
      </c>
      <c r="D1322" s="165">
        <f>IFERROR(__xludf.DUMMYFUNCTION("""COMPUTED_VALUE"""),46275.0)</f>
        <v>46275</v>
      </c>
      <c r="E1322" s="165">
        <f>IFERROR(__xludf.DUMMYFUNCTION("""COMPUTED_VALUE"""),46278.0)</f>
        <v>46278</v>
      </c>
      <c r="F1322" s="377">
        <f>IFERROR(__xludf.DUMMYFUNCTION("""COMPUTED_VALUE"""),3.0)</f>
        <v>3</v>
      </c>
      <c r="G1322" s="377">
        <f>IFERROR(__xludf.DUMMYFUNCTION("""COMPUTED_VALUE"""),2.0)</f>
        <v>2</v>
      </c>
      <c r="H1322" s="378">
        <f>IFERROR(__xludf.DUMMYFUNCTION("""COMPUTED_VALUE"""),165.24)</f>
        <v>165.24</v>
      </c>
      <c r="I1322" s="378">
        <f>IFERROR(__xludf.DUMMYFUNCTION("""COMPUTED_VALUE"""),396.576)</f>
        <v>396.576</v>
      </c>
      <c r="J1322" s="377"/>
      <c r="K1322" s="166"/>
      <c r="L1322" s="166"/>
      <c r="M1322" s="166"/>
      <c r="N1322" s="170"/>
      <c r="O1322" s="171"/>
      <c r="P1322" s="171"/>
      <c r="Q1322" s="172"/>
      <c r="R1322" s="173"/>
      <c r="S1322" s="173"/>
      <c r="T1322" s="173"/>
      <c r="U1322" s="201"/>
      <c r="V1322" s="165"/>
      <c r="W1322" s="188"/>
      <c r="X1322" s="188"/>
      <c r="Y1322" s="188"/>
      <c r="Z1322" s="188"/>
      <c r="AA1322" s="188"/>
      <c r="AB1322" s="188"/>
      <c r="AC1322" s="188"/>
      <c r="AD1322" s="188"/>
      <c r="AE1322" s="188"/>
      <c r="AF1322" s="188"/>
      <c r="AG1322" s="188"/>
      <c r="AH1322" s="188"/>
      <c r="AI1322" s="188"/>
    </row>
    <row r="1323">
      <c r="A1323" s="165">
        <f>IFERROR(__xludf.DUMMYFUNCTION("""COMPUTED_VALUE"""),9020264.0)</f>
        <v>9020264</v>
      </c>
      <c r="B1323" s="166" t="str">
        <f>IFERROR(__xludf.DUMMYFUNCTION("""COMPUTED_VALUE"""),"BookingCom")</f>
        <v>BookingCom</v>
      </c>
      <c r="C1323" s="166" t="str">
        <f>IFERROR(__xludf.DUMMYFUNCTION("""COMPUTED_VALUE"""),"Antoine Gallais ")</f>
        <v>Antoine Gallais </v>
      </c>
      <c r="D1323" s="165">
        <f>IFERROR(__xludf.DUMMYFUNCTION("""COMPUTED_VALUE"""),46249.0)</f>
        <v>46249</v>
      </c>
      <c r="E1323" s="165">
        <f>IFERROR(__xludf.DUMMYFUNCTION("""COMPUTED_VALUE"""),46250.0)</f>
        <v>46250</v>
      </c>
      <c r="F1323" s="377">
        <f>IFERROR(__xludf.DUMMYFUNCTION("""COMPUTED_VALUE"""),1.0)</f>
        <v>1</v>
      </c>
      <c r="G1323" s="377">
        <f>IFERROR(__xludf.DUMMYFUNCTION("""COMPUTED_VALUE"""),2.0)</f>
        <v>2</v>
      </c>
      <c r="H1323" s="378">
        <f>IFERROR(__xludf.DUMMYFUNCTION("""COMPUTED_VALUE"""),111.84)</f>
        <v>111.84</v>
      </c>
      <c r="I1323" s="378">
        <f>IFERROR(__xludf.DUMMYFUNCTION("""COMPUTED_VALUE"""),89.47200000000001)</f>
        <v>89.472</v>
      </c>
      <c r="J1323" s="377"/>
      <c r="K1323" s="166"/>
      <c r="L1323" s="166"/>
      <c r="M1323" s="166"/>
      <c r="N1323" s="170"/>
      <c r="O1323" s="171"/>
      <c r="P1323" s="171"/>
      <c r="Q1323" s="169"/>
      <c r="R1323" s="173"/>
      <c r="S1323" s="173"/>
      <c r="T1323" s="173"/>
      <c r="U1323" s="201"/>
      <c r="V1323" s="165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</row>
    <row r="1324">
      <c r="A1324" s="165">
        <f>IFERROR(__xludf.DUMMYFUNCTION("""COMPUTED_VALUE"""),9027680.0)</f>
        <v>9027680</v>
      </c>
      <c r="B1324" s="166" t="str">
        <f>IFERROR(__xludf.DUMMYFUNCTION("""COMPUTED_VALUE"""),"BookingCom")</f>
        <v>BookingCom</v>
      </c>
      <c r="C1324" s="166" t="str">
        <f>IFERROR(__xludf.DUMMYFUNCTION("""COMPUTED_VALUE"""),"Kristi Westervelt ")</f>
        <v>Kristi Westervelt </v>
      </c>
      <c r="D1324" s="165">
        <f>IFERROR(__xludf.DUMMYFUNCTION("""COMPUTED_VALUE"""),46309.0)</f>
        <v>46309</v>
      </c>
      <c r="E1324" s="165">
        <f>IFERROR(__xludf.DUMMYFUNCTION("""COMPUTED_VALUE"""),46312.0)</f>
        <v>46312</v>
      </c>
      <c r="F1324" s="377">
        <f>IFERROR(__xludf.DUMMYFUNCTION("""COMPUTED_VALUE"""),3.0)</f>
        <v>3</v>
      </c>
      <c r="G1324" s="377">
        <f>IFERROR(__xludf.DUMMYFUNCTION("""COMPUTED_VALUE"""),4.0)</f>
        <v>4</v>
      </c>
      <c r="H1324" s="378">
        <f>IFERROR(__xludf.DUMMYFUNCTION("""COMPUTED_VALUE"""),572.77)</f>
        <v>572.77</v>
      </c>
      <c r="I1324" s="378">
        <f>IFERROR(__xludf.DUMMYFUNCTION("""COMPUTED_VALUE"""),1374.6480000000001)</f>
        <v>1374.648</v>
      </c>
      <c r="J1324" s="377"/>
      <c r="K1324" s="166"/>
      <c r="L1324" s="166"/>
      <c r="M1324" s="166"/>
      <c r="N1324" s="170"/>
      <c r="O1324" s="171"/>
      <c r="P1324" s="171"/>
      <c r="Q1324" s="169"/>
      <c r="R1324" s="173"/>
      <c r="S1324" s="173"/>
      <c r="T1324" s="173"/>
      <c r="U1324" s="201"/>
      <c r="V1324" s="165"/>
      <c r="W1324" s="188"/>
      <c r="X1324" s="188"/>
      <c r="Y1324" s="188"/>
      <c r="Z1324" s="188"/>
      <c r="AA1324" s="188"/>
      <c r="AB1324" s="188"/>
      <c r="AC1324" s="188"/>
      <c r="AD1324" s="188"/>
      <c r="AE1324" s="188"/>
      <c r="AF1324" s="188"/>
      <c r="AG1324" s="188"/>
      <c r="AH1324" s="188"/>
      <c r="AI1324" s="188"/>
    </row>
    <row r="1325">
      <c r="A1325" s="263">
        <f>IFERROR(__xludf.DUMMYFUNCTION("""COMPUTED_VALUE"""),9030012.0)</f>
        <v>9030012</v>
      </c>
      <c r="B1325" s="264" t="str">
        <f>IFERROR(__xludf.DUMMYFUNCTION("""COMPUTED_VALUE"""),"BookingCom")</f>
        <v>BookingCom</v>
      </c>
      <c r="C1325" s="265" t="str">
        <f>IFERROR(__xludf.DUMMYFUNCTION("""COMPUTED_VALUE"""),"andrea peer ")</f>
        <v>andrea peer </v>
      </c>
      <c r="D1325" s="266">
        <f>IFERROR(__xludf.DUMMYFUNCTION("""COMPUTED_VALUE"""),46327.0)</f>
        <v>46327</v>
      </c>
      <c r="E1325" s="263">
        <f>IFERROR(__xludf.DUMMYFUNCTION("""COMPUTED_VALUE"""),46329.0)</f>
        <v>46329</v>
      </c>
      <c r="F1325" s="267">
        <f>IFERROR(__xludf.DUMMYFUNCTION("""COMPUTED_VALUE"""),2.0)</f>
        <v>2</v>
      </c>
      <c r="G1325" s="267">
        <f>IFERROR(__xludf.DUMMYFUNCTION("""COMPUTED_VALUE"""),3.0)</f>
        <v>3</v>
      </c>
      <c r="H1325" s="268">
        <f>IFERROR(__xludf.DUMMYFUNCTION("""COMPUTED_VALUE"""),178.75)</f>
        <v>178.75</v>
      </c>
      <c r="I1325" s="268">
        <f>IFERROR(__xludf.DUMMYFUNCTION("""COMPUTED_VALUE"""),286.0)</f>
        <v>286</v>
      </c>
      <c r="J1325" s="267"/>
      <c r="K1325" s="265"/>
      <c r="L1325" s="265"/>
      <c r="M1325" s="269"/>
      <c r="N1325" s="270"/>
      <c r="O1325" s="271"/>
      <c r="P1325" s="271"/>
      <c r="Q1325" s="272"/>
      <c r="R1325" s="273"/>
      <c r="S1325" s="273"/>
      <c r="T1325" s="273"/>
      <c r="U1325" s="274"/>
      <c r="V1325" s="263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</row>
    <row r="1326">
      <c r="A1326" s="263">
        <f>IFERROR(__xludf.DUMMYFUNCTION("""COMPUTED_VALUE"""),9031019.0)</f>
        <v>9031019</v>
      </c>
      <c r="B1326" s="264" t="str">
        <f>IFERROR(__xludf.DUMMYFUNCTION("""COMPUTED_VALUE"""),"BookingCom")</f>
        <v>BookingCom</v>
      </c>
      <c r="C1326" s="265" t="str">
        <f>IFERROR(__xludf.DUMMYFUNCTION("""COMPUTED_VALUE"""),"Mohammed Atanane ")</f>
        <v>Mohammed Atanane </v>
      </c>
      <c r="D1326" s="266">
        <f>IFERROR(__xludf.DUMMYFUNCTION("""COMPUTED_VALUE"""),46248.0)</f>
        <v>46248</v>
      </c>
      <c r="E1326" s="263">
        <f>IFERROR(__xludf.DUMMYFUNCTION("""COMPUTED_VALUE"""),46250.0)</f>
        <v>46250</v>
      </c>
      <c r="F1326" s="267">
        <f>IFERROR(__xludf.DUMMYFUNCTION("""COMPUTED_VALUE"""),2.0)</f>
        <v>2</v>
      </c>
      <c r="G1326" s="267">
        <f>IFERROR(__xludf.DUMMYFUNCTION("""COMPUTED_VALUE"""),3.0)</f>
        <v>3</v>
      </c>
      <c r="H1326" s="268">
        <f>IFERROR(__xludf.DUMMYFUNCTION("""COMPUTED_VALUE"""),110.25)</f>
        <v>110.25</v>
      </c>
      <c r="I1326" s="268">
        <f>IFERROR(__xludf.DUMMYFUNCTION("""COMPUTED_VALUE"""),176.4)</f>
        <v>176.4</v>
      </c>
      <c r="J1326" s="267"/>
      <c r="K1326" s="265"/>
      <c r="L1326" s="265"/>
      <c r="M1326" s="269"/>
      <c r="N1326" s="270"/>
      <c r="O1326" s="271"/>
      <c r="P1326" s="271"/>
      <c r="Q1326" s="272"/>
      <c r="R1326" s="273"/>
      <c r="S1326" s="273"/>
      <c r="T1326" s="273"/>
      <c r="U1326" s="274"/>
      <c r="V1326" s="263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</row>
    <row r="1327">
      <c r="A1327" s="263">
        <f>IFERROR(__xludf.DUMMYFUNCTION("""COMPUTED_VALUE"""),9032271.0)</f>
        <v>9032271</v>
      </c>
      <c r="B1327" s="264" t="str">
        <f>IFERROR(__xludf.DUMMYFUNCTION("""COMPUTED_VALUE"""),"BookingCom")</f>
        <v>BookingCom</v>
      </c>
      <c r="C1327" s="265" t="str">
        <f>IFERROR(__xludf.DUMMYFUNCTION("""COMPUTED_VALUE"""),"Kane Jackson ")</f>
        <v>Kane Jackson </v>
      </c>
      <c r="D1327" s="266">
        <f>IFERROR(__xludf.DUMMYFUNCTION("""COMPUTED_VALUE"""),46250.0)</f>
        <v>46250</v>
      </c>
      <c r="E1327" s="263">
        <f>IFERROR(__xludf.DUMMYFUNCTION("""COMPUTED_VALUE"""),46251.0)</f>
        <v>46251</v>
      </c>
      <c r="F1327" s="267">
        <f>IFERROR(__xludf.DUMMYFUNCTION("""COMPUTED_VALUE"""),1.0)</f>
        <v>1</v>
      </c>
      <c r="G1327" s="267">
        <f>IFERROR(__xludf.DUMMYFUNCTION("""COMPUTED_VALUE"""),3.0)</f>
        <v>3</v>
      </c>
      <c r="H1327" s="268">
        <f>IFERROR(__xludf.DUMMYFUNCTION("""COMPUTED_VALUE"""),91.66)</f>
        <v>91.66</v>
      </c>
      <c r="I1327" s="268">
        <f>IFERROR(__xludf.DUMMYFUNCTION("""COMPUTED_VALUE"""),73.328)</f>
        <v>73.328</v>
      </c>
      <c r="J1327" s="377"/>
      <c r="K1327" s="265"/>
      <c r="L1327" s="265"/>
      <c r="M1327" s="269"/>
      <c r="N1327" s="270"/>
      <c r="O1327" s="271"/>
      <c r="P1327" s="271"/>
      <c r="Q1327" s="272"/>
      <c r="R1327" s="273"/>
      <c r="S1327" s="273"/>
      <c r="T1327" s="273"/>
      <c r="U1327" s="274"/>
      <c r="V1327" s="263"/>
      <c r="W1327" s="36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</row>
    <row r="1328">
      <c r="A1328" s="263">
        <f>IFERROR(__xludf.DUMMYFUNCTION("""COMPUTED_VALUE"""),9032271.0)</f>
        <v>9032271</v>
      </c>
      <c r="B1328" s="264" t="str">
        <f>IFERROR(__xludf.DUMMYFUNCTION("""COMPUTED_VALUE"""),"BookingCom")</f>
        <v>BookingCom</v>
      </c>
      <c r="C1328" s="265" t="str">
        <f>IFERROR(__xludf.DUMMYFUNCTION("""COMPUTED_VALUE"""),"Kane Jackson ")</f>
        <v>Kane Jackson </v>
      </c>
      <c r="D1328" s="266">
        <f>IFERROR(__xludf.DUMMYFUNCTION("""COMPUTED_VALUE"""),46250.0)</f>
        <v>46250</v>
      </c>
      <c r="E1328" s="263">
        <f>IFERROR(__xludf.DUMMYFUNCTION("""COMPUTED_VALUE"""),46251.0)</f>
        <v>46251</v>
      </c>
      <c r="F1328" s="267">
        <f>IFERROR(__xludf.DUMMYFUNCTION("""COMPUTED_VALUE"""),1.0)</f>
        <v>1</v>
      </c>
      <c r="G1328" s="267">
        <f>IFERROR(__xludf.DUMMYFUNCTION("""COMPUTED_VALUE"""),2.0)</f>
        <v>2</v>
      </c>
      <c r="H1328" s="268">
        <f>IFERROR(__xludf.DUMMYFUNCTION("""COMPUTED_VALUE"""),91.66)</f>
        <v>91.66</v>
      </c>
      <c r="I1328" s="268">
        <f>IFERROR(__xludf.DUMMYFUNCTION("""COMPUTED_VALUE"""),73.328)</f>
        <v>73.328</v>
      </c>
      <c r="J1328" s="377"/>
      <c r="K1328" s="265"/>
      <c r="L1328" s="265"/>
      <c r="M1328" s="269"/>
      <c r="N1328" s="270"/>
      <c r="O1328" s="271"/>
      <c r="P1328" s="271"/>
      <c r="Q1328" s="272"/>
      <c r="R1328" s="273"/>
      <c r="S1328" s="273"/>
      <c r="T1328" s="273"/>
      <c r="U1328" s="274"/>
      <c r="V1328" s="263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</row>
    <row r="1329">
      <c r="A1329" s="263">
        <f>IFERROR(__xludf.DUMMYFUNCTION("""COMPUTED_VALUE"""),9032285.0)</f>
        <v>9032285</v>
      </c>
      <c r="B1329" s="264" t="str">
        <f>IFERROR(__xludf.DUMMYFUNCTION("""COMPUTED_VALUE"""),"BookingCom")</f>
        <v>BookingCom</v>
      </c>
      <c r="C1329" s="265" t="str">
        <f>IFERROR(__xludf.DUMMYFUNCTION("""COMPUTED_VALUE"""),"Tristan Smith ")</f>
        <v>Tristan Smith </v>
      </c>
      <c r="D1329" s="266">
        <f>IFERROR(__xludf.DUMMYFUNCTION("""COMPUTED_VALUE"""),46279.0)</f>
        <v>46279</v>
      </c>
      <c r="E1329" s="263">
        <f>IFERROR(__xludf.DUMMYFUNCTION("""COMPUTED_VALUE"""),46280.0)</f>
        <v>46280</v>
      </c>
      <c r="F1329" s="267">
        <f>IFERROR(__xludf.DUMMYFUNCTION("""COMPUTED_VALUE"""),1.0)</f>
        <v>1</v>
      </c>
      <c r="G1329" s="267">
        <f>IFERROR(__xludf.DUMMYFUNCTION("""COMPUTED_VALUE"""),1.0)</f>
        <v>1</v>
      </c>
      <c r="H1329" s="268">
        <f>IFERROR(__xludf.DUMMYFUNCTION("""COMPUTED_VALUE"""),117.98)</f>
        <v>117.98</v>
      </c>
      <c r="I1329" s="268">
        <f>IFERROR(__xludf.DUMMYFUNCTION("""COMPUTED_VALUE"""),94.38400000000001)</f>
        <v>94.384</v>
      </c>
      <c r="J1329" s="377"/>
      <c r="K1329" s="265"/>
      <c r="L1329" s="265"/>
      <c r="M1329" s="269"/>
      <c r="N1329" s="270"/>
      <c r="O1329" s="271"/>
      <c r="P1329" s="271"/>
      <c r="Q1329" s="272"/>
      <c r="R1329" s="273"/>
      <c r="S1329" s="273"/>
      <c r="T1329" s="273"/>
      <c r="U1329" s="274"/>
      <c r="V1329" s="263"/>
      <c r="W1329" s="188"/>
      <c r="X1329" s="188"/>
      <c r="Y1329" s="188"/>
      <c r="Z1329" s="188"/>
      <c r="AA1329" s="188"/>
      <c r="AB1329" s="188"/>
      <c r="AC1329" s="188"/>
      <c r="AD1329" s="188"/>
      <c r="AE1329" s="188"/>
      <c r="AF1329" s="188"/>
      <c r="AG1329" s="188"/>
      <c r="AH1329" s="188"/>
      <c r="AI1329" s="188"/>
    </row>
    <row r="1330">
      <c r="A1330" s="263">
        <f>IFERROR(__xludf.DUMMYFUNCTION("""COMPUTED_VALUE"""),9032652.0)</f>
        <v>9032652</v>
      </c>
      <c r="B1330" s="264" t="str">
        <f>IFERROR(__xludf.DUMMYFUNCTION("""COMPUTED_VALUE"""),"Ctrip")</f>
        <v>Ctrip</v>
      </c>
      <c r="C1330" s="265" t="str">
        <f>IFERROR(__xludf.DUMMYFUNCTION("""COMPUTED_VALUE"""),"YING ZHANG ")</f>
        <v>YING ZHANG </v>
      </c>
      <c r="D1330" s="266">
        <f>IFERROR(__xludf.DUMMYFUNCTION("""COMPUTED_VALUE"""),46321.0)</f>
        <v>46321</v>
      </c>
      <c r="E1330" s="263">
        <f>IFERROR(__xludf.DUMMYFUNCTION("""COMPUTED_VALUE"""),46322.0)</f>
        <v>46322</v>
      </c>
      <c r="F1330" s="267">
        <f>IFERROR(__xludf.DUMMYFUNCTION("""COMPUTED_VALUE"""),1.0)</f>
        <v>1</v>
      </c>
      <c r="G1330" s="267">
        <f>IFERROR(__xludf.DUMMYFUNCTION("""COMPUTED_VALUE"""),2.0)</f>
        <v>2</v>
      </c>
      <c r="H1330" s="268">
        <f>IFERROR(__xludf.DUMMYFUNCTION("""COMPUTED_VALUE"""),163.83)</f>
        <v>163.83</v>
      </c>
      <c r="I1330" s="268">
        <f>IFERROR(__xludf.DUMMYFUNCTION("""COMPUTED_VALUE"""),139.2555)</f>
        <v>139.2555</v>
      </c>
      <c r="J1330" s="267"/>
      <c r="K1330" s="265"/>
      <c r="L1330" s="265"/>
      <c r="M1330" s="269"/>
      <c r="N1330" s="270"/>
      <c r="O1330" s="271"/>
      <c r="P1330" s="271"/>
      <c r="Q1330" s="272"/>
      <c r="R1330" s="273"/>
      <c r="S1330" s="273"/>
      <c r="T1330" s="273"/>
      <c r="U1330" s="274"/>
      <c r="V1330" s="263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</row>
    <row r="1331">
      <c r="A1331" s="263">
        <f>IFERROR(__xludf.DUMMYFUNCTION("""COMPUTED_VALUE"""),9033027.0)</f>
        <v>9033027</v>
      </c>
      <c r="B1331" s="264" t="str">
        <f>IFERROR(__xludf.DUMMYFUNCTION("""COMPUTED_VALUE"""),"BookingCom")</f>
        <v>BookingCom</v>
      </c>
      <c r="C1331" s="265" t="str">
        <f>IFERROR(__xludf.DUMMYFUNCTION("""COMPUTED_VALUE"""),"Federico Bosco ")</f>
        <v>Federico Bosco </v>
      </c>
      <c r="D1331" s="266">
        <f>IFERROR(__xludf.DUMMYFUNCTION("""COMPUTED_VALUE"""),46406.0)</f>
        <v>46406</v>
      </c>
      <c r="E1331" s="263">
        <f>IFERROR(__xludf.DUMMYFUNCTION("""COMPUTED_VALUE"""),46407.0)</f>
        <v>46407</v>
      </c>
      <c r="F1331" s="267">
        <f>IFERROR(__xludf.DUMMYFUNCTION("""COMPUTED_VALUE"""),1.0)</f>
        <v>1</v>
      </c>
      <c r="G1331" s="267">
        <f>IFERROR(__xludf.DUMMYFUNCTION("""COMPUTED_VALUE"""),2.0)</f>
        <v>2</v>
      </c>
      <c r="H1331" s="268">
        <f>IFERROR(__xludf.DUMMYFUNCTION("""COMPUTED_VALUE"""),219.17)</f>
        <v>219.17</v>
      </c>
      <c r="I1331" s="268">
        <f>IFERROR(__xludf.DUMMYFUNCTION("""COMPUTED_VALUE"""),175.336)</f>
        <v>175.336</v>
      </c>
      <c r="J1331" s="267"/>
      <c r="K1331" s="265"/>
      <c r="L1331" s="265"/>
      <c r="M1331" s="269"/>
      <c r="N1331" s="270"/>
      <c r="O1331" s="271"/>
      <c r="P1331" s="271"/>
      <c r="Q1331" s="272"/>
      <c r="R1331" s="273"/>
      <c r="S1331" s="273"/>
      <c r="T1331" s="273"/>
      <c r="U1331" s="274"/>
      <c r="V1331" s="263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</row>
    <row r="1332">
      <c r="A1332" s="263">
        <f>IFERROR(__xludf.DUMMYFUNCTION("""COMPUTED_VALUE"""),9033215.0)</f>
        <v>9033215</v>
      </c>
      <c r="B1332" s="264" t="str">
        <f>IFERROR(__xludf.DUMMYFUNCTION("""COMPUTED_VALUE"""),"BookingCom")</f>
        <v>BookingCom</v>
      </c>
      <c r="C1332" s="265" t="str">
        <f>IFERROR(__xludf.DUMMYFUNCTION("""COMPUTED_VALUE"""),"Markus Brenk ")</f>
        <v>Markus Brenk </v>
      </c>
      <c r="D1332" s="266">
        <f>IFERROR(__xludf.DUMMYFUNCTION("""COMPUTED_VALUE"""),46474.0)</f>
        <v>46474</v>
      </c>
      <c r="E1332" s="263">
        <f>IFERROR(__xludf.DUMMYFUNCTION("""COMPUTED_VALUE"""),46480.0)</f>
        <v>46480</v>
      </c>
      <c r="F1332" s="267">
        <f>IFERROR(__xludf.DUMMYFUNCTION("""COMPUTED_VALUE"""),6.0)</f>
        <v>6</v>
      </c>
      <c r="G1332" s="267">
        <f>IFERROR(__xludf.DUMMYFUNCTION("""COMPUTED_VALUE"""),2.0)</f>
        <v>2</v>
      </c>
      <c r="H1332" s="268">
        <f>IFERROR(__xludf.DUMMYFUNCTION("""COMPUTED_VALUE"""),213.11999999999998)</f>
        <v>213.12</v>
      </c>
      <c r="I1332" s="268">
        <f>IFERROR(__xludf.DUMMYFUNCTION("""COMPUTED_VALUE"""),1022.9759999999999)</f>
        <v>1022.976</v>
      </c>
      <c r="J1332" s="267"/>
      <c r="K1332" s="265"/>
      <c r="L1332" s="265"/>
      <c r="M1332" s="269"/>
      <c r="N1332" s="270"/>
      <c r="O1332" s="271"/>
      <c r="P1332" s="271"/>
      <c r="Q1332" s="272"/>
      <c r="R1332" s="273"/>
      <c r="S1332" s="273"/>
      <c r="T1332" s="273"/>
      <c r="U1332" s="274"/>
      <c r="V1332" s="263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</row>
    <row r="1333">
      <c r="A1333" s="263">
        <f>IFERROR(__xludf.DUMMYFUNCTION("""COMPUTED_VALUE"""),9033960.0)</f>
        <v>9033960</v>
      </c>
      <c r="B1333" s="264" t="str">
        <f>IFERROR(__xludf.DUMMYFUNCTION("""COMPUTED_VALUE"""),"BookingCom")</f>
        <v>BookingCom</v>
      </c>
      <c r="C1333" s="265" t="str">
        <f>IFERROR(__xludf.DUMMYFUNCTION("""COMPUTED_VALUE"""),"Stefano Bellandi ")</f>
        <v>Stefano Bellandi </v>
      </c>
      <c r="D1333" s="266">
        <f>IFERROR(__xludf.DUMMYFUNCTION("""COMPUTED_VALUE"""),46344.0)</f>
        <v>46344</v>
      </c>
      <c r="E1333" s="263">
        <f>IFERROR(__xludf.DUMMYFUNCTION("""COMPUTED_VALUE"""),46347.0)</f>
        <v>46347</v>
      </c>
      <c r="F1333" s="267">
        <f>IFERROR(__xludf.DUMMYFUNCTION("""COMPUTED_VALUE"""),3.0)</f>
        <v>3</v>
      </c>
      <c r="G1333" s="267">
        <f>IFERROR(__xludf.DUMMYFUNCTION("""COMPUTED_VALUE"""),2.0)</f>
        <v>2</v>
      </c>
      <c r="H1333" s="268">
        <f>IFERROR(__xludf.DUMMYFUNCTION("""COMPUTED_VALUE"""),205.66)</f>
        <v>205.66</v>
      </c>
      <c r="I1333" s="268">
        <f>IFERROR(__xludf.DUMMYFUNCTION("""COMPUTED_VALUE"""),493.58400000000006)</f>
        <v>493.584</v>
      </c>
      <c r="J1333" s="267"/>
      <c r="K1333" s="265"/>
      <c r="L1333" s="265"/>
      <c r="M1333" s="269"/>
      <c r="N1333" s="270"/>
      <c r="O1333" s="271"/>
      <c r="P1333" s="271"/>
      <c r="Q1333" s="272"/>
      <c r="R1333" s="273"/>
      <c r="S1333" s="273"/>
      <c r="T1333" s="273"/>
      <c r="U1333" s="274"/>
      <c r="V1333" s="263"/>
      <c r="W1333" s="188"/>
      <c r="X1333" s="188"/>
      <c r="Y1333" s="188"/>
      <c r="Z1333" s="188"/>
      <c r="AA1333" s="188"/>
      <c r="AB1333" s="188"/>
      <c r="AC1333" s="188"/>
      <c r="AD1333" s="188"/>
      <c r="AE1333" s="188"/>
      <c r="AF1333" s="188"/>
      <c r="AG1333" s="188"/>
      <c r="AH1333" s="188"/>
      <c r="AI1333" s="188"/>
    </row>
    <row r="1334">
      <c r="A1334" s="263">
        <f>IFERROR(__xludf.DUMMYFUNCTION("""COMPUTED_VALUE"""),9035248.0)</f>
        <v>9035248</v>
      </c>
      <c r="B1334" s="264" t="str">
        <f>IFERROR(__xludf.DUMMYFUNCTION("""COMPUTED_VALUE"""),"BookingCom")</f>
        <v>BookingCom</v>
      </c>
      <c r="C1334" s="265" t="str">
        <f>IFERROR(__xludf.DUMMYFUNCTION("""COMPUTED_VALUE"""),"Elisabeth Hachez ")</f>
        <v>Elisabeth Hachez </v>
      </c>
      <c r="D1334" s="266">
        <f>IFERROR(__xludf.DUMMYFUNCTION("""COMPUTED_VALUE"""),46248.0)</f>
        <v>46248</v>
      </c>
      <c r="E1334" s="263">
        <f>IFERROR(__xludf.DUMMYFUNCTION("""COMPUTED_VALUE"""),46249.0)</f>
        <v>46249</v>
      </c>
      <c r="F1334" s="267">
        <f>IFERROR(__xludf.DUMMYFUNCTION("""COMPUTED_VALUE"""),1.0)</f>
        <v>1</v>
      </c>
      <c r="G1334" s="267">
        <f>IFERROR(__xludf.DUMMYFUNCTION("""COMPUTED_VALUE"""),2.0)</f>
        <v>2</v>
      </c>
      <c r="H1334" s="268">
        <f>IFERROR(__xludf.DUMMYFUNCTION("""COMPUTED_VALUE"""),80.45)</f>
        <v>80.45</v>
      </c>
      <c r="I1334" s="268">
        <f>IFERROR(__xludf.DUMMYFUNCTION("""COMPUTED_VALUE"""),64.36)</f>
        <v>64.36</v>
      </c>
      <c r="J1334" s="267"/>
      <c r="K1334" s="265"/>
      <c r="L1334" s="265"/>
      <c r="M1334" s="269"/>
      <c r="N1334" s="270"/>
      <c r="O1334" s="271"/>
      <c r="P1334" s="271"/>
      <c r="Q1334" s="272"/>
      <c r="R1334" s="273"/>
      <c r="S1334" s="273"/>
      <c r="T1334" s="273"/>
      <c r="U1334" s="274"/>
      <c r="V1334" s="263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</row>
    <row r="1335">
      <c r="A1335" s="263">
        <f>IFERROR(__xludf.DUMMYFUNCTION("""COMPUTED_VALUE"""),9035385.0)</f>
        <v>9035385</v>
      </c>
      <c r="B1335" s="264" t="str">
        <f>IFERROR(__xludf.DUMMYFUNCTION("""COMPUTED_VALUE"""),"Agoda2")</f>
        <v>Agoda2</v>
      </c>
      <c r="C1335" s="265" t="str">
        <f>IFERROR(__xludf.DUMMYFUNCTION("""COMPUTED_VALUE"""),"Najat Benlemoudden ")</f>
        <v>Najat Benlemoudden </v>
      </c>
      <c r="D1335" s="266">
        <f>IFERROR(__xludf.DUMMYFUNCTION("""COMPUTED_VALUE"""),46249.0)</f>
        <v>46249</v>
      </c>
      <c r="E1335" s="263">
        <f>IFERROR(__xludf.DUMMYFUNCTION("""COMPUTED_VALUE"""),46251.0)</f>
        <v>46251</v>
      </c>
      <c r="F1335" s="267">
        <f>IFERROR(__xludf.DUMMYFUNCTION("""COMPUTED_VALUE"""),2.0)</f>
        <v>2</v>
      </c>
      <c r="G1335" s="267">
        <f>IFERROR(__xludf.DUMMYFUNCTION("""COMPUTED_VALUE"""),2.0)</f>
        <v>2</v>
      </c>
      <c r="H1335" s="268">
        <f>IFERROR(__xludf.DUMMYFUNCTION("""COMPUTED_VALUE"""),94.35)</f>
        <v>94.35</v>
      </c>
      <c r="I1335" s="268">
        <f>IFERROR(__xludf.DUMMYFUNCTION("""COMPUTED_VALUE"""),150.96)</f>
        <v>150.96</v>
      </c>
      <c r="J1335" s="267"/>
      <c r="K1335" s="265"/>
      <c r="L1335" s="265"/>
      <c r="M1335" s="269"/>
      <c r="N1335" s="270"/>
      <c r="O1335" s="271"/>
      <c r="P1335" s="271"/>
      <c r="Q1335" s="272"/>
      <c r="R1335" s="273"/>
      <c r="S1335" s="273"/>
      <c r="T1335" s="273"/>
      <c r="U1335" s="274"/>
      <c r="V1335" s="263"/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</row>
    <row r="1336">
      <c r="A1336" s="263">
        <f>IFERROR(__xludf.DUMMYFUNCTION("""COMPUTED_VALUE"""),9036133.0)</f>
        <v>9036133</v>
      </c>
      <c r="B1336" s="264" t="str">
        <f>IFERROR(__xludf.DUMMYFUNCTION("""COMPUTED_VALUE"""),"BookingCom")</f>
        <v>BookingCom</v>
      </c>
      <c r="C1336" s="265" t="str">
        <f>IFERROR(__xludf.DUMMYFUNCTION("""COMPUTED_VALUE"""),"Isabella Masserini ")</f>
        <v>Isabella Masserini </v>
      </c>
      <c r="D1336" s="266">
        <f>IFERROR(__xludf.DUMMYFUNCTION("""COMPUTED_VALUE"""),46291.0)</f>
        <v>46291</v>
      </c>
      <c r="E1336" s="263">
        <f>IFERROR(__xludf.DUMMYFUNCTION("""COMPUTED_VALUE"""),46293.0)</f>
        <v>46293</v>
      </c>
      <c r="F1336" s="267">
        <f>IFERROR(__xludf.DUMMYFUNCTION("""COMPUTED_VALUE"""),2.0)</f>
        <v>2</v>
      </c>
      <c r="G1336" s="267">
        <f>IFERROR(__xludf.DUMMYFUNCTION("""COMPUTED_VALUE"""),2.0)</f>
        <v>2</v>
      </c>
      <c r="H1336" s="268">
        <f>IFERROR(__xludf.DUMMYFUNCTION("""COMPUTED_VALUE"""),158.4)</f>
        <v>158.4</v>
      </c>
      <c r="I1336" s="268">
        <f>IFERROR(__xludf.DUMMYFUNCTION("""COMPUTED_VALUE"""),253.44000000000003)</f>
        <v>253.44</v>
      </c>
      <c r="J1336" s="267"/>
      <c r="K1336" s="265"/>
      <c r="L1336" s="265"/>
      <c r="M1336" s="269"/>
      <c r="N1336" s="270"/>
      <c r="O1336" s="271"/>
      <c r="P1336" s="271"/>
      <c r="Q1336" s="272"/>
      <c r="R1336" s="273"/>
      <c r="S1336" s="273"/>
      <c r="T1336" s="273"/>
      <c r="U1336" s="274"/>
      <c r="V1336" s="263"/>
      <c r="W1336" s="35"/>
      <c r="X1336" s="35"/>
      <c r="Y1336" s="35"/>
      <c r="Z1336" s="35"/>
      <c r="AA1336" s="35"/>
      <c r="AB1336" s="35"/>
      <c r="AC1336" s="35"/>
      <c r="AD1336" s="35"/>
      <c r="AE1336" s="35"/>
      <c r="AF1336" s="35"/>
      <c r="AG1336" s="35"/>
      <c r="AH1336" s="35"/>
      <c r="AI1336" s="35"/>
    </row>
    <row r="1337">
      <c r="A1337" s="263">
        <f>IFERROR(__xludf.DUMMYFUNCTION("""COMPUTED_VALUE"""),9036944.0)</f>
        <v>9036944</v>
      </c>
      <c r="B1337" s="264" t="str">
        <f>IFERROR(__xludf.DUMMYFUNCTION("""COMPUTED_VALUE"""),"Ctrip")</f>
        <v>Ctrip</v>
      </c>
      <c r="C1337" s="265" t="str">
        <f>IFERROR(__xludf.DUMMYFUNCTION("""COMPUTED_VALUE"""),"YING LIAN ")</f>
        <v>YING LIAN </v>
      </c>
      <c r="D1337" s="266">
        <f>IFERROR(__xludf.DUMMYFUNCTION("""COMPUTED_VALUE"""),46321.0)</f>
        <v>46321</v>
      </c>
      <c r="E1337" s="263">
        <f>IFERROR(__xludf.DUMMYFUNCTION("""COMPUTED_VALUE"""),46322.0)</f>
        <v>46322</v>
      </c>
      <c r="F1337" s="267">
        <f>IFERROR(__xludf.DUMMYFUNCTION("""COMPUTED_VALUE"""),1.0)</f>
        <v>1</v>
      </c>
      <c r="G1337" s="267">
        <f>IFERROR(__xludf.DUMMYFUNCTION("""COMPUTED_VALUE"""),2.0)</f>
        <v>2</v>
      </c>
      <c r="H1337" s="268">
        <f>IFERROR(__xludf.DUMMYFUNCTION("""COMPUTED_VALUE"""),163.83)</f>
        <v>163.83</v>
      </c>
      <c r="I1337" s="268">
        <f>IFERROR(__xludf.DUMMYFUNCTION("""COMPUTED_VALUE"""),139.2555)</f>
        <v>139.2555</v>
      </c>
      <c r="J1337" s="267"/>
      <c r="K1337" s="265"/>
      <c r="L1337" s="265"/>
      <c r="M1337" s="269"/>
      <c r="N1337" s="270"/>
      <c r="O1337" s="271"/>
      <c r="P1337" s="271"/>
      <c r="Q1337" s="272"/>
      <c r="R1337" s="273"/>
      <c r="S1337" s="273"/>
      <c r="T1337" s="273"/>
      <c r="U1337" s="274"/>
      <c r="V1337" s="263"/>
      <c r="W1337" s="188"/>
      <c r="X1337" s="188"/>
      <c r="Y1337" s="188"/>
      <c r="Z1337" s="188"/>
      <c r="AA1337" s="188"/>
      <c r="AB1337" s="188"/>
      <c r="AC1337" s="188"/>
      <c r="AD1337" s="188"/>
      <c r="AE1337" s="188"/>
      <c r="AF1337" s="188"/>
      <c r="AG1337" s="188"/>
      <c r="AH1337" s="188"/>
      <c r="AI1337" s="188"/>
    </row>
    <row r="1338">
      <c r="A1338" s="251">
        <f>IFERROR(__xludf.DUMMYFUNCTION("""COMPUTED_VALUE"""),9039535.0)</f>
        <v>9039535</v>
      </c>
      <c r="B1338" s="252" t="str">
        <f>IFERROR(__xludf.DUMMYFUNCTION("""COMPUTED_VALUE"""),"BookingCom")</f>
        <v>BookingCom</v>
      </c>
      <c r="C1338" s="253" t="str">
        <f>IFERROR(__xludf.DUMMYFUNCTION("""COMPUTED_VALUE"""),"Kathalyn von Eyb ")</f>
        <v>Kathalyn von Eyb </v>
      </c>
      <c r="D1338" s="254">
        <f>IFERROR(__xludf.DUMMYFUNCTION("""COMPUTED_VALUE"""),46379.0)</f>
        <v>46379</v>
      </c>
      <c r="E1338" s="251">
        <f>IFERROR(__xludf.DUMMYFUNCTION("""COMPUTED_VALUE"""),46382.0)</f>
        <v>46382</v>
      </c>
      <c r="F1338" s="255">
        <f>IFERROR(__xludf.DUMMYFUNCTION("""COMPUTED_VALUE"""),3.0)</f>
        <v>3</v>
      </c>
      <c r="G1338" s="255">
        <f>IFERROR(__xludf.DUMMYFUNCTION("""COMPUTED_VALUE"""),2.0)</f>
        <v>2</v>
      </c>
      <c r="H1338" s="256">
        <f>IFERROR(__xludf.DUMMYFUNCTION("""COMPUTED_VALUE"""),217.28)</f>
        <v>217.28</v>
      </c>
      <c r="I1338" s="256">
        <f>IFERROR(__xludf.DUMMYFUNCTION("""COMPUTED_VALUE"""),521.472)</f>
        <v>521.472</v>
      </c>
      <c r="J1338" s="267"/>
      <c r="K1338" s="253"/>
      <c r="L1338" s="253"/>
      <c r="M1338" s="252"/>
      <c r="N1338" s="258"/>
      <c r="O1338" s="259"/>
      <c r="P1338" s="259"/>
      <c r="Q1338" s="262"/>
      <c r="R1338" s="260"/>
      <c r="S1338" s="260"/>
      <c r="T1338" s="260"/>
      <c r="U1338" s="261"/>
      <c r="V1338" s="251"/>
      <c r="W1338" s="35"/>
      <c r="X1338" s="35"/>
      <c r="Y1338" s="35"/>
      <c r="Z1338" s="35"/>
      <c r="AA1338" s="35"/>
      <c r="AB1338" s="35"/>
      <c r="AC1338" s="35"/>
      <c r="AD1338" s="35"/>
      <c r="AE1338" s="35"/>
      <c r="AF1338" s="35"/>
      <c r="AG1338" s="35"/>
      <c r="AH1338" s="35"/>
      <c r="AI1338" s="35"/>
    </row>
    <row r="1339">
      <c r="A1339" s="263">
        <f>IFERROR(__xludf.DUMMYFUNCTION("""COMPUTED_VALUE"""),9039535.0)</f>
        <v>9039535</v>
      </c>
      <c r="B1339" s="264" t="str">
        <f>IFERROR(__xludf.DUMMYFUNCTION("""COMPUTED_VALUE"""),"BookingCom")</f>
        <v>BookingCom</v>
      </c>
      <c r="C1339" s="265" t="str">
        <f>IFERROR(__xludf.DUMMYFUNCTION("""COMPUTED_VALUE"""),"Kathalyn von Eyb ")</f>
        <v>Kathalyn von Eyb </v>
      </c>
      <c r="D1339" s="266">
        <f>IFERROR(__xludf.DUMMYFUNCTION("""COMPUTED_VALUE"""),46379.0)</f>
        <v>46379</v>
      </c>
      <c r="E1339" s="263">
        <f>IFERROR(__xludf.DUMMYFUNCTION("""COMPUTED_VALUE"""),46382.0)</f>
        <v>46382</v>
      </c>
      <c r="F1339" s="267">
        <f>IFERROR(__xludf.DUMMYFUNCTION("""COMPUTED_VALUE"""),3.0)</f>
        <v>3</v>
      </c>
      <c r="G1339" s="267">
        <f>IFERROR(__xludf.DUMMYFUNCTION("""COMPUTED_VALUE"""),2.0)</f>
        <v>2</v>
      </c>
      <c r="H1339" s="268">
        <f>IFERROR(__xludf.DUMMYFUNCTION("""COMPUTED_VALUE"""),262.08)</f>
        <v>262.08</v>
      </c>
      <c r="I1339" s="268">
        <f>IFERROR(__xludf.DUMMYFUNCTION("""COMPUTED_VALUE"""),628.992)</f>
        <v>628.992</v>
      </c>
      <c r="J1339" s="267"/>
      <c r="K1339" s="265"/>
      <c r="L1339" s="265"/>
      <c r="M1339" s="269"/>
      <c r="N1339" s="270"/>
      <c r="O1339" s="271"/>
      <c r="P1339" s="271"/>
      <c r="Q1339" s="272"/>
      <c r="R1339" s="273"/>
      <c r="S1339" s="273"/>
      <c r="T1339" s="273"/>
      <c r="U1339" s="274"/>
      <c r="V1339" s="263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</row>
    <row r="1340">
      <c r="A1340" s="165">
        <f>IFERROR(__xludf.DUMMYFUNCTION("""COMPUTED_VALUE"""),9040231.0)</f>
        <v>9040231</v>
      </c>
      <c r="B1340" s="166" t="str">
        <f>IFERROR(__xludf.DUMMYFUNCTION("""COMPUTED_VALUE"""),"BookingCom")</f>
        <v>BookingCom</v>
      </c>
      <c r="C1340" s="166" t="str">
        <f>IFERROR(__xludf.DUMMYFUNCTION("""COMPUTED_VALUE"""),"Delphine Berger ")</f>
        <v>Delphine Berger </v>
      </c>
      <c r="D1340" s="165">
        <f>IFERROR(__xludf.DUMMYFUNCTION("""COMPUTED_VALUE"""),46345.0)</f>
        <v>46345</v>
      </c>
      <c r="E1340" s="165">
        <f>IFERROR(__xludf.DUMMYFUNCTION("""COMPUTED_VALUE"""),46347.0)</f>
        <v>46347</v>
      </c>
      <c r="F1340" s="377">
        <f>IFERROR(__xludf.DUMMYFUNCTION("""COMPUTED_VALUE"""),2.0)</f>
        <v>2</v>
      </c>
      <c r="G1340" s="377">
        <f>IFERROR(__xludf.DUMMYFUNCTION("""COMPUTED_VALUE"""),2.0)</f>
        <v>2</v>
      </c>
      <c r="H1340" s="378">
        <f>IFERROR(__xludf.DUMMYFUNCTION("""COMPUTED_VALUE"""),171.19)</f>
        <v>171.19</v>
      </c>
      <c r="I1340" s="378">
        <f>IFERROR(__xludf.DUMMYFUNCTION("""COMPUTED_VALUE"""),273.904)</f>
        <v>273.904</v>
      </c>
      <c r="J1340" s="267"/>
      <c r="K1340" s="166"/>
      <c r="L1340" s="166"/>
      <c r="M1340" s="166"/>
      <c r="N1340" s="169"/>
      <c r="O1340" s="171"/>
      <c r="P1340" s="171"/>
      <c r="Q1340" s="169"/>
      <c r="R1340" s="173"/>
      <c r="S1340" s="173"/>
      <c r="T1340" s="173"/>
      <c r="U1340" s="201"/>
      <c r="V1340" s="165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</row>
    <row r="1341">
      <c r="A1341" s="263">
        <f>IFERROR(__xludf.DUMMYFUNCTION("""COMPUTED_VALUE"""),9040528.0)</f>
        <v>9040528</v>
      </c>
      <c r="B1341" s="264" t="str">
        <f>IFERROR(__xludf.DUMMYFUNCTION("""COMPUTED_VALUE"""),"BookingCom")</f>
        <v>BookingCom</v>
      </c>
      <c r="C1341" s="265" t="str">
        <f>IFERROR(__xludf.DUMMYFUNCTION("""COMPUTED_VALUE"""),"Fauser Johannes ")</f>
        <v>Fauser Johannes </v>
      </c>
      <c r="D1341" s="266">
        <f>IFERROR(__xludf.DUMMYFUNCTION("""COMPUTED_VALUE"""),46327.0)</f>
        <v>46327</v>
      </c>
      <c r="E1341" s="263">
        <f>IFERROR(__xludf.DUMMYFUNCTION("""COMPUTED_VALUE"""),46329.0)</f>
        <v>46329</v>
      </c>
      <c r="F1341" s="267">
        <f>IFERROR(__xludf.DUMMYFUNCTION("""COMPUTED_VALUE"""),2.0)</f>
        <v>2</v>
      </c>
      <c r="G1341" s="267">
        <f>IFERROR(__xludf.DUMMYFUNCTION("""COMPUTED_VALUE"""),2.0)</f>
        <v>2</v>
      </c>
      <c r="H1341" s="268">
        <f>IFERROR(__xludf.DUMMYFUNCTION("""COMPUTED_VALUE"""),164.36999999999998)</f>
        <v>164.37</v>
      </c>
      <c r="I1341" s="268">
        <f>IFERROR(__xludf.DUMMYFUNCTION("""COMPUTED_VALUE"""),262.99199999999996)</f>
        <v>262.992</v>
      </c>
      <c r="J1341" s="267"/>
      <c r="K1341" s="265"/>
      <c r="L1341" s="265"/>
      <c r="M1341" s="269"/>
      <c r="N1341" s="270"/>
      <c r="O1341" s="271"/>
      <c r="P1341" s="271"/>
      <c r="Q1341" s="272"/>
      <c r="R1341" s="273"/>
      <c r="S1341" s="273"/>
      <c r="T1341" s="273"/>
      <c r="U1341" s="274"/>
      <c r="V1341" s="263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</row>
    <row r="1342">
      <c r="A1342" s="263">
        <f>IFERROR(__xludf.DUMMYFUNCTION("""COMPUTED_VALUE"""),9040928.0)</f>
        <v>9040928</v>
      </c>
      <c r="B1342" s="264" t="str">
        <f>IFERROR(__xludf.DUMMYFUNCTION("""COMPUTED_VALUE"""),"BookingCom")</f>
        <v>BookingCom</v>
      </c>
      <c r="C1342" s="265" t="str">
        <f>IFERROR(__xludf.DUMMYFUNCTION("""COMPUTED_VALUE"""),"Bertille Praudel ")</f>
        <v>Bertille Praudel </v>
      </c>
      <c r="D1342" s="266">
        <f>IFERROR(__xludf.DUMMYFUNCTION("""COMPUTED_VALUE"""),46254.0)</f>
        <v>46254</v>
      </c>
      <c r="E1342" s="263">
        <f>IFERROR(__xludf.DUMMYFUNCTION("""COMPUTED_VALUE"""),46255.0)</f>
        <v>46255</v>
      </c>
      <c r="F1342" s="267">
        <f>IFERROR(__xludf.DUMMYFUNCTION("""COMPUTED_VALUE"""),1.0)</f>
        <v>1</v>
      </c>
      <c r="G1342" s="267">
        <f>IFERROR(__xludf.DUMMYFUNCTION("""COMPUTED_VALUE"""),2.0)</f>
        <v>2</v>
      </c>
      <c r="H1342" s="268">
        <f>IFERROR(__xludf.DUMMYFUNCTION("""COMPUTED_VALUE"""),87.9)</f>
        <v>87.9</v>
      </c>
      <c r="I1342" s="268">
        <f>IFERROR(__xludf.DUMMYFUNCTION("""COMPUTED_VALUE"""),70.32000000000001)</f>
        <v>70.32</v>
      </c>
      <c r="J1342" s="267"/>
      <c r="K1342" s="265"/>
      <c r="L1342" s="265"/>
      <c r="M1342" s="269"/>
      <c r="N1342" s="270"/>
      <c r="O1342" s="271"/>
      <c r="P1342" s="271"/>
      <c r="Q1342" s="272"/>
      <c r="R1342" s="273"/>
      <c r="S1342" s="273"/>
      <c r="T1342" s="273"/>
      <c r="U1342" s="274"/>
      <c r="V1342" s="263"/>
      <c r="W1342" s="36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</row>
    <row r="1343">
      <c r="A1343" s="263"/>
      <c r="B1343" s="264"/>
      <c r="C1343" s="265"/>
      <c r="D1343" s="266"/>
      <c r="E1343" s="263"/>
      <c r="F1343" s="267"/>
      <c r="G1343" s="267"/>
      <c r="H1343" s="268"/>
      <c r="I1343" s="268"/>
      <c r="J1343" s="255"/>
      <c r="K1343" s="265"/>
      <c r="L1343" s="265"/>
      <c r="M1343" s="269"/>
      <c r="N1343" s="270"/>
      <c r="O1343" s="271"/>
      <c r="P1343" s="271"/>
      <c r="Q1343" s="272"/>
      <c r="R1343" s="273"/>
      <c r="S1343" s="273"/>
      <c r="T1343" s="273"/>
      <c r="U1343" s="274"/>
      <c r="V1343" s="263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</row>
    <row r="1344">
      <c r="A1344" s="263"/>
      <c r="B1344" s="264"/>
      <c r="C1344" s="265"/>
      <c r="D1344" s="266"/>
      <c r="E1344" s="263"/>
      <c r="F1344" s="267"/>
      <c r="G1344" s="267"/>
      <c r="H1344" s="268"/>
      <c r="I1344" s="268"/>
      <c r="J1344" s="267"/>
      <c r="K1344" s="265"/>
      <c r="L1344" s="265"/>
      <c r="M1344" s="269"/>
      <c r="N1344" s="270"/>
      <c r="O1344" s="271"/>
      <c r="P1344" s="271"/>
      <c r="Q1344" s="272"/>
      <c r="R1344" s="273"/>
      <c r="S1344" s="273"/>
      <c r="T1344" s="273"/>
      <c r="U1344" s="274"/>
      <c r="V1344" s="263"/>
      <c r="W1344" s="36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</row>
    <row r="1345">
      <c r="A1345" s="263"/>
      <c r="B1345" s="264"/>
      <c r="C1345" s="265"/>
      <c r="D1345" s="266"/>
      <c r="E1345" s="263"/>
      <c r="F1345" s="267"/>
      <c r="G1345" s="267"/>
      <c r="H1345" s="268"/>
      <c r="I1345" s="268"/>
      <c r="J1345" s="377"/>
      <c r="K1345" s="265"/>
      <c r="L1345" s="265"/>
      <c r="M1345" s="269"/>
      <c r="N1345" s="270"/>
      <c r="O1345" s="271"/>
      <c r="P1345" s="271"/>
      <c r="Q1345" s="272"/>
      <c r="R1345" s="273"/>
      <c r="S1345" s="273"/>
      <c r="T1345" s="273"/>
      <c r="U1345" s="274"/>
      <c r="V1345" s="263"/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</row>
    <row r="1346">
      <c r="A1346" s="263"/>
      <c r="B1346" s="264"/>
      <c r="C1346" s="265"/>
      <c r="D1346" s="266"/>
      <c r="E1346" s="263"/>
      <c r="F1346" s="267"/>
      <c r="G1346" s="267"/>
      <c r="H1346" s="268"/>
      <c r="I1346" s="268"/>
      <c r="J1346" s="267"/>
      <c r="K1346" s="265"/>
      <c r="L1346" s="265"/>
      <c r="M1346" s="269"/>
      <c r="N1346" s="270"/>
      <c r="O1346" s="271"/>
      <c r="P1346" s="271"/>
      <c r="Q1346" s="272"/>
      <c r="R1346" s="273"/>
      <c r="S1346" s="273"/>
      <c r="T1346" s="273"/>
      <c r="U1346" s="274"/>
      <c r="V1346" s="263"/>
      <c r="W1346" s="188"/>
      <c r="X1346" s="188"/>
      <c r="Y1346" s="188"/>
      <c r="Z1346" s="188"/>
      <c r="AA1346" s="188"/>
      <c r="AB1346" s="188"/>
      <c r="AC1346" s="188"/>
      <c r="AD1346" s="188"/>
      <c r="AE1346" s="188"/>
      <c r="AF1346" s="188"/>
      <c r="AG1346" s="188"/>
      <c r="AH1346" s="188"/>
      <c r="AI1346" s="188"/>
    </row>
    <row r="1347">
      <c r="A1347" s="263"/>
      <c r="B1347" s="264"/>
      <c r="C1347" s="265"/>
      <c r="D1347" s="266"/>
      <c r="E1347" s="263"/>
      <c r="F1347" s="267"/>
      <c r="G1347" s="267"/>
      <c r="H1347" s="268"/>
      <c r="I1347" s="268"/>
      <c r="J1347" s="267"/>
      <c r="K1347" s="265"/>
      <c r="L1347" s="265"/>
      <c r="M1347" s="269"/>
      <c r="N1347" s="270"/>
      <c r="O1347" s="271"/>
      <c r="P1347" s="271"/>
      <c r="Q1347" s="272"/>
      <c r="R1347" s="273"/>
      <c r="S1347" s="273"/>
      <c r="T1347" s="273"/>
      <c r="U1347" s="274"/>
      <c r="V1347" s="263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</row>
    <row r="1348">
      <c r="A1348" s="165"/>
      <c r="B1348" s="166"/>
      <c r="C1348" s="166"/>
      <c r="D1348" s="165"/>
      <c r="E1348" s="165"/>
      <c r="F1348" s="377"/>
      <c r="G1348" s="377"/>
      <c r="H1348" s="378"/>
      <c r="I1348" s="378"/>
      <c r="J1348" s="267"/>
      <c r="K1348" s="166"/>
      <c r="L1348" s="166"/>
      <c r="M1348" s="166"/>
      <c r="N1348" s="169"/>
      <c r="O1348" s="171"/>
      <c r="P1348" s="171"/>
      <c r="Q1348" s="169"/>
      <c r="R1348" s="173"/>
      <c r="S1348" s="173"/>
      <c r="T1348" s="173"/>
      <c r="U1348" s="174"/>
      <c r="V1348" s="165"/>
      <c r="W1348" s="36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</row>
    <row r="1349">
      <c r="A1349" s="263"/>
      <c r="B1349" s="264"/>
      <c r="C1349" s="265"/>
      <c r="D1349" s="266"/>
      <c r="E1349" s="263"/>
      <c r="F1349" s="267"/>
      <c r="G1349" s="267"/>
      <c r="H1349" s="268"/>
      <c r="I1349" s="268"/>
      <c r="J1349" s="267"/>
      <c r="K1349" s="265"/>
      <c r="L1349" s="265"/>
      <c r="M1349" s="269"/>
      <c r="N1349" s="270"/>
      <c r="O1349" s="271"/>
      <c r="P1349" s="271"/>
      <c r="Q1349" s="272"/>
      <c r="R1349" s="273"/>
      <c r="S1349" s="273"/>
      <c r="T1349" s="273"/>
      <c r="U1349" s="274"/>
      <c r="V1349" s="263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</row>
    <row r="1350">
      <c r="A1350" s="263"/>
      <c r="B1350" s="264"/>
      <c r="C1350" s="265"/>
      <c r="D1350" s="266"/>
      <c r="E1350" s="263"/>
      <c r="F1350" s="267"/>
      <c r="G1350" s="267"/>
      <c r="H1350" s="268"/>
      <c r="I1350" s="268"/>
      <c r="J1350" s="267"/>
      <c r="K1350" s="265"/>
      <c r="L1350" s="265"/>
      <c r="M1350" s="269"/>
      <c r="N1350" s="270"/>
      <c r="O1350" s="271"/>
      <c r="P1350" s="271"/>
      <c r="Q1350" s="272"/>
      <c r="R1350" s="273"/>
      <c r="S1350" s="273"/>
      <c r="T1350" s="273"/>
      <c r="U1350" s="274"/>
      <c r="V1350" s="263"/>
      <c r="W1350" s="188"/>
      <c r="X1350" s="188"/>
      <c r="Y1350" s="188"/>
      <c r="Z1350" s="188"/>
      <c r="AA1350" s="188"/>
      <c r="AB1350" s="188"/>
      <c r="AC1350" s="188"/>
      <c r="AD1350" s="188"/>
      <c r="AE1350" s="188"/>
      <c r="AF1350" s="188"/>
      <c r="AG1350" s="188"/>
      <c r="AH1350" s="188"/>
      <c r="AI1350" s="188"/>
    </row>
    <row r="1351">
      <c r="A1351" s="165"/>
      <c r="B1351" s="166"/>
      <c r="C1351" s="166"/>
      <c r="D1351" s="165"/>
      <c r="E1351" s="165"/>
      <c r="F1351" s="377"/>
      <c r="G1351" s="377"/>
      <c r="H1351" s="378"/>
      <c r="I1351" s="378"/>
      <c r="J1351" s="267"/>
      <c r="K1351" s="166"/>
      <c r="L1351" s="166"/>
      <c r="M1351" s="166"/>
      <c r="N1351" s="169"/>
      <c r="O1351" s="171"/>
      <c r="P1351" s="171"/>
      <c r="Q1351" s="169"/>
      <c r="R1351" s="173"/>
      <c r="S1351" s="173"/>
      <c r="T1351" s="173"/>
      <c r="U1351" s="174"/>
      <c r="V1351" s="210"/>
      <c r="W1351" s="35"/>
      <c r="X1351" s="35"/>
      <c r="Y1351" s="35"/>
      <c r="Z1351" s="35"/>
      <c r="AA1351" s="35"/>
      <c r="AB1351" s="35"/>
      <c r="AC1351" s="35"/>
      <c r="AD1351" s="35"/>
      <c r="AE1351" s="35"/>
      <c r="AF1351" s="35"/>
      <c r="AG1351" s="35"/>
      <c r="AH1351" s="35"/>
      <c r="AI1351" s="35"/>
    </row>
    <row r="1352">
      <c r="A1352" s="165"/>
      <c r="B1352" s="166"/>
      <c r="C1352" s="166"/>
      <c r="D1352" s="165"/>
      <c r="E1352" s="165"/>
      <c r="F1352" s="377"/>
      <c r="G1352" s="377"/>
      <c r="H1352" s="378"/>
      <c r="I1352" s="378"/>
      <c r="J1352" s="267"/>
      <c r="K1352" s="166"/>
      <c r="L1352" s="166"/>
      <c r="M1352" s="166"/>
      <c r="N1352" s="169"/>
      <c r="O1352" s="171"/>
      <c r="P1352" s="171"/>
      <c r="Q1352" s="169"/>
      <c r="R1352" s="173"/>
      <c r="S1352" s="173"/>
      <c r="T1352" s="173"/>
      <c r="U1352" s="174"/>
      <c r="V1352" s="165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</row>
    <row r="1353">
      <c r="A1353" s="263"/>
      <c r="B1353" s="264"/>
      <c r="C1353" s="265"/>
      <c r="D1353" s="266"/>
      <c r="E1353" s="263"/>
      <c r="F1353" s="267"/>
      <c r="G1353" s="267"/>
      <c r="H1353" s="268"/>
      <c r="I1353" s="268"/>
      <c r="J1353" s="377"/>
      <c r="K1353" s="265"/>
      <c r="L1353" s="265"/>
      <c r="M1353" s="269"/>
      <c r="N1353" s="270"/>
      <c r="O1353" s="271"/>
      <c r="P1353" s="271"/>
      <c r="Q1353" s="272"/>
      <c r="R1353" s="273"/>
      <c r="S1353" s="273"/>
      <c r="T1353" s="273"/>
      <c r="U1353" s="274"/>
      <c r="V1353" s="263"/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</row>
    <row r="1354">
      <c r="A1354" s="263"/>
      <c r="B1354" s="264"/>
      <c r="C1354" s="265"/>
      <c r="D1354" s="266"/>
      <c r="E1354" s="263"/>
      <c r="F1354" s="267"/>
      <c r="G1354" s="267"/>
      <c r="H1354" s="268"/>
      <c r="I1354" s="268"/>
      <c r="J1354" s="267"/>
      <c r="K1354" s="265"/>
      <c r="L1354" s="265"/>
      <c r="M1354" s="269"/>
      <c r="N1354" s="270"/>
      <c r="O1354" s="271"/>
      <c r="P1354" s="271"/>
      <c r="Q1354" s="272"/>
      <c r="R1354" s="273"/>
      <c r="S1354" s="273"/>
      <c r="T1354" s="260"/>
      <c r="U1354" s="261"/>
      <c r="V1354" s="309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</row>
    <row r="1355">
      <c r="A1355" s="263"/>
      <c r="B1355" s="264"/>
      <c r="C1355" s="265"/>
      <c r="D1355" s="266"/>
      <c r="E1355" s="263"/>
      <c r="F1355" s="267"/>
      <c r="G1355" s="267"/>
      <c r="H1355" s="268"/>
      <c r="I1355" s="268"/>
      <c r="J1355" s="267"/>
      <c r="K1355" s="265"/>
      <c r="L1355" s="265"/>
      <c r="M1355" s="269"/>
      <c r="N1355" s="270"/>
      <c r="O1355" s="271"/>
      <c r="P1355" s="271"/>
      <c r="Q1355" s="272"/>
      <c r="R1355" s="273"/>
      <c r="S1355" s="273"/>
      <c r="T1355" s="273"/>
      <c r="U1355" s="274"/>
      <c r="V1355" s="263"/>
      <c r="W1355" s="35"/>
      <c r="X1355" s="35"/>
      <c r="Y1355" s="35"/>
      <c r="Z1355" s="35"/>
      <c r="AA1355" s="35"/>
      <c r="AB1355" s="35"/>
      <c r="AC1355" s="35"/>
      <c r="AD1355" s="35"/>
      <c r="AE1355" s="35"/>
      <c r="AF1355" s="35"/>
      <c r="AG1355" s="35"/>
      <c r="AH1355" s="35"/>
      <c r="AI1355" s="35"/>
    </row>
    <row r="1356">
      <c r="A1356" s="165"/>
      <c r="B1356" s="166"/>
      <c r="C1356" s="166"/>
      <c r="D1356" s="165"/>
      <c r="E1356" s="165"/>
      <c r="F1356" s="377"/>
      <c r="G1356" s="377"/>
      <c r="H1356" s="378"/>
      <c r="I1356" s="378"/>
      <c r="J1356" s="377"/>
      <c r="K1356" s="166"/>
      <c r="L1356" s="166"/>
      <c r="M1356" s="166"/>
      <c r="N1356" s="169"/>
      <c r="O1356" s="171"/>
      <c r="P1356" s="171"/>
      <c r="Q1356" s="169"/>
      <c r="R1356" s="173"/>
      <c r="S1356" s="173"/>
      <c r="T1356" s="173"/>
      <c r="U1356" s="174"/>
      <c r="V1356" s="165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</row>
    <row r="1357">
      <c r="A1357" s="165"/>
      <c r="B1357" s="166"/>
      <c r="C1357" s="166"/>
      <c r="D1357" s="165"/>
      <c r="E1357" s="165"/>
      <c r="F1357" s="377"/>
      <c r="G1357" s="377"/>
      <c r="H1357" s="378"/>
      <c r="I1357" s="378"/>
      <c r="J1357" s="377"/>
      <c r="K1357" s="166"/>
      <c r="L1357" s="166"/>
      <c r="M1357" s="166"/>
      <c r="N1357" s="169"/>
      <c r="O1357" s="171"/>
      <c r="P1357" s="171"/>
      <c r="Q1357" s="169"/>
      <c r="R1357" s="173"/>
      <c r="S1357" s="173"/>
      <c r="T1357" s="173"/>
      <c r="U1357" s="174"/>
      <c r="V1357" s="165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</row>
    <row r="1358">
      <c r="A1358" s="263"/>
      <c r="B1358" s="264"/>
      <c r="C1358" s="265"/>
      <c r="D1358" s="266"/>
      <c r="E1358" s="263"/>
      <c r="F1358" s="267"/>
      <c r="G1358" s="267"/>
      <c r="H1358" s="268"/>
      <c r="I1358" s="268"/>
      <c r="J1358" s="267"/>
      <c r="K1358" s="265"/>
      <c r="L1358" s="265"/>
      <c r="M1358" s="269"/>
      <c r="N1358" s="270"/>
      <c r="O1358" s="271"/>
      <c r="P1358" s="271"/>
      <c r="Q1358" s="272"/>
      <c r="R1358" s="273"/>
      <c r="S1358" s="273"/>
      <c r="T1358" s="273"/>
      <c r="U1358" s="274"/>
      <c r="V1358" s="263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</row>
    <row r="1359">
      <c r="A1359" s="263"/>
      <c r="B1359" s="264"/>
      <c r="C1359" s="265"/>
      <c r="D1359" s="266"/>
      <c r="E1359" s="263"/>
      <c r="F1359" s="267"/>
      <c r="G1359" s="267"/>
      <c r="H1359" s="268"/>
      <c r="I1359" s="268"/>
      <c r="J1359" s="267"/>
      <c r="K1359" s="265"/>
      <c r="L1359" s="265"/>
      <c r="M1359" s="269"/>
      <c r="N1359" s="270"/>
      <c r="O1359" s="271"/>
      <c r="P1359" s="271"/>
      <c r="Q1359" s="272"/>
      <c r="R1359" s="273"/>
      <c r="S1359" s="273"/>
      <c r="T1359" s="273"/>
      <c r="U1359" s="274"/>
      <c r="V1359" s="263"/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</row>
    <row r="1360">
      <c r="A1360" s="263"/>
      <c r="B1360" s="264"/>
      <c r="C1360" s="265"/>
      <c r="D1360" s="266"/>
      <c r="E1360" s="263"/>
      <c r="F1360" s="267"/>
      <c r="G1360" s="267"/>
      <c r="H1360" s="268"/>
      <c r="I1360" s="268"/>
      <c r="J1360" s="267"/>
      <c r="K1360" s="265"/>
      <c r="L1360" s="265"/>
      <c r="M1360" s="269"/>
      <c r="N1360" s="270"/>
      <c r="O1360" s="271"/>
      <c r="P1360" s="271"/>
      <c r="Q1360" s="272"/>
      <c r="R1360" s="273"/>
      <c r="S1360" s="273"/>
      <c r="T1360" s="273"/>
      <c r="U1360" s="274"/>
      <c r="V1360" s="263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</row>
    <row r="1361">
      <c r="A1361" s="263"/>
      <c r="B1361" s="264"/>
      <c r="C1361" s="265"/>
      <c r="D1361" s="266"/>
      <c r="E1361" s="263"/>
      <c r="F1361" s="267"/>
      <c r="G1361" s="267"/>
      <c r="H1361" s="268"/>
      <c r="I1361" s="268"/>
      <c r="J1361" s="377"/>
      <c r="K1361" s="265"/>
      <c r="L1361" s="265"/>
      <c r="M1361" s="269"/>
      <c r="N1361" s="270"/>
      <c r="O1361" s="271"/>
      <c r="P1361" s="271"/>
      <c r="Q1361" s="272"/>
      <c r="R1361" s="273"/>
      <c r="S1361" s="273"/>
      <c r="T1361" s="273"/>
      <c r="U1361" s="274"/>
      <c r="V1361" s="263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</row>
    <row r="1362">
      <c r="A1362" s="263"/>
      <c r="B1362" s="264"/>
      <c r="C1362" s="265"/>
      <c r="D1362" s="266"/>
      <c r="E1362" s="263"/>
      <c r="F1362" s="267"/>
      <c r="G1362" s="267"/>
      <c r="H1362" s="268"/>
      <c r="I1362" s="268"/>
      <c r="J1362" s="377"/>
      <c r="K1362" s="265"/>
      <c r="L1362" s="265"/>
      <c r="M1362" s="269"/>
      <c r="N1362" s="270"/>
      <c r="O1362" s="271"/>
      <c r="P1362" s="271"/>
      <c r="Q1362" s="272"/>
      <c r="R1362" s="273"/>
      <c r="S1362" s="273"/>
      <c r="T1362" s="273"/>
      <c r="U1362" s="274"/>
      <c r="V1362" s="263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</row>
    <row r="1363">
      <c r="A1363" s="263"/>
      <c r="B1363" s="264"/>
      <c r="C1363" s="265"/>
      <c r="D1363" s="266"/>
      <c r="E1363" s="263"/>
      <c r="F1363" s="267"/>
      <c r="G1363" s="267"/>
      <c r="H1363" s="268"/>
      <c r="I1363" s="268"/>
      <c r="J1363" s="267"/>
      <c r="K1363" s="265"/>
      <c r="L1363" s="265"/>
      <c r="M1363" s="269"/>
      <c r="N1363" s="270"/>
      <c r="O1363" s="271"/>
      <c r="P1363" s="271"/>
      <c r="Q1363" s="272"/>
      <c r="R1363" s="273"/>
      <c r="S1363" s="273"/>
      <c r="T1363" s="273"/>
      <c r="U1363" s="274"/>
      <c r="V1363" s="263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</row>
    <row r="1364">
      <c r="A1364" s="263"/>
      <c r="B1364" s="264"/>
      <c r="C1364" s="265"/>
      <c r="D1364" s="266"/>
      <c r="E1364" s="263"/>
      <c r="F1364" s="267"/>
      <c r="G1364" s="267"/>
      <c r="H1364" s="268"/>
      <c r="I1364" s="268"/>
      <c r="J1364" s="267"/>
      <c r="K1364" s="265"/>
      <c r="L1364" s="265"/>
      <c r="M1364" s="269"/>
      <c r="N1364" s="270"/>
      <c r="O1364" s="271"/>
      <c r="P1364" s="271"/>
      <c r="Q1364" s="272"/>
      <c r="R1364" s="273"/>
      <c r="S1364" s="273"/>
      <c r="T1364" s="273"/>
      <c r="U1364" s="274"/>
      <c r="V1364" s="263"/>
      <c r="W1364" s="36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</row>
    <row r="1365">
      <c r="A1365" s="263"/>
      <c r="B1365" s="264"/>
      <c r="C1365" s="265"/>
      <c r="D1365" s="266"/>
      <c r="E1365" s="263"/>
      <c r="F1365" s="267"/>
      <c r="G1365" s="267"/>
      <c r="H1365" s="268"/>
      <c r="I1365" s="268"/>
      <c r="J1365" s="267"/>
      <c r="K1365" s="265"/>
      <c r="L1365" s="265"/>
      <c r="M1365" s="269"/>
      <c r="N1365" s="270"/>
      <c r="O1365" s="271"/>
      <c r="P1365" s="271"/>
      <c r="Q1365" s="272"/>
      <c r="R1365" s="273"/>
      <c r="S1365" s="273"/>
      <c r="T1365" s="273"/>
      <c r="U1365" s="274"/>
      <c r="V1365" s="263"/>
      <c r="W1365" s="36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</row>
    <row r="1366">
      <c r="A1366" s="165"/>
      <c r="B1366" s="166"/>
      <c r="C1366" s="166"/>
      <c r="D1366" s="165"/>
      <c r="E1366" s="165"/>
      <c r="F1366" s="377"/>
      <c r="G1366" s="377"/>
      <c r="H1366" s="378"/>
      <c r="I1366" s="378"/>
      <c r="J1366" s="267"/>
      <c r="K1366" s="166"/>
      <c r="L1366" s="166"/>
      <c r="M1366" s="205"/>
      <c r="N1366" s="170"/>
      <c r="O1366" s="171"/>
      <c r="P1366" s="171"/>
      <c r="Q1366" s="172"/>
      <c r="R1366" s="173"/>
      <c r="S1366" s="173"/>
      <c r="T1366" s="173"/>
      <c r="U1366" s="174"/>
      <c r="V1366" s="165"/>
      <c r="W1366" s="188"/>
      <c r="X1366" s="188"/>
      <c r="Y1366" s="188"/>
      <c r="Z1366" s="188"/>
      <c r="AA1366" s="188"/>
      <c r="AB1366" s="188"/>
      <c r="AC1366" s="188"/>
      <c r="AD1366" s="188"/>
      <c r="AE1366" s="188"/>
      <c r="AF1366" s="188"/>
      <c r="AG1366" s="188"/>
      <c r="AH1366" s="188"/>
      <c r="AI1366" s="188"/>
    </row>
    <row r="1367">
      <c r="A1367" s="165"/>
      <c r="B1367" s="166"/>
      <c r="C1367" s="166"/>
      <c r="D1367" s="165"/>
      <c r="E1367" s="165"/>
      <c r="F1367" s="377"/>
      <c r="G1367" s="377"/>
      <c r="H1367" s="378"/>
      <c r="I1367" s="378"/>
      <c r="J1367" s="267"/>
      <c r="K1367" s="166"/>
      <c r="L1367" s="166"/>
      <c r="M1367" s="166"/>
      <c r="N1367" s="169"/>
      <c r="O1367" s="171"/>
      <c r="P1367" s="171"/>
      <c r="Q1367" s="169"/>
      <c r="R1367" s="173"/>
      <c r="S1367" s="173"/>
      <c r="T1367" s="173"/>
      <c r="U1367" s="174"/>
      <c r="V1367" s="165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</row>
    <row r="1368">
      <c r="A1368" s="263"/>
      <c r="B1368" s="264"/>
      <c r="C1368" s="265"/>
      <c r="D1368" s="266"/>
      <c r="E1368" s="263"/>
      <c r="F1368" s="267"/>
      <c r="G1368" s="267"/>
      <c r="H1368" s="268"/>
      <c r="I1368" s="268"/>
      <c r="J1368" s="267"/>
      <c r="K1368" s="265"/>
      <c r="L1368" s="265"/>
      <c r="M1368" s="269"/>
      <c r="N1368" s="270"/>
      <c r="O1368" s="271"/>
      <c r="P1368" s="271"/>
      <c r="Q1368" s="272"/>
      <c r="R1368" s="273"/>
      <c r="S1368" s="273"/>
      <c r="T1368" s="273"/>
      <c r="U1368" s="274"/>
      <c r="V1368" s="263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</row>
    <row r="1369">
      <c r="A1369" s="263"/>
      <c r="B1369" s="264"/>
      <c r="C1369" s="265"/>
      <c r="D1369" s="266"/>
      <c r="E1369" s="263"/>
      <c r="F1369" s="267"/>
      <c r="G1369" s="267"/>
      <c r="H1369" s="268"/>
      <c r="I1369" s="268"/>
      <c r="J1369" s="267"/>
      <c r="K1369" s="265"/>
      <c r="L1369" s="265"/>
      <c r="M1369" s="269"/>
      <c r="N1369" s="270"/>
      <c r="O1369" s="271"/>
      <c r="P1369" s="271"/>
      <c r="Q1369" s="272"/>
      <c r="R1369" s="273"/>
      <c r="S1369" s="273"/>
      <c r="T1369" s="273"/>
      <c r="U1369" s="274"/>
      <c r="V1369" s="263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</row>
    <row r="1370">
      <c r="A1370" s="263"/>
      <c r="B1370" s="264"/>
      <c r="C1370" s="265"/>
      <c r="D1370" s="266"/>
      <c r="E1370" s="263"/>
      <c r="F1370" s="267"/>
      <c r="G1370" s="267"/>
      <c r="H1370" s="268"/>
      <c r="I1370" s="268"/>
      <c r="J1370" s="267"/>
      <c r="K1370" s="265"/>
      <c r="L1370" s="265"/>
      <c r="M1370" s="269"/>
      <c r="N1370" s="283"/>
      <c r="O1370" s="271"/>
      <c r="P1370" s="271"/>
      <c r="Q1370" s="283"/>
      <c r="R1370" s="273"/>
      <c r="S1370" s="273"/>
      <c r="T1370" s="273"/>
      <c r="U1370" s="274"/>
      <c r="V1370" s="263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</row>
    <row r="1371">
      <c r="A1371" s="263"/>
      <c r="B1371" s="264"/>
      <c r="C1371" s="265"/>
      <c r="D1371" s="266"/>
      <c r="E1371" s="263"/>
      <c r="F1371" s="267"/>
      <c r="G1371" s="267"/>
      <c r="H1371" s="268"/>
      <c r="I1371" s="268"/>
      <c r="J1371" s="377"/>
      <c r="K1371" s="265"/>
      <c r="L1371" s="265"/>
      <c r="M1371" s="269"/>
      <c r="N1371" s="270"/>
      <c r="O1371" s="271"/>
      <c r="P1371" s="271"/>
      <c r="Q1371" s="272"/>
      <c r="R1371" s="273"/>
      <c r="S1371" s="273"/>
      <c r="T1371" s="273"/>
      <c r="U1371" s="274"/>
      <c r="V1371" s="263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</row>
    <row r="1372">
      <c r="A1372" s="263"/>
      <c r="B1372" s="264"/>
      <c r="C1372" s="265"/>
      <c r="D1372" s="266"/>
      <c r="E1372" s="263"/>
      <c r="F1372" s="267"/>
      <c r="G1372" s="267"/>
      <c r="H1372" s="268"/>
      <c r="I1372" s="268"/>
      <c r="J1372" s="377"/>
      <c r="K1372" s="265"/>
      <c r="L1372" s="265"/>
      <c r="M1372" s="269"/>
      <c r="N1372" s="270"/>
      <c r="O1372" s="271"/>
      <c r="P1372" s="271"/>
      <c r="Q1372" s="272"/>
      <c r="R1372" s="273"/>
      <c r="S1372" s="273"/>
      <c r="T1372" s="273"/>
      <c r="U1372" s="274"/>
      <c r="V1372" s="263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</row>
    <row r="1373">
      <c r="A1373" s="263"/>
      <c r="B1373" s="264"/>
      <c r="C1373" s="265"/>
      <c r="D1373" s="266"/>
      <c r="E1373" s="263"/>
      <c r="F1373" s="267"/>
      <c r="G1373" s="267"/>
      <c r="H1373" s="268"/>
      <c r="I1373" s="268"/>
      <c r="J1373" s="267"/>
      <c r="K1373" s="265"/>
      <c r="L1373" s="265"/>
      <c r="M1373" s="269"/>
      <c r="N1373" s="270"/>
      <c r="O1373" s="271"/>
      <c r="P1373" s="271"/>
      <c r="Q1373" s="272"/>
      <c r="R1373" s="273"/>
      <c r="S1373" s="273"/>
      <c r="T1373" s="273"/>
      <c r="U1373" s="274"/>
      <c r="V1373" s="263"/>
      <c r="W1373" s="188"/>
      <c r="X1373" s="188"/>
      <c r="Y1373" s="188"/>
      <c r="Z1373" s="188"/>
      <c r="AA1373" s="188"/>
      <c r="AB1373" s="188"/>
      <c r="AC1373" s="188"/>
      <c r="AD1373" s="188"/>
      <c r="AE1373" s="188"/>
      <c r="AF1373" s="188"/>
      <c r="AG1373" s="188"/>
      <c r="AH1373" s="188"/>
      <c r="AI1373" s="188"/>
    </row>
    <row r="1374">
      <c r="A1374" s="263"/>
      <c r="B1374" s="264"/>
      <c r="C1374" s="265"/>
      <c r="D1374" s="266"/>
      <c r="E1374" s="263"/>
      <c r="F1374" s="267"/>
      <c r="G1374" s="267"/>
      <c r="H1374" s="268"/>
      <c r="I1374" s="268"/>
      <c r="J1374" s="267"/>
      <c r="K1374" s="265"/>
      <c r="L1374" s="265"/>
      <c r="M1374" s="269"/>
      <c r="N1374" s="270"/>
      <c r="O1374" s="271"/>
      <c r="P1374" s="271"/>
      <c r="Q1374" s="272"/>
      <c r="R1374" s="273"/>
      <c r="S1374" s="273"/>
      <c r="T1374" s="273"/>
      <c r="U1374" s="274"/>
      <c r="V1374" s="263"/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</row>
    <row r="1375">
      <c r="A1375" s="263"/>
      <c r="B1375" s="264"/>
      <c r="C1375" s="265"/>
      <c r="D1375" s="266"/>
      <c r="E1375" s="263"/>
      <c r="F1375" s="267"/>
      <c r="G1375" s="267"/>
      <c r="H1375" s="268"/>
      <c r="I1375" s="268"/>
      <c r="J1375" s="267"/>
      <c r="K1375" s="265"/>
      <c r="L1375" s="265"/>
      <c r="M1375" s="269"/>
      <c r="N1375" s="270"/>
      <c r="O1375" s="271"/>
      <c r="P1375" s="271"/>
      <c r="Q1375" s="272"/>
      <c r="R1375" s="273"/>
      <c r="S1375" s="273"/>
      <c r="T1375" s="273"/>
      <c r="U1375" s="274"/>
      <c r="V1375" s="263"/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</row>
    <row r="1376">
      <c r="A1376" s="263"/>
      <c r="B1376" s="264"/>
      <c r="C1376" s="265"/>
      <c r="D1376" s="266"/>
      <c r="E1376" s="263"/>
      <c r="F1376" s="267"/>
      <c r="G1376" s="267"/>
      <c r="H1376" s="268"/>
      <c r="I1376" s="268"/>
      <c r="J1376" s="267"/>
      <c r="K1376" s="265"/>
      <c r="L1376" s="265"/>
      <c r="M1376" s="269"/>
      <c r="N1376" s="270"/>
      <c r="O1376" s="271"/>
      <c r="P1376" s="271"/>
      <c r="Q1376" s="272"/>
      <c r="R1376" s="273"/>
      <c r="S1376" s="273"/>
      <c r="T1376" s="273"/>
      <c r="U1376" s="274"/>
      <c r="V1376" s="263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</row>
    <row r="1377">
      <c r="A1377" s="165"/>
      <c r="B1377" s="166"/>
      <c r="C1377" s="166"/>
      <c r="D1377" s="165"/>
      <c r="E1377" s="165"/>
      <c r="F1377" s="377"/>
      <c r="G1377" s="377"/>
      <c r="H1377" s="378"/>
      <c r="I1377" s="378"/>
      <c r="J1377" s="267"/>
      <c r="K1377" s="166"/>
      <c r="L1377" s="166"/>
      <c r="M1377" s="166"/>
      <c r="N1377" s="169"/>
      <c r="O1377" s="171"/>
      <c r="P1377" s="171"/>
      <c r="Q1377" s="169"/>
      <c r="R1377" s="173"/>
      <c r="S1377" s="173"/>
      <c r="T1377" s="173"/>
      <c r="U1377" s="174"/>
      <c r="V1377" s="165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</row>
    <row r="1378">
      <c r="A1378" s="263"/>
      <c r="B1378" s="264"/>
      <c r="C1378" s="265"/>
      <c r="D1378" s="266"/>
      <c r="E1378" s="263"/>
      <c r="F1378" s="267"/>
      <c r="G1378" s="267"/>
      <c r="H1378" s="268"/>
      <c r="I1378" s="268"/>
      <c r="J1378" s="267"/>
      <c r="K1378" s="265"/>
      <c r="L1378" s="265"/>
      <c r="M1378" s="269"/>
      <c r="N1378" s="283"/>
      <c r="O1378" s="271"/>
      <c r="P1378" s="271"/>
      <c r="Q1378" s="283"/>
      <c r="R1378" s="273"/>
      <c r="S1378" s="273"/>
      <c r="T1378" s="273"/>
      <c r="U1378" s="274"/>
      <c r="V1378" s="263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</row>
    <row r="1379">
      <c r="A1379" s="263"/>
      <c r="B1379" s="264"/>
      <c r="C1379" s="265"/>
      <c r="D1379" s="266"/>
      <c r="E1379" s="263"/>
      <c r="F1379" s="267"/>
      <c r="G1379" s="267"/>
      <c r="H1379" s="268"/>
      <c r="I1379" s="268"/>
      <c r="J1379" s="267"/>
      <c r="K1379" s="265"/>
      <c r="L1379" s="265"/>
      <c r="M1379" s="269"/>
      <c r="N1379" s="270"/>
      <c r="O1379" s="271"/>
      <c r="P1379" s="271"/>
      <c r="Q1379" s="272"/>
      <c r="R1379" s="273"/>
      <c r="S1379" s="273"/>
      <c r="T1379" s="273"/>
      <c r="U1379" s="274"/>
      <c r="V1379" s="263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</row>
    <row r="1380">
      <c r="A1380" s="263"/>
      <c r="B1380" s="264"/>
      <c r="C1380" s="265"/>
      <c r="D1380" s="266"/>
      <c r="E1380" s="263"/>
      <c r="F1380" s="267"/>
      <c r="G1380" s="267"/>
      <c r="H1380" s="268"/>
      <c r="I1380" s="268"/>
      <c r="J1380" s="267"/>
      <c r="K1380" s="265"/>
      <c r="L1380" s="265"/>
      <c r="M1380" s="269"/>
      <c r="N1380" s="283"/>
      <c r="O1380" s="271"/>
      <c r="P1380" s="271"/>
      <c r="Q1380" s="283"/>
      <c r="R1380" s="273"/>
      <c r="S1380" s="273"/>
      <c r="T1380" s="273"/>
      <c r="U1380" s="274"/>
      <c r="V1380" s="263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</row>
    <row r="1381">
      <c r="A1381" s="263"/>
      <c r="B1381" s="264"/>
      <c r="C1381" s="265"/>
      <c r="D1381" s="266"/>
      <c r="E1381" s="263"/>
      <c r="F1381" s="267"/>
      <c r="G1381" s="267"/>
      <c r="H1381" s="268"/>
      <c r="I1381" s="268"/>
      <c r="J1381" s="267"/>
      <c r="K1381" s="265"/>
      <c r="L1381" s="265"/>
      <c r="M1381" s="269"/>
      <c r="N1381" s="270"/>
      <c r="O1381" s="271"/>
      <c r="P1381" s="271"/>
      <c r="Q1381" s="272"/>
      <c r="R1381" s="273"/>
      <c r="S1381" s="273"/>
      <c r="T1381" s="273"/>
      <c r="U1381" s="274"/>
      <c r="V1381" s="263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</row>
    <row r="1382">
      <c r="A1382" s="263"/>
      <c r="B1382" s="264"/>
      <c r="C1382" s="265"/>
      <c r="D1382" s="266"/>
      <c r="E1382" s="263"/>
      <c r="F1382" s="267"/>
      <c r="G1382" s="267"/>
      <c r="H1382" s="268"/>
      <c r="I1382" s="268"/>
      <c r="J1382" s="377"/>
      <c r="K1382" s="265"/>
      <c r="L1382" s="265"/>
      <c r="M1382" s="269"/>
      <c r="N1382" s="270"/>
      <c r="O1382" s="271"/>
      <c r="P1382" s="271"/>
      <c r="Q1382" s="272"/>
      <c r="R1382" s="273"/>
      <c r="S1382" s="273"/>
      <c r="T1382" s="273"/>
      <c r="U1382" s="274"/>
      <c r="V1382" s="263"/>
      <c r="W1382" s="188"/>
      <c r="X1382" s="188"/>
      <c r="Y1382" s="188"/>
      <c r="Z1382" s="188"/>
      <c r="AA1382" s="188"/>
      <c r="AB1382" s="188"/>
      <c r="AC1382" s="188"/>
      <c r="AD1382" s="188"/>
      <c r="AE1382" s="188"/>
      <c r="AF1382" s="188"/>
      <c r="AG1382" s="188"/>
      <c r="AH1382" s="188"/>
      <c r="AI1382" s="188"/>
    </row>
    <row r="1383">
      <c r="A1383" s="263"/>
      <c r="B1383" s="264"/>
      <c r="C1383" s="265"/>
      <c r="D1383" s="266"/>
      <c r="E1383" s="263"/>
      <c r="F1383" s="267"/>
      <c r="G1383" s="267"/>
      <c r="H1383" s="268"/>
      <c r="I1383" s="268"/>
      <c r="J1383" s="267"/>
      <c r="K1383" s="265"/>
      <c r="L1383" s="265"/>
      <c r="M1383" s="269"/>
      <c r="N1383" s="270"/>
      <c r="O1383" s="271"/>
      <c r="P1383" s="271"/>
      <c r="Q1383" s="272"/>
      <c r="R1383" s="273"/>
      <c r="S1383" s="273"/>
      <c r="T1383" s="273"/>
      <c r="U1383" s="274"/>
      <c r="V1383" s="263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</row>
    <row r="1384">
      <c r="A1384" s="263"/>
      <c r="B1384" s="264"/>
      <c r="C1384" s="265"/>
      <c r="D1384" s="266"/>
      <c r="E1384" s="263"/>
      <c r="F1384" s="267"/>
      <c r="G1384" s="267"/>
      <c r="H1384" s="268"/>
      <c r="I1384" s="268"/>
      <c r="J1384" s="267"/>
      <c r="K1384" s="265"/>
      <c r="L1384" s="265"/>
      <c r="M1384" s="269"/>
      <c r="N1384" s="283"/>
      <c r="O1384" s="271"/>
      <c r="P1384" s="271"/>
      <c r="Q1384" s="283"/>
      <c r="R1384" s="273"/>
      <c r="S1384" s="273"/>
      <c r="T1384" s="273"/>
      <c r="U1384" s="274"/>
      <c r="V1384" s="263"/>
      <c r="W1384" s="35"/>
      <c r="X1384" s="35"/>
      <c r="Y1384" s="35"/>
      <c r="Z1384" s="35"/>
      <c r="AA1384" s="35"/>
      <c r="AB1384" s="35"/>
      <c r="AC1384" s="35"/>
      <c r="AD1384" s="35"/>
      <c r="AE1384" s="35"/>
      <c r="AF1384" s="35"/>
      <c r="AG1384" s="35"/>
      <c r="AH1384" s="35"/>
      <c r="AI1384" s="35"/>
    </row>
    <row r="1385">
      <c r="A1385" s="263"/>
      <c r="B1385" s="264"/>
      <c r="C1385" s="265"/>
      <c r="D1385" s="266"/>
      <c r="E1385" s="263"/>
      <c r="F1385" s="267"/>
      <c r="G1385" s="267"/>
      <c r="H1385" s="268"/>
      <c r="I1385" s="268"/>
      <c r="J1385" s="267"/>
      <c r="K1385" s="265"/>
      <c r="L1385" s="265"/>
      <c r="M1385" s="269"/>
      <c r="N1385" s="283"/>
      <c r="O1385" s="271"/>
      <c r="P1385" s="271"/>
      <c r="Q1385" s="283"/>
      <c r="R1385" s="273"/>
      <c r="S1385" s="273"/>
      <c r="T1385" s="273"/>
      <c r="U1385" s="274"/>
      <c r="V1385" s="263"/>
      <c r="W1385" s="36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</row>
    <row r="1386">
      <c r="A1386" s="263"/>
      <c r="B1386" s="264"/>
      <c r="C1386" s="265"/>
      <c r="D1386" s="266"/>
      <c r="E1386" s="263"/>
      <c r="F1386" s="267"/>
      <c r="G1386" s="267"/>
      <c r="H1386" s="268"/>
      <c r="I1386" s="268"/>
      <c r="J1386" s="267"/>
      <c r="K1386" s="265"/>
      <c r="L1386" s="265"/>
      <c r="M1386" s="269"/>
      <c r="N1386" s="283"/>
      <c r="O1386" s="271"/>
      <c r="P1386" s="271"/>
      <c r="Q1386" s="283"/>
      <c r="R1386" s="273"/>
      <c r="S1386" s="273"/>
      <c r="T1386" s="273"/>
      <c r="U1386" s="274"/>
      <c r="V1386" s="263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</row>
    <row r="1387">
      <c r="A1387" s="263"/>
      <c r="B1387" s="264"/>
      <c r="C1387" s="265"/>
      <c r="D1387" s="266"/>
      <c r="E1387" s="263"/>
      <c r="F1387" s="267"/>
      <c r="G1387" s="267"/>
      <c r="H1387" s="268"/>
      <c r="I1387" s="268"/>
      <c r="J1387" s="267"/>
      <c r="K1387" s="265"/>
      <c r="L1387" s="265"/>
      <c r="M1387" s="269"/>
      <c r="N1387" s="283"/>
      <c r="O1387" s="271"/>
      <c r="P1387" s="271"/>
      <c r="Q1387" s="283"/>
      <c r="R1387" s="273"/>
      <c r="S1387" s="273"/>
      <c r="T1387" s="273"/>
      <c r="U1387" s="274"/>
      <c r="V1387" s="263"/>
      <c r="W1387" s="35"/>
      <c r="X1387" s="35"/>
      <c r="Y1387" s="35"/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</row>
    <row r="1388">
      <c r="A1388" s="165"/>
      <c r="B1388" s="166"/>
      <c r="C1388" s="166"/>
      <c r="D1388" s="165"/>
      <c r="E1388" s="165"/>
      <c r="F1388" s="377"/>
      <c r="G1388" s="377"/>
      <c r="H1388" s="378"/>
      <c r="I1388" s="378"/>
      <c r="J1388" s="267"/>
      <c r="K1388" s="166"/>
      <c r="L1388" s="166"/>
      <c r="M1388" s="166"/>
      <c r="N1388" s="170"/>
      <c r="O1388" s="171"/>
      <c r="P1388" s="171"/>
      <c r="Q1388" s="172"/>
      <c r="R1388" s="173"/>
      <c r="S1388" s="173"/>
      <c r="T1388" s="173"/>
      <c r="U1388" s="174"/>
      <c r="V1388" s="165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</row>
    <row r="1389">
      <c r="A1389" s="263"/>
      <c r="B1389" s="264"/>
      <c r="C1389" s="265"/>
      <c r="D1389" s="266"/>
      <c r="E1389" s="263"/>
      <c r="F1389" s="267"/>
      <c r="G1389" s="267"/>
      <c r="H1389" s="268"/>
      <c r="I1389" s="268"/>
      <c r="J1389" s="267"/>
      <c r="K1389" s="265"/>
      <c r="L1389" s="265"/>
      <c r="M1389" s="269"/>
      <c r="N1389" s="283"/>
      <c r="O1389" s="271"/>
      <c r="P1389" s="271"/>
      <c r="Q1389" s="283"/>
      <c r="R1389" s="273"/>
      <c r="S1389" s="273"/>
      <c r="T1389" s="273"/>
      <c r="U1389" s="274"/>
      <c r="V1389" s="263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</row>
    <row r="1390">
      <c r="A1390" s="165"/>
      <c r="B1390" s="166"/>
      <c r="C1390" s="166"/>
      <c r="D1390" s="165"/>
      <c r="E1390" s="165"/>
      <c r="F1390" s="377"/>
      <c r="G1390" s="377"/>
      <c r="H1390" s="378"/>
      <c r="I1390" s="378"/>
      <c r="J1390" s="267"/>
      <c r="K1390" s="166"/>
      <c r="L1390" s="166"/>
      <c r="M1390" s="166"/>
      <c r="N1390" s="170"/>
      <c r="O1390" s="171"/>
      <c r="P1390" s="171"/>
      <c r="Q1390" s="172"/>
      <c r="R1390" s="173"/>
      <c r="S1390" s="173"/>
      <c r="T1390" s="173"/>
      <c r="U1390" s="174"/>
      <c r="V1390" s="165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</row>
    <row r="1391">
      <c r="A1391" s="165"/>
      <c r="B1391" s="166"/>
      <c r="C1391" s="166"/>
      <c r="D1391" s="165"/>
      <c r="E1391" s="165"/>
      <c r="F1391" s="377"/>
      <c r="G1391" s="377"/>
      <c r="H1391" s="378"/>
      <c r="I1391" s="378"/>
      <c r="J1391" s="267"/>
      <c r="K1391" s="166"/>
      <c r="L1391" s="166"/>
      <c r="M1391" s="166"/>
      <c r="N1391" s="170"/>
      <c r="O1391" s="171"/>
      <c r="P1391" s="171"/>
      <c r="Q1391" s="172"/>
      <c r="R1391" s="173"/>
      <c r="S1391" s="173"/>
      <c r="T1391" s="173"/>
      <c r="U1391" s="174"/>
      <c r="V1391" s="165"/>
      <c r="W1391" s="188"/>
      <c r="X1391" s="188"/>
      <c r="Y1391" s="188"/>
      <c r="Z1391" s="188"/>
      <c r="AA1391" s="188"/>
      <c r="AB1391" s="188"/>
      <c r="AC1391" s="188"/>
      <c r="AD1391" s="188"/>
      <c r="AE1391" s="188"/>
      <c r="AF1391" s="188"/>
      <c r="AG1391" s="188"/>
      <c r="AH1391" s="188"/>
      <c r="AI1391" s="188"/>
    </row>
    <row r="1392">
      <c r="A1392" s="165"/>
      <c r="B1392" s="166"/>
      <c r="C1392" s="166"/>
      <c r="D1392" s="165"/>
      <c r="E1392" s="165"/>
      <c r="F1392" s="377"/>
      <c r="G1392" s="377"/>
      <c r="H1392" s="378"/>
      <c r="I1392" s="378"/>
      <c r="J1392" s="267"/>
      <c r="K1392" s="166"/>
      <c r="L1392" s="166"/>
      <c r="M1392" s="166"/>
      <c r="N1392" s="170"/>
      <c r="O1392" s="171"/>
      <c r="P1392" s="171"/>
      <c r="Q1392" s="172"/>
      <c r="R1392" s="173"/>
      <c r="S1392" s="173"/>
      <c r="T1392" s="273"/>
      <c r="U1392" s="274"/>
      <c r="V1392" s="263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</row>
    <row r="1393">
      <c r="A1393" s="263"/>
      <c r="B1393" s="264"/>
      <c r="C1393" s="265"/>
      <c r="D1393" s="266"/>
      <c r="E1393" s="263"/>
      <c r="F1393" s="267"/>
      <c r="G1393" s="267"/>
      <c r="H1393" s="268"/>
      <c r="I1393" s="268"/>
      <c r="J1393" s="377"/>
      <c r="K1393" s="265"/>
      <c r="L1393" s="265"/>
      <c r="M1393" s="269"/>
      <c r="N1393" s="283"/>
      <c r="O1393" s="271"/>
      <c r="P1393" s="271"/>
      <c r="Q1393" s="283"/>
      <c r="R1393" s="273"/>
      <c r="S1393" s="273"/>
      <c r="T1393" s="273"/>
      <c r="U1393" s="274"/>
      <c r="V1393" s="263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</row>
    <row r="1394">
      <c r="A1394" s="165"/>
      <c r="B1394" s="166"/>
      <c r="C1394" s="166"/>
      <c r="D1394" s="165"/>
      <c r="E1394" s="165"/>
      <c r="F1394" s="377"/>
      <c r="G1394" s="377"/>
      <c r="H1394" s="378"/>
      <c r="I1394" s="378"/>
      <c r="J1394" s="267"/>
      <c r="K1394" s="166"/>
      <c r="L1394" s="166"/>
      <c r="M1394" s="205"/>
      <c r="N1394" s="170"/>
      <c r="O1394" s="171"/>
      <c r="P1394" s="171"/>
      <c r="Q1394" s="172"/>
      <c r="R1394" s="173"/>
      <c r="S1394" s="173"/>
      <c r="T1394" s="173"/>
      <c r="U1394" s="174"/>
      <c r="V1394" s="165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</row>
    <row r="1395">
      <c r="A1395" s="165"/>
      <c r="B1395" s="166"/>
      <c r="C1395" s="166"/>
      <c r="D1395" s="165"/>
      <c r="E1395" s="165"/>
      <c r="F1395" s="377"/>
      <c r="G1395" s="377"/>
      <c r="H1395" s="378"/>
      <c r="I1395" s="378"/>
      <c r="J1395" s="377"/>
      <c r="K1395" s="166"/>
      <c r="L1395" s="166"/>
      <c r="M1395" s="166"/>
      <c r="N1395" s="170"/>
      <c r="O1395" s="171"/>
      <c r="P1395" s="171"/>
      <c r="Q1395" s="172"/>
      <c r="R1395" s="173"/>
      <c r="S1395" s="173"/>
      <c r="T1395" s="173"/>
      <c r="U1395" s="174"/>
      <c r="V1395" s="165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</row>
    <row r="1396">
      <c r="A1396" s="165"/>
      <c r="B1396" s="166"/>
      <c r="C1396" s="166"/>
      <c r="D1396" s="165"/>
      <c r="E1396" s="165"/>
      <c r="F1396" s="377"/>
      <c r="G1396" s="377"/>
      <c r="H1396" s="378"/>
      <c r="I1396" s="378"/>
      <c r="J1396" s="377"/>
      <c r="K1396" s="166"/>
      <c r="L1396" s="166"/>
      <c r="M1396" s="166"/>
      <c r="N1396" s="170"/>
      <c r="O1396" s="171"/>
      <c r="P1396" s="171"/>
      <c r="Q1396" s="172"/>
      <c r="R1396" s="173"/>
      <c r="S1396" s="173"/>
      <c r="T1396" s="173"/>
      <c r="U1396" s="174"/>
      <c r="V1396" s="165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</row>
    <row r="1397">
      <c r="A1397" s="263"/>
      <c r="B1397" s="264"/>
      <c r="C1397" s="265"/>
      <c r="D1397" s="266"/>
      <c r="E1397" s="263"/>
      <c r="F1397" s="267"/>
      <c r="G1397" s="267"/>
      <c r="H1397" s="268"/>
      <c r="I1397" s="268"/>
      <c r="J1397" s="377"/>
      <c r="K1397" s="265"/>
      <c r="L1397" s="265"/>
      <c r="M1397" s="269"/>
      <c r="N1397" s="283"/>
      <c r="O1397" s="271"/>
      <c r="P1397" s="271"/>
      <c r="Q1397" s="283"/>
      <c r="R1397" s="273"/>
      <c r="S1397" s="273"/>
      <c r="T1397" s="273"/>
      <c r="U1397" s="274"/>
      <c r="V1397" s="263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</row>
    <row r="1398">
      <c r="A1398" s="165"/>
      <c r="B1398" s="166"/>
      <c r="C1398" s="166"/>
      <c r="D1398" s="165"/>
      <c r="E1398" s="165"/>
      <c r="F1398" s="377"/>
      <c r="G1398" s="377"/>
      <c r="H1398" s="378"/>
      <c r="I1398" s="378"/>
      <c r="J1398" s="267"/>
      <c r="K1398" s="166"/>
      <c r="L1398" s="166"/>
      <c r="M1398" s="166"/>
      <c r="N1398" s="170"/>
      <c r="O1398" s="171"/>
      <c r="P1398" s="171"/>
      <c r="Q1398" s="172"/>
      <c r="R1398" s="173"/>
      <c r="S1398" s="173"/>
      <c r="T1398" s="173"/>
      <c r="U1398" s="174"/>
      <c r="V1398" s="165"/>
      <c r="W1398" s="188"/>
      <c r="X1398" s="188"/>
      <c r="Y1398" s="188"/>
      <c r="Z1398" s="188"/>
      <c r="AA1398" s="188"/>
      <c r="AB1398" s="188"/>
      <c r="AC1398" s="188"/>
      <c r="AD1398" s="188"/>
      <c r="AE1398" s="188"/>
      <c r="AF1398" s="188"/>
      <c r="AG1398" s="188"/>
      <c r="AH1398" s="188"/>
      <c r="AI1398" s="188"/>
    </row>
    <row r="1399">
      <c r="A1399" s="165"/>
      <c r="B1399" s="166"/>
      <c r="C1399" s="166"/>
      <c r="D1399" s="165"/>
      <c r="E1399" s="165"/>
      <c r="F1399" s="377"/>
      <c r="G1399" s="377"/>
      <c r="H1399" s="378"/>
      <c r="I1399" s="378"/>
      <c r="J1399" s="377"/>
      <c r="K1399" s="166"/>
      <c r="L1399" s="166"/>
      <c r="M1399" s="166"/>
      <c r="N1399" s="170"/>
      <c r="O1399" s="171"/>
      <c r="P1399" s="171"/>
      <c r="Q1399" s="172"/>
      <c r="R1399" s="173"/>
      <c r="S1399" s="173"/>
      <c r="T1399" s="173"/>
      <c r="U1399" s="174"/>
      <c r="V1399" s="165"/>
      <c r="W1399" s="188"/>
      <c r="X1399" s="188"/>
      <c r="Y1399" s="188"/>
      <c r="Z1399" s="188"/>
      <c r="AA1399" s="188"/>
      <c r="AB1399" s="188"/>
      <c r="AC1399" s="188"/>
      <c r="AD1399" s="188"/>
      <c r="AE1399" s="188"/>
      <c r="AF1399" s="188"/>
      <c r="AG1399" s="188"/>
      <c r="AH1399" s="188"/>
      <c r="AI1399" s="188"/>
    </row>
    <row r="1400">
      <c r="A1400" s="165"/>
      <c r="B1400" s="166"/>
      <c r="C1400" s="166"/>
      <c r="D1400" s="165"/>
      <c r="E1400" s="165"/>
      <c r="F1400" s="377"/>
      <c r="G1400" s="377"/>
      <c r="H1400" s="378"/>
      <c r="I1400" s="378"/>
      <c r="J1400" s="377"/>
      <c r="K1400" s="166"/>
      <c r="L1400" s="166"/>
      <c r="M1400" s="166"/>
      <c r="N1400" s="170"/>
      <c r="O1400" s="171"/>
      <c r="P1400" s="171"/>
      <c r="Q1400" s="172"/>
      <c r="R1400" s="173"/>
      <c r="S1400" s="173"/>
      <c r="T1400" s="173"/>
      <c r="U1400" s="174"/>
      <c r="V1400" s="165"/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</row>
    <row r="1401">
      <c r="A1401" s="165"/>
      <c r="B1401" s="166"/>
      <c r="C1401" s="166"/>
      <c r="D1401" s="165"/>
      <c r="E1401" s="165"/>
      <c r="F1401" s="377"/>
      <c r="G1401" s="377"/>
      <c r="H1401" s="378"/>
      <c r="I1401" s="378"/>
      <c r="J1401" s="377"/>
      <c r="K1401" s="166"/>
      <c r="L1401" s="166"/>
      <c r="M1401" s="166"/>
      <c r="N1401" s="170"/>
      <c r="O1401" s="171"/>
      <c r="P1401" s="171"/>
      <c r="Q1401" s="172"/>
      <c r="R1401" s="173"/>
      <c r="S1401" s="173"/>
      <c r="T1401" s="173"/>
      <c r="U1401" s="174"/>
      <c r="V1401" s="165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</row>
    <row r="1402">
      <c r="A1402" s="165"/>
      <c r="B1402" s="166"/>
      <c r="C1402" s="166"/>
      <c r="D1402" s="165"/>
      <c r="E1402" s="165"/>
      <c r="F1402" s="377"/>
      <c r="G1402" s="377"/>
      <c r="H1402" s="378"/>
      <c r="I1402" s="378"/>
      <c r="J1402" s="267"/>
      <c r="K1402" s="166"/>
      <c r="L1402" s="166"/>
      <c r="M1402" s="166"/>
      <c r="N1402" s="170"/>
      <c r="O1402" s="171"/>
      <c r="P1402" s="171"/>
      <c r="Q1402" s="172"/>
      <c r="R1402" s="173"/>
      <c r="S1402" s="173"/>
      <c r="T1402" s="173"/>
      <c r="U1402" s="174"/>
      <c r="V1402" s="165"/>
      <c r="W1402" s="188"/>
      <c r="X1402" s="188"/>
      <c r="Y1402" s="188"/>
      <c r="Z1402" s="188"/>
      <c r="AA1402" s="188"/>
      <c r="AB1402" s="188"/>
      <c r="AC1402" s="188"/>
      <c r="AD1402" s="188"/>
      <c r="AE1402" s="188"/>
      <c r="AF1402" s="188"/>
      <c r="AG1402" s="188"/>
      <c r="AH1402" s="188"/>
      <c r="AI1402" s="188"/>
    </row>
    <row r="1403">
      <c r="A1403" s="165"/>
      <c r="B1403" s="166"/>
      <c r="C1403" s="166"/>
      <c r="D1403" s="165"/>
      <c r="E1403" s="165"/>
      <c r="F1403" s="377"/>
      <c r="G1403" s="377"/>
      <c r="H1403" s="378"/>
      <c r="I1403" s="378"/>
      <c r="J1403" s="377"/>
      <c r="K1403" s="166"/>
      <c r="L1403" s="166"/>
      <c r="M1403" s="166"/>
      <c r="N1403" s="170"/>
      <c r="O1403" s="171"/>
      <c r="P1403" s="171"/>
      <c r="Q1403" s="172"/>
      <c r="R1403" s="173"/>
      <c r="S1403" s="173"/>
      <c r="T1403" s="173"/>
      <c r="U1403" s="174"/>
      <c r="V1403" s="165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</row>
    <row r="1404">
      <c r="A1404" s="165"/>
      <c r="B1404" s="166"/>
      <c r="C1404" s="166"/>
      <c r="D1404" s="165"/>
      <c r="E1404" s="165"/>
      <c r="F1404" s="377"/>
      <c r="G1404" s="377"/>
      <c r="H1404" s="378"/>
      <c r="I1404" s="378"/>
      <c r="J1404" s="377"/>
      <c r="K1404" s="166"/>
      <c r="L1404" s="166"/>
      <c r="M1404" s="166"/>
      <c r="N1404" s="170"/>
      <c r="O1404" s="171"/>
      <c r="P1404" s="171"/>
      <c r="Q1404" s="172"/>
      <c r="R1404" s="173"/>
      <c r="S1404" s="173"/>
      <c r="T1404" s="173"/>
      <c r="U1404" s="174"/>
      <c r="V1404" s="165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</row>
    <row r="1405">
      <c r="A1405" s="165"/>
      <c r="B1405" s="166"/>
      <c r="C1405" s="166"/>
      <c r="D1405" s="165"/>
      <c r="E1405" s="165"/>
      <c r="F1405" s="377"/>
      <c r="G1405" s="377"/>
      <c r="H1405" s="378"/>
      <c r="I1405" s="378"/>
      <c r="J1405" s="377"/>
      <c r="K1405" s="166"/>
      <c r="L1405" s="166"/>
      <c r="M1405" s="166"/>
      <c r="N1405" s="170"/>
      <c r="O1405" s="171"/>
      <c r="P1405" s="171"/>
      <c r="Q1405" s="172"/>
      <c r="R1405" s="173"/>
      <c r="S1405" s="173"/>
      <c r="T1405" s="173"/>
      <c r="U1405" s="174"/>
      <c r="V1405" s="208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</row>
    <row r="1406">
      <c r="A1406" s="165"/>
      <c r="B1406" s="166"/>
      <c r="C1406" s="166"/>
      <c r="D1406" s="165"/>
      <c r="E1406" s="165"/>
      <c r="F1406" s="377"/>
      <c r="G1406" s="377"/>
      <c r="H1406" s="378"/>
      <c r="I1406" s="378"/>
      <c r="J1406" s="377"/>
      <c r="K1406" s="166"/>
      <c r="L1406" s="166"/>
      <c r="M1406" s="166"/>
      <c r="N1406" s="170"/>
      <c r="O1406" s="171"/>
      <c r="P1406" s="171"/>
      <c r="Q1406" s="172"/>
      <c r="R1406" s="173"/>
      <c r="S1406" s="173"/>
      <c r="T1406" s="173"/>
      <c r="U1406" s="174"/>
      <c r="V1406" s="165"/>
      <c r="W1406" s="36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</row>
    <row r="1407">
      <c r="A1407" s="165"/>
      <c r="B1407" s="166"/>
      <c r="C1407" s="166"/>
      <c r="D1407" s="165"/>
      <c r="E1407" s="165"/>
      <c r="F1407" s="377"/>
      <c r="G1407" s="377"/>
      <c r="H1407" s="378"/>
      <c r="I1407" s="378"/>
      <c r="J1407" s="377"/>
      <c r="K1407" s="166"/>
      <c r="L1407" s="166"/>
      <c r="M1407" s="166"/>
      <c r="N1407" s="170"/>
      <c r="O1407" s="171"/>
      <c r="P1407" s="171"/>
      <c r="Q1407" s="172"/>
      <c r="R1407" s="173"/>
      <c r="S1407" s="173"/>
      <c r="T1407" s="173"/>
      <c r="U1407" s="174"/>
      <c r="V1407" s="165"/>
      <c r="W1407" s="188"/>
      <c r="X1407" s="188"/>
      <c r="Y1407" s="188"/>
      <c r="Z1407" s="188"/>
      <c r="AA1407" s="188"/>
      <c r="AB1407" s="188"/>
      <c r="AC1407" s="188"/>
      <c r="AD1407" s="188"/>
      <c r="AE1407" s="188"/>
      <c r="AF1407" s="188"/>
      <c r="AG1407" s="188"/>
      <c r="AH1407" s="188"/>
      <c r="AI1407" s="188"/>
    </row>
    <row r="1408">
      <c r="A1408" s="165"/>
      <c r="B1408" s="166"/>
      <c r="C1408" s="166"/>
      <c r="D1408" s="165"/>
      <c r="E1408" s="165"/>
      <c r="F1408" s="377"/>
      <c r="G1408" s="377"/>
      <c r="H1408" s="378"/>
      <c r="I1408" s="378"/>
      <c r="J1408" s="377"/>
      <c r="K1408" s="166"/>
      <c r="L1408" s="166"/>
      <c r="M1408" s="205"/>
      <c r="N1408" s="170"/>
      <c r="O1408" s="171"/>
      <c r="P1408" s="171"/>
      <c r="Q1408" s="172"/>
      <c r="R1408" s="173"/>
      <c r="S1408" s="173"/>
      <c r="T1408" s="173"/>
      <c r="U1408" s="174"/>
      <c r="V1408" s="165"/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</row>
    <row r="1409">
      <c r="A1409" s="165"/>
      <c r="B1409" s="166"/>
      <c r="C1409" s="166"/>
      <c r="D1409" s="165"/>
      <c r="E1409" s="165"/>
      <c r="F1409" s="377"/>
      <c r="G1409" s="377"/>
      <c r="H1409" s="378"/>
      <c r="I1409" s="378"/>
      <c r="J1409" s="377"/>
      <c r="K1409" s="166"/>
      <c r="L1409" s="166"/>
      <c r="M1409" s="205"/>
      <c r="N1409" s="170"/>
      <c r="O1409" s="171"/>
      <c r="P1409" s="171"/>
      <c r="Q1409" s="172"/>
      <c r="R1409" s="173"/>
      <c r="S1409" s="173"/>
      <c r="T1409" s="173"/>
      <c r="U1409" s="174"/>
      <c r="V1409" s="165"/>
      <c r="W1409" s="188"/>
      <c r="X1409" s="188"/>
      <c r="Y1409" s="188"/>
      <c r="Z1409" s="188"/>
      <c r="AA1409" s="188"/>
      <c r="AB1409" s="188"/>
      <c r="AC1409" s="188"/>
      <c r="AD1409" s="188"/>
      <c r="AE1409" s="188"/>
      <c r="AF1409" s="188"/>
      <c r="AG1409" s="188"/>
      <c r="AH1409" s="188"/>
      <c r="AI1409" s="188"/>
    </row>
    <row r="1410">
      <c r="A1410" s="165"/>
      <c r="B1410" s="166"/>
      <c r="C1410" s="166"/>
      <c r="D1410" s="165"/>
      <c r="E1410" s="165"/>
      <c r="F1410" s="377"/>
      <c r="G1410" s="377"/>
      <c r="H1410" s="378"/>
      <c r="I1410" s="378"/>
      <c r="J1410" s="377"/>
      <c r="K1410" s="166"/>
      <c r="L1410" s="166"/>
      <c r="M1410" s="205"/>
      <c r="N1410" s="170"/>
      <c r="O1410" s="171"/>
      <c r="P1410" s="171"/>
      <c r="Q1410" s="172"/>
      <c r="R1410" s="173"/>
      <c r="S1410" s="173"/>
      <c r="T1410" s="173"/>
      <c r="U1410" s="174"/>
      <c r="V1410" s="165"/>
      <c r="W1410" s="35"/>
      <c r="X1410" s="35"/>
      <c r="Y1410" s="35"/>
      <c r="Z1410" s="35"/>
      <c r="AA1410" s="35"/>
      <c r="AB1410" s="35"/>
      <c r="AC1410" s="35"/>
      <c r="AD1410" s="35"/>
      <c r="AE1410" s="35"/>
      <c r="AF1410" s="35"/>
      <c r="AG1410" s="35"/>
      <c r="AH1410" s="35"/>
      <c r="AI1410" s="35"/>
    </row>
    <row r="1411">
      <c r="A1411" s="165"/>
      <c r="B1411" s="166"/>
      <c r="C1411" s="166"/>
      <c r="D1411" s="165"/>
      <c r="E1411" s="165"/>
      <c r="F1411" s="377"/>
      <c r="G1411" s="377"/>
      <c r="H1411" s="378"/>
      <c r="I1411" s="378"/>
      <c r="J1411" s="377"/>
      <c r="K1411" s="166"/>
      <c r="L1411" s="166"/>
      <c r="M1411" s="166"/>
      <c r="N1411" s="170"/>
      <c r="O1411" s="171"/>
      <c r="P1411" s="171"/>
      <c r="Q1411" s="172"/>
      <c r="R1411" s="173"/>
      <c r="S1411" s="173"/>
      <c r="T1411" s="173"/>
      <c r="U1411" s="174"/>
      <c r="V1411" s="165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</row>
    <row r="1412">
      <c r="A1412" s="263"/>
      <c r="B1412" s="264"/>
      <c r="C1412" s="265"/>
      <c r="D1412" s="266"/>
      <c r="E1412" s="263"/>
      <c r="F1412" s="267"/>
      <c r="G1412" s="267"/>
      <c r="H1412" s="268"/>
      <c r="I1412" s="268"/>
      <c r="J1412" s="377"/>
      <c r="K1412" s="265"/>
      <c r="L1412" s="265"/>
      <c r="M1412" s="269"/>
      <c r="N1412" s="283"/>
      <c r="O1412" s="271"/>
      <c r="P1412" s="271"/>
      <c r="Q1412" s="283"/>
      <c r="R1412" s="273"/>
      <c r="S1412" s="273"/>
      <c r="T1412" s="273"/>
      <c r="U1412" s="274"/>
      <c r="V1412" s="263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</row>
    <row r="1413">
      <c r="A1413" s="165"/>
      <c r="B1413" s="166"/>
      <c r="C1413" s="166"/>
      <c r="D1413" s="165"/>
      <c r="E1413" s="165"/>
      <c r="F1413" s="377"/>
      <c r="G1413" s="377"/>
      <c r="H1413" s="378"/>
      <c r="I1413" s="378"/>
      <c r="J1413" s="377"/>
      <c r="K1413" s="166"/>
      <c r="L1413" s="166"/>
      <c r="M1413" s="205"/>
      <c r="N1413" s="170"/>
      <c r="O1413" s="171"/>
      <c r="P1413" s="171"/>
      <c r="Q1413" s="172"/>
      <c r="R1413" s="173"/>
      <c r="S1413" s="173"/>
      <c r="T1413" s="173"/>
      <c r="U1413" s="174"/>
      <c r="V1413" s="165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</row>
    <row r="1414">
      <c r="A1414" s="165"/>
      <c r="B1414" s="166"/>
      <c r="C1414" s="166"/>
      <c r="D1414" s="165"/>
      <c r="E1414" s="165"/>
      <c r="F1414" s="377"/>
      <c r="G1414" s="377"/>
      <c r="H1414" s="378"/>
      <c r="I1414" s="378"/>
      <c r="J1414" s="377"/>
      <c r="K1414" s="166"/>
      <c r="L1414" s="166"/>
      <c r="M1414" s="166"/>
      <c r="N1414" s="170"/>
      <c r="O1414" s="171"/>
      <c r="P1414" s="171"/>
      <c r="Q1414" s="172"/>
      <c r="R1414" s="173"/>
      <c r="S1414" s="173"/>
      <c r="T1414" s="173"/>
      <c r="U1414" s="174"/>
      <c r="V1414" s="165"/>
      <c r="W1414" s="35"/>
      <c r="X1414" s="35"/>
      <c r="Y1414" s="35"/>
      <c r="Z1414" s="35"/>
      <c r="AA1414" s="35"/>
      <c r="AB1414" s="35"/>
      <c r="AC1414" s="35"/>
      <c r="AD1414" s="35"/>
      <c r="AE1414" s="35"/>
      <c r="AF1414" s="35"/>
      <c r="AG1414" s="35"/>
      <c r="AH1414" s="35"/>
      <c r="AI1414" s="35"/>
    </row>
    <row r="1415">
      <c r="A1415" s="165"/>
      <c r="B1415" s="166"/>
      <c r="C1415" s="166"/>
      <c r="D1415" s="165"/>
      <c r="E1415" s="165"/>
      <c r="F1415" s="377"/>
      <c r="G1415" s="377"/>
      <c r="H1415" s="378"/>
      <c r="I1415" s="378"/>
      <c r="J1415" s="377"/>
      <c r="K1415" s="166"/>
      <c r="L1415" s="166"/>
      <c r="M1415" s="205"/>
      <c r="N1415" s="170"/>
      <c r="O1415" s="171"/>
      <c r="P1415" s="171"/>
      <c r="Q1415" s="172"/>
      <c r="R1415" s="173"/>
      <c r="S1415" s="173"/>
      <c r="T1415" s="173"/>
      <c r="U1415" s="174"/>
      <c r="V1415" s="165"/>
      <c r="W1415" s="188"/>
      <c r="X1415" s="188"/>
      <c r="Y1415" s="188"/>
      <c r="Z1415" s="188"/>
      <c r="AA1415" s="188"/>
      <c r="AB1415" s="188"/>
      <c r="AC1415" s="188"/>
      <c r="AD1415" s="188"/>
      <c r="AE1415" s="188"/>
      <c r="AF1415" s="188"/>
      <c r="AG1415" s="188"/>
      <c r="AH1415" s="188"/>
      <c r="AI1415" s="188"/>
    </row>
    <row r="1416">
      <c r="A1416" s="165"/>
      <c r="B1416" s="166"/>
      <c r="C1416" s="166"/>
      <c r="D1416" s="165"/>
      <c r="E1416" s="165"/>
      <c r="F1416" s="377"/>
      <c r="G1416" s="377"/>
      <c r="H1416" s="378"/>
      <c r="I1416" s="378"/>
      <c r="J1416" s="377"/>
      <c r="K1416" s="166"/>
      <c r="L1416" s="166"/>
      <c r="M1416" s="166"/>
      <c r="N1416" s="170"/>
      <c r="O1416" s="171"/>
      <c r="P1416" s="171"/>
      <c r="Q1416" s="172"/>
      <c r="R1416" s="173"/>
      <c r="S1416" s="173"/>
      <c r="T1416" s="173"/>
      <c r="U1416" s="174"/>
      <c r="V1416" s="165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</row>
    <row r="1417">
      <c r="A1417" s="263"/>
      <c r="B1417" s="264"/>
      <c r="C1417" s="265"/>
      <c r="D1417" s="266"/>
      <c r="E1417" s="263"/>
      <c r="F1417" s="267"/>
      <c r="G1417" s="267"/>
      <c r="H1417" s="268"/>
      <c r="I1417" s="268"/>
      <c r="J1417" s="267"/>
      <c r="K1417" s="265"/>
      <c r="L1417" s="265"/>
      <c r="M1417" s="264"/>
      <c r="N1417" s="270"/>
      <c r="O1417" s="271"/>
      <c r="P1417" s="271"/>
      <c r="Q1417" s="272"/>
      <c r="R1417" s="273"/>
      <c r="S1417" s="273"/>
      <c r="T1417" s="273"/>
      <c r="U1417" s="274"/>
      <c r="V1417" s="263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</row>
    <row r="1418">
      <c r="A1418" s="165"/>
      <c r="B1418" s="166"/>
      <c r="C1418" s="166"/>
      <c r="D1418" s="165"/>
      <c r="E1418" s="165"/>
      <c r="F1418" s="377"/>
      <c r="G1418" s="377"/>
      <c r="H1418" s="378"/>
      <c r="I1418" s="378"/>
      <c r="J1418" s="377"/>
      <c r="K1418" s="166"/>
      <c r="L1418" s="166"/>
      <c r="M1418" s="166"/>
      <c r="N1418" s="170"/>
      <c r="O1418" s="171"/>
      <c r="P1418" s="171"/>
      <c r="Q1418" s="172"/>
      <c r="R1418" s="173"/>
      <c r="S1418" s="173"/>
      <c r="T1418" s="173"/>
      <c r="U1418" s="174"/>
      <c r="V1418" s="165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</row>
    <row r="1419">
      <c r="A1419" s="165"/>
      <c r="B1419" s="166"/>
      <c r="C1419" s="166"/>
      <c r="D1419" s="165"/>
      <c r="E1419" s="165"/>
      <c r="F1419" s="377"/>
      <c r="G1419" s="377"/>
      <c r="H1419" s="378"/>
      <c r="I1419" s="378"/>
      <c r="J1419" s="377"/>
      <c r="K1419" s="166"/>
      <c r="L1419" s="166"/>
      <c r="M1419" s="166"/>
      <c r="N1419" s="170"/>
      <c r="O1419" s="171"/>
      <c r="P1419" s="171"/>
      <c r="Q1419" s="172"/>
      <c r="R1419" s="173"/>
      <c r="S1419" s="173"/>
      <c r="T1419" s="173"/>
      <c r="U1419" s="174"/>
      <c r="V1419" s="212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</row>
    <row r="1420">
      <c r="A1420" s="165"/>
      <c r="B1420" s="166"/>
      <c r="C1420" s="166"/>
      <c r="D1420" s="165"/>
      <c r="E1420" s="165"/>
      <c r="F1420" s="377"/>
      <c r="G1420" s="377"/>
      <c r="H1420" s="378"/>
      <c r="I1420" s="378"/>
      <c r="J1420" s="377"/>
      <c r="K1420" s="166"/>
      <c r="L1420" s="166"/>
      <c r="M1420" s="205"/>
      <c r="N1420" s="170"/>
      <c r="O1420" s="171"/>
      <c r="P1420" s="171"/>
      <c r="Q1420" s="172"/>
      <c r="R1420" s="173"/>
      <c r="S1420" s="173"/>
      <c r="T1420" s="173"/>
      <c r="U1420" s="174"/>
      <c r="V1420" s="165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</row>
    <row r="1421">
      <c r="A1421" s="165"/>
      <c r="B1421" s="166"/>
      <c r="C1421" s="166"/>
      <c r="D1421" s="165"/>
      <c r="E1421" s="165"/>
      <c r="F1421" s="377"/>
      <c r="G1421" s="377"/>
      <c r="H1421" s="378"/>
      <c r="I1421" s="378"/>
      <c r="J1421" s="377"/>
      <c r="K1421" s="166"/>
      <c r="L1421" s="166"/>
      <c r="M1421" s="166"/>
      <c r="N1421" s="170"/>
      <c r="O1421" s="171"/>
      <c r="P1421" s="171"/>
      <c r="Q1421" s="172"/>
      <c r="R1421" s="173"/>
      <c r="S1421" s="173"/>
      <c r="T1421" s="173"/>
      <c r="U1421" s="174"/>
      <c r="V1421" s="165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</row>
    <row r="1422">
      <c r="A1422" s="263"/>
      <c r="B1422" s="264"/>
      <c r="C1422" s="265"/>
      <c r="D1422" s="266"/>
      <c r="E1422" s="263"/>
      <c r="F1422" s="267"/>
      <c r="G1422" s="267"/>
      <c r="H1422" s="268"/>
      <c r="I1422" s="268"/>
      <c r="J1422" s="267"/>
      <c r="K1422" s="265"/>
      <c r="L1422" s="265"/>
      <c r="M1422" s="269"/>
      <c r="N1422" s="283"/>
      <c r="O1422" s="271"/>
      <c r="P1422" s="271"/>
      <c r="Q1422" s="283"/>
      <c r="R1422" s="273"/>
      <c r="S1422" s="273"/>
      <c r="T1422" s="260"/>
      <c r="U1422" s="261"/>
      <c r="V1422" s="251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</row>
    <row r="1423">
      <c r="A1423" s="165"/>
      <c r="B1423" s="166"/>
      <c r="C1423" s="166"/>
      <c r="D1423" s="165"/>
      <c r="E1423" s="165"/>
      <c r="F1423" s="377"/>
      <c r="G1423" s="377"/>
      <c r="H1423" s="378"/>
      <c r="I1423" s="378"/>
      <c r="J1423" s="377"/>
      <c r="K1423" s="166"/>
      <c r="L1423" s="166"/>
      <c r="M1423" s="166"/>
      <c r="N1423" s="170"/>
      <c r="O1423" s="171"/>
      <c r="P1423" s="171"/>
      <c r="Q1423" s="172"/>
      <c r="R1423" s="173"/>
      <c r="S1423" s="173"/>
      <c r="T1423" s="173"/>
      <c r="U1423" s="174"/>
      <c r="V1423" s="165"/>
      <c r="W1423" s="188"/>
      <c r="X1423" s="188"/>
      <c r="Y1423" s="188"/>
      <c r="Z1423" s="188"/>
      <c r="AA1423" s="188"/>
      <c r="AB1423" s="188"/>
      <c r="AC1423" s="188"/>
      <c r="AD1423" s="188"/>
      <c r="AE1423" s="188"/>
      <c r="AF1423" s="188"/>
      <c r="AG1423" s="188"/>
      <c r="AH1423" s="188"/>
      <c r="AI1423" s="188"/>
    </row>
    <row r="1424">
      <c r="A1424" s="165"/>
      <c r="B1424" s="166"/>
      <c r="C1424" s="166"/>
      <c r="D1424" s="165"/>
      <c r="E1424" s="165"/>
      <c r="F1424" s="377"/>
      <c r="G1424" s="377"/>
      <c r="H1424" s="378"/>
      <c r="I1424" s="378"/>
      <c r="J1424" s="377"/>
      <c r="K1424" s="166"/>
      <c r="L1424" s="166"/>
      <c r="M1424" s="166"/>
      <c r="N1424" s="170"/>
      <c r="O1424" s="171"/>
      <c r="P1424" s="171"/>
      <c r="Q1424" s="172"/>
      <c r="R1424" s="173"/>
      <c r="S1424" s="173"/>
      <c r="T1424" s="173"/>
      <c r="U1424" s="174"/>
      <c r="V1424" s="165"/>
      <c r="W1424" s="35"/>
      <c r="X1424" s="35"/>
      <c r="Y1424" s="35"/>
      <c r="Z1424" s="35"/>
      <c r="AA1424" s="35"/>
      <c r="AB1424" s="35"/>
      <c r="AC1424" s="35"/>
      <c r="AD1424" s="35"/>
      <c r="AE1424" s="35"/>
      <c r="AF1424" s="35"/>
      <c r="AG1424" s="35"/>
      <c r="AH1424" s="35"/>
      <c r="AI1424" s="35"/>
    </row>
    <row r="1425">
      <c r="A1425" s="165"/>
      <c r="B1425" s="166"/>
      <c r="C1425" s="166"/>
      <c r="D1425" s="165"/>
      <c r="E1425" s="165"/>
      <c r="F1425" s="377"/>
      <c r="G1425" s="377"/>
      <c r="H1425" s="378"/>
      <c r="I1425" s="378"/>
      <c r="J1425" s="377"/>
      <c r="K1425" s="166"/>
      <c r="L1425" s="166"/>
      <c r="M1425" s="205"/>
      <c r="N1425" s="170"/>
      <c r="O1425" s="171"/>
      <c r="P1425" s="171"/>
      <c r="Q1425" s="172"/>
      <c r="R1425" s="173"/>
      <c r="S1425" s="173"/>
      <c r="T1425" s="173"/>
      <c r="U1425" s="174"/>
      <c r="V1425" s="165"/>
      <c r="W1425" s="35"/>
      <c r="X1425" s="35"/>
      <c r="Y1425" s="35"/>
      <c r="Z1425" s="35"/>
      <c r="AA1425" s="35"/>
      <c r="AB1425" s="35"/>
      <c r="AC1425" s="35"/>
      <c r="AD1425" s="35"/>
      <c r="AE1425" s="35"/>
      <c r="AF1425" s="35"/>
      <c r="AG1425" s="35"/>
      <c r="AH1425" s="35"/>
      <c r="AI1425" s="35"/>
    </row>
    <row r="1426">
      <c r="A1426" s="165"/>
      <c r="B1426" s="166"/>
      <c r="C1426" s="166"/>
      <c r="D1426" s="165"/>
      <c r="E1426" s="165"/>
      <c r="F1426" s="377"/>
      <c r="G1426" s="377"/>
      <c r="H1426" s="378"/>
      <c r="I1426" s="378"/>
      <c r="J1426" s="377"/>
      <c r="K1426" s="166"/>
      <c r="L1426" s="166"/>
      <c r="M1426" s="205"/>
      <c r="N1426" s="170"/>
      <c r="O1426" s="171"/>
      <c r="P1426" s="171"/>
      <c r="Q1426" s="172"/>
      <c r="R1426" s="173"/>
      <c r="S1426" s="173"/>
      <c r="T1426" s="173"/>
      <c r="U1426" s="174"/>
      <c r="V1426" s="165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</row>
    <row r="1427">
      <c r="A1427" s="263"/>
      <c r="B1427" s="264"/>
      <c r="C1427" s="265"/>
      <c r="D1427" s="266"/>
      <c r="E1427" s="263"/>
      <c r="F1427" s="267"/>
      <c r="G1427" s="267"/>
      <c r="H1427" s="268"/>
      <c r="I1427" s="268"/>
      <c r="J1427" s="267"/>
      <c r="K1427" s="265"/>
      <c r="L1427" s="265"/>
      <c r="M1427" s="269"/>
      <c r="N1427" s="283"/>
      <c r="O1427" s="271"/>
      <c r="P1427" s="271"/>
      <c r="Q1427" s="283"/>
      <c r="R1427" s="273"/>
      <c r="S1427" s="273"/>
      <c r="T1427" s="273"/>
      <c r="U1427" s="274"/>
      <c r="V1427" s="263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</row>
    <row r="1428">
      <c r="A1428" s="165"/>
      <c r="B1428" s="166"/>
      <c r="C1428" s="166"/>
      <c r="D1428" s="165"/>
      <c r="E1428" s="165"/>
      <c r="F1428" s="377"/>
      <c r="G1428" s="377"/>
      <c r="H1428" s="378"/>
      <c r="I1428" s="378"/>
      <c r="J1428" s="377"/>
      <c r="K1428" s="166"/>
      <c r="L1428" s="166"/>
      <c r="M1428" s="166"/>
      <c r="N1428" s="170"/>
      <c r="O1428" s="171"/>
      <c r="P1428" s="171"/>
      <c r="Q1428" s="172"/>
      <c r="R1428" s="173"/>
      <c r="S1428" s="173"/>
      <c r="T1428" s="173"/>
      <c r="U1428" s="174"/>
      <c r="V1428" s="165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</row>
    <row r="1429">
      <c r="A1429" s="165"/>
      <c r="B1429" s="166"/>
      <c r="C1429" s="166"/>
      <c r="D1429" s="165"/>
      <c r="E1429" s="165"/>
      <c r="F1429" s="377"/>
      <c r="G1429" s="377"/>
      <c r="H1429" s="378"/>
      <c r="I1429" s="378"/>
      <c r="J1429" s="377"/>
      <c r="K1429" s="166"/>
      <c r="L1429" s="166"/>
      <c r="M1429" s="205"/>
      <c r="N1429" s="170"/>
      <c r="O1429" s="171"/>
      <c r="P1429" s="171"/>
      <c r="Q1429" s="172"/>
      <c r="R1429" s="173"/>
      <c r="S1429" s="173"/>
      <c r="T1429" s="173"/>
      <c r="U1429" s="174"/>
      <c r="V1429" s="165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</row>
    <row r="1430">
      <c r="A1430" s="165"/>
      <c r="B1430" s="166"/>
      <c r="C1430" s="166"/>
      <c r="D1430" s="165"/>
      <c r="E1430" s="165"/>
      <c r="F1430" s="377"/>
      <c r="G1430" s="377"/>
      <c r="H1430" s="378"/>
      <c r="I1430" s="378"/>
      <c r="J1430" s="377"/>
      <c r="K1430" s="166"/>
      <c r="L1430" s="166"/>
      <c r="M1430" s="166"/>
      <c r="N1430" s="170"/>
      <c r="O1430" s="171"/>
      <c r="P1430" s="171"/>
      <c r="Q1430" s="172"/>
      <c r="R1430" s="173"/>
      <c r="S1430" s="173"/>
      <c r="T1430" s="173"/>
      <c r="U1430" s="174"/>
      <c r="V1430" s="165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</row>
    <row r="1431">
      <c r="A1431" s="165"/>
      <c r="B1431" s="166"/>
      <c r="C1431" s="166"/>
      <c r="D1431" s="165"/>
      <c r="E1431" s="165"/>
      <c r="F1431" s="377"/>
      <c r="G1431" s="377"/>
      <c r="H1431" s="378"/>
      <c r="I1431" s="378"/>
      <c r="J1431" s="377"/>
      <c r="K1431" s="166"/>
      <c r="L1431" s="166"/>
      <c r="M1431" s="205"/>
      <c r="N1431" s="170"/>
      <c r="O1431" s="171"/>
      <c r="P1431" s="171"/>
      <c r="Q1431" s="172"/>
      <c r="R1431" s="173"/>
      <c r="S1431" s="173"/>
      <c r="T1431" s="173"/>
      <c r="U1431" s="174"/>
      <c r="V1431" s="165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</row>
    <row r="1432">
      <c r="A1432" s="165"/>
      <c r="B1432" s="166"/>
      <c r="C1432" s="166"/>
      <c r="D1432" s="165"/>
      <c r="E1432" s="165"/>
      <c r="F1432" s="377"/>
      <c r="G1432" s="377"/>
      <c r="H1432" s="378"/>
      <c r="I1432" s="378"/>
      <c r="J1432" s="267"/>
      <c r="K1432" s="166"/>
      <c r="L1432" s="166"/>
      <c r="M1432" s="166"/>
      <c r="N1432" s="170"/>
      <c r="O1432" s="171"/>
      <c r="P1432" s="171"/>
      <c r="Q1432" s="172"/>
      <c r="R1432" s="173"/>
      <c r="S1432" s="173"/>
      <c r="T1432" s="173"/>
      <c r="U1432" s="174"/>
      <c r="V1432" s="165"/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</row>
    <row r="1433">
      <c r="A1433" s="165"/>
      <c r="B1433" s="166"/>
      <c r="C1433" s="166"/>
      <c r="D1433" s="165"/>
      <c r="E1433" s="165"/>
      <c r="F1433" s="377"/>
      <c r="G1433" s="377"/>
      <c r="H1433" s="378"/>
      <c r="I1433" s="378"/>
      <c r="J1433" s="377"/>
      <c r="K1433" s="166"/>
      <c r="L1433" s="166"/>
      <c r="M1433" s="205"/>
      <c r="N1433" s="170"/>
      <c r="O1433" s="171"/>
      <c r="P1433" s="171"/>
      <c r="Q1433" s="172"/>
      <c r="R1433" s="173"/>
      <c r="S1433" s="173"/>
      <c r="T1433" s="260"/>
      <c r="U1433" s="261"/>
      <c r="V1433" s="251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</row>
    <row r="1434">
      <c r="A1434" s="165"/>
      <c r="B1434" s="166"/>
      <c r="C1434" s="166"/>
      <c r="D1434" s="165"/>
      <c r="E1434" s="165"/>
      <c r="F1434" s="377"/>
      <c r="G1434" s="377"/>
      <c r="H1434" s="378"/>
      <c r="I1434" s="378"/>
      <c r="J1434" s="377"/>
      <c r="K1434" s="166"/>
      <c r="L1434" s="166"/>
      <c r="M1434" s="166"/>
      <c r="N1434" s="170"/>
      <c r="O1434" s="171"/>
      <c r="P1434" s="171"/>
      <c r="Q1434" s="172"/>
      <c r="R1434" s="173"/>
      <c r="S1434" s="173"/>
      <c r="T1434" s="173"/>
      <c r="U1434" s="174"/>
      <c r="V1434" s="165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</row>
    <row r="1435">
      <c r="A1435" s="165"/>
      <c r="B1435" s="166"/>
      <c r="C1435" s="166"/>
      <c r="D1435" s="165"/>
      <c r="E1435" s="165"/>
      <c r="F1435" s="377"/>
      <c r="G1435" s="377"/>
      <c r="H1435" s="378"/>
      <c r="I1435" s="378"/>
      <c r="J1435" s="377"/>
      <c r="K1435" s="166"/>
      <c r="L1435" s="166"/>
      <c r="M1435" s="166"/>
      <c r="N1435" s="170"/>
      <c r="O1435" s="171"/>
      <c r="P1435" s="171"/>
      <c r="Q1435" s="172"/>
      <c r="R1435" s="173"/>
      <c r="S1435" s="173"/>
      <c r="T1435" s="173"/>
      <c r="U1435" s="174"/>
      <c r="V1435" s="165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</row>
    <row r="1436">
      <c r="A1436" s="165"/>
      <c r="B1436" s="166"/>
      <c r="C1436" s="166"/>
      <c r="D1436" s="165"/>
      <c r="E1436" s="165"/>
      <c r="F1436" s="377"/>
      <c r="G1436" s="377"/>
      <c r="H1436" s="378"/>
      <c r="I1436" s="378"/>
      <c r="J1436" s="377"/>
      <c r="K1436" s="166"/>
      <c r="L1436" s="166"/>
      <c r="M1436" s="166"/>
      <c r="N1436" s="170"/>
      <c r="O1436" s="171"/>
      <c r="P1436" s="171"/>
      <c r="Q1436" s="172"/>
      <c r="R1436" s="173"/>
      <c r="S1436" s="173"/>
      <c r="T1436" s="173"/>
      <c r="U1436" s="174"/>
      <c r="V1436" s="165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</row>
    <row r="1437">
      <c r="A1437" s="165"/>
      <c r="B1437" s="166"/>
      <c r="C1437" s="166"/>
      <c r="D1437" s="165"/>
      <c r="E1437" s="165"/>
      <c r="F1437" s="377"/>
      <c r="G1437" s="377"/>
      <c r="H1437" s="378"/>
      <c r="I1437" s="378"/>
      <c r="J1437" s="377"/>
      <c r="K1437" s="166"/>
      <c r="L1437" s="166"/>
      <c r="M1437" s="166"/>
      <c r="N1437" s="170"/>
      <c r="O1437" s="171"/>
      <c r="P1437" s="171"/>
      <c r="Q1437" s="172"/>
      <c r="R1437" s="173"/>
      <c r="S1437" s="173"/>
      <c r="T1437" s="173"/>
      <c r="U1437" s="174"/>
      <c r="V1437" s="165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</row>
    <row r="1438">
      <c r="A1438" s="165"/>
      <c r="B1438" s="166"/>
      <c r="C1438" s="166"/>
      <c r="D1438" s="165"/>
      <c r="E1438" s="165"/>
      <c r="F1438" s="377"/>
      <c r="G1438" s="377"/>
      <c r="H1438" s="378"/>
      <c r="I1438" s="378"/>
      <c r="J1438" s="377"/>
      <c r="K1438" s="166"/>
      <c r="L1438" s="166"/>
      <c r="M1438" s="166"/>
      <c r="N1438" s="170"/>
      <c r="O1438" s="171"/>
      <c r="P1438" s="171"/>
      <c r="Q1438" s="172"/>
      <c r="R1438" s="173"/>
      <c r="S1438" s="173"/>
      <c r="T1438" s="173"/>
      <c r="U1438" s="174"/>
      <c r="V1438" s="165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</row>
    <row r="1439">
      <c r="A1439" s="165"/>
      <c r="B1439" s="166"/>
      <c r="C1439" s="166"/>
      <c r="D1439" s="165"/>
      <c r="E1439" s="165"/>
      <c r="F1439" s="377"/>
      <c r="G1439" s="377"/>
      <c r="H1439" s="378"/>
      <c r="I1439" s="378"/>
      <c r="J1439" s="377"/>
      <c r="K1439" s="166"/>
      <c r="L1439" s="166"/>
      <c r="M1439" s="205"/>
      <c r="N1439" s="170"/>
      <c r="O1439" s="171"/>
      <c r="P1439" s="171"/>
      <c r="Q1439" s="172"/>
      <c r="R1439" s="173"/>
      <c r="S1439" s="173"/>
      <c r="T1439" s="173"/>
      <c r="U1439" s="174"/>
      <c r="V1439" s="165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</row>
    <row r="1440">
      <c r="A1440" s="165"/>
      <c r="B1440" s="166"/>
      <c r="C1440" s="166"/>
      <c r="D1440" s="165"/>
      <c r="E1440" s="165"/>
      <c r="F1440" s="377"/>
      <c r="G1440" s="377"/>
      <c r="H1440" s="378"/>
      <c r="I1440" s="378"/>
      <c r="J1440" s="377"/>
      <c r="K1440" s="166"/>
      <c r="L1440" s="166"/>
      <c r="M1440" s="166"/>
      <c r="N1440" s="170"/>
      <c r="O1440" s="171"/>
      <c r="P1440" s="171"/>
      <c r="Q1440" s="172"/>
      <c r="R1440" s="173"/>
      <c r="S1440" s="173"/>
      <c r="T1440" s="173"/>
      <c r="U1440" s="174"/>
      <c r="V1440" s="165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</row>
    <row r="1441">
      <c r="A1441" s="165"/>
      <c r="B1441" s="166"/>
      <c r="C1441" s="166"/>
      <c r="D1441" s="165"/>
      <c r="E1441" s="165"/>
      <c r="F1441" s="377"/>
      <c r="G1441" s="377"/>
      <c r="H1441" s="378"/>
      <c r="I1441" s="378"/>
      <c r="J1441" s="377"/>
      <c r="K1441" s="166"/>
      <c r="L1441" s="166"/>
      <c r="M1441" s="166"/>
      <c r="N1441" s="170"/>
      <c r="O1441" s="171"/>
      <c r="P1441" s="171"/>
      <c r="Q1441" s="172"/>
      <c r="R1441" s="173"/>
      <c r="S1441" s="173"/>
      <c r="T1441" s="173"/>
      <c r="U1441" s="174"/>
      <c r="V1441" s="165"/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</row>
    <row r="1442">
      <c r="A1442" s="165"/>
      <c r="B1442" s="166"/>
      <c r="C1442" s="166"/>
      <c r="D1442" s="165"/>
      <c r="E1442" s="165"/>
      <c r="F1442" s="377"/>
      <c r="G1442" s="377"/>
      <c r="H1442" s="378"/>
      <c r="I1442" s="378"/>
      <c r="J1442" s="377"/>
      <c r="K1442" s="166"/>
      <c r="L1442" s="166"/>
      <c r="M1442" s="205"/>
      <c r="N1442" s="170"/>
      <c r="O1442" s="171"/>
      <c r="P1442" s="171"/>
      <c r="Q1442" s="172"/>
      <c r="R1442" s="173"/>
      <c r="S1442" s="173"/>
      <c r="T1442" s="173"/>
      <c r="U1442" s="174"/>
      <c r="V1442" s="165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</row>
    <row r="1443">
      <c r="A1443" s="165"/>
      <c r="B1443" s="166"/>
      <c r="C1443" s="166"/>
      <c r="D1443" s="165"/>
      <c r="E1443" s="165"/>
      <c r="F1443" s="377"/>
      <c r="G1443" s="377"/>
      <c r="H1443" s="378"/>
      <c r="I1443" s="378"/>
      <c r="J1443" s="377"/>
      <c r="K1443" s="166"/>
      <c r="L1443" s="166"/>
      <c r="M1443" s="166"/>
      <c r="N1443" s="170"/>
      <c r="O1443" s="171"/>
      <c r="P1443" s="171"/>
      <c r="Q1443" s="172"/>
      <c r="R1443" s="173"/>
      <c r="S1443" s="173"/>
      <c r="T1443" s="173"/>
      <c r="U1443" s="174"/>
      <c r="V1443" s="165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</row>
    <row r="1444">
      <c r="A1444" s="165"/>
      <c r="B1444" s="166"/>
      <c r="C1444" s="166"/>
      <c r="D1444" s="165"/>
      <c r="E1444" s="165"/>
      <c r="F1444" s="377"/>
      <c r="G1444" s="377"/>
      <c r="H1444" s="378"/>
      <c r="I1444" s="378"/>
      <c r="J1444" s="377"/>
      <c r="K1444" s="166"/>
      <c r="L1444" s="166"/>
      <c r="M1444" s="205"/>
      <c r="N1444" s="170"/>
      <c r="O1444" s="171"/>
      <c r="P1444" s="171"/>
      <c r="Q1444" s="172"/>
      <c r="R1444" s="173"/>
      <c r="S1444" s="173"/>
      <c r="T1444" s="173"/>
      <c r="U1444" s="174"/>
      <c r="V1444" s="165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</row>
    <row r="1445">
      <c r="A1445" s="165"/>
      <c r="B1445" s="166"/>
      <c r="C1445" s="166"/>
      <c r="D1445" s="165"/>
      <c r="E1445" s="165"/>
      <c r="F1445" s="377"/>
      <c r="G1445" s="377"/>
      <c r="H1445" s="378"/>
      <c r="I1445" s="378"/>
      <c r="J1445" s="377"/>
      <c r="K1445" s="166"/>
      <c r="L1445" s="166"/>
      <c r="M1445" s="166"/>
      <c r="N1445" s="170"/>
      <c r="O1445" s="171"/>
      <c r="P1445" s="171"/>
      <c r="Q1445" s="172"/>
      <c r="R1445" s="173"/>
      <c r="S1445" s="173"/>
      <c r="T1445" s="173"/>
      <c r="U1445" s="174"/>
      <c r="V1445" s="165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</row>
    <row r="1446">
      <c r="A1446" s="165"/>
      <c r="B1446" s="166"/>
      <c r="C1446" s="166"/>
      <c r="D1446" s="165"/>
      <c r="E1446" s="165"/>
      <c r="F1446" s="377"/>
      <c r="G1446" s="377"/>
      <c r="H1446" s="378"/>
      <c r="I1446" s="378"/>
      <c r="J1446" s="377"/>
      <c r="K1446" s="166"/>
      <c r="L1446" s="166"/>
      <c r="M1446" s="166"/>
      <c r="N1446" s="170"/>
      <c r="O1446" s="171"/>
      <c r="P1446" s="171"/>
      <c r="Q1446" s="172"/>
      <c r="R1446" s="173"/>
      <c r="S1446" s="173"/>
      <c r="T1446" s="173"/>
      <c r="U1446" s="174"/>
      <c r="V1446" s="165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</row>
    <row r="1447">
      <c r="A1447" s="165"/>
      <c r="B1447" s="166"/>
      <c r="C1447" s="166"/>
      <c r="D1447" s="165"/>
      <c r="E1447" s="165"/>
      <c r="F1447" s="377"/>
      <c r="G1447" s="377"/>
      <c r="H1447" s="378"/>
      <c r="I1447" s="378"/>
      <c r="J1447" s="377"/>
      <c r="K1447" s="166"/>
      <c r="L1447" s="166"/>
      <c r="M1447" s="166"/>
      <c r="N1447" s="170"/>
      <c r="O1447" s="171"/>
      <c r="P1447" s="171"/>
      <c r="Q1447" s="172"/>
      <c r="R1447" s="173"/>
      <c r="S1447" s="173"/>
      <c r="T1447" s="173"/>
      <c r="U1447" s="174"/>
      <c r="V1447" s="165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</row>
    <row r="1448">
      <c r="A1448" s="165"/>
      <c r="B1448" s="166"/>
      <c r="C1448" s="166"/>
      <c r="D1448" s="165"/>
      <c r="E1448" s="165"/>
      <c r="F1448" s="377"/>
      <c r="G1448" s="377"/>
      <c r="H1448" s="378"/>
      <c r="I1448" s="378"/>
      <c r="J1448" s="377"/>
      <c r="K1448" s="166"/>
      <c r="L1448" s="166"/>
      <c r="M1448" s="205"/>
      <c r="N1448" s="170"/>
      <c r="O1448" s="171"/>
      <c r="P1448" s="171"/>
      <c r="Q1448" s="172"/>
      <c r="R1448" s="173"/>
      <c r="S1448" s="173"/>
      <c r="T1448" s="173"/>
      <c r="U1448" s="174"/>
      <c r="V1448" s="165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</row>
    <row r="1449">
      <c r="A1449" s="165"/>
      <c r="B1449" s="166"/>
      <c r="C1449" s="166"/>
      <c r="D1449" s="165"/>
      <c r="E1449" s="165"/>
      <c r="F1449" s="377"/>
      <c r="G1449" s="377"/>
      <c r="H1449" s="378"/>
      <c r="I1449" s="378"/>
      <c r="J1449" s="377"/>
      <c r="K1449" s="166"/>
      <c r="L1449" s="166"/>
      <c r="M1449" s="205"/>
      <c r="N1449" s="170"/>
      <c r="O1449" s="171"/>
      <c r="P1449" s="171"/>
      <c r="Q1449" s="172"/>
      <c r="R1449" s="173"/>
      <c r="S1449" s="173"/>
      <c r="T1449" s="173"/>
      <c r="U1449" s="174"/>
      <c r="V1449" s="165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</row>
    <row r="1450">
      <c r="A1450" s="165"/>
      <c r="B1450" s="166"/>
      <c r="C1450" s="166"/>
      <c r="D1450" s="165"/>
      <c r="E1450" s="165"/>
      <c r="F1450" s="377"/>
      <c r="G1450" s="377"/>
      <c r="H1450" s="378"/>
      <c r="I1450" s="378"/>
      <c r="J1450" s="377"/>
      <c r="K1450" s="166"/>
      <c r="L1450" s="166"/>
      <c r="M1450" s="205"/>
      <c r="N1450" s="170"/>
      <c r="O1450" s="171"/>
      <c r="P1450" s="171"/>
      <c r="Q1450" s="172"/>
      <c r="R1450" s="173"/>
      <c r="S1450" s="173"/>
      <c r="T1450" s="173"/>
      <c r="U1450" s="174"/>
      <c r="V1450" s="165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</row>
    <row r="1451">
      <c r="A1451" s="165"/>
      <c r="B1451" s="166"/>
      <c r="C1451" s="166"/>
      <c r="D1451" s="165"/>
      <c r="E1451" s="165"/>
      <c r="F1451" s="377"/>
      <c r="G1451" s="377"/>
      <c r="H1451" s="378"/>
      <c r="I1451" s="378"/>
      <c r="J1451" s="377"/>
      <c r="K1451" s="166"/>
      <c r="L1451" s="166"/>
      <c r="M1451" s="205"/>
      <c r="N1451" s="170"/>
      <c r="O1451" s="171"/>
      <c r="P1451" s="171"/>
      <c r="Q1451" s="172"/>
      <c r="R1451" s="173"/>
      <c r="S1451" s="173"/>
      <c r="T1451" s="260"/>
      <c r="U1451" s="261"/>
      <c r="V1451" s="251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</row>
    <row r="1452">
      <c r="A1452" s="165"/>
      <c r="B1452" s="166"/>
      <c r="C1452" s="166"/>
      <c r="D1452" s="165"/>
      <c r="E1452" s="165"/>
      <c r="F1452" s="377"/>
      <c r="G1452" s="377"/>
      <c r="H1452" s="378"/>
      <c r="I1452" s="378"/>
      <c r="J1452" s="377"/>
      <c r="K1452" s="166"/>
      <c r="L1452" s="166"/>
      <c r="M1452" s="166"/>
      <c r="N1452" s="170"/>
      <c r="O1452" s="171"/>
      <c r="P1452" s="171"/>
      <c r="Q1452" s="172"/>
      <c r="R1452" s="173"/>
      <c r="S1452" s="173"/>
      <c r="T1452" s="173"/>
      <c r="U1452" s="174"/>
      <c r="V1452" s="165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</row>
    <row r="1453">
      <c r="A1453" s="165"/>
      <c r="B1453" s="166"/>
      <c r="C1453" s="166"/>
      <c r="D1453" s="165"/>
      <c r="E1453" s="165"/>
      <c r="F1453" s="377"/>
      <c r="G1453" s="377"/>
      <c r="H1453" s="378"/>
      <c r="I1453" s="378"/>
      <c r="J1453" s="377"/>
      <c r="K1453" s="166"/>
      <c r="L1453" s="166"/>
      <c r="M1453" s="166"/>
      <c r="N1453" s="170"/>
      <c r="O1453" s="171"/>
      <c r="P1453" s="171"/>
      <c r="Q1453" s="172"/>
      <c r="R1453" s="173"/>
      <c r="S1453" s="173"/>
      <c r="T1453" s="173"/>
      <c r="U1453" s="174"/>
      <c r="V1453" s="165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</row>
    <row r="1454">
      <c r="A1454" s="165"/>
      <c r="B1454" s="166"/>
      <c r="C1454" s="166"/>
      <c r="D1454" s="165"/>
      <c r="E1454" s="165"/>
      <c r="F1454" s="377"/>
      <c r="G1454" s="377"/>
      <c r="H1454" s="378"/>
      <c r="I1454" s="378"/>
      <c r="J1454" s="377"/>
      <c r="K1454" s="166"/>
      <c r="L1454" s="166"/>
      <c r="M1454" s="166"/>
      <c r="N1454" s="170"/>
      <c r="O1454" s="171"/>
      <c r="P1454" s="171"/>
      <c r="Q1454" s="172"/>
      <c r="R1454" s="173"/>
      <c r="S1454" s="173"/>
      <c r="T1454" s="173"/>
      <c r="U1454" s="174"/>
      <c r="V1454" s="165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</row>
    <row r="1455">
      <c r="A1455" s="165"/>
      <c r="B1455" s="166"/>
      <c r="C1455" s="166"/>
      <c r="D1455" s="165"/>
      <c r="E1455" s="165"/>
      <c r="F1455" s="377"/>
      <c r="G1455" s="377"/>
      <c r="H1455" s="378"/>
      <c r="I1455" s="378"/>
      <c r="J1455" s="377"/>
      <c r="K1455" s="166"/>
      <c r="L1455" s="166"/>
      <c r="M1455" s="166"/>
      <c r="N1455" s="170"/>
      <c r="O1455" s="171"/>
      <c r="P1455" s="171"/>
      <c r="Q1455" s="172"/>
      <c r="R1455" s="173"/>
      <c r="S1455" s="173"/>
      <c r="T1455" s="173"/>
      <c r="U1455" s="174"/>
      <c r="V1455" s="165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</row>
    <row r="1456">
      <c r="A1456" s="165"/>
      <c r="B1456" s="166"/>
      <c r="C1456" s="166"/>
      <c r="D1456" s="165"/>
      <c r="E1456" s="165"/>
      <c r="F1456" s="377"/>
      <c r="G1456" s="377"/>
      <c r="H1456" s="378"/>
      <c r="I1456" s="378"/>
      <c r="J1456" s="377"/>
      <c r="K1456" s="166"/>
      <c r="L1456" s="166"/>
      <c r="M1456" s="166"/>
      <c r="N1456" s="170"/>
      <c r="O1456" s="171"/>
      <c r="P1456" s="171"/>
      <c r="Q1456" s="172"/>
      <c r="R1456" s="173"/>
      <c r="S1456" s="173"/>
      <c r="T1456" s="173"/>
      <c r="U1456" s="174"/>
      <c r="V1456" s="165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</row>
    <row r="1457">
      <c r="A1457" s="165"/>
      <c r="B1457" s="166"/>
      <c r="C1457" s="166"/>
      <c r="D1457" s="165"/>
      <c r="E1457" s="165"/>
      <c r="F1457" s="377"/>
      <c r="G1457" s="377"/>
      <c r="H1457" s="378"/>
      <c r="I1457" s="378"/>
      <c r="J1457" s="377"/>
      <c r="K1457" s="166"/>
      <c r="L1457" s="166"/>
      <c r="M1457" s="166"/>
      <c r="N1457" s="170"/>
      <c r="O1457" s="171"/>
      <c r="P1457" s="171"/>
      <c r="Q1457" s="172"/>
      <c r="R1457" s="173"/>
      <c r="S1457" s="173"/>
      <c r="T1457" s="173"/>
      <c r="U1457" s="174"/>
      <c r="V1457" s="165"/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</row>
    <row r="1458">
      <c r="A1458" s="263"/>
      <c r="B1458" s="264"/>
      <c r="C1458" s="265"/>
      <c r="D1458" s="266"/>
      <c r="E1458" s="263"/>
      <c r="F1458" s="267"/>
      <c r="G1458" s="267"/>
      <c r="H1458" s="268"/>
      <c r="I1458" s="268"/>
      <c r="J1458" s="377"/>
      <c r="K1458" s="265"/>
      <c r="L1458" s="265"/>
      <c r="M1458" s="269"/>
      <c r="N1458" s="283"/>
      <c r="O1458" s="271"/>
      <c r="P1458" s="271"/>
      <c r="Q1458" s="283"/>
      <c r="R1458" s="273"/>
      <c r="S1458" s="273"/>
      <c r="T1458" s="273"/>
      <c r="U1458" s="274"/>
      <c r="V1458" s="263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</row>
    <row r="1459">
      <c r="A1459" s="165"/>
      <c r="B1459" s="166"/>
      <c r="C1459" s="166"/>
      <c r="D1459" s="165"/>
      <c r="E1459" s="165"/>
      <c r="F1459" s="377"/>
      <c r="G1459" s="377"/>
      <c r="H1459" s="378"/>
      <c r="I1459" s="378"/>
      <c r="J1459" s="377"/>
      <c r="K1459" s="166"/>
      <c r="L1459" s="166"/>
      <c r="M1459" s="166"/>
      <c r="N1459" s="170"/>
      <c r="O1459" s="171"/>
      <c r="P1459" s="171"/>
      <c r="Q1459" s="172"/>
      <c r="R1459" s="173"/>
      <c r="S1459" s="173"/>
      <c r="T1459" s="260"/>
      <c r="U1459" s="261"/>
      <c r="V1459" s="276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</row>
    <row r="1460">
      <c r="A1460" s="263"/>
      <c r="B1460" s="166"/>
      <c r="C1460" s="166"/>
      <c r="D1460" s="165"/>
      <c r="E1460" s="165"/>
      <c r="F1460" s="377"/>
      <c r="G1460" s="377"/>
      <c r="H1460" s="378"/>
      <c r="I1460" s="378"/>
      <c r="J1460" s="377"/>
      <c r="K1460" s="166"/>
      <c r="L1460" s="166"/>
      <c r="M1460" s="166"/>
      <c r="N1460" s="170"/>
      <c r="O1460" s="171"/>
      <c r="P1460" s="171"/>
      <c r="Q1460" s="172"/>
      <c r="R1460" s="173"/>
      <c r="S1460" s="173"/>
      <c r="T1460" s="173"/>
      <c r="U1460" s="174"/>
      <c r="V1460" s="165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</row>
    <row r="1461">
      <c r="A1461" s="165"/>
      <c r="B1461" s="166"/>
      <c r="C1461" s="166"/>
      <c r="D1461" s="165"/>
      <c r="E1461" s="165"/>
      <c r="F1461" s="377"/>
      <c r="G1461" s="377"/>
      <c r="H1461" s="378"/>
      <c r="I1461" s="378"/>
      <c r="J1461" s="377"/>
      <c r="K1461" s="166"/>
      <c r="L1461" s="166"/>
      <c r="M1461" s="166"/>
      <c r="N1461" s="170"/>
      <c r="O1461" s="171"/>
      <c r="P1461" s="171"/>
      <c r="Q1461" s="172"/>
      <c r="R1461" s="173"/>
      <c r="S1461" s="173"/>
      <c r="T1461" s="173"/>
      <c r="U1461" s="174"/>
      <c r="V1461" s="165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</row>
    <row r="1462">
      <c r="A1462" s="165"/>
      <c r="B1462" s="166"/>
      <c r="C1462" s="166"/>
      <c r="D1462" s="165"/>
      <c r="E1462" s="165"/>
      <c r="F1462" s="377"/>
      <c r="G1462" s="377"/>
      <c r="H1462" s="378"/>
      <c r="I1462" s="378"/>
      <c r="J1462" s="377"/>
      <c r="K1462" s="166"/>
      <c r="L1462" s="166"/>
      <c r="M1462" s="166"/>
      <c r="N1462" s="170"/>
      <c r="O1462" s="171"/>
      <c r="P1462" s="171"/>
      <c r="Q1462" s="172"/>
      <c r="R1462" s="173"/>
      <c r="S1462" s="173"/>
      <c r="T1462" s="173"/>
      <c r="U1462" s="174"/>
      <c r="V1462" s="165"/>
      <c r="W1462" s="35"/>
      <c r="X1462" s="35"/>
      <c r="Y1462" s="35"/>
      <c r="Z1462" s="35"/>
      <c r="AA1462" s="35"/>
      <c r="AB1462" s="35"/>
      <c r="AC1462" s="35"/>
      <c r="AD1462" s="35"/>
      <c r="AE1462" s="35"/>
      <c r="AF1462" s="35"/>
      <c r="AG1462" s="35"/>
      <c r="AH1462" s="35"/>
      <c r="AI1462" s="35"/>
    </row>
    <row r="1463">
      <c r="A1463" s="263"/>
      <c r="B1463" s="264"/>
      <c r="C1463" s="265"/>
      <c r="D1463" s="266"/>
      <c r="E1463" s="263"/>
      <c r="F1463" s="267"/>
      <c r="G1463" s="267"/>
      <c r="H1463" s="268"/>
      <c r="I1463" s="268"/>
      <c r="J1463" s="267"/>
      <c r="K1463" s="265"/>
      <c r="L1463" s="265"/>
      <c r="M1463" s="269"/>
      <c r="N1463" s="270"/>
      <c r="O1463" s="271"/>
      <c r="P1463" s="271"/>
      <c r="Q1463" s="272"/>
      <c r="R1463" s="273"/>
      <c r="S1463" s="273"/>
      <c r="T1463" s="273"/>
      <c r="U1463" s="274"/>
      <c r="V1463" s="263"/>
      <c r="W1463" s="188"/>
      <c r="X1463" s="188"/>
      <c r="Y1463" s="188"/>
      <c r="Z1463" s="188"/>
      <c r="AA1463" s="188"/>
      <c r="AB1463" s="188"/>
      <c r="AC1463" s="188"/>
      <c r="AD1463" s="188"/>
      <c r="AE1463" s="188"/>
      <c r="AF1463" s="188"/>
      <c r="AG1463" s="188"/>
      <c r="AH1463" s="188"/>
      <c r="AI1463" s="188"/>
    </row>
    <row r="1464">
      <c r="A1464" s="263"/>
      <c r="B1464" s="166"/>
      <c r="C1464" s="166"/>
      <c r="D1464" s="165"/>
      <c r="E1464" s="165"/>
      <c r="F1464" s="377"/>
      <c r="G1464" s="377"/>
      <c r="H1464" s="378"/>
      <c r="I1464" s="378"/>
      <c r="J1464" s="377"/>
      <c r="K1464" s="166"/>
      <c r="L1464" s="166"/>
      <c r="M1464" s="166"/>
      <c r="N1464" s="170"/>
      <c r="O1464" s="171"/>
      <c r="P1464" s="171"/>
      <c r="Q1464" s="172"/>
      <c r="R1464" s="173"/>
      <c r="S1464" s="173"/>
      <c r="T1464" s="173"/>
      <c r="U1464" s="174"/>
      <c r="V1464" s="165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</row>
    <row r="1465">
      <c r="A1465" s="263"/>
      <c r="B1465" s="166"/>
      <c r="C1465" s="166"/>
      <c r="D1465" s="165"/>
      <c r="E1465" s="165"/>
      <c r="F1465" s="377"/>
      <c r="G1465" s="377"/>
      <c r="H1465" s="378"/>
      <c r="I1465" s="378"/>
      <c r="J1465" s="377"/>
      <c r="K1465" s="166"/>
      <c r="L1465" s="166"/>
      <c r="M1465" s="166"/>
      <c r="N1465" s="170"/>
      <c r="O1465" s="171"/>
      <c r="P1465" s="171"/>
      <c r="Q1465" s="172"/>
      <c r="R1465" s="173"/>
      <c r="S1465" s="173"/>
      <c r="T1465" s="173"/>
      <c r="U1465" s="174"/>
      <c r="V1465" s="165"/>
      <c r="W1465" s="35"/>
      <c r="X1465" s="35"/>
      <c r="Y1465" s="35"/>
      <c r="Z1465" s="35"/>
      <c r="AA1465" s="35"/>
      <c r="AB1465" s="35"/>
      <c r="AC1465" s="35"/>
      <c r="AD1465" s="35"/>
      <c r="AE1465" s="35"/>
      <c r="AF1465" s="35"/>
      <c r="AG1465" s="35"/>
      <c r="AH1465" s="35"/>
      <c r="AI1465" s="35"/>
    </row>
    <row r="1466">
      <c r="A1466" s="165"/>
      <c r="B1466" s="166"/>
      <c r="C1466" s="166"/>
      <c r="D1466" s="165"/>
      <c r="E1466" s="165"/>
      <c r="F1466" s="377"/>
      <c r="G1466" s="377"/>
      <c r="H1466" s="378"/>
      <c r="I1466" s="378"/>
      <c r="J1466" s="377"/>
      <c r="K1466" s="166"/>
      <c r="L1466" s="166"/>
      <c r="M1466" s="166"/>
      <c r="N1466" s="170"/>
      <c r="O1466" s="171"/>
      <c r="P1466" s="171"/>
      <c r="Q1466" s="172"/>
      <c r="R1466" s="173"/>
      <c r="S1466" s="173"/>
      <c r="T1466" s="173"/>
      <c r="U1466" s="174"/>
      <c r="V1466" s="165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</row>
    <row r="1467">
      <c r="A1467" s="165"/>
      <c r="B1467" s="166"/>
      <c r="C1467" s="166"/>
      <c r="D1467" s="165"/>
      <c r="E1467" s="165"/>
      <c r="F1467" s="377"/>
      <c r="G1467" s="377"/>
      <c r="H1467" s="378"/>
      <c r="I1467" s="378"/>
      <c r="J1467" s="377"/>
      <c r="K1467" s="166"/>
      <c r="L1467" s="166"/>
      <c r="M1467" s="166"/>
      <c r="N1467" s="170"/>
      <c r="O1467" s="171"/>
      <c r="P1467" s="171"/>
      <c r="Q1467" s="172"/>
      <c r="R1467" s="173"/>
      <c r="S1467" s="173"/>
      <c r="T1467" s="173"/>
      <c r="U1467" s="174"/>
      <c r="V1467" s="165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</row>
    <row r="1468">
      <c r="A1468" s="263"/>
      <c r="B1468" s="264"/>
      <c r="C1468" s="265"/>
      <c r="D1468" s="266"/>
      <c r="E1468" s="263"/>
      <c r="F1468" s="267"/>
      <c r="G1468" s="267"/>
      <c r="H1468" s="268"/>
      <c r="I1468" s="268"/>
      <c r="J1468" s="267"/>
      <c r="K1468" s="265"/>
      <c r="L1468" s="265"/>
      <c r="M1468" s="269"/>
      <c r="N1468" s="270"/>
      <c r="O1468" s="271"/>
      <c r="P1468" s="271"/>
      <c r="Q1468" s="272"/>
      <c r="R1468" s="273"/>
      <c r="S1468" s="273"/>
      <c r="T1468" s="273"/>
      <c r="U1468" s="274"/>
      <c r="V1468" s="263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</row>
    <row r="1469">
      <c r="A1469" s="263"/>
      <c r="B1469" s="264"/>
      <c r="C1469" s="265"/>
      <c r="D1469" s="266"/>
      <c r="E1469" s="263"/>
      <c r="F1469" s="267"/>
      <c r="G1469" s="267"/>
      <c r="H1469" s="268"/>
      <c r="I1469" s="268"/>
      <c r="J1469" s="377"/>
      <c r="K1469" s="265"/>
      <c r="L1469" s="265"/>
      <c r="M1469" s="269"/>
      <c r="N1469" s="270"/>
      <c r="O1469" s="271"/>
      <c r="P1469" s="271"/>
      <c r="Q1469" s="272"/>
      <c r="R1469" s="273"/>
      <c r="S1469" s="273"/>
      <c r="T1469" s="273"/>
      <c r="U1469" s="274"/>
      <c r="V1469" s="263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</row>
    <row r="1470">
      <c r="A1470" s="263"/>
      <c r="B1470" s="264"/>
      <c r="C1470" s="265"/>
      <c r="D1470" s="266"/>
      <c r="E1470" s="263"/>
      <c r="F1470" s="267"/>
      <c r="G1470" s="267"/>
      <c r="H1470" s="268"/>
      <c r="I1470" s="268"/>
      <c r="J1470" s="377"/>
      <c r="K1470" s="265"/>
      <c r="L1470" s="265"/>
      <c r="M1470" s="269"/>
      <c r="N1470" s="270"/>
      <c r="O1470" s="271"/>
      <c r="P1470" s="271"/>
      <c r="Q1470" s="272"/>
      <c r="R1470" s="273"/>
      <c r="S1470" s="273"/>
      <c r="T1470" s="273"/>
      <c r="U1470" s="274"/>
      <c r="V1470" s="263"/>
      <c r="W1470" s="188"/>
      <c r="X1470" s="188"/>
      <c r="Y1470" s="188"/>
      <c r="Z1470" s="188"/>
      <c r="AA1470" s="188"/>
      <c r="AB1470" s="188"/>
      <c r="AC1470" s="188"/>
      <c r="AD1470" s="188"/>
      <c r="AE1470" s="188"/>
      <c r="AF1470" s="188"/>
      <c r="AG1470" s="188"/>
      <c r="AH1470" s="188"/>
      <c r="AI1470" s="188"/>
    </row>
    <row r="1471">
      <c r="A1471" s="165"/>
      <c r="B1471" s="166"/>
      <c r="C1471" s="166"/>
      <c r="D1471" s="165"/>
      <c r="E1471" s="165"/>
      <c r="F1471" s="377"/>
      <c r="G1471" s="377"/>
      <c r="H1471" s="378"/>
      <c r="I1471" s="378"/>
      <c r="J1471" s="377"/>
      <c r="K1471" s="166"/>
      <c r="L1471" s="166"/>
      <c r="M1471" s="166"/>
      <c r="N1471" s="170"/>
      <c r="O1471" s="171"/>
      <c r="P1471" s="171"/>
      <c r="Q1471" s="169"/>
      <c r="R1471" s="173"/>
      <c r="S1471" s="173"/>
      <c r="T1471" s="173"/>
      <c r="U1471" s="174"/>
      <c r="V1471" s="165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</row>
    <row r="1472">
      <c r="A1472" s="263"/>
      <c r="B1472" s="264"/>
      <c r="C1472" s="265"/>
      <c r="D1472" s="266"/>
      <c r="E1472" s="263"/>
      <c r="F1472" s="267"/>
      <c r="G1472" s="267"/>
      <c r="H1472" s="268"/>
      <c r="I1472" s="268"/>
      <c r="J1472" s="377"/>
      <c r="K1472" s="265"/>
      <c r="L1472" s="265"/>
      <c r="M1472" s="269"/>
      <c r="N1472" s="270"/>
      <c r="O1472" s="271"/>
      <c r="P1472" s="271"/>
      <c r="Q1472" s="272"/>
      <c r="R1472" s="273"/>
      <c r="S1472" s="273"/>
      <c r="T1472" s="273"/>
      <c r="U1472" s="274"/>
      <c r="V1472" s="263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</row>
    <row r="1473">
      <c r="A1473" s="263"/>
      <c r="B1473" s="264"/>
      <c r="C1473" s="265"/>
      <c r="D1473" s="266"/>
      <c r="E1473" s="263"/>
      <c r="F1473" s="267"/>
      <c r="G1473" s="267"/>
      <c r="H1473" s="268"/>
      <c r="I1473" s="268"/>
      <c r="J1473" s="267"/>
      <c r="K1473" s="265"/>
      <c r="L1473" s="265"/>
      <c r="M1473" s="269"/>
      <c r="N1473" s="270"/>
      <c r="O1473" s="271"/>
      <c r="P1473" s="271"/>
      <c r="Q1473" s="272"/>
      <c r="R1473" s="273"/>
      <c r="S1473" s="273"/>
      <c r="T1473" s="273"/>
      <c r="U1473" s="274"/>
      <c r="V1473" s="263"/>
      <c r="W1473" s="35"/>
      <c r="X1473" s="35"/>
      <c r="Y1473" s="35"/>
      <c r="Z1473" s="35"/>
      <c r="AA1473" s="35"/>
      <c r="AB1473" s="35"/>
      <c r="AC1473" s="35"/>
      <c r="AD1473" s="35"/>
      <c r="AE1473" s="35"/>
      <c r="AF1473" s="35"/>
      <c r="AG1473" s="35"/>
      <c r="AH1473" s="35"/>
      <c r="AI1473" s="35"/>
    </row>
    <row r="1474">
      <c r="A1474" s="263"/>
      <c r="B1474" s="264"/>
      <c r="C1474" s="265"/>
      <c r="D1474" s="266"/>
      <c r="E1474" s="263"/>
      <c r="F1474" s="267"/>
      <c r="G1474" s="267"/>
      <c r="H1474" s="268"/>
      <c r="I1474" s="268"/>
      <c r="J1474" s="267"/>
      <c r="K1474" s="265"/>
      <c r="L1474" s="265"/>
      <c r="M1474" s="269"/>
      <c r="N1474" s="283"/>
      <c r="O1474" s="271"/>
      <c r="P1474" s="271"/>
      <c r="Q1474" s="283"/>
      <c r="R1474" s="273"/>
      <c r="S1474" s="273"/>
      <c r="T1474" s="273"/>
      <c r="U1474" s="274"/>
      <c r="V1474" s="263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</row>
    <row r="1475">
      <c r="A1475" s="263"/>
      <c r="B1475" s="264"/>
      <c r="C1475" s="265"/>
      <c r="D1475" s="266"/>
      <c r="E1475" s="263"/>
      <c r="F1475" s="267"/>
      <c r="G1475" s="267"/>
      <c r="H1475" s="268"/>
      <c r="I1475" s="268"/>
      <c r="J1475" s="267"/>
      <c r="K1475" s="265"/>
      <c r="L1475" s="265"/>
      <c r="M1475" s="269"/>
      <c r="N1475" s="270"/>
      <c r="O1475" s="271"/>
      <c r="P1475" s="271"/>
      <c r="Q1475" s="272"/>
      <c r="R1475" s="273"/>
      <c r="S1475" s="273"/>
      <c r="T1475" s="273"/>
      <c r="U1475" s="274"/>
      <c r="V1475" s="263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</row>
    <row r="1476">
      <c r="A1476" s="263"/>
      <c r="B1476" s="264"/>
      <c r="C1476" s="265"/>
      <c r="D1476" s="266"/>
      <c r="E1476" s="263"/>
      <c r="F1476" s="267"/>
      <c r="G1476" s="267"/>
      <c r="H1476" s="268"/>
      <c r="I1476" s="268"/>
      <c r="J1476" s="377"/>
      <c r="K1476" s="265"/>
      <c r="L1476" s="265"/>
      <c r="M1476" s="269"/>
      <c r="N1476" s="270"/>
      <c r="O1476" s="271"/>
      <c r="P1476" s="271"/>
      <c r="Q1476" s="272"/>
      <c r="R1476" s="273"/>
      <c r="S1476" s="273"/>
      <c r="T1476" s="273"/>
      <c r="U1476" s="274"/>
      <c r="V1476" s="263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</row>
    <row r="1477">
      <c r="A1477" s="263"/>
      <c r="B1477" s="264"/>
      <c r="C1477" s="265"/>
      <c r="D1477" s="266"/>
      <c r="E1477" s="263"/>
      <c r="F1477" s="267"/>
      <c r="G1477" s="267"/>
      <c r="H1477" s="268"/>
      <c r="I1477" s="268"/>
      <c r="J1477" s="267"/>
      <c r="K1477" s="265"/>
      <c r="L1477" s="265"/>
      <c r="M1477" s="269"/>
      <c r="N1477" s="270"/>
      <c r="O1477" s="271"/>
      <c r="P1477" s="271"/>
      <c r="Q1477" s="272"/>
      <c r="R1477" s="273"/>
      <c r="S1477" s="273"/>
      <c r="T1477" s="273"/>
      <c r="U1477" s="274"/>
      <c r="V1477" s="263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</row>
    <row r="1478">
      <c r="A1478" s="251"/>
      <c r="B1478" s="252"/>
      <c r="C1478" s="253"/>
      <c r="D1478" s="254"/>
      <c r="E1478" s="251"/>
      <c r="F1478" s="255"/>
      <c r="G1478" s="255"/>
      <c r="H1478" s="256"/>
      <c r="I1478" s="256"/>
      <c r="J1478" s="267"/>
      <c r="K1478" s="253"/>
      <c r="L1478" s="253"/>
      <c r="M1478" s="275"/>
      <c r="N1478" s="258"/>
      <c r="O1478" s="259"/>
      <c r="P1478" s="259"/>
      <c r="Q1478" s="262"/>
      <c r="R1478" s="260"/>
      <c r="S1478" s="260"/>
      <c r="T1478" s="260"/>
      <c r="U1478" s="261"/>
      <c r="V1478" s="251"/>
      <c r="W1478" s="188"/>
      <c r="X1478" s="188"/>
      <c r="Y1478" s="188"/>
      <c r="Z1478" s="188"/>
      <c r="AA1478" s="188"/>
      <c r="AB1478" s="188"/>
      <c r="AC1478" s="188"/>
      <c r="AD1478" s="188"/>
      <c r="AE1478" s="188"/>
      <c r="AF1478" s="188"/>
      <c r="AG1478" s="188"/>
      <c r="AH1478" s="188"/>
      <c r="AI1478" s="188"/>
    </row>
    <row r="1479">
      <c r="A1479" s="263"/>
      <c r="B1479" s="264"/>
      <c r="C1479" s="265"/>
      <c r="D1479" s="266"/>
      <c r="E1479" s="263"/>
      <c r="F1479" s="267"/>
      <c r="G1479" s="267"/>
      <c r="H1479" s="268"/>
      <c r="I1479" s="268"/>
      <c r="J1479" s="267"/>
      <c r="K1479" s="265"/>
      <c r="L1479" s="265"/>
      <c r="M1479" s="264"/>
      <c r="N1479" s="270"/>
      <c r="O1479" s="271"/>
      <c r="P1479" s="271"/>
      <c r="Q1479" s="283"/>
      <c r="R1479" s="273"/>
      <c r="S1479" s="273"/>
      <c r="T1479" s="273"/>
      <c r="U1479" s="274"/>
      <c r="V1479" s="266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</row>
    <row r="1480">
      <c r="A1480" s="263"/>
      <c r="B1480" s="264"/>
      <c r="C1480" s="265"/>
      <c r="D1480" s="266"/>
      <c r="E1480" s="263"/>
      <c r="F1480" s="267"/>
      <c r="G1480" s="267"/>
      <c r="H1480" s="268"/>
      <c r="I1480" s="268"/>
      <c r="J1480" s="267"/>
      <c r="K1480" s="265"/>
      <c r="L1480" s="265"/>
      <c r="M1480" s="264"/>
      <c r="N1480" s="270"/>
      <c r="O1480" s="271"/>
      <c r="P1480" s="271"/>
      <c r="Q1480" s="272"/>
      <c r="R1480" s="273"/>
      <c r="S1480" s="273"/>
      <c r="T1480" s="273"/>
      <c r="U1480" s="274"/>
      <c r="V1480" s="266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</row>
    <row r="1481">
      <c r="A1481" s="263"/>
      <c r="B1481" s="264"/>
      <c r="C1481" s="265"/>
      <c r="D1481" s="266"/>
      <c r="E1481" s="263"/>
      <c r="F1481" s="267"/>
      <c r="G1481" s="267"/>
      <c r="H1481" s="268"/>
      <c r="I1481" s="268"/>
      <c r="J1481" s="267"/>
      <c r="K1481" s="265"/>
      <c r="L1481" s="265"/>
      <c r="M1481" s="269"/>
      <c r="N1481" s="270"/>
      <c r="O1481" s="271"/>
      <c r="P1481" s="271"/>
      <c r="Q1481" s="272"/>
      <c r="R1481" s="273"/>
      <c r="S1481" s="273"/>
      <c r="T1481" s="273"/>
      <c r="U1481" s="274"/>
      <c r="V1481" s="263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</row>
    <row r="1482">
      <c r="A1482" s="263"/>
      <c r="B1482" s="264"/>
      <c r="C1482" s="265"/>
      <c r="D1482" s="266"/>
      <c r="E1482" s="263"/>
      <c r="F1482" s="267"/>
      <c r="G1482" s="267"/>
      <c r="H1482" s="268"/>
      <c r="I1482" s="268"/>
      <c r="J1482" s="267"/>
      <c r="K1482" s="265"/>
      <c r="L1482" s="265"/>
      <c r="M1482" s="264"/>
      <c r="N1482" s="270"/>
      <c r="O1482" s="271"/>
      <c r="P1482" s="271"/>
      <c r="Q1482" s="272"/>
      <c r="R1482" s="273"/>
      <c r="S1482" s="273"/>
      <c r="T1482" s="273"/>
      <c r="U1482" s="274"/>
      <c r="V1482" s="266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</row>
    <row r="1483">
      <c r="A1483" s="263"/>
      <c r="B1483" s="264"/>
      <c r="C1483" s="265"/>
      <c r="D1483" s="266"/>
      <c r="E1483" s="263"/>
      <c r="F1483" s="267"/>
      <c r="G1483" s="267"/>
      <c r="H1483" s="268"/>
      <c r="I1483" s="268"/>
      <c r="J1483" s="255"/>
      <c r="K1483" s="265"/>
      <c r="L1483" s="265"/>
      <c r="M1483" s="269"/>
      <c r="N1483" s="270"/>
      <c r="O1483" s="271"/>
      <c r="P1483" s="271"/>
      <c r="Q1483" s="272"/>
      <c r="R1483" s="273"/>
      <c r="S1483" s="273"/>
      <c r="T1483" s="273"/>
      <c r="U1483" s="274"/>
      <c r="V1483" s="263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</row>
    <row r="1484">
      <c r="A1484" s="263"/>
      <c r="B1484" s="264"/>
      <c r="C1484" s="265"/>
      <c r="D1484" s="266"/>
      <c r="E1484" s="263"/>
      <c r="F1484" s="267"/>
      <c r="G1484" s="267"/>
      <c r="H1484" s="268"/>
      <c r="I1484" s="268"/>
      <c r="J1484" s="267"/>
      <c r="K1484" s="265"/>
      <c r="L1484" s="265"/>
      <c r="M1484" s="269"/>
      <c r="N1484" s="270"/>
      <c r="O1484" s="271"/>
      <c r="P1484" s="271"/>
      <c r="Q1484" s="272"/>
      <c r="R1484" s="273"/>
      <c r="S1484" s="273"/>
      <c r="T1484" s="273"/>
      <c r="U1484" s="274"/>
      <c r="V1484" s="263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</row>
    <row r="1485">
      <c r="A1485" s="251"/>
      <c r="B1485" s="252"/>
      <c r="C1485" s="253"/>
      <c r="D1485" s="254"/>
      <c r="E1485" s="251"/>
      <c r="F1485" s="255"/>
      <c r="G1485" s="255"/>
      <c r="H1485" s="256"/>
      <c r="I1485" s="256"/>
      <c r="J1485" s="267"/>
      <c r="K1485" s="253"/>
      <c r="L1485" s="253"/>
      <c r="M1485" s="252"/>
      <c r="N1485" s="258"/>
      <c r="O1485" s="259"/>
      <c r="P1485" s="259"/>
      <c r="Q1485" s="262"/>
      <c r="R1485" s="260"/>
      <c r="S1485" s="260"/>
      <c r="T1485" s="260"/>
      <c r="U1485" s="261"/>
      <c r="V1485" s="251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</row>
    <row r="1486">
      <c r="A1486" s="263"/>
      <c r="B1486" s="264"/>
      <c r="C1486" s="265"/>
      <c r="D1486" s="266"/>
      <c r="E1486" s="263"/>
      <c r="F1486" s="267"/>
      <c r="G1486" s="267"/>
      <c r="H1486" s="268"/>
      <c r="I1486" s="268"/>
      <c r="J1486" s="267"/>
      <c r="K1486" s="265"/>
      <c r="L1486" s="265"/>
      <c r="M1486" s="269"/>
      <c r="N1486" s="270"/>
      <c r="O1486" s="271"/>
      <c r="P1486" s="271"/>
      <c r="Q1486" s="272"/>
      <c r="R1486" s="273"/>
      <c r="S1486" s="273"/>
      <c r="T1486" s="273"/>
      <c r="U1486" s="274"/>
      <c r="V1486" s="263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</row>
    <row r="1487">
      <c r="A1487" s="263"/>
      <c r="B1487" s="264"/>
      <c r="C1487" s="265"/>
      <c r="D1487" s="266"/>
      <c r="E1487" s="263"/>
      <c r="F1487" s="267"/>
      <c r="G1487" s="267"/>
      <c r="H1487" s="268"/>
      <c r="I1487" s="268"/>
      <c r="J1487" s="267"/>
      <c r="K1487" s="265"/>
      <c r="L1487" s="265"/>
      <c r="M1487" s="269"/>
      <c r="N1487" s="270"/>
      <c r="O1487" s="271"/>
      <c r="P1487" s="271"/>
      <c r="Q1487" s="272"/>
      <c r="R1487" s="273"/>
      <c r="S1487" s="273"/>
      <c r="T1487" s="273"/>
      <c r="U1487" s="274"/>
      <c r="V1487" s="266"/>
      <c r="W1487" s="188"/>
      <c r="X1487" s="188"/>
      <c r="Y1487" s="188"/>
      <c r="Z1487" s="188"/>
      <c r="AA1487" s="188"/>
      <c r="AB1487" s="188"/>
      <c r="AC1487" s="188"/>
      <c r="AD1487" s="188"/>
      <c r="AE1487" s="188"/>
      <c r="AF1487" s="188"/>
      <c r="AG1487" s="188"/>
      <c r="AH1487" s="188"/>
      <c r="AI1487" s="188"/>
    </row>
    <row r="1488">
      <c r="A1488" s="263"/>
      <c r="B1488" s="264"/>
      <c r="C1488" s="265"/>
      <c r="D1488" s="266"/>
      <c r="E1488" s="263"/>
      <c r="F1488" s="267"/>
      <c r="G1488" s="267"/>
      <c r="H1488" s="268"/>
      <c r="I1488" s="268"/>
      <c r="J1488" s="267"/>
      <c r="K1488" s="265"/>
      <c r="L1488" s="265"/>
      <c r="M1488" s="264"/>
      <c r="N1488" s="270"/>
      <c r="O1488" s="271"/>
      <c r="P1488" s="271"/>
      <c r="Q1488" s="272"/>
      <c r="R1488" s="273"/>
      <c r="S1488" s="273"/>
      <c r="T1488" s="273"/>
      <c r="U1488" s="274"/>
      <c r="V1488" s="263"/>
      <c r="W1488" s="188"/>
      <c r="X1488" s="188"/>
      <c r="Y1488" s="188"/>
      <c r="Z1488" s="188"/>
      <c r="AA1488" s="188"/>
      <c r="AB1488" s="188"/>
      <c r="AC1488" s="188"/>
      <c r="AD1488" s="188"/>
      <c r="AE1488" s="188"/>
      <c r="AF1488" s="188"/>
      <c r="AG1488" s="188"/>
      <c r="AH1488" s="188"/>
      <c r="AI1488" s="188"/>
    </row>
    <row r="1489">
      <c r="A1489" s="263"/>
      <c r="B1489" s="264"/>
      <c r="C1489" s="265"/>
      <c r="D1489" s="266"/>
      <c r="E1489" s="263"/>
      <c r="F1489" s="267"/>
      <c r="G1489" s="267"/>
      <c r="H1489" s="268"/>
      <c r="I1489" s="268"/>
      <c r="J1489" s="267"/>
      <c r="K1489" s="265"/>
      <c r="L1489" s="265"/>
      <c r="M1489" s="269"/>
      <c r="N1489" s="270"/>
      <c r="O1489" s="271"/>
      <c r="P1489" s="271"/>
      <c r="Q1489" s="272"/>
      <c r="R1489" s="273"/>
      <c r="S1489" s="273"/>
      <c r="T1489" s="273"/>
      <c r="U1489" s="274"/>
      <c r="V1489" s="263"/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</row>
    <row r="1490">
      <c r="A1490" s="263"/>
      <c r="B1490" s="264"/>
      <c r="C1490" s="265"/>
      <c r="D1490" s="266"/>
      <c r="E1490" s="263"/>
      <c r="F1490" s="267"/>
      <c r="G1490" s="267"/>
      <c r="H1490" s="268"/>
      <c r="I1490" s="268"/>
      <c r="J1490" s="255"/>
      <c r="K1490" s="265"/>
      <c r="L1490" s="265"/>
      <c r="M1490" s="269"/>
      <c r="N1490" s="270"/>
      <c r="O1490" s="271"/>
      <c r="P1490" s="271"/>
      <c r="Q1490" s="272"/>
      <c r="R1490" s="273"/>
      <c r="S1490" s="273"/>
      <c r="T1490" s="273"/>
      <c r="U1490" s="274"/>
      <c r="V1490" s="263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</row>
    <row r="1491">
      <c r="A1491" s="263"/>
      <c r="B1491" s="264"/>
      <c r="C1491" s="265"/>
      <c r="D1491" s="266"/>
      <c r="E1491" s="263"/>
      <c r="F1491" s="267"/>
      <c r="G1491" s="267"/>
      <c r="H1491" s="268"/>
      <c r="I1491" s="268"/>
      <c r="J1491" s="267"/>
      <c r="K1491" s="265"/>
      <c r="L1491" s="265"/>
      <c r="M1491" s="269"/>
      <c r="N1491" s="270"/>
      <c r="O1491" s="271"/>
      <c r="P1491" s="271"/>
      <c r="Q1491" s="272"/>
      <c r="R1491" s="273"/>
      <c r="S1491" s="273"/>
      <c r="T1491" s="273"/>
      <c r="U1491" s="274"/>
      <c r="V1491" s="263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</row>
    <row r="1492">
      <c r="A1492" s="263"/>
      <c r="B1492" s="264"/>
      <c r="C1492" s="265"/>
      <c r="D1492" s="266"/>
      <c r="E1492" s="263"/>
      <c r="F1492" s="267"/>
      <c r="G1492" s="267"/>
      <c r="H1492" s="268"/>
      <c r="I1492" s="268"/>
      <c r="J1492" s="267"/>
      <c r="K1492" s="265"/>
      <c r="L1492" s="265"/>
      <c r="M1492" s="269"/>
      <c r="N1492" s="270"/>
      <c r="O1492" s="271"/>
      <c r="P1492" s="271"/>
      <c r="Q1492" s="272"/>
      <c r="R1492" s="273"/>
      <c r="S1492" s="273"/>
      <c r="T1492" s="273"/>
      <c r="U1492" s="274"/>
      <c r="V1492" s="263"/>
      <c r="W1492" s="35"/>
      <c r="X1492" s="35"/>
      <c r="Y1492" s="35"/>
      <c r="Z1492" s="35"/>
      <c r="AA1492" s="35"/>
      <c r="AB1492" s="35"/>
      <c r="AC1492" s="35"/>
      <c r="AD1492" s="35"/>
      <c r="AE1492" s="35"/>
      <c r="AF1492" s="35"/>
      <c r="AG1492" s="35"/>
      <c r="AH1492" s="35"/>
      <c r="AI1492" s="35"/>
    </row>
    <row r="1493">
      <c r="A1493" s="263"/>
      <c r="B1493" s="264"/>
      <c r="C1493" s="265"/>
      <c r="D1493" s="266"/>
      <c r="E1493" s="263"/>
      <c r="F1493" s="267"/>
      <c r="G1493" s="267"/>
      <c r="H1493" s="268"/>
      <c r="I1493" s="268"/>
      <c r="J1493" s="267"/>
      <c r="K1493" s="265"/>
      <c r="L1493" s="265"/>
      <c r="M1493" s="264"/>
      <c r="N1493" s="270"/>
      <c r="O1493" s="271"/>
      <c r="P1493" s="271"/>
      <c r="Q1493" s="272"/>
      <c r="R1493" s="273"/>
      <c r="S1493" s="273"/>
      <c r="T1493" s="273"/>
      <c r="U1493" s="274"/>
      <c r="V1493" s="266"/>
      <c r="W1493" s="188"/>
      <c r="X1493" s="188"/>
      <c r="Y1493" s="188"/>
      <c r="Z1493" s="188"/>
      <c r="AA1493" s="188"/>
      <c r="AB1493" s="188"/>
      <c r="AC1493" s="188"/>
      <c r="AD1493" s="188"/>
      <c r="AE1493" s="188"/>
      <c r="AF1493" s="188"/>
      <c r="AG1493" s="188"/>
      <c r="AH1493" s="188"/>
      <c r="AI1493" s="188"/>
    </row>
    <row r="1494">
      <c r="A1494" s="263"/>
      <c r="B1494" s="264"/>
      <c r="C1494" s="265"/>
      <c r="D1494" s="266"/>
      <c r="E1494" s="263"/>
      <c r="F1494" s="267"/>
      <c r="G1494" s="267"/>
      <c r="H1494" s="268"/>
      <c r="I1494" s="268"/>
      <c r="J1494" s="267"/>
      <c r="K1494" s="265"/>
      <c r="L1494" s="265"/>
      <c r="M1494" s="264"/>
      <c r="N1494" s="270"/>
      <c r="O1494" s="271"/>
      <c r="P1494" s="271"/>
      <c r="Q1494" s="272"/>
      <c r="R1494" s="273"/>
      <c r="S1494" s="273"/>
      <c r="T1494" s="273"/>
      <c r="U1494" s="274"/>
      <c r="V1494" s="263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</row>
    <row r="1495">
      <c r="A1495" s="263"/>
      <c r="B1495" s="264"/>
      <c r="C1495" s="265"/>
      <c r="D1495" s="266"/>
      <c r="E1495" s="263"/>
      <c r="F1495" s="267"/>
      <c r="G1495" s="267"/>
      <c r="H1495" s="268"/>
      <c r="I1495" s="268"/>
      <c r="J1495" s="267"/>
      <c r="K1495" s="265"/>
      <c r="L1495" s="265"/>
      <c r="M1495" s="264"/>
      <c r="N1495" s="270"/>
      <c r="O1495" s="271"/>
      <c r="P1495" s="271"/>
      <c r="Q1495" s="272"/>
      <c r="R1495" s="273"/>
      <c r="S1495" s="273"/>
      <c r="T1495" s="273"/>
      <c r="U1495" s="274"/>
      <c r="V1495" s="266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</row>
    <row r="1496">
      <c r="A1496" s="263"/>
      <c r="B1496" s="264"/>
      <c r="C1496" s="265"/>
      <c r="D1496" s="266"/>
      <c r="E1496" s="263"/>
      <c r="F1496" s="267"/>
      <c r="G1496" s="267"/>
      <c r="H1496" s="268"/>
      <c r="I1496" s="268"/>
      <c r="J1496" s="267"/>
      <c r="K1496" s="265"/>
      <c r="L1496" s="265"/>
      <c r="M1496" s="264"/>
      <c r="N1496" s="270"/>
      <c r="O1496" s="271"/>
      <c r="P1496" s="271"/>
      <c r="Q1496" s="272"/>
      <c r="R1496" s="273"/>
      <c r="S1496" s="273"/>
      <c r="T1496" s="273"/>
      <c r="U1496" s="274"/>
      <c r="V1496" s="263"/>
      <c r="W1496" s="35"/>
      <c r="X1496" s="35"/>
      <c r="Y1496" s="35"/>
      <c r="Z1496" s="35"/>
      <c r="AA1496" s="35"/>
      <c r="AB1496" s="35"/>
      <c r="AC1496" s="35"/>
      <c r="AD1496" s="35"/>
      <c r="AE1496" s="35"/>
      <c r="AF1496" s="35"/>
      <c r="AG1496" s="35"/>
      <c r="AH1496" s="35"/>
      <c r="AI1496" s="35"/>
    </row>
    <row r="1497">
      <c r="A1497" s="251"/>
      <c r="B1497" s="252"/>
      <c r="C1497" s="253"/>
      <c r="D1497" s="254"/>
      <c r="E1497" s="251"/>
      <c r="F1497" s="255"/>
      <c r="G1497" s="255"/>
      <c r="H1497" s="256"/>
      <c r="I1497" s="256"/>
      <c r="J1497" s="267"/>
      <c r="K1497" s="253"/>
      <c r="L1497" s="253"/>
      <c r="M1497" s="252"/>
      <c r="N1497" s="258"/>
      <c r="O1497" s="259"/>
      <c r="P1497" s="259"/>
      <c r="Q1497" s="262"/>
      <c r="R1497" s="260"/>
      <c r="S1497" s="260"/>
      <c r="T1497" s="260"/>
      <c r="U1497" s="261"/>
      <c r="V1497" s="251"/>
      <c r="W1497" s="35"/>
      <c r="X1497" s="35"/>
      <c r="Y1497" s="35"/>
      <c r="Z1497" s="35"/>
      <c r="AA1497" s="35"/>
      <c r="AB1497" s="35"/>
      <c r="AC1497" s="35"/>
      <c r="AD1497" s="35"/>
      <c r="AE1497" s="35"/>
      <c r="AF1497" s="35"/>
      <c r="AG1497" s="35"/>
      <c r="AH1497" s="35"/>
      <c r="AI1497" s="35"/>
    </row>
    <row r="1498">
      <c r="A1498" s="263"/>
      <c r="B1498" s="264"/>
      <c r="C1498" s="265"/>
      <c r="D1498" s="266"/>
      <c r="E1498" s="263"/>
      <c r="F1498" s="267"/>
      <c r="G1498" s="267"/>
      <c r="H1498" s="268"/>
      <c r="I1498" s="268"/>
      <c r="J1498" s="267"/>
      <c r="K1498" s="265"/>
      <c r="L1498" s="265"/>
      <c r="M1498" s="264"/>
      <c r="N1498" s="270"/>
      <c r="O1498" s="271"/>
      <c r="P1498" s="271"/>
      <c r="Q1498" s="283"/>
      <c r="R1498" s="273"/>
      <c r="S1498" s="273"/>
      <c r="T1498" s="273"/>
      <c r="U1498" s="274"/>
      <c r="V1498" s="266"/>
      <c r="W1498" s="35"/>
      <c r="X1498" s="35"/>
      <c r="Y1498" s="35"/>
      <c r="Z1498" s="35"/>
      <c r="AA1498" s="35"/>
      <c r="AB1498" s="35"/>
      <c r="AC1498" s="35"/>
      <c r="AD1498" s="35"/>
      <c r="AE1498" s="35"/>
      <c r="AF1498" s="35"/>
      <c r="AG1498" s="35"/>
      <c r="AH1498" s="35"/>
      <c r="AI1498" s="35"/>
    </row>
    <row r="1499">
      <c r="A1499" s="263"/>
      <c r="B1499" s="264"/>
      <c r="C1499" s="265"/>
      <c r="D1499" s="266"/>
      <c r="E1499" s="263"/>
      <c r="F1499" s="267"/>
      <c r="G1499" s="267"/>
      <c r="H1499" s="268"/>
      <c r="I1499" s="268"/>
      <c r="J1499" s="267"/>
      <c r="K1499" s="265"/>
      <c r="L1499" s="265"/>
      <c r="M1499" s="269"/>
      <c r="N1499" s="270"/>
      <c r="O1499" s="271"/>
      <c r="P1499" s="271"/>
      <c r="Q1499" s="272"/>
      <c r="R1499" s="273"/>
      <c r="S1499" s="273"/>
      <c r="T1499" s="273"/>
      <c r="U1499" s="274"/>
      <c r="V1499" s="266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</row>
    <row r="1500">
      <c r="A1500" s="263"/>
      <c r="B1500" s="264"/>
      <c r="C1500" s="265"/>
      <c r="D1500" s="266"/>
      <c r="E1500" s="263"/>
      <c r="F1500" s="267"/>
      <c r="G1500" s="267"/>
      <c r="H1500" s="268"/>
      <c r="I1500" s="268"/>
      <c r="J1500" s="267"/>
      <c r="K1500" s="265"/>
      <c r="L1500" s="265"/>
      <c r="M1500" s="264"/>
      <c r="N1500" s="270"/>
      <c r="O1500" s="271"/>
      <c r="P1500" s="271"/>
      <c r="Q1500" s="272"/>
      <c r="R1500" s="273"/>
      <c r="S1500" s="273"/>
      <c r="T1500" s="273"/>
      <c r="U1500" s="274"/>
      <c r="V1500" s="266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</row>
    <row r="1501">
      <c r="A1501" s="165"/>
      <c r="B1501" s="166"/>
      <c r="C1501" s="166"/>
      <c r="D1501" s="165"/>
      <c r="E1501" s="165"/>
      <c r="F1501" s="377"/>
      <c r="G1501" s="377"/>
      <c r="H1501" s="378"/>
      <c r="I1501" s="378"/>
      <c r="J1501" s="267"/>
      <c r="K1501" s="166"/>
      <c r="L1501" s="166"/>
      <c r="M1501" s="166"/>
      <c r="N1501" s="170"/>
      <c r="O1501" s="171"/>
      <c r="P1501" s="171"/>
      <c r="Q1501" s="172"/>
      <c r="R1501" s="173"/>
      <c r="S1501" s="173"/>
      <c r="T1501" s="173"/>
      <c r="U1501" s="201"/>
      <c r="V1501" s="165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</row>
    <row r="1502">
      <c r="A1502" s="165"/>
      <c r="B1502" s="166"/>
      <c r="C1502" s="166"/>
      <c r="D1502" s="165"/>
      <c r="E1502" s="165"/>
      <c r="F1502" s="377"/>
      <c r="G1502" s="377"/>
      <c r="H1502" s="378"/>
      <c r="I1502" s="378"/>
      <c r="J1502" s="255"/>
      <c r="K1502" s="166"/>
      <c r="L1502" s="166"/>
      <c r="M1502" s="205"/>
      <c r="N1502" s="170"/>
      <c r="O1502" s="171"/>
      <c r="P1502" s="171"/>
      <c r="Q1502" s="172"/>
      <c r="R1502" s="173"/>
      <c r="S1502" s="173"/>
      <c r="T1502" s="173"/>
      <c r="U1502" s="201"/>
      <c r="V1502" s="165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</row>
    <row r="1503">
      <c r="A1503" s="165"/>
      <c r="B1503" s="166"/>
      <c r="C1503" s="166"/>
      <c r="D1503" s="165"/>
      <c r="E1503" s="165"/>
      <c r="F1503" s="377"/>
      <c r="G1503" s="377"/>
      <c r="H1503" s="378"/>
      <c r="I1503" s="378"/>
      <c r="J1503" s="267"/>
      <c r="K1503" s="166"/>
      <c r="L1503" s="166"/>
      <c r="M1503" s="166"/>
      <c r="N1503" s="170"/>
      <c r="O1503" s="171"/>
      <c r="P1503" s="171"/>
      <c r="Q1503" s="172"/>
      <c r="R1503" s="173"/>
      <c r="S1503" s="173"/>
      <c r="T1503" s="173"/>
      <c r="U1503" s="201"/>
      <c r="V1503" s="165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</row>
    <row r="1504">
      <c r="A1504" s="263"/>
      <c r="B1504" s="264"/>
      <c r="C1504" s="265"/>
      <c r="D1504" s="266"/>
      <c r="E1504" s="263"/>
      <c r="F1504" s="267"/>
      <c r="G1504" s="267"/>
      <c r="H1504" s="268"/>
      <c r="I1504" s="268"/>
      <c r="J1504" s="267"/>
      <c r="K1504" s="265"/>
      <c r="L1504" s="265"/>
      <c r="M1504" s="264"/>
      <c r="N1504" s="270"/>
      <c r="O1504" s="271"/>
      <c r="P1504" s="271"/>
      <c r="Q1504" s="272"/>
      <c r="R1504" s="273"/>
      <c r="S1504" s="273"/>
      <c r="T1504" s="273"/>
      <c r="U1504" s="274"/>
      <c r="V1504" s="266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</row>
    <row r="1505">
      <c r="A1505" s="263"/>
      <c r="B1505" s="264"/>
      <c r="C1505" s="265"/>
      <c r="D1505" s="266"/>
      <c r="E1505" s="263"/>
      <c r="F1505" s="267"/>
      <c r="G1505" s="267"/>
      <c r="H1505" s="268"/>
      <c r="I1505" s="268"/>
      <c r="J1505" s="267"/>
      <c r="K1505" s="265"/>
      <c r="L1505" s="265"/>
      <c r="M1505" s="264"/>
      <c r="N1505" s="270"/>
      <c r="O1505" s="271"/>
      <c r="P1505" s="271"/>
      <c r="Q1505" s="272"/>
      <c r="R1505" s="273"/>
      <c r="S1505" s="273"/>
      <c r="T1505" s="273"/>
      <c r="U1505" s="274"/>
      <c r="V1505" s="266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</row>
    <row r="1506">
      <c r="A1506" s="165"/>
      <c r="B1506" s="166"/>
      <c r="C1506" s="166"/>
      <c r="D1506" s="165"/>
      <c r="E1506" s="165"/>
      <c r="F1506" s="377"/>
      <c r="G1506" s="377"/>
      <c r="H1506" s="378"/>
      <c r="I1506" s="378"/>
      <c r="J1506" s="377"/>
      <c r="K1506" s="166"/>
      <c r="L1506" s="166"/>
      <c r="M1506" s="205"/>
      <c r="N1506" s="170"/>
      <c r="O1506" s="171"/>
      <c r="P1506" s="171"/>
      <c r="Q1506" s="172"/>
      <c r="R1506" s="173"/>
      <c r="S1506" s="173"/>
      <c r="T1506" s="260"/>
      <c r="U1506" s="261"/>
      <c r="V1506" s="251"/>
      <c r="W1506" s="35"/>
      <c r="X1506" s="35"/>
      <c r="Y1506" s="35"/>
      <c r="Z1506" s="35"/>
      <c r="AA1506" s="35"/>
      <c r="AB1506" s="35"/>
      <c r="AC1506" s="35"/>
      <c r="AD1506" s="35"/>
      <c r="AE1506" s="35"/>
      <c r="AF1506" s="35"/>
      <c r="AG1506" s="35"/>
      <c r="AH1506" s="35"/>
      <c r="AI1506" s="35"/>
    </row>
    <row r="1507">
      <c r="A1507" s="165"/>
      <c r="B1507" s="166"/>
      <c r="C1507" s="166"/>
      <c r="D1507" s="165"/>
      <c r="E1507" s="165"/>
      <c r="F1507" s="377"/>
      <c r="G1507" s="377"/>
      <c r="H1507" s="378"/>
      <c r="I1507" s="378"/>
      <c r="J1507" s="377"/>
      <c r="K1507" s="166"/>
      <c r="L1507" s="166"/>
      <c r="M1507" s="205"/>
      <c r="N1507" s="170"/>
      <c r="O1507" s="171"/>
      <c r="P1507" s="171"/>
      <c r="Q1507" s="172"/>
      <c r="R1507" s="173"/>
      <c r="S1507" s="173"/>
      <c r="T1507" s="260"/>
      <c r="U1507" s="261"/>
      <c r="V1507" s="251"/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</row>
    <row r="1508">
      <c r="A1508" s="165"/>
      <c r="B1508" s="166"/>
      <c r="C1508" s="166"/>
      <c r="D1508" s="165"/>
      <c r="E1508" s="165"/>
      <c r="F1508" s="377"/>
      <c r="G1508" s="377"/>
      <c r="H1508" s="378"/>
      <c r="I1508" s="378"/>
      <c r="J1508" s="377"/>
      <c r="K1508" s="166"/>
      <c r="L1508" s="166"/>
      <c r="M1508" s="205"/>
      <c r="N1508" s="170"/>
      <c r="O1508" s="171"/>
      <c r="P1508" s="171"/>
      <c r="Q1508" s="172"/>
      <c r="R1508" s="173"/>
      <c r="S1508" s="173"/>
      <c r="T1508" s="173"/>
      <c r="U1508" s="201"/>
      <c r="V1508" s="165"/>
      <c r="W1508" s="35"/>
      <c r="X1508" s="35"/>
      <c r="Y1508" s="35"/>
      <c r="Z1508" s="35"/>
      <c r="AA1508" s="35"/>
      <c r="AB1508" s="35"/>
      <c r="AC1508" s="35"/>
      <c r="AD1508" s="35"/>
      <c r="AE1508" s="35"/>
      <c r="AF1508" s="35"/>
      <c r="AG1508" s="35"/>
      <c r="AH1508" s="35"/>
      <c r="AI1508" s="35"/>
    </row>
    <row r="1509">
      <c r="A1509" s="165"/>
      <c r="B1509" s="166"/>
      <c r="C1509" s="166"/>
      <c r="D1509" s="165"/>
      <c r="E1509" s="165"/>
      <c r="F1509" s="377"/>
      <c r="G1509" s="377"/>
      <c r="H1509" s="378"/>
      <c r="I1509" s="378"/>
      <c r="J1509" s="267"/>
      <c r="K1509" s="166"/>
      <c r="L1509" s="166"/>
      <c r="M1509" s="166"/>
      <c r="N1509" s="170"/>
      <c r="O1509" s="171"/>
      <c r="P1509" s="171"/>
      <c r="Q1509" s="172"/>
      <c r="R1509" s="173"/>
      <c r="S1509" s="173"/>
      <c r="T1509" s="173"/>
      <c r="U1509" s="201"/>
      <c r="V1509" s="165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</row>
    <row r="1510">
      <c r="A1510" s="165"/>
      <c r="B1510" s="166"/>
      <c r="C1510" s="166"/>
      <c r="D1510" s="165"/>
      <c r="E1510" s="165"/>
      <c r="F1510" s="377"/>
      <c r="G1510" s="377"/>
      <c r="H1510" s="378"/>
      <c r="I1510" s="378"/>
      <c r="J1510" s="267"/>
      <c r="K1510" s="166"/>
      <c r="L1510" s="166"/>
      <c r="M1510" s="205"/>
      <c r="N1510" s="170"/>
      <c r="O1510" s="171"/>
      <c r="P1510" s="171"/>
      <c r="Q1510" s="172"/>
      <c r="R1510" s="173"/>
      <c r="S1510" s="173"/>
      <c r="T1510" s="173"/>
      <c r="U1510" s="201"/>
      <c r="V1510" s="165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</row>
    <row r="1511">
      <c r="A1511" s="165"/>
      <c r="B1511" s="166"/>
      <c r="C1511" s="166"/>
      <c r="D1511" s="165"/>
      <c r="E1511" s="165"/>
      <c r="F1511" s="377"/>
      <c r="G1511" s="377"/>
      <c r="H1511" s="378"/>
      <c r="I1511" s="378"/>
      <c r="J1511" s="377"/>
      <c r="K1511" s="166"/>
      <c r="L1511" s="166"/>
      <c r="M1511" s="166"/>
      <c r="N1511" s="170"/>
      <c r="O1511" s="171"/>
      <c r="P1511" s="171"/>
      <c r="Q1511" s="172"/>
      <c r="R1511" s="173"/>
      <c r="S1511" s="173"/>
      <c r="T1511" s="173"/>
      <c r="U1511" s="201"/>
      <c r="V1511" s="165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</row>
    <row r="1512">
      <c r="A1512" s="165"/>
      <c r="B1512" s="166"/>
      <c r="C1512" s="166"/>
      <c r="D1512" s="165"/>
      <c r="E1512" s="165"/>
      <c r="F1512" s="377"/>
      <c r="G1512" s="377"/>
      <c r="H1512" s="378"/>
      <c r="I1512" s="378"/>
      <c r="J1512" s="377"/>
      <c r="K1512" s="166"/>
      <c r="L1512" s="166"/>
      <c r="M1512" s="205"/>
      <c r="N1512" s="170"/>
      <c r="O1512" s="171"/>
      <c r="P1512" s="171"/>
      <c r="Q1512" s="172"/>
      <c r="R1512" s="173"/>
      <c r="S1512" s="173"/>
      <c r="T1512" s="173"/>
      <c r="U1512" s="201"/>
      <c r="V1512" s="165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</row>
    <row r="1513">
      <c r="A1513" s="165"/>
      <c r="B1513" s="166"/>
      <c r="C1513" s="166"/>
      <c r="D1513" s="165"/>
      <c r="E1513" s="165"/>
      <c r="F1513" s="377"/>
      <c r="G1513" s="377"/>
      <c r="H1513" s="378"/>
      <c r="I1513" s="378"/>
      <c r="J1513" s="377"/>
      <c r="K1513" s="166"/>
      <c r="L1513" s="166"/>
      <c r="M1513" s="166"/>
      <c r="N1513" s="170"/>
      <c r="O1513" s="171"/>
      <c r="P1513" s="171"/>
      <c r="Q1513" s="172"/>
      <c r="R1513" s="173"/>
      <c r="S1513" s="173"/>
      <c r="T1513" s="173"/>
      <c r="U1513" s="201"/>
      <c r="V1513" s="165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</row>
    <row r="1514">
      <c r="A1514" s="165"/>
      <c r="B1514" s="166"/>
      <c r="C1514" s="166"/>
      <c r="D1514" s="165"/>
      <c r="E1514" s="165"/>
      <c r="F1514" s="377"/>
      <c r="G1514" s="377"/>
      <c r="H1514" s="378"/>
      <c r="I1514" s="378"/>
      <c r="J1514" s="377"/>
      <c r="K1514" s="166"/>
      <c r="L1514" s="166"/>
      <c r="M1514" s="166"/>
      <c r="N1514" s="170"/>
      <c r="O1514" s="171"/>
      <c r="P1514" s="171"/>
      <c r="Q1514" s="172"/>
      <c r="R1514" s="173"/>
      <c r="S1514" s="173"/>
      <c r="T1514" s="173"/>
      <c r="U1514" s="201"/>
      <c r="V1514" s="165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</row>
    <row r="1515">
      <c r="A1515" s="165"/>
      <c r="B1515" s="166"/>
      <c r="C1515" s="166"/>
      <c r="D1515" s="165"/>
      <c r="E1515" s="165"/>
      <c r="F1515" s="377"/>
      <c r="G1515" s="377"/>
      <c r="H1515" s="378"/>
      <c r="I1515" s="378"/>
      <c r="J1515" s="377"/>
      <c r="K1515" s="166"/>
      <c r="L1515" s="166"/>
      <c r="M1515" s="166"/>
      <c r="N1515" s="170"/>
      <c r="O1515" s="171"/>
      <c r="P1515" s="171"/>
      <c r="Q1515" s="172"/>
      <c r="R1515" s="173"/>
      <c r="S1515" s="173"/>
      <c r="T1515" s="173"/>
      <c r="U1515" s="201"/>
      <c r="V1515" s="165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</row>
    <row r="1516">
      <c r="A1516" s="165"/>
      <c r="B1516" s="166"/>
      <c r="C1516" s="166"/>
      <c r="D1516" s="165"/>
      <c r="E1516" s="165"/>
      <c r="F1516" s="377"/>
      <c r="G1516" s="377"/>
      <c r="H1516" s="378"/>
      <c r="I1516" s="378"/>
      <c r="J1516" s="377"/>
      <c r="K1516" s="166"/>
      <c r="L1516" s="166"/>
      <c r="M1516" s="166"/>
      <c r="N1516" s="170"/>
      <c r="O1516" s="171"/>
      <c r="P1516" s="171"/>
      <c r="Q1516" s="172"/>
      <c r="R1516" s="173"/>
      <c r="S1516" s="173"/>
      <c r="T1516" s="173"/>
      <c r="U1516" s="201"/>
      <c r="V1516" s="165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</row>
    <row r="1517">
      <c r="A1517" s="165"/>
      <c r="B1517" s="166"/>
      <c r="C1517" s="166"/>
      <c r="D1517" s="165"/>
      <c r="E1517" s="165"/>
      <c r="F1517" s="377"/>
      <c r="G1517" s="377"/>
      <c r="H1517" s="378"/>
      <c r="I1517" s="378"/>
      <c r="J1517" s="377"/>
      <c r="K1517" s="166"/>
      <c r="L1517" s="166"/>
      <c r="M1517" s="205"/>
      <c r="N1517" s="170"/>
      <c r="O1517" s="171"/>
      <c r="P1517" s="171"/>
      <c r="Q1517" s="172"/>
      <c r="R1517" s="173"/>
      <c r="S1517" s="173"/>
      <c r="T1517" s="173"/>
      <c r="U1517" s="201"/>
      <c r="V1517" s="165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</row>
    <row r="1518">
      <c r="A1518" s="165"/>
      <c r="B1518" s="166"/>
      <c r="C1518" s="166"/>
      <c r="D1518" s="165"/>
      <c r="E1518" s="165"/>
      <c r="F1518" s="377"/>
      <c r="G1518" s="377"/>
      <c r="H1518" s="378"/>
      <c r="I1518" s="378"/>
      <c r="J1518" s="377"/>
      <c r="K1518" s="166"/>
      <c r="L1518" s="166"/>
      <c r="M1518" s="205"/>
      <c r="N1518" s="170"/>
      <c r="O1518" s="171"/>
      <c r="P1518" s="171"/>
      <c r="Q1518" s="172"/>
      <c r="R1518" s="173"/>
      <c r="S1518" s="173"/>
      <c r="T1518" s="173"/>
      <c r="U1518" s="201"/>
      <c r="V1518" s="165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</row>
    <row r="1519">
      <c r="A1519" s="165"/>
      <c r="B1519" s="166"/>
      <c r="C1519" s="166"/>
      <c r="D1519" s="165"/>
      <c r="E1519" s="165"/>
      <c r="F1519" s="377"/>
      <c r="G1519" s="377"/>
      <c r="H1519" s="378"/>
      <c r="I1519" s="378"/>
      <c r="J1519" s="377"/>
      <c r="K1519" s="166"/>
      <c r="L1519" s="166"/>
      <c r="M1519" s="205"/>
      <c r="N1519" s="170"/>
      <c r="O1519" s="171"/>
      <c r="P1519" s="171"/>
      <c r="Q1519" s="172"/>
      <c r="R1519" s="173"/>
      <c r="S1519" s="173"/>
      <c r="T1519" s="173"/>
      <c r="U1519" s="201"/>
      <c r="V1519" s="210"/>
      <c r="W1519" s="428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</row>
    <row r="1520">
      <c r="A1520" s="165"/>
      <c r="B1520" s="166"/>
      <c r="C1520" s="166"/>
      <c r="D1520" s="165"/>
      <c r="E1520" s="165"/>
      <c r="F1520" s="377"/>
      <c r="G1520" s="377"/>
      <c r="H1520" s="378"/>
      <c r="I1520" s="378"/>
      <c r="J1520" s="377"/>
      <c r="K1520" s="166"/>
      <c r="L1520" s="166"/>
      <c r="M1520" s="166"/>
      <c r="N1520" s="170"/>
      <c r="O1520" s="171"/>
      <c r="P1520" s="171"/>
      <c r="Q1520" s="172"/>
      <c r="R1520" s="173"/>
      <c r="S1520" s="173"/>
      <c r="T1520" s="173"/>
      <c r="U1520" s="201"/>
      <c r="V1520" s="165"/>
      <c r="W1520" s="36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</row>
    <row r="1521">
      <c r="A1521" s="165"/>
      <c r="B1521" s="166"/>
      <c r="C1521" s="166"/>
      <c r="D1521" s="165"/>
      <c r="E1521" s="165"/>
      <c r="F1521" s="377"/>
      <c r="G1521" s="377"/>
      <c r="H1521" s="378"/>
      <c r="I1521" s="378"/>
      <c r="J1521" s="377"/>
      <c r="K1521" s="166"/>
      <c r="L1521" s="166"/>
      <c r="M1521" s="205"/>
      <c r="N1521" s="170"/>
      <c r="O1521" s="171"/>
      <c r="P1521" s="171"/>
      <c r="Q1521" s="172"/>
      <c r="R1521" s="173"/>
      <c r="S1521" s="173"/>
      <c r="T1521" s="173"/>
      <c r="U1521" s="201"/>
      <c r="V1521" s="165"/>
      <c r="W1521" s="35"/>
      <c r="X1521" s="35"/>
      <c r="Y1521" s="35"/>
      <c r="Z1521" s="35"/>
      <c r="AA1521" s="35"/>
      <c r="AB1521" s="35"/>
      <c r="AC1521" s="35"/>
      <c r="AD1521" s="35"/>
      <c r="AE1521" s="35"/>
      <c r="AF1521" s="35"/>
      <c r="AG1521" s="35"/>
      <c r="AH1521" s="35"/>
      <c r="AI1521" s="35"/>
    </row>
    <row r="1522">
      <c r="A1522" s="165"/>
      <c r="B1522" s="166"/>
      <c r="C1522" s="166"/>
      <c r="D1522" s="165"/>
      <c r="E1522" s="165"/>
      <c r="F1522" s="377"/>
      <c r="G1522" s="377"/>
      <c r="H1522" s="378"/>
      <c r="I1522" s="378"/>
      <c r="J1522" s="377"/>
      <c r="K1522" s="166"/>
      <c r="L1522" s="166"/>
      <c r="M1522" s="166"/>
      <c r="N1522" s="170"/>
      <c r="O1522" s="171"/>
      <c r="P1522" s="171"/>
      <c r="Q1522" s="172"/>
      <c r="R1522" s="173"/>
      <c r="S1522" s="173"/>
      <c r="T1522" s="173"/>
      <c r="U1522" s="201"/>
      <c r="V1522" s="210"/>
      <c r="W1522" s="35"/>
      <c r="X1522" s="35"/>
      <c r="Y1522" s="35"/>
      <c r="Z1522" s="35"/>
      <c r="AA1522" s="35"/>
      <c r="AB1522" s="35"/>
      <c r="AC1522" s="35"/>
      <c r="AD1522" s="35"/>
      <c r="AE1522" s="35"/>
      <c r="AF1522" s="35"/>
      <c r="AG1522" s="35"/>
      <c r="AH1522" s="35"/>
      <c r="AI1522" s="35"/>
    </row>
    <row r="1523">
      <c r="A1523" s="165"/>
      <c r="B1523" s="166"/>
      <c r="C1523" s="166"/>
      <c r="D1523" s="165"/>
      <c r="E1523" s="165"/>
      <c r="F1523" s="377"/>
      <c r="G1523" s="377"/>
      <c r="H1523" s="378"/>
      <c r="I1523" s="378"/>
      <c r="J1523" s="377"/>
      <c r="K1523" s="166"/>
      <c r="L1523" s="166"/>
      <c r="M1523" s="166"/>
      <c r="N1523" s="170"/>
      <c r="O1523" s="171"/>
      <c r="P1523" s="171"/>
      <c r="Q1523" s="172"/>
      <c r="R1523" s="173"/>
      <c r="S1523" s="173"/>
      <c r="T1523" s="173"/>
      <c r="U1523" s="201"/>
      <c r="V1523" s="165"/>
      <c r="W1523" s="35"/>
      <c r="X1523" s="35"/>
      <c r="Y1523" s="35"/>
      <c r="Z1523" s="35"/>
      <c r="AA1523" s="35"/>
      <c r="AB1523" s="35"/>
      <c r="AC1523" s="35"/>
      <c r="AD1523" s="35"/>
      <c r="AE1523" s="35"/>
      <c r="AF1523" s="35"/>
      <c r="AG1523" s="35"/>
      <c r="AH1523" s="35"/>
      <c r="AI1523" s="35"/>
    </row>
    <row r="1524">
      <c r="A1524" s="165"/>
      <c r="B1524" s="166"/>
      <c r="C1524" s="166"/>
      <c r="D1524" s="165"/>
      <c r="E1524" s="165"/>
      <c r="F1524" s="377"/>
      <c r="G1524" s="377"/>
      <c r="H1524" s="378"/>
      <c r="I1524" s="378"/>
      <c r="J1524" s="377"/>
      <c r="K1524" s="166"/>
      <c r="L1524" s="166"/>
      <c r="M1524" s="166"/>
      <c r="N1524" s="170"/>
      <c r="O1524" s="171"/>
      <c r="P1524" s="171"/>
      <c r="Q1524" s="172"/>
      <c r="R1524" s="173"/>
      <c r="S1524" s="173"/>
      <c r="T1524" s="173"/>
      <c r="U1524" s="201"/>
      <c r="V1524" s="165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</row>
    <row r="1525">
      <c r="A1525" s="165"/>
      <c r="B1525" s="166"/>
      <c r="C1525" s="166"/>
      <c r="D1525" s="165"/>
      <c r="E1525" s="165"/>
      <c r="F1525" s="377"/>
      <c r="G1525" s="377"/>
      <c r="H1525" s="378"/>
      <c r="I1525" s="378"/>
      <c r="J1525" s="377"/>
      <c r="K1525" s="166"/>
      <c r="L1525" s="166"/>
      <c r="M1525" s="166"/>
      <c r="N1525" s="170"/>
      <c r="O1525" s="171"/>
      <c r="P1525" s="171"/>
      <c r="Q1525" s="172"/>
      <c r="R1525" s="173"/>
      <c r="S1525" s="173"/>
      <c r="T1525" s="173"/>
      <c r="U1525" s="201"/>
      <c r="V1525" s="165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</row>
    <row r="1526">
      <c r="A1526" s="165"/>
      <c r="B1526" s="166"/>
      <c r="C1526" s="166"/>
      <c r="D1526" s="165"/>
      <c r="E1526" s="165"/>
      <c r="F1526" s="377"/>
      <c r="G1526" s="377"/>
      <c r="H1526" s="378"/>
      <c r="I1526" s="378"/>
      <c r="J1526" s="377"/>
      <c r="K1526" s="166"/>
      <c r="L1526" s="166"/>
      <c r="M1526" s="166"/>
      <c r="N1526" s="170"/>
      <c r="O1526" s="171"/>
      <c r="P1526" s="171"/>
      <c r="Q1526" s="172"/>
      <c r="R1526" s="173"/>
      <c r="S1526" s="173"/>
      <c r="T1526" s="173"/>
      <c r="U1526" s="201"/>
      <c r="V1526" s="165"/>
      <c r="W1526" s="36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</row>
    <row r="1527">
      <c r="A1527" s="165"/>
      <c r="B1527" s="166"/>
      <c r="C1527" s="166"/>
      <c r="D1527" s="165"/>
      <c r="E1527" s="165"/>
      <c r="F1527" s="377"/>
      <c r="G1527" s="377"/>
      <c r="H1527" s="378"/>
      <c r="I1527" s="378"/>
      <c r="J1527" s="377"/>
      <c r="K1527" s="166"/>
      <c r="L1527" s="166"/>
      <c r="M1527" s="166"/>
      <c r="N1527" s="169"/>
      <c r="O1527" s="171"/>
      <c r="P1527" s="171"/>
      <c r="Q1527" s="169"/>
      <c r="R1527" s="173"/>
      <c r="S1527" s="173"/>
      <c r="T1527" s="173"/>
      <c r="U1527" s="201"/>
      <c r="V1527" s="165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</row>
    <row r="1528">
      <c r="A1528" s="165"/>
      <c r="B1528" s="166"/>
      <c r="C1528" s="166"/>
      <c r="D1528" s="165"/>
      <c r="E1528" s="165"/>
      <c r="F1528" s="377"/>
      <c r="G1528" s="377"/>
      <c r="H1528" s="378"/>
      <c r="I1528" s="378"/>
      <c r="J1528" s="377"/>
      <c r="K1528" s="166"/>
      <c r="L1528" s="166"/>
      <c r="M1528" s="166"/>
      <c r="N1528" s="170"/>
      <c r="O1528" s="171"/>
      <c r="P1528" s="171"/>
      <c r="Q1528" s="172"/>
      <c r="R1528" s="173"/>
      <c r="S1528" s="173"/>
      <c r="T1528" s="173"/>
      <c r="U1528" s="201"/>
      <c r="V1528" s="165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</row>
    <row r="1529">
      <c r="A1529" s="165"/>
      <c r="B1529" s="166"/>
      <c r="C1529" s="166"/>
      <c r="D1529" s="165"/>
      <c r="E1529" s="165"/>
      <c r="F1529" s="377"/>
      <c r="G1529" s="377"/>
      <c r="H1529" s="378"/>
      <c r="I1529" s="378"/>
      <c r="J1529" s="377"/>
      <c r="K1529" s="166"/>
      <c r="L1529" s="166"/>
      <c r="M1529" s="166"/>
      <c r="N1529" s="170"/>
      <c r="O1529" s="171"/>
      <c r="P1529" s="171"/>
      <c r="Q1529" s="172"/>
      <c r="R1529" s="173"/>
      <c r="S1529" s="173"/>
      <c r="T1529" s="173"/>
      <c r="U1529" s="201"/>
      <c r="V1529" s="165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</row>
    <row r="1530">
      <c r="A1530" s="165"/>
      <c r="B1530" s="166"/>
      <c r="C1530" s="166"/>
      <c r="D1530" s="165"/>
      <c r="E1530" s="165"/>
      <c r="F1530" s="377"/>
      <c r="G1530" s="377"/>
      <c r="H1530" s="378"/>
      <c r="I1530" s="378"/>
      <c r="J1530" s="377"/>
      <c r="K1530" s="166"/>
      <c r="L1530" s="166"/>
      <c r="M1530" s="205"/>
      <c r="N1530" s="170"/>
      <c r="O1530" s="171"/>
      <c r="P1530" s="171"/>
      <c r="Q1530" s="172"/>
      <c r="R1530" s="173"/>
      <c r="S1530" s="173"/>
      <c r="T1530" s="173"/>
      <c r="U1530" s="201"/>
      <c r="V1530" s="165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</row>
    <row r="1531">
      <c r="A1531" s="165"/>
      <c r="B1531" s="166"/>
      <c r="C1531" s="166"/>
      <c r="D1531" s="165"/>
      <c r="E1531" s="165"/>
      <c r="F1531" s="377"/>
      <c r="G1531" s="377"/>
      <c r="H1531" s="378"/>
      <c r="I1531" s="378"/>
      <c r="J1531" s="377"/>
      <c r="K1531" s="166"/>
      <c r="L1531" s="166"/>
      <c r="M1531" s="166"/>
      <c r="N1531" s="170"/>
      <c r="O1531" s="171"/>
      <c r="P1531" s="171"/>
      <c r="Q1531" s="172"/>
      <c r="R1531" s="173"/>
      <c r="S1531" s="173"/>
      <c r="T1531" s="173"/>
      <c r="U1531" s="201"/>
      <c r="V1531" s="165"/>
      <c r="W1531" s="188"/>
      <c r="X1531" s="188"/>
      <c r="Y1531" s="188"/>
      <c r="Z1531" s="188"/>
      <c r="AA1531" s="188"/>
      <c r="AB1531" s="188"/>
      <c r="AC1531" s="188"/>
      <c r="AD1531" s="188"/>
      <c r="AE1531" s="188"/>
      <c r="AF1531" s="188"/>
      <c r="AG1531" s="188"/>
      <c r="AH1531" s="188"/>
      <c r="AI1531" s="188"/>
    </row>
    <row r="1532">
      <c r="A1532" s="165"/>
      <c r="B1532" s="166"/>
      <c r="C1532" s="166"/>
      <c r="D1532" s="165"/>
      <c r="E1532" s="165"/>
      <c r="F1532" s="377"/>
      <c r="G1532" s="377"/>
      <c r="H1532" s="378"/>
      <c r="I1532" s="378"/>
      <c r="J1532" s="377"/>
      <c r="K1532" s="166"/>
      <c r="L1532" s="166"/>
      <c r="M1532" s="205"/>
      <c r="N1532" s="170"/>
      <c r="O1532" s="171"/>
      <c r="P1532" s="171"/>
      <c r="Q1532" s="172"/>
      <c r="R1532" s="173"/>
      <c r="S1532" s="173"/>
      <c r="T1532" s="173"/>
      <c r="U1532" s="201"/>
      <c r="V1532" s="165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</row>
    <row r="1533">
      <c r="A1533" s="165"/>
      <c r="B1533" s="166"/>
      <c r="C1533" s="166"/>
      <c r="D1533" s="165"/>
      <c r="E1533" s="165"/>
      <c r="F1533" s="377"/>
      <c r="G1533" s="377"/>
      <c r="H1533" s="378"/>
      <c r="I1533" s="378"/>
      <c r="J1533" s="377"/>
      <c r="K1533" s="166"/>
      <c r="L1533" s="166"/>
      <c r="M1533" s="166"/>
      <c r="N1533" s="170"/>
      <c r="O1533" s="171"/>
      <c r="P1533" s="171"/>
      <c r="Q1533" s="172"/>
      <c r="R1533" s="173"/>
      <c r="S1533" s="173"/>
      <c r="T1533" s="173"/>
      <c r="U1533" s="201"/>
      <c r="V1533" s="165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</row>
    <row r="1534">
      <c r="A1534" s="263"/>
      <c r="B1534" s="166"/>
      <c r="C1534" s="166"/>
      <c r="D1534" s="165"/>
      <c r="E1534" s="165"/>
      <c r="F1534" s="377"/>
      <c r="G1534" s="377"/>
      <c r="H1534" s="378"/>
      <c r="I1534" s="378"/>
      <c r="J1534" s="377"/>
      <c r="K1534" s="166"/>
      <c r="L1534" s="166"/>
      <c r="M1534" s="166"/>
      <c r="N1534" s="170"/>
      <c r="O1534" s="171"/>
      <c r="P1534" s="171"/>
      <c r="Q1534" s="172"/>
      <c r="R1534" s="173"/>
      <c r="S1534" s="173"/>
      <c r="T1534" s="260"/>
      <c r="U1534" s="261"/>
      <c r="V1534" s="251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</row>
    <row r="1535">
      <c r="A1535" s="165"/>
      <c r="B1535" s="166"/>
      <c r="C1535" s="166"/>
      <c r="D1535" s="165"/>
      <c r="E1535" s="165"/>
      <c r="F1535" s="377"/>
      <c r="G1535" s="377"/>
      <c r="H1535" s="378"/>
      <c r="I1535" s="378"/>
      <c r="J1535" s="377"/>
      <c r="K1535" s="166"/>
      <c r="L1535" s="166"/>
      <c r="M1535" s="205"/>
      <c r="N1535" s="170"/>
      <c r="O1535" s="171"/>
      <c r="P1535" s="171"/>
      <c r="Q1535" s="172"/>
      <c r="R1535" s="173"/>
      <c r="S1535" s="173"/>
      <c r="T1535" s="173"/>
      <c r="U1535" s="201"/>
      <c r="V1535" s="165"/>
      <c r="W1535" s="188"/>
      <c r="X1535" s="188"/>
      <c r="Y1535" s="188"/>
      <c r="Z1535" s="188"/>
      <c r="AA1535" s="188"/>
      <c r="AB1535" s="188"/>
      <c r="AC1535" s="188"/>
      <c r="AD1535" s="188"/>
      <c r="AE1535" s="188"/>
      <c r="AF1535" s="188"/>
      <c r="AG1535" s="188"/>
      <c r="AH1535" s="188"/>
      <c r="AI1535" s="188"/>
    </row>
    <row r="1536">
      <c r="A1536" s="165"/>
      <c r="B1536" s="166"/>
      <c r="C1536" s="166"/>
      <c r="D1536" s="165"/>
      <c r="E1536" s="165"/>
      <c r="F1536" s="377"/>
      <c r="G1536" s="377"/>
      <c r="H1536" s="378"/>
      <c r="I1536" s="378"/>
      <c r="J1536" s="377"/>
      <c r="K1536" s="166"/>
      <c r="L1536" s="166"/>
      <c r="M1536" s="166"/>
      <c r="N1536" s="170"/>
      <c r="O1536" s="171"/>
      <c r="P1536" s="171"/>
      <c r="Q1536" s="172"/>
      <c r="R1536" s="173"/>
      <c r="S1536" s="173"/>
      <c r="T1536" s="173"/>
      <c r="U1536" s="201"/>
      <c r="V1536" s="165"/>
      <c r="W1536" s="188"/>
      <c r="X1536" s="188"/>
      <c r="Y1536" s="188"/>
      <c r="Z1536" s="188"/>
      <c r="AA1536" s="188"/>
      <c r="AB1536" s="188"/>
      <c r="AC1536" s="188"/>
      <c r="AD1536" s="188"/>
      <c r="AE1536" s="188"/>
      <c r="AF1536" s="188"/>
      <c r="AG1536" s="188"/>
      <c r="AH1536" s="188"/>
      <c r="AI1536" s="188"/>
    </row>
    <row r="1537">
      <c r="A1537" s="165"/>
      <c r="B1537" s="166"/>
      <c r="C1537" s="166"/>
      <c r="D1537" s="165"/>
      <c r="E1537" s="165"/>
      <c r="F1537" s="377"/>
      <c r="G1537" s="377"/>
      <c r="H1537" s="378"/>
      <c r="I1537" s="378"/>
      <c r="J1537" s="377"/>
      <c r="K1537" s="166"/>
      <c r="L1537" s="166"/>
      <c r="M1537" s="166"/>
      <c r="N1537" s="170"/>
      <c r="O1537" s="171"/>
      <c r="P1537" s="171"/>
      <c r="Q1537" s="172"/>
      <c r="R1537" s="173"/>
      <c r="S1537" s="173"/>
      <c r="T1537" s="173"/>
      <c r="U1537" s="201"/>
      <c r="V1537" s="165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</row>
    <row r="1538">
      <c r="A1538" s="165"/>
      <c r="B1538" s="166"/>
      <c r="C1538" s="166"/>
      <c r="D1538" s="165"/>
      <c r="E1538" s="165"/>
      <c r="F1538" s="377"/>
      <c r="G1538" s="377"/>
      <c r="H1538" s="378"/>
      <c r="I1538" s="378"/>
      <c r="J1538" s="377"/>
      <c r="K1538" s="166"/>
      <c r="L1538" s="166"/>
      <c r="M1538" s="166"/>
      <c r="N1538" s="170"/>
      <c r="O1538" s="171"/>
      <c r="P1538" s="171"/>
      <c r="Q1538" s="172"/>
      <c r="R1538" s="173"/>
      <c r="S1538" s="173"/>
      <c r="T1538" s="173"/>
      <c r="U1538" s="201"/>
      <c r="V1538" s="165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</row>
    <row r="1539">
      <c r="A1539" s="165"/>
      <c r="B1539" s="166"/>
      <c r="C1539" s="166"/>
      <c r="D1539" s="165"/>
      <c r="E1539" s="165"/>
      <c r="F1539" s="377"/>
      <c r="G1539" s="377"/>
      <c r="H1539" s="378"/>
      <c r="I1539" s="378"/>
      <c r="J1539" s="377"/>
      <c r="K1539" s="166"/>
      <c r="L1539" s="166"/>
      <c r="M1539" s="166"/>
      <c r="N1539" s="170"/>
      <c r="O1539" s="171"/>
      <c r="P1539" s="171"/>
      <c r="Q1539" s="172"/>
      <c r="R1539" s="173"/>
      <c r="S1539" s="173"/>
      <c r="T1539" s="173"/>
      <c r="U1539" s="201"/>
      <c r="V1539" s="165"/>
      <c r="W1539" s="188"/>
      <c r="X1539" s="188"/>
      <c r="Y1539" s="188"/>
      <c r="Z1539" s="188"/>
      <c r="AA1539" s="188"/>
      <c r="AB1539" s="188"/>
      <c r="AC1539" s="188"/>
      <c r="AD1539" s="188"/>
      <c r="AE1539" s="188"/>
      <c r="AF1539" s="188"/>
      <c r="AG1539" s="188"/>
      <c r="AH1539" s="188"/>
      <c r="AI1539" s="188"/>
    </row>
    <row r="1540">
      <c r="A1540" s="165"/>
      <c r="B1540" s="166"/>
      <c r="C1540" s="166"/>
      <c r="D1540" s="165"/>
      <c r="E1540" s="165"/>
      <c r="F1540" s="377"/>
      <c r="G1540" s="377"/>
      <c r="H1540" s="378"/>
      <c r="I1540" s="378"/>
      <c r="J1540" s="377"/>
      <c r="K1540" s="166"/>
      <c r="L1540" s="166"/>
      <c r="M1540" s="205"/>
      <c r="N1540" s="170"/>
      <c r="O1540" s="171"/>
      <c r="P1540" s="171"/>
      <c r="Q1540" s="172"/>
      <c r="R1540" s="173"/>
      <c r="S1540" s="173"/>
      <c r="T1540" s="173"/>
      <c r="U1540" s="201"/>
      <c r="V1540" s="165"/>
      <c r="W1540" s="35"/>
      <c r="X1540" s="35"/>
      <c r="Y1540" s="35"/>
      <c r="Z1540" s="35"/>
      <c r="AA1540" s="35"/>
      <c r="AB1540" s="35"/>
      <c r="AC1540" s="35"/>
      <c r="AD1540" s="35"/>
      <c r="AE1540" s="35"/>
      <c r="AF1540" s="35"/>
      <c r="AG1540" s="35"/>
      <c r="AH1540" s="35"/>
      <c r="AI1540" s="35"/>
    </row>
    <row r="1541">
      <c r="A1541" s="165"/>
      <c r="B1541" s="166"/>
      <c r="C1541" s="166"/>
      <c r="D1541" s="165"/>
      <c r="E1541" s="165"/>
      <c r="F1541" s="377"/>
      <c r="G1541" s="377"/>
      <c r="H1541" s="378"/>
      <c r="I1541" s="378"/>
      <c r="J1541" s="377"/>
      <c r="K1541" s="166"/>
      <c r="L1541" s="166"/>
      <c r="M1541" s="166"/>
      <c r="N1541" s="170"/>
      <c r="O1541" s="171"/>
      <c r="P1541" s="171"/>
      <c r="Q1541" s="172"/>
      <c r="R1541" s="173"/>
      <c r="S1541" s="173"/>
      <c r="T1541" s="173"/>
      <c r="U1541" s="201"/>
      <c r="V1541" s="165"/>
      <c r="W1541" s="35"/>
      <c r="X1541" s="35"/>
      <c r="Y1541" s="35"/>
      <c r="Z1541" s="35"/>
      <c r="AA1541" s="35"/>
      <c r="AB1541" s="35"/>
      <c r="AC1541" s="35"/>
      <c r="AD1541" s="35"/>
      <c r="AE1541" s="35"/>
      <c r="AF1541" s="35"/>
      <c r="AG1541" s="35"/>
      <c r="AH1541" s="35"/>
      <c r="AI1541" s="35"/>
    </row>
    <row r="1542">
      <c r="A1542" s="165"/>
      <c r="B1542" s="166"/>
      <c r="C1542" s="166"/>
      <c r="D1542" s="165"/>
      <c r="E1542" s="165"/>
      <c r="F1542" s="377"/>
      <c r="G1542" s="377"/>
      <c r="H1542" s="378"/>
      <c r="I1542" s="378"/>
      <c r="J1542" s="377"/>
      <c r="K1542" s="166"/>
      <c r="L1542" s="166"/>
      <c r="M1542" s="205"/>
      <c r="N1542" s="170"/>
      <c r="O1542" s="171"/>
      <c r="P1542" s="171"/>
      <c r="Q1542" s="172"/>
      <c r="R1542" s="173"/>
      <c r="S1542" s="173"/>
      <c r="T1542" s="260"/>
      <c r="U1542" s="261"/>
      <c r="V1542" s="251"/>
      <c r="W1542" s="35"/>
      <c r="X1542" s="35"/>
      <c r="Y1542" s="35"/>
      <c r="Z1542" s="35"/>
      <c r="AA1542" s="35"/>
      <c r="AB1542" s="35"/>
      <c r="AC1542" s="35"/>
      <c r="AD1542" s="35"/>
      <c r="AE1542" s="35"/>
      <c r="AF1542" s="35"/>
      <c r="AG1542" s="35"/>
      <c r="AH1542" s="35"/>
      <c r="AI1542" s="35"/>
    </row>
    <row r="1543">
      <c r="A1543" s="165"/>
      <c r="B1543" s="166"/>
      <c r="C1543" s="166"/>
      <c r="D1543" s="165"/>
      <c r="E1543" s="165"/>
      <c r="F1543" s="377"/>
      <c r="G1543" s="377"/>
      <c r="H1543" s="378"/>
      <c r="I1543" s="378"/>
      <c r="J1543" s="377"/>
      <c r="K1543" s="166"/>
      <c r="L1543" s="166"/>
      <c r="M1543" s="205"/>
      <c r="N1543" s="170"/>
      <c r="O1543" s="171"/>
      <c r="P1543" s="171"/>
      <c r="Q1543" s="172"/>
      <c r="R1543" s="173"/>
      <c r="S1543" s="173"/>
      <c r="T1543" s="173"/>
      <c r="U1543" s="201"/>
      <c r="V1543" s="165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</row>
    <row r="1544">
      <c r="A1544" s="165"/>
      <c r="B1544" s="166"/>
      <c r="C1544" s="166"/>
      <c r="D1544" s="165"/>
      <c r="E1544" s="165"/>
      <c r="F1544" s="377"/>
      <c r="G1544" s="377"/>
      <c r="H1544" s="378"/>
      <c r="I1544" s="378"/>
      <c r="J1544" s="377"/>
      <c r="K1544" s="166"/>
      <c r="L1544" s="166"/>
      <c r="M1544" s="166"/>
      <c r="N1544" s="170"/>
      <c r="O1544" s="171"/>
      <c r="P1544" s="171"/>
      <c r="Q1544" s="172"/>
      <c r="R1544" s="173"/>
      <c r="S1544" s="173"/>
      <c r="T1544" s="173"/>
      <c r="U1544" s="201"/>
      <c r="V1544" s="165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</row>
    <row r="1545">
      <c r="A1545" s="165"/>
      <c r="B1545" s="166"/>
      <c r="C1545" s="166"/>
      <c r="D1545" s="165"/>
      <c r="E1545" s="165"/>
      <c r="F1545" s="377"/>
      <c r="G1545" s="377"/>
      <c r="H1545" s="378"/>
      <c r="I1545" s="378"/>
      <c r="J1545" s="377"/>
      <c r="K1545" s="166"/>
      <c r="L1545" s="166"/>
      <c r="M1545" s="166"/>
      <c r="N1545" s="170"/>
      <c r="O1545" s="171"/>
      <c r="P1545" s="171"/>
      <c r="Q1545" s="172"/>
      <c r="R1545" s="173"/>
      <c r="S1545" s="173"/>
      <c r="T1545" s="173"/>
      <c r="U1545" s="201"/>
      <c r="V1545" s="165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</row>
    <row r="1546">
      <c r="A1546" s="165"/>
      <c r="B1546" s="166"/>
      <c r="C1546" s="166"/>
      <c r="D1546" s="165"/>
      <c r="E1546" s="165"/>
      <c r="F1546" s="377"/>
      <c r="G1546" s="377"/>
      <c r="H1546" s="378"/>
      <c r="I1546" s="378"/>
      <c r="J1546" s="377"/>
      <c r="K1546" s="166"/>
      <c r="L1546" s="166"/>
      <c r="M1546" s="166"/>
      <c r="N1546" s="170"/>
      <c r="O1546" s="171"/>
      <c r="P1546" s="171"/>
      <c r="Q1546" s="172"/>
      <c r="R1546" s="173"/>
      <c r="S1546" s="173"/>
      <c r="T1546" s="173"/>
      <c r="U1546" s="201"/>
      <c r="V1546" s="165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</row>
    <row r="1547">
      <c r="A1547" s="165"/>
      <c r="B1547" s="166"/>
      <c r="C1547" s="166"/>
      <c r="D1547" s="165"/>
      <c r="E1547" s="165"/>
      <c r="F1547" s="377"/>
      <c r="G1547" s="377"/>
      <c r="H1547" s="378"/>
      <c r="I1547" s="378"/>
      <c r="J1547" s="377"/>
      <c r="K1547" s="166"/>
      <c r="L1547" s="166"/>
      <c r="M1547" s="166"/>
      <c r="N1547" s="170"/>
      <c r="O1547" s="171"/>
      <c r="P1547" s="171"/>
      <c r="Q1547" s="172"/>
      <c r="R1547" s="173"/>
      <c r="S1547" s="173"/>
      <c r="T1547" s="173"/>
      <c r="U1547" s="201"/>
      <c r="V1547" s="210"/>
      <c r="W1547" s="35"/>
      <c r="X1547" s="35"/>
      <c r="Y1547" s="35"/>
      <c r="Z1547" s="35"/>
      <c r="AA1547" s="35"/>
      <c r="AB1547" s="35"/>
      <c r="AC1547" s="35"/>
      <c r="AD1547" s="35"/>
      <c r="AE1547" s="35"/>
      <c r="AF1547" s="35"/>
      <c r="AG1547" s="35"/>
      <c r="AH1547" s="35"/>
      <c r="AI1547" s="35"/>
    </row>
    <row r="1548">
      <c r="A1548" s="165"/>
      <c r="B1548" s="166"/>
      <c r="C1548" s="166"/>
      <c r="D1548" s="165"/>
      <c r="E1548" s="165"/>
      <c r="F1548" s="377"/>
      <c r="G1548" s="377"/>
      <c r="H1548" s="378"/>
      <c r="I1548" s="378"/>
      <c r="J1548" s="377"/>
      <c r="K1548" s="166"/>
      <c r="L1548" s="166"/>
      <c r="M1548" s="166"/>
      <c r="N1548" s="170"/>
      <c r="O1548" s="171"/>
      <c r="P1548" s="171"/>
      <c r="Q1548" s="172"/>
      <c r="R1548" s="173"/>
      <c r="S1548" s="173"/>
      <c r="T1548" s="173"/>
      <c r="U1548" s="201"/>
      <c r="V1548" s="165"/>
      <c r="W1548" s="35"/>
      <c r="X1548" s="35"/>
      <c r="Y1548" s="35"/>
      <c r="Z1548" s="35"/>
      <c r="AA1548" s="35"/>
      <c r="AB1548" s="35"/>
      <c r="AC1548" s="35"/>
      <c r="AD1548" s="35"/>
      <c r="AE1548" s="35"/>
      <c r="AF1548" s="35"/>
      <c r="AG1548" s="35"/>
      <c r="AH1548" s="35"/>
      <c r="AI1548" s="35"/>
    </row>
    <row r="1549">
      <c r="A1549" s="165"/>
      <c r="B1549" s="166"/>
      <c r="C1549" s="166"/>
      <c r="D1549" s="165"/>
      <c r="E1549" s="165"/>
      <c r="F1549" s="377"/>
      <c r="G1549" s="377"/>
      <c r="H1549" s="378"/>
      <c r="I1549" s="378"/>
      <c r="J1549" s="377"/>
      <c r="K1549" s="166"/>
      <c r="L1549" s="166"/>
      <c r="M1549" s="166"/>
      <c r="N1549" s="170"/>
      <c r="O1549" s="171"/>
      <c r="P1549" s="171"/>
      <c r="Q1549" s="172"/>
      <c r="R1549" s="173"/>
      <c r="S1549" s="173"/>
      <c r="T1549" s="173"/>
      <c r="U1549" s="201"/>
      <c r="V1549" s="207"/>
      <c r="W1549" s="188"/>
      <c r="X1549" s="188"/>
      <c r="Y1549" s="188"/>
      <c r="Z1549" s="188"/>
      <c r="AA1549" s="188"/>
      <c r="AB1549" s="188"/>
      <c r="AC1549" s="188"/>
      <c r="AD1549" s="188"/>
      <c r="AE1549" s="188"/>
      <c r="AF1549" s="188"/>
      <c r="AG1549" s="188"/>
      <c r="AH1549" s="188"/>
      <c r="AI1549" s="188"/>
    </row>
    <row r="1550">
      <c r="A1550" s="165"/>
      <c r="B1550" s="166"/>
      <c r="C1550" s="166"/>
      <c r="D1550" s="165"/>
      <c r="E1550" s="165"/>
      <c r="F1550" s="377"/>
      <c r="G1550" s="377"/>
      <c r="H1550" s="378"/>
      <c r="I1550" s="378"/>
      <c r="J1550" s="377"/>
      <c r="K1550" s="166"/>
      <c r="L1550" s="166"/>
      <c r="M1550" s="166"/>
      <c r="N1550" s="170"/>
      <c r="O1550" s="171"/>
      <c r="P1550" s="171"/>
      <c r="Q1550" s="172"/>
      <c r="R1550" s="173"/>
      <c r="S1550" s="173"/>
      <c r="T1550" s="173"/>
      <c r="U1550" s="201"/>
      <c r="V1550" s="207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</row>
    <row r="1551">
      <c r="A1551" s="165"/>
      <c r="B1551" s="166"/>
      <c r="C1551" s="166"/>
      <c r="D1551" s="165"/>
      <c r="E1551" s="165"/>
      <c r="F1551" s="377"/>
      <c r="G1551" s="377"/>
      <c r="H1551" s="378"/>
      <c r="I1551" s="378"/>
      <c r="J1551" s="377"/>
      <c r="K1551" s="166"/>
      <c r="L1551" s="166"/>
      <c r="M1551" s="205"/>
      <c r="N1551" s="170"/>
      <c r="O1551" s="171"/>
      <c r="P1551" s="171"/>
      <c r="Q1551" s="172"/>
      <c r="R1551" s="173"/>
      <c r="S1551" s="173"/>
      <c r="T1551" s="173"/>
      <c r="U1551" s="201"/>
      <c r="V1551" s="165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</row>
    <row r="1552">
      <c r="A1552" s="165"/>
      <c r="B1552" s="166"/>
      <c r="C1552" s="166"/>
      <c r="D1552" s="165"/>
      <c r="E1552" s="165"/>
      <c r="F1552" s="377"/>
      <c r="G1552" s="377"/>
      <c r="H1552" s="378"/>
      <c r="I1552" s="378"/>
      <c r="J1552" s="377"/>
      <c r="K1552" s="166"/>
      <c r="L1552" s="166"/>
      <c r="M1552" s="166"/>
      <c r="N1552" s="170"/>
      <c r="O1552" s="171"/>
      <c r="P1552" s="171"/>
      <c r="Q1552" s="172"/>
      <c r="R1552" s="173"/>
      <c r="S1552" s="173"/>
      <c r="T1552" s="173"/>
      <c r="U1552" s="201"/>
      <c r="V1552" s="165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</row>
    <row r="1553">
      <c r="A1553" s="165"/>
      <c r="B1553" s="166"/>
      <c r="C1553" s="166"/>
      <c r="D1553" s="165"/>
      <c r="E1553" s="165"/>
      <c r="F1553" s="377"/>
      <c r="G1553" s="377"/>
      <c r="H1553" s="378"/>
      <c r="I1553" s="378"/>
      <c r="J1553" s="377"/>
      <c r="K1553" s="166"/>
      <c r="L1553" s="166"/>
      <c r="M1553" s="205"/>
      <c r="N1553" s="170"/>
      <c r="O1553" s="171"/>
      <c r="P1553" s="171"/>
      <c r="Q1553" s="172"/>
      <c r="R1553" s="173"/>
      <c r="S1553" s="173"/>
      <c r="T1553" s="173"/>
      <c r="U1553" s="201"/>
      <c r="V1553" s="210"/>
      <c r="W1553" s="36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</row>
    <row r="1554">
      <c r="A1554" s="165"/>
      <c r="B1554" s="166"/>
      <c r="C1554" s="166"/>
      <c r="D1554" s="165"/>
      <c r="E1554" s="165"/>
      <c r="F1554" s="377"/>
      <c r="G1554" s="377"/>
      <c r="H1554" s="378"/>
      <c r="I1554" s="378"/>
      <c r="J1554" s="377"/>
      <c r="K1554" s="166"/>
      <c r="L1554" s="166"/>
      <c r="M1554" s="166"/>
      <c r="N1554" s="170"/>
      <c r="O1554" s="171"/>
      <c r="P1554" s="171"/>
      <c r="Q1554" s="172"/>
      <c r="R1554" s="173"/>
      <c r="S1554" s="173"/>
      <c r="T1554" s="173"/>
      <c r="U1554" s="201"/>
      <c r="V1554" s="165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</row>
    <row r="1555">
      <c r="A1555" s="165"/>
      <c r="B1555" s="166"/>
      <c r="C1555" s="166"/>
      <c r="D1555" s="165"/>
      <c r="E1555" s="165"/>
      <c r="F1555" s="377"/>
      <c r="G1555" s="377"/>
      <c r="H1555" s="378"/>
      <c r="I1555" s="378"/>
      <c r="J1555" s="377"/>
      <c r="K1555" s="166"/>
      <c r="L1555" s="166"/>
      <c r="M1555" s="166"/>
      <c r="N1555" s="170"/>
      <c r="O1555" s="171"/>
      <c r="P1555" s="171"/>
      <c r="Q1555" s="172"/>
      <c r="R1555" s="173"/>
      <c r="S1555" s="173"/>
      <c r="T1555" s="173"/>
      <c r="U1555" s="201"/>
      <c r="V1555" s="165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</row>
    <row r="1556">
      <c r="A1556" s="165"/>
      <c r="B1556" s="166"/>
      <c r="C1556" s="166"/>
      <c r="D1556" s="165"/>
      <c r="E1556" s="165"/>
      <c r="F1556" s="377"/>
      <c r="G1556" s="377"/>
      <c r="H1556" s="378"/>
      <c r="I1556" s="378"/>
      <c r="J1556" s="377"/>
      <c r="K1556" s="166"/>
      <c r="L1556" s="166"/>
      <c r="M1556" s="166"/>
      <c r="N1556" s="170"/>
      <c r="O1556" s="171"/>
      <c r="P1556" s="171"/>
      <c r="Q1556" s="172"/>
      <c r="R1556" s="173"/>
      <c r="S1556" s="173"/>
      <c r="T1556" s="173"/>
      <c r="U1556" s="201"/>
      <c r="V1556" s="165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</row>
    <row r="1557">
      <c r="A1557" s="165"/>
      <c r="B1557" s="166"/>
      <c r="C1557" s="166"/>
      <c r="D1557" s="165"/>
      <c r="E1557" s="165"/>
      <c r="F1557" s="377"/>
      <c r="G1557" s="377"/>
      <c r="H1557" s="378"/>
      <c r="I1557" s="378"/>
      <c r="J1557" s="377"/>
      <c r="K1557" s="166"/>
      <c r="L1557" s="166"/>
      <c r="M1557" s="166"/>
      <c r="N1557" s="170"/>
      <c r="O1557" s="171"/>
      <c r="P1557" s="171"/>
      <c r="Q1557" s="172"/>
      <c r="R1557" s="173"/>
      <c r="S1557" s="173"/>
      <c r="T1557" s="173"/>
      <c r="U1557" s="201"/>
      <c r="V1557" s="165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</row>
    <row r="1558">
      <c r="A1558" s="165"/>
      <c r="B1558" s="166"/>
      <c r="C1558" s="166"/>
      <c r="D1558" s="165"/>
      <c r="E1558" s="165"/>
      <c r="F1558" s="377"/>
      <c r="G1558" s="377"/>
      <c r="H1558" s="378"/>
      <c r="I1558" s="378"/>
      <c r="J1558" s="377"/>
      <c r="K1558" s="166"/>
      <c r="L1558" s="166"/>
      <c r="M1558" s="166"/>
      <c r="N1558" s="170"/>
      <c r="O1558" s="171"/>
      <c r="P1558" s="171"/>
      <c r="Q1558" s="172"/>
      <c r="R1558" s="173"/>
      <c r="S1558" s="173"/>
      <c r="T1558" s="173"/>
      <c r="U1558" s="201"/>
      <c r="V1558" s="165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</row>
    <row r="1559">
      <c r="A1559" s="165"/>
      <c r="B1559" s="166"/>
      <c r="C1559" s="166"/>
      <c r="D1559" s="165"/>
      <c r="E1559" s="165"/>
      <c r="F1559" s="377"/>
      <c r="G1559" s="377"/>
      <c r="H1559" s="378"/>
      <c r="I1559" s="378"/>
      <c r="J1559" s="377"/>
      <c r="K1559" s="166"/>
      <c r="L1559" s="166"/>
      <c r="M1559" s="205"/>
      <c r="N1559" s="170"/>
      <c r="O1559" s="171"/>
      <c r="P1559" s="171"/>
      <c r="Q1559" s="172"/>
      <c r="R1559" s="173"/>
      <c r="S1559" s="173"/>
      <c r="T1559" s="173"/>
      <c r="U1559" s="201"/>
      <c r="V1559" s="165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</row>
    <row r="1560">
      <c r="A1560" s="165"/>
      <c r="B1560" s="166"/>
      <c r="C1560" s="166"/>
      <c r="D1560" s="165"/>
      <c r="E1560" s="165"/>
      <c r="F1560" s="377"/>
      <c r="G1560" s="377"/>
      <c r="H1560" s="378"/>
      <c r="I1560" s="378"/>
      <c r="J1560" s="377"/>
      <c r="K1560" s="166"/>
      <c r="L1560" s="166"/>
      <c r="M1560" s="166"/>
      <c r="N1560" s="170"/>
      <c r="O1560" s="171"/>
      <c r="P1560" s="171"/>
      <c r="Q1560" s="172"/>
      <c r="R1560" s="173"/>
      <c r="S1560" s="173"/>
      <c r="T1560" s="173"/>
      <c r="U1560" s="201"/>
      <c r="V1560" s="165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</row>
    <row r="1561">
      <c r="A1561" s="165"/>
      <c r="B1561" s="166"/>
      <c r="C1561" s="166"/>
      <c r="D1561" s="165"/>
      <c r="E1561" s="165"/>
      <c r="F1561" s="377"/>
      <c r="G1561" s="377"/>
      <c r="H1561" s="378"/>
      <c r="I1561" s="378"/>
      <c r="J1561" s="377"/>
      <c r="K1561" s="166"/>
      <c r="L1561" s="166"/>
      <c r="M1561" s="166"/>
      <c r="N1561" s="170"/>
      <c r="O1561" s="171"/>
      <c r="P1561" s="171"/>
      <c r="Q1561" s="172"/>
      <c r="R1561" s="173"/>
      <c r="S1561" s="173"/>
      <c r="T1561" s="173"/>
      <c r="U1561" s="201"/>
      <c r="V1561" s="207"/>
      <c r="W1561" s="188"/>
      <c r="X1561" s="188"/>
      <c r="Y1561" s="188"/>
      <c r="Z1561" s="188"/>
      <c r="AA1561" s="188"/>
      <c r="AB1561" s="188"/>
      <c r="AC1561" s="188"/>
      <c r="AD1561" s="188"/>
      <c r="AE1561" s="188"/>
      <c r="AF1561" s="188"/>
      <c r="AG1561" s="188"/>
      <c r="AH1561" s="188"/>
      <c r="AI1561" s="188"/>
    </row>
    <row r="1562">
      <c r="A1562" s="165"/>
      <c r="B1562" s="166"/>
      <c r="C1562" s="166"/>
      <c r="D1562" s="165"/>
      <c r="E1562" s="165"/>
      <c r="F1562" s="377"/>
      <c r="G1562" s="377"/>
      <c r="H1562" s="378"/>
      <c r="I1562" s="378"/>
      <c r="J1562" s="377"/>
      <c r="K1562" s="166"/>
      <c r="L1562" s="166"/>
      <c r="M1562" s="166"/>
      <c r="N1562" s="170"/>
      <c r="O1562" s="171"/>
      <c r="P1562" s="171"/>
      <c r="Q1562" s="172"/>
      <c r="R1562" s="173"/>
      <c r="S1562" s="173"/>
      <c r="T1562" s="173"/>
      <c r="U1562" s="201"/>
      <c r="V1562" s="207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</row>
    <row r="1563">
      <c r="A1563" s="165"/>
      <c r="B1563" s="166"/>
      <c r="C1563" s="166"/>
      <c r="D1563" s="165"/>
      <c r="E1563" s="165"/>
      <c r="F1563" s="377"/>
      <c r="G1563" s="377"/>
      <c r="H1563" s="378"/>
      <c r="I1563" s="378"/>
      <c r="J1563" s="377"/>
      <c r="K1563" s="166"/>
      <c r="L1563" s="166"/>
      <c r="M1563" s="166"/>
      <c r="N1563" s="170"/>
      <c r="O1563" s="171"/>
      <c r="P1563" s="171"/>
      <c r="Q1563" s="172"/>
      <c r="R1563" s="173"/>
      <c r="S1563" s="173"/>
      <c r="T1563" s="173"/>
      <c r="U1563" s="201"/>
      <c r="V1563" s="165"/>
      <c r="W1563" s="188"/>
      <c r="X1563" s="188"/>
      <c r="Y1563" s="188"/>
      <c r="Z1563" s="188"/>
      <c r="AA1563" s="188"/>
      <c r="AB1563" s="188"/>
      <c r="AC1563" s="188"/>
      <c r="AD1563" s="188"/>
      <c r="AE1563" s="188"/>
      <c r="AF1563" s="188"/>
      <c r="AG1563" s="188"/>
      <c r="AH1563" s="188"/>
      <c r="AI1563" s="188"/>
    </row>
    <row r="1564">
      <c r="A1564" s="165"/>
      <c r="B1564" s="166"/>
      <c r="C1564" s="166"/>
      <c r="D1564" s="165"/>
      <c r="E1564" s="165"/>
      <c r="F1564" s="377"/>
      <c r="G1564" s="377"/>
      <c r="H1564" s="378"/>
      <c r="I1564" s="378"/>
      <c r="J1564" s="377"/>
      <c r="K1564" s="166"/>
      <c r="L1564" s="166"/>
      <c r="M1564" s="205"/>
      <c r="N1564" s="170"/>
      <c r="O1564" s="171"/>
      <c r="P1564" s="171"/>
      <c r="Q1564" s="172"/>
      <c r="R1564" s="173"/>
      <c r="S1564" s="173"/>
      <c r="T1564" s="173"/>
      <c r="U1564" s="201"/>
      <c r="V1564" s="165"/>
      <c r="W1564" s="35"/>
      <c r="X1564" s="35"/>
      <c r="Y1564" s="35"/>
      <c r="Z1564" s="35"/>
      <c r="AA1564" s="35"/>
      <c r="AB1564" s="35"/>
      <c r="AC1564" s="35"/>
      <c r="AD1564" s="35"/>
      <c r="AE1564" s="35"/>
      <c r="AF1564" s="35"/>
      <c r="AG1564" s="35"/>
      <c r="AH1564" s="35"/>
      <c r="AI1564" s="35"/>
    </row>
    <row r="1565">
      <c r="A1565" s="165"/>
      <c r="B1565" s="166"/>
      <c r="C1565" s="166"/>
      <c r="D1565" s="165"/>
      <c r="E1565" s="165"/>
      <c r="F1565" s="377"/>
      <c r="G1565" s="377"/>
      <c r="H1565" s="378"/>
      <c r="I1565" s="378"/>
      <c r="J1565" s="377"/>
      <c r="K1565" s="166"/>
      <c r="L1565" s="166"/>
      <c r="M1565" s="166"/>
      <c r="N1565" s="170"/>
      <c r="O1565" s="171"/>
      <c r="P1565" s="171"/>
      <c r="Q1565" s="172"/>
      <c r="R1565" s="173"/>
      <c r="S1565" s="173"/>
      <c r="T1565" s="173"/>
      <c r="U1565" s="201"/>
      <c r="V1565" s="165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</row>
    <row r="1566">
      <c r="A1566" s="165"/>
      <c r="B1566" s="166"/>
      <c r="C1566" s="166"/>
      <c r="D1566" s="165"/>
      <c r="E1566" s="165"/>
      <c r="F1566" s="377"/>
      <c r="G1566" s="377"/>
      <c r="H1566" s="378"/>
      <c r="I1566" s="378"/>
      <c r="J1566" s="377"/>
      <c r="K1566" s="166"/>
      <c r="L1566" s="166"/>
      <c r="M1566" s="205"/>
      <c r="N1566" s="170"/>
      <c r="O1566" s="171"/>
      <c r="P1566" s="171"/>
      <c r="Q1566" s="172"/>
      <c r="R1566" s="173"/>
      <c r="S1566" s="173"/>
      <c r="T1566" s="173"/>
      <c r="U1566" s="201"/>
      <c r="V1566" s="165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</row>
    <row r="1567">
      <c r="A1567" s="165"/>
      <c r="B1567" s="166"/>
      <c r="C1567" s="166"/>
      <c r="D1567" s="165"/>
      <c r="E1567" s="165"/>
      <c r="F1567" s="377"/>
      <c r="G1567" s="377"/>
      <c r="H1567" s="378"/>
      <c r="I1567" s="378"/>
      <c r="J1567" s="377"/>
      <c r="K1567" s="166"/>
      <c r="L1567" s="166"/>
      <c r="M1567" s="166"/>
      <c r="N1567" s="170"/>
      <c r="O1567" s="171"/>
      <c r="P1567" s="171"/>
      <c r="Q1567" s="172"/>
      <c r="R1567" s="173"/>
      <c r="S1567" s="173"/>
      <c r="T1567" s="173"/>
      <c r="U1567" s="201"/>
      <c r="V1567" s="165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</row>
    <row r="1568">
      <c r="A1568" s="165"/>
      <c r="B1568" s="166"/>
      <c r="C1568" s="166"/>
      <c r="D1568" s="165"/>
      <c r="E1568" s="165"/>
      <c r="F1568" s="377"/>
      <c r="G1568" s="377"/>
      <c r="H1568" s="378"/>
      <c r="I1568" s="378"/>
      <c r="J1568" s="377"/>
      <c r="K1568" s="166"/>
      <c r="L1568" s="166"/>
      <c r="M1568" s="205"/>
      <c r="N1568" s="170"/>
      <c r="O1568" s="171"/>
      <c r="P1568" s="171"/>
      <c r="Q1568" s="172"/>
      <c r="R1568" s="173"/>
      <c r="S1568" s="173"/>
      <c r="T1568" s="173"/>
      <c r="U1568" s="201"/>
      <c r="V1568" s="165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</row>
    <row r="1569">
      <c r="A1569" s="165"/>
      <c r="B1569" s="166"/>
      <c r="C1569" s="166"/>
      <c r="D1569" s="165"/>
      <c r="E1569" s="165"/>
      <c r="F1569" s="377"/>
      <c r="G1569" s="377"/>
      <c r="H1569" s="378"/>
      <c r="I1569" s="378"/>
      <c r="J1569" s="377"/>
      <c r="K1569" s="166"/>
      <c r="L1569" s="166"/>
      <c r="M1569" s="205"/>
      <c r="N1569" s="170"/>
      <c r="O1569" s="171"/>
      <c r="P1569" s="171"/>
      <c r="Q1569" s="172"/>
      <c r="R1569" s="173"/>
      <c r="S1569" s="173"/>
      <c r="T1569" s="173"/>
      <c r="U1569" s="201"/>
      <c r="V1569" s="165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</row>
    <row r="1570">
      <c r="A1570" s="165"/>
      <c r="B1570" s="166"/>
      <c r="C1570" s="166"/>
      <c r="D1570" s="165"/>
      <c r="E1570" s="165"/>
      <c r="F1570" s="377"/>
      <c r="G1570" s="377"/>
      <c r="H1570" s="378"/>
      <c r="I1570" s="378"/>
      <c r="J1570" s="377"/>
      <c r="K1570" s="166"/>
      <c r="L1570" s="166"/>
      <c r="M1570" s="166"/>
      <c r="N1570" s="170"/>
      <c r="O1570" s="171"/>
      <c r="P1570" s="171"/>
      <c r="Q1570" s="172"/>
      <c r="R1570" s="173"/>
      <c r="S1570" s="173"/>
      <c r="T1570" s="173"/>
      <c r="U1570" s="201"/>
      <c r="V1570" s="165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</row>
    <row r="1571">
      <c r="A1571" s="165"/>
      <c r="B1571" s="166"/>
      <c r="C1571" s="166"/>
      <c r="D1571" s="165"/>
      <c r="E1571" s="165"/>
      <c r="F1571" s="377"/>
      <c r="G1571" s="377"/>
      <c r="H1571" s="378"/>
      <c r="I1571" s="378"/>
      <c r="J1571" s="377"/>
      <c r="K1571" s="166"/>
      <c r="L1571" s="166"/>
      <c r="M1571" s="205"/>
      <c r="N1571" s="170"/>
      <c r="O1571" s="171"/>
      <c r="P1571" s="171"/>
      <c r="Q1571" s="172"/>
      <c r="R1571" s="173"/>
      <c r="S1571" s="173"/>
      <c r="T1571" s="173"/>
      <c r="U1571" s="201"/>
      <c r="V1571" s="165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</row>
    <row r="1572">
      <c r="A1572" s="165"/>
      <c r="B1572" s="166"/>
      <c r="C1572" s="166"/>
      <c r="D1572" s="165"/>
      <c r="E1572" s="165"/>
      <c r="F1572" s="377"/>
      <c r="G1572" s="377"/>
      <c r="H1572" s="378"/>
      <c r="I1572" s="378"/>
      <c r="J1572" s="377"/>
      <c r="K1572" s="166"/>
      <c r="L1572" s="166"/>
      <c r="M1572" s="205"/>
      <c r="N1572" s="170"/>
      <c r="O1572" s="171"/>
      <c r="P1572" s="171"/>
      <c r="Q1572" s="172"/>
      <c r="R1572" s="173"/>
      <c r="S1572" s="173"/>
      <c r="T1572" s="173"/>
      <c r="U1572" s="201"/>
      <c r="V1572" s="207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</row>
    <row r="1573">
      <c r="A1573" s="165"/>
      <c r="B1573" s="166"/>
      <c r="C1573" s="166"/>
      <c r="D1573" s="165"/>
      <c r="E1573" s="165"/>
      <c r="F1573" s="377"/>
      <c r="G1573" s="377"/>
      <c r="H1573" s="378"/>
      <c r="I1573" s="378"/>
      <c r="J1573" s="377"/>
      <c r="K1573" s="166"/>
      <c r="L1573" s="166"/>
      <c r="M1573" s="205"/>
      <c r="N1573" s="170"/>
      <c r="O1573" s="171"/>
      <c r="P1573" s="171"/>
      <c r="Q1573" s="172"/>
      <c r="R1573" s="173"/>
      <c r="S1573" s="173"/>
      <c r="T1573" s="173"/>
      <c r="U1573" s="201"/>
      <c r="V1573" s="165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</row>
    <row r="1574">
      <c r="A1574" s="165"/>
      <c r="B1574" s="166"/>
      <c r="C1574" s="166"/>
      <c r="D1574" s="165"/>
      <c r="E1574" s="165"/>
      <c r="F1574" s="377"/>
      <c r="G1574" s="377"/>
      <c r="H1574" s="378"/>
      <c r="I1574" s="378"/>
      <c r="J1574" s="377"/>
      <c r="K1574" s="166"/>
      <c r="L1574" s="166"/>
      <c r="M1574" s="166"/>
      <c r="N1574" s="170"/>
      <c r="O1574" s="171"/>
      <c r="P1574" s="171"/>
      <c r="Q1574" s="172"/>
      <c r="R1574" s="173"/>
      <c r="S1574" s="173"/>
      <c r="T1574" s="173"/>
      <c r="U1574" s="201"/>
      <c r="V1574" s="165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</row>
    <row r="1575">
      <c r="A1575" s="165"/>
      <c r="B1575" s="166"/>
      <c r="C1575" s="166"/>
      <c r="D1575" s="165"/>
      <c r="E1575" s="165"/>
      <c r="F1575" s="377"/>
      <c r="G1575" s="377"/>
      <c r="H1575" s="378"/>
      <c r="I1575" s="378"/>
      <c r="J1575" s="377"/>
      <c r="K1575" s="166"/>
      <c r="L1575" s="166"/>
      <c r="M1575" s="205"/>
      <c r="N1575" s="170"/>
      <c r="O1575" s="171"/>
      <c r="P1575" s="171"/>
      <c r="Q1575" s="172"/>
      <c r="R1575" s="173"/>
      <c r="S1575" s="173"/>
      <c r="T1575" s="173"/>
      <c r="U1575" s="201"/>
      <c r="V1575" s="165"/>
      <c r="W1575" s="36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</row>
    <row r="1576">
      <c r="A1576" s="165"/>
      <c r="B1576" s="166"/>
      <c r="C1576" s="166"/>
      <c r="D1576" s="165"/>
      <c r="E1576" s="165"/>
      <c r="F1576" s="377"/>
      <c r="G1576" s="377"/>
      <c r="H1576" s="378"/>
      <c r="I1576" s="378"/>
      <c r="J1576" s="377"/>
      <c r="K1576" s="166"/>
      <c r="L1576" s="166"/>
      <c r="M1576" s="166"/>
      <c r="N1576" s="170"/>
      <c r="O1576" s="171"/>
      <c r="P1576" s="171"/>
      <c r="Q1576" s="172"/>
      <c r="R1576" s="173"/>
      <c r="S1576" s="173"/>
      <c r="T1576" s="173"/>
      <c r="U1576" s="201"/>
      <c r="V1576" s="165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</row>
    <row r="1577">
      <c r="A1577" s="165"/>
      <c r="B1577" s="166"/>
      <c r="C1577" s="166"/>
      <c r="D1577" s="165"/>
      <c r="E1577" s="165"/>
      <c r="F1577" s="377"/>
      <c r="G1577" s="377"/>
      <c r="H1577" s="378"/>
      <c r="I1577" s="378"/>
      <c r="J1577" s="377"/>
      <c r="K1577" s="166"/>
      <c r="L1577" s="166"/>
      <c r="M1577" s="166"/>
      <c r="N1577" s="170"/>
      <c r="O1577" s="171"/>
      <c r="P1577" s="171"/>
      <c r="Q1577" s="172"/>
      <c r="R1577" s="173"/>
      <c r="S1577" s="173"/>
      <c r="T1577" s="173"/>
      <c r="U1577" s="201"/>
      <c r="V1577" s="165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</row>
    <row r="1578">
      <c r="A1578" s="263"/>
      <c r="B1578" s="264"/>
      <c r="C1578" s="265"/>
      <c r="D1578" s="266"/>
      <c r="E1578" s="263"/>
      <c r="F1578" s="267"/>
      <c r="G1578" s="267"/>
      <c r="H1578" s="268"/>
      <c r="I1578" s="268"/>
      <c r="J1578" s="377"/>
      <c r="K1578" s="265"/>
      <c r="L1578" s="265"/>
      <c r="M1578" s="269"/>
      <c r="N1578" s="270"/>
      <c r="O1578" s="271"/>
      <c r="P1578" s="271"/>
      <c r="Q1578" s="272"/>
      <c r="R1578" s="273"/>
      <c r="S1578" s="273"/>
      <c r="T1578" s="273"/>
      <c r="U1578" s="274"/>
      <c r="V1578" s="263"/>
      <c r="W1578" s="35"/>
      <c r="X1578" s="35"/>
      <c r="Y1578" s="35"/>
      <c r="Z1578" s="35"/>
      <c r="AA1578" s="35"/>
      <c r="AB1578" s="35"/>
      <c r="AC1578" s="35"/>
      <c r="AD1578" s="35"/>
      <c r="AE1578" s="35"/>
      <c r="AF1578" s="35"/>
      <c r="AG1578" s="35"/>
      <c r="AH1578" s="35"/>
      <c r="AI1578" s="35"/>
    </row>
    <row r="1579">
      <c r="A1579" s="165"/>
      <c r="B1579" s="166"/>
      <c r="C1579" s="166"/>
      <c r="D1579" s="165"/>
      <c r="E1579" s="165"/>
      <c r="F1579" s="377"/>
      <c r="G1579" s="377"/>
      <c r="H1579" s="378"/>
      <c r="I1579" s="378"/>
      <c r="J1579" s="377"/>
      <c r="K1579" s="166"/>
      <c r="L1579" s="166"/>
      <c r="M1579" s="166"/>
      <c r="N1579" s="170"/>
      <c r="O1579" s="171"/>
      <c r="P1579" s="171"/>
      <c r="Q1579" s="172"/>
      <c r="R1579" s="173"/>
      <c r="S1579" s="173"/>
      <c r="T1579" s="173"/>
      <c r="U1579" s="201"/>
      <c r="V1579" s="165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</row>
    <row r="1580">
      <c r="A1580" s="165"/>
      <c r="B1580" s="166"/>
      <c r="C1580" s="166"/>
      <c r="D1580" s="165"/>
      <c r="E1580" s="165"/>
      <c r="F1580" s="377"/>
      <c r="G1580" s="377"/>
      <c r="H1580" s="378"/>
      <c r="I1580" s="378"/>
      <c r="J1580" s="377"/>
      <c r="K1580" s="166"/>
      <c r="L1580" s="166"/>
      <c r="M1580" s="166"/>
      <c r="N1580" s="170"/>
      <c r="O1580" s="171"/>
      <c r="P1580" s="171"/>
      <c r="Q1580" s="172"/>
      <c r="R1580" s="173"/>
      <c r="S1580" s="173"/>
      <c r="T1580" s="173"/>
      <c r="U1580" s="201"/>
      <c r="V1580" s="207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</row>
    <row r="1581">
      <c r="A1581" s="165"/>
      <c r="B1581" s="166"/>
      <c r="C1581" s="166"/>
      <c r="D1581" s="165"/>
      <c r="E1581" s="165"/>
      <c r="F1581" s="377"/>
      <c r="G1581" s="377"/>
      <c r="H1581" s="378"/>
      <c r="I1581" s="378"/>
      <c r="J1581" s="377"/>
      <c r="K1581" s="166"/>
      <c r="L1581" s="166"/>
      <c r="M1581" s="166"/>
      <c r="N1581" s="170"/>
      <c r="O1581" s="171"/>
      <c r="P1581" s="171"/>
      <c r="Q1581" s="172"/>
      <c r="R1581" s="173"/>
      <c r="S1581" s="173"/>
      <c r="T1581" s="173"/>
      <c r="U1581" s="201"/>
      <c r="V1581" s="165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</row>
    <row r="1582">
      <c r="A1582" s="165"/>
      <c r="B1582" s="166"/>
      <c r="C1582" s="166"/>
      <c r="D1582" s="165"/>
      <c r="E1582" s="165"/>
      <c r="F1582" s="377"/>
      <c r="G1582" s="377"/>
      <c r="H1582" s="378"/>
      <c r="I1582" s="378"/>
      <c r="J1582" s="377"/>
      <c r="K1582" s="166"/>
      <c r="L1582" s="166"/>
      <c r="M1582" s="205"/>
      <c r="N1582" s="170"/>
      <c r="O1582" s="171"/>
      <c r="P1582" s="171"/>
      <c r="Q1582" s="172"/>
      <c r="R1582" s="173"/>
      <c r="S1582" s="173"/>
      <c r="T1582" s="173"/>
      <c r="U1582" s="201"/>
      <c r="V1582" s="165"/>
      <c r="W1582" s="188"/>
      <c r="X1582" s="188"/>
      <c r="Y1582" s="188"/>
      <c r="Z1582" s="188"/>
      <c r="AA1582" s="188"/>
      <c r="AB1582" s="188"/>
      <c r="AC1582" s="188"/>
      <c r="AD1582" s="188"/>
      <c r="AE1582" s="188"/>
      <c r="AF1582" s="188"/>
      <c r="AG1582" s="188"/>
      <c r="AH1582" s="188"/>
      <c r="AI1582" s="188"/>
    </row>
    <row r="1583">
      <c r="A1583" s="165"/>
      <c r="B1583" s="166"/>
      <c r="C1583" s="166"/>
      <c r="D1583" s="165"/>
      <c r="E1583" s="165"/>
      <c r="F1583" s="377"/>
      <c r="G1583" s="377"/>
      <c r="H1583" s="378"/>
      <c r="I1583" s="378"/>
      <c r="J1583" s="267"/>
      <c r="K1583" s="166"/>
      <c r="L1583" s="166"/>
      <c r="M1583" s="166"/>
      <c r="N1583" s="170"/>
      <c r="O1583" s="171"/>
      <c r="P1583" s="171"/>
      <c r="Q1583" s="172"/>
      <c r="R1583" s="173"/>
      <c r="S1583" s="173"/>
      <c r="T1583" s="173"/>
      <c r="U1583" s="201"/>
      <c r="V1583" s="165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</row>
    <row r="1584">
      <c r="A1584" s="165"/>
      <c r="B1584" s="166"/>
      <c r="C1584" s="166"/>
      <c r="D1584" s="165"/>
      <c r="E1584" s="165"/>
      <c r="F1584" s="377"/>
      <c r="G1584" s="377"/>
      <c r="H1584" s="378"/>
      <c r="I1584" s="378"/>
      <c r="J1584" s="377"/>
      <c r="K1584" s="166"/>
      <c r="L1584" s="166"/>
      <c r="M1584" s="166"/>
      <c r="N1584" s="170"/>
      <c r="O1584" s="171"/>
      <c r="P1584" s="171"/>
      <c r="Q1584" s="172"/>
      <c r="R1584" s="173"/>
      <c r="S1584" s="173"/>
      <c r="T1584" s="173"/>
      <c r="U1584" s="201"/>
      <c r="V1584" s="165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</row>
    <row r="1585">
      <c r="A1585" s="165"/>
      <c r="B1585" s="166"/>
      <c r="C1585" s="166"/>
      <c r="D1585" s="165"/>
      <c r="E1585" s="165"/>
      <c r="F1585" s="377"/>
      <c r="G1585" s="377"/>
      <c r="H1585" s="378"/>
      <c r="I1585" s="378"/>
      <c r="J1585" s="377"/>
      <c r="K1585" s="166"/>
      <c r="L1585" s="166"/>
      <c r="M1585" s="205"/>
      <c r="N1585" s="170"/>
      <c r="O1585" s="171"/>
      <c r="P1585" s="171"/>
      <c r="Q1585" s="172"/>
      <c r="R1585" s="173"/>
      <c r="S1585" s="173"/>
      <c r="T1585" s="173"/>
      <c r="U1585" s="201"/>
      <c r="V1585" s="165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</row>
    <row r="1586">
      <c r="A1586" s="165"/>
      <c r="B1586" s="166"/>
      <c r="C1586" s="166"/>
      <c r="D1586" s="165"/>
      <c r="E1586" s="165"/>
      <c r="F1586" s="377"/>
      <c r="G1586" s="377"/>
      <c r="H1586" s="378"/>
      <c r="I1586" s="378"/>
      <c r="J1586" s="377"/>
      <c r="K1586" s="166"/>
      <c r="L1586" s="166"/>
      <c r="M1586" s="205"/>
      <c r="N1586" s="170"/>
      <c r="O1586" s="171"/>
      <c r="P1586" s="171"/>
      <c r="Q1586" s="172"/>
      <c r="R1586" s="173"/>
      <c r="S1586" s="173"/>
      <c r="T1586" s="173"/>
      <c r="U1586" s="174"/>
      <c r="V1586" s="165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</row>
    <row r="1587">
      <c r="A1587" s="165"/>
      <c r="B1587" s="166"/>
      <c r="C1587" s="166"/>
      <c r="D1587" s="165"/>
      <c r="E1587" s="165"/>
      <c r="F1587" s="377"/>
      <c r="G1587" s="377"/>
      <c r="H1587" s="378"/>
      <c r="I1587" s="378"/>
      <c r="J1587" s="377"/>
      <c r="K1587" s="166"/>
      <c r="L1587" s="166"/>
      <c r="M1587" s="166"/>
      <c r="N1587" s="170"/>
      <c r="O1587" s="171"/>
      <c r="P1587" s="171"/>
      <c r="Q1587" s="172"/>
      <c r="R1587" s="173"/>
      <c r="S1587" s="173"/>
      <c r="T1587" s="173"/>
      <c r="U1587" s="174"/>
      <c r="V1587" s="165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</row>
    <row r="1588">
      <c r="A1588" s="251"/>
      <c r="B1588" s="252"/>
      <c r="C1588" s="253"/>
      <c r="D1588" s="254"/>
      <c r="E1588" s="251"/>
      <c r="F1588" s="255"/>
      <c r="G1588" s="255"/>
      <c r="H1588" s="256"/>
      <c r="I1588" s="256"/>
      <c r="J1588" s="377"/>
      <c r="K1588" s="253"/>
      <c r="L1588" s="253"/>
      <c r="M1588" s="275"/>
      <c r="N1588" s="258"/>
      <c r="O1588" s="259"/>
      <c r="P1588" s="259"/>
      <c r="Q1588" s="262"/>
      <c r="R1588" s="260"/>
      <c r="S1588" s="260"/>
      <c r="T1588" s="260"/>
      <c r="U1588" s="261"/>
      <c r="V1588" s="251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</row>
    <row r="1589">
      <c r="A1589" s="165"/>
      <c r="B1589" s="166"/>
      <c r="C1589" s="166"/>
      <c r="D1589" s="165"/>
      <c r="E1589" s="165"/>
      <c r="F1589" s="377"/>
      <c r="G1589" s="377"/>
      <c r="H1589" s="378"/>
      <c r="I1589" s="378"/>
      <c r="J1589" s="377"/>
      <c r="K1589" s="166"/>
      <c r="L1589" s="166"/>
      <c r="M1589" s="166"/>
      <c r="N1589" s="170"/>
      <c r="O1589" s="171"/>
      <c r="P1589" s="171"/>
      <c r="Q1589" s="172"/>
      <c r="R1589" s="173"/>
      <c r="S1589" s="173"/>
      <c r="T1589" s="173"/>
      <c r="U1589" s="201"/>
      <c r="V1589" s="165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</row>
    <row r="1590">
      <c r="A1590" s="165"/>
      <c r="B1590" s="166"/>
      <c r="C1590" s="166"/>
      <c r="D1590" s="165"/>
      <c r="E1590" s="165"/>
      <c r="F1590" s="377"/>
      <c r="G1590" s="377"/>
      <c r="H1590" s="378"/>
      <c r="I1590" s="378"/>
      <c r="J1590" s="377"/>
      <c r="K1590" s="166"/>
      <c r="L1590" s="166"/>
      <c r="M1590" s="166"/>
      <c r="N1590" s="170"/>
      <c r="O1590" s="171"/>
      <c r="P1590" s="171"/>
      <c r="Q1590" s="172"/>
      <c r="R1590" s="173"/>
      <c r="S1590" s="173"/>
      <c r="T1590" s="173"/>
      <c r="U1590" s="201"/>
      <c r="V1590" s="207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</row>
    <row r="1591">
      <c r="A1591" s="165"/>
      <c r="B1591" s="166"/>
      <c r="C1591" s="166"/>
      <c r="D1591" s="165"/>
      <c r="E1591" s="165"/>
      <c r="F1591" s="377"/>
      <c r="G1591" s="377"/>
      <c r="H1591" s="378"/>
      <c r="I1591" s="378"/>
      <c r="J1591" s="377"/>
      <c r="K1591" s="166"/>
      <c r="L1591" s="166"/>
      <c r="M1591" s="166"/>
      <c r="N1591" s="170"/>
      <c r="O1591" s="171"/>
      <c r="P1591" s="171"/>
      <c r="Q1591" s="172"/>
      <c r="R1591" s="173"/>
      <c r="S1591" s="173"/>
      <c r="T1591" s="173"/>
      <c r="U1591" s="174"/>
      <c r="V1591" s="165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</row>
    <row r="1592">
      <c r="A1592" s="165"/>
      <c r="B1592" s="166"/>
      <c r="C1592" s="166"/>
      <c r="D1592" s="165"/>
      <c r="E1592" s="165"/>
      <c r="F1592" s="377"/>
      <c r="G1592" s="377"/>
      <c r="H1592" s="378"/>
      <c r="I1592" s="378"/>
      <c r="J1592" s="377"/>
      <c r="K1592" s="166"/>
      <c r="L1592" s="166"/>
      <c r="M1592" s="205"/>
      <c r="N1592" s="170"/>
      <c r="O1592" s="171"/>
      <c r="P1592" s="171"/>
      <c r="Q1592" s="172"/>
      <c r="R1592" s="173"/>
      <c r="S1592" s="173"/>
      <c r="T1592" s="173"/>
      <c r="U1592" s="174"/>
      <c r="V1592" s="165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</row>
    <row r="1593">
      <c r="A1593" s="165"/>
      <c r="B1593" s="166"/>
      <c r="C1593" s="166"/>
      <c r="D1593" s="165"/>
      <c r="E1593" s="165"/>
      <c r="F1593" s="377"/>
      <c r="G1593" s="377"/>
      <c r="H1593" s="378"/>
      <c r="I1593" s="378"/>
      <c r="J1593" s="255"/>
      <c r="K1593" s="166"/>
      <c r="L1593" s="166"/>
      <c r="M1593" s="205"/>
      <c r="N1593" s="170"/>
      <c r="O1593" s="171"/>
      <c r="P1593" s="171"/>
      <c r="Q1593" s="172"/>
      <c r="R1593" s="173"/>
      <c r="S1593" s="173"/>
      <c r="T1593" s="173"/>
      <c r="U1593" s="174"/>
      <c r="V1593" s="165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</row>
    <row r="1594">
      <c r="A1594" s="165"/>
      <c r="B1594" s="166"/>
      <c r="C1594" s="166"/>
      <c r="D1594" s="165"/>
      <c r="E1594" s="165"/>
      <c r="F1594" s="377"/>
      <c r="G1594" s="377"/>
      <c r="H1594" s="378"/>
      <c r="I1594" s="378"/>
      <c r="J1594" s="377"/>
      <c r="K1594" s="166"/>
      <c r="L1594" s="166"/>
      <c r="M1594" s="166"/>
      <c r="N1594" s="170"/>
      <c r="O1594" s="171"/>
      <c r="P1594" s="171"/>
      <c r="Q1594" s="169"/>
      <c r="R1594" s="173"/>
      <c r="S1594" s="173"/>
      <c r="T1594" s="173"/>
      <c r="U1594" s="174"/>
      <c r="V1594" s="210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</row>
    <row r="1595">
      <c r="A1595" s="165"/>
      <c r="B1595" s="166"/>
      <c r="C1595" s="166"/>
      <c r="D1595" s="165"/>
      <c r="E1595" s="165"/>
      <c r="F1595" s="377"/>
      <c r="G1595" s="377"/>
      <c r="H1595" s="378"/>
      <c r="I1595" s="378"/>
      <c r="J1595" s="377"/>
      <c r="K1595" s="166"/>
      <c r="L1595" s="166"/>
      <c r="M1595" s="166"/>
      <c r="N1595" s="170"/>
      <c r="O1595" s="171"/>
      <c r="P1595" s="171"/>
      <c r="Q1595" s="172"/>
      <c r="R1595" s="173"/>
      <c r="S1595" s="173"/>
      <c r="T1595" s="173"/>
      <c r="U1595" s="174"/>
      <c r="V1595" s="165"/>
      <c r="W1595" s="188"/>
      <c r="X1595" s="188"/>
      <c r="Y1595" s="188"/>
      <c r="Z1595" s="188"/>
      <c r="AA1595" s="188"/>
      <c r="AB1595" s="188"/>
      <c r="AC1595" s="188"/>
      <c r="AD1595" s="188"/>
      <c r="AE1595" s="188"/>
      <c r="AF1595" s="188"/>
      <c r="AG1595" s="188"/>
      <c r="AH1595" s="188"/>
      <c r="AI1595" s="188"/>
    </row>
    <row r="1596">
      <c r="A1596" s="165"/>
      <c r="B1596" s="166"/>
      <c r="C1596" s="166"/>
      <c r="D1596" s="165"/>
      <c r="E1596" s="165"/>
      <c r="F1596" s="377"/>
      <c r="G1596" s="377"/>
      <c r="H1596" s="378"/>
      <c r="I1596" s="378"/>
      <c r="J1596" s="377"/>
      <c r="K1596" s="166"/>
      <c r="L1596" s="166"/>
      <c r="M1596" s="166"/>
      <c r="N1596" s="170"/>
      <c r="O1596" s="171"/>
      <c r="P1596" s="171"/>
      <c r="Q1596" s="172"/>
      <c r="R1596" s="173"/>
      <c r="S1596" s="173"/>
      <c r="T1596" s="173"/>
      <c r="U1596" s="201"/>
      <c r="V1596" s="165"/>
      <c r="W1596" s="188"/>
      <c r="X1596" s="188"/>
      <c r="Y1596" s="188"/>
      <c r="Z1596" s="188"/>
      <c r="AA1596" s="188"/>
      <c r="AB1596" s="188"/>
      <c r="AC1596" s="188"/>
      <c r="AD1596" s="188"/>
      <c r="AE1596" s="188"/>
      <c r="AF1596" s="188"/>
      <c r="AG1596" s="188"/>
      <c r="AH1596" s="188"/>
      <c r="AI1596" s="188"/>
    </row>
    <row r="1597">
      <c r="A1597" s="165"/>
      <c r="B1597" s="166"/>
      <c r="C1597" s="166"/>
      <c r="D1597" s="165"/>
      <c r="E1597" s="165"/>
      <c r="F1597" s="377"/>
      <c r="G1597" s="377"/>
      <c r="H1597" s="378"/>
      <c r="I1597" s="378"/>
      <c r="J1597" s="377"/>
      <c r="K1597" s="166"/>
      <c r="L1597" s="166"/>
      <c r="M1597" s="205"/>
      <c r="N1597" s="170"/>
      <c r="O1597" s="171"/>
      <c r="P1597" s="171"/>
      <c r="Q1597" s="172"/>
      <c r="R1597" s="173"/>
      <c r="S1597" s="173"/>
      <c r="T1597" s="173"/>
      <c r="U1597" s="174"/>
      <c r="V1597" s="165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</row>
    <row r="1598">
      <c r="A1598" s="165"/>
      <c r="B1598" s="166"/>
      <c r="C1598" s="166"/>
      <c r="D1598" s="165"/>
      <c r="E1598" s="165"/>
      <c r="F1598" s="377"/>
      <c r="G1598" s="377"/>
      <c r="H1598" s="378"/>
      <c r="I1598" s="378"/>
      <c r="J1598" s="377"/>
      <c r="K1598" s="166"/>
      <c r="L1598" s="166"/>
      <c r="M1598" s="205"/>
      <c r="N1598" s="170"/>
      <c r="O1598" s="171"/>
      <c r="P1598" s="171"/>
      <c r="Q1598" s="172"/>
      <c r="R1598" s="173"/>
      <c r="S1598" s="173"/>
      <c r="T1598" s="173"/>
      <c r="U1598" s="174"/>
      <c r="V1598" s="165"/>
      <c r="W1598" s="188"/>
      <c r="X1598" s="188"/>
      <c r="Y1598" s="188"/>
      <c r="Z1598" s="188"/>
      <c r="AA1598" s="188"/>
      <c r="AB1598" s="188"/>
      <c r="AC1598" s="188"/>
      <c r="AD1598" s="188"/>
      <c r="AE1598" s="188"/>
      <c r="AF1598" s="188"/>
      <c r="AG1598" s="188"/>
      <c r="AH1598" s="188"/>
      <c r="AI1598" s="188"/>
    </row>
    <row r="1599">
      <c r="A1599" s="165"/>
      <c r="B1599" s="166"/>
      <c r="C1599" s="166"/>
      <c r="D1599" s="165"/>
      <c r="E1599" s="165"/>
      <c r="F1599" s="377"/>
      <c r="G1599" s="377"/>
      <c r="H1599" s="378"/>
      <c r="I1599" s="378"/>
      <c r="J1599" s="377"/>
      <c r="K1599" s="166"/>
      <c r="L1599" s="166"/>
      <c r="M1599" s="205"/>
      <c r="N1599" s="170"/>
      <c r="O1599" s="171"/>
      <c r="P1599" s="171"/>
      <c r="Q1599" s="172"/>
      <c r="R1599" s="173"/>
      <c r="S1599" s="173"/>
      <c r="T1599" s="173"/>
      <c r="U1599" s="174"/>
      <c r="V1599" s="165"/>
      <c r="W1599" s="188"/>
      <c r="X1599" s="188"/>
      <c r="Y1599" s="188"/>
      <c r="Z1599" s="188"/>
      <c r="AA1599" s="188"/>
      <c r="AB1599" s="188"/>
      <c r="AC1599" s="188"/>
      <c r="AD1599" s="188"/>
      <c r="AE1599" s="188"/>
      <c r="AF1599" s="188"/>
      <c r="AG1599" s="188"/>
      <c r="AH1599" s="188"/>
      <c r="AI1599" s="188"/>
    </row>
    <row r="1600">
      <c r="A1600" s="165"/>
      <c r="B1600" s="166"/>
      <c r="C1600" s="166"/>
      <c r="D1600" s="165"/>
      <c r="E1600" s="165"/>
      <c r="F1600" s="377"/>
      <c r="G1600" s="377"/>
      <c r="H1600" s="378"/>
      <c r="I1600" s="378"/>
      <c r="J1600" s="377"/>
      <c r="K1600" s="166"/>
      <c r="L1600" s="166"/>
      <c r="M1600" s="166"/>
      <c r="N1600" s="170"/>
      <c r="O1600" s="171"/>
      <c r="P1600" s="171"/>
      <c r="Q1600" s="172"/>
      <c r="R1600" s="173"/>
      <c r="S1600" s="173"/>
      <c r="T1600" s="173"/>
      <c r="U1600" s="174"/>
      <c r="V1600" s="165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</row>
    <row r="1601">
      <c r="A1601" s="165"/>
      <c r="B1601" s="166"/>
      <c r="C1601" s="166"/>
      <c r="D1601" s="165"/>
      <c r="E1601" s="165"/>
      <c r="F1601" s="377"/>
      <c r="G1601" s="377"/>
      <c r="H1601" s="378"/>
      <c r="I1601" s="378"/>
      <c r="J1601" s="377"/>
      <c r="K1601" s="166"/>
      <c r="L1601" s="166"/>
      <c r="M1601" s="205"/>
      <c r="N1601" s="170"/>
      <c r="O1601" s="171"/>
      <c r="P1601" s="171"/>
      <c r="Q1601" s="172"/>
      <c r="R1601" s="173"/>
      <c r="S1601" s="173"/>
      <c r="T1601" s="173"/>
      <c r="U1601" s="174"/>
      <c r="V1601" s="165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</row>
    <row r="1602">
      <c r="A1602" s="165"/>
      <c r="B1602" s="166"/>
      <c r="C1602" s="166"/>
      <c r="D1602" s="165"/>
      <c r="E1602" s="165"/>
      <c r="F1602" s="377"/>
      <c r="G1602" s="377"/>
      <c r="H1602" s="378"/>
      <c r="I1602" s="378"/>
      <c r="J1602" s="377"/>
      <c r="K1602" s="166"/>
      <c r="L1602" s="166"/>
      <c r="M1602" s="205"/>
      <c r="N1602" s="170"/>
      <c r="O1602" s="171"/>
      <c r="P1602" s="171"/>
      <c r="Q1602" s="172"/>
      <c r="R1602" s="173"/>
      <c r="S1602" s="173"/>
      <c r="T1602" s="173"/>
      <c r="U1602" s="174"/>
      <c r="V1602" s="165"/>
      <c r="W1602" s="35"/>
      <c r="X1602" s="35"/>
      <c r="Y1602" s="35"/>
      <c r="Z1602" s="35"/>
      <c r="AA1602" s="35"/>
      <c r="AB1602" s="35"/>
      <c r="AC1602" s="35"/>
      <c r="AD1602" s="35"/>
      <c r="AE1602" s="35"/>
      <c r="AF1602" s="35"/>
      <c r="AG1602" s="35"/>
      <c r="AH1602" s="35"/>
      <c r="AI1602" s="35"/>
    </row>
    <row r="1603">
      <c r="A1603" s="165"/>
      <c r="B1603" s="166"/>
      <c r="C1603" s="166"/>
      <c r="D1603" s="165"/>
      <c r="E1603" s="165"/>
      <c r="F1603" s="377"/>
      <c r="G1603" s="377"/>
      <c r="H1603" s="378"/>
      <c r="I1603" s="378"/>
      <c r="J1603" s="377"/>
      <c r="K1603" s="166"/>
      <c r="L1603" s="166"/>
      <c r="M1603" s="205"/>
      <c r="N1603" s="170"/>
      <c r="O1603" s="171"/>
      <c r="P1603" s="171"/>
      <c r="Q1603" s="172"/>
      <c r="R1603" s="173"/>
      <c r="S1603" s="173"/>
      <c r="T1603" s="173"/>
      <c r="U1603" s="174"/>
      <c r="V1603" s="165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</row>
    <row r="1604">
      <c r="A1604" s="263"/>
      <c r="B1604" s="264"/>
      <c r="C1604" s="265"/>
      <c r="D1604" s="266"/>
      <c r="E1604" s="263"/>
      <c r="F1604" s="267"/>
      <c r="G1604" s="267"/>
      <c r="H1604" s="268"/>
      <c r="I1604" s="268"/>
      <c r="J1604" s="377"/>
      <c r="K1604" s="265"/>
      <c r="L1604" s="265"/>
      <c r="M1604" s="269"/>
      <c r="N1604" s="270"/>
      <c r="O1604" s="271"/>
      <c r="P1604" s="271"/>
      <c r="Q1604" s="272"/>
      <c r="R1604" s="273"/>
      <c r="S1604" s="273"/>
      <c r="T1604" s="273"/>
      <c r="U1604" s="274"/>
      <c r="V1604" s="263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</row>
    <row r="1605">
      <c r="A1605" s="165"/>
      <c r="B1605" s="166"/>
      <c r="C1605" s="166"/>
      <c r="D1605" s="165"/>
      <c r="E1605" s="165"/>
      <c r="F1605" s="377"/>
      <c r="G1605" s="377"/>
      <c r="H1605" s="378"/>
      <c r="I1605" s="378"/>
      <c r="J1605" s="377"/>
      <c r="K1605" s="166"/>
      <c r="L1605" s="166"/>
      <c r="M1605" s="166"/>
      <c r="N1605" s="170"/>
      <c r="O1605" s="171"/>
      <c r="P1605" s="171"/>
      <c r="Q1605" s="172"/>
      <c r="R1605" s="173"/>
      <c r="S1605" s="173"/>
      <c r="T1605" s="173"/>
      <c r="U1605" s="174"/>
      <c r="V1605" s="165"/>
      <c r="W1605" s="188"/>
      <c r="X1605" s="188"/>
      <c r="Y1605" s="188"/>
      <c r="Z1605" s="188"/>
      <c r="AA1605" s="188"/>
      <c r="AB1605" s="188"/>
      <c r="AC1605" s="188"/>
      <c r="AD1605" s="188"/>
      <c r="AE1605" s="188"/>
      <c r="AF1605" s="188"/>
      <c r="AG1605" s="188"/>
      <c r="AH1605" s="188"/>
      <c r="AI1605" s="188"/>
    </row>
    <row r="1606">
      <c r="A1606" s="165"/>
      <c r="B1606" s="166"/>
      <c r="C1606" s="166"/>
      <c r="D1606" s="165"/>
      <c r="E1606" s="165"/>
      <c r="F1606" s="377"/>
      <c r="G1606" s="377"/>
      <c r="H1606" s="378"/>
      <c r="I1606" s="378"/>
      <c r="J1606" s="377"/>
      <c r="K1606" s="166"/>
      <c r="L1606" s="166"/>
      <c r="M1606" s="205"/>
      <c r="N1606" s="170"/>
      <c r="O1606" s="171"/>
      <c r="P1606" s="171"/>
      <c r="Q1606" s="172"/>
      <c r="R1606" s="173"/>
      <c r="S1606" s="173"/>
      <c r="T1606" s="173"/>
      <c r="U1606" s="174"/>
      <c r="V1606" s="165"/>
      <c r="W1606" s="35"/>
      <c r="X1606" s="35"/>
      <c r="Y1606" s="35"/>
      <c r="Z1606" s="35"/>
      <c r="AA1606" s="35"/>
      <c r="AB1606" s="35"/>
      <c r="AC1606" s="35"/>
      <c r="AD1606" s="35"/>
      <c r="AE1606" s="35"/>
      <c r="AF1606" s="35"/>
      <c r="AG1606" s="35"/>
      <c r="AH1606" s="35"/>
      <c r="AI1606" s="35"/>
    </row>
    <row r="1607">
      <c r="A1607" s="165"/>
      <c r="B1607" s="166"/>
      <c r="C1607" s="166"/>
      <c r="D1607" s="165"/>
      <c r="E1607" s="165"/>
      <c r="F1607" s="377"/>
      <c r="G1607" s="377"/>
      <c r="H1607" s="378"/>
      <c r="I1607" s="378"/>
      <c r="J1607" s="377"/>
      <c r="K1607" s="166"/>
      <c r="L1607" s="166"/>
      <c r="M1607" s="166"/>
      <c r="N1607" s="170"/>
      <c r="O1607" s="171"/>
      <c r="P1607" s="171"/>
      <c r="Q1607" s="172"/>
      <c r="R1607" s="173"/>
      <c r="S1607" s="173"/>
      <c r="T1607" s="173"/>
      <c r="U1607" s="174"/>
      <c r="V1607" s="165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</row>
    <row r="1608">
      <c r="A1608" s="165"/>
      <c r="B1608" s="166"/>
      <c r="C1608" s="166"/>
      <c r="D1608" s="165"/>
      <c r="E1608" s="165"/>
      <c r="F1608" s="377"/>
      <c r="G1608" s="377"/>
      <c r="H1608" s="378"/>
      <c r="I1608" s="378"/>
      <c r="J1608" s="377"/>
      <c r="K1608" s="166"/>
      <c r="L1608" s="166"/>
      <c r="M1608" s="166"/>
      <c r="N1608" s="170"/>
      <c r="O1608" s="171"/>
      <c r="P1608" s="171"/>
      <c r="Q1608" s="172"/>
      <c r="R1608" s="173"/>
      <c r="S1608" s="173"/>
      <c r="T1608" s="173"/>
      <c r="U1608" s="174"/>
      <c r="V1608" s="210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</row>
    <row r="1609">
      <c r="A1609" s="263"/>
      <c r="B1609" s="166"/>
      <c r="C1609" s="166"/>
      <c r="D1609" s="165"/>
      <c r="E1609" s="165"/>
      <c r="F1609" s="377"/>
      <c r="G1609" s="377"/>
      <c r="H1609" s="378"/>
      <c r="I1609" s="378"/>
      <c r="J1609" s="267"/>
      <c r="K1609" s="166"/>
      <c r="L1609" s="166"/>
      <c r="M1609" s="166"/>
      <c r="N1609" s="170"/>
      <c r="O1609" s="171"/>
      <c r="P1609" s="171"/>
      <c r="Q1609" s="172"/>
      <c r="R1609" s="173"/>
      <c r="S1609" s="173"/>
      <c r="T1609" s="173"/>
      <c r="U1609" s="174"/>
      <c r="V1609" s="165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</row>
    <row r="1610">
      <c r="A1610" s="165"/>
      <c r="B1610" s="166"/>
      <c r="C1610" s="166"/>
      <c r="D1610" s="165"/>
      <c r="E1610" s="165"/>
      <c r="F1610" s="377"/>
      <c r="G1610" s="377"/>
      <c r="H1610" s="378"/>
      <c r="I1610" s="378"/>
      <c r="J1610" s="377"/>
      <c r="K1610" s="166"/>
      <c r="L1610" s="166"/>
      <c r="M1610" s="166"/>
      <c r="N1610" s="170"/>
      <c r="O1610" s="171"/>
      <c r="P1610" s="171"/>
      <c r="Q1610" s="172"/>
      <c r="R1610" s="173"/>
      <c r="S1610" s="173"/>
      <c r="T1610" s="173"/>
      <c r="U1610" s="174"/>
      <c r="V1610" s="165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</row>
    <row r="1611">
      <c r="A1611" s="165"/>
      <c r="B1611" s="166"/>
      <c r="C1611" s="166"/>
      <c r="D1611" s="165"/>
      <c r="E1611" s="165"/>
      <c r="F1611" s="377"/>
      <c r="G1611" s="377"/>
      <c r="H1611" s="378"/>
      <c r="I1611" s="378"/>
      <c r="J1611" s="377"/>
      <c r="K1611" s="166"/>
      <c r="L1611" s="166"/>
      <c r="M1611" s="166"/>
      <c r="N1611" s="170"/>
      <c r="O1611" s="171"/>
      <c r="P1611" s="171"/>
      <c r="Q1611" s="172"/>
      <c r="R1611" s="173"/>
      <c r="S1611" s="173"/>
      <c r="T1611" s="260"/>
      <c r="U1611" s="261"/>
      <c r="V1611" s="251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</row>
    <row r="1612">
      <c r="A1612" s="165"/>
      <c r="B1612" s="166"/>
      <c r="C1612" s="166"/>
      <c r="D1612" s="165"/>
      <c r="E1612" s="165"/>
      <c r="F1612" s="377"/>
      <c r="G1612" s="377"/>
      <c r="H1612" s="378"/>
      <c r="I1612" s="378"/>
      <c r="J1612" s="377"/>
      <c r="K1612" s="166"/>
      <c r="L1612" s="166"/>
      <c r="M1612" s="166"/>
      <c r="N1612" s="170"/>
      <c r="O1612" s="171"/>
      <c r="P1612" s="171"/>
      <c r="Q1612" s="172"/>
      <c r="R1612" s="173"/>
      <c r="S1612" s="173"/>
      <c r="T1612" s="173"/>
      <c r="U1612" s="174"/>
      <c r="V1612" s="165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</row>
    <row r="1613">
      <c r="A1613" s="165"/>
      <c r="B1613" s="166"/>
      <c r="C1613" s="166"/>
      <c r="D1613" s="165"/>
      <c r="E1613" s="165"/>
      <c r="F1613" s="377"/>
      <c r="G1613" s="377"/>
      <c r="H1613" s="378"/>
      <c r="I1613" s="378"/>
      <c r="J1613" s="377"/>
      <c r="K1613" s="166"/>
      <c r="L1613" s="166"/>
      <c r="M1613" s="166"/>
      <c r="N1613" s="170"/>
      <c r="O1613" s="171"/>
      <c r="P1613" s="171"/>
      <c r="Q1613" s="172"/>
      <c r="R1613" s="173"/>
      <c r="S1613" s="173"/>
      <c r="T1613" s="173"/>
      <c r="U1613" s="174"/>
      <c r="V1613" s="165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</row>
    <row r="1614">
      <c r="A1614" s="165"/>
      <c r="B1614" s="166"/>
      <c r="C1614" s="166"/>
      <c r="D1614" s="165"/>
      <c r="E1614" s="165"/>
      <c r="F1614" s="377"/>
      <c r="G1614" s="377"/>
      <c r="H1614" s="378"/>
      <c r="I1614" s="378"/>
      <c r="J1614" s="377"/>
      <c r="K1614" s="166"/>
      <c r="L1614" s="166"/>
      <c r="M1614" s="166"/>
      <c r="N1614" s="170"/>
      <c r="O1614" s="171"/>
      <c r="P1614" s="171"/>
      <c r="Q1614" s="172"/>
      <c r="R1614" s="173"/>
      <c r="S1614" s="173"/>
      <c r="T1614" s="173"/>
      <c r="U1614" s="174"/>
      <c r="V1614" s="165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</row>
    <row r="1615">
      <c r="A1615" s="165"/>
      <c r="B1615" s="166"/>
      <c r="C1615" s="166"/>
      <c r="D1615" s="165"/>
      <c r="E1615" s="165"/>
      <c r="F1615" s="377"/>
      <c r="G1615" s="377"/>
      <c r="H1615" s="378"/>
      <c r="I1615" s="378"/>
      <c r="J1615" s="377"/>
      <c r="K1615" s="166"/>
      <c r="L1615" s="166"/>
      <c r="M1615" s="166"/>
      <c r="N1615" s="170"/>
      <c r="O1615" s="171"/>
      <c r="P1615" s="171"/>
      <c r="Q1615" s="172"/>
      <c r="R1615" s="173"/>
      <c r="S1615" s="173"/>
      <c r="T1615" s="173"/>
      <c r="U1615" s="174"/>
      <c r="V1615" s="165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</row>
    <row r="1616">
      <c r="A1616" s="165"/>
      <c r="B1616" s="166"/>
      <c r="C1616" s="166"/>
      <c r="D1616" s="165"/>
      <c r="E1616" s="165"/>
      <c r="F1616" s="377"/>
      <c r="G1616" s="377"/>
      <c r="H1616" s="378"/>
      <c r="I1616" s="378"/>
      <c r="J1616" s="377"/>
      <c r="K1616" s="166"/>
      <c r="L1616" s="166"/>
      <c r="M1616" s="166"/>
      <c r="N1616" s="170"/>
      <c r="O1616" s="171"/>
      <c r="P1616" s="171"/>
      <c r="Q1616" s="172"/>
      <c r="R1616" s="173"/>
      <c r="S1616" s="173"/>
      <c r="T1616" s="173"/>
      <c r="U1616" s="174"/>
      <c r="V1616" s="165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</row>
    <row r="1617">
      <c r="A1617" s="165"/>
      <c r="B1617" s="166"/>
      <c r="C1617" s="166"/>
      <c r="D1617" s="165"/>
      <c r="E1617" s="165"/>
      <c r="F1617" s="377"/>
      <c r="G1617" s="377"/>
      <c r="H1617" s="378"/>
      <c r="I1617" s="378"/>
      <c r="J1617" s="377"/>
      <c r="K1617" s="166"/>
      <c r="L1617" s="166"/>
      <c r="M1617" s="205"/>
      <c r="N1617" s="170"/>
      <c r="O1617" s="171"/>
      <c r="P1617" s="171"/>
      <c r="Q1617" s="172"/>
      <c r="R1617" s="173"/>
      <c r="S1617" s="173"/>
      <c r="T1617" s="173"/>
      <c r="U1617" s="174"/>
      <c r="V1617" s="165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</row>
    <row r="1618">
      <c r="A1618" s="165"/>
      <c r="B1618" s="166"/>
      <c r="C1618" s="166"/>
      <c r="D1618" s="165"/>
      <c r="E1618" s="165"/>
      <c r="F1618" s="377"/>
      <c r="G1618" s="377"/>
      <c r="H1618" s="378"/>
      <c r="I1618" s="378"/>
      <c r="J1618" s="377"/>
      <c r="K1618" s="166"/>
      <c r="L1618" s="166"/>
      <c r="M1618" s="166"/>
      <c r="N1618" s="170"/>
      <c r="O1618" s="171"/>
      <c r="P1618" s="171"/>
      <c r="Q1618" s="172"/>
      <c r="R1618" s="173"/>
      <c r="S1618" s="173"/>
      <c r="T1618" s="173"/>
      <c r="U1618" s="174"/>
      <c r="V1618" s="165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</row>
    <row r="1619">
      <c r="A1619" s="165"/>
      <c r="B1619" s="166"/>
      <c r="C1619" s="166"/>
      <c r="D1619" s="165"/>
      <c r="E1619" s="165"/>
      <c r="F1619" s="377"/>
      <c r="G1619" s="377"/>
      <c r="H1619" s="378"/>
      <c r="I1619" s="378"/>
      <c r="J1619" s="377"/>
      <c r="K1619" s="166"/>
      <c r="L1619" s="166"/>
      <c r="M1619" s="166"/>
      <c r="N1619" s="169"/>
      <c r="O1619" s="171"/>
      <c r="P1619" s="171"/>
      <c r="Q1619" s="169"/>
      <c r="R1619" s="173"/>
      <c r="S1619" s="173"/>
      <c r="T1619" s="173"/>
      <c r="U1619" s="174"/>
      <c r="V1619" s="165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</row>
    <row r="1620">
      <c r="A1620" s="165"/>
      <c r="B1620" s="166"/>
      <c r="C1620" s="166"/>
      <c r="D1620" s="165"/>
      <c r="E1620" s="165"/>
      <c r="F1620" s="377"/>
      <c r="G1620" s="377"/>
      <c r="H1620" s="378"/>
      <c r="I1620" s="378"/>
      <c r="J1620" s="377"/>
      <c r="K1620" s="166"/>
      <c r="L1620" s="166"/>
      <c r="M1620" s="166"/>
      <c r="N1620" s="169"/>
      <c r="O1620" s="171"/>
      <c r="P1620" s="171"/>
      <c r="Q1620" s="169"/>
      <c r="R1620" s="173"/>
      <c r="S1620" s="173"/>
      <c r="T1620" s="173"/>
      <c r="U1620" s="174"/>
      <c r="V1620" s="165"/>
      <c r="W1620" s="188"/>
      <c r="X1620" s="188"/>
      <c r="Y1620" s="188"/>
      <c r="Z1620" s="188"/>
      <c r="AA1620" s="188"/>
      <c r="AB1620" s="188"/>
      <c r="AC1620" s="188"/>
      <c r="AD1620" s="188"/>
      <c r="AE1620" s="188"/>
      <c r="AF1620" s="188"/>
      <c r="AG1620" s="188"/>
      <c r="AH1620" s="188"/>
      <c r="AI1620" s="188"/>
    </row>
    <row r="1621">
      <c r="A1621" s="165"/>
      <c r="B1621" s="166"/>
      <c r="C1621" s="166"/>
      <c r="D1621" s="165"/>
      <c r="E1621" s="165"/>
      <c r="F1621" s="377"/>
      <c r="G1621" s="377"/>
      <c r="H1621" s="378"/>
      <c r="I1621" s="378"/>
      <c r="J1621" s="377"/>
      <c r="K1621" s="166"/>
      <c r="L1621" s="166"/>
      <c r="M1621" s="166"/>
      <c r="N1621" s="170"/>
      <c r="O1621" s="171"/>
      <c r="P1621" s="171"/>
      <c r="Q1621" s="172"/>
      <c r="R1621" s="173"/>
      <c r="S1621" s="173"/>
      <c r="T1621" s="173"/>
      <c r="U1621" s="174"/>
      <c r="V1621" s="165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</row>
    <row r="1622">
      <c r="A1622" s="165"/>
      <c r="B1622" s="166"/>
      <c r="C1622" s="166"/>
      <c r="D1622" s="165"/>
      <c r="E1622" s="165"/>
      <c r="F1622" s="377"/>
      <c r="G1622" s="377"/>
      <c r="H1622" s="378"/>
      <c r="I1622" s="378"/>
      <c r="J1622" s="377"/>
      <c r="K1622" s="166"/>
      <c r="L1622" s="166"/>
      <c r="M1622" s="166"/>
      <c r="N1622" s="170"/>
      <c r="O1622" s="171"/>
      <c r="P1622" s="171"/>
      <c r="Q1622" s="172"/>
      <c r="R1622" s="173"/>
      <c r="S1622" s="173"/>
      <c r="T1622" s="173"/>
      <c r="U1622" s="174"/>
      <c r="V1622" s="165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</row>
    <row r="1623">
      <c r="A1623" s="165"/>
      <c r="B1623" s="166"/>
      <c r="C1623" s="166"/>
      <c r="D1623" s="165"/>
      <c r="E1623" s="165"/>
      <c r="F1623" s="377"/>
      <c r="G1623" s="377"/>
      <c r="H1623" s="378"/>
      <c r="I1623" s="378"/>
      <c r="J1623" s="377"/>
      <c r="K1623" s="166"/>
      <c r="L1623" s="166"/>
      <c r="M1623" s="205"/>
      <c r="N1623" s="170"/>
      <c r="O1623" s="171"/>
      <c r="P1623" s="171"/>
      <c r="Q1623" s="172"/>
      <c r="R1623" s="173"/>
      <c r="S1623" s="173"/>
      <c r="T1623" s="173"/>
      <c r="U1623" s="174"/>
      <c r="V1623" s="165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</row>
    <row r="1624">
      <c r="A1624" s="165"/>
      <c r="B1624" s="166"/>
      <c r="C1624" s="166"/>
      <c r="D1624" s="165"/>
      <c r="E1624" s="165"/>
      <c r="F1624" s="377"/>
      <c r="G1624" s="377"/>
      <c r="H1624" s="378"/>
      <c r="I1624" s="378"/>
      <c r="J1624" s="377"/>
      <c r="K1624" s="166"/>
      <c r="L1624" s="166"/>
      <c r="M1624" s="166"/>
      <c r="N1624" s="170"/>
      <c r="O1624" s="171"/>
      <c r="P1624" s="171"/>
      <c r="Q1624" s="172"/>
      <c r="R1624" s="173"/>
      <c r="S1624" s="173"/>
      <c r="T1624" s="173"/>
      <c r="U1624" s="174"/>
      <c r="V1624" s="165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</row>
    <row r="1625">
      <c r="A1625" s="165"/>
      <c r="B1625" s="166"/>
      <c r="C1625" s="166"/>
      <c r="D1625" s="165"/>
      <c r="E1625" s="165"/>
      <c r="F1625" s="377"/>
      <c r="G1625" s="377"/>
      <c r="H1625" s="378"/>
      <c r="I1625" s="378"/>
      <c r="J1625" s="377"/>
      <c r="K1625" s="166"/>
      <c r="L1625" s="166"/>
      <c r="M1625" s="166"/>
      <c r="N1625" s="170"/>
      <c r="O1625" s="171"/>
      <c r="P1625" s="171"/>
      <c r="Q1625" s="172"/>
      <c r="R1625" s="173"/>
      <c r="S1625" s="173"/>
      <c r="T1625" s="173"/>
      <c r="U1625" s="174"/>
      <c r="V1625" s="165"/>
      <c r="W1625" s="188"/>
      <c r="X1625" s="188"/>
      <c r="Y1625" s="188"/>
      <c r="Z1625" s="188"/>
      <c r="AA1625" s="188"/>
      <c r="AB1625" s="188"/>
      <c r="AC1625" s="188"/>
      <c r="AD1625" s="188"/>
      <c r="AE1625" s="188"/>
      <c r="AF1625" s="188"/>
      <c r="AG1625" s="188"/>
      <c r="AH1625" s="188"/>
      <c r="AI1625" s="188"/>
    </row>
    <row r="1626">
      <c r="A1626" s="165"/>
      <c r="B1626" s="166"/>
      <c r="C1626" s="166"/>
      <c r="D1626" s="165"/>
      <c r="E1626" s="165"/>
      <c r="F1626" s="377"/>
      <c r="G1626" s="377"/>
      <c r="H1626" s="378"/>
      <c r="I1626" s="378"/>
      <c r="J1626" s="377"/>
      <c r="K1626" s="166"/>
      <c r="L1626" s="166"/>
      <c r="M1626" s="166"/>
      <c r="N1626" s="170"/>
      <c r="O1626" s="171"/>
      <c r="P1626" s="171"/>
      <c r="Q1626" s="172"/>
      <c r="R1626" s="173"/>
      <c r="S1626" s="173"/>
      <c r="T1626" s="173"/>
      <c r="U1626" s="174"/>
      <c r="V1626" s="165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</row>
    <row r="1627">
      <c r="A1627" s="165"/>
      <c r="B1627" s="166"/>
      <c r="C1627" s="166"/>
      <c r="D1627" s="165"/>
      <c r="E1627" s="165"/>
      <c r="F1627" s="377"/>
      <c r="G1627" s="377"/>
      <c r="H1627" s="378"/>
      <c r="I1627" s="378"/>
      <c r="J1627" s="377"/>
      <c r="K1627" s="166"/>
      <c r="L1627" s="166"/>
      <c r="M1627" s="166"/>
      <c r="N1627" s="170"/>
      <c r="O1627" s="171"/>
      <c r="P1627" s="171"/>
      <c r="Q1627" s="172"/>
      <c r="R1627" s="173"/>
      <c r="S1627" s="173"/>
      <c r="T1627" s="173"/>
      <c r="U1627" s="174"/>
      <c r="V1627" s="165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</row>
    <row r="1628">
      <c r="A1628" s="165"/>
      <c r="B1628" s="166"/>
      <c r="C1628" s="166"/>
      <c r="D1628" s="165"/>
      <c r="E1628" s="165"/>
      <c r="F1628" s="377"/>
      <c r="G1628" s="377"/>
      <c r="H1628" s="378"/>
      <c r="I1628" s="378"/>
      <c r="J1628" s="377"/>
      <c r="K1628" s="166"/>
      <c r="L1628" s="166"/>
      <c r="M1628" s="205"/>
      <c r="N1628" s="170"/>
      <c r="O1628" s="171"/>
      <c r="P1628" s="171"/>
      <c r="Q1628" s="172"/>
      <c r="R1628" s="173"/>
      <c r="S1628" s="173"/>
      <c r="T1628" s="173"/>
      <c r="U1628" s="174"/>
      <c r="V1628" s="165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</row>
    <row r="1629">
      <c r="A1629" s="165"/>
      <c r="B1629" s="166"/>
      <c r="C1629" s="166"/>
      <c r="D1629" s="165"/>
      <c r="E1629" s="165"/>
      <c r="F1629" s="377"/>
      <c r="G1629" s="377"/>
      <c r="H1629" s="378"/>
      <c r="I1629" s="378"/>
      <c r="J1629" s="377"/>
      <c r="K1629" s="166"/>
      <c r="L1629" s="166"/>
      <c r="M1629" s="166"/>
      <c r="N1629" s="170"/>
      <c r="O1629" s="171"/>
      <c r="P1629" s="171"/>
      <c r="Q1629" s="172"/>
      <c r="R1629" s="173"/>
      <c r="S1629" s="173"/>
      <c r="T1629" s="173"/>
      <c r="U1629" s="174"/>
      <c r="V1629" s="165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</row>
    <row r="1630">
      <c r="A1630" s="251"/>
      <c r="B1630" s="252"/>
      <c r="C1630" s="253"/>
      <c r="D1630" s="254"/>
      <c r="E1630" s="251"/>
      <c r="F1630" s="255"/>
      <c r="G1630" s="255"/>
      <c r="H1630" s="256"/>
      <c r="I1630" s="256"/>
      <c r="J1630" s="377"/>
      <c r="K1630" s="253"/>
      <c r="L1630" s="253"/>
      <c r="M1630" s="252"/>
      <c r="N1630" s="258"/>
      <c r="O1630" s="259"/>
      <c r="P1630" s="259"/>
      <c r="Q1630" s="257"/>
      <c r="R1630" s="260"/>
      <c r="S1630" s="260"/>
      <c r="T1630" s="273"/>
      <c r="U1630" s="274"/>
      <c r="V1630" s="263"/>
      <c r="W1630" s="35"/>
      <c r="X1630" s="35"/>
      <c r="Y1630" s="35"/>
      <c r="Z1630" s="35"/>
      <c r="AA1630" s="35"/>
      <c r="AB1630" s="35"/>
      <c r="AC1630" s="35"/>
      <c r="AD1630" s="35"/>
      <c r="AE1630" s="35"/>
      <c r="AF1630" s="35"/>
      <c r="AG1630" s="35"/>
      <c r="AH1630" s="35"/>
      <c r="AI1630" s="35"/>
    </row>
    <row r="1631">
      <c r="A1631" s="165"/>
      <c r="B1631" s="166"/>
      <c r="C1631" s="166"/>
      <c r="D1631" s="165"/>
      <c r="E1631" s="165"/>
      <c r="F1631" s="377"/>
      <c r="G1631" s="377"/>
      <c r="H1631" s="378"/>
      <c r="I1631" s="378"/>
      <c r="J1631" s="377"/>
      <c r="K1631" s="166"/>
      <c r="L1631" s="166"/>
      <c r="M1631" s="205"/>
      <c r="N1631" s="170"/>
      <c r="O1631" s="171"/>
      <c r="P1631" s="171"/>
      <c r="Q1631" s="172"/>
      <c r="R1631" s="173"/>
      <c r="S1631" s="173"/>
      <c r="T1631" s="173"/>
      <c r="U1631" s="174"/>
      <c r="V1631" s="165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</row>
    <row r="1632">
      <c r="A1632" s="165"/>
      <c r="B1632" s="166"/>
      <c r="C1632" s="166"/>
      <c r="D1632" s="165"/>
      <c r="E1632" s="165"/>
      <c r="F1632" s="377"/>
      <c r="G1632" s="377"/>
      <c r="H1632" s="378"/>
      <c r="I1632" s="378"/>
      <c r="J1632" s="377"/>
      <c r="K1632" s="166"/>
      <c r="L1632" s="166"/>
      <c r="M1632" s="166"/>
      <c r="N1632" s="170"/>
      <c r="O1632" s="171"/>
      <c r="P1632" s="171"/>
      <c r="Q1632" s="172"/>
      <c r="R1632" s="173"/>
      <c r="S1632" s="173"/>
      <c r="T1632" s="173"/>
      <c r="U1632" s="174"/>
      <c r="V1632" s="210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</row>
    <row r="1633">
      <c r="A1633" s="165"/>
      <c r="B1633" s="166"/>
      <c r="C1633" s="166"/>
      <c r="D1633" s="165"/>
      <c r="E1633" s="165"/>
      <c r="F1633" s="377"/>
      <c r="G1633" s="377"/>
      <c r="H1633" s="378"/>
      <c r="I1633" s="378"/>
      <c r="J1633" s="377"/>
      <c r="K1633" s="166"/>
      <c r="L1633" s="166"/>
      <c r="M1633" s="205"/>
      <c r="N1633" s="170"/>
      <c r="O1633" s="171"/>
      <c r="P1633" s="171"/>
      <c r="Q1633" s="172"/>
      <c r="R1633" s="173"/>
      <c r="S1633" s="173"/>
      <c r="T1633" s="173"/>
      <c r="U1633" s="174"/>
      <c r="V1633" s="165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</row>
    <row r="1634">
      <c r="A1634" s="165"/>
      <c r="B1634" s="166"/>
      <c r="C1634" s="166"/>
      <c r="D1634" s="165"/>
      <c r="E1634" s="165"/>
      <c r="F1634" s="377"/>
      <c r="G1634" s="377"/>
      <c r="H1634" s="378"/>
      <c r="I1634" s="378"/>
      <c r="J1634" s="377"/>
      <c r="K1634" s="166"/>
      <c r="L1634" s="166"/>
      <c r="M1634" s="166"/>
      <c r="N1634" s="170"/>
      <c r="O1634" s="171"/>
      <c r="P1634" s="171"/>
      <c r="Q1634" s="172"/>
      <c r="R1634" s="173"/>
      <c r="S1634" s="173"/>
      <c r="T1634" s="173"/>
      <c r="U1634" s="174"/>
      <c r="V1634" s="165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</row>
    <row r="1635">
      <c r="A1635" s="165"/>
      <c r="B1635" s="166"/>
      <c r="C1635" s="166"/>
      <c r="D1635" s="165"/>
      <c r="E1635" s="165"/>
      <c r="F1635" s="377"/>
      <c r="G1635" s="377"/>
      <c r="H1635" s="378"/>
      <c r="I1635" s="378"/>
      <c r="J1635" s="255"/>
      <c r="K1635" s="166"/>
      <c r="L1635" s="166"/>
      <c r="M1635" s="166"/>
      <c r="N1635" s="170"/>
      <c r="O1635" s="171"/>
      <c r="P1635" s="171"/>
      <c r="Q1635" s="172"/>
      <c r="R1635" s="173"/>
      <c r="S1635" s="173"/>
      <c r="T1635" s="173"/>
      <c r="U1635" s="174"/>
      <c r="V1635" s="165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</row>
    <row r="1636">
      <c r="A1636" s="263"/>
      <c r="B1636" s="264"/>
      <c r="C1636" s="265"/>
      <c r="D1636" s="266"/>
      <c r="E1636" s="263"/>
      <c r="F1636" s="267"/>
      <c r="G1636" s="267"/>
      <c r="H1636" s="268"/>
      <c r="I1636" s="268"/>
      <c r="J1636" s="377"/>
      <c r="K1636" s="265"/>
      <c r="L1636" s="265"/>
      <c r="M1636" s="269"/>
      <c r="N1636" s="270"/>
      <c r="O1636" s="271"/>
      <c r="P1636" s="271"/>
      <c r="Q1636" s="272"/>
      <c r="R1636" s="273"/>
      <c r="S1636" s="273"/>
      <c r="T1636" s="273"/>
      <c r="U1636" s="274"/>
      <c r="V1636" s="263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</row>
    <row r="1637">
      <c r="A1637" s="263"/>
      <c r="B1637" s="166"/>
      <c r="C1637" s="166"/>
      <c r="D1637" s="165"/>
      <c r="E1637" s="165"/>
      <c r="F1637" s="377"/>
      <c r="G1637" s="377"/>
      <c r="H1637" s="378"/>
      <c r="I1637" s="378"/>
      <c r="J1637" s="377"/>
      <c r="K1637" s="166"/>
      <c r="L1637" s="166"/>
      <c r="M1637" s="166"/>
      <c r="N1637" s="170"/>
      <c r="O1637" s="171"/>
      <c r="P1637" s="171"/>
      <c r="Q1637" s="172"/>
      <c r="R1637" s="173"/>
      <c r="S1637" s="173"/>
      <c r="T1637" s="173"/>
      <c r="U1637" s="174"/>
      <c r="V1637" s="165"/>
      <c r="W1637" s="188"/>
      <c r="X1637" s="188"/>
      <c r="Y1637" s="188"/>
      <c r="Z1637" s="188"/>
      <c r="AA1637" s="188"/>
      <c r="AB1637" s="188"/>
      <c r="AC1637" s="188"/>
      <c r="AD1637" s="188"/>
      <c r="AE1637" s="188"/>
      <c r="AF1637" s="188"/>
      <c r="AG1637" s="188"/>
      <c r="AH1637" s="188"/>
      <c r="AI1637" s="188"/>
    </row>
    <row r="1638">
      <c r="A1638" s="165"/>
      <c r="B1638" s="166"/>
      <c r="C1638" s="166"/>
      <c r="D1638" s="165"/>
      <c r="E1638" s="165"/>
      <c r="F1638" s="377"/>
      <c r="G1638" s="377"/>
      <c r="H1638" s="378"/>
      <c r="I1638" s="378"/>
      <c r="J1638" s="377"/>
      <c r="K1638" s="166"/>
      <c r="L1638" s="166"/>
      <c r="M1638" s="166"/>
      <c r="N1638" s="170"/>
      <c r="O1638" s="171"/>
      <c r="P1638" s="171"/>
      <c r="Q1638" s="172"/>
      <c r="R1638" s="173"/>
      <c r="S1638" s="173"/>
      <c r="T1638" s="173"/>
      <c r="U1638" s="174"/>
      <c r="V1638" s="165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</row>
    <row r="1639">
      <c r="A1639" s="165"/>
      <c r="B1639" s="166"/>
      <c r="C1639" s="166"/>
      <c r="D1639" s="165"/>
      <c r="E1639" s="165"/>
      <c r="F1639" s="377"/>
      <c r="G1639" s="377"/>
      <c r="H1639" s="378"/>
      <c r="I1639" s="378"/>
      <c r="J1639" s="377"/>
      <c r="K1639" s="166"/>
      <c r="L1639" s="166"/>
      <c r="M1639" s="166"/>
      <c r="N1639" s="170"/>
      <c r="O1639" s="171"/>
      <c r="P1639" s="171"/>
      <c r="Q1639" s="172"/>
      <c r="R1639" s="173"/>
      <c r="S1639" s="173"/>
      <c r="T1639" s="173"/>
      <c r="U1639" s="174"/>
      <c r="V1639" s="165"/>
      <c r="W1639" s="35"/>
      <c r="X1639" s="35"/>
      <c r="Y1639" s="35"/>
      <c r="Z1639" s="35"/>
      <c r="AA1639" s="35"/>
      <c r="AB1639" s="35"/>
      <c r="AC1639" s="35"/>
      <c r="AD1639" s="35"/>
      <c r="AE1639" s="35"/>
      <c r="AF1639" s="35"/>
      <c r="AG1639" s="35"/>
      <c r="AH1639" s="35"/>
      <c r="AI1639" s="35"/>
    </row>
    <row r="1640">
      <c r="A1640" s="165"/>
      <c r="B1640" s="166"/>
      <c r="C1640" s="166"/>
      <c r="D1640" s="165"/>
      <c r="E1640" s="165"/>
      <c r="F1640" s="377"/>
      <c r="G1640" s="377"/>
      <c r="H1640" s="378"/>
      <c r="I1640" s="378"/>
      <c r="J1640" s="377"/>
      <c r="K1640" s="166"/>
      <c r="L1640" s="166"/>
      <c r="M1640" s="166"/>
      <c r="N1640" s="170"/>
      <c r="O1640" s="171"/>
      <c r="P1640" s="171"/>
      <c r="Q1640" s="172"/>
      <c r="R1640" s="173"/>
      <c r="S1640" s="173"/>
      <c r="T1640" s="173"/>
      <c r="U1640" s="174"/>
      <c r="V1640" s="165"/>
      <c r="W1640" s="188"/>
      <c r="X1640" s="188"/>
      <c r="Y1640" s="188"/>
      <c r="Z1640" s="188"/>
      <c r="AA1640" s="188"/>
      <c r="AB1640" s="188"/>
      <c r="AC1640" s="188"/>
      <c r="AD1640" s="188"/>
      <c r="AE1640" s="188"/>
      <c r="AF1640" s="188"/>
      <c r="AG1640" s="188"/>
      <c r="AH1640" s="188"/>
      <c r="AI1640" s="188"/>
    </row>
    <row r="1641">
      <c r="A1641" s="165"/>
      <c r="B1641" s="166"/>
      <c r="C1641" s="166"/>
      <c r="D1641" s="165"/>
      <c r="E1641" s="165"/>
      <c r="F1641" s="377"/>
      <c r="G1641" s="377"/>
      <c r="H1641" s="378"/>
      <c r="I1641" s="378"/>
      <c r="J1641" s="267"/>
      <c r="K1641" s="166"/>
      <c r="L1641" s="166"/>
      <c r="M1641" s="205"/>
      <c r="N1641" s="170"/>
      <c r="O1641" s="171"/>
      <c r="P1641" s="171"/>
      <c r="Q1641" s="172"/>
      <c r="R1641" s="173"/>
      <c r="S1641" s="173"/>
      <c r="T1641" s="173"/>
      <c r="U1641" s="174"/>
      <c r="V1641" s="165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</row>
    <row r="1642">
      <c r="A1642" s="165"/>
      <c r="B1642" s="166"/>
      <c r="C1642" s="166"/>
      <c r="D1642" s="165"/>
      <c r="E1642" s="165"/>
      <c r="F1642" s="377"/>
      <c r="G1642" s="377"/>
      <c r="H1642" s="378"/>
      <c r="I1642" s="378"/>
      <c r="J1642" s="377"/>
      <c r="K1642" s="166"/>
      <c r="L1642" s="166"/>
      <c r="M1642" s="166"/>
      <c r="N1642" s="170"/>
      <c r="O1642" s="171"/>
      <c r="P1642" s="171"/>
      <c r="Q1642" s="172"/>
      <c r="R1642" s="173"/>
      <c r="S1642" s="173"/>
      <c r="T1642" s="173"/>
      <c r="U1642" s="201"/>
      <c r="V1642" s="165"/>
      <c r="W1642" s="188"/>
      <c r="X1642" s="188"/>
      <c r="Y1642" s="188"/>
      <c r="Z1642" s="188"/>
      <c r="AA1642" s="188"/>
      <c r="AB1642" s="188"/>
      <c r="AC1642" s="188"/>
      <c r="AD1642" s="188"/>
      <c r="AE1642" s="188"/>
      <c r="AF1642" s="188"/>
      <c r="AG1642" s="188"/>
      <c r="AH1642" s="188"/>
      <c r="AI1642" s="188"/>
    </row>
    <row r="1643">
      <c r="A1643" s="165"/>
      <c r="B1643" s="166"/>
      <c r="C1643" s="166"/>
      <c r="D1643" s="165"/>
      <c r="E1643" s="165"/>
      <c r="F1643" s="377"/>
      <c r="G1643" s="377"/>
      <c r="H1643" s="378"/>
      <c r="I1643" s="378"/>
      <c r="J1643" s="377"/>
      <c r="K1643" s="166"/>
      <c r="L1643" s="166"/>
      <c r="M1643" s="166"/>
      <c r="N1643" s="170"/>
      <c r="O1643" s="171"/>
      <c r="P1643" s="171"/>
      <c r="Q1643" s="172"/>
      <c r="R1643" s="173"/>
      <c r="S1643" s="173"/>
      <c r="T1643" s="173"/>
      <c r="U1643" s="174"/>
      <c r="V1643" s="165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</row>
    <row r="1644">
      <c r="A1644" s="165"/>
      <c r="B1644" s="166"/>
      <c r="C1644" s="166"/>
      <c r="D1644" s="165"/>
      <c r="E1644" s="165"/>
      <c r="F1644" s="377"/>
      <c r="G1644" s="377"/>
      <c r="H1644" s="378"/>
      <c r="I1644" s="378"/>
      <c r="J1644" s="377"/>
      <c r="K1644" s="166"/>
      <c r="L1644" s="166"/>
      <c r="M1644" s="166"/>
      <c r="N1644" s="170"/>
      <c r="O1644" s="171"/>
      <c r="P1644" s="171"/>
      <c r="Q1644" s="172"/>
      <c r="R1644" s="173"/>
      <c r="S1644" s="173"/>
      <c r="T1644" s="173"/>
      <c r="U1644" s="174"/>
      <c r="V1644" s="165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</row>
    <row r="1645">
      <c r="A1645" s="165"/>
      <c r="B1645" s="166"/>
      <c r="C1645" s="166"/>
      <c r="D1645" s="165"/>
      <c r="E1645" s="165"/>
      <c r="F1645" s="377"/>
      <c r="G1645" s="377"/>
      <c r="H1645" s="378"/>
      <c r="I1645" s="378"/>
      <c r="J1645" s="377"/>
      <c r="K1645" s="166"/>
      <c r="L1645" s="166"/>
      <c r="M1645" s="166"/>
      <c r="N1645" s="170"/>
      <c r="O1645" s="171"/>
      <c r="P1645" s="171"/>
      <c r="Q1645" s="172"/>
      <c r="R1645" s="173"/>
      <c r="S1645" s="173"/>
      <c r="T1645" s="173"/>
      <c r="U1645" s="174"/>
      <c r="V1645" s="165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</row>
    <row r="1646">
      <c r="A1646" s="165"/>
      <c r="B1646" s="166"/>
      <c r="C1646" s="166"/>
      <c r="D1646" s="165"/>
      <c r="E1646" s="165"/>
      <c r="F1646" s="377"/>
      <c r="G1646" s="377"/>
      <c r="H1646" s="378"/>
      <c r="I1646" s="378"/>
      <c r="J1646" s="377"/>
      <c r="K1646" s="166"/>
      <c r="L1646" s="166"/>
      <c r="M1646" s="166"/>
      <c r="N1646" s="170"/>
      <c r="O1646" s="171"/>
      <c r="P1646" s="171"/>
      <c r="Q1646" s="172"/>
      <c r="R1646" s="173"/>
      <c r="S1646" s="173"/>
      <c r="T1646" s="173"/>
      <c r="U1646" s="174"/>
      <c r="V1646" s="165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</row>
    <row r="1647">
      <c r="A1647" s="165"/>
      <c r="B1647" s="166"/>
      <c r="C1647" s="166"/>
      <c r="D1647" s="165"/>
      <c r="E1647" s="165"/>
      <c r="F1647" s="377"/>
      <c r="G1647" s="377"/>
      <c r="H1647" s="378"/>
      <c r="I1647" s="378"/>
      <c r="J1647" s="377"/>
      <c r="K1647" s="166"/>
      <c r="L1647" s="166"/>
      <c r="M1647" s="166"/>
      <c r="N1647" s="170"/>
      <c r="O1647" s="171"/>
      <c r="P1647" s="171"/>
      <c r="Q1647" s="172"/>
      <c r="R1647" s="173"/>
      <c r="S1647" s="173"/>
      <c r="T1647" s="173"/>
      <c r="U1647" s="174"/>
      <c r="V1647" s="165"/>
      <c r="W1647" s="188"/>
      <c r="X1647" s="188"/>
      <c r="Y1647" s="188"/>
      <c r="Z1647" s="188"/>
      <c r="AA1647" s="188"/>
      <c r="AB1647" s="188"/>
      <c r="AC1647" s="188"/>
      <c r="AD1647" s="188"/>
      <c r="AE1647" s="188"/>
      <c r="AF1647" s="188"/>
      <c r="AG1647" s="188"/>
      <c r="AH1647" s="188"/>
      <c r="AI1647" s="188"/>
    </row>
    <row r="1648">
      <c r="A1648" s="165"/>
      <c r="B1648" s="166"/>
      <c r="C1648" s="166"/>
      <c r="D1648" s="165"/>
      <c r="E1648" s="165"/>
      <c r="F1648" s="377"/>
      <c r="G1648" s="377"/>
      <c r="H1648" s="378"/>
      <c r="I1648" s="378"/>
      <c r="J1648" s="377"/>
      <c r="K1648" s="166"/>
      <c r="L1648" s="166"/>
      <c r="M1648" s="205"/>
      <c r="N1648" s="170"/>
      <c r="O1648" s="171"/>
      <c r="P1648" s="171"/>
      <c r="Q1648" s="172"/>
      <c r="R1648" s="173"/>
      <c r="S1648" s="173"/>
      <c r="T1648" s="173"/>
      <c r="U1648" s="174"/>
      <c r="V1648" s="165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</row>
    <row r="1649">
      <c r="A1649" s="165"/>
      <c r="B1649" s="166"/>
      <c r="C1649" s="166"/>
      <c r="D1649" s="165"/>
      <c r="E1649" s="165"/>
      <c r="F1649" s="377"/>
      <c r="G1649" s="377"/>
      <c r="H1649" s="378"/>
      <c r="I1649" s="378"/>
      <c r="J1649" s="377"/>
      <c r="K1649" s="166"/>
      <c r="L1649" s="166"/>
      <c r="M1649" s="205"/>
      <c r="N1649" s="170"/>
      <c r="O1649" s="171"/>
      <c r="P1649" s="171"/>
      <c r="Q1649" s="172"/>
      <c r="R1649" s="173"/>
      <c r="S1649" s="173"/>
      <c r="T1649" s="173"/>
      <c r="U1649" s="174"/>
      <c r="V1649" s="165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</row>
    <row r="1650">
      <c r="A1650" s="165"/>
      <c r="B1650" s="166"/>
      <c r="C1650" s="166"/>
      <c r="D1650" s="165"/>
      <c r="E1650" s="165"/>
      <c r="F1650" s="377"/>
      <c r="G1650" s="377"/>
      <c r="H1650" s="378"/>
      <c r="I1650" s="378"/>
      <c r="J1650" s="377"/>
      <c r="K1650" s="166"/>
      <c r="L1650" s="166"/>
      <c r="M1650" s="166"/>
      <c r="N1650" s="170"/>
      <c r="O1650" s="171"/>
      <c r="P1650" s="171"/>
      <c r="Q1650" s="172"/>
      <c r="R1650" s="173"/>
      <c r="S1650" s="173"/>
      <c r="T1650" s="173"/>
      <c r="U1650" s="174"/>
      <c r="V1650" s="165"/>
      <c r="W1650" s="35"/>
      <c r="X1650" s="35"/>
      <c r="Y1650" s="35"/>
      <c r="Z1650" s="35"/>
      <c r="AA1650" s="35"/>
      <c r="AB1650" s="35"/>
      <c r="AC1650" s="35"/>
      <c r="AD1650" s="35"/>
      <c r="AE1650" s="35"/>
      <c r="AF1650" s="35"/>
      <c r="AG1650" s="35"/>
      <c r="AH1650" s="35"/>
      <c r="AI1650" s="35"/>
    </row>
    <row r="1651">
      <c r="A1651" s="165"/>
      <c r="B1651" s="166"/>
      <c r="C1651" s="166"/>
      <c r="D1651" s="165"/>
      <c r="E1651" s="165"/>
      <c r="F1651" s="377"/>
      <c r="G1651" s="377"/>
      <c r="H1651" s="378"/>
      <c r="I1651" s="378"/>
      <c r="J1651" s="377"/>
      <c r="K1651" s="166"/>
      <c r="L1651" s="166"/>
      <c r="M1651" s="205"/>
      <c r="N1651" s="170"/>
      <c r="O1651" s="171"/>
      <c r="P1651" s="171"/>
      <c r="Q1651" s="172"/>
      <c r="R1651" s="173"/>
      <c r="S1651" s="173"/>
      <c r="T1651" s="173"/>
      <c r="U1651" s="174"/>
      <c r="V1651" s="165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</row>
    <row r="1652">
      <c r="A1652" s="165"/>
      <c r="B1652" s="166"/>
      <c r="C1652" s="166"/>
      <c r="D1652" s="165"/>
      <c r="E1652" s="165"/>
      <c r="F1652" s="377"/>
      <c r="G1652" s="377"/>
      <c r="H1652" s="378"/>
      <c r="I1652" s="378"/>
      <c r="J1652" s="377"/>
      <c r="K1652" s="166"/>
      <c r="L1652" s="166"/>
      <c r="M1652" s="166"/>
      <c r="N1652" s="170"/>
      <c r="O1652" s="171"/>
      <c r="P1652" s="171"/>
      <c r="Q1652" s="172"/>
      <c r="R1652" s="173"/>
      <c r="S1652" s="173"/>
      <c r="T1652" s="173"/>
      <c r="U1652" s="174"/>
      <c r="V1652" s="210"/>
      <c r="W1652" s="36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</row>
    <row r="1653">
      <c r="A1653" s="165"/>
      <c r="B1653" s="166"/>
      <c r="C1653" s="166"/>
      <c r="D1653" s="165"/>
      <c r="E1653" s="165"/>
      <c r="F1653" s="377"/>
      <c r="G1653" s="377"/>
      <c r="H1653" s="378"/>
      <c r="I1653" s="378"/>
      <c r="J1653" s="377"/>
      <c r="K1653" s="166"/>
      <c r="L1653" s="166"/>
      <c r="M1653" s="166"/>
      <c r="N1653" s="170"/>
      <c r="O1653" s="171"/>
      <c r="P1653" s="171"/>
      <c r="Q1653" s="172"/>
      <c r="R1653" s="173"/>
      <c r="S1653" s="173"/>
      <c r="T1653" s="173"/>
      <c r="U1653" s="174"/>
      <c r="V1653" s="165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</row>
    <row r="1654">
      <c r="A1654" s="165"/>
      <c r="B1654" s="166"/>
      <c r="C1654" s="166"/>
      <c r="D1654" s="165"/>
      <c r="E1654" s="165"/>
      <c r="F1654" s="377"/>
      <c r="G1654" s="377"/>
      <c r="H1654" s="378"/>
      <c r="I1654" s="378"/>
      <c r="J1654" s="377"/>
      <c r="K1654" s="166"/>
      <c r="L1654" s="166"/>
      <c r="M1654" s="205"/>
      <c r="N1654" s="170"/>
      <c r="O1654" s="171"/>
      <c r="P1654" s="171"/>
      <c r="Q1654" s="172"/>
      <c r="R1654" s="173"/>
      <c r="S1654" s="173"/>
      <c r="T1654" s="173"/>
      <c r="U1654" s="174"/>
      <c r="V1654" s="165"/>
      <c r="W1654" s="35"/>
      <c r="X1654" s="35"/>
      <c r="Y1654" s="35"/>
      <c r="Z1654" s="35"/>
      <c r="AA1654" s="35"/>
      <c r="AB1654" s="35"/>
      <c r="AC1654" s="35"/>
      <c r="AD1654" s="35"/>
      <c r="AE1654" s="35"/>
      <c r="AF1654" s="35"/>
      <c r="AG1654" s="35"/>
      <c r="AH1654" s="35"/>
      <c r="AI1654" s="35"/>
    </row>
    <row r="1655">
      <c r="A1655" s="165"/>
      <c r="B1655" s="166"/>
      <c r="C1655" s="166"/>
      <c r="D1655" s="165"/>
      <c r="E1655" s="165"/>
      <c r="F1655" s="377"/>
      <c r="G1655" s="377"/>
      <c r="H1655" s="378"/>
      <c r="I1655" s="378"/>
      <c r="J1655" s="377"/>
      <c r="K1655" s="166"/>
      <c r="L1655" s="166"/>
      <c r="M1655" s="166"/>
      <c r="N1655" s="169"/>
      <c r="O1655" s="171"/>
      <c r="P1655" s="171"/>
      <c r="Q1655" s="169"/>
      <c r="R1655" s="173"/>
      <c r="S1655" s="173"/>
      <c r="T1655" s="173"/>
      <c r="U1655" s="174"/>
      <c r="V1655" s="165"/>
      <c r="W1655" s="35"/>
      <c r="X1655" s="35"/>
      <c r="Y1655" s="35"/>
      <c r="Z1655" s="35"/>
      <c r="AA1655" s="35"/>
      <c r="AB1655" s="35"/>
      <c r="AC1655" s="35"/>
      <c r="AD1655" s="35"/>
      <c r="AE1655" s="35"/>
      <c r="AF1655" s="35"/>
      <c r="AG1655" s="35"/>
      <c r="AH1655" s="35"/>
      <c r="AI1655" s="35"/>
    </row>
    <row r="1656">
      <c r="A1656" s="165"/>
      <c r="B1656" s="166"/>
      <c r="C1656" s="166"/>
      <c r="D1656" s="165"/>
      <c r="E1656" s="165"/>
      <c r="F1656" s="377"/>
      <c r="G1656" s="377"/>
      <c r="H1656" s="378"/>
      <c r="I1656" s="378"/>
      <c r="J1656" s="377"/>
      <c r="K1656" s="166"/>
      <c r="L1656" s="166"/>
      <c r="M1656" s="166"/>
      <c r="N1656" s="170"/>
      <c r="O1656" s="171"/>
      <c r="P1656" s="171"/>
      <c r="Q1656" s="172"/>
      <c r="R1656" s="173"/>
      <c r="S1656" s="173"/>
      <c r="T1656" s="173"/>
      <c r="U1656" s="174"/>
      <c r="V1656" s="165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</row>
    <row r="1657">
      <c r="A1657" s="165"/>
      <c r="B1657" s="166"/>
      <c r="C1657" s="166"/>
      <c r="D1657" s="165"/>
      <c r="E1657" s="165"/>
      <c r="F1657" s="377"/>
      <c r="G1657" s="377"/>
      <c r="H1657" s="378"/>
      <c r="I1657" s="378"/>
      <c r="J1657" s="377"/>
      <c r="K1657" s="166"/>
      <c r="L1657" s="166"/>
      <c r="M1657" s="205"/>
      <c r="N1657" s="170"/>
      <c r="O1657" s="171"/>
      <c r="P1657" s="171"/>
      <c r="Q1657" s="172"/>
      <c r="R1657" s="173"/>
      <c r="S1657" s="173"/>
      <c r="T1657" s="173"/>
      <c r="U1657" s="174"/>
      <c r="V1657" s="165"/>
      <c r="W1657" s="188"/>
      <c r="X1657" s="188"/>
      <c r="Y1657" s="188"/>
      <c r="Z1657" s="188"/>
      <c r="AA1657" s="188"/>
      <c r="AB1657" s="188"/>
      <c r="AC1657" s="188"/>
      <c r="AD1657" s="188"/>
      <c r="AE1657" s="188"/>
      <c r="AF1657" s="188"/>
      <c r="AG1657" s="188"/>
      <c r="AH1657" s="188"/>
      <c r="AI1657" s="188"/>
    </row>
    <row r="1658">
      <c r="A1658" s="165"/>
      <c r="B1658" s="166"/>
      <c r="C1658" s="166"/>
      <c r="D1658" s="165"/>
      <c r="E1658" s="165"/>
      <c r="F1658" s="377"/>
      <c r="G1658" s="377"/>
      <c r="H1658" s="378"/>
      <c r="I1658" s="378"/>
      <c r="J1658" s="377"/>
      <c r="K1658" s="166"/>
      <c r="L1658" s="166"/>
      <c r="M1658" s="166"/>
      <c r="N1658" s="170"/>
      <c r="O1658" s="171"/>
      <c r="P1658" s="171"/>
      <c r="Q1658" s="172"/>
      <c r="R1658" s="173"/>
      <c r="S1658" s="173"/>
      <c r="T1658" s="173"/>
      <c r="U1658" s="174"/>
      <c r="V1658" s="165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</row>
    <row r="1659">
      <c r="A1659" s="165"/>
      <c r="B1659" s="166"/>
      <c r="C1659" s="166"/>
      <c r="D1659" s="165"/>
      <c r="E1659" s="165"/>
      <c r="F1659" s="377"/>
      <c r="G1659" s="377"/>
      <c r="H1659" s="378"/>
      <c r="I1659" s="378"/>
      <c r="J1659" s="377"/>
      <c r="K1659" s="166"/>
      <c r="L1659" s="166"/>
      <c r="M1659" s="205"/>
      <c r="N1659" s="170"/>
      <c r="O1659" s="171"/>
      <c r="P1659" s="171"/>
      <c r="Q1659" s="172"/>
      <c r="R1659" s="173"/>
      <c r="S1659" s="173"/>
      <c r="T1659" s="173"/>
      <c r="U1659" s="174"/>
      <c r="V1659" s="165"/>
      <c r="W1659" s="188"/>
      <c r="X1659" s="188"/>
      <c r="Y1659" s="188"/>
      <c r="Z1659" s="188"/>
      <c r="AA1659" s="188"/>
      <c r="AB1659" s="188"/>
      <c r="AC1659" s="188"/>
      <c r="AD1659" s="188"/>
      <c r="AE1659" s="188"/>
      <c r="AF1659" s="188"/>
      <c r="AG1659" s="188"/>
      <c r="AH1659" s="188"/>
      <c r="AI1659" s="188"/>
    </row>
    <row r="1660">
      <c r="A1660" s="165"/>
      <c r="B1660" s="166"/>
      <c r="C1660" s="166"/>
      <c r="D1660" s="165"/>
      <c r="E1660" s="165"/>
      <c r="F1660" s="377"/>
      <c r="G1660" s="377"/>
      <c r="H1660" s="378"/>
      <c r="I1660" s="378"/>
      <c r="J1660" s="377"/>
      <c r="K1660" s="166"/>
      <c r="L1660" s="166"/>
      <c r="M1660" s="166"/>
      <c r="N1660" s="170"/>
      <c r="O1660" s="171"/>
      <c r="P1660" s="171"/>
      <c r="Q1660" s="172"/>
      <c r="R1660" s="173"/>
      <c r="S1660" s="173"/>
      <c r="T1660" s="173"/>
      <c r="U1660" s="174"/>
      <c r="V1660" s="165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</row>
    <row r="1661">
      <c r="A1661" s="165"/>
      <c r="B1661" s="166"/>
      <c r="C1661" s="166"/>
      <c r="D1661" s="165"/>
      <c r="E1661" s="165"/>
      <c r="F1661" s="377"/>
      <c r="G1661" s="377"/>
      <c r="H1661" s="378"/>
      <c r="I1661" s="378"/>
      <c r="J1661" s="377"/>
      <c r="K1661" s="166"/>
      <c r="L1661" s="166"/>
      <c r="M1661" s="166"/>
      <c r="N1661" s="170"/>
      <c r="O1661" s="171"/>
      <c r="P1661" s="171"/>
      <c r="Q1661" s="172"/>
      <c r="R1661" s="173"/>
      <c r="S1661" s="173"/>
      <c r="T1661" s="260"/>
      <c r="U1661" s="261"/>
      <c r="V1661" s="251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</row>
    <row r="1662">
      <c r="A1662" s="263"/>
      <c r="B1662" s="264"/>
      <c r="C1662" s="265"/>
      <c r="D1662" s="266"/>
      <c r="E1662" s="263"/>
      <c r="F1662" s="267"/>
      <c r="G1662" s="267"/>
      <c r="H1662" s="268"/>
      <c r="I1662" s="268"/>
      <c r="J1662" s="377"/>
      <c r="K1662" s="265"/>
      <c r="L1662" s="265"/>
      <c r="M1662" s="269"/>
      <c r="N1662" s="270"/>
      <c r="O1662" s="271"/>
      <c r="P1662" s="271"/>
      <c r="Q1662" s="272"/>
      <c r="R1662" s="273"/>
      <c r="S1662" s="273"/>
      <c r="T1662" s="273"/>
      <c r="U1662" s="274"/>
      <c r="V1662" s="263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</row>
    <row r="1663">
      <c r="A1663" s="165"/>
      <c r="B1663" s="166"/>
      <c r="C1663" s="166"/>
      <c r="D1663" s="165"/>
      <c r="E1663" s="165"/>
      <c r="F1663" s="377"/>
      <c r="G1663" s="377"/>
      <c r="H1663" s="378"/>
      <c r="I1663" s="378"/>
      <c r="J1663" s="377"/>
      <c r="K1663" s="166"/>
      <c r="L1663" s="166"/>
      <c r="M1663" s="166"/>
      <c r="N1663" s="170"/>
      <c r="O1663" s="171"/>
      <c r="P1663" s="171"/>
      <c r="Q1663" s="172"/>
      <c r="R1663" s="173"/>
      <c r="S1663" s="173"/>
      <c r="T1663" s="173"/>
      <c r="U1663" s="174"/>
      <c r="V1663" s="165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</row>
    <row r="1664">
      <c r="A1664" s="165"/>
      <c r="B1664" s="166"/>
      <c r="C1664" s="166"/>
      <c r="D1664" s="165"/>
      <c r="E1664" s="165"/>
      <c r="F1664" s="377"/>
      <c r="G1664" s="377"/>
      <c r="H1664" s="378"/>
      <c r="I1664" s="378"/>
      <c r="J1664" s="377"/>
      <c r="K1664" s="166"/>
      <c r="L1664" s="166"/>
      <c r="M1664" s="205"/>
      <c r="N1664" s="170"/>
      <c r="O1664" s="171"/>
      <c r="P1664" s="171"/>
      <c r="Q1664" s="172"/>
      <c r="R1664" s="173"/>
      <c r="S1664" s="173"/>
      <c r="T1664" s="173"/>
      <c r="U1664" s="174"/>
      <c r="V1664" s="165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</row>
    <row r="1665">
      <c r="A1665" s="263"/>
      <c r="B1665" s="264"/>
      <c r="C1665" s="265"/>
      <c r="D1665" s="266"/>
      <c r="E1665" s="263"/>
      <c r="F1665" s="267"/>
      <c r="G1665" s="267"/>
      <c r="H1665" s="268"/>
      <c r="I1665" s="268"/>
      <c r="J1665" s="377"/>
      <c r="K1665" s="265"/>
      <c r="L1665" s="265"/>
      <c r="M1665" s="269"/>
      <c r="N1665" s="270"/>
      <c r="O1665" s="271"/>
      <c r="P1665" s="271"/>
      <c r="Q1665" s="272"/>
      <c r="R1665" s="273"/>
      <c r="S1665" s="273"/>
      <c r="T1665" s="273"/>
      <c r="U1665" s="274"/>
      <c r="V1665" s="263"/>
      <c r="W1665" s="35"/>
      <c r="X1665" s="35"/>
      <c r="Y1665" s="35"/>
      <c r="Z1665" s="35"/>
      <c r="AA1665" s="35"/>
      <c r="AB1665" s="35"/>
      <c r="AC1665" s="35"/>
      <c r="AD1665" s="35"/>
      <c r="AE1665" s="35"/>
      <c r="AF1665" s="35"/>
      <c r="AG1665" s="35"/>
      <c r="AH1665" s="35"/>
      <c r="AI1665" s="35"/>
    </row>
    <row r="1666">
      <c r="A1666" s="263"/>
      <c r="B1666" s="264"/>
      <c r="C1666" s="265"/>
      <c r="D1666" s="266"/>
      <c r="E1666" s="263"/>
      <c r="F1666" s="267"/>
      <c r="G1666" s="267"/>
      <c r="H1666" s="268"/>
      <c r="I1666" s="268"/>
      <c r="J1666" s="377"/>
      <c r="K1666" s="265"/>
      <c r="L1666" s="265"/>
      <c r="M1666" s="269"/>
      <c r="N1666" s="270"/>
      <c r="O1666" s="271"/>
      <c r="P1666" s="271"/>
      <c r="Q1666" s="272"/>
      <c r="R1666" s="273"/>
      <c r="S1666" s="273"/>
      <c r="T1666" s="273"/>
      <c r="U1666" s="274"/>
      <c r="V1666" s="263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</row>
    <row r="1667">
      <c r="A1667" s="263"/>
      <c r="B1667" s="264"/>
      <c r="C1667" s="265"/>
      <c r="D1667" s="266"/>
      <c r="E1667" s="263"/>
      <c r="F1667" s="267"/>
      <c r="G1667" s="267"/>
      <c r="H1667" s="268"/>
      <c r="I1667" s="268"/>
      <c r="J1667" s="267"/>
      <c r="K1667" s="265"/>
      <c r="L1667" s="265"/>
      <c r="M1667" s="269"/>
      <c r="N1667" s="270"/>
      <c r="O1667" s="271"/>
      <c r="P1667" s="271"/>
      <c r="Q1667" s="272"/>
      <c r="R1667" s="273"/>
      <c r="S1667" s="273"/>
      <c r="T1667" s="273"/>
      <c r="U1667" s="274"/>
      <c r="V1667" s="263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</row>
    <row r="1668">
      <c r="A1668" s="165"/>
      <c r="B1668" s="166"/>
      <c r="C1668" s="166"/>
      <c r="D1668" s="165"/>
      <c r="E1668" s="165"/>
      <c r="F1668" s="377"/>
      <c r="G1668" s="377"/>
      <c r="H1668" s="378"/>
      <c r="I1668" s="378"/>
      <c r="J1668" s="377"/>
      <c r="K1668" s="166"/>
      <c r="L1668" s="166"/>
      <c r="M1668" s="205"/>
      <c r="N1668" s="170"/>
      <c r="O1668" s="171"/>
      <c r="P1668" s="171"/>
      <c r="Q1668" s="172"/>
      <c r="R1668" s="173"/>
      <c r="S1668" s="173"/>
      <c r="T1668" s="173"/>
      <c r="U1668" s="174"/>
      <c r="V1668" s="165"/>
      <c r="W1668" s="36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</row>
    <row r="1669">
      <c r="A1669" s="165"/>
      <c r="B1669" s="166"/>
      <c r="C1669" s="166"/>
      <c r="D1669" s="165"/>
      <c r="E1669" s="165"/>
      <c r="F1669" s="377"/>
      <c r="G1669" s="377"/>
      <c r="H1669" s="378"/>
      <c r="I1669" s="378"/>
      <c r="J1669" s="377"/>
      <c r="K1669" s="166"/>
      <c r="L1669" s="166"/>
      <c r="M1669" s="205"/>
      <c r="N1669" s="170"/>
      <c r="O1669" s="171"/>
      <c r="P1669" s="171"/>
      <c r="Q1669" s="172"/>
      <c r="R1669" s="173"/>
      <c r="S1669" s="173"/>
      <c r="T1669" s="173"/>
      <c r="U1669" s="174"/>
      <c r="V1669" s="165"/>
      <c r="W1669" s="35"/>
      <c r="X1669" s="35"/>
      <c r="Y1669" s="35"/>
      <c r="Z1669" s="35"/>
      <c r="AA1669" s="35"/>
      <c r="AB1669" s="35"/>
      <c r="AC1669" s="35"/>
      <c r="AD1669" s="35"/>
      <c r="AE1669" s="35"/>
      <c r="AF1669" s="35"/>
      <c r="AG1669" s="35"/>
      <c r="AH1669" s="35"/>
      <c r="AI1669" s="35"/>
    </row>
    <row r="1670">
      <c r="A1670" s="165"/>
      <c r="B1670" s="166"/>
      <c r="C1670" s="166"/>
      <c r="D1670" s="165"/>
      <c r="E1670" s="165"/>
      <c r="F1670" s="377"/>
      <c r="G1670" s="377"/>
      <c r="H1670" s="378"/>
      <c r="I1670" s="378"/>
      <c r="J1670" s="267"/>
      <c r="K1670" s="166"/>
      <c r="L1670" s="166"/>
      <c r="M1670" s="205"/>
      <c r="N1670" s="170"/>
      <c r="O1670" s="171"/>
      <c r="P1670" s="171"/>
      <c r="Q1670" s="172"/>
      <c r="R1670" s="173"/>
      <c r="S1670" s="173"/>
      <c r="T1670" s="173"/>
      <c r="U1670" s="174"/>
      <c r="V1670" s="165"/>
      <c r="W1670" s="35"/>
      <c r="X1670" s="35"/>
      <c r="Y1670" s="35"/>
      <c r="Z1670" s="35"/>
      <c r="AA1670" s="35"/>
      <c r="AB1670" s="35"/>
      <c r="AC1670" s="35"/>
      <c r="AD1670" s="35"/>
      <c r="AE1670" s="35"/>
      <c r="AF1670" s="35"/>
      <c r="AG1670" s="35"/>
      <c r="AH1670" s="35"/>
      <c r="AI1670" s="35"/>
    </row>
    <row r="1671">
      <c r="A1671" s="165"/>
      <c r="B1671" s="166"/>
      <c r="C1671" s="166"/>
      <c r="D1671" s="165"/>
      <c r="E1671" s="165"/>
      <c r="F1671" s="377"/>
      <c r="G1671" s="377"/>
      <c r="H1671" s="378"/>
      <c r="I1671" s="378"/>
      <c r="J1671" s="267"/>
      <c r="K1671" s="166"/>
      <c r="L1671" s="166"/>
      <c r="M1671" s="166"/>
      <c r="N1671" s="170"/>
      <c r="O1671" s="171"/>
      <c r="P1671" s="171"/>
      <c r="Q1671" s="172"/>
      <c r="R1671" s="173"/>
      <c r="S1671" s="173"/>
      <c r="T1671" s="173"/>
      <c r="U1671" s="174"/>
      <c r="V1671" s="165"/>
      <c r="W1671" s="188"/>
      <c r="X1671" s="188"/>
      <c r="Y1671" s="188"/>
      <c r="Z1671" s="188"/>
      <c r="AA1671" s="188"/>
      <c r="AB1671" s="188"/>
      <c r="AC1671" s="188"/>
      <c r="AD1671" s="188"/>
      <c r="AE1671" s="188"/>
      <c r="AF1671" s="188"/>
      <c r="AG1671" s="188"/>
      <c r="AH1671" s="188"/>
      <c r="AI1671" s="188"/>
    </row>
    <row r="1672">
      <c r="A1672" s="263"/>
      <c r="B1672" s="264"/>
      <c r="C1672" s="265"/>
      <c r="D1672" s="266"/>
      <c r="E1672" s="263"/>
      <c r="F1672" s="267"/>
      <c r="G1672" s="267"/>
      <c r="H1672" s="268"/>
      <c r="I1672" s="268"/>
      <c r="J1672" s="267"/>
      <c r="K1672" s="265"/>
      <c r="L1672" s="265"/>
      <c r="M1672" s="269"/>
      <c r="N1672" s="270"/>
      <c r="O1672" s="271"/>
      <c r="P1672" s="271"/>
      <c r="Q1672" s="272"/>
      <c r="R1672" s="273"/>
      <c r="S1672" s="273"/>
      <c r="T1672" s="273"/>
      <c r="U1672" s="274"/>
      <c r="V1672" s="263"/>
      <c r="W1672" s="36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</row>
    <row r="1673">
      <c r="A1673" s="165"/>
      <c r="B1673" s="166"/>
      <c r="C1673" s="166"/>
      <c r="D1673" s="165"/>
      <c r="E1673" s="165"/>
      <c r="F1673" s="377"/>
      <c r="G1673" s="377"/>
      <c r="H1673" s="378"/>
      <c r="I1673" s="378"/>
      <c r="J1673" s="377"/>
      <c r="K1673" s="166"/>
      <c r="L1673" s="166"/>
      <c r="M1673" s="205"/>
      <c r="N1673" s="170"/>
      <c r="O1673" s="171"/>
      <c r="P1673" s="171"/>
      <c r="Q1673" s="172"/>
      <c r="R1673" s="173"/>
      <c r="S1673" s="173"/>
      <c r="T1673" s="173"/>
      <c r="U1673" s="174"/>
      <c r="V1673" s="165"/>
      <c r="W1673" s="35"/>
      <c r="X1673" s="35"/>
      <c r="Y1673" s="35"/>
      <c r="Z1673" s="35"/>
      <c r="AA1673" s="35"/>
      <c r="AB1673" s="35"/>
      <c r="AC1673" s="35"/>
      <c r="AD1673" s="35"/>
      <c r="AE1673" s="35"/>
      <c r="AF1673" s="35"/>
      <c r="AG1673" s="35"/>
      <c r="AH1673" s="35"/>
      <c r="AI1673" s="35"/>
    </row>
    <row r="1674">
      <c r="A1674" s="263"/>
      <c r="B1674" s="264"/>
      <c r="C1674" s="265"/>
      <c r="D1674" s="266"/>
      <c r="E1674" s="263"/>
      <c r="F1674" s="267"/>
      <c r="G1674" s="267"/>
      <c r="H1674" s="268"/>
      <c r="I1674" s="268"/>
      <c r="J1674" s="377"/>
      <c r="K1674" s="265"/>
      <c r="L1674" s="265"/>
      <c r="M1674" s="269"/>
      <c r="N1674" s="270"/>
      <c r="O1674" s="271"/>
      <c r="P1674" s="271"/>
      <c r="Q1674" s="272"/>
      <c r="R1674" s="273"/>
      <c r="S1674" s="273"/>
      <c r="T1674" s="273"/>
      <c r="U1674" s="274"/>
      <c r="V1674" s="263"/>
      <c r="W1674" s="188"/>
      <c r="X1674" s="188"/>
      <c r="Y1674" s="188"/>
      <c r="Z1674" s="188"/>
      <c r="AA1674" s="188"/>
      <c r="AB1674" s="188"/>
      <c r="AC1674" s="188"/>
      <c r="AD1674" s="188"/>
      <c r="AE1674" s="188"/>
      <c r="AF1674" s="188"/>
      <c r="AG1674" s="188"/>
      <c r="AH1674" s="188"/>
      <c r="AI1674" s="188"/>
    </row>
    <row r="1675">
      <c r="A1675" s="165"/>
      <c r="B1675" s="166"/>
      <c r="C1675" s="166"/>
      <c r="D1675" s="165"/>
      <c r="E1675" s="165"/>
      <c r="F1675" s="377"/>
      <c r="G1675" s="377"/>
      <c r="H1675" s="378"/>
      <c r="I1675" s="378"/>
      <c r="J1675" s="377"/>
      <c r="K1675" s="166"/>
      <c r="L1675" s="166"/>
      <c r="M1675" s="166"/>
      <c r="N1675" s="170"/>
      <c r="O1675" s="171"/>
      <c r="P1675" s="171"/>
      <c r="Q1675" s="172"/>
      <c r="R1675" s="173"/>
      <c r="S1675" s="173"/>
      <c r="T1675" s="173"/>
      <c r="U1675" s="174"/>
      <c r="V1675" s="165"/>
      <c r="W1675" s="35"/>
      <c r="X1675" s="35"/>
      <c r="Y1675" s="35"/>
      <c r="Z1675" s="35"/>
      <c r="AA1675" s="35"/>
      <c r="AB1675" s="35"/>
      <c r="AC1675" s="35"/>
      <c r="AD1675" s="35"/>
      <c r="AE1675" s="35"/>
      <c r="AF1675" s="35"/>
      <c r="AG1675" s="35"/>
      <c r="AH1675" s="35"/>
      <c r="AI1675" s="35"/>
    </row>
    <row r="1676">
      <c r="A1676" s="165"/>
      <c r="B1676" s="166"/>
      <c r="C1676" s="166"/>
      <c r="D1676" s="165"/>
      <c r="E1676" s="165"/>
      <c r="F1676" s="377"/>
      <c r="G1676" s="377"/>
      <c r="H1676" s="378"/>
      <c r="I1676" s="378"/>
      <c r="J1676" s="377"/>
      <c r="K1676" s="166"/>
      <c r="L1676" s="166"/>
      <c r="M1676" s="166"/>
      <c r="N1676" s="170"/>
      <c r="O1676" s="171"/>
      <c r="P1676" s="171"/>
      <c r="Q1676" s="172"/>
      <c r="R1676" s="173"/>
      <c r="S1676" s="173"/>
      <c r="T1676" s="173"/>
      <c r="U1676" s="174"/>
      <c r="V1676" s="165"/>
      <c r="W1676" s="188"/>
      <c r="X1676" s="188"/>
      <c r="Y1676" s="188"/>
      <c r="Z1676" s="188"/>
      <c r="AA1676" s="188"/>
      <c r="AB1676" s="188"/>
      <c r="AC1676" s="188"/>
      <c r="AD1676" s="188"/>
      <c r="AE1676" s="188"/>
      <c r="AF1676" s="188"/>
      <c r="AG1676" s="188"/>
      <c r="AH1676" s="188"/>
      <c r="AI1676" s="188"/>
    </row>
    <row r="1677">
      <c r="A1677" s="263"/>
      <c r="B1677" s="264"/>
      <c r="C1677" s="265"/>
      <c r="D1677" s="266"/>
      <c r="E1677" s="263"/>
      <c r="F1677" s="267"/>
      <c r="G1677" s="267"/>
      <c r="H1677" s="268"/>
      <c r="I1677" s="268"/>
      <c r="J1677" s="267"/>
      <c r="K1677" s="265"/>
      <c r="L1677" s="265"/>
      <c r="M1677" s="269"/>
      <c r="N1677" s="270"/>
      <c r="O1677" s="271"/>
      <c r="P1677" s="271"/>
      <c r="Q1677" s="272"/>
      <c r="R1677" s="273"/>
      <c r="S1677" s="273"/>
      <c r="T1677" s="273"/>
      <c r="U1677" s="274"/>
      <c r="V1677" s="263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</row>
    <row r="1678">
      <c r="A1678" s="263"/>
      <c r="B1678" s="264"/>
      <c r="C1678" s="265"/>
      <c r="D1678" s="266"/>
      <c r="E1678" s="263"/>
      <c r="F1678" s="267"/>
      <c r="G1678" s="267"/>
      <c r="H1678" s="268"/>
      <c r="I1678" s="268"/>
      <c r="J1678" s="377"/>
      <c r="K1678" s="265"/>
      <c r="L1678" s="265"/>
      <c r="M1678" s="269"/>
      <c r="N1678" s="270"/>
      <c r="O1678" s="271"/>
      <c r="P1678" s="271"/>
      <c r="Q1678" s="272"/>
      <c r="R1678" s="273"/>
      <c r="S1678" s="273"/>
      <c r="T1678" s="273"/>
      <c r="U1678" s="274"/>
      <c r="V1678" s="263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</row>
    <row r="1679">
      <c r="A1679" s="263"/>
      <c r="B1679" s="264"/>
      <c r="C1679" s="265"/>
      <c r="D1679" s="266"/>
      <c r="E1679" s="263"/>
      <c r="F1679" s="267"/>
      <c r="G1679" s="267"/>
      <c r="H1679" s="268"/>
      <c r="I1679" s="268"/>
      <c r="J1679" s="267"/>
      <c r="K1679" s="265"/>
      <c r="L1679" s="265"/>
      <c r="M1679" s="269"/>
      <c r="N1679" s="270"/>
      <c r="O1679" s="271"/>
      <c r="P1679" s="271"/>
      <c r="Q1679" s="272"/>
      <c r="R1679" s="273"/>
      <c r="S1679" s="273"/>
      <c r="T1679" s="273"/>
      <c r="U1679" s="274"/>
      <c r="V1679" s="263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</row>
    <row r="1680">
      <c r="A1680" s="263"/>
      <c r="B1680" s="264"/>
      <c r="C1680" s="265"/>
      <c r="D1680" s="266"/>
      <c r="E1680" s="263"/>
      <c r="F1680" s="267"/>
      <c r="G1680" s="267"/>
      <c r="H1680" s="268"/>
      <c r="I1680" s="268"/>
      <c r="J1680" s="377"/>
      <c r="K1680" s="265"/>
      <c r="L1680" s="265"/>
      <c r="M1680" s="269"/>
      <c r="N1680" s="270"/>
      <c r="O1680" s="271"/>
      <c r="P1680" s="271"/>
      <c r="Q1680" s="272"/>
      <c r="R1680" s="273"/>
      <c r="S1680" s="273"/>
      <c r="T1680" s="273"/>
      <c r="U1680" s="274"/>
      <c r="V1680" s="263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</row>
    <row r="1681">
      <c r="A1681" s="263"/>
      <c r="B1681" s="264"/>
      <c r="C1681" s="265"/>
      <c r="D1681" s="266"/>
      <c r="E1681" s="263"/>
      <c r="F1681" s="267"/>
      <c r="G1681" s="267"/>
      <c r="H1681" s="268"/>
      <c r="I1681" s="268"/>
      <c r="J1681" s="377"/>
      <c r="K1681" s="265"/>
      <c r="L1681" s="265"/>
      <c r="M1681" s="269"/>
      <c r="N1681" s="270"/>
      <c r="O1681" s="271"/>
      <c r="P1681" s="271"/>
      <c r="Q1681" s="272"/>
      <c r="R1681" s="273"/>
      <c r="S1681" s="273"/>
      <c r="T1681" s="273"/>
      <c r="U1681" s="274"/>
      <c r="V1681" s="263"/>
      <c r="W1681" s="36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</row>
    <row r="1682">
      <c r="A1682" s="263"/>
      <c r="B1682" s="264"/>
      <c r="C1682" s="265"/>
      <c r="D1682" s="266"/>
      <c r="E1682" s="263"/>
      <c r="F1682" s="267"/>
      <c r="G1682" s="267"/>
      <c r="H1682" s="268"/>
      <c r="I1682" s="268"/>
      <c r="J1682" s="267"/>
      <c r="K1682" s="265"/>
      <c r="L1682" s="265"/>
      <c r="M1682" s="269"/>
      <c r="N1682" s="270"/>
      <c r="O1682" s="271"/>
      <c r="P1682" s="271"/>
      <c r="Q1682" s="272"/>
      <c r="R1682" s="273"/>
      <c r="S1682" s="273"/>
      <c r="T1682" s="273"/>
      <c r="U1682" s="274"/>
      <c r="V1682" s="263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</row>
    <row r="1683">
      <c r="A1683" s="263"/>
      <c r="B1683" s="264"/>
      <c r="C1683" s="265"/>
      <c r="D1683" s="266"/>
      <c r="E1683" s="263"/>
      <c r="F1683" s="267"/>
      <c r="G1683" s="267"/>
      <c r="H1683" s="268"/>
      <c r="I1683" s="268"/>
      <c r="J1683" s="267"/>
      <c r="K1683" s="265"/>
      <c r="L1683" s="265"/>
      <c r="M1683" s="269"/>
      <c r="N1683" s="270"/>
      <c r="O1683" s="271"/>
      <c r="P1683" s="271"/>
      <c r="Q1683" s="272"/>
      <c r="R1683" s="273"/>
      <c r="S1683" s="273"/>
      <c r="T1683" s="273"/>
      <c r="U1683" s="274"/>
      <c r="V1683" s="263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</row>
    <row r="1684">
      <c r="A1684" s="263"/>
      <c r="B1684" s="264"/>
      <c r="C1684" s="265"/>
      <c r="D1684" s="266"/>
      <c r="E1684" s="263"/>
      <c r="F1684" s="267"/>
      <c r="G1684" s="267"/>
      <c r="H1684" s="268"/>
      <c r="I1684" s="268"/>
      <c r="J1684" s="267"/>
      <c r="K1684" s="265"/>
      <c r="L1684" s="265"/>
      <c r="M1684" s="269"/>
      <c r="N1684" s="270"/>
      <c r="O1684" s="271"/>
      <c r="P1684" s="271"/>
      <c r="Q1684" s="272"/>
      <c r="R1684" s="273"/>
      <c r="S1684" s="273"/>
      <c r="T1684" s="273"/>
      <c r="U1684" s="274"/>
      <c r="V1684" s="263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</row>
    <row r="1685">
      <c r="A1685" s="251"/>
      <c r="B1685" s="252"/>
      <c r="C1685" s="253"/>
      <c r="D1685" s="254"/>
      <c r="E1685" s="251"/>
      <c r="F1685" s="255"/>
      <c r="G1685" s="255"/>
      <c r="H1685" s="256"/>
      <c r="I1685" s="256"/>
      <c r="J1685" s="267"/>
      <c r="K1685" s="253"/>
      <c r="L1685" s="253"/>
      <c r="M1685" s="275"/>
      <c r="N1685" s="258"/>
      <c r="O1685" s="259"/>
      <c r="P1685" s="259"/>
      <c r="Q1685" s="262"/>
      <c r="R1685" s="260"/>
      <c r="S1685" s="260"/>
      <c r="T1685" s="260"/>
      <c r="U1685" s="261"/>
      <c r="V1685" s="251"/>
      <c r="W1685" s="35"/>
      <c r="X1685" s="35"/>
      <c r="Y1685" s="35"/>
      <c r="Z1685" s="35"/>
      <c r="AA1685" s="35"/>
      <c r="AB1685" s="35"/>
      <c r="AC1685" s="35"/>
      <c r="AD1685" s="35"/>
      <c r="AE1685" s="35"/>
      <c r="AF1685" s="35"/>
      <c r="AG1685" s="35"/>
      <c r="AH1685" s="35"/>
      <c r="AI1685" s="35"/>
    </row>
    <row r="1686">
      <c r="A1686" s="165"/>
      <c r="B1686" s="166"/>
      <c r="C1686" s="166"/>
      <c r="D1686" s="165"/>
      <c r="E1686" s="165"/>
      <c r="F1686" s="377"/>
      <c r="G1686" s="377"/>
      <c r="H1686" s="378"/>
      <c r="I1686" s="378"/>
      <c r="J1686" s="267"/>
      <c r="K1686" s="166"/>
      <c r="L1686" s="166"/>
      <c r="M1686" s="205"/>
      <c r="N1686" s="170"/>
      <c r="O1686" s="171"/>
      <c r="P1686" s="171"/>
      <c r="Q1686" s="172"/>
      <c r="R1686" s="173"/>
      <c r="S1686" s="173"/>
      <c r="T1686" s="173"/>
      <c r="U1686" s="174"/>
      <c r="V1686" s="165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</row>
    <row r="1687">
      <c r="A1687" s="263"/>
      <c r="B1687" s="264"/>
      <c r="C1687" s="265"/>
      <c r="D1687" s="266"/>
      <c r="E1687" s="263"/>
      <c r="F1687" s="267"/>
      <c r="G1687" s="267"/>
      <c r="H1687" s="268"/>
      <c r="I1687" s="268"/>
      <c r="J1687" s="267"/>
      <c r="K1687" s="265"/>
      <c r="L1687" s="265"/>
      <c r="M1687" s="269"/>
      <c r="N1687" s="270"/>
      <c r="O1687" s="271"/>
      <c r="P1687" s="271"/>
      <c r="Q1687" s="272"/>
      <c r="R1687" s="273"/>
      <c r="S1687" s="273"/>
      <c r="T1687" s="273"/>
      <c r="U1687" s="274"/>
      <c r="V1687" s="263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</row>
    <row r="1688">
      <c r="A1688" s="263"/>
      <c r="B1688" s="264"/>
      <c r="C1688" s="265"/>
      <c r="D1688" s="266"/>
      <c r="E1688" s="263"/>
      <c r="F1688" s="267"/>
      <c r="G1688" s="267"/>
      <c r="H1688" s="268"/>
      <c r="I1688" s="268"/>
      <c r="J1688" s="267"/>
      <c r="K1688" s="265"/>
      <c r="L1688" s="265"/>
      <c r="M1688" s="269"/>
      <c r="N1688" s="270"/>
      <c r="O1688" s="271"/>
      <c r="P1688" s="271"/>
      <c r="Q1688" s="272"/>
      <c r="R1688" s="273"/>
      <c r="S1688" s="273"/>
      <c r="T1688" s="273"/>
      <c r="U1688" s="274"/>
      <c r="V1688" s="263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</row>
    <row r="1689">
      <c r="A1689" s="165"/>
      <c r="B1689" s="166"/>
      <c r="C1689" s="166"/>
      <c r="D1689" s="165"/>
      <c r="E1689" s="165"/>
      <c r="F1689" s="377"/>
      <c r="G1689" s="377"/>
      <c r="H1689" s="378"/>
      <c r="I1689" s="378"/>
      <c r="J1689" s="267"/>
      <c r="K1689" s="166"/>
      <c r="L1689" s="166"/>
      <c r="M1689" s="166"/>
      <c r="N1689" s="170"/>
      <c r="O1689" s="171"/>
      <c r="P1689" s="171"/>
      <c r="Q1689" s="172"/>
      <c r="R1689" s="173"/>
      <c r="S1689" s="173"/>
      <c r="T1689" s="173"/>
      <c r="U1689" s="174"/>
      <c r="V1689" s="165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</row>
    <row r="1690">
      <c r="A1690" s="251"/>
      <c r="B1690" s="252"/>
      <c r="C1690" s="253"/>
      <c r="D1690" s="254"/>
      <c r="E1690" s="251"/>
      <c r="F1690" s="255"/>
      <c r="G1690" s="255"/>
      <c r="H1690" s="256"/>
      <c r="I1690" s="256"/>
      <c r="J1690" s="255"/>
      <c r="K1690" s="253"/>
      <c r="L1690" s="253"/>
      <c r="M1690" s="252"/>
      <c r="N1690" s="258"/>
      <c r="O1690" s="259"/>
      <c r="P1690" s="259"/>
      <c r="Q1690" s="262"/>
      <c r="R1690" s="260"/>
      <c r="S1690" s="260"/>
      <c r="T1690" s="260"/>
      <c r="U1690" s="261"/>
      <c r="V1690" s="251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</row>
    <row r="1691">
      <c r="A1691" s="263"/>
      <c r="B1691" s="264"/>
      <c r="C1691" s="265"/>
      <c r="D1691" s="266"/>
      <c r="E1691" s="263"/>
      <c r="F1691" s="267"/>
      <c r="G1691" s="267"/>
      <c r="H1691" s="268"/>
      <c r="I1691" s="268"/>
      <c r="J1691" s="377"/>
      <c r="K1691" s="265"/>
      <c r="L1691" s="265"/>
      <c r="M1691" s="269"/>
      <c r="N1691" s="270"/>
      <c r="O1691" s="271"/>
      <c r="P1691" s="271"/>
      <c r="Q1691" s="272"/>
      <c r="R1691" s="273"/>
      <c r="S1691" s="273"/>
      <c r="T1691" s="273"/>
      <c r="U1691" s="274"/>
      <c r="V1691" s="263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</row>
    <row r="1692">
      <c r="A1692" s="263"/>
      <c r="B1692" s="264"/>
      <c r="C1692" s="265"/>
      <c r="D1692" s="266"/>
      <c r="E1692" s="263"/>
      <c r="F1692" s="267"/>
      <c r="G1692" s="267"/>
      <c r="H1692" s="268"/>
      <c r="I1692" s="268"/>
      <c r="J1692" s="267"/>
      <c r="K1692" s="265"/>
      <c r="L1692" s="265"/>
      <c r="M1692" s="269"/>
      <c r="N1692" s="270"/>
      <c r="O1692" s="271"/>
      <c r="P1692" s="271"/>
      <c r="Q1692" s="272"/>
      <c r="R1692" s="273"/>
      <c r="S1692" s="273"/>
      <c r="T1692" s="273"/>
      <c r="U1692" s="274"/>
      <c r="V1692" s="263"/>
      <c r="W1692" s="36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</row>
    <row r="1693">
      <c r="A1693" s="263"/>
      <c r="B1693" s="264"/>
      <c r="C1693" s="265"/>
      <c r="D1693" s="266"/>
      <c r="E1693" s="263"/>
      <c r="F1693" s="267"/>
      <c r="G1693" s="267"/>
      <c r="H1693" s="268"/>
      <c r="I1693" s="268"/>
      <c r="J1693" s="267"/>
      <c r="K1693" s="265"/>
      <c r="L1693" s="265"/>
      <c r="M1693" s="269"/>
      <c r="N1693" s="270"/>
      <c r="O1693" s="271"/>
      <c r="P1693" s="271"/>
      <c r="Q1693" s="272"/>
      <c r="R1693" s="273"/>
      <c r="S1693" s="273"/>
      <c r="T1693" s="273"/>
      <c r="U1693" s="274"/>
      <c r="V1693" s="263"/>
      <c r="W1693" s="188"/>
      <c r="X1693" s="188"/>
      <c r="Y1693" s="188"/>
      <c r="Z1693" s="188"/>
      <c r="AA1693" s="188"/>
      <c r="AB1693" s="188"/>
      <c r="AC1693" s="188"/>
      <c r="AD1693" s="188"/>
      <c r="AE1693" s="188"/>
      <c r="AF1693" s="188"/>
      <c r="AG1693" s="188"/>
      <c r="AH1693" s="188"/>
      <c r="AI1693" s="188"/>
    </row>
    <row r="1694">
      <c r="A1694" s="263"/>
      <c r="B1694" s="264"/>
      <c r="C1694" s="265"/>
      <c r="D1694" s="266"/>
      <c r="E1694" s="263"/>
      <c r="F1694" s="267"/>
      <c r="G1694" s="267"/>
      <c r="H1694" s="268"/>
      <c r="I1694" s="268"/>
      <c r="J1694" s="377"/>
      <c r="K1694" s="265"/>
      <c r="L1694" s="265"/>
      <c r="M1694" s="269"/>
      <c r="N1694" s="270"/>
      <c r="O1694" s="271"/>
      <c r="P1694" s="271"/>
      <c r="Q1694" s="272"/>
      <c r="R1694" s="273"/>
      <c r="S1694" s="273"/>
      <c r="T1694" s="273"/>
      <c r="U1694" s="274"/>
      <c r="V1694" s="263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</row>
    <row r="1695">
      <c r="A1695" s="263"/>
      <c r="B1695" s="264"/>
      <c r="C1695" s="265"/>
      <c r="D1695" s="266"/>
      <c r="E1695" s="263"/>
      <c r="F1695" s="267"/>
      <c r="G1695" s="267"/>
      <c r="H1695" s="268"/>
      <c r="I1695" s="268"/>
      <c r="J1695" s="255"/>
      <c r="K1695" s="265"/>
      <c r="L1695" s="265"/>
      <c r="M1695" s="269"/>
      <c r="N1695" s="270"/>
      <c r="O1695" s="271"/>
      <c r="P1695" s="271"/>
      <c r="Q1695" s="272"/>
      <c r="R1695" s="273"/>
      <c r="S1695" s="273"/>
      <c r="T1695" s="273"/>
      <c r="U1695" s="274"/>
      <c r="V1695" s="263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</row>
    <row r="1696">
      <c r="A1696" s="263"/>
      <c r="B1696" s="264"/>
      <c r="C1696" s="265"/>
      <c r="D1696" s="266"/>
      <c r="E1696" s="263"/>
      <c r="F1696" s="267"/>
      <c r="G1696" s="267"/>
      <c r="H1696" s="268"/>
      <c r="I1696" s="268"/>
      <c r="J1696" s="267"/>
      <c r="K1696" s="265"/>
      <c r="L1696" s="265"/>
      <c r="M1696" s="269"/>
      <c r="N1696" s="270"/>
      <c r="O1696" s="271"/>
      <c r="P1696" s="271"/>
      <c r="Q1696" s="272"/>
      <c r="R1696" s="273"/>
      <c r="S1696" s="273"/>
      <c r="T1696" s="273"/>
      <c r="U1696" s="274"/>
      <c r="V1696" s="263"/>
      <c r="W1696" s="188"/>
      <c r="X1696" s="188"/>
      <c r="Y1696" s="188"/>
      <c r="Z1696" s="188"/>
      <c r="AA1696" s="188"/>
      <c r="AB1696" s="188"/>
      <c r="AC1696" s="188"/>
      <c r="AD1696" s="188"/>
      <c r="AE1696" s="188"/>
      <c r="AF1696" s="188"/>
      <c r="AG1696" s="188"/>
      <c r="AH1696" s="188"/>
      <c r="AI1696" s="188"/>
    </row>
    <row r="1697">
      <c r="A1697" s="263"/>
      <c r="B1697" s="264"/>
      <c r="C1697" s="265"/>
      <c r="D1697" s="266"/>
      <c r="E1697" s="263"/>
      <c r="F1697" s="267"/>
      <c r="G1697" s="267"/>
      <c r="H1697" s="268"/>
      <c r="I1697" s="268"/>
      <c r="J1697" s="267"/>
      <c r="K1697" s="265"/>
      <c r="L1697" s="265"/>
      <c r="M1697" s="269"/>
      <c r="N1697" s="270"/>
      <c r="O1697" s="271"/>
      <c r="P1697" s="271"/>
      <c r="Q1697" s="272"/>
      <c r="R1697" s="273"/>
      <c r="S1697" s="273"/>
      <c r="T1697" s="273"/>
      <c r="U1697" s="274"/>
      <c r="V1697" s="263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</row>
    <row r="1698">
      <c r="A1698" s="263"/>
      <c r="B1698" s="264"/>
      <c r="C1698" s="265"/>
      <c r="D1698" s="266"/>
      <c r="E1698" s="263"/>
      <c r="F1698" s="267"/>
      <c r="G1698" s="267"/>
      <c r="H1698" s="268"/>
      <c r="I1698" s="268"/>
      <c r="J1698" s="267"/>
      <c r="K1698" s="265"/>
      <c r="L1698" s="265"/>
      <c r="M1698" s="269"/>
      <c r="N1698" s="270"/>
      <c r="O1698" s="271"/>
      <c r="P1698" s="271"/>
      <c r="Q1698" s="272"/>
      <c r="R1698" s="273"/>
      <c r="S1698" s="273"/>
      <c r="T1698" s="273"/>
      <c r="U1698" s="274"/>
      <c r="V1698" s="263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</row>
    <row r="1699">
      <c r="A1699" s="263"/>
      <c r="B1699" s="264"/>
      <c r="C1699" s="265"/>
      <c r="D1699" s="266"/>
      <c r="E1699" s="263"/>
      <c r="F1699" s="267"/>
      <c r="G1699" s="267"/>
      <c r="H1699" s="268"/>
      <c r="I1699" s="268"/>
      <c r="J1699" s="267"/>
      <c r="K1699" s="265"/>
      <c r="L1699" s="265"/>
      <c r="M1699" s="269"/>
      <c r="N1699" s="270"/>
      <c r="O1699" s="271"/>
      <c r="P1699" s="271"/>
      <c r="Q1699" s="272"/>
      <c r="R1699" s="273"/>
      <c r="S1699" s="273"/>
      <c r="T1699" s="273"/>
      <c r="U1699" s="274"/>
      <c r="V1699" s="263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</row>
    <row r="1700">
      <c r="A1700" s="263"/>
      <c r="B1700" s="264"/>
      <c r="C1700" s="265"/>
      <c r="D1700" s="266"/>
      <c r="E1700" s="263"/>
      <c r="F1700" s="267"/>
      <c r="G1700" s="267"/>
      <c r="H1700" s="268"/>
      <c r="I1700" s="268"/>
      <c r="J1700" s="267"/>
      <c r="K1700" s="265"/>
      <c r="L1700" s="265"/>
      <c r="M1700" s="269"/>
      <c r="N1700" s="270"/>
      <c r="O1700" s="271"/>
      <c r="P1700" s="271"/>
      <c r="Q1700" s="272"/>
      <c r="R1700" s="273"/>
      <c r="S1700" s="273"/>
      <c r="T1700" s="273"/>
      <c r="U1700" s="274"/>
      <c r="V1700" s="263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</row>
    <row r="1701">
      <c r="A1701" s="263"/>
      <c r="B1701" s="264"/>
      <c r="C1701" s="265"/>
      <c r="D1701" s="266"/>
      <c r="E1701" s="263"/>
      <c r="F1701" s="267"/>
      <c r="G1701" s="267"/>
      <c r="H1701" s="268"/>
      <c r="I1701" s="268"/>
      <c r="J1701" s="267"/>
      <c r="K1701" s="265"/>
      <c r="L1701" s="265"/>
      <c r="M1701" s="269"/>
      <c r="N1701" s="270"/>
      <c r="O1701" s="271"/>
      <c r="P1701" s="271"/>
      <c r="Q1701" s="272"/>
      <c r="R1701" s="273"/>
      <c r="S1701" s="273"/>
      <c r="T1701" s="273"/>
      <c r="U1701" s="274"/>
      <c r="V1701" s="263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</row>
    <row r="1702">
      <c r="A1702" s="263"/>
      <c r="B1702" s="264"/>
      <c r="C1702" s="265"/>
      <c r="D1702" s="266"/>
      <c r="E1702" s="263"/>
      <c r="F1702" s="267"/>
      <c r="G1702" s="267"/>
      <c r="H1702" s="268"/>
      <c r="I1702" s="268"/>
      <c r="J1702" s="267"/>
      <c r="K1702" s="265"/>
      <c r="L1702" s="265"/>
      <c r="M1702" s="269"/>
      <c r="N1702" s="270"/>
      <c r="O1702" s="271"/>
      <c r="P1702" s="271"/>
      <c r="Q1702" s="272"/>
      <c r="R1702" s="273"/>
      <c r="S1702" s="273"/>
      <c r="T1702" s="273"/>
      <c r="U1702" s="274"/>
      <c r="V1702" s="263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</row>
    <row r="1703">
      <c r="A1703" s="263"/>
      <c r="B1703" s="264"/>
      <c r="C1703" s="265"/>
      <c r="D1703" s="266"/>
      <c r="E1703" s="263"/>
      <c r="F1703" s="267"/>
      <c r="G1703" s="267"/>
      <c r="H1703" s="268"/>
      <c r="I1703" s="268"/>
      <c r="J1703" s="267"/>
      <c r="K1703" s="265"/>
      <c r="L1703" s="265"/>
      <c r="M1703" s="269"/>
      <c r="N1703" s="270"/>
      <c r="O1703" s="271"/>
      <c r="P1703" s="271"/>
      <c r="Q1703" s="272"/>
      <c r="R1703" s="273"/>
      <c r="S1703" s="273"/>
      <c r="T1703" s="273"/>
      <c r="U1703" s="274"/>
      <c r="V1703" s="263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</row>
    <row r="1704">
      <c r="A1704" s="263"/>
      <c r="B1704" s="264"/>
      <c r="C1704" s="265"/>
      <c r="D1704" s="266"/>
      <c r="E1704" s="263"/>
      <c r="F1704" s="267"/>
      <c r="G1704" s="267"/>
      <c r="H1704" s="268"/>
      <c r="I1704" s="268"/>
      <c r="J1704" s="267"/>
      <c r="K1704" s="265"/>
      <c r="L1704" s="265"/>
      <c r="M1704" s="269"/>
      <c r="N1704" s="270"/>
      <c r="O1704" s="271"/>
      <c r="P1704" s="271"/>
      <c r="Q1704" s="272"/>
      <c r="R1704" s="273"/>
      <c r="S1704" s="273"/>
      <c r="T1704" s="273"/>
      <c r="U1704" s="274"/>
      <c r="V1704" s="263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</row>
    <row r="1705">
      <c r="A1705" s="263"/>
      <c r="B1705" s="264"/>
      <c r="C1705" s="265"/>
      <c r="D1705" s="266"/>
      <c r="E1705" s="263"/>
      <c r="F1705" s="267"/>
      <c r="G1705" s="267"/>
      <c r="H1705" s="268"/>
      <c r="I1705" s="268"/>
      <c r="J1705" s="267"/>
      <c r="K1705" s="265"/>
      <c r="L1705" s="265"/>
      <c r="M1705" s="269"/>
      <c r="N1705" s="270"/>
      <c r="O1705" s="271"/>
      <c r="P1705" s="271"/>
      <c r="Q1705" s="272"/>
      <c r="R1705" s="273"/>
      <c r="S1705" s="273"/>
      <c r="T1705" s="273"/>
      <c r="U1705" s="274"/>
      <c r="V1705" s="263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</row>
    <row r="1706">
      <c r="A1706" s="263"/>
      <c r="B1706" s="264"/>
      <c r="C1706" s="265"/>
      <c r="D1706" s="266"/>
      <c r="E1706" s="263"/>
      <c r="F1706" s="267"/>
      <c r="G1706" s="267"/>
      <c r="H1706" s="268"/>
      <c r="I1706" s="268"/>
      <c r="J1706" s="267"/>
      <c r="K1706" s="265"/>
      <c r="L1706" s="265"/>
      <c r="M1706" s="269"/>
      <c r="N1706" s="270"/>
      <c r="O1706" s="271"/>
      <c r="P1706" s="271"/>
      <c r="Q1706" s="272"/>
      <c r="R1706" s="273"/>
      <c r="S1706" s="273"/>
      <c r="T1706" s="273"/>
      <c r="U1706" s="274"/>
      <c r="V1706" s="263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</row>
    <row r="1707">
      <c r="A1707" s="263"/>
      <c r="B1707" s="264"/>
      <c r="C1707" s="265"/>
      <c r="D1707" s="266"/>
      <c r="E1707" s="263"/>
      <c r="F1707" s="267"/>
      <c r="G1707" s="267"/>
      <c r="H1707" s="268"/>
      <c r="I1707" s="268"/>
      <c r="J1707" s="267"/>
      <c r="K1707" s="265"/>
      <c r="L1707" s="265"/>
      <c r="M1707" s="269"/>
      <c r="N1707" s="270"/>
      <c r="O1707" s="271"/>
      <c r="P1707" s="271"/>
      <c r="Q1707" s="272"/>
      <c r="R1707" s="273"/>
      <c r="S1707" s="273"/>
      <c r="T1707" s="273"/>
      <c r="U1707" s="274"/>
      <c r="V1707" s="263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</row>
    <row r="1708">
      <c r="A1708" s="263"/>
      <c r="B1708" s="264"/>
      <c r="C1708" s="265"/>
      <c r="D1708" s="266"/>
      <c r="E1708" s="263"/>
      <c r="F1708" s="267"/>
      <c r="G1708" s="267"/>
      <c r="H1708" s="268"/>
      <c r="I1708" s="268"/>
      <c r="J1708" s="267"/>
      <c r="K1708" s="265"/>
      <c r="L1708" s="265"/>
      <c r="M1708" s="269"/>
      <c r="N1708" s="270"/>
      <c r="O1708" s="271"/>
      <c r="P1708" s="271"/>
      <c r="Q1708" s="272"/>
      <c r="R1708" s="273"/>
      <c r="S1708" s="273"/>
      <c r="T1708" s="273"/>
      <c r="U1708" s="274"/>
      <c r="V1708" s="263"/>
      <c r="W1708" s="35"/>
      <c r="X1708" s="35"/>
      <c r="Y1708" s="35"/>
      <c r="Z1708" s="35"/>
      <c r="AA1708" s="35"/>
      <c r="AB1708" s="35"/>
      <c r="AC1708" s="35"/>
      <c r="AD1708" s="35"/>
      <c r="AE1708" s="35"/>
      <c r="AF1708" s="35"/>
      <c r="AG1708" s="35"/>
      <c r="AH1708" s="35"/>
      <c r="AI1708" s="35"/>
    </row>
    <row r="1709">
      <c r="A1709" s="263"/>
      <c r="B1709" s="264"/>
      <c r="C1709" s="265"/>
      <c r="D1709" s="266"/>
      <c r="E1709" s="263"/>
      <c r="F1709" s="267"/>
      <c r="G1709" s="267"/>
      <c r="H1709" s="268"/>
      <c r="I1709" s="268"/>
      <c r="J1709" s="267"/>
      <c r="K1709" s="265"/>
      <c r="L1709" s="265"/>
      <c r="M1709" s="269"/>
      <c r="N1709" s="270"/>
      <c r="O1709" s="271"/>
      <c r="P1709" s="271"/>
      <c r="Q1709" s="272"/>
      <c r="R1709" s="273"/>
      <c r="S1709" s="273"/>
      <c r="T1709" s="273"/>
      <c r="U1709" s="274"/>
      <c r="V1709" s="263"/>
      <c r="W1709" s="35"/>
      <c r="X1709" s="35"/>
      <c r="Y1709" s="35"/>
      <c r="Z1709" s="35"/>
      <c r="AA1709" s="35"/>
      <c r="AB1709" s="35"/>
      <c r="AC1709" s="35"/>
      <c r="AD1709" s="35"/>
      <c r="AE1709" s="35"/>
      <c r="AF1709" s="35"/>
      <c r="AG1709" s="35"/>
      <c r="AH1709" s="35"/>
      <c r="AI1709" s="35"/>
    </row>
    <row r="1710">
      <c r="A1710" s="263"/>
      <c r="B1710" s="264"/>
      <c r="C1710" s="265"/>
      <c r="D1710" s="266"/>
      <c r="E1710" s="263"/>
      <c r="F1710" s="267"/>
      <c r="G1710" s="267"/>
      <c r="H1710" s="268"/>
      <c r="I1710" s="268"/>
      <c r="J1710" s="267"/>
      <c r="K1710" s="265"/>
      <c r="L1710" s="265"/>
      <c r="M1710" s="269"/>
      <c r="N1710" s="270"/>
      <c r="O1710" s="271"/>
      <c r="P1710" s="271"/>
      <c r="Q1710" s="272"/>
      <c r="R1710" s="273"/>
      <c r="S1710" s="273"/>
      <c r="T1710" s="273"/>
      <c r="U1710" s="274"/>
      <c r="V1710" s="263"/>
      <c r="W1710" s="35"/>
      <c r="X1710" s="35"/>
      <c r="Y1710" s="35"/>
      <c r="Z1710" s="35"/>
      <c r="AA1710" s="35"/>
      <c r="AB1710" s="35"/>
      <c r="AC1710" s="35"/>
      <c r="AD1710" s="35"/>
      <c r="AE1710" s="35"/>
      <c r="AF1710" s="35"/>
      <c r="AG1710" s="35"/>
      <c r="AH1710" s="35"/>
      <c r="AI1710" s="35"/>
    </row>
    <row r="1711">
      <c r="A1711" s="263"/>
      <c r="B1711" s="264"/>
      <c r="C1711" s="265"/>
      <c r="D1711" s="266"/>
      <c r="E1711" s="263"/>
      <c r="F1711" s="267"/>
      <c r="G1711" s="267"/>
      <c r="H1711" s="268"/>
      <c r="I1711" s="268"/>
      <c r="J1711" s="267"/>
      <c r="K1711" s="265"/>
      <c r="L1711" s="265"/>
      <c r="M1711" s="269"/>
      <c r="N1711" s="270"/>
      <c r="O1711" s="271"/>
      <c r="P1711" s="271"/>
      <c r="Q1711" s="272"/>
      <c r="R1711" s="273"/>
      <c r="S1711" s="273"/>
      <c r="T1711" s="273"/>
      <c r="U1711" s="274"/>
      <c r="V1711" s="263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</row>
    <row r="1712">
      <c r="A1712" s="263"/>
      <c r="B1712" s="264"/>
      <c r="C1712" s="265"/>
      <c r="D1712" s="266"/>
      <c r="E1712" s="263"/>
      <c r="F1712" s="267"/>
      <c r="G1712" s="267"/>
      <c r="H1712" s="268"/>
      <c r="I1712" s="268"/>
      <c r="J1712" s="267"/>
      <c r="K1712" s="265"/>
      <c r="L1712" s="265"/>
      <c r="M1712" s="269"/>
      <c r="N1712" s="270"/>
      <c r="O1712" s="271"/>
      <c r="P1712" s="271"/>
      <c r="Q1712" s="272"/>
      <c r="R1712" s="273"/>
      <c r="S1712" s="273"/>
      <c r="T1712" s="273"/>
      <c r="U1712" s="274"/>
      <c r="V1712" s="263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</row>
    <row r="1713">
      <c r="A1713" s="263"/>
      <c r="B1713" s="264"/>
      <c r="C1713" s="265"/>
      <c r="D1713" s="266"/>
      <c r="E1713" s="263"/>
      <c r="F1713" s="267"/>
      <c r="G1713" s="267"/>
      <c r="H1713" s="268"/>
      <c r="I1713" s="268"/>
      <c r="J1713" s="267"/>
      <c r="K1713" s="265"/>
      <c r="L1713" s="265"/>
      <c r="M1713" s="269"/>
      <c r="N1713" s="270"/>
      <c r="O1713" s="271"/>
      <c r="P1713" s="271"/>
      <c r="Q1713" s="272"/>
      <c r="R1713" s="273"/>
      <c r="S1713" s="273"/>
      <c r="T1713" s="173"/>
      <c r="U1713" s="201"/>
      <c r="V1713" s="165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</row>
    <row r="1714">
      <c r="A1714" s="263"/>
      <c r="B1714" s="264"/>
      <c r="C1714" s="265"/>
      <c r="D1714" s="266"/>
      <c r="E1714" s="263"/>
      <c r="F1714" s="267"/>
      <c r="G1714" s="267"/>
      <c r="H1714" s="268"/>
      <c r="I1714" s="268"/>
      <c r="J1714" s="267"/>
      <c r="K1714" s="265"/>
      <c r="L1714" s="265"/>
      <c r="M1714" s="269"/>
      <c r="N1714" s="270"/>
      <c r="O1714" s="271"/>
      <c r="P1714" s="271"/>
      <c r="Q1714" s="272"/>
      <c r="R1714" s="273"/>
      <c r="S1714" s="273"/>
      <c r="T1714" s="273"/>
      <c r="U1714" s="274"/>
      <c r="V1714" s="263"/>
      <c r="W1714" s="36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</row>
    <row r="1715">
      <c r="A1715" s="165"/>
      <c r="B1715" s="166"/>
      <c r="C1715" s="166"/>
      <c r="D1715" s="165"/>
      <c r="E1715" s="165"/>
      <c r="F1715" s="377"/>
      <c r="G1715" s="377"/>
      <c r="H1715" s="378"/>
      <c r="I1715" s="378"/>
      <c r="J1715" s="267"/>
      <c r="K1715" s="166"/>
      <c r="L1715" s="166"/>
      <c r="M1715" s="166"/>
      <c r="N1715" s="170"/>
      <c r="O1715" s="171"/>
      <c r="P1715" s="171"/>
      <c r="Q1715" s="172"/>
      <c r="R1715" s="173"/>
      <c r="S1715" s="173"/>
      <c r="T1715" s="173"/>
      <c r="U1715" s="174"/>
      <c r="V1715" s="165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</row>
    <row r="1716">
      <c r="A1716" s="251"/>
      <c r="B1716" s="252"/>
      <c r="C1716" s="253"/>
      <c r="D1716" s="254"/>
      <c r="E1716" s="251"/>
      <c r="F1716" s="255"/>
      <c r="G1716" s="255"/>
      <c r="H1716" s="256"/>
      <c r="I1716" s="256"/>
      <c r="J1716" s="267"/>
      <c r="K1716" s="253"/>
      <c r="L1716" s="253"/>
      <c r="M1716" s="252"/>
      <c r="N1716" s="258"/>
      <c r="O1716" s="259"/>
      <c r="P1716" s="259"/>
      <c r="Q1716" s="257"/>
      <c r="R1716" s="260"/>
      <c r="S1716" s="260"/>
      <c r="T1716" s="260"/>
      <c r="U1716" s="261"/>
      <c r="V1716" s="251"/>
      <c r="W1716" s="35"/>
      <c r="X1716" s="35"/>
      <c r="Y1716" s="35"/>
      <c r="Z1716" s="35"/>
      <c r="AA1716" s="35"/>
      <c r="AB1716" s="35"/>
      <c r="AC1716" s="35"/>
      <c r="AD1716" s="35"/>
      <c r="AE1716" s="35"/>
      <c r="AF1716" s="35"/>
      <c r="AG1716" s="35"/>
      <c r="AH1716" s="35"/>
      <c r="AI1716" s="35"/>
    </row>
    <row r="1717">
      <c r="A1717" s="263"/>
      <c r="B1717" s="264"/>
      <c r="C1717" s="265"/>
      <c r="D1717" s="266"/>
      <c r="E1717" s="263"/>
      <c r="F1717" s="267"/>
      <c r="G1717" s="267"/>
      <c r="H1717" s="268"/>
      <c r="I1717" s="268"/>
      <c r="J1717" s="267"/>
      <c r="K1717" s="265"/>
      <c r="L1717" s="265"/>
      <c r="M1717" s="269"/>
      <c r="N1717" s="270"/>
      <c r="O1717" s="271"/>
      <c r="P1717" s="271"/>
      <c r="Q1717" s="272"/>
      <c r="R1717" s="273"/>
      <c r="S1717" s="273"/>
      <c r="T1717" s="273"/>
      <c r="U1717" s="274"/>
      <c r="V1717" s="263"/>
      <c r="W1717" s="35"/>
      <c r="X1717" s="35"/>
      <c r="Y1717" s="35"/>
      <c r="Z1717" s="35"/>
      <c r="AA1717" s="35"/>
      <c r="AB1717" s="35"/>
      <c r="AC1717" s="35"/>
      <c r="AD1717" s="35"/>
      <c r="AE1717" s="35"/>
      <c r="AF1717" s="35"/>
      <c r="AG1717" s="35"/>
      <c r="AH1717" s="35"/>
      <c r="AI1717" s="35"/>
    </row>
    <row r="1718">
      <c r="A1718" s="263"/>
      <c r="B1718" s="264"/>
      <c r="C1718" s="265"/>
      <c r="D1718" s="266"/>
      <c r="E1718" s="263"/>
      <c r="F1718" s="267"/>
      <c r="G1718" s="267"/>
      <c r="H1718" s="268"/>
      <c r="I1718" s="268"/>
      <c r="J1718" s="267"/>
      <c r="K1718" s="265"/>
      <c r="L1718" s="265"/>
      <c r="M1718" s="269"/>
      <c r="N1718" s="270"/>
      <c r="O1718" s="271"/>
      <c r="P1718" s="271"/>
      <c r="Q1718" s="272"/>
      <c r="R1718" s="273"/>
      <c r="S1718" s="273"/>
      <c r="T1718" s="273"/>
      <c r="U1718" s="274"/>
      <c r="V1718" s="263"/>
      <c r="W1718" s="35"/>
      <c r="X1718" s="35"/>
      <c r="Y1718" s="35"/>
      <c r="Z1718" s="35"/>
      <c r="AA1718" s="35"/>
      <c r="AB1718" s="35"/>
      <c r="AC1718" s="35"/>
      <c r="AD1718" s="35"/>
      <c r="AE1718" s="35"/>
      <c r="AF1718" s="35"/>
      <c r="AG1718" s="35"/>
      <c r="AH1718" s="35"/>
      <c r="AI1718" s="35"/>
    </row>
    <row r="1719">
      <c r="A1719" s="263"/>
      <c r="B1719" s="264"/>
      <c r="C1719" s="265"/>
      <c r="D1719" s="266"/>
      <c r="E1719" s="263"/>
      <c r="F1719" s="267"/>
      <c r="G1719" s="267"/>
      <c r="H1719" s="268"/>
      <c r="I1719" s="268"/>
      <c r="J1719" s="267"/>
      <c r="K1719" s="265"/>
      <c r="L1719" s="265"/>
      <c r="M1719" s="269"/>
      <c r="N1719" s="270"/>
      <c r="O1719" s="271"/>
      <c r="P1719" s="271"/>
      <c r="Q1719" s="272"/>
      <c r="R1719" s="273"/>
      <c r="S1719" s="273"/>
      <c r="T1719" s="273"/>
      <c r="U1719" s="274"/>
      <c r="V1719" s="263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</row>
    <row r="1720">
      <c r="A1720" s="263"/>
      <c r="B1720" s="264"/>
      <c r="C1720" s="265"/>
      <c r="D1720" s="266"/>
      <c r="E1720" s="263"/>
      <c r="F1720" s="267"/>
      <c r="G1720" s="267"/>
      <c r="H1720" s="268"/>
      <c r="I1720" s="268"/>
      <c r="J1720" s="377"/>
      <c r="K1720" s="265"/>
      <c r="L1720" s="265"/>
      <c r="M1720" s="269"/>
      <c r="N1720" s="270"/>
      <c r="O1720" s="271"/>
      <c r="P1720" s="271"/>
      <c r="Q1720" s="272"/>
      <c r="R1720" s="273"/>
      <c r="S1720" s="273"/>
      <c r="T1720" s="273"/>
      <c r="U1720" s="274"/>
      <c r="V1720" s="263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</row>
    <row r="1721">
      <c r="A1721" s="263"/>
      <c r="B1721" s="264"/>
      <c r="C1721" s="265"/>
      <c r="D1721" s="266"/>
      <c r="E1721" s="263"/>
      <c r="F1721" s="267"/>
      <c r="G1721" s="267"/>
      <c r="H1721" s="268"/>
      <c r="I1721" s="268"/>
      <c r="J1721" s="255"/>
      <c r="K1721" s="265"/>
      <c r="L1721" s="265"/>
      <c r="M1721" s="269"/>
      <c r="N1721" s="270"/>
      <c r="O1721" s="271"/>
      <c r="P1721" s="271"/>
      <c r="Q1721" s="272"/>
      <c r="R1721" s="273"/>
      <c r="S1721" s="273"/>
      <c r="T1721" s="273"/>
      <c r="U1721" s="274"/>
      <c r="V1721" s="263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</row>
    <row r="1722">
      <c r="A1722" s="263"/>
      <c r="B1722" s="264"/>
      <c r="C1722" s="265"/>
      <c r="D1722" s="266"/>
      <c r="E1722" s="263"/>
      <c r="F1722" s="267"/>
      <c r="G1722" s="267"/>
      <c r="H1722" s="268"/>
      <c r="I1722" s="268"/>
      <c r="J1722" s="267"/>
      <c r="K1722" s="265"/>
      <c r="L1722" s="265"/>
      <c r="M1722" s="269"/>
      <c r="N1722" s="270"/>
      <c r="O1722" s="271"/>
      <c r="P1722" s="271"/>
      <c r="Q1722" s="272"/>
      <c r="R1722" s="273"/>
      <c r="S1722" s="273"/>
      <c r="T1722" s="273"/>
      <c r="U1722" s="274"/>
      <c r="V1722" s="263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</row>
    <row r="1723">
      <c r="A1723" s="263"/>
      <c r="B1723" s="264"/>
      <c r="C1723" s="265"/>
      <c r="D1723" s="266"/>
      <c r="E1723" s="263"/>
      <c r="F1723" s="267"/>
      <c r="G1723" s="267"/>
      <c r="H1723" s="268"/>
      <c r="I1723" s="268"/>
      <c r="J1723" s="267"/>
      <c r="K1723" s="265"/>
      <c r="L1723" s="265"/>
      <c r="M1723" s="269"/>
      <c r="N1723" s="270"/>
      <c r="O1723" s="271"/>
      <c r="P1723" s="271"/>
      <c r="Q1723" s="272"/>
      <c r="R1723" s="273"/>
      <c r="S1723" s="273"/>
      <c r="T1723" s="273"/>
      <c r="U1723" s="274"/>
      <c r="V1723" s="263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</row>
    <row r="1724">
      <c r="A1724" s="263"/>
      <c r="B1724" s="264"/>
      <c r="C1724" s="265"/>
      <c r="D1724" s="266"/>
      <c r="E1724" s="263"/>
      <c r="F1724" s="267"/>
      <c r="G1724" s="267"/>
      <c r="H1724" s="268"/>
      <c r="I1724" s="268"/>
      <c r="J1724" s="267"/>
      <c r="K1724" s="265"/>
      <c r="L1724" s="265"/>
      <c r="M1724" s="269"/>
      <c r="N1724" s="270"/>
      <c r="O1724" s="271"/>
      <c r="P1724" s="271"/>
      <c r="Q1724" s="272"/>
      <c r="R1724" s="273"/>
      <c r="S1724" s="273"/>
      <c r="T1724" s="273"/>
      <c r="U1724" s="274"/>
      <c r="V1724" s="263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</row>
    <row r="1725">
      <c r="A1725" s="263"/>
      <c r="B1725" s="264"/>
      <c r="C1725" s="265"/>
      <c r="D1725" s="266"/>
      <c r="E1725" s="263"/>
      <c r="F1725" s="267"/>
      <c r="G1725" s="267"/>
      <c r="H1725" s="268"/>
      <c r="I1725" s="268"/>
      <c r="J1725" s="267"/>
      <c r="K1725" s="265"/>
      <c r="L1725" s="265"/>
      <c r="M1725" s="269"/>
      <c r="N1725" s="270"/>
      <c r="O1725" s="271"/>
      <c r="P1725" s="271"/>
      <c r="Q1725" s="272"/>
      <c r="R1725" s="273"/>
      <c r="S1725" s="273"/>
      <c r="T1725" s="273"/>
      <c r="U1725" s="274"/>
      <c r="V1725" s="263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</row>
    <row r="1726">
      <c r="A1726" s="434"/>
      <c r="B1726" s="380"/>
      <c r="C1726" s="381"/>
      <c r="D1726" s="435"/>
      <c r="E1726" s="434"/>
      <c r="F1726" s="436"/>
      <c r="G1726" s="436"/>
      <c r="H1726" s="437"/>
      <c r="I1726" s="437"/>
      <c r="J1726" s="267"/>
      <c r="K1726" s="381"/>
      <c r="L1726" s="381"/>
      <c r="M1726" s="385"/>
      <c r="N1726" s="387"/>
      <c r="O1726" s="388"/>
      <c r="P1726" s="388"/>
      <c r="Q1726" s="389"/>
      <c r="R1726" s="390"/>
      <c r="S1726" s="390"/>
      <c r="T1726" s="390"/>
      <c r="U1726" s="391"/>
      <c r="V1726" s="434"/>
      <c r="W1726" s="35"/>
      <c r="X1726" s="35"/>
      <c r="Y1726" s="35"/>
      <c r="Z1726" s="35"/>
      <c r="AA1726" s="35"/>
      <c r="AB1726" s="35"/>
      <c r="AC1726" s="35"/>
      <c r="AD1726" s="35"/>
      <c r="AE1726" s="35"/>
      <c r="AF1726" s="35"/>
      <c r="AG1726" s="35"/>
      <c r="AH1726" s="35"/>
      <c r="AI1726" s="35"/>
    </row>
    <row r="1727">
      <c r="A1727" s="263"/>
      <c r="B1727" s="264"/>
      <c r="C1727" s="265"/>
      <c r="D1727" s="266"/>
      <c r="E1727" s="263"/>
      <c r="F1727" s="267"/>
      <c r="G1727" s="267"/>
      <c r="H1727" s="268"/>
      <c r="I1727" s="268"/>
      <c r="J1727" s="267"/>
      <c r="K1727" s="265"/>
      <c r="L1727" s="265"/>
      <c r="M1727" s="269"/>
      <c r="N1727" s="270"/>
      <c r="O1727" s="271"/>
      <c r="P1727" s="271"/>
      <c r="Q1727" s="272"/>
      <c r="R1727" s="273"/>
      <c r="S1727" s="273"/>
      <c r="T1727" s="273"/>
      <c r="U1727" s="274"/>
      <c r="V1727" s="263"/>
      <c r="W1727" s="35"/>
      <c r="X1727" s="35"/>
      <c r="Y1727" s="35"/>
      <c r="Z1727" s="35"/>
      <c r="AA1727" s="35"/>
      <c r="AB1727" s="35"/>
      <c r="AC1727" s="35"/>
      <c r="AD1727" s="35"/>
      <c r="AE1727" s="35"/>
      <c r="AF1727" s="35"/>
      <c r="AG1727" s="35"/>
      <c r="AH1727" s="35"/>
      <c r="AI1727" s="35"/>
    </row>
    <row r="1728">
      <c r="A1728" s="263"/>
      <c r="B1728" s="264"/>
      <c r="C1728" s="265"/>
      <c r="D1728" s="266"/>
      <c r="E1728" s="263"/>
      <c r="F1728" s="267"/>
      <c r="G1728" s="267"/>
      <c r="H1728" s="268"/>
      <c r="I1728" s="268"/>
      <c r="J1728" s="267"/>
      <c r="K1728" s="265"/>
      <c r="L1728" s="265"/>
      <c r="M1728" s="269"/>
      <c r="N1728" s="270"/>
      <c r="O1728" s="271"/>
      <c r="P1728" s="271"/>
      <c r="Q1728" s="272"/>
      <c r="R1728" s="273"/>
      <c r="S1728" s="273"/>
      <c r="T1728" s="273"/>
      <c r="U1728" s="274"/>
      <c r="V1728" s="263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</row>
    <row r="1729">
      <c r="A1729" s="263"/>
      <c r="B1729" s="264"/>
      <c r="C1729" s="265"/>
      <c r="D1729" s="266"/>
      <c r="E1729" s="263"/>
      <c r="F1729" s="267"/>
      <c r="G1729" s="267"/>
      <c r="H1729" s="268"/>
      <c r="I1729" s="268"/>
      <c r="J1729" s="267"/>
      <c r="K1729" s="265"/>
      <c r="L1729" s="265"/>
      <c r="M1729" s="269"/>
      <c r="N1729" s="270"/>
      <c r="O1729" s="271"/>
      <c r="P1729" s="271"/>
      <c r="Q1729" s="272"/>
      <c r="R1729" s="273"/>
      <c r="S1729" s="273"/>
      <c r="T1729" s="273"/>
      <c r="U1729" s="274"/>
      <c r="V1729" s="263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</row>
    <row r="1730">
      <c r="A1730" s="263"/>
      <c r="B1730" s="264"/>
      <c r="C1730" s="265"/>
      <c r="D1730" s="266"/>
      <c r="E1730" s="263"/>
      <c r="F1730" s="267"/>
      <c r="G1730" s="267"/>
      <c r="H1730" s="268"/>
      <c r="I1730" s="268"/>
      <c r="J1730" s="267"/>
      <c r="K1730" s="265"/>
      <c r="L1730" s="265"/>
      <c r="M1730" s="269"/>
      <c r="N1730" s="270"/>
      <c r="O1730" s="271"/>
      <c r="P1730" s="271"/>
      <c r="Q1730" s="272"/>
      <c r="R1730" s="273"/>
      <c r="S1730" s="273"/>
      <c r="T1730" s="273"/>
      <c r="U1730" s="274"/>
      <c r="V1730" s="263"/>
      <c r="W1730" s="35"/>
      <c r="X1730" s="35"/>
      <c r="Y1730" s="35"/>
      <c r="Z1730" s="35"/>
      <c r="AA1730" s="35"/>
      <c r="AB1730" s="35"/>
      <c r="AC1730" s="35"/>
      <c r="AD1730" s="35"/>
      <c r="AE1730" s="35"/>
      <c r="AF1730" s="35"/>
      <c r="AG1730" s="35"/>
      <c r="AH1730" s="35"/>
      <c r="AI1730" s="35"/>
    </row>
    <row r="1731">
      <c r="A1731" s="263"/>
      <c r="B1731" s="264"/>
      <c r="C1731" s="265"/>
      <c r="D1731" s="266"/>
      <c r="E1731" s="263"/>
      <c r="F1731" s="267"/>
      <c r="G1731" s="267"/>
      <c r="H1731" s="268"/>
      <c r="I1731" s="268"/>
      <c r="J1731" s="436"/>
      <c r="K1731" s="265"/>
      <c r="L1731" s="265"/>
      <c r="M1731" s="269"/>
      <c r="N1731" s="270"/>
      <c r="O1731" s="271"/>
      <c r="P1731" s="271"/>
      <c r="Q1731" s="272"/>
      <c r="R1731" s="273"/>
      <c r="S1731" s="273"/>
      <c r="T1731" s="273"/>
      <c r="U1731" s="274"/>
      <c r="V1731" s="263"/>
      <c r="W1731" s="188"/>
      <c r="X1731" s="188"/>
      <c r="Y1731" s="188"/>
      <c r="Z1731" s="188"/>
      <c r="AA1731" s="188"/>
      <c r="AB1731" s="188"/>
      <c r="AC1731" s="188"/>
      <c r="AD1731" s="188"/>
      <c r="AE1731" s="188"/>
      <c r="AF1731" s="188"/>
      <c r="AG1731" s="188"/>
      <c r="AH1731" s="188"/>
      <c r="AI1731" s="188"/>
    </row>
    <row r="1732">
      <c r="A1732" s="165"/>
      <c r="B1732" s="166"/>
      <c r="C1732" s="166"/>
      <c r="D1732" s="165"/>
      <c r="E1732" s="165"/>
      <c r="F1732" s="377"/>
      <c r="G1732" s="377"/>
      <c r="H1732" s="378"/>
      <c r="I1732" s="378"/>
      <c r="J1732" s="267"/>
      <c r="K1732" s="166"/>
      <c r="L1732" s="166"/>
      <c r="M1732" s="166"/>
      <c r="N1732" s="169"/>
      <c r="O1732" s="171"/>
      <c r="P1732" s="171"/>
      <c r="Q1732" s="169"/>
      <c r="R1732" s="173"/>
      <c r="S1732" s="173"/>
      <c r="T1732" s="173"/>
      <c r="U1732" s="201"/>
      <c r="V1732" s="208"/>
      <c r="W1732" s="35"/>
      <c r="X1732" s="35"/>
      <c r="Y1732" s="35"/>
      <c r="Z1732" s="35"/>
      <c r="AA1732" s="35"/>
      <c r="AB1732" s="35"/>
      <c r="AC1732" s="35"/>
      <c r="AD1732" s="35"/>
      <c r="AE1732" s="35"/>
      <c r="AF1732" s="35"/>
      <c r="AG1732" s="35"/>
      <c r="AH1732" s="35"/>
      <c r="AI1732" s="35"/>
    </row>
    <row r="1733">
      <c r="A1733" s="263"/>
      <c r="B1733" s="264"/>
      <c r="C1733" s="265"/>
      <c r="D1733" s="266"/>
      <c r="E1733" s="263"/>
      <c r="F1733" s="267"/>
      <c r="G1733" s="267"/>
      <c r="H1733" s="268"/>
      <c r="I1733" s="268"/>
      <c r="J1733" s="267"/>
      <c r="K1733" s="265"/>
      <c r="L1733" s="265"/>
      <c r="M1733" s="269"/>
      <c r="N1733" s="270"/>
      <c r="O1733" s="271"/>
      <c r="P1733" s="271"/>
      <c r="Q1733" s="272"/>
      <c r="R1733" s="273"/>
      <c r="S1733" s="273"/>
      <c r="T1733" s="273"/>
      <c r="U1733" s="274"/>
      <c r="V1733" s="263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</row>
    <row r="1734">
      <c r="A1734" s="263"/>
      <c r="B1734" s="264"/>
      <c r="C1734" s="265"/>
      <c r="D1734" s="266"/>
      <c r="E1734" s="263"/>
      <c r="F1734" s="267"/>
      <c r="G1734" s="267"/>
      <c r="H1734" s="268"/>
      <c r="I1734" s="268"/>
      <c r="J1734" s="267"/>
      <c r="K1734" s="265"/>
      <c r="L1734" s="265"/>
      <c r="M1734" s="269"/>
      <c r="N1734" s="270"/>
      <c r="O1734" s="271"/>
      <c r="P1734" s="271"/>
      <c r="Q1734" s="272"/>
      <c r="R1734" s="273"/>
      <c r="S1734" s="273"/>
      <c r="T1734" s="273"/>
      <c r="U1734" s="274"/>
      <c r="V1734" s="263"/>
      <c r="W1734" s="35"/>
      <c r="X1734" s="35"/>
      <c r="Y1734" s="35"/>
      <c r="Z1734" s="35"/>
      <c r="AA1734" s="35"/>
      <c r="AB1734" s="35"/>
      <c r="AC1734" s="35"/>
      <c r="AD1734" s="35"/>
      <c r="AE1734" s="35"/>
      <c r="AF1734" s="35"/>
      <c r="AG1734" s="35"/>
      <c r="AH1734" s="35"/>
      <c r="AI1734" s="35"/>
    </row>
    <row r="1735">
      <c r="A1735" s="263"/>
      <c r="B1735" s="264"/>
      <c r="C1735" s="265"/>
      <c r="D1735" s="266"/>
      <c r="E1735" s="263"/>
      <c r="F1735" s="267"/>
      <c r="G1735" s="267"/>
      <c r="H1735" s="268"/>
      <c r="I1735" s="268"/>
      <c r="J1735" s="267"/>
      <c r="K1735" s="265"/>
      <c r="L1735" s="265"/>
      <c r="M1735" s="269"/>
      <c r="N1735" s="270"/>
      <c r="O1735" s="271"/>
      <c r="P1735" s="271"/>
      <c r="Q1735" s="272"/>
      <c r="R1735" s="273"/>
      <c r="S1735" s="273"/>
      <c r="T1735" s="273"/>
      <c r="U1735" s="274"/>
      <c r="V1735" s="263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</row>
    <row r="1736">
      <c r="A1736" s="165"/>
      <c r="B1736" s="166"/>
      <c r="C1736" s="166"/>
      <c r="D1736" s="165"/>
      <c r="E1736" s="165"/>
      <c r="F1736" s="377"/>
      <c r="G1736" s="377"/>
      <c r="H1736" s="378"/>
      <c r="I1736" s="378"/>
      <c r="J1736" s="267"/>
      <c r="K1736" s="166"/>
      <c r="L1736" s="166"/>
      <c r="M1736" s="166"/>
      <c r="N1736" s="169"/>
      <c r="O1736" s="171"/>
      <c r="P1736" s="171"/>
      <c r="Q1736" s="169"/>
      <c r="R1736" s="173"/>
      <c r="S1736" s="173"/>
      <c r="T1736" s="173"/>
      <c r="U1736" s="201"/>
      <c r="V1736" s="165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</row>
    <row r="1737">
      <c r="A1737" s="165"/>
      <c r="B1737" s="166"/>
      <c r="C1737" s="166"/>
      <c r="D1737" s="165"/>
      <c r="E1737" s="165"/>
      <c r="F1737" s="377"/>
      <c r="G1737" s="377"/>
      <c r="H1737" s="378"/>
      <c r="I1737" s="378"/>
      <c r="J1737" s="377"/>
      <c r="K1737" s="166"/>
      <c r="L1737" s="166"/>
      <c r="M1737" s="166"/>
      <c r="N1737" s="170"/>
      <c r="O1737" s="171"/>
      <c r="P1737" s="171"/>
      <c r="Q1737" s="172"/>
      <c r="R1737" s="173"/>
      <c r="S1737" s="173"/>
      <c r="T1737" s="173"/>
      <c r="U1737" s="201"/>
      <c r="V1737" s="165"/>
      <c r="W1737" s="36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</row>
    <row r="1738">
      <c r="A1738" s="165"/>
      <c r="B1738" s="166"/>
      <c r="C1738" s="166"/>
      <c r="D1738" s="165"/>
      <c r="E1738" s="165"/>
      <c r="F1738" s="377"/>
      <c r="G1738" s="377"/>
      <c r="H1738" s="378"/>
      <c r="I1738" s="378"/>
      <c r="J1738" s="267"/>
      <c r="K1738" s="166"/>
      <c r="L1738" s="166"/>
      <c r="M1738" s="166"/>
      <c r="N1738" s="170"/>
      <c r="O1738" s="171"/>
      <c r="P1738" s="171"/>
      <c r="Q1738" s="172"/>
      <c r="R1738" s="173"/>
      <c r="S1738" s="173"/>
      <c r="T1738" s="173"/>
      <c r="U1738" s="174"/>
      <c r="V1738" s="165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</row>
    <row r="1739">
      <c r="A1739" s="165"/>
      <c r="B1739" s="166"/>
      <c r="C1739" s="166"/>
      <c r="D1739" s="165"/>
      <c r="E1739" s="165"/>
      <c r="F1739" s="377"/>
      <c r="G1739" s="377"/>
      <c r="H1739" s="378"/>
      <c r="I1739" s="378"/>
      <c r="J1739" s="267"/>
      <c r="K1739" s="166"/>
      <c r="L1739" s="166"/>
      <c r="M1739" s="166"/>
      <c r="N1739" s="169"/>
      <c r="O1739" s="171"/>
      <c r="P1739" s="171"/>
      <c r="Q1739" s="169"/>
      <c r="R1739" s="173"/>
      <c r="S1739" s="173"/>
      <c r="T1739" s="173"/>
      <c r="U1739" s="201"/>
      <c r="V1739" s="165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</row>
    <row r="1740">
      <c r="A1740" s="263"/>
      <c r="B1740" s="264"/>
      <c r="C1740" s="265"/>
      <c r="D1740" s="266"/>
      <c r="E1740" s="263"/>
      <c r="F1740" s="267"/>
      <c r="G1740" s="267"/>
      <c r="H1740" s="268"/>
      <c r="I1740" s="268"/>
      <c r="J1740" s="267"/>
      <c r="K1740" s="265"/>
      <c r="L1740" s="265"/>
      <c r="M1740" s="269"/>
      <c r="N1740" s="270"/>
      <c r="O1740" s="271"/>
      <c r="P1740" s="271"/>
      <c r="Q1740" s="272"/>
      <c r="R1740" s="273"/>
      <c r="S1740" s="273"/>
      <c r="T1740" s="273"/>
      <c r="U1740" s="274"/>
      <c r="V1740" s="263"/>
      <c r="W1740" s="188"/>
      <c r="X1740" s="188"/>
      <c r="Y1740" s="188"/>
      <c r="Z1740" s="188"/>
      <c r="AA1740" s="188"/>
      <c r="AB1740" s="188"/>
      <c r="AC1740" s="188"/>
      <c r="AD1740" s="188"/>
      <c r="AE1740" s="188"/>
      <c r="AF1740" s="188"/>
      <c r="AG1740" s="188"/>
      <c r="AH1740" s="188"/>
      <c r="AI1740" s="188"/>
    </row>
    <row r="1741">
      <c r="A1741" s="263"/>
      <c r="B1741" s="264"/>
      <c r="C1741" s="265"/>
      <c r="D1741" s="266"/>
      <c r="E1741" s="263"/>
      <c r="F1741" s="267"/>
      <c r="G1741" s="267"/>
      <c r="H1741" s="268"/>
      <c r="I1741" s="268"/>
      <c r="J1741" s="377"/>
      <c r="K1741" s="265"/>
      <c r="L1741" s="265"/>
      <c r="M1741" s="269"/>
      <c r="N1741" s="270"/>
      <c r="O1741" s="271"/>
      <c r="P1741" s="271"/>
      <c r="Q1741" s="272"/>
      <c r="R1741" s="273"/>
      <c r="S1741" s="273"/>
      <c r="T1741" s="273"/>
      <c r="U1741" s="274"/>
      <c r="V1741" s="263"/>
      <c r="W1741" s="188"/>
      <c r="X1741" s="188"/>
      <c r="Y1741" s="188"/>
      <c r="Z1741" s="188"/>
      <c r="AA1741" s="188"/>
      <c r="AB1741" s="188"/>
      <c r="AC1741" s="188"/>
      <c r="AD1741" s="188"/>
      <c r="AE1741" s="188"/>
      <c r="AF1741" s="188"/>
      <c r="AG1741" s="188"/>
      <c r="AH1741" s="188"/>
      <c r="AI1741" s="188"/>
    </row>
    <row r="1742">
      <c r="A1742" s="263"/>
      <c r="B1742" s="264"/>
      <c r="C1742" s="265"/>
      <c r="D1742" s="266"/>
      <c r="E1742" s="263"/>
      <c r="F1742" s="267"/>
      <c r="G1742" s="267"/>
      <c r="H1742" s="268"/>
      <c r="I1742" s="268"/>
      <c r="J1742" s="377"/>
      <c r="K1742" s="265"/>
      <c r="L1742" s="265"/>
      <c r="M1742" s="264"/>
      <c r="N1742" s="270"/>
      <c r="O1742" s="271"/>
      <c r="P1742" s="271"/>
      <c r="Q1742" s="283"/>
      <c r="R1742" s="273"/>
      <c r="S1742" s="273"/>
      <c r="T1742" s="273"/>
      <c r="U1742" s="274"/>
      <c r="V1742" s="263"/>
      <c r="W1742" s="188"/>
      <c r="X1742" s="188"/>
      <c r="Y1742" s="188"/>
      <c r="Z1742" s="188"/>
      <c r="AA1742" s="188"/>
      <c r="AB1742" s="188"/>
      <c r="AC1742" s="188"/>
      <c r="AD1742" s="188"/>
      <c r="AE1742" s="188"/>
      <c r="AF1742" s="188"/>
      <c r="AG1742" s="188"/>
      <c r="AH1742" s="188"/>
      <c r="AI1742" s="188"/>
    </row>
    <row r="1743">
      <c r="A1743" s="263"/>
      <c r="B1743" s="264"/>
      <c r="C1743" s="265"/>
      <c r="D1743" s="266"/>
      <c r="E1743" s="263"/>
      <c r="F1743" s="267"/>
      <c r="G1743" s="267"/>
      <c r="H1743" s="268"/>
      <c r="I1743" s="268"/>
      <c r="J1743" s="377"/>
      <c r="K1743" s="265"/>
      <c r="L1743" s="265"/>
      <c r="M1743" s="269"/>
      <c r="N1743" s="270"/>
      <c r="O1743" s="271"/>
      <c r="P1743" s="271"/>
      <c r="Q1743" s="272"/>
      <c r="R1743" s="273"/>
      <c r="S1743" s="273"/>
      <c r="T1743" s="273"/>
      <c r="U1743" s="274"/>
      <c r="V1743" s="263"/>
      <c r="W1743" s="35"/>
      <c r="X1743" s="35"/>
      <c r="Y1743" s="35"/>
      <c r="Z1743" s="35"/>
      <c r="AA1743" s="35"/>
      <c r="AB1743" s="35"/>
      <c r="AC1743" s="35"/>
      <c r="AD1743" s="35"/>
      <c r="AE1743" s="35"/>
      <c r="AF1743" s="35"/>
      <c r="AG1743" s="35"/>
      <c r="AH1743" s="35"/>
      <c r="AI1743" s="35"/>
    </row>
    <row r="1744">
      <c r="A1744" s="165"/>
      <c r="B1744" s="166"/>
      <c r="C1744" s="166"/>
      <c r="D1744" s="165"/>
      <c r="E1744" s="165"/>
      <c r="F1744" s="377"/>
      <c r="G1744" s="377"/>
      <c r="H1744" s="378"/>
      <c r="I1744" s="378"/>
      <c r="J1744" s="377"/>
      <c r="K1744" s="166"/>
      <c r="L1744" s="166"/>
      <c r="M1744" s="166"/>
      <c r="N1744" s="169"/>
      <c r="O1744" s="171"/>
      <c r="P1744" s="171"/>
      <c r="Q1744" s="169"/>
      <c r="R1744" s="173"/>
      <c r="S1744" s="173"/>
      <c r="T1744" s="173"/>
      <c r="U1744" s="201"/>
      <c r="V1744" s="165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</row>
    <row r="1745">
      <c r="A1745" s="263"/>
      <c r="B1745" s="264"/>
      <c r="C1745" s="265"/>
      <c r="D1745" s="266"/>
      <c r="E1745" s="263"/>
      <c r="F1745" s="267"/>
      <c r="G1745" s="267"/>
      <c r="H1745" s="268"/>
      <c r="I1745" s="268"/>
      <c r="J1745" s="267"/>
      <c r="K1745" s="265"/>
      <c r="L1745" s="265"/>
      <c r="M1745" s="269"/>
      <c r="N1745" s="270"/>
      <c r="O1745" s="271"/>
      <c r="P1745" s="271"/>
      <c r="Q1745" s="272"/>
      <c r="R1745" s="273"/>
      <c r="S1745" s="273"/>
      <c r="T1745" s="273"/>
      <c r="U1745" s="274"/>
      <c r="V1745" s="263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</row>
    <row r="1746">
      <c r="A1746" s="165"/>
      <c r="B1746" s="166"/>
      <c r="C1746" s="166"/>
      <c r="D1746" s="165"/>
      <c r="E1746" s="165"/>
      <c r="F1746" s="377"/>
      <c r="G1746" s="377"/>
      <c r="H1746" s="378"/>
      <c r="I1746" s="378"/>
      <c r="J1746" s="267"/>
      <c r="K1746" s="166"/>
      <c r="L1746" s="166"/>
      <c r="M1746" s="205"/>
      <c r="N1746" s="170"/>
      <c r="O1746" s="171"/>
      <c r="P1746" s="171"/>
      <c r="Q1746" s="172"/>
      <c r="R1746" s="173"/>
      <c r="S1746" s="173"/>
      <c r="T1746" s="173"/>
      <c r="U1746" s="174"/>
      <c r="V1746" s="165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</row>
    <row r="1747">
      <c r="A1747" s="263"/>
      <c r="B1747" s="264"/>
      <c r="C1747" s="265"/>
      <c r="D1747" s="266"/>
      <c r="E1747" s="263"/>
      <c r="F1747" s="267"/>
      <c r="G1747" s="267"/>
      <c r="H1747" s="268"/>
      <c r="I1747" s="268"/>
      <c r="J1747" s="267"/>
      <c r="K1747" s="265"/>
      <c r="L1747" s="265"/>
      <c r="M1747" s="269"/>
      <c r="N1747" s="270"/>
      <c r="O1747" s="271"/>
      <c r="P1747" s="271"/>
      <c r="Q1747" s="272"/>
      <c r="R1747" s="273"/>
      <c r="S1747" s="273"/>
      <c r="T1747" s="273"/>
      <c r="U1747" s="274"/>
      <c r="V1747" s="263"/>
      <c r="W1747" s="188"/>
      <c r="X1747" s="188"/>
      <c r="Y1747" s="188"/>
      <c r="Z1747" s="188"/>
      <c r="AA1747" s="188"/>
      <c r="AB1747" s="188"/>
      <c r="AC1747" s="188"/>
      <c r="AD1747" s="188"/>
      <c r="AE1747" s="188"/>
      <c r="AF1747" s="188"/>
      <c r="AG1747" s="188"/>
      <c r="AH1747" s="188"/>
      <c r="AI1747" s="188"/>
    </row>
    <row r="1748">
      <c r="A1748" s="263"/>
      <c r="B1748" s="264"/>
      <c r="C1748" s="265"/>
      <c r="D1748" s="266"/>
      <c r="E1748" s="263"/>
      <c r="F1748" s="267"/>
      <c r="G1748" s="267"/>
      <c r="H1748" s="268"/>
      <c r="I1748" s="268"/>
      <c r="J1748" s="267"/>
      <c r="K1748" s="265"/>
      <c r="L1748" s="265"/>
      <c r="M1748" s="269"/>
      <c r="N1748" s="270"/>
      <c r="O1748" s="271"/>
      <c r="P1748" s="271"/>
      <c r="Q1748" s="272"/>
      <c r="R1748" s="273"/>
      <c r="S1748" s="273"/>
      <c r="T1748" s="273"/>
      <c r="U1748" s="274"/>
      <c r="V1748" s="263"/>
      <c r="W1748" s="188"/>
      <c r="X1748" s="188"/>
      <c r="Y1748" s="188"/>
      <c r="Z1748" s="188"/>
      <c r="AA1748" s="188"/>
      <c r="AB1748" s="188"/>
      <c r="AC1748" s="188"/>
      <c r="AD1748" s="188"/>
      <c r="AE1748" s="188"/>
      <c r="AF1748" s="188"/>
      <c r="AG1748" s="188"/>
      <c r="AH1748" s="188"/>
      <c r="AI1748" s="188"/>
    </row>
    <row r="1749">
      <c r="A1749" s="263"/>
      <c r="B1749" s="166"/>
      <c r="C1749" s="166"/>
      <c r="D1749" s="165"/>
      <c r="E1749" s="165"/>
      <c r="F1749" s="377"/>
      <c r="G1749" s="377"/>
      <c r="H1749" s="378"/>
      <c r="I1749" s="378"/>
      <c r="J1749" s="377"/>
      <c r="K1749" s="166"/>
      <c r="L1749" s="166"/>
      <c r="M1749" s="166"/>
      <c r="N1749" s="169"/>
      <c r="O1749" s="171"/>
      <c r="P1749" s="171"/>
      <c r="Q1749" s="169"/>
      <c r="R1749" s="173"/>
      <c r="S1749" s="173"/>
      <c r="T1749" s="173"/>
      <c r="U1749" s="201"/>
      <c r="V1749" s="165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</row>
    <row r="1750">
      <c r="A1750" s="165"/>
      <c r="B1750" s="166"/>
      <c r="C1750" s="166"/>
      <c r="D1750" s="165"/>
      <c r="E1750" s="165"/>
      <c r="F1750" s="377"/>
      <c r="G1750" s="377"/>
      <c r="H1750" s="378"/>
      <c r="I1750" s="378"/>
      <c r="J1750" s="267"/>
      <c r="K1750" s="166"/>
      <c r="L1750" s="166"/>
      <c r="M1750" s="166"/>
      <c r="N1750" s="170"/>
      <c r="O1750" s="171"/>
      <c r="P1750" s="171"/>
      <c r="Q1750" s="172"/>
      <c r="R1750" s="173"/>
      <c r="S1750" s="173"/>
      <c r="T1750" s="173"/>
      <c r="U1750" s="201"/>
      <c r="V1750" s="165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</row>
    <row r="1751">
      <c r="A1751" s="165"/>
      <c r="B1751" s="166"/>
      <c r="C1751" s="166"/>
      <c r="D1751" s="165"/>
      <c r="E1751" s="165"/>
      <c r="F1751" s="377"/>
      <c r="G1751" s="377"/>
      <c r="H1751" s="378"/>
      <c r="I1751" s="378"/>
      <c r="J1751" s="377"/>
      <c r="K1751" s="166"/>
      <c r="L1751" s="166"/>
      <c r="M1751" s="166"/>
      <c r="N1751" s="169"/>
      <c r="O1751" s="171"/>
      <c r="P1751" s="171"/>
      <c r="Q1751" s="169"/>
      <c r="R1751" s="173"/>
      <c r="S1751" s="173"/>
      <c r="T1751" s="173"/>
      <c r="U1751" s="201"/>
      <c r="V1751" s="165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</row>
    <row r="1752">
      <c r="A1752" s="263"/>
      <c r="B1752" s="264"/>
      <c r="C1752" s="265"/>
      <c r="D1752" s="266"/>
      <c r="E1752" s="263"/>
      <c r="F1752" s="267"/>
      <c r="G1752" s="267"/>
      <c r="H1752" s="268"/>
      <c r="I1752" s="268"/>
      <c r="J1752" s="267"/>
      <c r="K1752" s="265"/>
      <c r="L1752" s="265"/>
      <c r="M1752" s="269"/>
      <c r="N1752" s="270"/>
      <c r="O1752" s="271"/>
      <c r="P1752" s="271"/>
      <c r="Q1752" s="272"/>
      <c r="R1752" s="273"/>
      <c r="S1752" s="273"/>
      <c r="T1752" s="273"/>
      <c r="U1752" s="274"/>
      <c r="V1752" s="263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</row>
    <row r="1753">
      <c r="A1753" s="263"/>
      <c r="B1753" s="264"/>
      <c r="C1753" s="265"/>
      <c r="D1753" s="266"/>
      <c r="E1753" s="263"/>
      <c r="F1753" s="267"/>
      <c r="G1753" s="267"/>
      <c r="H1753" s="268"/>
      <c r="I1753" s="268"/>
      <c r="J1753" s="267"/>
      <c r="K1753" s="265"/>
      <c r="L1753" s="265"/>
      <c r="M1753" s="269"/>
      <c r="N1753" s="270"/>
      <c r="O1753" s="271"/>
      <c r="P1753" s="271"/>
      <c r="Q1753" s="283"/>
      <c r="R1753" s="273"/>
      <c r="S1753" s="273"/>
      <c r="T1753" s="273"/>
      <c r="U1753" s="274"/>
      <c r="V1753" s="263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</row>
    <row r="1754">
      <c r="A1754" s="263"/>
      <c r="B1754" s="264"/>
      <c r="C1754" s="265"/>
      <c r="D1754" s="266"/>
      <c r="E1754" s="263"/>
      <c r="F1754" s="267"/>
      <c r="G1754" s="267"/>
      <c r="H1754" s="268"/>
      <c r="I1754" s="268"/>
      <c r="J1754" s="377"/>
      <c r="K1754" s="265"/>
      <c r="L1754" s="265"/>
      <c r="M1754" s="269"/>
      <c r="N1754" s="270"/>
      <c r="O1754" s="271"/>
      <c r="P1754" s="271"/>
      <c r="Q1754" s="272"/>
      <c r="R1754" s="273"/>
      <c r="S1754" s="273"/>
      <c r="T1754" s="273"/>
      <c r="U1754" s="274"/>
      <c r="V1754" s="263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</row>
    <row r="1755">
      <c r="A1755" s="263"/>
      <c r="B1755" s="264"/>
      <c r="C1755" s="265"/>
      <c r="D1755" s="266"/>
      <c r="E1755" s="263"/>
      <c r="F1755" s="267"/>
      <c r="G1755" s="267"/>
      <c r="H1755" s="268"/>
      <c r="I1755" s="268"/>
      <c r="J1755" s="377"/>
      <c r="K1755" s="265"/>
      <c r="L1755" s="265"/>
      <c r="M1755" s="269"/>
      <c r="N1755" s="270"/>
      <c r="O1755" s="271"/>
      <c r="P1755" s="271"/>
      <c r="Q1755" s="283"/>
      <c r="R1755" s="273"/>
      <c r="S1755" s="273"/>
      <c r="T1755" s="273"/>
      <c r="U1755" s="274"/>
      <c r="V1755" s="263"/>
      <c r="W1755" s="36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</row>
    <row r="1756">
      <c r="A1756" s="165"/>
      <c r="B1756" s="166"/>
      <c r="C1756" s="166"/>
      <c r="D1756" s="165"/>
      <c r="E1756" s="165"/>
      <c r="F1756" s="377"/>
      <c r="G1756" s="377"/>
      <c r="H1756" s="378"/>
      <c r="I1756" s="378"/>
      <c r="J1756" s="377"/>
      <c r="K1756" s="166"/>
      <c r="L1756" s="166"/>
      <c r="M1756" s="166"/>
      <c r="N1756" s="170"/>
      <c r="O1756" s="171"/>
      <c r="P1756" s="171"/>
      <c r="Q1756" s="172"/>
      <c r="R1756" s="173"/>
      <c r="S1756" s="173"/>
      <c r="T1756" s="173"/>
      <c r="U1756" s="174"/>
      <c r="V1756" s="208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</row>
    <row r="1757">
      <c r="A1757" s="263"/>
      <c r="B1757" s="264"/>
      <c r="C1757" s="265"/>
      <c r="D1757" s="266"/>
      <c r="E1757" s="263"/>
      <c r="F1757" s="267"/>
      <c r="G1757" s="267"/>
      <c r="H1757" s="268"/>
      <c r="I1757" s="268"/>
      <c r="J1757" s="267"/>
      <c r="K1757" s="265"/>
      <c r="L1757" s="265"/>
      <c r="M1757" s="269"/>
      <c r="N1757" s="270"/>
      <c r="O1757" s="271"/>
      <c r="P1757" s="271"/>
      <c r="Q1757" s="272"/>
      <c r="R1757" s="273"/>
      <c r="S1757" s="273"/>
      <c r="T1757" s="273"/>
      <c r="U1757" s="274"/>
      <c r="V1757" s="263"/>
      <c r="W1757" s="36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</row>
    <row r="1758">
      <c r="A1758" s="263"/>
      <c r="B1758" s="264"/>
      <c r="C1758" s="265"/>
      <c r="D1758" s="266"/>
      <c r="E1758" s="263"/>
      <c r="F1758" s="267"/>
      <c r="G1758" s="267"/>
      <c r="H1758" s="268"/>
      <c r="I1758" s="268"/>
      <c r="J1758" s="267"/>
      <c r="K1758" s="265"/>
      <c r="L1758" s="265"/>
      <c r="M1758" s="269"/>
      <c r="N1758" s="270"/>
      <c r="O1758" s="271"/>
      <c r="P1758" s="271"/>
      <c r="Q1758" s="272"/>
      <c r="R1758" s="273"/>
      <c r="S1758" s="273"/>
      <c r="T1758" s="273"/>
      <c r="U1758" s="274"/>
      <c r="V1758" s="263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</row>
    <row r="1759">
      <c r="A1759" s="263"/>
      <c r="B1759" s="264"/>
      <c r="C1759" s="265"/>
      <c r="D1759" s="266"/>
      <c r="E1759" s="263"/>
      <c r="F1759" s="267"/>
      <c r="G1759" s="267"/>
      <c r="H1759" s="268"/>
      <c r="I1759" s="268"/>
      <c r="J1759" s="267"/>
      <c r="K1759" s="265"/>
      <c r="L1759" s="265"/>
      <c r="M1759" s="269"/>
      <c r="N1759" s="270"/>
      <c r="O1759" s="271"/>
      <c r="P1759" s="271"/>
      <c r="Q1759" s="272"/>
      <c r="R1759" s="273"/>
      <c r="S1759" s="273"/>
      <c r="T1759" s="273"/>
      <c r="U1759" s="274"/>
      <c r="V1759" s="263"/>
      <c r="W1759" s="188"/>
      <c r="X1759" s="188"/>
      <c r="Y1759" s="188"/>
      <c r="Z1759" s="188"/>
      <c r="AA1759" s="188"/>
      <c r="AB1759" s="188"/>
      <c r="AC1759" s="188"/>
      <c r="AD1759" s="188"/>
      <c r="AE1759" s="188"/>
      <c r="AF1759" s="188"/>
      <c r="AG1759" s="188"/>
      <c r="AH1759" s="188"/>
      <c r="AI1759" s="188"/>
    </row>
    <row r="1760">
      <c r="A1760" s="263"/>
      <c r="B1760" s="264"/>
      <c r="C1760" s="265"/>
      <c r="D1760" s="266"/>
      <c r="E1760" s="263"/>
      <c r="F1760" s="267"/>
      <c r="G1760" s="267"/>
      <c r="H1760" s="268"/>
      <c r="I1760" s="268"/>
      <c r="J1760" s="267"/>
      <c r="K1760" s="265"/>
      <c r="L1760" s="265"/>
      <c r="M1760" s="269"/>
      <c r="N1760" s="270"/>
      <c r="O1760" s="271"/>
      <c r="P1760" s="271"/>
      <c r="Q1760" s="272"/>
      <c r="R1760" s="273"/>
      <c r="S1760" s="273"/>
      <c r="T1760" s="273"/>
      <c r="U1760" s="274"/>
      <c r="V1760" s="263"/>
      <c r="W1760" s="35"/>
      <c r="X1760" s="35"/>
      <c r="Y1760" s="35"/>
      <c r="Z1760" s="35"/>
      <c r="AA1760" s="35"/>
      <c r="AB1760" s="35"/>
      <c r="AC1760" s="35"/>
      <c r="AD1760" s="35"/>
      <c r="AE1760" s="35"/>
      <c r="AF1760" s="35"/>
      <c r="AG1760" s="35"/>
      <c r="AH1760" s="35"/>
      <c r="AI1760" s="35"/>
    </row>
    <row r="1761">
      <c r="A1761" s="263"/>
      <c r="B1761" s="264"/>
      <c r="C1761" s="265"/>
      <c r="D1761" s="266"/>
      <c r="E1761" s="263"/>
      <c r="F1761" s="267"/>
      <c r="G1761" s="267"/>
      <c r="H1761" s="268"/>
      <c r="I1761" s="268"/>
      <c r="J1761" s="377"/>
      <c r="K1761" s="265"/>
      <c r="L1761" s="265"/>
      <c r="M1761" s="269"/>
      <c r="N1761" s="270"/>
      <c r="O1761" s="271"/>
      <c r="P1761" s="271"/>
      <c r="Q1761" s="272"/>
      <c r="R1761" s="273"/>
      <c r="S1761" s="273"/>
      <c r="T1761" s="273"/>
      <c r="U1761" s="274"/>
      <c r="V1761" s="263"/>
      <c r="W1761" s="35"/>
      <c r="X1761" s="35"/>
      <c r="Y1761" s="35"/>
      <c r="Z1761" s="35"/>
      <c r="AA1761" s="35"/>
      <c r="AB1761" s="35"/>
      <c r="AC1761" s="35"/>
      <c r="AD1761" s="35"/>
      <c r="AE1761" s="35"/>
      <c r="AF1761" s="35"/>
      <c r="AG1761" s="35"/>
      <c r="AH1761" s="35"/>
      <c r="AI1761" s="35"/>
    </row>
    <row r="1762">
      <c r="A1762" s="263"/>
      <c r="B1762" s="264"/>
      <c r="C1762" s="265"/>
      <c r="D1762" s="266"/>
      <c r="E1762" s="263"/>
      <c r="F1762" s="267"/>
      <c r="G1762" s="267"/>
      <c r="H1762" s="268"/>
      <c r="I1762" s="268"/>
      <c r="J1762" s="267"/>
      <c r="K1762" s="265"/>
      <c r="L1762" s="265"/>
      <c r="M1762" s="269"/>
      <c r="N1762" s="270"/>
      <c r="O1762" s="271"/>
      <c r="P1762" s="271"/>
      <c r="Q1762" s="283"/>
      <c r="R1762" s="273"/>
      <c r="S1762" s="273"/>
      <c r="T1762" s="273"/>
      <c r="U1762" s="274"/>
      <c r="V1762" s="263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</row>
    <row r="1763">
      <c r="A1763" s="263"/>
      <c r="B1763" s="264"/>
      <c r="C1763" s="265"/>
      <c r="D1763" s="266"/>
      <c r="E1763" s="263"/>
      <c r="F1763" s="267"/>
      <c r="G1763" s="267"/>
      <c r="H1763" s="268"/>
      <c r="I1763" s="268"/>
      <c r="J1763" s="267"/>
      <c r="K1763" s="265"/>
      <c r="L1763" s="265"/>
      <c r="M1763" s="269"/>
      <c r="N1763" s="270"/>
      <c r="O1763" s="271"/>
      <c r="P1763" s="271"/>
      <c r="Q1763" s="272"/>
      <c r="R1763" s="273"/>
      <c r="S1763" s="273"/>
      <c r="T1763" s="273"/>
      <c r="U1763" s="274"/>
      <c r="V1763" s="263"/>
      <c r="W1763" s="35"/>
      <c r="X1763" s="35"/>
      <c r="Y1763" s="35"/>
      <c r="Z1763" s="35"/>
      <c r="AA1763" s="35"/>
      <c r="AB1763" s="35"/>
      <c r="AC1763" s="35"/>
      <c r="AD1763" s="35"/>
      <c r="AE1763" s="35"/>
      <c r="AF1763" s="35"/>
      <c r="AG1763" s="35"/>
      <c r="AH1763" s="35"/>
      <c r="AI1763" s="35"/>
    </row>
    <row r="1764">
      <c r="A1764" s="263"/>
      <c r="B1764" s="264"/>
      <c r="C1764" s="265"/>
      <c r="D1764" s="266"/>
      <c r="E1764" s="263"/>
      <c r="F1764" s="267"/>
      <c r="G1764" s="267"/>
      <c r="H1764" s="268"/>
      <c r="I1764" s="268"/>
      <c r="J1764" s="267"/>
      <c r="K1764" s="265"/>
      <c r="L1764" s="265"/>
      <c r="M1764" s="269"/>
      <c r="N1764" s="270"/>
      <c r="O1764" s="271"/>
      <c r="P1764" s="271"/>
      <c r="Q1764" s="272"/>
      <c r="R1764" s="273"/>
      <c r="S1764" s="273"/>
      <c r="T1764" s="273"/>
      <c r="U1764" s="274"/>
      <c r="V1764" s="263"/>
      <c r="W1764" s="188"/>
      <c r="X1764" s="188"/>
      <c r="Y1764" s="188"/>
      <c r="Z1764" s="188"/>
      <c r="AA1764" s="188"/>
      <c r="AB1764" s="188"/>
      <c r="AC1764" s="188"/>
      <c r="AD1764" s="188"/>
      <c r="AE1764" s="188"/>
      <c r="AF1764" s="188"/>
      <c r="AG1764" s="188"/>
      <c r="AH1764" s="188"/>
      <c r="AI1764" s="188"/>
    </row>
    <row r="1765">
      <c r="A1765" s="263"/>
      <c r="B1765" s="264"/>
      <c r="C1765" s="265"/>
      <c r="D1765" s="266"/>
      <c r="E1765" s="263"/>
      <c r="F1765" s="267"/>
      <c r="G1765" s="267"/>
      <c r="H1765" s="268"/>
      <c r="I1765" s="268"/>
      <c r="J1765" s="267"/>
      <c r="K1765" s="265"/>
      <c r="L1765" s="265"/>
      <c r="M1765" s="269"/>
      <c r="N1765" s="270"/>
      <c r="O1765" s="271"/>
      <c r="P1765" s="271"/>
      <c r="Q1765" s="272"/>
      <c r="R1765" s="273"/>
      <c r="S1765" s="273"/>
      <c r="T1765" s="273"/>
      <c r="U1765" s="274"/>
      <c r="V1765" s="263"/>
      <c r="W1765" s="188"/>
      <c r="X1765" s="188"/>
      <c r="Y1765" s="188"/>
      <c r="Z1765" s="188"/>
      <c r="AA1765" s="188"/>
      <c r="AB1765" s="188"/>
      <c r="AC1765" s="188"/>
      <c r="AD1765" s="188"/>
      <c r="AE1765" s="188"/>
      <c r="AF1765" s="188"/>
      <c r="AG1765" s="188"/>
      <c r="AH1765" s="188"/>
      <c r="AI1765" s="188"/>
    </row>
    <row r="1766">
      <c r="A1766" s="263"/>
      <c r="B1766" s="264"/>
      <c r="C1766" s="265"/>
      <c r="D1766" s="266"/>
      <c r="E1766" s="263"/>
      <c r="F1766" s="267"/>
      <c r="G1766" s="267"/>
      <c r="H1766" s="268"/>
      <c r="I1766" s="268"/>
      <c r="J1766" s="267"/>
      <c r="K1766" s="265"/>
      <c r="L1766" s="265"/>
      <c r="M1766" s="269"/>
      <c r="N1766" s="270"/>
      <c r="O1766" s="271"/>
      <c r="P1766" s="271"/>
      <c r="Q1766" s="272"/>
      <c r="R1766" s="273"/>
      <c r="S1766" s="273"/>
      <c r="T1766" s="273"/>
      <c r="U1766" s="274"/>
      <c r="V1766" s="263"/>
      <c r="W1766" s="188"/>
      <c r="X1766" s="188"/>
      <c r="Y1766" s="188"/>
      <c r="Z1766" s="188"/>
      <c r="AA1766" s="188"/>
      <c r="AB1766" s="188"/>
      <c r="AC1766" s="188"/>
      <c r="AD1766" s="188"/>
      <c r="AE1766" s="188"/>
      <c r="AF1766" s="188"/>
      <c r="AG1766" s="188"/>
      <c r="AH1766" s="188"/>
      <c r="AI1766" s="188"/>
    </row>
    <row r="1767">
      <c r="A1767" s="263"/>
      <c r="B1767" s="264"/>
      <c r="C1767" s="265"/>
      <c r="D1767" s="266"/>
      <c r="E1767" s="263"/>
      <c r="F1767" s="267"/>
      <c r="G1767" s="267"/>
      <c r="H1767" s="268"/>
      <c r="I1767" s="268"/>
      <c r="J1767" s="267"/>
      <c r="K1767" s="265"/>
      <c r="L1767" s="265"/>
      <c r="M1767" s="269"/>
      <c r="N1767" s="270"/>
      <c r="O1767" s="271"/>
      <c r="P1767" s="271"/>
      <c r="Q1767" s="272"/>
      <c r="R1767" s="273"/>
      <c r="S1767" s="273"/>
      <c r="T1767" s="273"/>
      <c r="U1767" s="274"/>
      <c r="V1767" s="263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</row>
    <row r="1768">
      <c r="A1768" s="276"/>
      <c r="B1768" s="252"/>
      <c r="C1768" s="253"/>
      <c r="D1768" s="254"/>
      <c r="E1768" s="251"/>
      <c r="F1768" s="255"/>
      <c r="G1768" s="255"/>
      <c r="H1768" s="256"/>
      <c r="I1768" s="256"/>
      <c r="J1768" s="267"/>
      <c r="K1768" s="253"/>
      <c r="L1768" s="253"/>
      <c r="M1768" s="252"/>
      <c r="N1768" s="258"/>
      <c r="O1768" s="259"/>
      <c r="P1768" s="259"/>
      <c r="Q1768" s="262"/>
      <c r="R1768" s="260"/>
      <c r="S1768" s="260"/>
      <c r="T1768" s="260"/>
      <c r="U1768" s="261"/>
      <c r="V1768" s="251"/>
      <c r="W1768" s="35"/>
      <c r="X1768" s="35"/>
      <c r="Y1768" s="35"/>
      <c r="Z1768" s="35"/>
      <c r="AA1768" s="35"/>
      <c r="AB1768" s="35"/>
      <c r="AC1768" s="35"/>
      <c r="AD1768" s="35"/>
      <c r="AE1768" s="35"/>
      <c r="AF1768" s="35"/>
      <c r="AG1768" s="35"/>
      <c r="AH1768" s="35"/>
      <c r="AI1768" s="35"/>
    </row>
    <row r="1769">
      <c r="A1769" s="263"/>
      <c r="B1769" s="264"/>
      <c r="C1769" s="265"/>
      <c r="D1769" s="266"/>
      <c r="E1769" s="263"/>
      <c r="F1769" s="267"/>
      <c r="G1769" s="267"/>
      <c r="H1769" s="268"/>
      <c r="I1769" s="268"/>
      <c r="J1769" s="267"/>
      <c r="K1769" s="265"/>
      <c r="L1769" s="265"/>
      <c r="M1769" s="269"/>
      <c r="N1769" s="270"/>
      <c r="O1769" s="271"/>
      <c r="P1769" s="271"/>
      <c r="Q1769" s="272"/>
      <c r="R1769" s="273"/>
      <c r="S1769" s="273"/>
      <c r="T1769" s="273"/>
      <c r="U1769" s="274"/>
      <c r="V1769" s="263"/>
      <c r="W1769" s="35"/>
      <c r="X1769" s="35"/>
      <c r="Y1769" s="35"/>
      <c r="Z1769" s="35"/>
      <c r="AA1769" s="35"/>
      <c r="AB1769" s="35"/>
      <c r="AC1769" s="35"/>
      <c r="AD1769" s="35"/>
      <c r="AE1769" s="35"/>
      <c r="AF1769" s="35"/>
      <c r="AG1769" s="35"/>
      <c r="AH1769" s="35"/>
      <c r="AI1769" s="35"/>
    </row>
    <row r="1770">
      <c r="A1770" s="263"/>
      <c r="B1770" s="264"/>
      <c r="C1770" s="265"/>
      <c r="D1770" s="266"/>
      <c r="E1770" s="263"/>
      <c r="F1770" s="267"/>
      <c r="G1770" s="267"/>
      <c r="H1770" s="268"/>
      <c r="I1770" s="268"/>
      <c r="J1770" s="267"/>
      <c r="K1770" s="265"/>
      <c r="L1770" s="265"/>
      <c r="M1770" s="269"/>
      <c r="N1770" s="270"/>
      <c r="O1770" s="271"/>
      <c r="P1770" s="271"/>
      <c r="Q1770" s="272"/>
      <c r="R1770" s="273"/>
      <c r="S1770" s="273"/>
      <c r="T1770" s="273"/>
      <c r="U1770" s="274"/>
      <c r="V1770" s="263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</row>
    <row r="1771">
      <c r="A1771" s="263"/>
      <c r="B1771" s="264"/>
      <c r="C1771" s="265"/>
      <c r="D1771" s="266"/>
      <c r="E1771" s="263"/>
      <c r="F1771" s="267"/>
      <c r="G1771" s="267"/>
      <c r="H1771" s="268"/>
      <c r="I1771" s="268"/>
      <c r="J1771" s="267"/>
      <c r="K1771" s="265"/>
      <c r="L1771" s="265"/>
      <c r="M1771" s="269"/>
      <c r="N1771" s="283"/>
      <c r="O1771" s="271"/>
      <c r="P1771" s="271"/>
      <c r="Q1771" s="283"/>
      <c r="R1771" s="273"/>
      <c r="S1771" s="273"/>
      <c r="T1771" s="273"/>
      <c r="U1771" s="274"/>
      <c r="V1771" s="263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</row>
    <row r="1772">
      <c r="A1772" s="263"/>
      <c r="B1772" s="264"/>
      <c r="C1772" s="265"/>
      <c r="D1772" s="266"/>
      <c r="E1772" s="263"/>
      <c r="F1772" s="267"/>
      <c r="G1772" s="267"/>
      <c r="H1772" s="268"/>
      <c r="I1772" s="268"/>
      <c r="J1772" s="267"/>
      <c r="K1772" s="265"/>
      <c r="L1772" s="265"/>
      <c r="M1772" s="269"/>
      <c r="N1772" s="270"/>
      <c r="O1772" s="271"/>
      <c r="P1772" s="271"/>
      <c r="Q1772" s="272"/>
      <c r="R1772" s="273"/>
      <c r="S1772" s="273"/>
      <c r="T1772" s="273"/>
      <c r="U1772" s="274"/>
      <c r="V1772" s="263"/>
      <c r="W1772" s="35"/>
      <c r="X1772" s="35"/>
      <c r="Y1772" s="35"/>
      <c r="Z1772" s="35"/>
      <c r="AA1772" s="35"/>
      <c r="AB1772" s="35"/>
      <c r="AC1772" s="35"/>
      <c r="AD1772" s="35"/>
      <c r="AE1772" s="35"/>
      <c r="AF1772" s="35"/>
      <c r="AG1772" s="35"/>
      <c r="AH1772" s="35"/>
      <c r="AI1772" s="35"/>
    </row>
    <row r="1773">
      <c r="A1773" s="263"/>
      <c r="B1773" s="264"/>
      <c r="C1773" s="265"/>
      <c r="D1773" s="266"/>
      <c r="E1773" s="263"/>
      <c r="F1773" s="267"/>
      <c r="G1773" s="267"/>
      <c r="H1773" s="268"/>
      <c r="I1773" s="268"/>
      <c r="J1773" s="255"/>
      <c r="K1773" s="265"/>
      <c r="L1773" s="265"/>
      <c r="M1773" s="269"/>
      <c r="N1773" s="270"/>
      <c r="O1773" s="271"/>
      <c r="P1773" s="271"/>
      <c r="Q1773" s="272"/>
      <c r="R1773" s="273"/>
      <c r="S1773" s="273"/>
      <c r="T1773" s="273"/>
      <c r="U1773" s="274"/>
      <c r="V1773" s="263"/>
      <c r="W1773" s="35"/>
      <c r="X1773" s="35"/>
      <c r="Y1773" s="35"/>
      <c r="Z1773" s="35"/>
      <c r="AA1773" s="35"/>
      <c r="AB1773" s="35"/>
      <c r="AC1773" s="35"/>
      <c r="AD1773" s="35"/>
      <c r="AE1773" s="35"/>
      <c r="AF1773" s="35"/>
      <c r="AG1773" s="35"/>
      <c r="AH1773" s="35"/>
      <c r="AI1773" s="35"/>
    </row>
    <row r="1774">
      <c r="A1774" s="263"/>
      <c r="B1774" s="264"/>
      <c r="C1774" s="265"/>
      <c r="D1774" s="266"/>
      <c r="E1774" s="263"/>
      <c r="F1774" s="267"/>
      <c r="G1774" s="267"/>
      <c r="H1774" s="268"/>
      <c r="I1774" s="268"/>
      <c r="J1774" s="267"/>
      <c r="K1774" s="265"/>
      <c r="L1774" s="265"/>
      <c r="M1774" s="269"/>
      <c r="N1774" s="283"/>
      <c r="O1774" s="271"/>
      <c r="P1774" s="271"/>
      <c r="Q1774" s="283"/>
      <c r="R1774" s="273"/>
      <c r="S1774" s="273"/>
      <c r="T1774" s="273"/>
      <c r="U1774" s="274"/>
      <c r="V1774" s="263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</row>
    <row r="1775">
      <c r="A1775" s="263"/>
      <c r="B1775" s="264"/>
      <c r="C1775" s="265"/>
      <c r="D1775" s="266"/>
      <c r="E1775" s="263"/>
      <c r="F1775" s="267"/>
      <c r="G1775" s="267"/>
      <c r="H1775" s="268"/>
      <c r="I1775" s="268"/>
      <c r="J1775" s="267"/>
      <c r="K1775" s="265"/>
      <c r="L1775" s="265"/>
      <c r="M1775" s="269"/>
      <c r="N1775" s="270"/>
      <c r="O1775" s="271"/>
      <c r="P1775" s="271"/>
      <c r="Q1775" s="272"/>
      <c r="R1775" s="273"/>
      <c r="S1775" s="273"/>
      <c r="T1775" s="273"/>
      <c r="U1775" s="274"/>
      <c r="V1775" s="263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</row>
    <row r="1776">
      <c r="A1776" s="263"/>
      <c r="B1776" s="264"/>
      <c r="C1776" s="265"/>
      <c r="D1776" s="266"/>
      <c r="E1776" s="263"/>
      <c r="F1776" s="267"/>
      <c r="G1776" s="267"/>
      <c r="H1776" s="268"/>
      <c r="I1776" s="268"/>
      <c r="J1776" s="267"/>
      <c r="K1776" s="265"/>
      <c r="L1776" s="265"/>
      <c r="M1776" s="269"/>
      <c r="N1776" s="270"/>
      <c r="O1776" s="271"/>
      <c r="P1776" s="271"/>
      <c r="Q1776" s="272"/>
      <c r="R1776" s="273"/>
      <c r="S1776" s="273"/>
      <c r="T1776" s="273"/>
      <c r="U1776" s="274"/>
      <c r="V1776" s="263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</row>
    <row r="1777">
      <c r="A1777" s="263"/>
      <c r="B1777" s="264"/>
      <c r="C1777" s="265"/>
      <c r="D1777" s="266"/>
      <c r="E1777" s="263"/>
      <c r="F1777" s="267"/>
      <c r="G1777" s="267"/>
      <c r="H1777" s="268"/>
      <c r="I1777" s="268"/>
      <c r="J1777" s="267"/>
      <c r="K1777" s="265"/>
      <c r="L1777" s="265"/>
      <c r="M1777" s="269"/>
      <c r="N1777" s="270"/>
      <c r="O1777" s="271"/>
      <c r="P1777" s="271"/>
      <c r="Q1777" s="272"/>
      <c r="R1777" s="273"/>
      <c r="S1777" s="273"/>
      <c r="T1777" s="273"/>
      <c r="U1777" s="274"/>
      <c r="V1777" s="263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</row>
    <row r="1778">
      <c r="A1778" s="263"/>
      <c r="B1778" s="264"/>
      <c r="C1778" s="265"/>
      <c r="D1778" s="266"/>
      <c r="E1778" s="263"/>
      <c r="F1778" s="267"/>
      <c r="G1778" s="267"/>
      <c r="H1778" s="268"/>
      <c r="I1778" s="268"/>
      <c r="J1778" s="267"/>
      <c r="K1778" s="265"/>
      <c r="L1778" s="265"/>
      <c r="M1778" s="269"/>
      <c r="N1778" s="270"/>
      <c r="O1778" s="271"/>
      <c r="P1778" s="271"/>
      <c r="Q1778" s="272"/>
      <c r="R1778" s="273"/>
      <c r="S1778" s="273"/>
      <c r="T1778" s="273"/>
      <c r="U1778" s="274"/>
      <c r="V1778" s="263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</row>
    <row r="1779">
      <c r="A1779" s="263"/>
      <c r="B1779" s="264"/>
      <c r="C1779" s="265"/>
      <c r="D1779" s="266"/>
      <c r="E1779" s="263"/>
      <c r="F1779" s="267"/>
      <c r="G1779" s="267"/>
      <c r="H1779" s="268"/>
      <c r="I1779" s="268"/>
      <c r="J1779" s="267"/>
      <c r="K1779" s="265"/>
      <c r="L1779" s="265"/>
      <c r="M1779" s="269"/>
      <c r="N1779" s="270"/>
      <c r="O1779" s="271"/>
      <c r="P1779" s="271"/>
      <c r="Q1779" s="272"/>
      <c r="R1779" s="273"/>
      <c r="S1779" s="273"/>
      <c r="T1779" s="273"/>
      <c r="U1779" s="274"/>
      <c r="V1779" s="263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</row>
    <row r="1780">
      <c r="A1780" s="263"/>
      <c r="B1780" s="264"/>
      <c r="C1780" s="265"/>
      <c r="D1780" s="266"/>
      <c r="E1780" s="263"/>
      <c r="F1780" s="267"/>
      <c r="G1780" s="267"/>
      <c r="H1780" s="268"/>
      <c r="I1780" s="268"/>
      <c r="J1780" s="267"/>
      <c r="K1780" s="265"/>
      <c r="L1780" s="265"/>
      <c r="M1780" s="269"/>
      <c r="N1780" s="270"/>
      <c r="O1780" s="271"/>
      <c r="P1780" s="271"/>
      <c r="Q1780" s="272"/>
      <c r="R1780" s="273"/>
      <c r="S1780" s="273"/>
      <c r="T1780" s="273"/>
      <c r="U1780" s="274"/>
      <c r="V1780" s="263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</row>
    <row r="1781">
      <c r="A1781" s="263"/>
      <c r="B1781" s="264"/>
      <c r="C1781" s="265"/>
      <c r="D1781" s="266"/>
      <c r="E1781" s="263"/>
      <c r="F1781" s="267"/>
      <c r="G1781" s="267"/>
      <c r="H1781" s="268"/>
      <c r="I1781" s="268"/>
      <c r="J1781" s="267"/>
      <c r="K1781" s="265"/>
      <c r="L1781" s="265"/>
      <c r="M1781" s="269"/>
      <c r="N1781" s="283"/>
      <c r="O1781" s="271"/>
      <c r="P1781" s="271"/>
      <c r="Q1781" s="283"/>
      <c r="R1781" s="273"/>
      <c r="S1781" s="273"/>
      <c r="T1781" s="273"/>
      <c r="U1781" s="274"/>
      <c r="V1781" s="263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</row>
    <row r="1782">
      <c r="A1782" s="251"/>
      <c r="B1782" s="252"/>
      <c r="C1782" s="253"/>
      <c r="D1782" s="254"/>
      <c r="E1782" s="251"/>
      <c r="F1782" s="255"/>
      <c r="G1782" s="255"/>
      <c r="H1782" s="256"/>
      <c r="I1782" s="256"/>
      <c r="J1782" s="267"/>
      <c r="K1782" s="253"/>
      <c r="L1782" s="253"/>
      <c r="M1782" s="275"/>
      <c r="N1782" s="258"/>
      <c r="O1782" s="259"/>
      <c r="P1782" s="259"/>
      <c r="Q1782" s="262"/>
      <c r="R1782" s="260"/>
      <c r="S1782" s="260"/>
      <c r="T1782" s="260"/>
      <c r="U1782" s="261"/>
      <c r="V1782" s="251"/>
      <c r="W1782" s="35"/>
      <c r="X1782" s="35"/>
      <c r="Y1782" s="35"/>
      <c r="Z1782" s="35"/>
      <c r="AA1782" s="35"/>
      <c r="AB1782" s="35"/>
      <c r="AC1782" s="35"/>
      <c r="AD1782" s="35"/>
      <c r="AE1782" s="35"/>
      <c r="AF1782" s="35"/>
      <c r="AG1782" s="35"/>
      <c r="AH1782" s="35"/>
      <c r="AI1782" s="35"/>
    </row>
    <row r="1783">
      <c r="A1783" s="263"/>
      <c r="B1783" s="264"/>
      <c r="C1783" s="265"/>
      <c r="D1783" s="266"/>
      <c r="E1783" s="263"/>
      <c r="F1783" s="267"/>
      <c r="G1783" s="267"/>
      <c r="H1783" s="268"/>
      <c r="I1783" s="268"/>
      <c r="J1783" s="267"/>
      <c r="K1783" s="265"/>
      <c r="L1783" s="265"/>
      <c r="M1783" s="269"/>
      <c r="N1783" s="270"/>
      <c r="O1783" s="271"/>
      <c r="P1783" s="271"/>
      <c r="Q1783" s="272"/>
      <c r="R1783" s="273"/>
      <c r="S1783" s="273"/>
      <c r="T1783" s="273"/>
      <c r="U1783" s="274"/>
      <c r="V1783" s="263"/>
      <c r="W1783" s="35"/>
      <c r="X1783" s="35"/>
      <c r="Y1783" s="35"/>
      <c r="Z1783" s="35"/>
      <c r="AA1783" s="35"/>
      <c r="AB1783" s="35"/>
      <c r="AC1783" s="35"/>
      <c r="AD1783" s="35"/>
      <c r="AE1783" s="35"/>
      <c r="AF1783" s="35"/>
      <c r="AG1783" s="35"/>
      <c r="AH1783" s="35"/>
      <c r="AI1783" s="35"/>
    </row>
    <row r="1784">
      <c r="A1784" s="263"/>
      <c r="B1784" s="264"/>
      <c r="C1784" s="265"/>
      <c r="D1784" s="266"/>
      <c r="E1784" s="263"/>
      <c r="F1784" s="267"/>
      <c r="G1784" s="267"/>
      <c r="H1784" s="268"/>
      <c r="I1784" s="268"/>
      <c r="J1784" s="267"/>
      <c r="K1784" s="265"/>
      <c r="L1784" s="265"/>
      <c r="M1784" s="269"/>
      <c r="N1784" s="283"/>
      <c r="O1784" s="271"/>
      <c r="P1784" s="271"/>
      <c r="Q1784" s="283"/>
      <c r="R1784" s="273"/>
      <c r="S1784" s="273"/>
      <c r="T1784" s="273"/>
      <c r="U1784" s="274"/>
      <c r="V1784" s="263"/>
      <c r="W1784" s="35"/>
      <c r="X1784" s="35"/>
      <c r="Y1784" s="35"/>
      <c r="Z1784" s="35"/>
      <c r="AA1784" s="35"/>
      <c r="AB1784" s="35"/>
      <c r="AC1784" s="35"/>
      <c r="AD1784" s="35"/>
      <c r="AE1784" s="35"/>
      <c r="AF1784" s="35"/>
      <c r="AG1784" s="35"/>
      <c r="AH1784" s="35"/>
      <c r="AI1784" s="35"/>
    </row>
    <row r="1785">
      <c r="A1785" s="263"/>
      <c r="B1785" s="264"/>
      <c r="C1785" s="265"/>
      <c r="D1785" s="266"/>
      <c r="E1785" s="263"/>
      <c r="F1785" s="267"/>
      <c r="G1785" s="267"/>
      <c r="H1785" s="268"/>
      <c r="I1785" s="268"/>
      <c r="J1785" s="267"/>
      <c r="K1785" s="265"/>
      <c r="L1785" s="265"/>
      <c r="M1785" s="269"/>
      <c r="N1785" s="283"/>
      <c r="O1785" s="271"/>
      <c r="P1785" s="271"/>
      <c r="Q1785" s="283"/>
      <c r="R1785" s="273"/>
      <c r="S1785" s="273"/>
      <c r="T1785" s="273"/>
      <c r="U1785" s="274"/>
      <c r="V1785" s="263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</row>
    <row r="1786">
      <c r="A1786" s="263"/>
      <c r="B1786" s="264"/>
      <c r="C1786" s="265"/>
      <c r="D1786" s="266"/>
      <c r="E1786" s="263"/>
      <c r="F1786" s="267"/>
      <c r="G1786" s="267"/>
      <c r="H1786" s="268"/>
      <c r="I1786" s="268"/>
      <c r="J1786" s="267"/>
      <c r="K1786" s="265"/>
      <c r="L1786" s="265"/>
      <c r="M1786" s="269"/>
      <c r="N1786" s="270"/>
      <c r="O1786" s="271"/>
      <c r="P1786" s="271"/>
      <c r="Q1786" s="272"/>
      <c r="R1786" s="273"/>
      <c r="S1786" s="273"/>
      <c r="T1786" s="273"/>
      <c r="U1786" s="274"/>
      <c r="V1786" s="263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</row>
    <row r="1787">
      <c r="A1787" s="263"/>
      <c r="B1787" s="264"/>
      <c r="C1787" s="265"/>
      <c r="D1787" s="266"/>
      <c r="E1787" s="263"/>
      <c r="F1787" s="267"/>
      <c r="G1787" s="267"/>
      <c r="H1787" s="268"/>
      <c r="I1787" s="268"/>
      <c r="J1787" s="255"/>
      <c r="K1787" s="265"/>
      <c r="L1787" s="265"/>
      <c r="M1787" s="269"/>
      <c r="N1787" s="283"/>
      <c r="O1787" s="271"/>
      <c r="P1787" s="271"/>
      <c r="Q1787" s="283"/>
      <c r="R1787" s="273"/>
      <c r="S1787" s="273"/>
      <c r="T1787" s="273"/>
      <c r="U1787" s="274"/>
      <c r="V1787" s="263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</row>
    <row r="1788">
      <c r="A1788" s="263"/>
      <c r="B1788" s="264"/>
      <c r="C1788" s="265"/>
      <c r="D1788" s="266"/>
      <c r="E1788" s="263"/>
      <c r="F1788" s="267"/>
      <c r="G1788" s="267"/>
      <c r="H1788" s="268"/>
      <c r="I1788" s="268"/>
      <c r="J1788" s="267"/>
      <c r="K1788" s="265"/>
      <c r="L1788" s="265"/>
      <c r="M1788" s="269"/>
      <c r="N1788" s="270"/>
      <c r="O1788" s="271"/>
      <c r="P1788" s="271"/>
      <c r="Q1788" s="272"/>
      <c r="R1788" s="273"/>
      <c r="S1788" s="273"/>
      <c r="T1788" s="273"/>
      <c r="U1788" s="274"/>
      <c r="V1788" s="263"/>
      <c r="W1788" s="428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</row>
    <row r="1789">
      <c r="A1789" s="263"/>
      <c r="B1789" s="264"/>
      <c r="C1789" s="265"/>
      <c r="D1789" s="266"/>
      <c r="E1789" s="263"/>
      <c r="F1789" s="267"/>
      <c r="G1789" s="267"/>
      <c r="H1789" s="268"/>
      <c r="I1789" s="268"/>
      <c r="J1789" s="267"/>
      <c r="K1789" s="265"/>
      <c r="L1789" s="265"/>
      <c r="M1789" s="269"/>
      <c r="N1789" s="283"/>
      <c r="O1789" s="271"/>
      <c r="P1789" s="271"/>
      <c r="Q1789" s="283"/>
      <c r="R1789" s="273"/>
      <c r="S1789" s="273"/>
      <c r="T1789" s="273"/>
      <c r="U1789" s="274"/>
      <c r="V1789" s="263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</row>
    <row r="1790">
      <c r="A1790" s="263"/>
      <c r="B1790" s="264"/>
      <c r="C1790" s="265"/>
      <c r="D1790" s="266"/>
      <c r="E1790" s="263"/>
      <c r="F1790" s="267"/>
      <c r="G1790" s="267"/>
      <c r="H1790" s="268"/>
      <c r="I1790" s="268"/>
      <c r="J1790" s="267"/>
      <c r="K1790" s="265"/>
      <c r="L1790" s="265"/>
      <c r="M1790" s="269"/>
      <c r="N1790" s="270"/>
      <c r="O1790" s="271"/>
      <c r="P1790" s="271"/>
      <c r="Q1790" s="272"/>
      <c r="R1790" s="273"/>
      <c r="S1790" s="273"/>
      <c r="T1790" s="273"/>
      <c r="U1790" s="274"/>
      <c r="V1790" s="263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</row>
    <row r="1791">
      <c r="A1791" s="263"/>
      <c r="B1791" s="264"/>
      <c r="C1791" s="265"/>
      <c r="D1791" s="266"/>
      <c r="E1791" s="263"/>
      <c r="F1791" s="267"/>
      <c r="G1791" s="267"/>
      <c r="H1791" s="268"/>
      <c r="I1791" s="268"/>
      <c r="J1791" s="267"/>
      <c r="K1791" s="265"/>
      <c r="L1791" s="265"/>
      <c r="M1791" s="269"/>
      <c r="N1791" s="270"/>
      <c r="O1791" s="271"/>
      <c r="P1791" s="271"/>
      <c r="Q1791" s="272"/>
      <c r="R1791" s="273"/>
      <c r="S1791" s="273"/>
      <c r="T1791" s="273"/>
      <c r="U1791" s="274"/>
      <c r="V1791" s="263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</row>
    <row r="1792">
      <c r="A1792" s="263"/>
      <c r="B1792" s="264"/>
      <c r="C1792" s="265"/>
      <c r="D1792" s="266"/>
      <c r="E1792" s="263"/>
      <c r="F1792" s="267"/>
      <c r="G1792" s="267"/>
      <c r="H1792" s="268"/>
      <c r="I1792" s="268"/>
      <c r="J1792" s="267"/>
      <c r="K1792" s="265"/>
      <c r="L1792" s="265"/>
      <c r="M1792" s="269"/>
      <c r="N1792" s="270"/>
      <c r="O1792" s="271"/>
      <c r="P1792" s="271"/>
      <c r="Q1792" s="272"/>
      <c r="R1792" s="273"/>
      <c r="S1792" s="273"/>
      <c r="T1792" s="273"/>
      <c r="U1792" s="274"/>
      <c r="V1792" s="263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</row>
    <row r="1793">
      <c r="A1793" s="263"/>
      <c r="B1793" s="264"/>
      <c r="C1793" s="265"/>
      <c r="D1793" s="266"/>
      <c r="E1793" s="263"/>
      <c r="F1793" s="267"/>
      <c r="G1793" s="267"/>
      <c r="H1793" s="268"/>
      <c r="I1793" s="268"/>
      <c r="J1793" s="267"/>
      <c r="K1793" s="265"/>
      <c r="L1793" s="265"/>
      <c r="M1793" s="269"/>
      <c r="N1793" s="270"/>
      <c r="O1793" s="271"/>
      <c r="P1793" s="271"/>
      <c r="Q1793" s="272"/>
      <c r="R1793" s="273"/>
      <c r="S1793" s="273"/>
      <c r="T1793" s="273"/>
      <c r="U1793" s="274"/>
      <c r="V1793" s="263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</row>
    <row r="1794">
      <c r="A1794" s="251"/>
      <c r="B1794" s="252"/>
      <c r="C1794" s="253"/>
      <c r="D1794" s="254"/>
      <c r="E1794" s="251"/>
      <c r="F1794" s="255"/>
      <c r="G1794" s="255"/>
      <c r="H1794" s="256"/>
      <c r="I1794" s="256"/>
      <c r="J1794" s="267"/>
      <c r="K1794" s="253"/>
      <c r="L1794" s="253"/>
      <c r="M1794" s="252"/>
      <c r="N1794" s="258"/>
      <c r="O1794" s="259"/>
      <c r="P1794" s="259"/>
      <c r="Q1794" s="262"/>
      <c r="R1794" s="260"/>
      <c r="S1794" s="260"/>
      <c r="T1794" s="260"/>
      <c r="U1794" s="261"/>
      <c r="V1794" s="251"/>
      <c r="W1794" s="188"/>
      <c r="X1794" s="188"/>
      <c r="Y1794" s="188"/>
      <c r="Z1794" s="188"/>
      <c r="AA1794" s="188"/>
      <c r="AB1794" s="188"/>
      <c r="AC1794" s="188"/>
      <c r="AD1794" s="188"/>
      <c r="AE1794" s="188"/>
      <c r="AF1794" s="188"/>
      <c r="AG1794" s="188"/>
      <c r="AH1794" s="188"/>
      <c r="AI1794" s="188"/>
    </row>
    <row r="1795">
      <c r="A1795" s="263"/>
      <c r="B1795" s="264"/>
      <c r="C1795" s="265"/>
      <c r="D1795" s="266"/>
      <c r="E1795" s="263"/>
      <c r="F1795" s="267"/>
      <c r="G1795" s="267"/>
      <c r="H1795" s="268"/>
      <c r="I1795" s="268"/>
      <c r="J1795" s="267"/>
      <c r="K1795" s="265"/>
      <c r="L1795" s="265"/>
      <c r="M1795" s="269"/>
      <c r="N1795" s="283"/>
      <c r="O1795" s="271"/>
      <c r="P1795" s="271"/>
      <c r="Q1795" s="283"/>
      <c r="R1795" s="273"/>
      <c r="S1795" s="273"/>
      <c r="T1795" s="273"/>
      <c r="U1795" s="274"/>
      <c r="V1795" s="263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</row>
    <row r="1796">
      <c r="A1796" s="251"/>
      <c r="B1796" s="252"/>
      <c r="C1796" s="253"/>
      <c r="D1796" s="254"/>
      <c r="E1796" s="251"/>
      <c r="F1796" s="255"/>
      <c r="G1796" s="255"/>
      <c r="H1796" s="256"/>
      <c r="I1796" s="256"/>
      <c r="J1796" s="267"/>
      <c r="K1796" s="253"/>
      <c r="L1796" s="253"/>
      <c r="M1796" s="252"/>
      <c r="N1796" s="258"/>
      <c r="O1796" s="259"/>
      <c r="P1796" s="259"/>
      <c r="Q1796" s="262"/>
      <c r="R1796" s="260"/>
      <c r="S1796" s="260"/>
      <c r="T1796" s="260"/>
      <c r="U1796" s="261"/>
      <c r="V1796" s="251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</row>
    <row r="1797">
      <c r="A1797" s="263"/>
      <c r="B1797" s="264"/>
      <c r="C1797" s="265"/>
      <c r="D1797" s="266"/>
      <c r="E1797" s="263"/>
      <c r="F1797" s="267"/>
      <c r="G1797" s="267"/>
      <c r="H1797" s="268"/>
      <c r="I1797" s="268"/>
      <c r="J1797" s="267"/>
      <c r="K1797" s="265"/>
      <c r="L1797" s="265"/>
      <c r="M1797" s="269"/>
      <c r="N1797" s="270"/>
      <c r="O1797" s="271"/>
      <c r="P1797" s="271"/>
      <c r="Q1797" s="272"/>
      <c r="R1797" s="273"/>
      <c r="S1797" s="273"/>
      <c r="T1797" s="273"/>
      <c r="U1797" s="274"/>
      <c r="V1797" s="263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</row>
    <row r="1798">
      <c r="A1798" s="251"/>
      <c r="B1798" s="252"/>
      <c r="C1798" s="253"/>
      <c r="D1798" s="254"/>
      <c r="E1798" s="251"/>
      <c r="F1798" s="255"/>
      <c r="G1798" s="255"/>
      <c r="H1798" s="256"/>
      <c r="I1798" s="256"/>
      <c r="J1798" s="267"/>
      <c r="K1798" s="253"/>
      <c r="L1798" s="253"/>
      <c r="M1798" s="252"/>
      <c r="N1798" s="258"/>
      <c r="O1798" s="259"/>
      <c r="P1798" s="259"/>
      <c r="Q1798" s="262"/>
      <c r="R1798" s="260"/>
      <c r="S1798" s="260"/>
      <c r="T1798" s="260"/>
      <c r="U1798" s="261"/>
      <c r="V1798" s="251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</row>
    <row r="1799">
      <c r="A1799" s="251"/>
      <c r="B1799" s="252"/>
      <c r="C1799" s="253"/>
      <c r="D1799" s="254"/>
      <c r="E1799" s="251"/>
      <c r="F1799" s="255"/>
      <c r="G1799" s="255"/>
      <c r="H1799" s="256"/>
      <c r="I1799" s="256"/>
      <c r="J1799" s="255"/>
      <c r="K1799" s="253"/>
      <c r="L1799" s="253"/>
      <c r="M1799" s="252"/>
      <c r="N1799" s="258"/>
      <c r="O1799" s="259"/>
      <c r="P1799" s="259"/>
      <c r="Q1799" s="262"/>
      <c r="R1799" s="260"/>
      <c r="S1799" s="260"/>
      <c r="T1799" s="260"/>
      <c r="U1799" s="261"/>
      <c r="V1799" s="251"/>
      <c r="W1799" s="35"/>
      <c r="X1799" s="35"/>
      <c r="Y1799" s="35"/>
      <c r="Z1799" s="35"/>
      <c r="AA1799" s="35"/>
      <c r="AB1799" s="35"/>
      <c r="AC1799" s="35"/>
      <c r="AD1799" s="35"/>
      <c r="AE1799" s="35"/>
      <c r="AF1799" s="35"/>
      <c r="AG1799" s="35"/>
      <c r="AH1799" s="35"/>
      <c r="AI1799" s="35"/>
    </row>
    <row r="1800">
      <c r="A1800" s="251"/>
      <c r="B1800" s="252"/>
      <c r="C1800" s="253"/>
      <c r="D1800" s="254"/>
      <c r="E1800" s="251"/>
      <c r="F1800" s="255"/>
      <c r="G1800" s="255"/>
      <c r="H1800" s="256"/>
      <c r="I1800" s="256"/>
      <c r="J1800" s="267"/>
      <c r="K1800" s="253"/>
      <c r="L1800" s="253"/>
      <c r="M1800" s="252"/>
      <c r="N1800" s="258"/>
      <c r="O1800" s="259"/>
      <c r="P1800" s="259"/>
      <c r="Q1800" s="262"/>
      <c r="R1800" s="260"/>
      <c r="S1800" s="260"/>
      <c r="T1800" s="260"/>
      <c r="U1800" s="261"/>
      <c r="V1800" s="251"/>
      <c r="W1800" s="188"/>
      <c r="X1800" s="188"/>
      <c r="Y1800" s="188"/>
      <c r="Z1800" s="188"/>
      <c r="AA1800" s="188"/>
      <c r="AB1800" s="188"/>
      <c r="AC1800" s="188"/>
      <c r="AD1800" s="188"/>
      <c r="AE1800" s="188"/>
      <c r="AF1800" s="188"/>
      <c r="AG1800" s="188"/>
      <c r="AH1800" s="188"/>
      <c r="AI1800" s="188"/>
    </row>
    <row r="1801">
      <c r="A1801" s="251"/>
      <c r="B1801" s="252"/>
      <c r="C1801" s="253"/>
      <c r="D1801" s="254"/>
      <c r="E1801" s="251"/>
      <c r="F1801" s="255"/>
      <c r="G1801" s="255"/>
      <c r="H1801" s="256"/>
      <c r="I1801" s="256"/>
      <c r="J1801" s="255"/>
      <c r="K1801" s="253"/>
      <c r="L1801" s="253"/>
      <c r="M1801" s="252"/>
      <c r="N1801" s="258"/>
      <c r="O1801" s="259"/>
      <c r="P1801" s="259"/>
      <c r="Q1801" s="257"/>
      <c r="R1801" s="260"/>
      <c r="S1801" s="260"/>
      <c r="T1801" s="260"/>
      <c r="U1801" s="261"/>
      <c r="V1801" s="251"/>
      <c r="W1801" s="35"/>
      <c r="X1801" s="35"/>
      <c r="Y1801" s="35"/>
      <c r="Z1801" s="35"/>
      <c r="AA1801" s="35"/>
      <c r="AB1801" s="35"/>
      <c r="AC1801" s="35"/>
      <c r="AD1801" s="35"/>
      <c r="AE1801" s="35"/>
      <c r="AF1801" s="35"/>
      <c r="AG1801" s="35"/>
      <c r="AH1801" s="35"/>
      <c r="AI1801" s="35"/>
    </row>
    <row r="1802">
      <c r="A1802" s="251"/>
      <c r="B1802" s="252"/>
      <c r="C1802" s="253"/>
      <c r="D1802" s="254"/>
      <c r="E1802" s="251"/>
      <c r="F1802" s="255"/>
      <c r="G1802" s="255"/>
      <c r="H1802" s="256"/>
      <c r="I1802" s="256"/>
      <c r="J1802" s="267"/>
      <c r="K1802" s="253"/>
      <c r="L1802" s="253"/>
      <c r="M1802" s="252"/>
      <c r="N1802" s="258"/>
      <c r="O1802" s="259"/>
      <c r="P1802" s="259"/>
      <c r="Q1802" s="262"/>
      <c r="R1802" s="260"/>
      <c r="S1802" s="260"/>
      <c r="T1802" s="260"/>
      <c r="U1802" s="261"/>
      <c r="V1802" s="251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</row>
    <row r="1803">
      <c r="A1803" s="263"/>
      <c r="B1803" s="264"/>
      <c r="C1803" s="265"/>
      <c r="D1803" s="266"/>
      <c r="E1803" s="263"/>
      <c r="F1803" s="267"/>
      <c r="G1803" s="267"/>
      <c r="H1803" s="268"/>
      <c r="I1803" s="268"/>
      <c r="J1803" s="255"/>
      <c r="K1803" s="265"/>
      <c r="L1803" s="265"/>
      <c r="M1803" s="269"/>
      <c r="N1803" s="283"/>
      <c r="O1803" s="271"/>
      <c r="P1803" s="271"/>
      <c r="Q1803" s="283"/>
      <c r="R1803" s="273"/>
      <c r="S1803" s="273"/>
      <c r="T1803" s="273"/>
      <c r="U1803" s="274"/>
      <c r="V1803" s="263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</row>
    <row r="1804">
      <c r="A1804" s="251"/>
      <c r="B1804" s="252"/>
      <c r="C1804" s="253"/>
      <c r="D1804" s="254"/>
      <c r="E1804" s="251"/>
      <c r="F1804" s="255"/>
      <c r="G1804" s="255"/>
      <c r="H1804" s="256"/>
      <c r="I1804" s="256"/>
      <c r="J1804" s="255"/>
      <c r="K1804" s="253"/>
      <c r="L1804" s="253"/>
      <c r="M1804" s="252"/>
      <c r="N1804" s="258"/>
      <c r="O1804" s="259"/>
      <c r="P1804" s="259"/>
      <c r="Q1804" s="257"/>
      <c r="R1804" s="260"/>
      <c r="S1804" s="260"/>
      <c r="T1804" s="260"/>
      <c r="U1804" s="261"/>
      <c r="V1804" s="251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</row>
    <row r="1805">
      <c r="A1805" s="251"/>
      <c r="B1805" s="252"/>
      <c r="C1805" s="253"/>
      <c r="D1805" s="254"/>
      <c r="E1805" s="251"/>
      <c r="F1805" s="255"/>
      <c r="G1805" s="255"/>
      <c r="H1805" s="256"/>
      <c r="I1805" s="256"/>
      <c r="J1805" s="255"/>
      <c r="K1805" s="253"/>
      <c r="L1805" s="253"/>
      <c r="M1805" s="252"/>
      <c r="N1805" s="258"/>
      <c r="O1805" s="259"/>
      <c r="P1805" s="259"/>
      <c r="Q1805" s="262"/>
      <c r="R1805" s="260"/>
      <c r="S1805" s="260"/>
      <c r="T1805" s="260"/>
      <c r="U1805" s="261"/>
      <c r="V1805" s="251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</row>
    <row r="1806">
      <c r="A1806" s="251"/>
      <c r="B1806" s="252"/>
      <c r="C1806" s="253"/>
      <c r="D1806" s="254"/>
      <c r="E1806" s="251"/>
      <c r="F1806" s="255"/>
      <c r="G1806" s="255"/>
      <c r="H1806" s="256"/>
      <c r="I1806" s="256"/>
      <c r="J1806" s="255"/>
      <c r="K1806" s="253"/>
      <c r="L1806" s="253"/>
      <c r="M1806" s="252"/>
      <c r="N1806" s="258"/>
      <c r="O1806" s="259"/>
      <c r="P1806" s="259"/>
      <c r="Q1806" s="262"/>
      <c r="R1806" s="260"/>
      <c r="S1806" s="260"/>
      <c r="T1806" s="260"/>
      <c r="U1806" s="261"/>
      <c r="V1806" s="251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</row>
    <row r="1807">
      <c r="A1807" s="251"/>
      <c r="B1807" s="252"/>
      <c r="C1807" s="253"/>
      <c r="D1807" s="254"/>
      <c r="E1807" s="251"/>
      <c r="F1807" s="255"/>
      <c r="G1807" s="255"/>
      <c r="H1807" s="256"/>
      <c r="I1807" s="256"/>
      <c r="J1807" s="255"/>
      <c r="K1807" s="253"/>
      <c r="L1807" s="253"/>
      <c r="M1807" s="275"/>
      <c r="N1807" s="258"/>
      <c r="O1807" s="259"/>
      <c r="P1807" s="259"/>
      <c r="Q1807" s="262"/>
      <c r="R1807" s="260"/>
      <c r="S1807" s="260"/>
      <c r="T1807" s="260"/>
      <c r="U1807" s="261"/>
      <c r="V1807" s="251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</row>
    <row r="1808">
      <c r="A1808" s="251"/>
      <c r="B1808" s="252"/>
      <c r="C1808" s="253"/>
      <c r="D1808" s="254"/>
      <c r="E1808" s="251"/>
      <c r="F1808" s="255"/>
      <c r="G1808" s="255"/>
      <c r="H1808" s="256"/>
      <c r="I1808" s="256"/>
      <c r="J1808" s="267"/>
      <c r="K1808" s="253"/>
      <c r="L1808" s="253"/>
      <c r="M1808" s="252"/>
      <c r="N1808" s="258"/>
      <c r="O1808" s="259"/>
      <c r="P1808" s="259"/>
      <c r="Q1808" s="262"/>
      <c r="R1808" s="260"/>
      <c r="S1808" s="260"/>
      <c r="T1808" s="260"/>
      <c r="U1808" s="261"/>
      <c r="V1808" s="251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</row>
    <row r="1809">
      <c r="A1809" s="251"/>
      <c r="B1809" s="252"/>
      <c r="C1809" s="253"/>
      <c r="D1809" s="254"/>
      <c r="E1809" s="251"/>
      <c r="F1809" s="255"/>
      <c r="G1809" s="255"/>
      <c r="H1809" s="256"/>
      <c r="I1809" s="256"/>
      <c r="J1809" s="255"/>
      <c r="K1809" s="253"/>
      <c r="L1809" s="253"/>
      <c r="M1809" s="275"/>
      <c r="N1809" s="258"/>
      <c r="O1809" s="259"/>
      <c r="P1809" s="259"/>
      <c r="Q1809" s="262"/>
      <c r="R1809" s="260"/>
      <c r="S1809" s="260"/>
      <c r="T1809" s="260"/>
      <c r="U1809" s="261"/>
      <c r="V1809" s="251"/>
      <c r="W1809" s="35"/>
      <c r="X1809" s="35"/>
      <c r="Y1809" s="35"/>
      <c r="Z1809" s="35"/>
      <c r="AA1809" s="35"/>
      <c r="AB1809" s="35"/>
      <c r="AC1809" s="35"/>
      <c r="AD1809" s="35"/>
      <c r="AE1809" s="35"/>
      <c r="AF1809" s="35"/>
      <c r="AG1809" s="35"/>
      <c r="AH1809" s="35"/>
      <c r="AI1809" s="35"/>
    </row>
    <row r="1810">
      <c r="A1810" s="251"/>
      <c r="B1810" s="252"/>
      <c r="C1810" s="253"/>
      <c r="D1810" s="254"/>
      <c r="E1810" s="251"/>
      <c r="F1810" s="255"/>
      <c r="G1810" s="255"/>
      <c r="H1810" s="256"/>
      <c r="I1810" s="256"/>
      <c r="J1810" s="255"/>
      <c r="K1810" s="253"/>
      <c r="L1810" s="253"/>
      <c r="M1810" s="275"/>
      <c r="N1810" s="258"/>
      <c r="O1810" s="259"/>
      <c r="P1810" s="259"/>
      <c r="Q1810" s="262"/>
      <c r="R1810" s="260"/>
      <c r="S1810" s="260"/>
      <c r="T1810" s="260"/>
      <c r="U1810" s="261"/>
      <c r="V1810" s="251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</row>
    <row r="1811">
      <c r="A1811" s="251"/>
      <c r="B1811" s="252"/>
      <c r="C1811" s="253"/>
      <c r="D1811" s="254"/>
      <c r="E1811" s="251"/>
      <c r="F1811" s="255"/>
      <c r="G1811" s="255"/>
      <c r="H1811" s="256"/>
      <c r="I1811" s="256"/>
      <c r="J1811" s="255"/>
      <c r="K1811" s="253"/>
      <c r="L1811" s="253"/>
      <c r="M1811" s="252"/>
      <c r="N1811" s="258"/>
      <c r="O1811" s="259"/>
      <c r="P1811" s="259"/>
      <c r="Q1811" s="262"/>
      <c r="R1811" s="260"/>
      <c r="S1811" s="260"/>
      <c r="T1811" s="260"/>
      <c r="U1811" s="261"/>
      <c r="V1811" s="251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</row>
    <row r="1812">
      <c r="A1812" s="251"/>
      <c r="B1812" s="252"/>
      <c r="C1812" s="253"/>
      <c r="D1812" s="254"/>
      <c r="E1812" s="251"/>
      <c r="F1812" s="255"/>
      <c r="G1812" s="255"/>
      <c r="H1812" s="256"/>
      <c r="I1812" s="256"/>
      <c r="J1812" s="255"/>
      <c r="K1812" s="253"/>
      <c r="L1812" s="253"/>
      <c r="M1812" s="252"/>
      <c r="N1812" s="258"/>
      <c r="O1812" s="259"/>
      <c r="P1812" s="259"/>
      <c r="Q1812" s="262"/>
      <c r="R1812" s="260"/>
      <c r="S1812" s="260"/>
      <c r="T1812" s="260"/>
      <c r="U1812" s="261"/>
      <c r="V1812" s="251"/>
      <c r="W1812" s="35"/>
      <c r="X1812" s="35"/>
      <c r="Y1812" s="35"/>
      <c r="Z1812" s="35"/>
      <c r="AA1812" s="35"/>
      <c r="AB1812" s="35"/>
      <c r="AC1812" s="35"/>
      <c r="AD1812" s="35"/>
      <c r="AE1812" s="35"/>
      <c r="AF1812" s="35"/>
      <c r="AG1812" s="35"/>
      <c r="AH1812" s="35"/>
      <c r="AI1812" s="35"/>
    </row>
    <row r="1813">
      <c r="A1813" s="251"/>
      <c r="B1813" s="252"/>
      <c r="C1813" s="253"/>
      <c r="D1813" s="254"/>
      <c r="E1813" s="251"/>
      <c r="F1813" s="255"/>
      <c r="G1813" s="255"/>
      <c r="H1813" s="256"/>
      <c r="I1813" s="256"/>
      <c r="J1813" s="255"/>
      <c r="K1813" s="253"/>
      <c r="L1813" s="253"/>
      <c r="M1813" s="252"/>
      <c r="N1813" s="258"/>
      <c r="O1813" s="259"/>
      <c r="P1813" s="259"/>
      <c r="Q1813" s="262"/>
      <c r="R1813" s="260"/>
      <c r="S1813" s="260"/>
      <c r="T1813" s="260"/>
      <c r="U1813" s="261"/>
      <c r="V1813" s="251"/>
      <c r="W1813" s="188"/>
      <c r="X1813" s="188"/>
      <c r="Y1813" s="188"/>
      <c r="Z1813" s="188"/>
      <c r="AA1813" s="188"/>
      <c r="AB1813" s="188"/>
      <c r="AC1813" s="188"/>
      <c r="AD1813" s="188"/>
      <c r="AE1813" s="188"/>
      <c r="AF1813" s="188"/>
      <c r="AG1813" s="188"/>
      <c r="AH1813" s="188"/>
      <c r="AI1813" s="188"/>
    </row>
    <row r="1814">
      <c r="A1814" s="251"/>
      <c r="B1814" s="252"/>
      <c r="C1814" s="253"/>
      <c r="D1814" s="254"/>
      <c r="E1814" s="251"/>
      <c r="F1814" s="255"/>
      <c r="G1814" s="255"/>
      <c r="H1814" s="256"/>
      <c r="I1814" s="256"/>
      <c r="J1814" s="255"/>
      <c r="K1814" s="253"/>
      <c r="L1814" s="253"/>
      <c r="M1814" s="252"/>
      <c r="N1814" s="258"/>
      <c r="O1814" s="259"/>
      <c r="P1814" s="259"/>
      <c r="Q1814" s="257"/>
      <c r="R1814" s="260"/>
      <c r="S1814" s="260"/>
      <c r="T1814" s="260"/>
      <c r="U1814" s="261"/>
      <c r="V1814" s="251"/>
      <c r="W1814" s="188"/>
      <c r="X1814" s="188"/>
      <c r="Y1814" s="188"/>
      <c r="Z1814" s="188"/>
      <c r="AA1814" s="188"/>
      <c r="AB1814" s="188"/>
      <c r="AC1814" s="188"/>
      <c r="AD1814" s="188"/>
      <c r="AE1814" s="188"/>
      <c r="AF1814" s="188"/>
      <c r="AG1814" s="188"/>
      <c r="AH1814" s="188"/>
      <c r="AI1814" s="188"/>
    </row>
    <row r="1815">
      <c r="A1815" s="251"/>
      <c r="B1815" s="252"/>
      <c r="C1815" s="253"/>
      <c r="D1815" s="254"/>
      <c r="E1815" s="251"/>
      <c r="F1815" s="255"/>
      <c r="G1815" s="255"/>
      <c r="H1815" s="256"/>
      <c r="I1815" s="256"/>
      <c r="J1815" s="255"/>
      <c r="K1815" s="253"/>
      <c r="L1815" s="253"/>
      <c r="M1815" s="252"/>
      <c r="N1815" s="258"/>
      <c r="O1815" s="259"/>
      <c r="P1815" s="259"/>
      <c r="Q1815" s="257"/>
      <c r="R1815" s="260"/>
      <c r="S1815" s="260"/>
      <c r="T1815" s="260"/>
      <c r="U1815" s="261"/>
      <c r="V1815" s="251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</row>
    <row r="1816">
      <c r="A1816" s="251"/>
      <c r="B1816" s="252"/>
      <c r="C1816" s="253"/>
      <c r="D1816" s="254"/>
      <c r="E1816" s="251"/>
      <c r="F1816" s="255"/>
      <c r="G1816" s="255"/>
      <c r="H1816" s="256"/>
      <c r="I1816" s="256"/>
      <c r="J1816" s="255"/>
      <c r="K1816" s="253"/>
      <c r="L1816" s="253"/>
      <c r="M1816" s="252"/>
      <c r="N1816" s="258"/>
      <c r="O1816" s="259"/>
      <c r="P1816" s="259"/>
      <c r="Q1816" s="262"/>
      <c r="R1816" s="260"/>
      <c r="S1816" s="260"/>
      <c r="T1816" s="260"/>
      <c r="U1816" s="261"/>
      <c r="V1816" s="251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</row>
    <row r="1817">
      <c r="A1817" s="251"/>
      <c r="B1817" s="252"/>
      <c r="C1817" s="253"/>
      <c r="D1817" s="254"/>
      <c r="E1817" s="251"/>
      <c r="F1817" s="255"/>
      <c r="G1817" s="255"/>
      <c r="H1817" s="256"/>
      <c r="I1817" s="256"/>
      <c r="J1817" s="255"/>
      <c r="K1817" s="253"/>
      <c r="L1817" s="253"/>
      <c r="M1817" s="252"/>
      <c r="N1817" s="258"/>
      <c r="O1817" s="259"/>
      <c r="P1817" s="259"/>
      <c r="Q1817" s="262"/>
      <c r="R1817" s="260"/>
      <c r="S1817" s="260"/>
      <c r="T1817" s="260"/>
      <c r="U1817" s="261"/>
      <c r="V1817" s="251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</row>
    <row r="1818">
      <c r="A1818" s="251"/>
      <c r="B1818" s="252"/>
      <c r="C1818" s="253"/>
      <c r="D1818" s="254"/>
      <c r="E1818" s="251"/>
      <c r="F1818" s="255"/>
      <c r="G1818" s="255"/>
      <c r="H1818" s="256"/>
      <c r="I1818" s="256"/>
      <c r="J1818" s="255"/>
      <c r="K1818" s="253"/>
      <c r="L1818" s="253"/>
      <c r="M1818" s="252"/>
      <c r="N1818" s="258"/>
      <c r="O1818" s="259"/>
      <c r="P1818" s="259"/>
      <c r="Q1818" s="262"/>
      <c r="R1818" s="260"/>
      <c r="S1818" s="260"/>
      <c r="T1818" s="260"/>
      <c r="U1818" s="261"/>
      <c r="V1818" s="251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</row>
    <row r="1819">
      <c r="A1819" s="251"/>
      <c r="B1819" s="252"/>
      <c r="C1819" s="253"/>
      <c r="D1819" s="254"/>
      <c r="E1819" s="251"/>
      <c r="F1819" s="255"/>
      <c r="G1819" s="255"/>
      <c r="H1819" s="256"/>
      <c r="I1819" s="256"/>
      <c r="J1819" s="255"/>
      <c r="K1819" s="253"/>
      <c r="L1819" s="253"/>
      <c r="M1819" s="252"/>
      <c r="N1819" s="258"/>
      <c r="O1819" s="259"/>
      <c r="P1819" s="259"/>
      <c r="Q1819" s="262"/>
      <c r="R1819" s="260"/>
      <c r="S1819" s="260"/>
      <c r="T1819" s="260"/>
      <c r="U1819" s="261"/>
      <c r="V1819" s="251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</row>
    <row r="1820">
      <c r="A1820" s="251"/>
      <c r="B1820" s="252"/>
      <c r="C1820" s="253"/>
      <c r="D1820" s="254"/>
      <c r="E1820" s="251"/>
      <c r="F1820" s="255"/>
      <c r="G1820" s="255"/>
      <c r="H1820" s="256"/>
      <c r="I1820" s="256"/>
      <c r="J1820" s="255"/>
      <c r="K1820" s="253"/>
      <c r="L1820" s="253"/>
      <c r="M1820" s="252"/>
      <c r="N1820" s="258"/>
      <c r="O1820" s="259"/>
      <c r="P1820" s="259"/>
      <c r="Q1820" s="262"/>
      <c r="R1820" s="260"/>
      <c r="S1820" s="260"/>
      <c r="T1820" s="260"/>
      <c r="U1820" s="261"/>
      <c r="V1820" s="251"/>
      <c r="W1820" s="36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</row>
    <row r="1821">
      <c r="A1821" s="251"/>
      <c r="B1821" s="252"/>
      <c r="C1821" s="253"/>
      <c r="D1821" s="254"/>
      <c r="E1821" s="251"/>
      <c r="F1821" s="255"/>
      <c r="G1821" s="255"/>
      <c r="H1821" s="256"/>
      <c r="I1821" s="256"/>
      <c r="J1821" s="255"/>
      <c r="K1821" s="253"/>
      <c r="L1821" s="253"/>
      <c r="M1821" s="275"/>
      <c r="N1821" s="258"/>
      <c r="O1821" s="259"/>
      <c r="P1821" s="259"/>
      <c r="Q1821" s="262"/>
      <c r="R1821" s="260"/>
      <c r="S1821" s="260"/>
      <c r="T1821" s="260"/>
      <c r="U1821" s="261"/>
      <c r="V1821" s="251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</row>
    <row r="1822">
      <c r="A1822" s="251"/>
      <c r="B1822" s="252"/>
      <c r="C1822" s="253"/>
      <c r="D1822" s="254"/>
      <c r="E1822" s="251"/>
      <c r="F1822" s="255"/>
      <c r="G1822" s="255"/>
      <c r="H1822" s="256"/>
      <c r="I1822" s="256"/>
      <c r="J1822" s="255"/>
      <c r="K1822" s="253"/>
      <c r="L1822" s="253"/>
      <c r="M1822" s="252"/>
      <c r="N1822" s="258"/>
      <c r="O1822" s="259"/>
      <c r="P1822" s="259"/>
      <c r="Q1822" s="257"/>
      <c r="R1822" s="260"/>
      <c r="S1822" s="260"/>
      <c r="T1822" s="260"/>
      <c r="U1822" s="261"/>
      <c r="V1822" s="251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</row>
    <row r="1823">
      <c r="A1823" s="251"/>
      <c r="B1823" s="252"/>
      <c r="C1823" s="253"/>
      <c r="D1823" s="254"/>
      <c r="E1823" s="251"/>
      <c r="F1823" s="255"/>
      <c r="G1823" s="255"/>
      <c r="H1823" s="256"/>
      <c r="I1823" s="256"/>
      <c r="J1823" s="255"/>
      <c r="K1823" s="253"/>
      <c r="L1823" s="253"/>
      <c r="M1823" s="252"/>
      <c r="N1823" s="258"/>
      <c r="O1823" s="259"/>
      <c r="P1823" s="259"/>
      <c r="Q1823" s="262"/>
      <c r="R1823" s="260"/>
      <c r="S1823" s="260"/>
      <c r="T1823" s="260"/>
      <c r="U1823" s="261"/>
      <c r="V1823" s="251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</row>
    <row r="1824">
      <c r="A1824" s="263"/>
      <c r="B1824" s="264"/>
      <c r="C1824" s="265"/>
      <c r="D1824" s="266"/>
      <c r="E1824" s="263"/>
      <c r="F1824" s="267"/>
      <c r="G1824" s="267"/>
      <c r="H1824" s="268"/>
      <c r="I1824" s="268"/>
      <c r="J1824" s="255"/>
      <c r="K1824" s="265"/>
      <c r="L1824" s="265"/>
      <c r="M1824" s="269"/>
      <c r="N1824" s="270"/>
      <c r="O1824" s="271"/>
      <c r="P1824" s="271"/>
      <c r="Q1824" s="272"/>
      <c r="R1824" s="273"/>
      <c r="S1824" s="273"/>
      <c r="T1824" s="273"/>
      <c r="U1824" s="274"/>
      <c r="V1824" s="263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</row>
    <row r="1825">
      <c r="A1825" s="263"/>
      <c r="B1825" s="264"/>
      <c r="C1825" s="265"/>
      <c r="D1825" s="266"/>
      <c r="E1825" s="263"/>
      <c r="F1825" s="267"/>
      <c r="G1825" s="267"/>
      <c r="H1825" s="268"/>
      <c r="I1825" s="268"/>
      <c r="J1825" s="255"/>
      <c r="K1825" s="265"/>
      <c r="L1825" s="265"/>
      <c r="M1825" s="269"/>
      <c r="N1825" s="270"/>
      <c r="O1825" s="271"/>
      <c r="P1825" s="271"/>
      <c r="Q1825" s="272"/>
      <c r="R1825" s="273"/>
      <c r="S1825" s="273"/>
      <c r="T1825" s="273"/>
      <c r="U1825" s="274"/>
      <c r="V1825" s="263"/>
      <c r="W1825" s="35"/>
      <c r="X1825" s="35"/>
      <c r="Y1825" s="35"/>
      <c r="Z1825" s="35"/>
      <c r="AA1825" s="35"/>
      <c r="AB1825" s="35"/>
      <c r="AC1825" s="35"/>
      <c r="AD1825" s="35"/>
      <c r="AE1825" s="35"/>
      <c r="AF1825" s="35"/>
      <c r="AG1825" s="35"/>
      <c r="AH1825" s="35"/>
      <c r="AI1825" s="35"/>
    </row>
    <row r="1826">
      <c r="A1826" s="263"/>
      <c r="B1826" s="264"/>
      <c r="C1826" s="265"/>
      <c r="D1826" s="266"/>
      <c r="E1826" s="263"/>
      <c r="F1826" s="267"/>
      <c r="G1826" s="267"/>
      <c r="H1826" s="268"/>
      <c r="I1826" s="268"/>
      <c r="J1826" s="255"/>
      <c r="K1826" s="265"/>
      <c r="L1826" s="265"/>
      <c r="M1826" s="269"/>
      <c r="N1826" s="270"/>
      <c r="O1826" s="271"/>
      <c r="P1826" s="271"/>
      <c r="Q1826" s="272"/>
      <c r="R1826" s="273"/>
      <c r="S1826" s="273"/>
      <c r="T1826" s="273"/>
      <c r="U1826" s="274"/>
      <c r="V1826" s="263"/>
      <c r="W1826" s="36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</row>
    <row r="1827">
      <c r="A1827" s="263"/>
      <c r="B1827" s="264"/>
      <c r="C1827" s="265"/>
      <c r="D1827" s="266"/>
      <c r="E1827" s="263"/>
      <c r="F1827" s="267"/>
      <c r="G1827" s="267"/>
      <c r="H1827" s="268"/>
      <c r="I1827" s="268"/>
      <c r="J1827" s="255"/>
      <c r="K1827" s="265"/>
      <c r="L1827" s="265"/>
      <c r="M1827" s="269"/>
      <c r="N1827" s="270"/>
      <c r="O1827" s="271"/>
      <c r="P1827" s="271"/>
      <c r="Q1827" s="272"/>
      <c r="R1827" s="273"/>
      <c r="S1827" s="273"/>
      <c r="T1827" s="273"/>
      <c r="U1827" s="274"/>
      <c r="V1827" s="263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</row>
    <row r="1828">
      <c r="A1828" s="263"/>
      <c r="B1828" s="264"/>
      <c r="C1828" s="265"/>
      <c r="D1828" s="266"/>
      <c r="E1828" s="263"/>
      <c r="F1828" s="267"/>
      <c r="G1828" s="267"/>
      <c r="H1828" s="268"/>
      <c r="I1828" s="268"/>
      <c r="J1828" s="255"/>
      <c r="K1828" s="265"/>
      <c r="L1828" s="265"/>
      <c r="M1828" s="269"/>
      <c r="N1828" s="270"/>
      <c r="O1828" s="271"/>
      <c r="P1828" s="271"/>
      <c r="Q1828" s="272"/>
      <c r="R1828" s="273"/>
      <c r="S1828" s="273"/>
      <c r="T1828" s="273"/>
      <c r="U1828" s="274"/>
      <c r="V1828" s="263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</row>
    <row r="1829">
      <c r="A1829" s="263"/>
      <c r="B1829" s="264"/>
      <c r="C1829" s="265"/>
      <c r="D1829" s="266"/>
      <c r="E1829" s="263"/>
      <c r="F1829" s="267"/>
      <c r="G1829" s="267"/>
      <c r="H1829" s="268"/>
      <c r="I1829" s="268"/>
      <c r="J1829" s="267"/>
      <c r="K1829" s="265"/>
      <c r="L1829" s="265"/>
      <c r="M1829" s="269"/>
      <c r="N1829" s="270"/>
      <c r="O1829" s="271"/>
      <c r="P1829" s="271"/>
      <c r="Q1829" s="272"/>
      <c r="R1829" s="273"/>
      <c r="S1829" s="273"/>
      <c r="T1829" s="273"/>
      <c r="U1829" s="274"/>
      <c r="V1829" s="263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</row>
    <row r="1830">
      <c r="A1830" s="263"/>
      <c r="B1830" s="264"/>
      <c r="C1830" s="265"/>
      <c r="D1830" s="266"/>
      <c r="E1830" s="263"/>
      <c r="F1830" s="267"/>
      <c r="G1830" s="267"/>
      <c r="H1830" s="268"/>
      <c r="I1830" s="268"/>
      <c r="J1830" s="267"/>
      <c r="K1830" s="265"/>
      <c r="L1830" s="265"/>
      <c r="M1830" s="269"/>
      <c r="N1830" s="270"/>
      <c r="O1830" s="271"/>
      <c r="P1830" s="271"/>
      <c r="Q1830" s="272"/>
      <c r="R1830" s="273"/>
      <c r="S1830" s="273"/>
      <c r="T1830" s="273"/>
      <c r="U1830" s="274"/>
      <c r="V1830" s="263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</row>
    <row r="1831">
      <c r="A1831" s="263"/>
      <c r="B1831" s="264"/>
      <c r="C1831" s="265"/>
      <c r="D1831" s="266"/>
      <c r="E1831" s="263"/>
      <c r="F1831" s="267"/>
      <c r="G1831" s="267"/>
      <c r="H1831" s="268"/>
      <c r="I1831" s="268"/>
      <c r="J1831" s="267"/>
      <c r="K1831" s="265"/>
      <c r="L1831" s="265"/>
      <c r="M1831" s="269"/>
      <c r="N1831" s="270"/>
      <c r="O1831" s="271"/>
      <c r="P1831" s="271"/>
      <c r="Q1831" s="272"/>
      <c r="R1831" s="273"/>
      <c r="S1831" s="273"/>
      <c r="T1831" s="273"/>
      <c r="U1831" s="274"/>
      <c r="V1831" s="263"/>
      <c r="W1831" s="35"/>
      <c r="X1831" s="35"/>
      <c r="Y1831" s="35"/>
      <c r="Z1831" s="35"/>
      <c r="AA1831" s="35"/>
      <c r="AB1831" s="35"/>
      <c r="AC1831" s="35"/>
      <c r="AD1831" s="35"/>
      <c r="AE1831" s="35"/>
      <c r="AF1831" s="35"/>
      <c r="AG1831" s="35"/>
      <c r="AH1831" s="35"/>
      <c r="AI1831" s="35"/>
    </row>
    <row r="1832">
      <c r="A1832" s="263"/>
      <c r="B1832" s="264"/>
      <c r="C1832" s="265"/>
      <c r="D1832" s="266"/>
      <c r="E1832" s="263"/>
      <c r="F1832" s="267"/>
      <c r="G1832" s="267"/>
      <c r="H1832" s="268"/>
      <c r="I1832" s="268"/>
      <c r="J1832" s="267"/>
      <c r="K1832" s="265"/>
      <c r="L1832" s="265"/>
      <c r="M1832" s="269"/>
      <c r="N1832" s="270"/>
      <c r="O1832" s="271"/>
      <c r="P1832" s="271"/>
      <c r="Q1832" s="272"/>
      <c r="R1832" s="273"/>
      <c r="S1832" s="273"/>
      <c r="T1832" s="273"/>
      <c r="U1832" s="274"/>
      <c r="V1832" s="263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</row>
    <row r="1833">
      <c r="A1833" s="263"/>
      <c r="B1833" s="264"/>
      <c r="C1833" s="265"/>
      <c r="D1833" s="266"/>
      <c r="E1833" s="263"/>
      <c r="F1833" s="267"/>
      <c r="G1833" s="267"/>
      <c r="H1833" s="268"/>
      <c r="I1833" s="268"/>
      <c r="J1833" s="267"/>
      <c r="K1833" s="265"/>
      <c r="L1833" s="265"/>
      <c r="M1833" s="269"/>
      <c r="N1833" s="270"/>
      <c r="O1833" s="271"/>
      <c r="P1833" s="271"/>
      <c r="Q1833" s="272"/>
      <c r="R1833" s="273"/>
      <c r="S1833" s="273"/>
      <c r="T1833" s="273"/>
      <c r="U1833" s="274"/>
      <c r="V1833" s="263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</row>
    <row r="1834">
      <c r="A1834" s="263"/>
      <c r="B1834" s="264"/>
      <c r="C1834" s="265"/>
      <c r="D1834" s="266"/>
      <c r="E1834" s="263"/>
      <c r="F1834" s="267"/>
      <c r="G1834" s="267"/>
      <c r="H1834" s="268"/>
      <c r="I1834" s="268"/>
      <c r="J1834" s="267"/>
      <c r="K1834" s="265"/>
      <c r="L1834" s="265"/>
      <c r="M1834" s="269"/>
      <c r="N1834" s="270"/>
      <c r="O1834" s="271"/>
      <c r="P1834" s="271"/>
      <c r="Q1834" s="272"/>
      <c r="R1834" s="273"/>
      <c r="S1834" s="273"/>
      <c r="T1834" s="273"/>
      <c r="U1834" s="274"/>
      <c r="V1834" s="263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</row>
    <row r="1835">
      <c r="A1835" s="263"/>
      <c r="B1835" s="264"/>
      <c r="C1835" s="265"/>
      <c r="D1835" s="266"/>
      <c r="E1835" s="263"/>
      <c r="F1835" s="267"/>
      <c r="G1835" s="267"/>
      <c r="H1835" s="268"/>
      <c r="I1835" s="268"/>
      <c r="J1835" s="267"/>
      <c r="K1835" s="265"/>
      <c r="L1835" s="265"/>
      <c r="M1835" s="269"/>
      <c r="N1835" s="270"/>
      <c r="O1835" s="271"/>
      <c r="P1835" s="271"/>
      <c r="Q1835" s="272"/>
      <c r="R1835" s="273"/>
      <c r="S1835" s="273"/>
      <c r="T1835" s="273"/>
      <c r="U1835" s="274"/>
      <c r="V1835" s="263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</row>
    <row r="1836">
      <c r="A1836" s="263"/>
      <c r="B1836" s="264"/>
      <c r="C1836" s="265"/>
      <c r="D1836" s="266"/>
      <c r="E1836" s="263"/>
      <c r="F1836" s="267"/>
      <c r="G1836" s="267"/>
      <c r="H1836" s="268"/>
      <c r="I1836" s="268"/>
      <c r="J1836" s="267"/>
      <c r="K1836" s="265"/>
      <c r="L1836" s="265"/>
      <c r="M1836" s="269"/>
      <c r="N1836" s="270"/>
      <c r="O1836" s="271"/>
      <c r="P1836" s="271"/>
      <c r="Q1836" s="272"/>
      <c r="R1836" s="273"/>
      <c r="S1836" s="273"/>
      <c r="T1836" s="273"/>
      <c r="U1836" s="274"/>
      <c r="V1836" s="263"/>
      <c r="W1836" s="188"/>
      <c r="X1836" s="35"/>
      <c r="Y1836" s="35"/>
      <c r="Z1836" s="35"/>
      <c r="AA1836" s="35"/>
      <c r="AB1836" s="35"/>
      <c r="AC1836" s="35"/>
      <c r="AD1836" s="35"/>
      <c r="AE1836" s="35"/>
      <c r="AF1836" s="35"/>
      <c r="AG1836" s="35"/>
      <c r="AH1836" s="35"/>
      <c r="AI1836" s="35"/>
    </row>
    <row r="1837">
      <c r="A1837" s="263"/>
      <c r="B1837" s="264"/>
      <c r="C1837" s="265"/>
      <c r="D1837" s="266"/>
      <c r="E1837" s="263"/>
      <c r="F1837" s="267"/>
      <c r="G1837" s="267"/>
      <c r="H1837" s="268"/>
      <c r="I1837" s="268"/>
      <c r="J1837" s="267"/>
      <c r="K1837" s="265"/>
      <c r="L1837" s="265"/>
      <c r="M1837" s="269"/>
      <c r="N1837" s="270"/>
      <c r="O1837" s="271"/>
      <c r="P1837" s="271"/>
      <c r="Q1837" s="272"/>
      <c r="R1837" s="273"/>
      <c r="S1837" s="273"/>
      <c r="T1837" s="273"/>
      <c r="U1837" s="274"/>
      <c r="V1837" s="263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</row>
    <row r="1838">
      <c r="A1838" s="263"/>
      <c r="B1838" s="264"/>
      <c r="C1838" s="265"/>
      <c r="D1838" s="266"/>
      <c r="E1838" s="263"/>
      <c r="F1838" s="267"/>
      <c r="G1838" s="267"/>
      <c r="H1838" s="268"/>
      <c r="I1838" s="268"/>
      <c r="J1838" s="267"/>
      <c r="K1838" s="265"/>
      <c r="L1838" s="265"/>
      <c r="M1838" s="269"/>
      <c r="N1838" s="270"/>
      <c r="O1838" s="271"/>
      <c r="P1838" s="271"/>
      <c r="Q1838" s="272"/>
      <c r="R1838" s="273"/>
      <c r="S1838" s="273"/>
      <c r="T1838" s="273"/>
      <c r="U1838" s="274"/>
      <c r="V1838" s="263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</row>
    <row r="1839">
      <c r="A1839" s="263"/>
      <c r="B1839" s="264"/>
      <c r="C1839" s="265"/>
      <c r="D1839" s="266"/>
      <c r="E1839" s="263"/>
      <c r="F1839" s="267"/>
      <c r="G1839" s="267"/>
      <c r="H1839" s="268"/>
      <c r="I1839" s="268"/>
      <c r="J1839" s="267"/>
      <c r="K1839" s="265"/>
      <c r="L1839" s="265"/>
      <c r="M1839" s="269"/>
      <c r="N1839" s="270"/>
      <c r="O1839" s="271"/>
      <c r="P1839" s="271"/>
      <c r="Q1839" s="272"/>
      <c r="R1839" s="273"/>
      <c r="S1839" s="273"/>
      <c r="T1839" s="273"/>
      <c r="U1839" s="274"/>
      <c r="V1839" s="263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</row>
    <row r="1840">
      <c r="A1840" s="263"/>
      <c r="B1840" s="264"/>
      <c r="C1840" s="265"/>
      <c r="D1840" s="266"/>
      <c r="E1840" s="263"/>
      <c r="F1840" s="267"/>
      <c r="G1840" s="267"/>
      <c r="H1840" s="268"/>
      <c r="I1840" s="268"/>
      <c r="J1840" s="267"/>
      <c r="K1840" s="265"/>
      <c r="L1840" s="265"/>
      <c r="M1840" s="269"/>
      <c r="N1840" s="270"/>
      <c r="O1840" s="271"/>
      <c r="P1840" s="271"/>
      <c r="Q1840" s="272"/>
      <c r="R1840" s="273"/>
      <c r="S1840" s="273"/>
      <c r="T1840" s="273"/>
      <c r="U1840" s="274"/>
      <c r="V1840" s="263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</row>
    <row r="1841">
      <c r="A1841" s="263"/>
      <c r="B1841" s="264"/>
      <c r="C1841" s="265"/>
      <c r="D1841" s="266"/>
      <c r="E1841" s="263"/>
      <c r="F1841" s="267"/>
      <c r="G1841" s="267"/>
      <c r="H1841" s="268"/>
      <c r="I1841" s="268"/>
      <c r="J1841" s="267"/>
      <c r="K1841" s="265"/>
      <c r="L1841" s="265"/>
      <c r="M1841" s="269"/>
      <c r="N1841" s="270"/>
      <c r="O1841" s="271"/>
      <c r="P1841" s="271"/>
      <c r="Q1841" s="272"/>
      <c r="R1841" s="273"/>
      <c r="S1841" s="273"/>
      <c r="T1841" s="273"/>
      <c r="U1841" s="274"/>
      <c r="V1841" s="263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</row>
    <row r="1842">
      <c r="A1842" s="263"/>
      <c r="B1842" s="264"/>
      <c r="C1842" s="265"/>
      <c r="D1842" s="266"/>
      <c r="E1842" s="263"/>
      <c r="F1842" s="267"/>
      <c r="G1842" s="267"/>
      <c r="H1842" s="268"/>
      <c r="I1842" s="268"/>
      <c r="J1842" s="267"/>
      <c r="K1842" s="265"/>
      <c r="L1842" s="265"/>
      <c r="M1842" s="269"/>
      <c r="N1842" s="270"/>
      <c r="O1842" s="271"/>
      <c r="P1842" s="271"/>
      <c r="Q1842" s="272"/>
      <c r="R1842" s="273"/>
      <c r="S1842" s="273"/>
      <c r="T1842" s="273"/>
      <c r="U1842" s="274"/>
      <c r="V1842" s="263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</row>
    <row r="1843">
      <c r="A1843" s="263"/>
      <c r="B1843" s="264"/>
      <c r="C1843" s="265"/>
      <c r="D1843" s="266"/>
      <c r="E1843" s="263"/>
      <c r="F1843" s="267"/>
      <c r="G1843" s="267"/>
      <c r="H1843" s="268"/>
      <c r="I1843" s="268"/>
      <c r="J1843" s="267"/>
      <c r="K1843" s="265"/>
      <c r="L1843" s="265"/>
      <c r="M1843" s="269"/>
      <c r="N1843" s="270"/>
      <c r="O1843" s="271"/>
      <c r="P1843" s="271"/>
      <c r="Q1843" s="272"/>
      <c r="R1843" s="273"/>
      <c r="S1843" s="273"/>
      <c r="T1843" s="273"/>
      <c r="U1843" s="274"/>
      <c r="V1843" s="263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</row>
    <row r="1844">
      <c r="A1844" s="263"/>
      <c r="B1844" s="264"/>
      <c r="C1844" s="265"/>
      <c r="D1844" s="266"/>
      <c r="E1844" s="263"/>
      <c r="F1844" s="267"/>
      <c r="G1844" s="267"/>
      <c r="H1844" s="268"/>
      <c r="I1844" s="268"/>
      <c r="J1844" s="267"/>
      <c r="K1844" s="265"/>
      <c r="L1844" s="265"/>
      <c r="M1844" s="269"/>
      <c r="N1844" s="270"/>
      <c r="O1844" s="271"/>
      <c r="P1844" s="271"/>
      <c r="Q1844" s="272"/>
      <c r="R1844" s="273"/>
      <c r="S1844" s="273"/>
      <c r="T1844" s="273"/>
      <c r="U1844" s="274"/>
      <c r="V1844" s="263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</row>
    <row r="1845">
      <c r="A1845" s="263"/>
      <c r="B1845" s="264"/>
      <c r="C1845" s="265"/>
      <c r="D1845" s="266"/>
      <c r="E1845" s="263"/>
      <c r="F1845" s="267"/>
      <c r="G1845" s="267"/>
      <c r="H1845" s="268"/>
      <c r="I1845" s="268"/>
      <c r="J1845" s="267"/>
      <c r="K1845" s="265"/>
      <c r="L1845" s="265"/>
      <c r="M1845" s="269"/>
      <c r="N1845" s="270"/>
      <c r="O1845" s="271"/>
      <c r="P1845" s="271"/>
      <c r="Q1845" s="272"/>
      <c r="R1845" s="273"/>
      <c r="S1845" s="273"/>
      <c r="T1845" s="273"/>
      <c r="U1845" s="274"/>
      <c r="V1845" s="263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</row>
    <row r="1846">
      <c r="A1846" s="263"/>
      <c r="B1846" s="264"/>
      <c r="C1846" s="265"/>
      <c r="D1846" s="266"/>
      <c r="E1846" s="263"/>
      <c r="F1846" s="267"/>
      <c r="G1846" s="267"/>
      <c r="H1846" s="268"/>
      <c r="I1846" s="268"/>
      <c r="J1846" s="267"/>
      <c r="K1846" s="265"/>
      <c r="L1846" s="265"/>
      <c r="M1846" s="269"/>
      <c r="N1846" s="270"/>
      <c r="O1846" s="271"/>
      <c r="P1846" s="271"/>
      <c r="Q1846" s="272"/>
      <c r="R1846" s="273"/>
      <c r="S1846" s="273"/>
      <c r="T1846" s="273"/>
      <c r="U1846" s="274"/>
      <c r="V1846" s="263"/>
      <c r="W1846" s="35"/>
      <c r="X1846" s="35"/>
      <c r="Y1846" s="35"/>
      <c r="Z1846" s="35"/>
      <c r="AA1846" s="35"/>
      <c r="AB1846" s="35"/>
      <c r="AC1846" s="35"/>
      <c r="AD1846" s="35"/>
      <c r="AE1846" s="35"/>
      <c r="AF1846" s="35"/>
      <c r="AG1846" s="35"/>
      <c r="AH1846" s="35"/>
      <c r="AI1846" s="35"/>
    </row>
    <row r="1847">
      <c r="A1847" s="263"/>
      <c r="B1847" s="264"/>
      <c r="C1847" s="265"/>
      <c r="D1847" s="266"/>
      <c r="E1847" s="263"/>
      <c r="F1847" s="267"/>
      <c r="G1847" s="267"/>
      <c r="H1847" s="268"/>
      <c r="I1847" s="268"/>
      <c r="J1847" s="267"/>
      <c r="K1847" s="265"/>
      <c r="L1847" s="265"/>
      <c r="M1847" s="269"/>
      <c r="N1847" s="270"/>
      <c r="O1847" s="271"/>
      <c r="P1847" s="271"/>
      <c r="Q1847" s="272"/>
      <c r="R1847" s="273"/>
      <c r="S1847" s="273"/>
      <c r="T1847" s="273"/>
      <c r="U1847" s="274"/>
      <c r="V1847" s="263"/>
      <c r="W1847" s="188"/>
      <c r="X1847" s="188"/>
      <c r="Y1847" s="188"/>
      <c r="Z1847" s="188"/>
      <c r="AA1847" s="188"/>
      <c r="AB1847" s="188"/>
      <c r="AC1847" s="188"/>
      <c r="AD1847" s="188"/>
      <c r="AE1847" s="188"/>
      <c r="AF1847" s="188"/>
      <c r="AG1847" s="188"/>
      <c r="AH1847" s="188"/>
      <c r="AI1847" s="188"/>
    </row>
    <row r="1848">
      <c r="A1848" s="263"/>
      <c r="B1848" s="264"/>
      <c r="C1848" s="265"/>
      <c r="D1848" s="266"/>
      <c r="E1848" s="263"/>
      <c r="F1848" s="267"/>
      <c r="G1848" s="267"/>
      <c r="H1848" s="268"/>
      <c r="I1848" s="268"/>
      <c r="J1848" s="267"/>
      <c r="K1848" s="265"/>
      <c r="L1848" s="265"/>
      <c r="M1848" s="269"/>
      <c r="N1848" s="270"/>
      <c r="O1848" s="271"/>
      <c r="P1848" s="271"/>
      <c r="Q1848" s="272"/>
      <c r="R1848" s="273"/>
      <c r="S1848" s="273"/>
      <c r="T1848" s="273"/>
      <c r="U1848" s="274"/>
      <c r="V1848" s="263"/>
      <c r="W1848" s="188"/>
      <c r="X1848" s="188"/>
      <c r="Y1848" s="188"/>
      <c r="Z1848" s="188"/>
      <c r="AA1848" s="188"/>
      <c r="AB1848" s="188"/>
      <c r="AC1848" s="188"/>
      <c r="AD1848" s="188"/>
      <c r="AE1848" s="188"/>
      <c r="AF1848" s="188"/>
      <c r="AG1848" s="188"/>
      <c r="AH1848" s="188"/>
      <c r="AI1848" s="188"/>
    </row>
    <row r="1849">
      <c r="A1849" s="263"/>
      <c r="B1849" s="264"/>
      <c r="C1849" s="265"/>
      <c r="D1849" s="266"/>
      <c r="E1849" s="263"/>
      <c r="F1849" s="267"/>
      <c r="G1849" s="267"/>
      <c r="H1849" s="268"/>
      <c r="I1849" s="268"/>
      <c r="J1849" s="267"/>
      <c r="K1849" s="265"/>
      <c r="L1849" s="265"/>
      <c r="M1849" s="269"/>
      <c r="N1849" s="270"/>
      <c r="O1849" s="271"/>
      <c r="P1849" s="271"/>
      <c r="Q1849" s="272"/>
      <c r="R1849" s="273"/>
      <c r="S1849" s="273"/>
      <c r="T1849" s="260"/>
      <c r="U1849" s="261"/>
      <c r="V1849" s="251"/>
      <c r="W1849" s="188"/>
      <c r="X1849" s="188"/>
      <c r="Y1849" s="188"/>
      <c r="Z1849" s="188"/>
      <c r="AA1849" s="188"/>
      <c r="AB1849" s="188"/>
      <c r="AC1849" s="188"/>
      <c r="AD1849" s="188"/>
      <c r="AE1849" s="188"/>
      <c r="AF1849" s="188"/>
      <c r="AG1849" s="188"/>
      <c r="AH1849" s="188"/>
      <c r="AI1849" s="188"/>
    </row>
    <row r="1850">
      <c r="A1850" s="263"/>
      <c r="B1850" s="264"/>
      <c r="C1850" s="265"/>
      <c r="D1850" s="266"/>
      <c r="E1850" s="263"/>
      <c r="F1850" s="267"/>
      <c r="G1850" s="267"/>
      <c r="H1850" s="268"/>
      <c r="I1850" s="268"/>
      <c r="J1850" s="267"/>
      <c r="K1850" s="265"/>
      <c r="L1850" s="265"/>
      <c r="M1850" s="269"/>
      <c r="N1850" s="270"/>
      <c r="O1850" s="271"/>
      <c r="P1850" s="271"/>
      <c r="Q1850" s="272"/>
      <c r="R1850" s="273"/>
      <c r="S1850" s="273"/>
      <c r="T1850" s="273"/>
      <c r="U1850" s="274"/>
      <c r="V1850" s="263"/>
      <c r="W1850" s="188"/>
      <c r="X1850" s="188"/>
      <c r="Y1850" s="188"/>
      <c r="Z1850" s="188"/>
      <c r="AA1850" s="188"/>
      <c r="AB1850" s="188"/>
      <c r="AC1850" s="188"/>
      <c r="AD1850" s="188"/>
      <c r="AE1850" s="188"/>
      <c r="AF1850" s="188"/>
      <c r="AG1850" s="188"/>
      <c r="AH1850" s="188"/>
      <c r="AI1850" s="188"/>
    </row>
    <row r="1851">
      <c r="A1851" s="263"/>
      <c r="B1851" s="264"/>
      <c r="C1851" s="265"/>
      <c r="D1851" s="266"/>
      <c r="E1851" s="263"/>
      <c r="F1851" s="267"/>
      <c r="G1851" s="267"/>
      <c r="H1851" s="268"/>
      <c r="I1851" s="268"/>
      <c r="J1851" s="267"/>
      <c r="K1851" s="265"/>
      <c r="L1851" s="265"/>
      <c r="M1851" s="269"/>
      <c r="N1851" s="270"/>
      <c r="O1851" s="271"/>
      <c r="P1851" s="271"/>
      <c r="Q1851" s="272"/>
      <c r="R1851" s="273"/>
      <c r="S1851" s="273"/>
      <c r="T1851" s="273"/>
      <c r="U1851" s="274"/>
      <c r="V1851" s="263"/>
      <c r="W1851" s="188"/>
      <c r="X1851" s="188"/>
      <c r="Y1851" s="188"/>
      <c r="Z1851" s="188"/>
      <c r="AA1851" s="188"/>
      <c r="AB1851" s="188"/>
      <c r="AC1851" s="188"/>
      <c r="AD1851" s="188"/>
      <c r="AE1851" s="188"/>
      <c r="AF1851" s="188"/>
      <c r="AG1851" s="188"/>
      <c r="AH1851" s="188"/>
      <c r="AI1851" s="188"/>
    </row>
    <row r="1852">
      <c r="A1852" s="263"/>
      <c r="B1852" s="264"/>
      <c r="C1852" s="265"/>
      <c r="D1852" s="266"/>
      <c r="E1852" s="263"/>
      <c r="F1852" s="267"/>
      <c r="G1852" s="267"/>
      <c r="H1852" s="268"/>
      <c r="I1852" s="268"/>
      <c r="J1852" s="267"/>
      <c r="K1852" s="265"/>
      <c r="L1852" s="265"/>
      <c r="M1852" s="269"/>
      <c r="N1852" s="270"/>
      <c r="O1852" s="271"/>
      <c r="P1852" s="271"/>
      <c r="Q1852" s="272"/>
      <c r="R1852" s="273"/>
      <c r="S1852" s="273"/>
      <c r="T1852" s="273"/>
      <c r="U1852" s="274"/>
      <c r="V1852" s="263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</row>
    <row r="1853">
      <c r="A1853" s="263"/>
      <c r="B1853" s="264"/>
      <c r="C1853" s="265"/>
      <c r="D1853" s="266"/>
      <c r="E1853" s="263"/>
      <c r="F1853" s="267"/>
      <c r="G1853" s="267"/>
      <c r="H1853" s="268"/>
      <c r="I1853" s="268"/>
      <c r="J1853" s="267"/>
      <c r="K1853" s="265"/>
      <c r="L1853" s="265"/>
      <c r="M1853" s="269"/>
      <c r="N1853" s="270"/>
      <c r="O1853" s="271"/>
      <c r="P1853" s="271"/>
      <c r="Q1853" s="272"/>
      <c r="R1853" s="273"/>
      <c r="S1853" s="273"/>
      <c r="T1853" s="273"/>
      <c r="U1853" s="274"/>
      <c r="V1853" s="263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</row>
    <row r="1854">
      <c r="A1854" s="263"/>
      <c r="B1854" s="264"/>
      <c r="C1854" s="265"/>
      <c r="D1854" s="266"/>
      <c r="E1854" s="263"/>
      <c r="F1854" s="267"/>
      <c r="G1854" s="267"/>
      <c r="H1854" s="268"/>
      <c r="I1854" s="268"/>
      <c r="J1854" s="267"/>
      <c r="K1854" s="265"/>
      <c r="L1854" s="265"/>
      <c r="M1854" s="269"/>
      <c r="N1854" s="270"/>
      <c r="O1854" s="271"/>
      <c r="P1854" s="271"/>
      <c r="Q1854" s="272"/>
      <c r="R1854" s="273"/>
      <c r="S1854" s="273"/>
      <c r="T1854" s="273"/>
      <c r="U1854" s="274"/>
      <c r="V1854" s="263"/>
      <c r="W1854" s="35"/>
      <c r="X1854" s="35"/>
      <c r="Y1854" s="35"/>
      <c r="Z1854" s="35"/>
      <c r="AA1854" s="35"/>
      <c r="AB1854" s="35"/>
      <c r="AC1854" s="35"/>
      <c r="AD1854" s="35"/>
      <c r="AE1854" s="35"/>
      <c r="AF1854" s="35"/>
      <c r="AG1854" s="35"/>
      <c r="AH1854" s="35"/>
      <c r="AI1854" s="35"/>
    </row>
    <row r="1855">
      <c r="A1855" s="263"/>
      <c r="B1855" s="264"/>
      <c r="C1855" s="265"/>
      <c r="D1855" s="266"/>
      <c r="E1855" s="263"/>
      <c r="F1855" s="267"/>
      <c r="G1855" s="267"/>
      <c r="H1855" s="268"/>
      <c r="I1855" s="268"/>
      <c r="J1855" s="267"/>
      <c r="K1855" s="265"/>
      <c r="L1855" s="265"/>
      <c r="M1855" s="269"/>
      <c r="N1855" s="270"/>
      <c r="O1855" s="271"/>
      <c r="P1855" s="271"/>
      <c r="Q1855" s="272"/>
      <c r="R1855" s="273"/>
      <c r="S1855" s="273"/>
      <c r="T1855" s="273"/>
      <c r="U1855" s="274"/>
      <c r="V1855" s="263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</row>
    <row r="1856">
      <c r="A1856" s="263"/>
      <c r="B1856" s="264"/>
      <c r="C1856" s="265"/>
      <c r="D1856" s="266"/>
      <c r="E1856" s="263"/>
      <c r="F1856" s="267"/>
      <c r="G1856" s="267"/>
      <c r="H1856" s="268"/>
      <c r="I1856" s="268"/>
      <c r="J1856" s="267"/>
      <c r="K1856" s="265"/>
      <c r="L1856" s="265"/>
      <c r="M1856" s="269"/>
      <c r="N1856" s="270"/>
      <c r="O1856" s="271"/>
      <c r="P1856" s="271"/>
      <c r="Q1856" s="272"/>
      <c r="R1856" s="273"/>
      <c r="S1856" s="273"/>
      <c r="T1856" s="273"/>
      <c r="U1856" s="274"/>
      <c r="V1856" s="263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</row>
    <row r="1857">
      <c r="A1857" s="263"/>
      <c r="B1857" s="264"/>
      <c r="C1857" s="265"/>
      <c r="D1857" s="266"/>
      <c r="E1857" s="263"/>
      <c r="F1857" s="267"/>
      <c r="G1857" s="267"/>
      <c r="H1857" s="268"/>
      <c r="I1857" s="268"/>
      <c r="J1857" s="267"/>
      <c r="K1857" s="265"/>
      <c r="L1857" s="265"/>
      <c r="M1857" s="269"/>
      <c r="N1857" s="270"/>
      <c r="O1857" s="271"/>
      <c r="P1857" s="271"/>
      <c r="Q1857" s="272"/>
      <c r="R1857" s="273"/>
      <c r="S1857" s="273"/>
      <c r="T1857" s="273"/>
      <c r="U1857" s="274"/>
      <c r="V1857" s="263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</row>
    <row r="1858">
      <c r="A1858" s="263"/>
      <c r="B1858" s="264"/>
      <c r="C1858" s="265"/>
      <c r="D1858" s="266"/>
      <c r="E1858" s="263"/>
      <c r="F1858" s="267"/>
      <c r="G1858" s="267"/>
      <c r="H1858" s="268"/>
      <c r="I1858" s="268"/>
      <c r="J1858" s="267"/>
      <c r="K1858" s="265"/>
      <c r="L1858" s="265"/>
      <c r="M1858" s="269"/>
      <c r="N1858" s="270"/>
      <c r="O1858" s="271"/>
      <c r="P1858" s="271"/>
      <c r="Q1858" s="272"/>
      <c r="R1858" s="273"/>
      <c r="S1858" s="273"/>
      <c r="T1858" s="273"/>
      <c r="U1858" s="274"/>
      <c r="V1858" s="263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</row>
    <row r="1859">
      <c r="A1859" s="263"/>
      <c r="B1859" s="264"/>
      <c r="C1859" s="265"/>
      <c r="D1859" s="266"/>
      <c r="E1859" s="263"/>
      <c r="F1859" s="267"/>
      <c r="G1859" s="267"/>
      <c r="H1859" s="268"/>
      <c r="I1859" s="268"/>
      <c r="J1859" s="267"/>
      <c r="K1859" s="265"/>
      <c r="L1859" s="265"/>
      <c r="M1859" s="269"/>
      <c r="N1859" s="270"/>
      <c r="O1859" s="271"/>
      <c r="P1859" s="271"/>
      <c r="Q1859" s="272"/>
      <c r="R1859" s="273"/>
      <c r="S1859" s="273"/>
      <c r="T1859" s="273"/>
      <c r="U1859" s="274"/>
      <c r="V1859" s="263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</row>
    <row r="1860">
      <c r="A1860" s="263"/>
      <c r="B1860" s="264"/>
      <c r="C1860" s="265"/>
      <c r="D1860" s="266"/>
      <c r="E1860" s="263"/>
      <c r="F1860" s="267"/>
      <c r="G1860" s="267"/>
      <c r="H1860" s="268"/>
      <c r="I1860" s="268"/>
      <c r="J1860" s="267"/>
      <c r="K1860" s="265"/>
      <c r="L1860" s="265"/>
      <c r="M1860" s="269"/>
      <c r="N1860" s="270"/>
      <c r="O1860" s="271"/>
      <c r="P1860" s="271"/>
      <c r="Q1860" s="272"/>
      <c r="R1860" s="273"/>
      <c r="S1860" s="273"/>
      <c r="T1860" s="273"/>
      <c r="U1860" s="274"/>
      <c r="V1860" s="263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</row>
    <row r="1861">
      <c r="A1861" s="263"/>
      <c r="B1861" s="264"/>
      <c r="C1861" s="265"/>
      <c r="D1861" s="266"/>
      <c r="E1861" s="263"/>
      <c r="F1861" s="267"/>
      <c r="G1861" s="267"/>
      <c r="H1861" s="268"/>
      <c r="I1861" s="268"/>
      <c r="J1861" s="267"/>
      <c r="K1861" s="265"/>
      <c r="L1861" s="265"/>
      <c r="M1861" s="269"/>
      <c r="N1861" s="270"/>
      <c r="O1861" s="271"/>
      <c r="P1861" s="271"/>
      <c r="Q1861" s="272"/>
      <c r="R1861" s="273"/>
      <c r="S1861" s="273"/>
      <c r="T1861" s="273"/>
      <c r="U1861" s="274"/>
      <c r="V1861" s="263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</row>
    <row r="1862">
      <c r="A1862" s="263"/>
      <c r="B1862" s="264"/>
      <c r="C1862" s="265"/>
      <c r="D1862" s="266"/>
      <c r="E1862" s="263"/>
      <c r="F1862" s="267"/>
      <c r="G1862" s="267"/>
      <c r="H1862" s="268"/>
      <c r="I1862" s="268"/>
      <c r="J1862" s="267"/>
      <c r="K1862" s="265"/>
      <c r="L1862" s="265"/>
      <c r="M1862" s="269"/>
      <c r="N1862" s="270"/>
      <c r="O1862" s="271"/>
      <c r="P1862" s="271"/>
      <c r="Q1862" s="272"/>
      <c r="R1862" s="273"/>
      <c r="S1862" s="273"/>
      <c r="T1862" s="273"/>
      <c r="U1862" s="274"/>
      <c r="V1862" s="263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</row>
    <row r="1863">
      <c r="A1863" s="263"/>
      <c r="B1863" s="264"/>
      <c r="C1863" s="265"/>
      <c r="D1863" s="266"/>
      <c r="E1863" s="263"/>
      <c r="F1863" s="267"/>
      <c r="G1863" s="267"/>
      <c r="H1863" s="268"/>
      <c r="I1863" s="268"/>
      <c r="J1863" s="267"/>
      <c r="K1863" s="265"/>
      <c r="L1863" s="265"/>
      <c r="M1863" s="269"/>
      <c r="N1863" s="270"/>
      <c r="O1863" s="271"/>
      <c r="P1863" s="271"/>
      <c r="Q1863" s="272"/>
      <c r="R1863" s="273"/>
      <c r="S1863" s="273"/>
      <c r="T1863" s="273"/>
      <c r="U1863" s="274"/>
      <c r="V1863" s="263"/>
      <c r="W1863" s="188"/>
      <c r="X1863" s="188"/>
      <c r="Y1863" s="188"/>
      <c r="Z1863" s="188"/>
      <c r="AA1863" s="188"/>
      <c r="AB1863" s="188"/>
      <c r="AC1863" s="188"/>
      <c r="AD1863" s="188"/>
      <c r="AE1863" s="188"/>
      <c r="AF1863" s="188"/>
      <c r="AG1863" s="188"/>
      <c r="AH1863" s="188"/>
      <c r="AI1863" s="188"/>
    </row>
    <row r="1864">
      <c r="A1864" s="263"/>
      <c r="B1864" s="264"/>
      <c r="C1864" s="265"/>
      <c r="D1864" s="266"/>
      <c r="E1864" s="263"/>
      <c r="F1864" s="267"/>
      <c r="G1864" s="267"/>
      <c r="H1864" s="268"/>
      <c r="I1864" s="268"/>
      <c r="J1864" s="267"/>
      <c r="K1864" s="265"/>
      <c r="L1864" s="265"/>
      <c r="M1864" s="269"/>
      <c r="N1864" s="270"/>
      <c r="O1864" s="271"/>
      <c r="P1864" s="271"/>
      <c r="Q1864" s="272"/>
      <c r="R1864" s="273"/>
      <c r="S1864" s="273"/>
      <c r="T1864" s="273"/>
      <c r="U1864" s="274"/>
      <c r="V1864" s="263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</row>
    <row r="1865">
      <c r="A1865" s="263"/>
      <c r="B1865" s="264"/>
      <c r="C1865" s="265"/>
      <c r="D1865" s="266"/>
      <c r="E1865" s="263"/>
      <c r="F1865" s="267"/>
      <c r="G1865" s="267"/>
      <c r="H1865" s="268"/>
      <c r="I1865" s="268"/>
      <c r="J1865" s="267"/>
      <c r="K1865" s="265"/>
      <c r="L1865" s="265"/>
      <c r="M1865" s="269"/>
      <c r="N1865" s="270"/>
      <c r="O1865" s="271"/>
      <c r="P1865" s="271"/>
      <c r="Q1865" s="272"/>
      <c r="R1865" s="273"/>
      <c r="S1865" s="273"/>
      <c r="T1865" s="273"/>
      <c r="U1865" s="274"/>
      <c r="V1865" s="263"/>
      <c r="W1865" s="188"/>
      <c r="X1865" s="188"/>
      <c r="Y1865" s="188"/>
      <c r="Z1865" s="188"/>
      <c r="AA1865" s="188"/>
      <c r="AB1865" s="188"/>
      <c r="AC1865" s="188"/>
      <c r="AD1865" s="188"/>
      <c r="AE1865" s="188"/>
      <c r="AF1865" s="188"/>
      <c r="AG1865" s="188"/>
      <c r="AH1865" s="188"/>
      <c r="AI1865" s="188"/>
    </row>
    <row r="1866">
      <c r="A1866" s="263"/>
      <c r="B1866" s="264"/>
      <c r="C1866" s="265"/>
      <c r="D1866" s="266"/>
      <c r="E1866" s="263"/>
      <c r="F1866" s="267"/>
      <c r="G1866" s="267"/>
      <c r="H1866" s="268"/>
      <c r="I1866" s="268"/>
      <c r="J1866" s="267"/>
      <c r="K1866" s="265"/>
      <c r="L1866" s="265"/>
      <c r="M1866" s="269"/>
      <c r="N1866" s="270"/>
      <c r="O1866" s="271"/>
      <c r="P1866" s="271"/>
      <c r="Q1866" s="272"/>
      <c r="R1866" s="273"/>
      <c r="S1866" s="273"/>
      <c r="T1866" s="273"/>
      <c r="U1866" s="274"/>
      <c r="V1866" s="263"/>
      <c r="W1866" s="35"/>
      <c r="X1866" s="35"/>
      <c r="Y1866" s="35"/>
      <c r="Z1866" s="35"/>
      <c r="AA1866" s="35"/>
      <c r="AB1866" s="35"/>
      <c r="AC1866" s="35"/>
      <c r="AD1866" s="35"/>
      <c r="AE1866" s="35"/>
      <c r="AF1866" s="35"/>
      <c r="AG1866" s="35"/>
      <c r="AH1866" s="35"/>
      <c r="AI1866" s="35"/>
    </row>
    <row r="1867">
      <c r="A1867" s="263"/>
      <c r="B1867" s="264"/>
      <c r="C1867" s="265"/>
      <c r="D1867" s="266"/>
      <c r="E1867" s="263"/>
      <c r="F1867" s="267"/>
      <c r="G1867" s="267"/>
      <c r="H1867" s="268"/>
      <c r="I1867" s="268"/>
      <c r="J1867" s="267"/>
      <c r="K1867" s="265"/>
      <c r="L1867" s="265"/>
      <c r="M1867" s="269"/>
      <c r="N1867" s="270"/>
      <c r="O1867" s="271"/>
      <c r="P1867" s="271"/>
      <c r="Q1867" s="272"/>
      <c r="R1867" s="273"/>
      <c r="S1867" s="273"/>
      <c r="T1867" s="273"/>
      <c r="U1867" s="274"/>
      <c r="V1867" s="263"/>
      <c r="W1867" s="188"/>
      <c r="X1867" s="188"/>
      <c r="Y1867" s="188"/>
      <c r="Z1867" s="188"/>
      <c r="AA1867" s="188"/>
      <c r="AB1867" s="188"/>
      <c r="AC1867" s="188"/>
      <c r="AD1867" s="188"/>
      <c r="AE1867" s="188"/>
      <c r="AF1867" s="188"/>
      <c r="AG1867" s="188"/>
      <c r="AH1867" s="188"/>
      <c r="AI1867" s="188"/>
    </row>
    <row r="1868">
      <c r="A1868" s="263"/>
      <c r="B1868" s="264"/>
      <c r="C1868" s="265"/>
      <c r="D1868" s="266"/>
      <c r="E1868" s="263"/>
      <c r="F1868" s="267"/>
      <c r="G1868" s="267"/>
      <c r="H1868" s="268"/>
      <c r="I1868" s="268"/>
      <c r="J1868" s="267"/>
      <c r="K1868" s="265"/>
      <c r="L1868" s="265"/>
      <c r="M1868" s="269"/>
      <c r="N1868" s="270"/>
      <c r="O1868" s="271"/>
      <c r="P1868" s="271"/>
      <c r="Q1868" s="272"/>
      <c r="R1868" s="273"/>
      <c r="S1868" s="273"/>
      <c r="T1868" s="273"/>
      <c r="U1868" s="274"/>
      <c r="V1868" s="263"/>
      <c r="W1868" s="188"/>
      <c r="X1868" s="188"/>
      <c r="Y1868" s="188"/>
      <c r="Z1868" s="188"/>
      <c r="AA1868" s="188"/>
      <c r="AB1868" s="188"/>
      <c r="AC1868" s="188"/>
      <c r="AD1868" s="188"/>
      <c r="AE1868" s="188"/>
      <c r="AF1868" s="188"/>
      <c r="AG1868" s="188"/>
      <c r="AH1868" s="188"/>
      <c r="AI1868" s="188"/>
    </row>
    <row r="1869">
      <c r="A1869" s="263"/>
      <c r="B1869" s="264"/>
      <c r="C1869" s="265"/>
      <c r="D1869" s="266"/>
      <c r="E1869" s="263"/>
      <c r="F1869" s="267"/>
      <c r="G1869" s="267"/>
      <c r="H1869" s="268"/>
      <c r="I1869" s="268"/>
      <c r="J1869" s="267"/>
      <c r="K1869" s="265"/>
      <c r="L1869" s="265"/>
      <c r="M1869" s="269"/>
      <c r="N1869" s="270"/>
      <c r="O1869" s="271"/>
      <c r="P1869" s="271"/>
      <c r="Q1869" s="272"/>
      <c r="R1869" s="273"/>
      <c r="S1869" s="273"/>
      <c r="T1869" s="273"/>
      <c r="U1869" s="274"/>
      <c r="V1869" s="263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</row>
    <row r="1870">
      <c r="A1870" s="263"/>
      <c r="B1870" s="264"/>
      <c r="C1870" s="265"/>
      <c r="D1870" s="266"/>
      <c r="E1870" s="263"/>
      <c r="F1870" s="267"/>
      <c r="G1870" s="267"/>
      <c r="H1870" s="268"/>
      <c r="I1870" s="268"/>
      <c r="J1870" s="267"/>
      <c r="K1870" s="265"/>
      <c r="L1870" s="265"/>
      <c r="M1870" s="269"/>
      <c r="N1870" s="270"/>
      <c r="O1870" s="271"/>
      <c r="P1870" s="271"/>
      <c r="Q1870" s="272"/>
      <c r="R1870" s="273"/>
      <c r="S1870" s="273"/>
      <c r="T1870" s="273"/>
      <c r="U1870" s="274"/>
      <c r="V1870" s="263"/>
      <c r="W1870" s="188"/>
      <c r="X1870" s="188"/>
      <c r="Y1870" s="188"/>
      <c r="Z1870" s="188"/>
      <c r="AA1870" s="188"/>
      <c r="AB1870" s="188"/>
      <c r="AC1870" s="188"/>
      <c r="AD1870" s="188"/>
      <c r="AE1870" s="188"/>
      <c r="AF1870" s="188"/>
      <c r="AG1870" s="188"/>
      <c r="AH1870" s="188"/>
      <c r="AI1870" s="188"/>
    </row>
    <row r="1871">
      <c r="A1871" s="263"/>
      <c r="B1871" s="264"/>
      <c r="C1871" s="265"/>
      <c r="D1871" s="266"/>
      <c r="E1871" s="263"/>
      <c r="F1871" s="267"/>
      <c r="G1871" s="267"/>
      <c r="H1871" s="268"/>
      <c r="I1871" s="268"/>
      <c r="J1871" s="267"/>
      <c r="K1871" s="265"/>
      <c r="L1871" s="265"/>
      <c r="M1871" s="269"/>
      <c r="N1871" s="270"/>
      <c r="O1871" s="271"/>
      <c r="P1871" s="271"/>
      <c r="Q1871" s="272"/>
      <c r="R1871" s="273"/>
      <c r="S1871" s="273"/>
      <c r="T1871" s="273"/>
      <c r="U1871" s="274"/>
      <c r="V1871" s="263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</row>
    <row r="1872">
      <c r="A1872" s="263"/>
      <c r="B1872" s="264"/>
      <c r="C1872" s="265"/>
      <c r="D1872" s="266"/>
      <c r="E1872" s="263"/>
      <c r="F1872" s="267"/>
      <c r="G1872" s="267"/>
      <c r="H1872" s="268"/>
      <c r="I1872" s="268"/>
      <c r="J1872" s="267"/>
      <c r="K1872" s="265"/>
      <c r="L1872" s="265"/>
      <c r="M1872" s="269"/>
      <c r="N1872" s="270"/>
      <c r="O1872" s="271"/>
      <c r="P1872" s="271"/>
      <c r="Q1872" s="272"/>
      <c r="R1872" s="273"/>
      <c r="S1872" s="273"/>
      <c r="T1872" s="273"/>
      <c r="U1872" s="274"/>
      <c r="V1872" s="263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</row>
    <row r="1873">
      <c r="A1873" s="263"/>
      <c r="B1873" s="264"/>
      <c r="C1873" s="265"/>
      <c r="D1873" s="266"/>
      <c r="E1873" s="263"/>
      <c r="F1873" s="267"/>
      <c r="G1873" s="267"/>
      <c r="H1873" s="268"/>
      <c r="I1873" s="268"/>
      <c r="J1873" s="267"/>
      <c r="K1873" s="265"/>
      <c r="L1873" s="265"/>
      <c r="M1873" s="269"/>
      <c r="N1873" s="270"/>
      <c r="O1873" s="271"/>
      <c r="P1873" s="271"/>
      <c r="Q1873" s="272"/>
      <c r="R1873" s="273"/>
      <c r="S1873" s="273"/>
      <c r="T1873" s="273"/>
      <c r="U1873" s="274"/>
      <c r="V1873" s="263"/>
      <c r="W1873" s="188"/>
      <c r="X1873" s="188"/>
      <c r="Y1873" s="188"/>
      <c r="Z1873" s="188"/>
      <c r="AA1873" s="188"/>
      <c r="AB1873" s="188"/>
      <c r="AC1873" s="188"/>
      <c r="AD1873" s="188"/>
      <c r="AE1873" s="188"/>
      <c r="AF1873" s="188"/>
      <c r="AG1873" s="188"/>
      <c r="AH1873" s="188"/>
      <c r="AI1873" s="188"/>
    </row>
    <row r="1874">
      <c r="A1874" s="263"/>
      <c r="B1874" s="264"/>
      <c r="C1874" s="265"/>
      <c r="D1874" s="266"/>
      <c r="E1874" s="263"/>
      <c r="F1874" s="267"/>
      <c r="G1874" s="267"/>
      <c r="H1874" s="268"/>
      <c r="I1874" s="268"/>
      <c r="J1874" s="267"/>
      <c r="K1874" s="265"/>
      <c r="L1874" s="265"/>
      <c r="M1874" s="269"/>
      <c r="N1874" s="270"/>
      <c r="O1874" s="271"/>
      <c r="P1874" s="271"/>
      <c r="Q1874" s="272"/>
      <c r="R1874" s="273"/>
      <c r="S1874" s="273"/>
      <c r="T1874" s="273"/>
      <c r="U1874" s="274"/>
      <c r="V1874" s="263"/>
      <c r="W1874" s="35"/>
      <c r="X1874" s="35"/>
      <c r="Y1874" s="35"/>
      <c r="Z1874" s="35"/>
      <c r="AA1874" s="35"/>
      <c r="AB1874" s="35"/>
      <c r="AC1874" s="35"/>
      <c r="AD1874" s="35"/>
      <c r="AE1874" s="35"/>
      <c r="AF1874" s="35"/>
      <c r="AG1874" s="35"/>
      <c r="AH1874" s="35"/>
      <c r="AI1874" s="35"/>
    </row>
    <row r="1875">
      <c r="A1875" s="263"/>
      <c r="B1875" s="264"/>
      <c r="C1875" s="265"/>
      <c r="D1875" s="266"/>
      <c r="E1875" s="263"/>
      <c r="F1875" s="267"/>
      <c r="G1875" s="267"/>
      <c r="H1875" s="268"/>
      <c r="I1875" s="268"/>
      <c r="J1875" s="267"/>
      <c r="K1875" s="265"/>
      <c r="L1875" s="265"/>
      <c r="M1875" s="269"/>
      <c r="N1875" s="270"/>
      <c r="O1875" s="271"/>
      <c r="P1875" s="271"/>
      <c r="Q1875" s="272"/>
      <c r="R1875" s="273"/>
      <c r="S1875" s="273"/>
      <c r="T1875" s="273"/>
      <c r="U1875" s="274"/>
      <c r="V1875" s="263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</row>
    <row r="1876">
      <c r="A1876" s="263"/>
      <c r="B1876" s="264"/>
      <c r="C1876" s="265"/>
      <c r="D1876" s="266"/>
      <c r="E1876" s="263"/>
      <c r="F1876" s="267"/>
      <c r="G1876" s="267"/>
      <c r="H1876" s="268"/>
      <c r="I1876" s="268"/>
      <c r="J1876" s="267"/>
      <c r="K1876" s="265"/>
      <c r="L1876" s="265"/>
      <c r="M1876" s="269"/>
      <c r="N1876" s="270"/>
      <c r="O1876" s="271"/>
      <c r="P1876" s="271"/>
      <c r="Q1876" s="272"/>
      <c r="R1876" s="273"/>
      <c r="S1876" s="273"/>
      <c r="T1876" s="273"/>
      <c r="U1876" s="274"/>
      <c r="V1876" s="263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</row>
    <row r="1877">
      <c r="A1877" s="263"/>
      <c r="B1877" s="264"/>
      <c r="C1877" s="265"/>
      <c r="D1877" s="266"/>
      <c r="E1877" s="263"/>
      <c r="F1877" s="267"/>
      <c r="G1877" s="267"/>
      <c r="H1877" s="268"/>
      <c r="I1877" s="268"/>
      <c r="J1877" s="267"/>
      <c r="K1877" s="265"/>
      <c r="L1877" s="265"/>
      <c r="M1877" s="269"/>
      <c r="N1877" s="270"/>
      <c r="O1877" s="271"/>
      <c r="P1877" s="271"/>
      <c r="Q1877" s="272"/>
      <c r="R1877" s="273"/>
      <c r="S1877" s="273"/>
      <c r="T1877" s="273"/>
      <c r="U1877" s="274"/>
      <c r="V1877" s="263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</row>
    <row r="1878">
      <c r="A1878" s="263"/>
      <c r="B1878" s="264"/>
      <c r="C1878" s="265"/>
      <c r="D1878" s="266"/>
      <c r="E1878" s="263"/>
      <c r="F1878" s="267"/>
      <c r="G1878" s="267"/>
      <c r="H1878" s="268"/>
      <c r="I1878" s="268"/>
      <c r="J1878" s="267"/>
      <c r="K1878" s="265"/>
      <c r="L1878" s="265"/>
      <c r="M1878" s="269"/>
      <c r="N1878" s="270"/>
      <c r="O1878" s="271"/>
      <c r="P1878" s="271"/>
      <c r="Q1878" s="272"/>
      <c r="R1878" s="273"/>
      <c r="S1878" s="273"/>
      <c r="T1878" s="273"/>
      <c r="U1878" s="274"/>
      <c r="V1878" s="263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</row>
    <row r="1879">
      <c r="A1879" s="263"/>
      <c r="B1879" s="264"/>
      <c r="C1879" s="265"/>
      <c r="D1879" s="266"/>
      <c r="E1879" s="263"/>
      <c r="F1879" s="267"/>
      <c r="G1879" s="267"/>
      <c r="H1879" s="268"/>
      <c r="I1879" s="268"/>
      <c r="J1879" s="267"/>
      <c r="K1879" s="265"/>
      <c r="L1879" s="265"/>
      <c r="M1879" s="269"/>
      <c r="N1879" s="270"/>
      <c r="O1879" s="271"/>
      <c r="P1879" s="271"/>
      <c r="Q1879" s="272"/>
      <c r="R1879" s="273"/>
      <c r="S1879" s="273"/>
      <c r="T1879" s="273"/>
      <c r="U1879" s="274"/>
      <c r="V1879" s="263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</row>
    <row r="1880">
      <c r="A1880" s="263"/>
      <c r="B1880" s="264"/>
      <c r="C1880" s="265"/>
      <c r="D1880" s="266"/>
      <c r="E1880" s="263"/>
      <c r="F1880" s="267"/>
      <c r="G1880" s="267"/>
      <c r="H1880" s="268"/>
      <c r="I1880" s="268"/>
      <c r="J1880" s="267"/>
      <c r="K1880" s="265"/>
      <c r="L1880" s="265"/>
      <c r="M1880" s="269"/>
      <c r="N1880" s="270"/>
      <c r="O1880" s="271"/>
      <c r="P1880" s="271"/>
      <c r="Q1880" s="272"/>
      <c r="R1880" s="273"/>
      <c r="S1880" s="273"/>
      <c r="T1880" s="273"/>
      <c r="U1880" s="274"/>
      <c r="V1880" s="263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</row>
    <row r="1881">
      <c r="A1881" s="263"/>
      <c r="B1881" s="264"/>
      <c r="C1881" s="265"/>
      <c r="D1881" s="266"/>
      <c r="E1881" s="263"/>
      <c r="F1881" s="267"/>
      <c r="G1881" s="267"/>
      <c r="H1881" s="268"/>
      <c r="I1881" s="268"/>
      <c r="J1881" s="267"/>
      <c r="K1881" s="265"/>
      <c r="L1881" s="265"/>
      <c r="M1881" s="269"/>
      <c r="N1881" s="270"/>
      <c r="O1881" s="271"/>
      <c r="P1881" s="271"/>
      <c r="Q1881" s="272"/>
      <c r="R1881" s="273"/>
      <c r="S1881" s="273"/>
      <c r="T1881" s="273"/>
      <c r="U1881" s="274"/>
      <c r="V1881" s="263"/>
      <c r="W1881" s="188"/>
      <c r="X1881" s="188"/>
      <c r="Y1881" s="188"/>
      <c r="Z1881" s="188"/>
      <c r="AA1881" s="188"/>
      <c r="AB1881" s="188"/>
      <c r="AC1881" s="188"/>
      <c r="AD1881" s="188"/>
      <c r="AE1881" s="188"/>
      <c r="AF1881" s="188"/>
      <c r="AG1881" s="188"/>
      <c r="AH1881" s="188"/>
      <c r="AI1881" s="188"/>
    </row>
    <row r="1882">
      <c r="A1882" s="263"/>
      <c r="B1882" s="264"/>
      <c r="C1882" s="265"/>
      <c r="D1882" s="266"/>
      <c r="E1882" s="263"/>
      <c r="F1882" s="267"/>
      <c r="G1882" s="267"/>
      <c r="H1882" s="268"/>
      <c r="I1882" s="268"/>
      <c r="J1882" s="267"/>
      <c r="K1882" s="265"/>
      <c r="L1882" s="265"/>
      <c r="M1882" s="269"/>
      <c r="N1882" s="270"/>
      <c r="O1882" s="271"/>
      <c r="P1882" s="271"/>
      <c r="Q1882" s="272"/>
      <c r="R1882" s="273"/>
      <c r="S1882" s="273"/>
      <c r="T1882" s="273"/>
      <c r="U1882" s="274"/>
      <c r="V1882" s="263"/>
      <c r="W1882" s="188"/>
      <c r="X1882" s="188"/>
      <c r="Y1882" s="188"/>
      <c r="Z1882" s="188"/>
      <c r="AA1882" s="188"/>
      <c r="AB1882" s="188"/>
      <c r="AC1882" s="188"/>
      <c r="AD1882" s="188"/>
      <c r="AE1882" s="188"/>
      <c r="AF1882" s="188"/>
      <c r="AG1882" s="188"/>
      <c r="AH1882" s="188"/>
      <c r="AI1882" s="188"/>
    </row>
    <row r="1883">
      <c r="A1883" s="263"/>
      <c r="B1883" s="264"/>
      <c r="C1883" s="265"/>
      <c r="D1883" s="266"/>
      <c r="E1883" s="263"/>
      <c r="F1883" s="267"/>
      <c r="G1883" s="267"/>
      <c r="H1883" s="268"/>
      <c r="I1883" s="268"/>
      <c r="J1883" s="267"/>
      <c r="K1883" s="265"/>
      <c r="L1883" s="265"/>
      <c r="M1883" s="269"/>
      <c r="N1883" s="270"/>
      <c r="O1883" s="271"/>
      <c r="P1883" s="271"/>
      <c r="Q1883" s="272"/>
      <c r="R1883" s="273"/>
      <c r="S1883" s="273"/>
      <c r="T1883" s="273"/>
      <c r="U1883" s="274"/>
      <c r="V1883" s="263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</row>
    <row r="1884">
      <c r="A1884" s="263"/>
      <c r="B1884" s="264"/>
      <c r="C1884" s="265"/>
      <c r="D1884" s="266"/>
      <c r="E1884" s="263"/>
      <c r="F1884" s="267"/>
      <c r="G1884" s="267"/>
      <c r="H1884" s="268"/>
      <c r="I1884" s="268"/>
      <c r="J1884" s="267"/>
      <c r="K1884" s="265"/>
      <c r="L1884" s="265"/>
      <c r="M1884" s="269"/>
      <c r="N1884" s="270"/>
      <c r="O1884" s="271"/>
      <c r="P1884" s="271"/>
      <c r="Q1884" s="272"/>
      <c r="R1884" s="273"/>
      <c r="S1884" s="273"/>
      <c r="T1884" s="273"/>
      <c r="U1884" s="274"/>
      <c r="V1884" s="263"/>
      <c r="W1884" s="35"/>
      <c r="X1884" s="35"/>
      <c r="Y1884" s="35"/>
      <c r="Z1884" s="35"/>
      <c r="AA1884" s="35"/>
      <c r="AB1884" s="35"/>
      <c r="AC1884" s="35"/>
      <c r="AD1884" s="35"/>
      <c r="AE1884" s="35"/>
      <c r="AF1884" s="35"/>
      <c r="AG1884" s="35"/>
      <c r="AH1884" s="35"/>
      <c r="AI1884" s="35"/>
    </row>
    <row r="1885">
      <c r="A1885" s="263"/>
      <c r="B1885" s="264"/>
      <c r="C1885" s="265"/>
      <c r="D1885" s="266"/>
      <c r="E1885" s="263"/>
      <c r="F1885" s="267"/>
      <c r="G1885" s="267"/>
      <c r="H1885" s="268"/>
      <c r="I1885" s="268"/>
      <c r="J1885" s="267"/>
      <c r="K1885" s="265"/>
      <c r="L1885" s="265"/>
      <c r="M1885" s="269"/>
      <c r="N1885" s="270"/>
      <c r="O1885" s="271"/>
      <c r="P1885" s="271"/>
      <c r="Q1885" s="272"/>
      <c r="R1885" s="273"/>
      <c r="S1885" s="273"/>
      <c r="T1885" s="273"/>
      <c r="U1885" s="274"/>
      <c r="V1885" s="263"/>
      <c r="W1885" s="188"/>
      <c r="X1885" s="188"/>
      <c r="Y1885" s="188"/>
      <c r="Z1885" s="188"/>
      <c r="AA1885" s="188"/>
      <c r="AB1885" s="188"/>
      <c r="AC1885" s="188"/>
      <c r="AD1885" s="188"/>
      <c r="AE1885" s="188"/>
      <c r="AF1885" s="188"/>
      <c r="AG1885" s="188"/>
      <c r="AH1885" s="188"/>
      <c r="AI1885" s="188"/>
    </row>
    <row r="1886">
      <c r="A1886" s="263"/>
      <c r="B1886" s="264"/>
      <c r="C1886" s="265"/>
      <c r="D1886" s="266"/>
      <c r="E1886" s="263"/>
      <c r="F1886" s="267"/>
      <c r="G1886" s="267"/>
      <c r="H1886" s="268"/>
      <c r="I1886" s="268"/>
      <c r="J1886" s="267"/>
      <c r="K1886" s="265"/>
      <c r="L1886" s="265"/>
      <c r="M1886" s="269"/>
      <c r="N1886" s="270"/>
      <c r="O1886" s="271"/>
      <c r="P1886" s="271"/>
      <c r="Q1886" s="272"/>
      <c r="R1886" s="273"/>
      <c r="S1886" s="273"/>
      <c r="T1886" s="273"/>
      <c r="U1886" s="274"/>
      <c r="V1886" s="263"/>
      <c r="W1886" s="188"/>
      <c r="X1886" s="188"/>
      <c r="Y1886" s="188"/>
      <c r="Z1886" s="188"/>
      <c r="AA1886" s="188"/>
      <c r="AB1886" s="188"/>
      <c r="AC1886" s="188"/>
      <c r="AD1886" s="188"/>
      <c r="AE1886" s="188"/>
      <c r="AF1886" s="188"/>
      <c r="AG1886" s="188"/>
      <c r="AH1886" s="188"/>
      <c r="AI1886" s="188"/>
    </row>
    <row r="1887">
      <c r="A1887" s="263"/>
      <c r="B1887" s="264"/>
      <c r="C1887" s="265"/>
      <c r="D1887" s="266"/>
      <c r="E1887" s="263"/>
      <c r="F1887" s="267"/>
      <c r="G1887" s="267"/>
      <c r="H1887" s="268"/>
      <c r="I1887" s="268"/>
      <c r="J1887" s="267"/>
      <c r="K1887" s="265"/>
      <c r="L1887" s="265"/>
      <c r="M1887" s="269"/>
      <c r="N1887" s="270"/>
      <c r="O1887" s="271"/>
      <c r="P1887" s="271"/>
      <c r="Q1887" s="272"/>
      <c r="R1887" s="273"/>
      <c r="S1887" s="273"/>
      <c r="T1887" s="273"/>
      <c r="U1887" s="274"/>
      <c r="V1887" s="263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</row>
    <row r="1888">
      <c r="A1888" s="263"/>
      <c r="B1888" s="264"/>
      <c r="C1888" s="265"/>
      <c r="D1888" s="266"/>
      <c r="E1888" s="263"/>
      <c r="F1888" s="267"/>
      <c r="G1888" s="267"/>
      <c r="H1888" s="268"/>
      <c r="I1888" s="268"/>
      <c r="J1888" s="267"/>
      <c r="K1888" s="265"/>
      <c r="L1888" s="265"/>
      <c r="M1888" s="269"/>
      <c r="N1888" s="270"/>
      <c r="O1888" s="271"/>
      <c r="P1888" s="271"/>
      <c r="Q1888" s="272"/>
      <c r="R1888" s="273"/>
      <c r="S1888" s="273"/>
      <c r="T1888" s="273"/>
      <c r="U1888" s="274"/>
      <c r="V1888" s="263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</row>
    <row r="1889">
      <c r="A1889" s="263"/>
      <c r="B1889" s="264"/>
      <c r="C1889" s="265"/>
      <c r="D1889" s="266"/>
      <c r="E1889" s="263"/>
      <c r="F1889" s="267"/>
      <c r="G1889" s="267"/>
      <c r="H1889" s="268"/>
      <c r="I1889" s="268"/>
      <c r="J1889" s="267"/>
      <c r="K1889" s="265"/>
      <c r="L1889" s="265"/>
      <c r="M1889" s="269"/>
      <c r="N1889" s="270"/>
      <c r="O1889" s="271"/>
      <c r="P1889" s="271"/>
      <c r="Q1889" s="272"/>
      <c r="R1889" s="273"/>
      <c r="S1889" s="273"/>
      <c r="T1889" s="273"/>
      <c r="U1889" s="274"/>
      <c r="V1889" s="263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</row>
    <row r="1890">
      <c r="A1890" s="263"/>
      <c r="B1890" s="264"/>
      <c r="C1890" s="265"/>
      <c r="D1890" s="266"/>
      <c r="E1890" s="263"/>
      <c r="F1890" s="267"/>
      <c r="G1890" s="267"/>
      <c r="H1890" s="268"/>
      <c r="I1890" s="268"/>
      <c r="J1890" s="267"/>
      <c r="K1890" s="265"/>
      <c r="L1890" s="265"/>
      <c r="M1890" s="269"/>
      <c r="N1890" s="270"/>
      <c r="O1890" s="271"/>
      <c r="P1890" s="271"/>
      <c r="Q1890" s="272"/>
      <c r="R1890" s="273"/>
      <c r="S1890" s="273"/>
      <c r="T1890" s="273"/>
      <c r="U1890" s="274"/>
      <c r="V1890" s="263"/>
      <c r="W1890" s="188"/>
      <c r="X1890" s="188"/>
      <c r="Y1890" s="188"/>
      <c r="Z1890" s="188"/>
      <c r="AA1890" s="188"/>
      <c r="AB1890" s="188"/>
      <c r="AC1890" s="188"/>
      <c r="AD1890" s="188"/>
      <c r="AE1890" s="188"/>
      <c r="AF1890" s="188"/>
      <c r="AG1890" s="188"/>
      <c r="AH1890" s="188"/>
      <c r="AI1890" s="188"/>
    </row>
    <row r="1891">
      <c r="A1891" s="263"/>
      <c r="B1891" s="264"/>
      <c r="C1891" s="265"/>
      <c r="D1891" s="266"/>
      <c r="E1891" s="263"/>
      <c r="F1891" s="267"/>
      <c r="G1891" s="267"/>
      <c r="H1891" s="268"/>
      <c r="I1891" s="268"/>
      <c r="J1891" s="267"/>
      <c r="K1891" s="265"/>
      <c r="L1891" s="265"/>
      <c r="M1891" s="269"/>
      <c r="N1891" s="270"/>
      <c r="O1891" s="271"/>
      <c r="P1891" s="271"/>
      <c r="Q1891" s="272"/>
      <c r="R1891" s="273"/>
      <c r="S1891" s="273"/>
      <c r="T1891" s="273"/>
      <c r="U1891" s="274"/>
      <c r="V1891" s="263"/>
      <c r="W1891" s="188"/>
      <c r="X1891" s="188"/>
      <c r="Y1891" s="188"/>
      <c r="Z1891" s="188"/>
      <c r="AA1891" s="188"/>
      <c r="AB1891" s="188"/>
      <c r="AC1891" s="188"/>
      <c r="AD1891" s="188"/>
      <c r="AE1891" s="188"/>
      <c r="AF1891" s="188"/>
      <c r="AG1891" s="188"/>
      <c r="AH1891" s="188"/>
      <c r="AI1891" s="188"/>
    </row>
    <row r="1892">
      <c r="A1892" s="263"/>
      <c r="B1892" s="264"/>
      <c r="C1892" s="265"/>
      <c r="D1892" s="266"/>
      <c r="E1892" s="263"/>
      <c r="F1892" s="267"/>
      <c r="G1892" s="267"/>
      <c r="H1892" s="268"/>
      <c r="I1892" s="268"/>
      <c r="J1892" s="267"/>
      <c r="K1892" s="265"/>
      <c r="L1892" s="265"/>
      <c r="M1892" s="269"/>
      <c r="N1892" s="270"/>
      <c r="O1892" s="271"/>
      <c r="P1892" s="271"/>
      <c r="Q1892" s="272"/>
      <c r="R1892" s="273"/>
      <c r="S1892" s="273"/>
      <c r="T1892" s="273"/>
      <c r="U1892" s="274"/>
      <c r="V1892" s="263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</row>
    <row r="1893">
      <c r="A1893" s="263"/>
      <c r="B1893" s="264"/>
      <c r="C1893" s="265"/>
      <c r="D1893" s="266"/>
      <c r="E1893" s="263"/>
      <c r="F1893" s="267"/>
      <c r="G1893" s="267"/>
      <c r="H1893" s="268"/>
      <c r="I1893" s="268"/>
      <c r="J1893" s="267"/>
      <c r="K1893" s="265"/>
      <c r="L1893" s="265"/>
      <c r="M1893" s="269"/>
      <c r="N1893" s="270"/>
      <c r="O1893" s="271"/>
      <c r="P1893" s="271"/>
      <c r="Q1893" s="272"/>
      <c r="R1893" s="273"/>
      <c r="S1893" s="273"/>
      <c r="T1893" s="273"/>
      <c r="U1893" s="274"/>
      <c r="V1893" s="263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</row>
    <row r="1894">
      <c r="A1894" s="263"/>
      <c r="B1894" s="264"/>
      <c r="C1894" s="265"/>
      <c r="D1894" s="266"/>
      <c r="E1894" s="263"/>
      <c r="F1894" s="267"/>
      <c r="G1894" s="267"/>
      <c r="H1894" s="268"/>
      <c r="I1894" s="268"/>
      <c r="J1894" s="267"/>
      <c r="K1894" s="265"/>
      <c r="L1894" s="265"/>
      <c r="M1894" s="269"/>
      <c r="N1894" s="270"/>
      <c r="O1894" s="271"/>
      <c r="P1894" s="271"/>
      <c r="Q1894" s="272"/>
      <c r="R1894" s="273"/>
      <c r="S1894" s="273"/>
      <c r="T1894" s="273"/>
      <c r="U1894" s="274"/>
      <c r="V1894" s="263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</row>
    <row r="1895">
      <c r="A1895" s="263"/>
      <c r="B1895" s="264"/>
      <c r="C1895" s="265"/>
      <c r="D1895" s="266"/>
      <c r="E1895" s="263"/>
      <c r="F1895" s="267"/>
      <c r="G1895" s="267"/>
      <c r="H1895" s="268"/>
      <c r="I1895" s="268"/>
      <c r="J1895" s="267"/>
      <c r="K1895" s="265"/>
      <c r="L1895" s="265"/>
      <c r="M1895" s="269"/>
      <c r="N1895" s="270"/>
      <c r="O1895" s="271"/>
      <c r="P1895" s="271"/>
      <c r="Q1895" s="272"/>
      <c r="R1895" s="273"/>
      <c r="S1895" s="273"/>
      <c r="T1895" s="273"/>
      <c r="U1895" s="274"/>
      <c r="V1895" s="263"/>
      <c r="W1895" s="188"/>
      <c r="X1895" s="188"/>
      <c r="Y1895" s="188"/>
      <c r="Z1895" s="188"/>
      <c r="AA1895" s="188"/>
      <c r="AB1895" s="188"/>
      <c r="AC1895" s="188"/>
      <c r="AD1895" s="188"/>
      <c r="AE1895" s="188"/>
      <c r="AF1895" s="188"/>
      <c r="AG1895" s="188"/>
      <c r="AH1895" s="188"/>
      <c r="AI1895" s="188"/>
    </row>
    <row r="1896">
      <c r="A1896" s="263"/>
      <c r="B1896" s="264"/>
      <c r="C1896" s="265"/>
      <c r="D1896" s="266"/>
      <c r="E1896" s="263"/>
      <c r="F1896" s="267"/>
      <c r="G1896" s="267"/>
      <c r="H1896" s="268"/>
      <c r="I1896" s="268"/>
      <c r="J1896" s="267"/>
      <c r="K1896" s="265"/>
      <c r="L1896" s="265"/>
      <c r="M1896" s="269"/>
      <c r="N1896" s="270"/>
      <c r="O1896" s="271"/>
      <c r="P1896" s="271"/>
      <c r="Q1896" s="272"/>
      <c r="R1896" s="273"/>
      <c r="S1896" s="273"/>
      <c r="T1896" s="273"/>
      <c r="U1896" s="274"/>
      <c r="V1896" s="263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</row>
    <row r="1897">
      <c r="A1897" s="263"/>
      <c r="B1897" s="264"/>
      <c r="C1897" s="265"/>
      <c r="D1897" s="266"/>
      <c r="E1897" s="263"/>
      <c r="F1897" s="267"/>
      <c r="G1897" s="267"/>
      <c r="H1897" s="268"/>
      <c r="I1897" s="268"/>
      <c r="J1897" s="267"/>
      <c r="K1897" s="265"/>
      <c r="L1897" s="265"/>
      <c r="M1897" s="269"/>
      <c r="N1897" s="270"/>
      <c r="O1897" s="271"/>
      <c r="P1897" s="271"/>
      <c r="Q1897" s="272"/>
      <c r="R1897" s="273"/>
      <c r="S1897" s="273"/>
      <c r="T1897" s="273"/>
      <c r="U1897" s="274"/>
      <c r="V1897" s="263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</row>
    <row r="1898">
      <c r="A1898" s="263"/>
      <c r="B1898" s="264"/>
      <c r="C1898" s="265"/>
      <c r="D1898" s="266"/>
      <c r="E1898" s="263"/>
      <c r="F1898" s="267"/>
      <c r="G1898" s="267"/>
      <c r="H1898" s="268"/>
      <c r="I1898" s="268"/>
      <c r="J1898" s="267"/>
      <c r="K1898" s="265"/>
      <c r="L1898" s="265"/>
      <c r="M1898" s="269"/>
      <c r="N1898" s="270"/>
      <c r="O1898" s="271"/>
      <c r="P1898" s="271"/>
      <c r="Q1898" s="272"/>
      <c r="R1898" s="273"/>
      <c r="S1898" s="273"/>
      <c r="T1898" s="273"/>
      <c r="U1898" s="274"/>
      <c r="V1898" s="263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</row>
    <row r="1899">
      <c r="A1899" s="263"/>
      <c r="B1899" s="264"/>
      <c r="C1899" s="265"/>
      <c r="D1899" s="266"/>
      <c r="E1899" s="263"/>
      <c r="F1899" s="267"/>
      <c r="G1899" s="267"/>
      <c r="H1899" s="268"/>
      <c r="I1899" s="268"/>
      <c r="J1899" s="267"/>
      <c r="K1899" s="265"/>
      <c r="L1899" s="265"/>
      <c r="M1899" s="269"/>
      <c r="N1899" s="270"/>
      <c r="O1899" s="271"/>
      <c r="P1899" s="271"/>
      <c r="Q1899" s="272"/>
      <c r="R1899" s="273"/>
      <c r="S1899" s="273"/>
      <c r="T1899" s="273"/>
      <c r="U1899" s="274"/>
      <c r="V1899" s="263"/>
      <c r="W1899" s="35"/>
      <c r="X1899" s="35"/>
      <c r="Y1899" s="35"/>
      <c r="Z1899" s="35"/>
      <c r="AA1899" s="35"/>
      <c r="AB1899" s="35"/>
      <c r="AC1899" s="35"/>
      <c r="AD1899" s="35"/>
      <c r="AE1899" s="35"/>
      <c r="AF1899" s="35"/>
      <c r="AG1899" s="35"/>
      <c r="AH1899" s="35"/>
      <c r="AI1899" s="35"/>
    </row>
    <row r="1900">
      <c r="A1900" s="263"/>
      <c r="B1900" s="264"/>
      <c r="C1900" s="265"/>
      <c r="D1900" s="266"/>
      <c r="E1900" s="263"/>
      <c r="F1900" s="267"/>
      <c r="G1900" s="267"/>
      <c r="H1900" s="268"/>
      <c r="I1900" s="268"/>
      <c r="J1900" s="267"/>
      <c r="K1900" s="265"/>
      <c r="L1900" s="265"/>
      <c r="M1900" s="269"/>
      <c r="N1900" s="270"/>
      <c r="O1900" s="271"/>
      <c r="P1900" s="271"/>
      <c r="Q1900" s="272"/>
      <c r="R1900" s="273"/>
      <c r="S1900" s="273"/>
      <c r="T1900" s="273"/>
      <c r="U1900" s="274"/>
      <c r="V1900" s="263"/>
      <c r="W1900" s="35"/>
      <c r="X1900" s="35"/>
      <c r="Y1900" s="35"/>
      <c r="Z1900" s="35"/>
      <c r="AA1900" s="35"/>
      <c r="AB1900" s="35"/>
      <c r="AC1900" s="35"/>
      <c r="AD1900" s="35"/>
      <c r="AE1900" s="35"/>
      <c r="AF1900" s="35"/>
      <c r="AG1900" s="35"/>
      <c r="AH1900" s="35"/>
      <c r="AI1900" s="35"/>
    </row>
    <row r="1901">
      <c r="A1901" s="263"/>
      <c r="B1901" s="264"/>
      <c r="C1901" s="265"/>
      <c r="D1901" s="266"/>
      <c r="E1901" s="263"/>
      <c r="F1901" s="267"/>
      <c r="G1901" s="267"/>
      <c r="H1901" s="268"/>
      <c r="I1901" s="268"/>
      <c r="J1901" s="267"/>
      <c r="K1901" s="265"/>
      <c r="L1901" s="265"/>
      <c r="M1901" s="269"/>
      <c r="N1901" s="270"/>
      <c r="O1901" s="271"/>
      <c r="P1901" s="271"/>
      <c r="Q1901" s="272"/>
      <c r="R1901" s="273"/>
      <c r="S1901" s="273"/>
      <c r="T1901" s="273"/>
      <c r="U1901" s="274"/>
      <c r="V1901" s="263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</row>
    <row r="1902">
      <c r="A1902" s="263"/>
      <c r="B1902" s="264"/>
      <c r="C1902" s="265"/>
      <c r="D1902" s="266"/>
      <c r="E1902" s="263"/>
      <c r="F1902" s="267"/>
      <c r="G1902" s="267"/>
      <c r="H1902" s="268"/>
      <c r="I1902" s="268"/>
      <c r="J1902" s="267"/>
      <c r="K1902" s="265"/>
      <c r="L1902" s="265"/>
      <c r="M1902" s="269"/>
      <c r="N1902" s="270"/>
      <c r="O1902" s="271"/>
      <c r="P1902" s="271"/>
      <c r="Q1902" s="272"/>
      <c r="R1902" s="273"/>
      <c r="S1902" s="273"/>
      <c r="T1902" s="273"/>
      <c r="U1902" s="274"/>
      <c r="V1902" s="263"/>
      <c r="W1902" s="36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</row>
    <row r="1903">
      <c r="A1903" s="263"/>
      <c r="B1903" s="264"/>
      <c r="C1903" s="265"/>
      <c r="D1903" s="266"/>
      <c r="E1903" s="263"/>
      <c r="F1903" s="267"/>
      <c r="G1903" s="267"/>
      <c r="H1903" s="268"/>
      <c r="I1903" s="268"/>
      <c r="J1903" s="267"/>
      <c r="K1903" s="265"/>
      <c r="L1903" s="265"/>
      <c r="M1903" s="269"/>
      <c r="N1903" s="270"/>
      <c r="O1903" s="271"/>
      <c r="P1903" s="271"/>
      <c r="Q1903" s="272"/>
      <c r="R1903" s="273"/>
      <c r="S1903" s="273"/>
      <c r="T1903" s="273"/>
      <c r="U1903" s="274"/>
      <c r="V1903" s="263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</row>
    <row r="1904">
      <c r="A1904" s="263"/>
      <c r="B1904" s="264"/>
      <c r="C1904" s="265"/>
      <c r="D1904" s="266"/>
      <c r="E1904" s="263"/>
      <c r="F1904" s="267"/>
      <c r="G1904" s="267"/>
      <c r="H1904" s="268"/>
      <c r="I1904" s="268"/>
      <c r="J1904" s="267"/>
      <c r="K1904" s="265"/>
      <c r="L1904" s="265"/>
      <c r="M1904" s="269"/>
      <c r="N1904" s="270"/>
      <c r="O1904" s="271"/>
      <c r="P1904" s="271"/>
      <c r="Q1904" s="272"/>
      <c r="R1904" s="273"/>
      <c r="S1904" s="273"/>
      <c r="T1904" s="273"/>
      <c r="U1904" s="274"/>
      <c r="V1904" s="263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</row>
    <row r="1905">
      <c r="A1905" s="263"/>
      <c r="B1905" s="264"/>
      <c r="C1905" s="265"/>
      <c r="D1905" s="266"/>
      <c r="E1905" s="263"/>
      <c r="F1905" s="267"/>
      <c r="G1905" s="267"/>
      <c r="H1905" s="268"/>
      <c r="I1905" s="268"/>
      <c r="J1905" s="267"/>
      <c r="K1905" s="265"/>
      <c r="L1905" s="265"/>
      <c r="M1905" s="269"/>
      <c r="N1905" s="270"/>
      <c r="O1905" s="271"/>
      <c r="P1905" s="271"/>
      <c r="Q1905" s="272"/>
      <c r="R1905" s="273"/>
      <c r="S1905" s="273"/>
      <c r="T1905" s="273"/>
      <c r="U1905" s="274"/>
      <c r="V1905" s="263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</row>
    <row r="1906">
      <c r="A1906" s="263"/>
      <c r="B1906" s="264"/>
      <c r="C1906" s="265"/>
      <c r="D1906" s="266"/>
      <c r="E1906" s="263"/>
      <c r="F1906" s="267"/>
      <c r="G1906" s="267"/>
      <c r="H1906" s="268"/>
      <c r="I1906" s="268"/>
      <c r="J1906" s="267"/>
      <c r="K1906" s="265"/>
      <c r="L1906" s="265"/>
      <c r="M1906" s="269"/>
      <c r="N1906" s="270"/>
      <c r="O1906" s="271"/>
      <c r="P1906" s="271"/>
      <c r="Q1906" s="272"/>
      <c r="R1906" s="273"/>
      <c r="S1906" s="273"/>
      <c r="T1906" s="273"/>
      <c r="U1906" s="274"/>
      <c r="V1906" s="263"/>
      <c r="W1906" s="188"/>
      <c r="X1906" s="188"/>
      <c r="Y1906" s="188"/>
      <c r="Z1906" s="188"/>
      <c r="AA1906" s="188"/>
      <c r="AB1906" s="188"/>
      <c r="AC1906" s="188"/>
      <c r="AD1906" s="188"/>
      <c r="AE1906" s="188"/>
      <c r="AF1906" s="188"/>
      <c r="AG1906" s="188"/>
      <c r="AH1906" s="188"/>
      <c r="AI1906" s="188"/>
    </row>
    <row r="1907">
      <c r="A1907" s="263"/>
      <c r="B1907" s="264"/>
      <c r="C1907" s="265"/>
      <c r="D1907" s="266"/>
      <c r="E1907" s="263"/>
      <c r="F1907" s="267"/>
      <c r="G1907" s="267"/>
      <c r="H1907" s="268"/>
      <c r="I1907" s="268"/>
      <c r="J1907" s="267"/>
      <c r="K1907" s="265"/>
      <c r="L1907" s="265"/>
      <c r="M1907" s="269"/>
      <c r="N1907" s="270"/>
      <c r="O1907" s="271"/>
      <c r="P1907" s="271"/>
      <c r="Q1907" s="272"/>
      <c r="R1907" s="273"/>
      <c r="S1907" s="273"/>
      <c r="T1907" s="273"/>
      <c r="U1907" s="274"/>
      <c r="V1907" s="263"/>
      <c r="W1907" s="36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</row>
    <row r="1908">
      <c r="A1908" s="263"/>
      <c r="B1908" s="264"/>
      <c r="C1908" s="265"/>
      <c r="D1908" s="266"/>
      <c r="E1908" s="263"/>
      <c r="F1908" s="267"/>
      <c r="G1908" s="267"/>
      <c r="H1908" s="268"/>
      <c r="I1908" s="268"/>
      <c r="J1908" s="267"/>
      <c r="K1908" s="265"/>
      <c r="L1908" s="265"/>
      <c r="M1908" s="269"/>
      <c r="N1908" s="270"/>
      <c r="O1908" s="271"/>
      <c r="P1908" s="271"/>
      <c r="Q1908" s="272"/>
      <c r="R1908" s="273"/>
      <c r="S1908" s="273"/>
      <c r="T1908" s="273"/>
      <c r="U1908" s="274"/>
      <c r="V1908" s="263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</row>
    <row r="1909">
      <c r="A1909" s="263"/>
      <c r="B1909" s="264"/>
      <c r="C1909" s="265"/>
      <c r="D1909" s="266"/>
      <c r="E1909" s="263"/>
      <c r="F1909" s="267"/>
      <c r="G1909" s="267"/>
      <c r="H1909" s="268"/>
      <c r="I1909" s="268"/>
      <c r="J1909" s="267"/>
      <c r="K1909" s="265"/>
      <c r="L1909" s="265"/>
      <c r="M1909" s="269"/>
      <c r="N1909" s="270"/>
      <c r="O1909" s="271"/>
      <c r="P1909" s="271"/>
      <c r="Q1909" s="272"/>
      <c r="R1909" s="273"/>
      <c r="S1909" s="273"/>
      <c r="T1909" s="273"/>
      <c r="U1909" s="274"/>
      <c r="V1909" s="263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</row>
    <row r="1910">
      <c r="A1910" s="263"/>
      <c r="B1910" s="264"/>
      <c r="C1910" s="265"/>
      <c r="D1910" s="266"/>
      <c r="E1910" s="263"/>
      <c r="F1910" s="267"/>
      <c r="G1910" s="267"/>
      <c r="H1910" s="268"/>
      <c r="I1910" s="268"/>
      <c r="J1910" s="267"/>
      <c r="K1910" s="265"/>
      <c r="L1910" s="265"/>
      <c r="M1910" s="269"/>
      <c r="N1910" s="270"/>
      <c r="O1910" s="271"/>
      <c r="P1910" s="271"/>
      <c r="Q1910" s="272"/>
      <c r="R1910" s="273"/>
      <c r="S1910" s="273"/>
      <c r="T1910" s="273"/>
      <c r="U1910" s="274"/>
      <c r="V1910" s="263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</row>
    <row r="1911">
      <c r="A1911" s="263"/>
      <c r="B1911" s="264"/>
      <c r="C1911" s="265"/>
      <c r="D1911" s="266"/>
      <c r="E1911" s="263"/>
      <c r="F1911" s="267"/>
      <c r="G1911" s="267"/>
      <c r="H1911" s="268"/>
      <c r="I1911" s="268"/>
      <c r="J1911" s="267"/>
      <c r="K1911" s="265"/>
      <c r="L1911" s="265"/>
      <c r="M1911" s="269"/>
      <c r="N1911" s="270"/>
      <c r="O1911" s="271"/>
      <c r="P1911" s="271"/>
      <c r="Q1911" s="272"/>
      <c r="R1911" s="273"/>
      <c r="S1911" s="273"/>
      <c r="T1911" s="273"/>
      <c r="U1911" s="274"/>
      <c r="V1911" s="263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</row>
    <row r="1912">
      <c r="A1912" s="263"/>
      <c r="B1912" s="264"/>
      <c r="C1912" s="265"/>
      <c r="D1912" s="266"/>
      <c r="E1912" s="263"/>
      <c r="F1912" s="267"/>
      <c r="G1912" s="267"/>
      <c r="H1912" s="268"/>
      <c r="I1912" s="268"/>
      <c r="J1912" s="267"/>
      <c r="K1912" s="265"/>
      <c r="L1912" s="265"/>
      <c r="M1912" s="269"/>
      <c r="N1912" s="270"/>
      <c r="O1912" s="271"/>
      <c r="P1912" s="271"/>
      <c r="Q1912" s="272"/>
      <c r="R1912" s="273"/>
      <c r="S1912" s="273"/>
      <c r="T1912" s="273"/>
      <c r="U1912" s="274"/>
      <c r="V1912" s="263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</row>
    <row r="1913">
      <c r="A1913" s="263"/>
      <c r="B1913" s="264"/>
      <c r="C1913" s="265"/>
      <c r="D1913" s="266"/>
      <c r="E1913" s="263"/>
      <c r="F1913" s="267"/>
      <c r="G1913" s="267"/>
      <c r="H1913" s="268"/>
      <c r="I1913" s="268"/>
      <c r="J1913" s="267"/>
      <c r="K1913" s="265"/>
      <c r="L1913" s="265"/>
      <c r="M1913" s="269"/>
      <c r="N1913" s="270"/>
      <c r="O1913" s="271"/>
      <c r="P1913" s="271"/>
      <c r="Q1913" s="272"/>
      <c r="R1913" s="273"/>
      <c r="S1913" s="273"/>
      <c r="T1913" s="273"/>
      <c r="U1913" s="274"/>
      <c r="V1913" s="263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</row>
    <row r="1914">
      <c r="A1914" s="263"/>
      <c r="B1914" s="264"/>
      <c r="C1914" s="265"/>
      <c r="D1914" s="266"/>
      <c r="E1914" s="263"/>
      <c r="F1914" s="267"/>
      <c r="G1914" s="267"/>
      <c r="H1914" s="268"/>
      <c r="I1914" s="268"/>
      <c r="J1914" s="267"/>
      <c r="K1914" s="265"/>
      <c r="L1914" s="265"/>
      <c r="M1914" s="269"/>
      <c r="N1914" s="270"/>
      <c r="O1914" s="271"/>
      <c r="P1914" s="271"/>
      <c r="Q1914" s="272"/>
      <c r="R1914" s="273"/>
      <c r="S1914" s="273"/>
      <c r="T1914" s="273"/>
      <c r="U1914" s="274"/>
      <c r="V1914" s="263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</row>
    <row r="1915">
      <c r="A1915" s="263"/>
      <c r="B1915" s="264"/>
      <c r="C1915" s="265"/>
      <c r="D1915" s="266"/>
      <c r="E1915" s="263"/>
      <c r="F1915" s="267"/>
      <c r="G1915" s="267"/>
      <c r="H1915" s="268"/>
      <c r="I1915" s="268"/>
      <c r="J1915" s="267"/>
      <c r="K1915" s="265"/>
      <c r="L1915" s="265"/>
      <c r="M1915" s="269"/>
      <c r="N1915" s="270"/>
      <c r="O1915" s="271"/>
      <c r="P1915" s="271"/>
      <c r="Q1915" s="272"/>
      <c r="R1915" s="273"/>
      <c r="S1915" s="273"/>
      <c r="T1915" s="273"/>
      <c r="U1915" s="274"/>
      <c r="V1915" s="263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</row>
    <row r="1916">
      <c r="A1916" s="263"/>
      <c r="B1916" s="264"/>
      <c r="C1916" s="265"/>
      <c r="D1916" s="266"/>
      <c r="E1916" s="263"/>
      <c r="F1916" s="267"/>
      <c r="G1916" s="267"/>
      <c r="H1916" s="268"/>
      <c r="I1916" s="268"/>
      <c r="J1916" s="267"/>
      <c r="K1916" s="265"/>
      <c r="L1916" s="265"/>
      <c r="M1916" s="269"/>
      <c r="N1916" s="270"/>
      <c r="O1916" s="271"/>
      <c r="P1916" s="271"/>
      <c r="Q1916" s="272"/>
      <c r="R1916" s="273"/>
      <c r="S1916" s="273"/>
      <c r="T1916" s="273"/>
      <c r="U1916" s="274"/>
      <c r="V1916" s="263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</row>
    <row r="1917">
      <c r="A1917" s="263"/>
      <c r="B1917" s="264"/>
      <c r="C1917" s="265"/>
      <c r="D1917" s="266"/>
      <c r="E1917" s="263"/>
      <c r="F1917" s="267"/>
      <c r="G1917" s="267"/>
      <c r="H1917" s="268"/>
      <c r="I1917" s="268"/>
      <c r="J1917" s="267"/>
      <c r="K1917" s="265"/>
      <c r="L1917" s="265"/>
      <c r="M1917" s="269"/>
      <c r="N1917" s="270"/>
      <c r="O1917" s="271"/>
      <c r="P1917" s="271"/>
      <c r="Q1917" s="272"/>
      <c r="R1917" s="273"/>
      <c r="S1917" s="273"/>
      <c r="T1917" s="273"/>
      <c r="U1917" s="274"/>
      <c r="V1917" s="263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</row>
    <row r="1918">
      <c r="A1918" s="263"/>
      <c r="B1918" s="264"/>
      <c r="C1918" s="265"/>
      <c r="D1918" s="266"/>
      <c r="E1918" s="263"/>
      <c r="F1918" s="267"/>
      <c r="G1918" s="267"/>
      <c r="H1918" s="268"/>
      <c r="I1918" s="268"/>
      <c r="J1918" s="267"/>
      <c r="K1918" s="265"/>
      <c r="L1918" s="265"/>
      <c r="M1918" s="269"/>
      <c r="N1918" s="270"/>
      <c r="O1918" s="271"/>
      <c r="P1918" s="271"/>
      <c r="Q1918" s="272"/>
      <c r="R1918" s="273"/>
      <c r="S1918" s="273"/>
      <c r="T1918" s="273"/>
      <c r="U1918" s="274"/>
      <c r="V1918" s="263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</row>
    <row r="1919">
      <c r="A1919" s="263"/>
      <c r="B1919" s="264"/>
      <c r="C1919" s="265"/>
      <c r="D1919" s="266"/>
      <c r="E1919" s="263"/>
      <c r="F1919" s="267"/>
      <c r="G1919" s="267"/>
      <c r="H1919" s="268"/>
      <c r="I1919" s="268"/>
      <c r="J1919" s="267"/>
      <c r="K1919" s="265"/>
      <c r="L1919" s="265"/>
      <c r="M1919" s="269"/>
      <c r="N1919" s="270"/>
      <c r="O1919" s="271"/>
      <c r="P1919" s="271"/>
      <c r="Q1919" s="272"/>
      <c r="R1919" s="273"/>
      <c r="S1919" s="273"/>
      <c r="T1919" s="273"/>
      <c r="U1919" s="274"/>
      <c r="V1919" s="263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</row>
    <row r="1920">
      <c r="A1920" s="263"/>
      <c r="B1920" s="264"/>
      <c r="C1920" s="265"/>
      <c r="D1920" s="266"/>
      <c r="E1920" s="263"/>
      <c r="F1920" s="267"/>
      <c r="G1920" s="267"/>
      <c r="H1920" s="268"/>
      <c r="I1920" s="268"/>
      <c r="J1920" s="267"/>
      <c r="K1920" s="265"/>
      <c r="L1920" s="265"/>
      <c r="M1920" s="269"/>
      <c r="N1920" s="270"/>
      <c r="O1920" s="271"/>
      <c r="P1920" s="271"/>
      <c r="Q1920" s="272"/>
      <c r="R1920" s="273"/>
      <c r="S1920" s="273"/>
      <c r="T1920" s="273"/>
      <c r="U1920" s="274"/>
      <c r="V1920" s="263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</row>
    <row r="1921">
      <c r="A1921" s="263"/>
      <c r="B1921" s="264"/>
      <c r="C1921" s="265"/>
      <c r="D1921" s="266"/>
      <c r="E1921" s="263"/>
      <c r="F1921" s="267"/>
      <c r="G1921" s="267"/>
      <c r="H1921" s="268"/>
      <c r="I1921" s="268"/>
      <c r="J1921" s="267"/>
      <c r="K1921" s="265"/>
      <c r="L1921" s="265"/>
      <c r="M1921" s="269"/>
      <c r="N1921" s="270"/>
      <c r="O1921" s="271"/>
      <c r="P1921" s="271"/>
      <c r="Q1921" s="272"/>
      <c r="R1921" s="273"/>
      <c r="S1921" s="273"/>
      <c r="T1921" s="273"/>
      <c r="U1921" s="274"/>
      <c r="V1921" s="263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</row>
    <row r="1922">
      <c r="A1922" s="263"/>
      <c r="B1922" s="264"/>
      <c r="C1922" s="265"/>
      <c r="D1922" s="266"/>
      <c r="E1922" s="263"/>
      <c r="F1922" s="267"/>
      <c r="G1922" s="267"/>
      <c r="H1922" s="268"/>
      <c r="I1922" s="268"/>
      <c r="J1922" s="267"/>
      <c r="K1922" s="265"/>
      <c r="L1922" s="265"/>
      <c r="M1922" s="269"/>
      <c r="N1922" s="270"/>
      <c r="O1922" s="271"/>
      <c r="P1922" s="271"/>
      <c r="Q1922" s="272"/>
      <c r="R1922" s="273"/>
      <c r="S1922" s="273"/>
      <c r="T1922" s="273"/>
      <c r="U1922" s="274"/>
      <c r="V1922" s="263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</row>
    <row r="1923">
      <c r="A1923" s="263"/>
      <c r="B1923" s="264"/>
      <c r="C1923" s="265"/>
      <c r="D1923" s="266"/>
      <c r="E1923" s="263"/>
      <c r="F1923" s="267"/>
      <c r="G1923" s="267"/>
      <c r="H1923" s="268"/>
      <c r="I1923" s="268"/>
      <c r="J1923" s="267"/>
      <c r="K1923" s="265"/>
      <c r="L1923" s="265"/>
      <c r="M1923" s="269"/>
      <c r="N1923" s="270"/>
      <c r="O1923" s="271"/>
      <c r="P1923" s="271"/>
      <c r="Q1923" s="272"/>
      <c r="R1923" s="273"/>
      <c r="S1923" s="273"/>
      <c r="T1923" s="273"/>
      <c r="U1923" s="274"/>
      <c r="V1923" s="263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</row>
    <row r="1924">
      <c r="A1924" s="263"/>
      <c r="B1924" s="264"/>
      <c r="C1924" s="265"/>
      <c r="D1924" s="266"/>
      <c r="E1924" s="263"/>
      <c r="F1924" s="267"/>
      <c r="G1924" s="267"/>
      <c r="H1924" s="268"/>
      <c r="I1924" s="268"/>
      <c r="J1924" s="267"/>
      <c r="K1924" s="265"/>
      <c r="L1924" s="265"/>
      <c r="M1924" s="269"/>
      <c r="N1924" s="270"/>
      <c r="O1924" s="271"/>
      <c r="P1924" s="271"/>
      <c r="Q1924" s="272"/>
      <c r="R1924" s="273"/>
      <c r="S1924" s="273"/>
      <c r="T1924" s="273"/>
      <c r="U1924" s="274"/>
      <c r="V1924" s="263"/>
      <c r="W1924" s="35"/>
      <c r="X1924" s="35"/>
      <c r="Y1924" s="35"/>
      <c r="Z1924" s="35"/>
      <c r="AA1924" s="35"/>
      <c r="AB1924" s="35"/>
      <c r="AC1924" s="35"/>
      <c r="AD1924" s="35"/>
      <c r="AE1924" s="35"/>
      <c r="AF1924" s="35"/>
      <c r="AG1924" s="35"/>
      <c r="AH1924" s="35"/>
      <c r="AI1924" s="35"/>
    </row>
    <row r="1925">
      <c r="A1925" s="263"/>
      <c r="B1925" s="264"/>
      <c r="C1925" s="265"/>
      <c r="D1925" s="266"/>
      <c r="E1925" s="263"/>
      <c r="F1925" s="267"/>
      <c r="G1925" s="267"/>
      <c r="H1925" s="268"/>
      <c r="I1925" s="268"/>
      <c r="J1925" s="267"/>
      <c r="K1925" s="265"/>
      <c r="L1925" s="265"/>
      <c r="M1925" s="269"/>
      <c r="N1925" s="270"/>
      <c r="O1925" s="271"/>
      <c r="P1925" s="271"/>
      <c r="Q1925" s="272"/>
      <c r="R1925" s="273"/>
      <c r="S1925" s="273"/>
      <c r="T1925" s="273"/>
      <c r="U1925" s="274"/>
      <c r="V1925" s="263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</row>
    <row r="1926">
      <c r="A1926" s="263"/>
      <c r="B1926" s="264"/>
      <c r="C1926" s="265"/>
      <c r="D1926" s="266"/>
      <c r="E1926" s="263"/>
      <c r="F1926" s="267"/>
      <c r="G1926" s="267"/>
      <c r="H1926" s="268"/>
      <c r="I1926" s="268"/>
      <c r="J1926" s="267"/>
      <c r="K1926" s="265"/>
      <c r="L1926" s="265"/>
      <c r="M1926" s="269"/>
      <c r="N1926" s="270"/>
      <c r="O1926" s="271"/>
      <c r="P1926" s="271"/>
      <c r="Q1926" s="272"/>
      <c r="R1926" s="273"/>
      <c r="S1926" s="273"/>
      <c r="T1926" s="273"/>
      <c r="U1926" s="274"/>
      <c r="V1926" s="263"/>
      <c r="W1926" s="35"/>
      <c r="X1926" s="35"/>
      <c r="Y1926" s="35"/>
      <c r="Z1926" s="35"/>
      <c r="AA1926" s="35"/>
      <c r="AB1926" s="35"/>
      <c r="AC1926" s="35"/>
      <c r="AD1926" s="35"/>
      <c r="AE1926" s="35"/>
      <c r="AF1926" s="35"/>
      <c r="AG1926" s="35"/>
      <c r="AH1926" s="35"/>
      <c r="AI1926" s="35"/>
    </row>
    <row r="1927">
      <c r="A1927" s="263"/>
      <c r="B1927" s="264"/>
      <c r="C1927" s="265"/>
      <c r="D1927" s="266"/>
      <c r="E1927" s="263"/>
      <c r="F1927" s="267"/>
      <c r="G1927" s="267"/>
      <c r="H1927" s="268"/>
      <c r="I1927" s="268"/>
      <c r="J1927" s="267"/>
      <c r="K1927" s="265"/>
      <c r="L1927" s="265"/>
      <c r="M1927" s="269"/>
      <c r="N1927" s="270"/>
      <c r="O1927" s="271"/>
      <c r="P1927" s="271"/>
      <c r="Q1927" s="272"/>
      <c r="R1927" s="273"/>
      <c r="S1927" s="273"/>
      <c r="T1927" s="273"/>
      <c r="U1927" s="274"/>
      <c r="V1927" s="263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</row>
    <row r="1928">
      <c r="A1928" s="263"/>
      <c r="B1928" s="264"/>
      <c r="C1928" s="265"/>
      <c r="D1928" s="266"/>
      <c r="E1928" s="263"/>
      <c r="F1928" s="267"/>
      <c r="G1928" s="267"/>
      <c r="H1928" s="268"/>
      <c r="I1928" s="268"/>
      <c r="J1928" s="267"/>
      <c r="K1928" s="265"/>
      <c r="L1928" s="265"/>
      <c r="M1928" s="269"/>
      <c r="N1928" s="270"/>
      <c r="O1928" s="271"/>
      <c r="P1928" s="271"/>
      <c r="Q1928" s="272"/>
      <c r="R1928" s="273"/>
      <c r="S1928" s="273"/>
      <c r="T1928" s="273"/>
      <c r="U1928" s="274"/>
      <c r="V1928" s="263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</row>
    <row r="1929">
      <c r="A1929" s="263"/>
      <c r="B1929" s="264"/>
      <c r="C1929" s="265"/>
      <c r="D1929" s="266"/>
      <c r="E1929" s="263"/>
      <c r="F1929" s="267"/>
      <c r="G1929" s="267"/>
      <c r="H1929" s="268"/>
      <c r="I1929" s="268"/>
      <c r="J1929" s="267"/>
      <c r="K1929" s="265"/>
      <c r="L1929" s="265"/>
      <c r="M1929" s="269"/>
      <c r="N1929" s="270"/>
      <c r="O1929" s="271"/>
      <c r="P1929" s="271"/>
      <c r="Q1929" s="272"/>
      <c r="R1929" s="273"/>
      <c r="S1929" s="273"/>
      <c r="T1929" s="260"/>
      <c r="U1929" s="261"/>
      <c r="V1929" s="251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</row>
    <row r="1930">
      <c r="A1930" s="263"/>
      <c r="B1930" s="264"/>
      <c r="C1930" s="265"/>
      <c r="D1930" s="266"/>
      <c r="E1930" s="263"/>
      <c r="F1930" s="267"/>
      <c r="G1930" s="267"/>
      <c r="H1930" s="268"/>
      <c r="I1930" s="268"/>
      <c r="J1930" s="267"/>
      <c r="K1930" s="265"/>
      <c r="L1930" s="265"/>
      <c r="M1930" s="269"/>
      <c r="N1930" s="270"/>
      <c r="O1930" s="271"/>
      <c r="P1930" s="271"/>
      <c r="Q1930" s="272"/>
      <c r="R1930" s="273"/>
      <c r="S1930" s="273"/>
      <c r="T1930" s="273"/>
      <c r="U1930" s="274"/>
      <c r="V1930" s="263"/>
      <c r="W1930" s="36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</row>
    <row r="1931">
      <c r="A1931" s="263"/>
      <c r="B1931" s="264"/>
      <c r="C1931" s="265"/>
      <c r="D1931" s="266"/>
      <c r="E1931" s="263"/>
      <c r="F1931" s="267"/>
      <c r="G1931" s="267"/>
      <c r="H1931" s="268"/>
      <c r="I1931" s="268"/>
      <c r="J1931" s="267"/>
      <c r="K1931" s="265"/>
      <c r="L1931" s="265"/>
      <c r="M1931" s="269"/>
      <c r="N1931" s="270"/>
      <c r="O1931" s="271"/>
      <c r="P1931" s="271"/>
      <c r="Q1931" s="272"/>
      <c r="R1931" s="273"/>
      <c r="S1931" s="273"/>
      <c r="T1931" s="273"/>
      <c r="U1931" s="274"/>
      <c r="V1931" s="263"/>
      <c r="W1931" s="188"/>
      <c r="X1931" s="188"/>
      <c r="Y1931" s="188"/>
      <c r="Z1931" s="188"/>
      <c r="AA1931" s="188"/>
      <c r="AB1931" s="188"/>
      <c r="AC1931" s="188"/>
      <c r="AD1931" s="188"/>
      <c r="AE1931" s="188"/>
      <c r="AF1931" s="188"/>
      <c r="AG1931" s="188"/>
      <c r="AH1931" s="188"/>
      <c r="AI1931" s="188"/>
    </row>
    <row r="1932">
      <c r="A1932" s="263"/>
      <c r="B1932" s="264"/>
      <c r="C1932" s="265"/>
      <c r="D1932" s="266"/>
      <c r="E1932" s="263"/>
      <c r="F1932" s="267"/>
      <c r="G1932" s="267"/>
      <c r="H1932" s="268"/>
      <c r="I1932" s="268"/>
      <c r="J1932" s="267"/>
      <c r="K1932" s="265"/>
      <c r="L1932" s="265"/>
      <c r="M1932" s="269"/>
      <c r="N1932" s="270"/>
      <c r="O1932" s="271"/>
      <c r="P1932" s="271"/>
      <c r="Q1932" s="272"/>
      <c r="R1932" s="273"/>
      <c r="S1932" s="273"/>
      <c r="T1932" s="273"/>
      <c r="U1932" s="274"/>
      <c r="V1932" s="263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</row>
    <row r="1933">
      <c r="A1933" s="263"/>
      <c r="B1933" s="264"/>
      <c r="C1933" s="265"/>
      <c r="D1933" s="266"/>
      <c r="E1933" s="263"/>
      <c r="F1933" s="267"/>
      <c r="G1933" s="267"/>
      <c r="H1933" s="268"/>
      <c r="I1933" s="268"/>
      <c r="J1933" s="267"/>
      <c r="K1933" s="265"/>
      <c r="L1933" s="265"/>
      <c r="M1933" s="269"/>
      <c r="N1933" s="270"/>
      <c r="O1933" s="271"/>
      <c r="P1933" s="271"/>
      <c r="Q1933" s="272"/>
      <c r="R1933" s="273"/>
      <c r="S1933" s="273"/>
      <c r="T1933" s="273"/>
      <c r="U1933" s="274"/>
      <c r="V1933" s="263"/>
      <c r="W1933" s="35"/>
      <c r="X1933" s="35"/>
      <c r="Y1933" s="35"/>
      <c r="Z1933" s="35"/>
      <c r="AA1933" s="35"/>
      <c r="AB1933" s="35"/>
      <c r="AC1933" s="35"/>
      <c r="AD1933" s="35"/>
      <c r="AE1933" s="35"/>
      <c r="AF1933" s="35"/>
      <c r="AG1933" s="35"/>
      <c r="AH1933" s="35"/>
      <c r="AI1933" s="35"/>
    </row>
    <row r="1934">
      <c r="A1934" s="263"/>
      <c r="B1934" s="264"/>
      <c r="C1934" s="265"/>
      <c r="D1934" s="266"/>
      <c r="E1934" s="263"/>
      <c r="F1934" s="267"/>
      <c r="G1934" s="267"/>
      <c r="H1934" s="268"/>
      <c r="I1934" s="268"/>
      <c r="J1934" s="267"/>
      <c r="K1934" s="265"/>
      <c r="L1934" s="265"/>
      <c r="M1934" s="269"/>
      <c r="N1934" s="270"/>
      <c r="O1934" s="271"/>
      <c r="P1934" s="271"/>
      <c r="Q1934" s="272"/>
      <c r="R1934" s="273"/>
      <c r="S1934" s="273"/>
      <c r="T1934" s="273"/>
      <c r="U1934" s="274"/>
      <c r="V1934" s="263"/>
      <c r="W1934" s="35"/>
      <c r="X1934" s="35"/>
      <c r="Y1934" s="35"/>
      <c r="Z1934" s="35"/>
      <c r="AA1934" s="35"/>
      <c r="AB1934" s="35"/>
      <c r="AC1934" s="35"/>
      <c r="AD1934" s="35"/>
      <c r="AE1934" s="35"/>
      <c r="AF1934" s="35"/>
      <c r="AG1934" s="35"/>
      <c r="AH1934" s="35"/>
      <c r="AI1934" s="35"/>
    </row>
    <row r="1935">
      <c r="A1935" s="263"/>
      <c r="B1935" s="264"/>
      <c r="C1935" s="265"/>
      <c r="D1935" s="266"/>
      <c r="E1935" s="263"/>
      <c r="F1935" s="267"/>
      <c r="G1935" s="267"/>
      <c r="H1935" s="268"/>
      <c r="I1935" s="268"/>
      <c r="J1935" s="267"/>
      <c r="K1935" s="265"/>
      <c r="L1935" s="265"/>
      <c r="M1935" s="269"/>
      <c r="N1935" s="270"/>
      <c r="O1935" s="271"/>
      <c r="P1935" s="271"/>
      <c r="Q1935" s="272"/>
      <c r="R1935" s="273"/>
      <c r="S1935" s="273"/>
      <c r="T1935" s="273"/>
      <c r="U1935" s="274"/>
      <c r="V1935" s="263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</row>
    <row r="1936">
      <c r="A1936" s="263"/>
      <c r="B1936" s="264"/>
      <c r="C1936" s="265"/>
      <c r="D1936" s="266"/>
      <c r="E1936" s="263"/>
      <c r="F1936" s="267"/>
      <c r="G1936" s="267"/>
      <c r="H1936" s="268"/>
      <c r="I1936" s="268"/>
      <c r="J1936" s="267"/>
      <c r="K1936" s="265"/>
      <c r="L1936" s="265"/>
      <c r="M1936" s="269"/>
      <c r="N1936" s="270"/>
      <c r="O1936" s="271"/>
      <c r="P1936" s="271"/>
      <c r="Q1936" s="272"/>
      <c r="R1936" s="273"/>
      <c r="S1936" s="273"/>
      <c r="T1936" s="273"/>
      <c r="U1936" s="274"/>
      <c r="V1936" s="263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</row>
    <row r="1937">
      <c r="A1937" s="263"/>
      <c r="B1937" s="264"/>
      <c r="C1937" s="265"/>
      <c r="D1937" s="266"/>
      <c r="E1937" s="263"/>
      <c r="F1937" s="267"/>
      <c r="G1937" s="267"/>
      <c r="H1937" s="268"/>
      <c r="I1937" s="268"/>
      <c r="J1937" s="267"/>
      <c r="K1937" s="265"/>
      <c r="L1937" s="265"/>
      <c r="M1937" s="269"/>
      <c r="N1937" s="270"/>
      <c r="O1937" s="271"/>
      <c r="P1937" s="271"/>
      <c r="Q1937" s="272"/>
      <c r="R1937" s="273"/>
      <c r="S1937" s="273"/>
      <c r="T1937" s="273"/>
      <c r="U1937" s="274"/>
      <c r="V1937" s="263"/>
      <c r="W1937" s="35"/>
      <c r="X1937" s="35"/>
      <c r="Y1937" s="35"/>
      <c r="Z1937" s="35"/>
      <c r="AA1937" s="35"/>
      <c r="AB1937" s="35"/>
      <c r="AC1937" s="35"/>
      <c r="AD1937" s="35"/>
      <c r="AE1937" s="35"/>
      <c r="AF1937" s="35"/>
      <c r="AG1937" s="35"/>
      <c r="AH1937" s="35"/>
      <c r="AI1937" s="35"/>
    </row>
    <row r="1938">
      <c r="A1938" s="263"/>
      <c r="B1938" s="264"/>
      <c r="C1938" s="265"/>
      <c r="D1938" s="266"/>
      <c r="E1938" s="263"/>
      <c r="F1938" s="267"/>
      <c r="G1938" s="267"/>
      <c r="H1938" s="268"/>
      <c r="I1938" s="268"/>
      <c r="J1938" s="267"/>
      <c r="K1938" s="265"/>
      <c r="L1938" s="265"/>
      <c r="M1938" s="269"/>
      <c r="N1938" s="270"/>
      <c r="O1938" s="271"/>
      <c r="P1938" s="271"/>
      <c r="Q1938" s="272"/>
      <c r="R1938" s="273"/>
      <c r="S1938" s="273"/>
      <c r="T1938" s="273"/>
      <c r="U1938" s="274"/>
      <c r="V1938" s="263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</row>
    <row r="1939">
      <c r="A1939" s="263"/>
      <c r="B1939" s="264"/>
      <c r="C1939" s="265"/>
      <c r="D1939" s="266"/>
      <c r="E1939" s="263"/>
      <c r="F1939" s="267"/>
      <c r="G1939" s="267"/>
      <c r="H1939" s="268"/>
      <c r="I1939" s="268"/>
      <c r="J1939" s="267"/>
      <c r="K1939" s="265"/>
      <c r="L1939" s="265"/>
      <c r="M1939" s="269"/>
      <c r="N1939" s="270"/>
      <c r="O1939" s="271"/>
      <c r="P1939" s="271"/>
      <c r="Q1939" s="272"/>
      <c r="R1939" s="273"/>
      <c r="S1939" s="273"/>
      <c r="T1939" s="273"/>
      <c r="U1939" s="274"/>
      <c r="V1939" s="263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</row>
    <row r="1940">
      <c r="A1940" s="263"/>
      <c r="B1940" s="264"/>
      <c r="C1940" s="265"/>
      <c r="D1940" s="266"/>
      <c r="E1940" s="263"/>
      <c r="F1940" s="267"/>
      <c r="G1940" s="267"/>
      <c r="H1940" s="268"/>
      <c r="I1940" s="268"/>
      <c r="J1940" s="267"/>
      <c r="K1940" s="265"/>
      <c r="L1940" s="265"/>
      <c r="M1940" s="269"/>
      <c r="N1940" s="270"/>
      <c r="O1940" s="271"/>
      <c r="P1940" s="271"/>
      <c r="Q1940" s="272"/>
      <c r="R1940" s="273"/>
      <c r="S1940" s="273"/>
      <c r="T1940" s="273"/>
      <c r="U1940" s="274"/>
      <c r="V1940" s="263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</row>
    <row r="1941">
      <c r="A1941" s="263"/>
      <c r="B1941" s="264"/>
      <c r="C1941" s="265"/>
      <c r="D1941" s="266"/>
      <c r="E1941" s="263"/>
      <c r="F1941" s="267"/>
      <c r="G1941" s="267"/>
      <c r="H1941" s="268"/>
      <c r="I1941" s="268"/>
      <c r="J1941" s="267"/>
      <c r="K1941" s="265"/>
      <c r="L1941" s="265"/>
      <c r="M1941" s="269"/>
      <c r="N1941" s="270"/>
      <c r="O1941" s="271"/>
      <c r="P1941" s="271"/>
      <c r="Q1941" s="272"/>
      <c r="R1941" s="273"/>
      <c r="S1941" s="273"/>
      <c r="T1941" s="273"/>
      <c r="U1941" s="274"/>
      <c r="V1941" s="263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</row>
    <row r="1942">
      <c r="A1942" s="263"/>
      <c r="B1942" s="264"/>
      <c r="C1942" s="265"/>
      <c r="D1942" s="266"/>
      <c r="E1942" s="263"/>
      <c r="F1942" s="267"/>
      <c r="G1942" s="267"/>
      <c r="H1942" s="268"/>
      <c r="I1942" s="268"/>
      <c r="J1942" s="267"/>
      <c r="K1942" s="265"/>
      <c r="L1942" s="265"/>
      <c r="M1942" s="269"/>
      <c r="N1942" s="270"/>
      <c r="O1942" s="271"/>
      <c r="P1942" s="271"/>
      <c r="Q1942" s="272"/>
      <c r="R1942" s="273"/>
      <c r="S1942" s="273"/>
      <c r="T1942" s="273"/>
      <c r="U1942" s="274"/>
      <c r="V1942" s="263"/>
      <c r="W1942" s="35"/>
      <c r="X1942" s="35"/>
      <c r="Y1942" s="35"/>
      <c r="Z1942" s="35"/>
      <c r="AA1942" s="35"/>
      <c r="AB1942" s="35"/>
      <c r="AC1942" s="35"/>
      <c r="AD1942" s="35"/>
      <c r="AE1942" s="35"/>
      <c r="AF1942" s="35"/>
      <c r="AG1942" s="35"/>
      <c r="AH1942" s="35"/>
      <c r="AI1942" s="35"/>
    </row>
    <row r="1943">
      <c r="A1943" s="263"/>
      <c r="B1943" s="264"/>
      <c r="C1943" s="265"/>
      <c r="D1943" s="266"/>
      <c r="E1943" s="263"/>
      <c r="F1943" s="267"/>
      <c r="G1943" s="267"/>
      <c r="H1943" s="268"/>
      <c r="I1943" s="268"/>
      <c r="J1943" s="267"/>
      <c r="K1943" s="265"/>
      <c r="L1943" s="265"/>
      <c r="M1943" s="269"/>
      <c r="N1943" s="270"/>
      <c r="O1943" s="271"/>
      <c r="P1943" s="271"/>
      <c r="Q1943" s="272"/>
      <c r="R1943" s="273"/>
      <c r="S1943" s="273"/>
      <c r="T1943" s="273"/>
      <c r="U1943" s="274"/>
      <c r="V1943" s="263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</row>
    <row r="1944">
      <c r="A1944" s="263"/>
      <c r="B1944" s="264"/>
      <c r="C1944" s="265"/>
      <c r="D1944" s="266"/>
      <c r="E1944" s="263"/>
      <c r="F1944" s="267"/>
      <c r="G1944" s="267"/>
      <c r="H1944" s="268"/>
      <c r="I1944" s="268"/>
      <c r="J1944" s="267"/>
      <c r="K1944" s="265"/>
      <c r="L1944" s="265"/>
      <c r="M1944" s="269"/>
      <c r="N1944" s="270"/>
      <c r="O1944" s="271"/>
      <c r="P1944" s="271"/>
      <c r="Q1944" s="272"/>
      <c r="R1944" s="273"/>
      <c r="S1944" s="273"/>
      <c r="T1944" s="273"/>
      <c r="U1944" s="274"/>
      <c r="V1944" s="263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</row>
    <row r="1945">
      <c r="A1945" s="263"/>
      <c r="B1945" s="264"/>
      <c r="C1945" s="265"/>
      <c r="D1945" s="266"/>
      <c r="E1945" s="263"/>
      <c r="F1945" s="267"/>
      <c r="G1945" s="267"/>
      <c r="H1945" s="268"/>
      <c r="I1945" s="268"/>
      <c r="J1945" s="267"/>
      <c r="K1945" s="265"/>
      <c r="L1945" s="265"/>
      <c r="M1945" s="269"/>
      <c r="N1945" s="270"/>
      <c r="O1945" s="271"/>
      <c r="P1945" s="271"/>
      <c r="Q1945" s="272"/>
      <c r="R1945" s="273"/>
      <c r="S1945" s="273"/>
      <c r="T1945" s="273"/>
      <c r="U1945" s="274"/>
      <c r="V1945" s="263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</row>
    <row r="1946">
      <c r="A1946" s="263"/>
      <c r="B1946" s="264"/>
      <c r="C1946" s="265"/>
      <c r="D1946" s="266"/>
      <c r="E1946" s="263"/>
      <c r="F1946" s="267"/>
      <c r="G1946" s="267"/>
      <c r="H1946" s="268"/>
      <c r="I1946" s="268"/>
      <c r="J1946" s="267"/>
      <c r="K1946" s="265"/>
      <c r="L1946" s="265"/>
      <c r="M1946" s="269"/>
      <c r="N1946" s="270"/>
      <c r="O1946" s="271"/>
      <c r="P1946" s="271"/>
      <c r="Q1946" s="272"/>
      <c r="R1946" s="273"/>
      <c r="S1946" s="273"/>
      <c r="T1946" s="273"/>
      <c r="U1946" s="274"/>
      <c r="V1946" s="263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</row>
    <row r="1947">
      <c r="A1947" s="263"/>
      <c r="B1947" s="264"/>
      <c r="C1947" s="265"/>
      <c r="D1947" s="266"/>
      <c r="E1947" s="263"/>
      <c r="F1947" s="267"/>
      <c r="G1947" s="267"/>
      <c r="H1947" s="268"/>
      <c r="I1947" s="268"/>
      <c r="J1947" s="267"/>
      <c r="K1947" s="265"/>
      <c r="L1947" s="265"/>
      <c r="M1947" s="269"/>
      <c r="N1947" s="270"/>
      <c r="O1947" s="271"/>
      <c r="P1947" s="271"/>
      <c r="Q1947" s="272"/>
      <c r="R1947" s="273"/>
      <c r="S1947" s="273"/>
      <c r="T1947" s="273"/>
      <c r="U1947" s="274"/>
      <c r="V1947" s="263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</row>
    <row r="1948">
      <c r="A1948" s="263"/>
      <c r="B1948" s="264"/>
      <c r="C1948" s="265"/>
      <c r="D1948" s="266"/>
      <c r="E1948" s="263"/>
      <c r="F1948" s="267"/>
      <c r="G1948" s="267"/>
      <c r="H1948" s="268"/>
      <c r="I1948" s="268"/>
      <c r="J1948" s="267"/>
      <c r="K1948" s="265"/>
      <c r="L1948" s="265"/>
      <c r="M1948" s="269"/>
      <c r="N1948" s="270"/>
      <c r="O1948" s="271"/>
      <c r="P1948" s="271"/>
      <c r="Q1948" s="272"/>
      <c r="R1948" s="273"/>
      <c r="S1948" s="273"/>
      <c r="T1948" s="273"/>
      <c r="U1948" s="274"/>
      <c r="V1948" s="263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</row>
    <row r="1949">
      <c r="A1949" s="263"/>
      <c r="B1949" s="264"/>
      <c r="C1949" s="265"/>
      <c r="D1949" s="266"/>
      <c r="E1949" s="263"/>
      <c r="F1949" s="267"/>
      <c r="G1949" s="267"/>
      <c r="H1949" s="268"/>
      <c r="I1949" s="268"/>
      <c r="J1949" s="267"/>
      <c r="K1949" s="265"/>
      <c r="L1949" s="265"/>
      <c r="M1949" s="269"/>
      <c r="N1949" s="270"/>
      <c r="O1949" s="271"/>
      <c r="P1949" s="271"/>
      <c r="Q1949" s="272"/>
      <c r="R1949" s="273"/>
      <c r="S1949" s="273"/>
      <c r="T1949" s="273"/>
      <c r="U1949" s="274"/>
      <c r="V1949" s="263"/>
      <c r="W1949" s="188"/>
      <c r="X1949" s="188"/>
      <c r="Y1949" s="188"/>
      <c r="Z1949" s="188"/>
      <c r="AA1949" s="188"/>
      <c r="AB1949" s="188"/>
      <c r="AC1949" s="188"/>
      <c r="AD1949" s="188"/>
      <c r="AE1949" s="188"/>
      <c r="AF1949" s="188"/>
      <c r="AG1949" s="188"/>
      <c r="AH1949" s="188"/>
      <c r="AI1949" s="188"/>
    </row>
    <row r="1950">
      <c r="A1950" s="263"/>
      <c r="B1950" s="264"/>
      <c r="C1950" s="265"/>
      <c r="D1950" s="266"/>
      <c r="E1950" s="263"/>
      <c r="F1950" s="267"/>
      <c r="G1950" s="267"/>
      <c r="H1950" s="268"/>
      <c r="I1950" s="268"/>
      <c r="J1950" s="267"/>
      <c r="K1950" s="265"/>
      <c r="L1950" s="265"/>
      <c r="M1950" s="269"/>
      <c r="N1950" s="270"/>
      <c r="O1950" s="271"/>
      <c r="P1950" s="271"/>
      <c r="Q1950" s="272"/>
      <c r="R1950" s="273"/>
      <c r="S1950" s="273"/>
      <c r="T1950" s="273"/>
      <c r="U1950" s="274"/>
      <c r="V1950" s="263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</row>
    <row r="1951">
      <c r="A1951" s="263"/>
      <c r="B1951" s="264"/>
      <c r="C1951" s="265"/>
      <c r="D1951" s="266"/>
      <c r="E1951" s="263"/>
      <c r="F1951" s="267"/>
      <c r="G1951" s="267"/>
      <c r="H1951" s="268"/>
      <c r="I1951" s="268"/>
      <c r="J1951" s="267"/>
      <c r="K1951" s="265"/>
      <c r="L1951" s="265"/>
      <c r="M1951" s="269"/>
      <c r="N1951" s="270"/>
      <c r="O1951" s="271"/>
      <c r="P1951" s="271"/>
      <c r="Q1951" s="272"/>
      <c r="R1951" s="273"/>
      <c r="S1951" s="273"/>
      <c r="T1951" s="273"/>
      <c r="U1951" s="274"/>
      <c r="V1951" s="263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</row>
    <row r="1952">
      <c r="A1952" s="263"/>
      <c r="B1952" s="264"/>
      <c r="C1952" s="265"/>
      <c r="D1952" s="266"/>
      <c r="E1952" s="263"/>
      <c r="F1952" s="267"/>
      <c r="G1952" s="267"/>
      <c r="H1952" s="268"/>
      <c r="I1952" s="268"/>
      <c r="J1952" s="267"/>
      <c r="K1952" s="265"/>
      <c r="L1952" s="265"/>
      <c r="M1952" s="269"/>
      <c r="N1952" s="270"/>
      <c r="O1952" s="271"/>
      <c r="P1952" s="271"/>
      <c r="Q1952" s="272"/>
      <c r="R1952" s="273"/>
      <c r="S1952" s="273"/>
      <c r="T1952" s="273"/>
      <c r="U1952" s="274"/>
      <c r="V1952" s="263"/>
      <c r="W1952" s="35"/>
      <c r="X1952" s="35"/>
      <c r="Y1952" s="35"/>
      <c r="Z1952" s="35"/>
      <c r="AA1952" s="35"/>
      <c r="AB1952" s="35"/>
      <c r="AC1952" s="35"/>
      <c r="AD1952" s="35"/>
      <c r="AE1952" s="35"/>
      <c r="AF1952" s="35"/>
      <c r="AG1952" s="35"/>
      <c r="AH1952" s="35"/>
      <c r="AI1952" s="35"/>
    </row>
    <row r="1953">
      <c r="A1953" s="263"/>
      <c r="B1953" s="264"/>
      <c r="C1953" s="265"/>
      <c r="D1953" s="266"/>
      <c r="E1953" s="263"/>
      <c r="F1953" s="267"/>
      <c r="G1953" s="267"/>
      <c r="H1953" s="268"/>
      <c r="I1953" s="268"/>
      <c r="J1953" s="267"/>
      <c r="K1953" s="265"/>
      <c r="L1953" s="265"/>
      <c r="M1953" s="269"/>
      <c r="N1953" s="270"/>
      <c r="O1953" s="271"/>
      <c r="P1953" s="271"/>
      <c r="Q1953" s="272"/>
      <c r="R1953" s="273"/>
      <c r="S1953" s="273"/>
      <c r="T1953" s="273"/>
      <c r="U1953" s="274"/>
      <c r="V1953" s="263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</row>
    <row r="1954">
      <c r="A1954" s="263"/>
      <c r="B1954" s="264"/>
      <c r="C1954" s="265"/>
      <c r="D1954" s="266"/>
      <c r="E1954" s="263"/>
      <c r="F1954" s="267"/>
      <c r="G1954" s="267"/>
      <c r="H1954" s="268"/>
      <c r="I1954" s="268"/>
      <c r="J1954" s="267"/>
      <c r="K1954" s="265"/>
      <c r="L1954" s="265"/>
      <c r="M1954" s="269"/>
      <c r="N1954" s="270"/>
      <c r="O1954" s="271"/>
      <c r="P1954" s="271"/>
      <c r="Q1954" s="272"/>
      <c r="R1954" s="273"/>
      <c r="S1954" s="273"/>
      <c r="T1954" s="273"/>
      <c r="U1954" s="274"/>
      <c r="V1954" s="263"/>
      <c r="W1954" s="35"/>
      <c r="X1954" s="35"/>
      <c r="Y1954" s="35"/>
      <c r="Z1954" s="35"/>
      <c r="AA1954" s="35"/>
      <c r="AB1954" s="35"/>
      <c r="AC1954" s="35"/>
      <c r="AD1954" s="35"/>
      <c r="AE1954" s="35"/>
      <c r="AF1954" s="35"/>
      <c r="AG1954" s="35"/>
      <c r="AH1954" s="35"/>
      <c r="AI1954" s="35"/>
    </row>
    <row r="1955">
      <c r="A1955" s="263"/>
      <c r="B1955" s="264"/>
      <c r="C1955" s="265"/>
      <c r="D1955" s="266"/>
      <c r="E1955" s="263"/>
      <c r="F1955" s="267"/>
      <c r="G1955" s="267"/>
      <c r="H1955" s="268"/>
      <c r="I1955" s="268"/>
      <c r="J1955" s="267"/>
      <c r="K1955" s="265"/>
      <c r="L1955" s="265"/>
      <c r="M1955" s="269"/>
      <c r="N1955" s="270"/>
      <c r="O1955" s="271"/>
      <c r="P1955" s="271"/>
      <c r="Q1955" s="272"/>
      <c r="R1955" s="273"/>
      <c r="S1955" s="273"/>
      <c r="T1955" s="273"/>
      <c r="U1955" s="274"/>
      <c r="V1955" s="263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</row>
    <row r="1956">
      <c r="A1956" s="263"/>
      <c r="B1956" s="264"/>
      <c r="C1956" s="265"/>
      <c r="D1956" s="266"/>
      <c r="E1956" s="263"/>
      <c r="F1956" s="267"/>
      <c r="G1956" s="267"/>
      <c r="H1956" s="268"/>
      <c r="I1956" s="268"/>
      <c r="J1956" s="267"/>
      <c r="K1956" s="265"/>
      <c r="L1956" s="265"/>
      <c r="M1956" s="269"/>
      <c r="N1956" s="270"/>
      <c r="O1956" s="271"/>
      <c r="P1956" s="271"/>
      <c r="Q1956" s="272"/>
      <c r="R1956" s="273"/>
      <c r="S1956" s="273"/>
      <c r="T1956" s="273"/>
      <c r="U1956" s="274"/>
      <c r="V1956" s="263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</row>
    <row r="1957">
      <c r="A1957" s="263"/>
      <c r="B1957" s="264"/>
      <c r="C1957" s="265"/>
      <c r="D1957" s="266"/>
      <c r="E1957" s="263"/>
      <c r="F1957" s="267"/>
      <c r="G1957" s="267"/>
      <c r="H1957" s="268"/>
      <c r="I1957" s="268"/>
      <c r="J1957" s="267"/>
      <c r="K1957" s="265"/>
      <c r="L1957" s="265"/>
      <c r="M1957" s="269"/>
      <c r="N1957" s="270"/>
      <c r="O1957" s="271"/>
      <c r="P1957" s="271"/>
      <c r="Q1957" s="272"/>
      <c r="R1957" s="273"/>
      <c r="S1957" s="273"/>
      <c r="T1957" s="273"/>
      <c r="U1957" s="274"/>
      <c r="V1957" s="263"/>
      <c r="W1957" s="36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</row>
    <row r="1958">
      <c r="A1958" s="263"/>
      <c r="B1958" s="264"/>
      <c r="C1958" s="265"/>
      <c r="D1958" s="266"/>
      <c r="E1958" s="263"/>
      <c r="F1958" s="267"/>
      <c r="G1958" s="267"/>
      <c r="H1958" s="268"/>
      <c r="I1958" s="268"/>
      <c r="J1958" s="267"/>
      <c r="K1958" s="265"/>
      <c r="L1958" s="265"/>
      <c r="M1958" s="269"/>
      <c r="N1958" s="270"/>
      <c r="O1958" s="271"/>
      <c r="P1958" s="271"/>
      <c r="Q1958" s="272"/>
      <c r="R1958" s="273"/>
      <c r="S1958" s="273"/>
      <c r="T1958" s="273"/>
      <c r="U1958" s="274"/>
      <c r="V1958" s="263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</row>
    <row r="1959">
      <c r="A1959" s="263"/>
      <c r="B1959" s="264"/>
      <c r="C1959" s="265"/>
      <c r="D1959" s="266"/>
      <c r="E1959" s="263"/>
      <c r="F1959" s="267"/>
      <c r="G1959" s="267"/>
      <c r="H1959" s="268"/>
      <c r="I1959" s="268"/>
      <c r="J1959" s="267"/>
      <c r="K1959" s="265"/>
      <c r="L1959" s="265"/>
      <c r="M1959" s="269"/>
      <c r="N1959" s="270"/>
      <c r="O1959" s="271"/>
      <c r="P1959" s="271"/>
      <c r="Q1959" s="272"/>
      <c r="R1959" s="273"/>
      <c r="S1959" s="273"/>
      <c r="T1959" s="273"/>
      <c r="U1959" s="274"/>
      <c r="V1959" s="263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</row>
    <row r="1960">
      <c r="A1960" s="263"/>
      <c r="B1960" s="264"/>
      <c r="C1960" s="265"/>
      <c r="D1960" s="266"/>
      <c r="E1960" s="263"/>
      <c r="F1960" s="267"/>
      <c r="G1960" s="267"/>
      <c r="H1960" s="268"/>
      <c r="I1960" s="268"/>
      <c r="J1960" s="267"/>
      <c r="K1960" s="265"/>
      <c r="L1960" s="265"/>
      <c r="M1960" s="269"/>
      <c r="N1960" s="270"/>
      <c r="O1960" s="271"/>
      <c r="P1960" s="271"/>
      <c r="Q1960" s="272"/>
      <c r="R1960" s="273"/>
      <c r="S1960" s="273"/>
      <c r="T1960" s="273"/>
      <c r="U1960" s="274"/>
      <c r="V1960" s="263"/>
      <c r="W1960" s="188"/>
      <c r="X1960" s="188"/>
      <c r="Y1960" s="188"/>
      <c r="Z1960" s="188"/>
      <c r="AA1960" s="188"/>
      <c r="AB1960" s="188"/>
      <c r="AC1960" s="188"/>
      <c r="AD1960" s="188"/>
      <c r="AE1960" s="188"/>
      <c r="AF1960" s="188"/>
      <c r="AG1960" s="188"/>
      <c r="AH1960" s="188"/>
      <c r="AI1960" s="188"/>
    </row>
    <row r="1961">
      <c r="A1961" s="263"/>
      <c r="B1961" s="264"/>
      <c r="C1961" s="265"/>
      <c r="D1961" s="266"/>
      <c r="E1961" s="263"/>
      <c r="F1961" s="267"/>
      <c r="G1961" s="267"/>
      <c r="H1961" s="268"/>
      <c r="I1961" s="268"/>
      <c r="J1961" s="267"/>
      <c r="K1961" s="265"/>
      <c r="L1961" s="265"/>
      <c r="M1961" s="269"/>
      <c r="N1961" s="270"/>
      <c r="O1961" s="271"/>
      <c r="P1961" s="271"/>
      <c r="Q1961" s="272"/>
      <c r="R1961" s="273"/>
      <c r="S1961" s="273"/>
      <c r="T1961" s="273"/>
      <c r="U1961" s="274"/>
      <c r="V1961" s="263"/>
      <c r="W1961" s="188"/>
      <c r="X1961" s="188"/>
      <c r="Y1961" s="188"/>
      <c r="Z1961" s="188"/>
      <c r="AA1961" s="188"/>
      <c r="AB1961" s="188"/>
      <c r="AC1961" s="188"/>
      <c r="AD1961" s="188"/>
      <c r="AE1961" s="188"/>
      <c r="AF1961" s="188"/>
      <c r="AG1961" s="188"/>
      <c r="AH1961" s="188"/>
      <c r="AI1961" s="188"/>
    </row>
    <row r="1962">
      <c r="A1962" s="263"/>
      <c r="B1962" s="264"/>
      <c r="C1962" s="265"/>
      <c r="D1962" s="266"/>
      <c r="E1962" s="263"/>
      <c r="F1962" s="267"/>
      <c r="G1962" s="267"/>
      <c r="H1962" s="268"/>
      <c r="I1962" s="268"/>
      <c r="J1962" s="267"/>
      <c r="K1962" s="265"/>
      <c r="L1962" s="265"/>
      <c r="M1962" s="269"/>
      <c r="N1962" s="270"/>
      <c r="O1962" s="271"/>
      <c r="P1962" s="271"/>
      <c r="Q1962" s="272"/>
      <c r="R1962" s="273"/>
      <c r="S1962" s="273"/>
      <c r="T1962" s="273"/>
      <c r="U1962" s="274"/>
      <c r="V1962" s="263"/>
      <c r="W1962" s="188"/>
      <c r="X1962" s="188"/>
      <c r="Y1962" s="188"/>
      <c r="Z1962" s="188"/>
      <c r="AA1962" s="188"/>
      <c r="AB1962" s="188"/>
      <c r="AC1962" s="188"/>
      <c r="AD1962" s="188"/>
      <c r="AE1962" s="188"/>
      <c r="AF1962" s="188"/>
      <c r="AG1962" s="188"/>
      <c r="AH1962" s="188"/>
      <c r="AI1962" s="188"/>
    </row>
    <row r="1963">
      <c r="A1963" s="263"/>
      <c r="B1963" s="264"/>
      <c r="C1963" s="265"/>
      <c r="D1963" s="266"/>
      <c r="E1963" s="263"/>
      <c r="F1963" s="267"/>
      <c r="G1963" s="267"/>
      <c r="H1963" s="268"/>
      <c r="I1963" s="268"/>
      <c r="J1963" s="267"/>
      <c r="K1963" s="265"/>
      <c r="L1963" s="265"/>
      <c r="M1963" s="269"/>
      <c r="N1963" s="270"/>
      <c r="O1963" s="271"/>
      <c r="P1963" s="271"/>
      <c r="Q1963" s="272"/>
      <c r="R1963" s="273"/>
      <c r="S1963" s="273"/>
      <c r="T1963" s="273"/>
      <c r="U1963" s="274"/>
      <c r="V1963" s="263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</row>
    <row r="1964">
      <c r="A1964" s="263"/>
      <c r="B1964" s="264"/>
      <c r="C1964" s="265"/>
      <c r="D1964" s="266"/>
      <c r="E1964" s="263"/>
      <c r="F1964" s="267"/>
      <c r="G1964" s="267"/>
      <c r="H1964" s="268"/>
      <c r="I1964" s="268"/>
      <c r="J1964" s="267"/>
      <c r="K1964" s="265"/>
      <c r="L1964" s="265"/>
      <c r="M1964" s="269"/>
      <c r="N1964" s="270"/>
      <c r="O1964" s="271"/>
      <c r="P1964" s="271"/>
      <c r="Q1964" s="272"/>
      <c r="R1964" s="273"/>
      <c r="S1964" s="273"/>
      <c r="T1964" s="273"/>
      <c r="U1964" s="274"/>
      <c r="V1964" s="263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</row>
    <row r="1965">
      <c r="A1965" s="263"/>
      <c r="B1965" s="264"/>
      <c r="C1965" s="265"/>
      <c r="D1965" s="266"/>
      <c r="E1965" s="263"/>
      <c r="F1965" s="267"/>
      <c r="G1965" s="267"/>
      <c r="H1965" s="268"/>
      <c r="I1965" s="268"/>
      <c r="J1965" s="267"/>
      <c r="K1965" s="265"/>
      <c r="L1965" s="265"/>
      <c r="M1965" s="269"/>
      <c r="N1965" s="270"/>
      <c r="O1965" s="271"/>
      <c r="P1965" s="271"/>
      <c r="Q1965" s="272"/>
      <c r="R1965" s="273"/>
      <c r="S1965" s="273"/>
      <c r="T1965" s="273"/>
      <c r="U1965" s="274"/>
      <c r="V1965" s="263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</row>
    <row r="1966">
      <c r="A1966" s="263"/>
      <c r="B1966" s="264"/>
      <c r="C1966" s="265"/>
      <c r="D1966" s="266"/>
      <c r="E1966" s="263"/>
      <c r="F1966" s="267"/>
      <c r="G1966" s="267"/>
      <c r="H1966" s="268"/>
      <c r="I1966" s="268"/>
      <c r="J1966" s="267"/>
      <c r="K1966" s="265"/>
      <c r="L1966" s="265"/>
      <c r="M1966" s="269"/>
      <c r="N1966" s="270"/>
      <c r="O1966" s="271"/>
      <c r="P1966" s="271"/>
      <c r="Q1966" s="272"/>
      <c r="R1966" s="273"/>
      <c r="S1966" s="273"/>
      <c r="T1966" s="273"/>
      <c r="U1966" s="274"/>
      <c r="V1966" s="263"/>
      <c r="W1966" s="188"/>
      <c r="X1966" s="188"/>
      <c r="Y1966" s="188"/>
      <c r="Z1966" s="188"/>
      <c r="AA1966" s="188"/>
      <c r="AB1966" s="188"/>
      <c r="AC1966" s="188"/>
      <c r="AD1966" s="188"/>
      <c r="AE1966" s="188"/>
      <c r="AF1966" s="188"/>
      <c r="AG1966" s="188"/>
      <c r="AH1966" s="188"/>
      <c r="AI1966" s="188"/>
    </row>
    <row r="1967">
      <c r="A1967" s="263"/>
      <c r="B1967" s="264"/>
      <c r="C1967" s="265"/>
      <c r="D1967" s="266"/>
      <c r="E1967" s="263"/>
      <c r="F1967" s="267"/>
      <c r="G1967" s="267"/>
      <c r="H1967" s="268"/>
      <c r="I1967" s="268"/>
      <c r="J1967" s="267"/>
      <c r="K1967" s="265"/>
      <c r="L1967" s="265"/>
      <c r="M1967" s="269"/>
      <c r="N1967" s="270"/>
      <c r="O1967" s="271"/>
      <c r="P1967" s="271"/>
      <c r="Q1967" s="272"/>
      <c r="R1967" s="273"/>
      <c r="S1967" s="273"/>
      <c r="T1967" s="273"/>
      <c r="U1967" s="274"/>
      <c r="V1967" s="263"/>
      <c r="W1967" s="35"/>
      <c r="X1967" s="35"/>
      <c r="Y1967" s="35"/>
      <c r="Z1967" s="35"/>
      <c r="AA1967" s="35"/>
      <c r="AB1967" s="35"/>
      <c r="AC1967" s="35"/>
      <c r="AD1967" s="35"/>
      <c r="AE1967" s="35"/>
      <c r="AF1967" s="35"/>
      <c r="AG1967" s="35"/>
      <c r="AH1967" s="35"/>
      <c r="AI1967" s="35"/>
    </row>
    <row r="1968">
      <c r="A1968" s="263"/>
      <c r="B1968" s="264"/>
      <c r="C1968" s="265"/>
      <c r="D1968" s="266"/>
      <c r="E1968" s="263"/>
      <c r="F1968" s="267"/>
      <c r="G1968" s="267"/>
      <c r="H1968" s="268"/>
      <c r="I1968" s="268"/>
      <c r="J1968" s="267"/>
      <c r="K1968" s="265"/>
      <c r="L1968" s="265"/>
      <c r="M1968" s="269"/>
      <c r="N1968" s="270"/>
      <c r="O1968" s="271"/>
      <c r="P1968" s="271"/>
      <c r="Q1968" s="272"/>
      <c r="R1968" s="273"/>
      <c r="S1968" s="273"/>
      <c r="T1968" s="273"/>
      <c r="U1968" s="274"/>
      <c r="V1968" s="263"/>
      <c r="W1968" s="188"/>
      <c r="X1968" s="188"/>
      <c r="Y1968" s="188"/>
      <c r="Z1968" s="188"/>
      <c r="AA1968" s="188"/>
      <c r="AB1968" s="188"/>
      <c r="AC1968" s="188"/>
      <c r="AD1968" s="188"/>
      <c r="AE1968" s="188"/>
      <c r="AF1968" s="188"/>
      <c r="AG1968" s="188"/>
      <c r="AH1968" s="188"/>
      <c r="AI1968" s="188"/>
    </row>
    <row r="1969">
      <c r="A1969" s="263"/>
      <c r="B1969" s="264"/>
      <c r="C1969" s="265"/>
      <c r="D1969" s="266"/>
      <c r="E1969" s="263"/>
      <c r="F1969" s="267"/>
      <c r="G1969" s="267"/>
      <c r="H1969" s="268"/>
      <c r="I1969" s="268"/>
      <c r="J1969" s="267"/>
      <c r="K1969" s="265"/>
      <c r="L1969" s="265"/>
      <c r="M1969" s="269"/>
      <c r="N1969" s="270"/>
      <c r="O1969" s="271"/>
      <c r="P1969" s="271"/>
      <c r="Q1969" s="272"/>
      <c r="R1969" s="273"/>
      <c r="S1969" s="273"/>
      <c r="T1969" s="273"/>
      <c r="U1969" s="274"/>
      <c r="V1969" s="263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</row>
    <row r="1970">
      <c r="A1970" s="263"/>
      <c r="B1970" s="264"/>
      <c r="C1970" s="265"/>
      <c r="D1970" s="266"/>
      <c r="E1970" s="263"/>
      <c r="F1970" s="267"/>
      <c r="G1970" s="267"/>
      <c r="H1970" s="268"/>
      <c r="I1970" s="268"/>
      <c r="J1970" s="267"/>
      <c r="K1970" s="265"/>
      <c r="L1970" s="265"/>
      <c r="M1970" s="269"/>
      <c r="N1970" s="270"/>
      <c r="O1970" s="271"/>
      <c r="P1970" s="271"/>
      <c r="Q1970" s="272"/>
      <c r="R1970" s="273"/>
      <c r="S1970" s="273"/>
      <c r="T1970" s="273"/>
      <c r="U1970" s="274"/>
      <c r="V1970" s="263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</row>
    <row r="1971">
      <c r="A1971" s="263"/>
      <c r="B1971" s="264"/>
      <c r="C1971" s="265"/>
      <c r="D1971" s="266"/>
      <c r="E1971" s="263"/>
      <c r="F1971" s="267"/>
      <c r="G1971" s="267"/>
      <c r="H1971" s="268"/>
      <c r="I1971" s="268"/>
      <c r="J1971" s="267"/>
      <c r="K1971" s="265"/>
      <c r="L1971" s="265"/>
      <c r="M1971" s="269"/>
      <c r="N1971" s="270"/>
      <c r="O1971" s="271"/>
      <c r="P1971" s="271"/>
      <c r="Q1971" s="272"/>
      <c r="R1971" s="273"/>
      <c r="S1971" s="273"/>
      <c r="T1971" s="273"/>
      <c r="U1971" s="274"/>
      <c r="V1971" s="263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</row>
    <row r="1972">
      <c r="A1972" s="263"/>
      <c r="B1972" s="264"/>
      <c r="C1972" s="265"/>
      <c r="D1972" s="266"/>
      <c r="E1972" s="263"/>
      <c r="F1972" s="267"/>
      <c r="G1972" s="267"/>
      <c r="H1972" s="268"/>
      <c r="I1972" s="268"/>
      <c r="J1972" s="267"/>
      <c r="K1972" s="265"/>
      <c r="L1972" s="265"/>
      <c r="M1972" s="269"/>
      <c r="N1972" s="270"/>
      <c r="O1972" s="271"/>
      <c r="P1972" s="271"/>
      <c r="Q1972" s="272"/>
      <c r="R1972" s="273"/>
      <c r="S1972" s="273"/>
      <c r="T1972" s="273"/>
      <c r="U1972" s="274"/>
      <c r="V1972" s="263"/>
      <c r="W1972" s="188"/>
      <c r="X1972" s="188"/>
      <c r="Y1972" s="188"/>
      <c r="Z1972" s="188"/>
      <c r="AA1972" s="188"/>
      <c r="AB1972" s="188"/>
      <c r="AC1972" s="188"/>
      <c r="AD1972" s="188"/>
      <c r="AE1972" s="188"/>
      <c r="AF1972" s="188"/>
      <c r="AG1972" s="188"/>
      <c r="AH1972" s="188"/>
      <c r="AI1972" s="188"/>
    </row>
    <row r="1973">
      <c r="A1973" s="263"/>
      <c r="B1973" s="264"/>
      <c r="C1973" s="265"/>
      <c r="D1973" s="266"/>
      <c r="E1973" s="263"/>
      <c r="F1973" s="267"/>
      <c r="G1973" s="267"/>
      <c r="H1973" s="268"/>
      <c r="I1973" s="268"/>
      <c r="J1973" s="267"/>
      <c r="K1973" s="265"/>
      <c r="L1973" s="265"/>
      <c r="M1973" s="269"/>
      <c r="N1973" s="270"/>
      <c r="O1973" s="271"/>
      <c r="P1973" s="271"/>
      <c r="Q1973" s="272"/>
      <c r="R1973" s="273"/>
      <c r="S1973" s="273"/>
      <c r="T1973" s="273"/>
      <c r="U1973" s="274"/>
      <c r="V1973" s="263"/>
      <c r="W1973" s="35"/>
      <c r="X1973" s="35"/>
      <c r="Y1973" s="35"/>
      <c r="Z1973" s="35"/>
      <c r="AA1973" s="35"/>
      <c r="AB1973" s="35"/>
      <c r="AC1973" s="35"/>
      <c r="AD1973" s="35"/>
      <c r="AE1973" s="35"/>
      <c r="AF1973" s="35"/>
      <c r="AG1973" s="35"/>
      <c r="AH1973" s="35"/>
      <c r="AI1973" s="35"/>
    </row>
    <row r="1974">
      <c r="A1974" s="263"/>
      <c r="B1974" s="264"/>
      <c r="C1974" s="265"/>
      <c r="D1974" s="266"/>
      <c r="E1974" s="263"/>
      <c r="F1974" s="267"/>
      <c r="G1974" s="267"/>
      <c r="H1974" s="268"/>
      <c r="I1974" s="268"/>
      <c r="J1974" s="267"/>
      <c r="K1974" s="265"/>
      <c r="L1974" s="265"/>
      <c r="M1974" s="269"/>
      <c r="N1974" s="270"/>
      <c r="O1974" s="271"/>
      <c r="P1974" s="271"/>
      <c r="Q1974" s="272"/>
      <c r="R1974" s="273"/>
      <c r="S1974" s="273"/>
      <c r="T1974" s="273"/>
      <c r="U1974" s="274"/>
      <c r="V1974" s="263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</row>
    <row r="1975">
      <c r="A1975" s="263"/>
      <c r="B1975" s="264"/>
      <c r="C1975" s="265"/>
      <c r="D1975" s="266"/>
      <c r="E1975" s="263"/>
      <c r="F1975" s="267"/>
      <c r="G1975" s="267"/>
      <c r="H1975" s="268"/>
      <c r="I1975" s="268"/>
      <c r="J1975" s="267"/>
      <c r="K1975" s="265"/>
      <c r="L1975" s="265"/>
      <c r="M1975" s="269"/>
      <c r="N1975" s="270"/>
      <c r="O1975" s="271"/>
      <c r="P1975" s="271"/>
      <c r="Q1975" s="272"/>
      <c r="R1975" s="273"/>
      <c r="S1975" s="273"/>
      <c r="T1975" s="273"/>
      <c r="U1975" s="274"/>
      <c r="V1975" s="263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</row>
    <row r="1976">
      <c r="A1976" s="263"/>
      <c r="B1976" s="264"/>
      <c r="C1976" s="265"/>
      <c r="D1976" s="266"/>
      <c r="E1976" s="263"/>
      <c r="F1976" s="267"/>
      <c r="G1976" s="267"/>
      <c r="H1976" s="268"/>
      <c r="I1976" s="268"/>
      <c r="J1976" s="267"/>
      <c r="K1976" s="265"/>
      <c r="L1976" s="265"/>
      <c r="M1976" s="269"/>
      <c r="N1976" s="270"/>
      <c r="O1976" s="271"/>
      <c r="P1976" s="271"/>
      <c r="Q1976" s="272"/>
      <c r="R1976" s="273"/>
      <c r="S1976" s="273"/>
      <c r="T1976" s="273"/>
      <c r="U1976" s="274"/>
      <c r="V1976" s="263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</row>
    <row r="1977">
      <c r="A1977" s="263"/>
      <c r="B1977" s="264"/>
      <c r="C1977" s="265"/>
      <c r="D1977" s="266"/>
      <c r="E1977" s="263"/>
      <c r="F1977" s="267"/>
      <c r="G1977" s="267"/>
      <c r="H1977" s="268"/>
      <c r="I1977" s="268"/>
      <c r="J1977" s="267"/>
      <c r="K1977" s="265"/>
      <c r="L1977" s="265"/>
      <c r="M1977" s="269"/>
      <c r="N1977" s="270"/>
      <c r="O1977" s="271"/>
      <c r="P1977" s="271"/>
      <c r="Q1977" s="272"/>
      <c r="R1977" s="273"/>
      <c r="S1977" s="273"/>
      <c r="T1977" s="273"/>
      <c r="U1977" s="274"/>
      <c r="V1977" s="263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</row>
    <row r="1978">
      <c r="A1978" s="263"/>
      <c r="B1978" s="264"/>
      <c r="C1978" s="265"/>
      <c r="D1978" s="266"/>
      <c r="E1978" s="263"/>
      <c r="F1978" s="267"/>
      <c r="G1978" s="267"/>
      <c r="H1978" s="268"/>
      <c r="I1978" s="268"/>
      <c r="J1978" s="267"/>
      <c r="K1978" s="265"/>
      <c r="L1978" s="265"/>
      <c r="M1978" s="269"/>
      <c r="N1978" s="270"/>
      <c r="O1978" s="271"/>
      <c r="P1978" s="271"/>
      <c r="Q1978" s="272"/>
      <c r="R1978" s="273"/>
      <c r="S1978" s="273"/>
      <c r="T1978" s="273"/>
      <c r="U1978" s="274"/>
      <c r="V1978" s="263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</row>
    <row r="1979">
      <c r="A1979" s="263"/>
      <c r="B1979" s="264"/>
      <c r="C1979" s="265"/>
      <c r="D1979" s="266"/>
      <c r="E1979" s="263"/>
      <c r="F1979" s="267"/>
      <c r="G1979" s="267"/>
      <c r="H1979" s="268"/>
      <c r="I1979" s="268"/>
      <c r="J1979" s="267"/>
      <c r="K1979" s="265"/>
      <c r="L1979" s="265"/>
      <c r="M1979" s="269"/>
      <c r="N1979" s="270"/>
      <c r="O1979" s="271"/>
      <c r="P1979" s="271"/>
      <c r="Q1979" s="272"/>
      <c r="R1979" s="273"/>
      <c r="S1979" s="273"/>
      <c r="T1979" s="273"/>
      <c r="U1979" s="274"/>
      <c r="V1979" s="263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</row>
    <row r="1980">
      <c r="A1980" s="263"/>
      <c r="B1980" s="264"/>
      <c r="C1980" s="265"/>
      <c r="D1980" s="266"/>
      <c r="E1980" s="263"/>
      <c r="F1980" s="267"/>
      <c r="G1980" s="267"/>
      <c r="H1980" s="268"/>
      <c r="I1980" s="268"/>
      <c r="J1980" s="267"/>
      <c r="K1980" s="265"/>
      <c r="L1980" s="265"/>
      <c r="M1980" s="269"/>
      <c r="N1980" s="270"/>
      <c r="O1980" s="271"/>
      <c r="P1980" s="271"/>
      <c r="Q1980" s="272"/>
      <c r="R1980" s="273"/>
      <c r="S1980" s="273"/>
      <c r="T1980" s="273"/>
      <c r="U1980" s="274"/>
      <c r="V1980" s="263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</row>
    <row r="1981">
      <c r="A1981" s="263"/>
      <c r="B1981" s="264"/>
      <c r="C1981" s="265"/>
      <c r="D1981" s="266"/>
      <c r="E1981" s="263"/>
      <c r="F1981" s="267"/>
      <c r="G1981" s="267"/>
      <c r="H1981" s="268"/>
      <c r="I1981" s="268"/>
      <c r="J1981" s="267"/>
      <c r="K1981" s="265"/>
      <c r="L1981" s="265"/>
      <c r="M1981" s="269"/>
      <c r="N1981" s="270"/>
      <c r="O1981" s="271"/>
      <c r="P1981" s="271"/>
      <c r="Q1981" s="272"/>
      <c r="R1981" s="273"/>
      <c r="S1981" s="273"/>
      <c r="T1981" s="273"/>
      <c r="U1981" s="274"/>
      <c r="V1981" s="263"/>
      <c r="W1981" s="35"/>
      <c r="X1981" s="35"/>
      <c r="Y1981" s="35"/>
      <c r="Z1981" s="35"/>
      <c r="AA1981" s="35"/>
      <c r="AB1981" s="35"/>
      <c r="AC1981" s="35"/>
      <c r="AD1981" s="35"/>
      <c r="AE1981" s="35"/>
      <c r="AF1981" s="35"/>
      <c r="AG1981" s="35"/>
      <c r="AH1981" s="35"/>
      <c r="AI1981" s="35"/>
    </row>
    <row r="1982">
      <c r="A1982" s="263"/>
      <c r="B1982" s="264"/>
      <c r="C1982" s="265"/>
      <c r="D1982" s="266"/>
      <c r="E1982" s="263"/>
      <c r="F1982" s="267"/>
      <c r="G1982" s="267"/>
      <c r="H1982" s="268"/>
      <c r="I1982" s="268"/>
      <c r="J1982" s="267"/>
      <c r="K1982" s="265"/>
      <c r="L1982" s="265"/>
      <c r="M1982" s="269"/>
      <c r="N1982" s="270"/>
      <c r="O1982" s="271"/>
      <c r="P1982" s="271"/>
      <c r="Q1982" s="272"/>
      <c r="R1982" s="273"/>
      <c r="S1982" s="273"/>
      <c r="T1982" s="273"/>
      <c r="U1982" s="274"/>
      <c r="V1982" s="263"/>
      <c r="W1982" s="188"/>
      <c r="X1982" s="188"/>
      <c r="Y1982" s="188"/>
      <c r="Z1982" s="188"/>
      <c r="AA1982" s="188"/>
      <c r="AB1982" s="188"/>
      <c r="AC1982" s="188"/>
      <c r="AD1982" s="188"/>
      <c r="AE1982" s="188"/>
      <c r="AF1982" s="188"/>
      <c r="AG1982" s="188"/>
      <c r="AH1982" s="188"/>
      <c r="AI1982" s="188"/>
    </row>
    <row r="1983">
      <c r="A1983" s="263"/>
      <c r="B1983" s="264"/>
      <c r="C1983" s="265"/>
      <c r="D1983" s="266"/>
      <c r="E1983" s="263"/>
      <c r="F1983" s="267"/>
      <c r="G1983" s="267"/>
      <c r="H1983" s="268"/>
      <c r="I1983" s="268"/>
      <c r="J1983" s="267"/>
      <c r="K1983" s="265"/>
      <c r="L1983" s="265"/>
      <c r="M1983" s="269"/>
      <c r="N1983" s="270"/>
      <c r="O1983" s="271"/>
      <c r="P1983" s="271"/>
      <c r="Q1983" s="272"/>
      <c r="R1983" s="273"/>
      <c r="S1983" s="273"/>
      <c r="T1983" s="273"/>
      <c r="U1983" s="274"/>
      <c r="V1983" s="263"/>
      <c r="W1983" s="188"/>
      <c r="X1983" s="188"/>
      <c r="Y1983" s="188"/>
      <c r="Z1983" s="188"/>
      <c r="AA1983" s="188"/>
      <c r="AB1983" s="188"/>
      <c r="AC1983" s="188"/>
      <c r="AD1983" s="188"/>
      <c r="AE1983" s="188"/>
      <c r="AF1983" s="188"/>
      <c r="AG1983" s="188"/>
      <c r="AH1983" s="188"/>
      <c r="AI1983" s="188"/>
    </row>
    <row r="1984">
      <c r="A1984" s="263"/>
      <c r="B1984" s="264"/>
      <c r="C1984" s="265"/>
      <c r="D1984" s="266"/>
      <c r="E1984" s="263"/>
      <c r="F1984" s="267"/>
      <c r="G1984" s="267"/>
      <c r="H1984" s="268"/>
      <c r="I1984" s="268"/>
      <c r="J1984" s="267"/>
      <c r="K1984" s="265"/>
      <c r="L1984" s="265"/>
      <c r="M1984" s="269"/>
      <c r="N1984" s="270"/>
      <c r="O1984" s="271"/>
      <c r="P1984" s="271"/>
      <c r="Q1984" s="272"/>
      <c r="R1984" s="273"/>
      <c r="S1984" s="273"/>
      <c r="T1984" s="273"/>
      <c r="U1984" s="274"/>
      <c r="V1984" s="263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</row>
    <row r="1985">
      <c r="A1985" s="263"/>
      <c r="B1985" s="264"/>
      <c r="C1985" s="265"/>
      <c r="D1985" s="266"/>
      <c r="E1985" s="263"/>
      <c r="F1985" s="267"/>
      <c r="G1985" s="267"/>
      <c r="H1985" s="268"/>
      <c r="I1985" s="268"/>
      <c r="J1985" s="267"/>
      <c r="K1985" s="265"/>
      <c r="L1985" s="265"/>
      <c r="M1985" s="269"/>
      <c r="N1985" s="270"/>
      <c r="O1985" s="271"/>
      <c r="P1985" s="271"/>
      <c r="Q1985" s="272"/>
      <c r="R1985" s="273"/>
      <c r="S1985" s="273"/>
      <c r="T1985" s="273"/>
      <c r="U1985" s="274"/>
      <c r="V1985" s="263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</row>
    <row r="1986">
      <c r="A1986" s="263"/>
      <c r="B1986" s="264"/>
      <c r="C1986" s="265"/>
      <c r="D1986" s="266"/>
      <c r="E1986" s="263"/>
      <c r="F1986" s="267"/>
      <c r="G1986" s="267"/>
      <c r="H1986" s="268"/>
      <c r="I1986" s="268"/>
      <c r="J1986" s="267"/>
      <c r="K1986" s="265"/>
      <c r="L1986" s="265"/>
      <c r="M1986" s="269"/>
      <c r="N1986" s="270"/>
      <c r="O1986" s="271"/>
      <c r="P1986" s="271"/>
      <c r="Q1986" s="272"/>
      <c r="R1986" s="273"/>
      <c r="S1986" s="273"/>
      <c r="T1986" s="273"/>
      <c r="U1986" s="274"/>
      <c r="V1986" s="263"/>
      <c r="W1986" s="188"/>
      <c r="X1986" s="188"/>
      <c r="Y1986" s="188"/>
      <c r="Z1986" s="188"/>
      <c r="AA1986" s="188"/>
      <c r="AB1986" s="188"/>
      <c r="AC1986" s="188"/>
      <c r="AD1986" s="188"/>
      <c r="AE1986" s="188"/>
      <c r="AF1986" s="188"/>
      <c r="AG1986" s="188"/>
      <c r="AH1986" s="188"/>
      <c r="AI1986" s="188"/>
    </row>
    <row r="1987">
      <c r="A1987" s="263"/>
      <c r="B1987" s="264"/>
      <c r="C1987" s="265"/>
      <c r="D1987" s="266"/>
      <c r="E1987" s="263"/>
      <c r="F1987" s="267"/>
      <c r="G1987" s="267"/>
      <c r="H1987" s="268"/>
      <c r="I1987" s="268"/>
      <c r="J1987" s="267"/>
      <c r="K1987" s="265"/>
      <c r="L1987" s="265"/>
      <c r="M1987" s="269"/>
      <c r="N1987" s="270"/>
      <c r="O1987" s="271"/>
      <c r="P1987" s="271"/>
      <c r="Q1987" s="272"/>
      <c r="R1987" s="273"/>
      <c r="S1987" s="273"/>
      <c r="T1987" s="273"/>
      <c r="U1987" s="274"/>
      <c r="V1987" s="263"/>
      <c r="W1987" s="35"/>
      <c r="X1987" s="35"/>
      <c r="Y1987" s="35"/>
      <c r="Z1987" s="35"/>
      <c r="AA1987" s="35"/>
      <c r="AB1987" s="35"/>
      <c r="AC1987" s="35"/>
      <c r="AD1987" s="35"/>
      <c r="AE1987" s="35"/>
      <c r="AF1987" s="35"/>
      <c r="AG1987" s="35"/>
      <c r="AH1987" s="35"/>
      <c r="AI1987" s="35"/>
    </row>
    <row r="1988">
      <c r="A1988" s="263"/>
      <c r="B1988" s="264"/>
      <c r="C1988" s="265"/>
      <c r="D1988" s="266"/>
      <c r="E1988" s="263"/>
      <c r="F1988" s="267"/>
      <c r="G1988" s="267"/>
      <c r="H1988" s="268"/>
      <c r="I1988" s="268"/>
      <c r="J1988" s="267"/>
      <c r="K1988" s="265"/>
      <c r="L1988" s="265"/>
      <c r="M1988" s="269"/>
      <c r="N1988" s="270"/>
      <c r="O1988" s="271"/>
      <c r="P1988" s="271"/>
      <c r="Q1988" s="272"/>
      <c r="R1988" s="273"/>
      <c r="S1988" s="273"/>
      <c r="T1988" s="273"/>
      <c r="U1988" s="274"/>
      <c r="V1988" s="263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</row>
    <row r="1989">
      <c r="A1989" s="263"/>
      <c r="B1989" s="264"/>
      <c r="C1989" s="265"/>
      <c r="D1989" s="266"/>
      <c r="E1989" s="263"/>
      <c r="F1989" s="267"/>
      <c r="G1989" s="267"/>
      <c r="H1989" s="268"/>
      <c r="I1989" s="268"/>
      <c r="J1989" s="267"/>
      <c r="K1989" s="265"/>
      <c r="L1989" s="265"/>
      <c r="M1989" s="269"/>
      <c r="N1989" s="270"/>
      <c r="O1989" s="271"/>
      <c r="P1989" s="271"/>
      <c r="Q1989" s="272"/>
      <c r="R1989" s="273"/>
      <c r="S1989" s="273"/>
      <c r="T1989" s="273"/>
      <c r="U1989" s="274"/>
      <c r="V1989" s="263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</row>
    <row r="1990">
      <c r="A1990" s="263"/>
      <c r="B1990" s="264"/>
      <c r="C1990" s="265"/>
      <c r="D1990" s="266"/>
      <c r="E1990" s="263"/>
      <c r="F1990" s="267"/>
      <c r="G1990" s="267"/>
      <c r="H1990" s="268"/>
      <c r="I1990" s="268"/>
      <c r="J1990" s="267"/>
      <c r="K1990" s="265"/>
      <c r="L1990" s="265"/>
      <c r="M1990" s="269"/>
      <c r="N1990" s="270"/>
      <c r="O1990" s="271"/>
      <c r="P1990" s="271"/>
      <c r="Q1990" s="272"/>
      <c r="R1990" s="273"/>
      <c r="S1990" s="273"/>
      <c r="T1990" s="273"/>
      <c r="U1990" s="274"/>
      <c r="V1990" s="263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</row>
    <row r="1991">
      <c r="A1991" s="263"/>
      <c r="B1991" s="264"/>
      <c r="C1991" s="265"/>
      <c r="D1991" s="266"/>
      <c r="E1991" s="263"/>
      <c r="F1991" s="267"/>
      <c r="G1991" s="267"/>
      <c r="H1991" s="268"/>
      <c r="I1991" s="268"/>
      <c r="J1991" s="267"/>
      <c r="K1991" s="265"/>
      <c r="L1991" s="265"/>
      <c r="M1991" s="269"/>
      <c r="N1991" s="270"/>
      <c r="O1991" s="271"/>
      <c r="P1991" s="271"/>
      <c r="Q1991" s="272"/>
      <c r="R1991" s="273"/>
      <c r="S1991" s="273"/>
      <c r="T1991" s="273"/>
      <c r="U1991" s="274"/>
      <c r="V1991" s="263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</row>
    <row r="1992">
      <c r="A1992" s="263"/>
      <c r="B1992" s="264"/>
      <c r="C1992" s="265"/>
      <c r="D1992" s="266"/>
      <c r="E1992" s="263"/>
      <c r="F1992" s="267"/>
      <c r="G1992" s="267"/>
      <c r="H1992" s="268"/>
      <c r="I1992" s="268"/>
      <c r="J1992" s="267"/>
      <c r="K1992" s="265"/>
      <c r="L1992" s="265"/>
      <c r="M1992" s="269"/>
      <c r="N1992" s="270"/>
      <c r="O1992" s="271"/>
      <c r="P1992" s="271"/>
      <c r="Q1992" s="272"/>
      <c r="R1992" s="273"/>
      <c r="S1992" s="273"/>
      <c r="T1992" s="273"/>
      <c r="U1992" s="274"/>
      <c r="V1992" s="263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</row>
    <row r="1993">
      <c r="A1993" s="263"/>
      <c r="B1993" s="264"/>
      <c r="C1993" s="265"/>
      <c r="D1993" s="266"/>
      <c r="E1993" s="263"/>
      <c r="F1993" s="267"/>
      <c r="G1993" s="267"/>
      <c r="H1993" s="268"/>
      <c r="I1993" s="268"/>
      <c r="J1993" s="267"/>
      <c r="K1993" s="265"/>
      <c r="L1993" s="265"/>
      <c r="M1993" s="269"/>
      <c r="N1993" s="270"/>
      <c r="O1993" s="271"/>
      <c r="P1993" s="271"/>
      <c r="Q1993" s="272"/>
      <c r="R1993" s="273"/>
      <c r="S1993" s="273"/>
      <c r="T1993" s="273"/>
      <c r="U1993" s="274"/>
      <c r="V1993" s="263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</row>
    <row r="1994">
      <c r="A1994" s="263"/>
      <c r="B1994" s="264"/>
      <c r="C1994" s="265"/>
      <c r="D1994" s="266"/>
      <c r="E1994" s="263"/>
      <c r="F1994" s="267"/>
      <c r="G1994" s="267"/>
      <c r="H1994" s="268"/>
      <c r="I1994" s="268"/>
      <c r="J1994" s="267"/>
      <c r="K1994" s="265"/>
      <c r="L1994" s="265"/>
      <c r="M1994" s="269"/>
      <c r="N1994" s="270"/>
      <c r="O1994" s="271"/>
      <c r="P1994" s="271"/>
      <c r="Q1994" s="272"/>
      <c r="R1994" s="273"/>
      <c r="S1994" s="273"/>
      <c r="T1994" s="273"/>
      <c r="U1994" s="274"/>
      <c r="V1994" s="263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</row>
    <row r="1995">
      <c r="A1995" s="263"/>
      <c r="B1995" s="264"/>
      <c r="C1995" s="265"/>
      <c r="D1995" s="266"/>
      <c r="E1995" s="263"/>
      <c r="F1995" s="267"/>
      <c r="G1995" s="267"/>
      <c r="H1995" s="268"/>
      <c r="I1995" s="268"/>
      <c r="J1995" s="267"/>
      <c r="K1995" s="265"/>
      <c r="L1995" s="265"/>
      <c r="M1995" s="269"/>
      <c r="N1995" s="270"/>
      <c r="O1995" s="271"/>
      <c r="P1995" s="271"/>
      <c r="Q1995" s="272"/>
      <c r="R1995" s="273"/>
      <c r="S1995" s="273"/>
      <c r="T1995" s="273"/>
      <c r="U1995" s="274"/>
      <c r="V1995" s="263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</row>
    <row r="1996">
      <c r="A1996" s="263"/>
      <c r="B1996" s="264"/>
      <c r="C1996" s="265"/>
      <c r="D1996" s="266"/>
      <c r="E1996" s="263"/>
      <c r="F1996" s="267"/>
      <c r="G1996" s="267"/>
      <c r="H1996" s="268"/>
      <c r="I1996" s="268"/>
      <c r="J1996" s="267"/>
      <c r="K1996" s="265"/>
      <c r="L1996" s="265"/>
      <c r="M1996" s="269"/>
      <c r="N1996" s="270"/>
      <c r="O1996" s="271"/>
      <c r="P1996" s="271"/>
      <c r="Q1996" s="272"/>
      <c r="R1996" s="273"/>
      <c r="S1996" s="273"/>
      <c r="T1996" s="273"/>
      <c r="U1996" s="274"/>
      <c r="V1996" s="263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</row>
    <row r="1997">
      <c r="A1997" s="263"/>
      <c r="B1997" s="264"/>
      <c r="C1997" s="265"/>
      <c r="D1997" s="266"/>
      <c r="E1997" s="263"/>
      <c r="F1997" s="267"/>
      <c r="G1997" s="267"/>
      <c r="H1997" s="268"/>
      <c r="I1997" s="268"/>
      <c r="J1997" s="267"/>
      <c r="K1997" s="265"/>
      <c r="L1997" s="265"/>
      <c r="M1997" s="269"/>
      <c r="N1997" s="270"/>
      <c r="O1997" s="271"/>
      <c r="P1997" s="271"/>
      <c r="Q1997" s="272"/>
      <c r="R1997" s="273"/>
      <c r="S1997" s="273"/>
      <c r="T1997" s="273"/>
      <c r="U1997" s="274"/>
      <c r="V1997" s="263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</row>
    <row r="1998">
      <c r="A1998" s="263"/>
      <c r="B1998" s="264"/>
      <c r="C1998" s="265"/>
      <c r="D1998" s="266"/>
      <c r="E1998" s="263"/>
      <c r="F1998" s="267"/>
      <c r="G1998" s="267"/>
      <c r="H1998" s="268"/>
      <c r="I1998" s="268"/>
      <c r="J1998" s="267"/>
      <c r="K1998" s="265"/>
      <c r="L1998" s="265"/>
      <c r="M1998" s="269"/>
      <c r="N1998" s="270"/>
      <c r="O1998" s="271"/>
      <c r="P1998" s="271"/>
      <c r="Q1998" s="272"/>
      <c r="R1998" s="273"/>
      <c r="S1998" s="273"/>
      <c r="T1998" s="273"/>
      <c r="U1998" s="274"/>
      <c r="V1998" s="263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</row>
    <row r="1999">
      <c r="A1999" s="263"/>
      <c r="B1999" s="264"/>
      <c r="C1999" s="265"/>
      <c r="D1999" s="266"/>
      <c r="E1999" s="263"/>
      <c r="F1999" s="267"/>
      <c r="G1999" s="267"/>
      <c r="H1999" s="268"/>
      <c r="I1999" s="268"/>
      <c r="J1999" s="267"/>
      <c r="K1999" s="265"/>
      <c r="L1999" s="265"/>
      <c r="M1999" s="269"/>
      <c r="N1999" s="270"/>
      <c r="O1999" s="271"/>
      <c r="P1999" s="271"/>
      <c r="Q1999" s="272"/>
      <c r="R1999" s="273"/>
      <c r="S1999" s="273"/>
      <c r="T1999" s="273"/>
      <c r="U1999" s="274"/>
      <c r="V1999" s="263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</row>
    <row r="2000">
      <c r="A2000" s="263"/>
      <c r="B2000" s="264"/>
      <c r="C2000" s="265"/>
      <c r="D2000" s="266"/>
      <c r="E2000" s="263"/>
      <c r="F2000" s="267"/>
      <c r="G2000" s="267"/>
      <c r="H2000" s="268"/>
      <c r="I2000" s="268"/>
      <c r="J2000" s="267"/>
      <c r="K2000" s="265"/>
      <c r="L2000" s="265"/>
      <c r="M2000" s="269"/>
      <c r="N2000" s="270"/>
      <c r="O2000" s="271"/>
      <c r="P2000" s="271"/>
      <c r="Q2000" s="272"/>
      <c r="R2000" s="273"/>
      <c r="S2000" s="273"/>
      <c r="T2000" s="273"/>
      <c r="U2000" s="274"/>
      <c r="V2000" s="263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</row>
    <row r="2001">
      <c r="A2001" s="263"/>
      <c r="B2001" s="264"/>
      <c r="C2001" s="265"/>
      <c r="D2001" s="266"/>
      <c r="E2001" s="263"/>
      <c r="F2001" s="267"/>
      <c r="G2001" s="267"/>
      <c r="H2001" s="268"/>
      <c r="I2001" s="268"/>
      <c r="J2001" s="267"/>
      <c r="K2001" s="265"/>
      <c r="L2001" s="265"/>
      <c r="M2001" s="269"/>
      <c r="N2001" s="270"/>
      <c r="O2001" s="271"/>
      <c r="P2001" s="271"/>
      <c r="Q2001" s="272"/>
      <c r="R2001" s="273"/>
      <c r="S2001" s="273"/>
      <c r="T2001" s="273"/>
      <c r="U2001" s="274"/>
      <c r="V2001" s="263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</row>
    <row r="2002">
      <c r="A2002" s="263"/>
      <c r="B2002" s="264"/>
      <c r="C2002" s="265"/>
      <c r="D2002" s="266"/>
      <c r="E2002" s="263"/>
      <c r="F2002" s="267"/>
      <c r="G2002" s="267"/>
      <c r="H2002" s="268"/>
      <c r="I2002" s="268"/>
      <c r="J2002" s="267"/>
      <c r="K2002" s="265"/>
      <c r="L2002" s="265"/>
      <c r="M2002" s="269"/>
      <c r="N2002" s="270"/>
      <c r="O2002" s="271"/>
      <c r="P2002" s="271"/>
      <c r="Q2002" s="272"/>
      <c r="R2002" s="273"/>
      <c r="S2002" s="273"/>
      <c r="T2002" s="273"/>
      <c r="U2002" s="274"/>
      <c r="V2002" s="263"/>
      <c r="W2002" s="188"/>
      <c r="X2002" s="188"/>
      <c r="Y2002" s="188"/>
      <c r="Z2002" s="188"/>
      <c r="AA2002" s="188"/>
      <c r="AB2002" s="188"/>
      <c r="AC2002" s="188"/>
      <c r="AD2002" s="188"/>
      <c r="AE2002" s="188"/>
      <c r="AF2002" s="188"/>
      <c r="AG2002" s="188"/>
      <c r="AH2002" s="188"/>
      <c r="AI2002" s="188"/>
    </row>
    <row r="2003">
      <c r="A2003" s="263"/>
      <c r="B2003" s="264"/>
      <c r="C2003" s="265"/>
      <c r="D2003" s="266"/>
      <c r="E2003" s="263"/>
      <c r="F2003" s="267"/>
      <c r="G2003" s="267"/>
      <c r="H2003" s="268"/>
      <c r="I2003" s="268"/>
      <c r="J2003" s="267"/>
      <c r="K2003" s="265"/>
      <c r="L2003" s="265"/>
      <c r="M2003" s="269"/>
      <c r="N2003" s="270"/>
      <c r="O2003" s="271"/>
      <c r="P2003" s="271"/>
      <c r="Q2003" s="272"/>
      <c r="R2003" s="273"/>
      <c r="S2003" s="273"/>
      <c r="T2003" s="273"/>
      <c r="U2003" s="274"/>
      <c r="V2003" s="263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</row>
    <row r="2004">
      <c r="A2004" s="263"/>
      <c r="B2004" s="264"/>
      <c r="C2004" s="265"/>
      <c r="D2004" s="266"/>
      <c r="E2004" s="263"/>
      <c r="F2004" s="267"/>
      <c r="G2004" s="267"/>
      <c r="H2004" s="268"/>
      <c r="I2004" s="268"/>
      <c r="J2004" s="267"/>
      <c r="K2004" s="265"/>
      <c r="L2004" s="265"/>
      <c r="M2004" s="269"/>
      <c r="N2004" s="270"/>
      <c r="O2004" s="271"/>
      <c r="P2004" s="271"/>
      <c r="Q2004" s="272"/>
      <c r="R2004" s="273"/>
      <c r="S2004" s="273"/>
      <c r="T2004" s="273"/>
      <c r="U2004" s="274"/>
      <c r="V2004" s="263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</row>
    <row r="2005">
      <c r="A2005" s="263"/>
      <c r="B2005" s="264"/>
      <c r="C2005" s="265"/>
      <c r="D2005" s="266"/>
      <c r="E2005" s="263"/>
      <c r="F2005" s="267"/>
      <c r="G2005" s="267"/>
      <c r="H2005" s="268"/>
      <c r="I2005" s="268"/>
      <c r="J2005" s="267"/>
      <c r="K2005" s="265"/>
      <c r="L2005" s="265"/>
      <c r="M2005" s="269"/>
      <c r="N2005" s="270"/>
      <c r="O2005" s="271"/>
      <c r="P2005" s="271"/>
      <c r="Q2005" s="272"/>
      <c r="R2005" s="273"/>
      <c r="S2005" s="273"/>
      <c r="T2005" s="273"/>
      <c r="U2005" s="274"/>
      <c r="V2005" s="263"/>
      <c r="W2005" s="35"/>
      <c r="X2005" s="35"/>
      <c r="Y2005" s="35"/>
      <c r="Z2005" s="35"/>
      <c r="AA2005" s="35"/>
      <c r="AB2005" s="35"/>
      <c r="AC2005" s="35"/>
      <c r="AD2005" s="35"/>
      <c r="AE2005" s="35"/>
      <c r="AF2005" s="35"/>
      <c r="AG2005" s="35"/>
      <c r="AH2005" s="35"/>
      <c r="AI2005" s="35"/>
    </row>
    <row r="2006">
      <c r="A2006" s="263"/>
      <c r="B2006" s="264"/>
      <c r="C2006" s="265"/>
      <c r="D2006" s="266"/>
      <c r="E2006" s="263"/>
      <c r="F2006" s="267"/>
      <c r="G2006" s="267"/>
      <c r="H2006" s="268"/>
      <c r="I2006" s="268"/>
      <c r="J2006" s="267"/>
      <c r="K2006" s="265"/>
      <c r="L2006" s="265"/>
      <c r="M2006" s="269"/>
      <c r="N2006" s="270"/>
      <c r="O2006" s="271"/>
      <c r="P2006" s="271"/>
      <c r="Q2006" s="272"/>
      <c r="R2006" s="273"/>
      <c r="S2006" s="273"/>
      <c r="T2006" s="273"/>
      <c r="U2006" s="274"/>
      <c r="V2006" s="263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</row>
    <row r="2007">
      <c r="A2007" s="263"/>
      <c r="B2007" s="264"/>
      <c r="C2007" s="265"/>
      <c r="D2007" s="266"/>
      <c r="E2007" s="263"/>
      <c r="F2007" s="267"/>
      <c r="G2007" s="267"/>
      <c r="H2007" s="268"/>
      <c r="I2007" s="268"/>
      <c r="J2007" s="267"/>
      <c r="K2007" s="265"/>
      <c r="L2007" s="265"/>
      <c r="M2007" s="269"/>
      <c r="N2007" s="270"/>
      <c r="O2007" s="271"/>
      <c r="P2007" s="271"/>
      <c r="Q2007" s="272"/>
      <c r="R2007" s="273"/>
      <c r="S2007" s="273"/>
      <c r="T2007" s="273"/>
      <c r="U2007" s="274"/>
      <c r="V2007" s="263"/>
      <c r="W2007" s="188"/>
      <c r="X2007" s="188"/>
      <c r="Y2007" s="188"/>
      <c r="Z2007" s="188"/>
      <c r="AA2007" s="188"/>
      <c r="AB2007" s="188"/>
      <c r="AC2007" s="188"/>
      <c r="AD2007" s="188"/>
      <c r="AE2007" s="188"/>
      <c r="AF2007" s="188"/>
      <c r="AG2007" s="188"/>
      <c r="AH2007" s="188"/>
      <c r="AI2007" s="188"/>
    </row>
    <row r="2008">
      <c r="A2008" s="263"/>
      <c r="B2008" s="264"/>
      <c r="C2008" s="265"/>
      <c r="D2008" s="266"/>
      <c r="E2008" s="263"/>
      <c r="F2008" s="267"/>
      <c r="G2008" s="267"/>
      <c r="H2008" s="268"/>
      <c r="I2008" s="268"/>
      <c r="J2008" s="267"/>
      <c r="K2008" s="265"/>
      <c r="L2008" s="265"/>
      <c r="M2008" s="269"/>
      <c r="N2008" s="270"/>
      <c r="O2008" s="271"/>
      <c r="P2008" s="271"/>
      <c r="Q2008" s="272"/>
      <c r="R2008" s="273"/>
      <c r="S2008" s="273"/>
      <c r="T2008" s="273"/>
      <c r="U2008" s="274"/>
      <c r="V2008" s="263"/>
      <c r="W2008" s="188"/>
      <c r="X2008" s="188"/>
      <c r="Y2008" s="188"/>
      <c r="Z2008" s="188"/>
      <c r="AA2008" s="188"/>
      <c r="AB2008" s="188"/>
      <c r="AC2008" s="188"/>
      <c r="AD2008" s="188"/>
      <c r="AE2008" s="188"/>
      <c r="AF2008" s="188"/>
      <c r="AG2008" s="188"/>
      <c r="AH2008" s="188"/>
      <c r="AI2008" s="188"/>
    </row>
    <row r="2009">
      <c r="A2009" s="263"/>
      <c r="B2009" s="264"/>
      <c r="C2009" s="265"/>
      <c r="D2009" s="266"/>
      <c r="E2009" s="263"/>
      <c r="F2009" s="267"/>
      <c r="G2009" s="267"/>
      <c r="H2009" s="268"/>
      <c r="I2009" s="268"/>
      <c r="J2009" s="267"/>
      <c r="K2009" s="265"/>
      <c r="L2009" s="265"/>
      <c r="M2009" s="269"/>
      <c r="N2009" s="270"/>
      <c r="O2009" s="271"/>
      <c r="P2009" s="271"/>
      <c r="Q2009" s="272"/>
      <c r="R2009" s="273"/>
      <c r="S2009" s="273"/>
      <c r="T2009" s="273"/>
      <c r="U2009" s="274"/>
      <c r="V2009" s="263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</row>
    <row r="2010">
      <c r="A2010" s="263"/>
      <c r="B2010" s="264"/>
      <c r="C2010" s="265"/>
      <c r="D2010" s="266"/>
      <c r="E2010" s="263"/>
      <c r="F2010" s="267"/>
      <c r="G2010" s="267"/>
      <c r="H2010" s="268"/>
      <c r="I2010" s="268"/>
      <c r="J2010" s="267"/>
      <c r="K2010" s="265"/>
      <c r="L2010" s="265"/>
      <c r="M2010" s="269"/>
      <c r="N2010" s="270"/>
      <c r="O2010" s="271"/>
      <c r="P2010" s="271"/>
      <c r="Q2010" s="272"/>
      <c r="R2010" s="273"/>
      <c r="S2010" s="273"/>
      <c r="T2010" s="260"/>
      <c r="U2010" s="261"/>
      <c r="V2010" s="251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</row>
    <row r="2011">
      <c r="A2011" s="263"/>
      <c r="B2011" s="264"/>
      <c r="C2011" s="265"/>
      <c r="D2011" s="266"/>
      <c r="E2011" s="263"/>
      <c r="F2011" s="267"/>
      <c r="G2011" s="267"/>
      <c r="H2011" s="268"/>
      <c r="I2011" s="268"/>
      <c r="J2011" s="267"/>
      <c r="K2011" s="265"/>
      <c r="L2011" s="265"/>
      <c r="M2011" s="269"/>
      <c r="N2011" s="270"/>
      <c r="O2011" s="271"/>
      <c r="P2011" s="271"/>
      <c r="Q2011" s="272"/>
      <c r="R2011" s="273"/>
      <c r="S2011" s="273"/>
      <c r="T2011" s="273"/>
      <c r="U2011" s="274"/>
      <c r="V2011" s="263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</row>
    <row r="2012">
      <c r="A2012" s="263"/>
      <c r="B2012" s="264"/>
      <c r="C2012" s="265"/>
      <c r="D2012" s="266"/>
      <c r="E2012" s="263"/>
      <c r="F2012" s="267"/>
      <c r="G2012" s="267"/>
      <c r="H2012" s="268"/>
      <c r="I2012" s="268"/>
      <c r="J2012" s="267"/>
      <c r="K2012" s="265"/>
      <c r="L2012" s="265"/>
      <c r="M2012" s="269"/>
      <c r="N2012" s="270"/>
      <c r="O2012" s="271"/>
      <c r="P2012" s="271"/>
      <c r="Q2012" s="272"/>
      <c r="R2012" s="273"/>
      <c r="S2012" s="273"/>
      <c r="T2012" s="273"/>
      <c r="U2012" s="274"/>
      <c r="V2012" s="263"/>
      <c r="W2012" s="35"/>
      <c r="X2012" s="35"/>
      <c r="Y2012" s="35"/>
      <c r="Z2012" s="35"/>
      <c r="AA2012" s="35"/>
      <c r="AB2012" s="35"/>
      <c r="AC2012" s="35"/>
      <c r="AD2012" s="35"/>
      <c r="AE2012" s="35"/>
      <c r="AF2012" s="35"/>
      <c r="AG2012" s="35"/>
      <c r="AH2012" s="35"/>
      <c r="AI2012" s="35"/>
    </row>
    <row r="2013">
      <c r="A2013" s="263"/>
      <c r="B2013" s="264"/>
      <c r="C2013" s="265"/>
      <c r="D2013" s="266"/>
      <c r="E2013" s="263"/>
      <c r="F2013" s="267"/>
      <c r="G2013" s="267"/>
      <c r="H2013" s="268"/>
      <c r="I2013" s="268"/>
      <c r="J2013" s="267"/>
      <c r="K2013" s="265"/>
      <c r="L2013" s="265"/>
      <c r="M2013" s="269"/>
      <c r="N2013" s="270"/>
      <c r="O2013" s="271"/>
      <c r="P2013" s="271"/>
      <c r="Q2013" s="272"/>
      <c r="R2013" s="273"/>
      <c r="S2013" s="273"/>
      <c r="T2013" s="273"/>
      <c r="U2013" s="274"/>
      <c r="V2013" s="263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</row>
    <row r="2014">
      <c r="A2014" s="263"/>
      <c r="B2014" s="264"/>
      <c r="C2014" s="265"/>
      <c r="D2014" s="266"/>
      <c r="E2014" s="263"/>
      <c r="F2014" s="267"/>
      <c r="G2014" s="267"/>
      <c r="H2014" s="268"/>
      <c r="I2014" s="268"/>
      <c r="J2014" s="267"/>
      <c r="K2014" s="265"/>
      <c r="L2014" s="265"/>
      <c r="M2014" s="269"/>
      <c r="N2014" s="270"/>
      <c r="O2014" s="271"/>
      <c r="P2014" s="271"/>
      <c r="Q2014" s="272"/>
      <c r="R2014" s="273"/>
      <c r="S2014" s="273"/>
      <c r="T2014" s="273"/>
      <c r="U2014" s="274"/>
      <c r="V2014" s="263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</row>
    <row r="2015">
      <c r="A2015" s="263"/>
      <c r="B2015" s="264"/>
      <c r="C2015" s="265"/>
      <c r="D2015" s="266"/>
      <c r="E2015" s="263"/>
      <c r="F2015" s="267"/>
      <c r="G2015" s="267"/>
      <c r="H2015" s="268"/>
      <c r="I2015" s="268"/>
      <c r="J2015" s="267"/>
      <c r="K2015" s="265"/>
      <c r="L2015" s="265"/>
      <c r="M2015" s="269"/>
      <c r="N2015" s="270"/>
      <c r="O2015" s="271"/>
      <c r="P2015" s="271"/>
      <c r="Q2015" s="272"/>
      <c r="R2015" s="273"/>
      <c r="S2015" s="273"/>
      <c r="T2015" s="273"/>
      <c r="U2015" s="274"/>
      <c r="V2015" s="263"/>
      <c r="W2015" s="35"/>
      <c r="X2015" s="35"/>
      <c r="Y2015" s="35"/>
      <c r="Z2015" s="35"/>
      <c r="AA2015" s="35"/>
      <c r="AB2015" s="35"/>
      <c r="AC2015" s="35"/>
      <c r="AD2015" s="35"/>
      <c r="AE2015" s="35"/>
      <c r="AF2015" s="35"/>
      <c r="AG2015" s="35"/>
      <c r="AH2015" s="35"/>
      <c r="AI2015" s="35"/>
    </row>
    <row r="2016">
      <c r="A2016" s="263"/>
      <c r="B2016" s="264"/>
      <c r="C2016" s="265"/>
      <c r="D2016" s="266"/>
      <c r="E2016" s="263"/>
      <c r="F2016" s="267"/>
      <c r="G2016" s="267"/>
      <c r="H2016" s="268"/>
      <c r="I2016" s="268"/>
      <c r="J2016" s="267"/>
      <c r="K2016" s="265"/>
      <c r="L2016" s="265"/>
      <c r="M2016" s="269"/>
      <c r="N2016" s="270"/>
      <c r="O2016" s="271"/>
      <c r="P2016" s="271"/>
      <c r="Q2016" s="272"/>
      <c r="R2016" s="273"/>
      <c r="S2016" s="273"/>
      <c r="T2016" s="273"/>
      <c r="U2016" s="274"/>
      <c r="V2016" s="263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</row>
    <row r="2017">
      <c r="A2017" s="263"/>
      <c r="B2017" s="264"/>
      <c r="C2017" s="265"/>
      <c r="D2017" s="266"/>
      <c r="E2017" s="263"/>
      <c r="F2017" s="267"/>
      <c r="G2017" s="267"/>
      <c r="H2017" s="268"/>
      <c r="I2017" s="268"/>
      <c r="J2017" s="267"/>
      <c r="K2017" s="265"/>
      <c r="L2017" s="265"/>
      <c r="M2017" s="269"/>
      <c r="N2017" s="270"/>
      <c r="O2017" s="271"/>
      <c r="P2017" s="271"/>
      <c r="Q2017" s="272"/>
      <c r="R2017" s="273"/>
      <c r="S2017" s="273"/>
      <c r="T2017" s="273"/>
      <c r="U2017" s="274"/>
      <c r="V2017" s="263"/>
      <c r="W2017" s="188"/>
      <c r="X2017" s="188"/>
      <c r="Y2017" s="188"/>
      <c r="Z2017" s="188"/>
      <c r="AA2017" s="188"/>
      <c r="AB2017" s="188"/>
      <c r="AC2017" s="188"/>
      <c r="AD2017" s="188"/>
      <c r="AE2017" s="188"/>
      <c r="AF2017" s="188"/>
      <c r="AG2017" s="188"/>
      <c r="AH2017" s="188"/>
      <c r="AI2017" s="188"/>
    </row>
    <row r="2018">
      <c r="A2018" s="263"/>
      <c r="B2018" s="264"/>
      <c r="C2018" s="265"/>
      <c r="D2018" s="266"/>
      <c r="E2018" s="263"/>
      <c r="F2018" s="267"/>
      <c r="G2018" s="267"/>
      <c r="H2018" s="268"/>
      <c r="I2018" s="268"/>
      <c r="J2018" s="267"/>
      <c r="K2018" s="265"/>
      <c r="L2018" s="265"/>
      <c r="M2018" s="269"/>
      <c r="N2018" s="270"/>
      <c r="O2018" s="271"/>
      <c r="P2018" s="271"/>
      <c r="Q2018" s="272"/>
      <c r="R2018" s="273"/>
      <c r="S2018" s="273"/>
      <c r="T2018" s="273"/>
      <c r="U2018" s="274"/>
      <c r="V2018" s="263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</row>
    <row r="2019">
      <c r="A2019" s="263"/>
      <c r="B2019" s="264"/>
      <c r="C2019" s="265"/>
      <c r="D2019" s="266"/>
      <c r="E2019" s="263"/>
      <c r="F2019" s="267"/>
      <c r="G2019" s="267"/>
      <c r="H2019" s="268"/>
      <c r="I2019" s="268"/>
      <c r="J2019" s="267"/>
      <c r="K2019" s="265"/>
      <c r="L2019" s="265"/>
      <c r="M2019" s="269"/>
      <c r="N2019" s="270"/>
      <c r="O2019" s="271"/>
      <c r="P2019" s="271"/>
      <c r="Q2019" s="272"/>
      <c r="R2019" s="273"/>
      <c r="S2019" s="273"/>
      <c r="T2019" s="273"/>
      <c r="U2019" s="274"/>
      <c r="V2019" s="263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</row>
    <row r="2020">
      <c r="A2020" s="263"/>
      <c r="B2020" s="264"/>
      <c r="C2020" s="265"/>
      <c r="D2020" s="266"/>
      <c r="E2020" s="263"/>
      <c r="F2020" s="267"/>
      <c r="G2020" s="267"/>
      <c r="H2020" s="268"/>
      <c r="I2020" s="268"/>
      <c r="J2020" s="267"/>
      <c r="K2020" s="265"/>
      <c r="L2020" s="265"/>
      <c r="M2020" s="269"/>
      <c r="N2020" s="270"/>
      <c r="O2020" s="271"/>
      <c r="P2020" s="271"/>
      <c r="Q2020" s="272"/>
      <c r="R2020" s="273"/>
      <c r="S2020" s="273"/>
      <c r="T2020" s="273"/>
      <c r="U2020" s="274"/>
      <c r="V2020" s="263"/>
      <c r="W2020" s="35"/>
      <c r="X2020" s="35"/>
      <c r="Y2020" s="35"/>
      <c r="Z2020" s="35"/>
      <c r="AA2020" s="35"/>
      <c r="AB2020" s="35"/>
      <c r="AC2020" s="35"/>
      <c r="AD2020" s="35"/>
      <c r="AE2020" s="35"/>
      <c r="AF2020" s="35"/>
      <c r="AG2020" s="35"/>
      <c r="AH2020" s="35"/>
      <c r="AI2020" s="35"/>
    </row>
    <row r="2021">
      <c r="A2021" s="263"/>
      <c r="B2021" s="264"/>
      <c r="C2021" s="265"/>
      <c r="D2021" s="266"/>
      <c r="E2021" s="263"/>
      <c r="F2021" s="267"/>
      <c r="G2021" s="267"/>
      <c r="H2021" s="268"/>
      <c r="I2021" s="268"/>
      <c r="J2021" s="267"/>
      <c r="K2021" s="265"/>
      <c r="L2021" s="265"/>
      <c r="M2021" s="269"/>
      <c r="N2021" s="270"/>
      <c r="O2021" s="271"/>
      <c r="P2021" s="271"/>
      <c r="Q2021" s="272"/>
      <c r="R2021" s="273"/>
      <c r="S2021" s="273"/>
      <c r="T2021" s="273"/>
      <c r="U2021" s="274"/>
      <c r="V2021" s="263"/>
      <c r="W2021" s="35"/>
      <c r="X2021" s="35"/>
      <c r="Y2021" s="35"/>
      <c r="Z2021" s="35"/>
      <c r="AA2021" s="35"/>
      <c r="AB2021" s="35"/>
      <c r="AC2021" s="35"/>
      <c r="AD2021" s="35"/>
      <c r="AE2021" s="35"/>
      <c r="AF2021" s="35"/>
      <c r="AG2021" s="35"/>
      <c r="AH2021" s="35"/>
      <c r="AI2021" s="35"/>
    </row>
    <row r="2022">
      <c r="A2022" s="263"/>
      <c r="B2022" s="264"/>
      <c r="C2022" s="265"/>
      <c r="D2022" s="266"/>
      <c r="E2022" s="263"/>
      <c r="F2022" s="267"/>
      <c r="G2022" s="267"/>
      <c r="H2022" s="268"/>
      <c r="I2022" s="268"/>
      <c r="J2022" s="267"/>
      <c r="K2022" s="265"/>
      <c r="L2022" s="265"/>
      <c r="M2022" s="269"/>
      <c r="N2022" s="270"/>
      <c r="O2022" s="271"/>
      <c r="P2022" s="271"/>
      <c r="Q2022" s="272"/>
      <c r="R2022" s="273"/>
      <c r="S2022" s="273"/>
      <c r="T2022" s="273"/>
      <c r="U2022" s="274"/>
      <c r="V2022" s="263"/>
      <c r="W2022" s="188"/>
      <c r="X2022" s="188"/>
      <c r="Y2022" s="188"/>
      <c r="Z2022" s="188"/>
      <c r="AA2022" s="188"/>
      <c r="AB2022" s="188"/>
      <c r="AC2022" s="188"/>
      <c r="AD2022" s="188"/>
      <c r="AE2022" s="188"/>
      <c r="AF2022" s="188"/>
      <c r="AG2022" s="188"/>
      <c r="AH2022" s="188"/>
      <c r="AI2022" s="188"/>
    </row>
    <row r="2023">
      <c r="A2023" s="263"/>
      <c r="B2023" s="264"/>
      <c r="C2023" s="265"/>
      <c r="D2023" s="266"/>
      <c r="E2023" s="263"/>
      <c r="F2023" s="267"/>
      <c r="G2023" s="267"/>
      <c r="H2023" s="268"/>
      <c r="I2023" s="268"/>
      <c r="J2023" s="267"/>
      <c r="K2023" s="265"/>
      <c r="L2023" s="265"/>
      <c r="M2023" s="269"/>
      <c r="N2023" s="270"/>
      <c r="O2023" s="271"/>
      <c r="P2023" s="271"/>
      <c r="Q2023" s="272"/>
      <c r="R2023" s="273"/>
      <c r="S2023" s="273"/>
      <c r="T2023" s="273"/>
      <c r="U2023" s="274"/>
      <c r="V2023" s="263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</row>
    <row r="2024">
      <c r="A2024" s="263"/>
      <c r="B2024" s="264"/>
      <c r="C2024" s="265"/>
      <c r="D2024" s="266"/>
      <c r="E2024" s="263"/>
      <c r="F2024" s="267"/>
      <c r="G2024" s="267"/>
      <c r="H2024" s="268"/>
      <c r="I2024" s="268"/>
      <c r="J2024" s="267"/>
      <c r="K2024" s="265"/>
      <c r="L2024" s="265"/>
      <c r="M2024" s="269"/>
      <c r="N2024" s="270"/>
      <c r="O2024" s="271"/>
      <c r="P2024" s="271"/>
      <c r="Q2024" s="272"/>
      <c r="R2024" s="273"/>
      <c r="S2024" s="273"/>
      <c r="T2024" s="273"/>
      <c r="U2024" s="274"/>
      <c r="V2024" s="263"/>
      <c r="W2024" s="35"/>
      <c r="X2024" s="35"/>
      <c r="Y2024" s="35"/>
      <c r="Z2024" s="35"/>
      <c r="AA2024" s="35"/>
      <c r="AB2024" s="35"/>
      <c r="AC2024" s="35"/>
      <c r="AD2024" s="35"/>
      <c r="AE2024" s="35"/>
      <c r="AF2024" s="35"/>
      <c r="AG2024" s="35"/>
      <c r="AH2024" s="35"/>
      <c r="AI2024" s="35"/>
    </row>
    <row r="2025">
      <c r="A2025" s="263"/>
      <c r="B2025" s="264"/>
      <c r="C2025" s="265"/>
      <c r="D2025" s="266"/>
      <c r="E2025" s="263"/>
      <c r="F2025" s="267"/>
      <c r="G2025" s="267"/>
      <c r="H2025" s="268"/>
      <c r="I2025" s="268"/>
      <c r="J2025" s="267"/>
      <c r="K2025" s="265"/>
      <c r="L2025" s="265"/>
      <c r="M2025" s="269"/>
      <c r="N2025" s="270"/>
      <c r="O2025" s="271"/>
      <c r="P2025" s="271"/>
      <c r="Q2025" s="272"/>
      <c r="R2025" s="273"/>
      <c r="S2025" s="273"/>
      <c r="T2025" s="273"/>
      <c r="U2025" s="274"/>
      <c r="V2025" s="263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</row>
    <row r="2026">
      <c r="A2026" s="263"/>
      <c r="B2026" s="264"/>
      <c r="C2026" s="265"/>
      <c r="D2026" s="266"/>
      <c r="E2026" s="263"/>
      <c r="F2026" s="267"/>
      <c r="G2026" s="267"/>
      <c r="H2026" s="268"/>
      <c r="I2026" s="268"/>
      <c r="J2026" s="267"/>
      <c r="K2026" s="265"/>
      <c r="L2026" s="265"/>
      <c r="M2026" s="269"/>
      <c r="N2026" s="270"/>
      <c r="O2026" s="271"/>
      <c r="P2026" s="271"/>
      <c r="Q2026" s="272"/>
      <c r="R2026" s="273"/>
      <c r="S2026" s="273"/>
      <c r="T2026" s="273"/>
      <c r="U2026" s="274"/>
      <c r="V2026" s="263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</row>
    <row r="2027">
      <c r="A2027" s="263"/>
      <c r="B2027" s="264"/>
      <c r="C2027" s="265"/>
      <c r="D2027" s="266"/>
      <c r="E2027" s="263"/>
      <c r="F2027" s="267"/>
      <c r="G2027" s="267"/>
      <c r="H2027" s="268"/>
      <c r="I2027" s="268"/>
      <c r="J2027" s="267"/>
      <c r="K2027" s="265"/>
      <c r="L2027" s="265"/>
      <c r="M2027" s="269"/>
      <c r="N2027" s="270"/>
      <c r="O2027" s="271"/>
      <c r="P2027" s="271"/>
      <c r="Q2027" s="272"/>
      <c r="R2027" s="273"/>
      <c r="S2027" s="273"/>
      <c r="T2027" s="273"/>
      <c r="U2027" s="274"/>
      <c r="V2027" s="263"/>
      <c r="W2027" s="188"/>
      <c r="X2027" s="188"/>
      <c r="Y2027" s="188"/>
      <c r="Z2027" s="188"/>
      <c r="AA2027" s="188"/>
      <c r="AB2027" s="188"/>
      <c r="AC2027" s="188"/>
      <c r="AD2027" s="188"/>
      <c r="AE2027" s="188"/>
      <c r="AF2027" s="188"/>
      <c r="AG2027" s="188"/>
      <c r="AH2027" s="188"/>
      <c r="AI2027" s="188"/>
    </row>
    <row r="2028">
      <c r="A2028" s="263"/>
      <c r="B2028" s="264"/>
      <c r="C2028" s="265"/>
      <c r="D2028" s="266"/>
      <c r="E2028" s="263"/>
      <c r="F2028" s="267"/>
      <c r="G2028" s="267"/>
      <c r="H2028" s="268"/>
      <c r="I2028" s="268"/>
      <c r="J2028" s="267"/>
      <c r="K2028" s="265"/>
      <c r="L2028" s="265"/>
      <c r="M2028" s="269"/>
      <c r="N2028" s="270"/>
      <c r="O2028" s="271"/>
      <c r="P2028" s="271"/>
      <c r="Q2028" s="272"/>
      <c r="R2028" s="273"/>
      <c r="S2028" s="273"/>
      <c r="T2028" s="273"/>
      <c r="U2028" s="274"/>
      <c r="V2028" s="263"/>
      <c r="W2028" s="188"/>
      <c r="X2028" s="188"/>
      <c r="Y2028" s="188"/>
      <c r="Z2028" s="188"/>
      <c r="AA2028" s="188"/>
      <c r="AB2028" s="188"/>
      <c r="AC2028" s="188"/>
      <c r="AD2028" s="188"/>
      <c r="AE2028" s="188"/>
      <c r="AF2028" s="188"/>
      <c r="AG2028" s="188"/>
      <c r="AH2028" s="188"/>
      <c r="AI2028" s="188"/>
    </row>
    <row r="2029">
      <c r="A2029" s="263"/>
      <c r="B2029" s="264"/>
      <c r="C2029" s="265"/>
      <c r="D2029" s="266"/>
      <c r="E2029" s="263"/>
      <c r="F2029" s="267"/>
      <c r="G2029" s="267"/>
      <c r="H2029" s="268"/>
      <c r="I2029" s="268"/>
      <c r="J2029" s="267"/>
      <c r="K2029" s="265"/>
      <c r="L2029" s="265"/>
      <c r="M2029" s="269"/>
      <c r="N2029" s="270"/>
      <c r="O2029" s="271"/>
      <c r="P2029" s="271"/>
      <c r="Q2029" s="272"/>
      <c r="R2029" s="273"/>
      <c r="S2029" s="273"/>
      <c r="T2029" s="273"/>
      <c r="U2029" s="274"/>
      <c r="V2029" s="263"/>
      <c r="W2029" s="35"/>
      <c r="X2029" s="35"/>
      <c r="Y2029" s="35"/>
      <c r="Z2029" s="35"/>
      <c r="AA2029" s="35"/>
      <c r="AB2029" s="35"/>
      <c r="AC2029" s="35"/>
      <c r="AD2029" s="35"/>
      <c r="AE2029" s="35"/>
      <c r="AF2029" s="35"/>
      <c r="AG2029" s="35"/>
      <c r="AH2029" s="35"/>
      <c r="AI2029" s="35"/>
    </row>
    <row r="2030">
      <c r="A2030" s="263"/>
      <c r="B2030" s="264"/>
      <c r="C2030" s="265"/>
      <c r="D2030" s="266"/>
      <c r="E2030" s="263"/>
      <c r="F2030" s="267"/>
      <c r="G2030" s="267"/>
      <c r="H2030" s="268"/>
      <c r="I2030" s="268"/>
      <c r="J2030" s="267"/>
      <c r="K2030" s="265"/>
      <c r="L2030" s="265"/>
      <c r="M2030" s="269"/>
      <c r="N2030" s="270"/>
      <c r="O2030" s="271"/>
      <c r="P2030" s="271"/>
      <c r="Q2030" s="272"/>
      <c r="R2030" s="273"/>
      <c r="S2030" s="273"/>
      <c r="T2030" s="273"/>
      <c r="U2030" s="274"/>
      <c r="V2030" s="263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</row>
    <row r="2031">
      <c r="A2031" s="263"/>
      <c r="B2031" s="264"/>
      <c r="C2031" s="265"/>
      <c r="D2031" s="266"/>
      <c r="E2031" s="263"/>
      <c r="F2031" s="267"/>
      <c r="G2031" s="267"/>
      <c r="H2031" s="268"/>
      <c r="I2031" s="268"/>
      <c r="J2031" s="267"/>
      <c r="K2031" s="265"/>
      <c r="L2031" s="265"/>
      <c r="M2031" s="269"/>
      <c r="N2031" s="270"/>
      <c r="O2031" s="271"/>
      <c r="P2031" s="271"/>
      <c r="Q2031" s="272"/>
      <c r="R2031" s="273"/>
      <c r="S2031" s="273"/>
      <c r="T2031" s="273"/>
      <c r="U2031" s="274"/>
      <c r="V2031" s="263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</row>
    <row r="2032">
      <c r="A2032" s="263"/>
      <c r="B2032" s="264"/>
      <c r="C2032" s="265"/>
      <c r="D2032" s="266"/>
      <c r="E2032" s="263"/>
      <c r="F2032" s="267"/>
      <c r="G2032" s="267"/>
      <c r="H2032" s="268"/>
      <c r="I2032" s="268"/>
      <c r="J2032" s="267"/>
      <c r="K2032" s="265"/>
      <c r="L2032" s="265"/>
      <c r="M2032" s="269"/>
      <c r="N2032" s="270"/>
      <c r="O2032" s="271"/>
      <c r="P2032" s="271"/>
      <c r="Q2032" s="272"/>
      <c r="R2032" s="273"/>
      <c r="S2032" s="273"/>
      <c r="T2032" s="273"/>
      <c r="U2032" s="274"/>
      <c r="V2032" s="263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</row>
    <row r="2033">
      <c r="A2033" s="263"/>
      <c r="B2033" s="264"/>
      <c r="C2033" s="265"/>
      <c r="D2033" s="266"/>
      <c r="E2033" s="263"/>
      <c r="F2033" s="267"/>
      <c r="G2033" s="267"/>
      <c r="H2033" s="268"/>
      <c r="I2033" s="268"/>
      <c r="J2033" s="267"/>
      <c r="K2033" s="265"/>
      <c r="L2033" s="265"/>
      <c r="M2033" s="269"/>
      <c r="N2033" s="270"/>
      <c r="O2033" s="271"/>
      <c r="P2033" s="271"/>
      <c r="Q2033" s="272"/>
      <c r="R2033" s="273"/>
      <c r="S2033" s="273"/>
      <c r="T2033" s="273"/>
      <c r="U2033" s="274"/>
      <c r="V2033" s="263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</row>
    <row r="2034">
      <c r="A2034" s="263"/>
      <c r="B2034" s="264"/>
      <c r="C2034" s="265"/>
      <c r="D2034" s="266"/>
      <c r="E2034" s="263"/>
      <c r="F2034" s="267"/>
      <c r="G2034" s="267"/>
      <c r="H2034" s="268"/>
      <c r="I2034" s="268"/>
      <c r="J2034" s="267"/>
      <c r="K2034" s="265"/>
      <c r="L2034" s="265"/>
      <c r="M2034" s="269"/>
      <c r="N2034" s="270"/>
      <c r="O2034" s="271"/>
      <c r="P2034" s="271"/>
      <c r="Q2034" s="272"/>
      <c r="R2034" s="273"/>
      <c r="S2034" s="273"/>
      <c r="T2034" s="273"/>
      <c r="U2034" s="274"/>
      <c r="V2034" s="263"/>
      <c r="W2034" s="35"/>
      <c r="X2034" s="35"/>
      <c r="Y2034" s="35"/>
      <c r="Z2034" s="35"/>
      <c r="AA2034" s="35"/>
      <c r="AB2034" s="35"/>
      <c r="AC2034" s="35"/>
      <c r="AD2034" s="35"/>
      <c r="AE2034" s="35"/>
      <c r="AF2034" s="35"/>
      <c r="AG2034" s="35"/>
      <c r="AH2034" s="35"/>
      <c r="AI2034" s="35"/>
    </row>
    <row r="2035">
      <c r="A2035" s="263"/>
      <c r="B2035" s="264"/>
      <c r="C2035" s="265"/>
      <c r="D2035" s="266"/>
      <c r="E2035" s="263"/>
      <c r="F2035" s="267"/>
      <c r="G2035" s="267"/>
      <c r="H2035" s="268"/>
      <c r="I2035" s="268"/>
      <c r="J2035" s="267"/>
      <c r="K2035" s="265"/>
      <c r="L2035" s="265"/>
      <c r="M2035" s="269"/>
      <c r="N2035" s="270"/>
      <c r="O2035" s="271"/>
      <c r="P2035" s="271"/>
      <c r="Q2035" s="272"/>
      <c r="R2035" s="273"/>
      <c r="S2035" s="273"/>
      <c r="T2035" s="273"/>
      <c r="U2035" s="274"/>
      <c r="V2035" s="263"/>
      <c r="W2035" s="36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</row>
    <row r="2036">
      <c r="A2036" s="263"/>
      <c r="B2036" s="264"/>
      <c r="C2036" s="265"/>
      <c r="D2036" s="266"/>
      <c r="E2036" s="263"/>
      <c r="F2036" s="267"/>
      <c r="G2036" s="267"/>
      <c r="H2036" s="268"/>
      <c r="I2036" s="268"/>
      <c r="J2036" s="267"/>
      <c r="K2036" s="265"/>
      <c r="L2036" s="265"/>
      <c r="M2036" s="269"/>
      <c r="N2036" s="270"/>
      <c r="O2036" s="271"/>
      <c r="P2036" s="271"/>
      <c r="Q2036" s="272"/>
      <c r="R2036" s="273"/>
      <c r="S2036" s="273"/>
      <c r="T2036" s="260"/>
      <c r="U2036" s="261"/>
      <c r="V2036" s="251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</row>
    <row r="2037">
      <c r="A2037" s="263"/>
      <c r="B2037" s="264"/>
      <c r="C2037" s="265"/>
      <c r="D2037" s="266"/>
      <c r="E2037" s="263"/>
      <c r="F2037" s="267"/>
      <c r="G2037" s="267"/>
      <c r="H2037" s="268"/>
      <c r="I2037" s="268"/>
      <c r="J2037" s="267"/>
      <c r="K2037" s="265"/>
      <c r="L2037" s="265"/>
      <c r="M2037" s="269"/>
      <c r="N2037" s="270"/>
      <c r="O2037" s="271"/>
      <c r="P2037" s="271"/>
      <c r="Q2037" s="272"/>
      <c r="R2037" s="273"/>
      <c r="S2037" s="273"/>
      <c r="T2037" s="273"/>
      <c r="U2037" s="274"/>
      <c r="V2037" s="263"/>
      <c r="W2037" s="188"/>
      <c r="X2037" s="188"/>
      <c r="Y2037" s="188"/>
      <c r="Z2037" s="188"/>
      <c r="AA2037" s="188"/>
      <c r="AB2037" s="188"/>
      <c r="AC2037" s="188"/>
      <c r="AD2037" s="188"/>
      <c r="AE2037" s="188"/>
      <c r="AF2037" s="188"/>
      <c r="AG2037" s="188"/>
      <c r="AH2037" s="188"/>
      <c r="AI2037" s="188"/>
    </row>
    <row r="2038">
      <c r="A2038" s="263"/>
      <c r="B2038" s="264"/>
      <c r="C2038" s="265"/>
      <c r="D2038" s="266"/>
      <c r="E2038" s="263"/>
      <c r="F2038" s="267"/>
      <c r="G2038" s="267"/>
      <c r="H2038" s="268"/>
      <c r="I2038" s="268"/>
      <c r="J2038" s="267"/>
      <c r="K2038" s="265"/>
      <c r="L2038" s="265"/>
      <c r="M2038" s="269"/>
      <c r="N2038" s="270"/>
      <c r="O2038" s="271"/>
      <c r="P2038" s="271"/>
      <c r="Q2038" s="272"/>
      <c r="R2038" s="273"/>
      <c r="S2038" s="273"/>
      <c r="T2038" s="273"/>
      <c r="U2038" s="274"/>
      <c r="V2038" s="263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</row>
    <row r="2039">
      <c r="A2039" s="263"/>
      <c r="B2039" s="264"/>
      <c r="C2039" s="265"/>
      <c r="D2039" s="266"/>
      <c r="E2039" s="263"/>
      <c r="F2039" s="267"/>
      <c r="G2039" s="267"/>
      <c r="H2039" s="268"/>
      <c r="I2039" s="268"/>
      <c r="J2039" s="267"/>
      <c r="K2039" s="265"/>
      <c r="L2039" s="265"/>
      <c r="M2039" s="269"/>
      <c r="N2039" s="270"/>
      <c r="O2039" s="271"/>
      <c r="P2039" s="271"/>
      <c r="Q2039" s="272"/>
      <c r="R2039" s="273"/>
      <c r="S2039" s="273"/>
      <c r="T2039" s="273"/>
      <c r="U2039" s="274"/>
      <c r="V2039" s="263"/>
      <c r="W2039" s="188"/>
      <c r="X2039" s="188"/>
      <c r="Y2039" s="188"/>
      <c r="Z2039" s="188"/>
      <c r="AA2039" s="188"/>
      <c r="AB2039" s="188"/>
      <c r="AC2039" s="188"/>
      <c r="AD2039" s="188"/>
      <c r="AE2039" s="188"/>
      <c r="AF2039" s="188"/>
      <c r="AG2039" s="188"/>
      <c r="AH2039" s="188"/>
      <c r="AI2039" s="188"/>
    </row>
    <row r="2040">
      <c r="A2040" s="263"/>
      <c r="B2040" s="264"/>
      <c r="C2040" s="265"/>
      <c r="D2040" s="266"/>
      <c r="E2040" s="263"/>
      <c r="F2040" s="267"/>
      <c r="G2040" s="267"/>
      <c r="H2040" s="268"/>
      <c r="I2040" s="268"/>
      <c r="J2040" s="267"/>
      <c r="K2040" s="265"/>
      <c r="L2040" s="265"/>
      <c r="M2040" s="269"/>
      <c r="N2040" s="270"/>
      <c r="O2040" s="271"/>
      <c r="P2040" s="271"/>
      <c r="Q2040" s="272"/>
      <c r="R2040" s="273"/>
      <c r="S2040" s="273"/>
      <c r="T2040" s="273"/>
      <c r="U2040" s="274"/>
      <c r="V2040" s="263"/>
      <c r="W2040" s="35"/>
      <c r="X2040" s="35"/>
      <c r="Y2040" s="35"/>
      <c r="Z2040" s="35"/>
      <c r="AA2040" s="35"/>
      <c r="AB2040" s="35"/>
      <c r="AC2040" s="35"/>
      <c r="AD2040" s="35"/>
      <c r="AE2040" s="35"/>
      <c r="AF2040" s="35"/>
      <c r="AG2040" s="35"/>
      <c r="AH2040" s="35"/>
      <c r="AI2040" s="35"/>
    </row>
    <row r="2041">
      <c r="A2041" s="263"/>
      <c r="B2041" s="264"/>
      <c r="C2041" s="265"/>
      <c r="D2041" s="266"/>
      <c r="E2041" s="263"/>
      <c r="F2041" s="267"/>
      <c r="G2041" s="267"/>
      <c r="H2041" s="268"/>
      <c r="I2041" s="268"/>
      <c r="J2041" s="267"/>
      <c r="K2041" s="265"/>
      <c r="L2041" s="265"/>
      <c r="M2041" s="269"/>
      <c r="N2041" s="270"/>
      <c r="O2041" s="271"/>
      <c r="P2041" s="271"/>
      <c r="Q2041" s="272"/>
      <c r="R2041" s="273"/>
      <c r="S2041" s="273"/>
      <c r="T2041" s="273"/>
      <c r="U2041" s="274"/>
      <c r="V2041" s="263"/>
      <c r="W2041" s="188"/>
      <c r="X2041" s="188"/>
      <c r="Y2041" s="188"/>
      <c r="Z2041" s="188"/>
      <c r="AA2041" s="188"/>
      <c r="AB2041" s="188"/>
      <c r="AC2041" s="188"/>
      <c r="AD2041" s="188"/>
      <c r="AE2041" s="188"/>
      <c r="AF2041" s="188"/>
      <c r="AG2041" s="188"/>
      <c r="AH2041" s="188"/>
      <c r="AI2041" s="188"/>
    </row>
    <row r="2042">
      <c r="A2042" s="263"/>
      <c r="B2042" s="264"/>
      <c r="C2042" s="265"/>
      <c r="D2042" s="266"/>
      <c r="E2042" s="263"/>
      <c r="F2042" s="267"/>
      <c r="G2042" s="267"/>
      <c r="H2042" s="268"/>
      <c r="I2042" s="268"/>
      <c r="J2042" s="267"/>
      <c r="K2042" s="265"/>
      <c r="L2042" s="265"/>
      <c r="M2042" s="269"/>
      <c r="N2042" s="270"/>
      <c r="O2042" s="271"/>
      <c r="P2042" s="271"/>
      <c r="Q2042" s="272"/>
      <c r="R2042" s="273"/>
      <c r="S2042" s="273"/>
      <c r="T2042" s="273"/>
      <c r="U2042" s="274"/>
      <c r="V2042" s="263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</row>
    <row r="2043">
      <c r="A2043" s="263"/>
      <c r="B2043" s="264"/>
      <c r="C2043" s="265"/>
      <c r="D2043" s="266"/>
      <c r="E2043" s="263"/>
      <c r="F2043" s="267"/>
      <c r="G2043" s="267"/>
      <c r="H2043" s="268"/>
      <c r="I2043" s="268"/>
      <c r="J2043" s="267"/>
      <c r="K2043" s="265"/>
      <c r="L2043" s="265"/>
      <c r="M2043" s="269"/>
      <c r="N2043" s="270"/>
      <c r="O2043" s="271"/>
      <c r="P2043" s="271"/>
      <c r="Q2043" s="272"/>
      <c r="R2043" s="273"/>
      <c r="S2043" s="273"/>
      <c r="T2043" s="273"/>
      <c r="U2043" s="274"/>
      <c r="V2043" s="263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</row>
    <row r="2044">
      <c r="A2044" s="263"/>
      <c r="B2044" s="264"/>
      <c r="C2044" s="265"/>
      <c r="D2044" s="266"/>
      <c r="E2044" s="263"/>
      <c r="F2044" s="267"/>
      <c r="G2044" s="267"/>
      <c r="H2044" s="268"/>
      <c r="I2044" s="268"/>
      <c r="J2044" s="267"/>
      <c r="K2044" s="265"/>
      <c r="L2044" s="265"/>
      <c r="M2044" s="269"/>
      <c r="N2044" s="270"/>
      <c r="O2044" s="271"/>
      <c r="P2044" s="271"/>
      <c r="Q2044" s="272"/>
      <c r="R2044" s="273"/>
      <c r="S2044" s="273"/>
      <c r="T2044" s="273"/>
      <c r="U2044" s="274"/>
      <c r="V2044" s="263"/>
      <c r="W2044" s="35"/>
      <c r="X2044" s="35"/>
      <c r="Y2044" s="35"/>
      <c r="Z2044" s="35"/>
      <c r="AA2044" s="35"/>
      <c r="AB2044" s="35"/>
      <c r="AC2044" s="35"/>
      <c r="AD2044" s="35"/>
      <c r="AE2044" s="35"/>
      <c r="AF2044" s="35"/>
      <c r="AG2044" s="35"/>
      <c r="AH2044" s="35"/>
      <c r="AI2044" s="35"/>
    </row>
    <row r="2045">
      <c r="A2045" s="263"/>
      <c r="B2045" s="264"/>
      <c r="C2045" s="265"/>
      <c r="D2045" s="266"/>
      <c r="E2045" s="263"/>
      <c r="F2045" s="267"/>
      <c r="G2045" s="267"/>
      <c r="H2045" s="268"/>
      <c r="I2045" s="268"/>
      <c r="J2045" s="267"/>
      <c r="K2045" s="265"/>
      <c r="L2045" s="265"/>
      <c r="M2045" s="269"/>
      <c r="N2045" s="270"/>
      <c r="O2045" s="271"/>
      <c r="P2045" s="271"/>
      <c r="Q2045" s="272"/>
      <c r="R2045" s="273"/>
      <c r="S2045" s="273"/>
      <c r="T2045" s="273"/>
      <c r="U2045" s="274"/>
      <c r="V2045" s="263"/>
      <c r="W2045" s="188"/>
      <c r="X2045" s="188"/>
      <c r="Y2045" s="188"/>
      <c r="Z2045" s="188"/>
      <c r="AA2045" s="188"/>
      <c r="AB2045" s="188"/>
      <c r="AC2045" s="188"/>
      <c r="AD2045" s="188"/>
      <c r="AE2045" s="188"/>
      <c r="AF2045" s="188"/>
      <c r="AG2045" s="188"/>
      <c r="AH2045" s="188"/>
      <c r="AI2045" s="188"/>
    </row>
    <row r="2046">
      <c r="A2046" s="263"/>
      <c r="B2046" s="264"/>
      <c r="C2046" s="265"/>
      <c r="D2046" s="266"/>
      <c r="E2046" s="263"/>
      <c r="F2046" s="267"/>
      <c r="G2046" s="267"/>
      <c r="H2046" s="268"/>
      <c r="I2046" s="268"/>
      <c r="J2046" s="267"/>
      <c r="K2046" s="265"/>
      <c r="L2046" s="265"/>
      <c r="M2046" s="269"/>
      <c r="N2046" s="270"/>
      <c r="O2046" s="271"/>
      <c r="P2046" s="271"/>
      <c r="Q2046" s="272"/>
      <c r="R2046" s="273"/>
      <c r="S2046" s="273"/>
      <c r="T2046" s="273"/>
      <c r="U2046" s="274"/>
      <c r="V2046" s="263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</row>
    <row r="2047">
      <c r="A2047" s="263"/>
      <c r="B2047" s="264"/>
      <c r="C2047" s="265"/>
      <c r="D2047" s="266"/>
      <c r="E2047" s="263"/>
      <c r="F2047" s="267"/>
      <c r="G2047" s="267"/>
      <c r="H2047" s="268"/>
      <c r="I2047" s="268"/>
      <c r="J2047" s="267"/>
      <c r="K2047" s="265"/>
      <c r="L2047" s="265"/>
      <c r="M2047" s="269"/>
      <c r="N2047" s="270"/>
      <c r="O2047" s="271"/>
      <c r="P2047" s="271"/>
      <c r="Q2047" s="272"/>
      <c r="R2047" s="273"/>
      <c r="S2047" s="273"/>
      <c r="T2047" s="273"/>
      <c r="U2047" s="274"/>
      <c r="V2047" s="263"/>
      <c r="W2047" s="188"/>
      <c r="X2047" s="188"/>
      <c r="Y2047" s="188"/>
      <c r="Z2047" s="188"/>
      <c r="AA2047" s="188"/>
      <c r="AB2047" s="188"/>
      <c r="AC2047" s="188"/>
      <c r="AD2047" s="188"/>
      <c r="AE2047" s="188"/>
      <c r="AF2047" s="188"/>
      <c r="AG2047" s="188"/>
      <c r="AH2047" s="188"/>
      <c r="AI2047" s="188"/>
    </row>
    <row r="2048">
      <c r="A2048" s="263"/>
      <c r="B2048" s="264"/>
      <c r="C2048" s="265"/>
      <c r="D2048" s="266"/>
      <c r="E2048" s="263"/>
      <c r="F2048" s="267"/>
      <c r="G2048" s="267"/>
      <c r="H2048" s="268"/>
      <c r="I2048" s="268"/>
      <c r="J2048" s="267"/>
      <c r="K2048" s="265"/>
      <c r="L2048" s="265"/>
      <c r="M2048" s="269"/>
      <c r="N2048" s="270"/>
      <c r="O2048" s="271"/>
      <c r="P2048" s="271"/>
      <c r="Q2048" s="272"/>
      <c r="R2048" s="273"/>
      <c r="S2048" s="273"/>
      <c r="T2048" s="273"/>
      <c r="U2048" s="274"/>
      <c r="V2048" s="263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</row>
    <row r="2049">
      <c r="A2049" s="263"/>
      <c r="B2049" s="264"/>
      <c r="C2049" s="265"/>
      <c r="D2049" s="266"/>
      <c r="E2049" s="263"/>
      <c r="F2049" s="267"/>
      <c r="G2049" s="267"/>
      <c r="H2049" s="268"/>
      <c r="I2049" s="268"/>
      <c r="J2049" s="267"/>
      <c r="K2049" s="265"/>
      <c r="L2049" s="265"/>
      <c r="M2049" s="269"/>
      <c r="N2049" s="270"/>
      <c r="O2049" s="271"/>
      <c r="P2049" s="271"/>
      <c r="Q2049" s="272"/>
      <c r="R2049" s="273"/>
      <c r="S2049" s="273"/>
      <c r="T2049" s="273"/>
      <c r="U2049" s="274"/>
      <c r="V2049" s="263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</row>
    <row r="2050">
      <c r="A2050" s="263"/>
      <c r="B2050" s="264"/>
      <c r="C2050" s="265"/>
      <c r="D2050" s="266"/>
      <c r="E2050" s="263"/>
      <c r="F2050" s="267"/>
      <c r="G2050" s="267"/>
      <c r="H2050" s="268"/>
      <c r="I2050" s="268"/>
      <c r="J2050" s="267"/>
      <c r="K2050" s="265"/>
      <c r="L2050" s="265"/>
      <c r="M2050" s="269"/>
      <c r="N2050" s="270"/>
      <c r="O2050" s="271"/>
      <c r="P2050" s="271"/>
      <c r="Q2050" s="272"/>
      <c r="R2050" s="273"/>
      <c r="S2050" s="273"/>
      <c r="T2050" s="273"/>
      <c r="U2050" s="274"/>
      <c r="V2050" s="263"/>
      <c r="W2050" s="36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</row>
    <row r="2051">
      <c r="A2051" s="263"/>
      <c r="B2051" s="264"/>
      <c r="C2051" s="265"/>
      <c r="D2051" s="266"/>
      <c r="E2051" s="263"/>
      <c r="F2051" s="267"/>
      <c r="G2051" s="267"/>
      <c r="H2051" s="268"/>
      <c r="I2051" s="268"/>
      <c r="J2051" s="267"/>
      <c r="K2051" s="265"/>
      <c r="L2051" s="265"/>
      <c r="M2051" s="269"/>
      <c r="N2051" s="270"/>
      <c r="O2051" s="271"/>
      <c r="P2051" s="271"/>
      <c r="Q2051" s="272"/>
      <c r="R2051" s="273"/>
      <c r="S2051" s="273"/>
      <c r="T2051" s="273"/>
      <c r="U2051" s="274"/>
      <c r="V2051" s="263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</row>
    <row r="2052">
      <c r="A2052" s="263"/>
      <c r="B2052" s="264"/>
      <c r="C2052" s="265"/>
      <c r="D2052" s="266"/>
      <c r="E2052" s="263"/>
      <c r="F2052" s="267"/>
      <c r="G2052" s="267"/>
      <c r="H2052" s="268"/>
      <c r="I2052" s="268"/>
      <c r="J2052" s="267"/>
      <c r="K2052" s="265"/>
      <c r="L2052" s="265"/>
      <c r="M2052" s="269"/>
      <c r="N2052" s="270"/>
      <c r="O2052" s="271"/>
      <c r="P2052" s="271"/>
      <c r="Q2052" s="272"/>
      <c r="R2052" s="273"/>
      <c r="S2052" s="273"/>
      <c r="T2052" s="273"/>
      <c r="U2052" s="274"/>
      <c r="V2052" s="263"/>
      <c r="W2052" s="35"/>
      <c r="X2052" s="35"/>
      <c r="Y2052" s="35"/>
      <c r="Z2052" s="35"/>
      <c r="AA2052" s="35"/>
      <c r="AB2052" s="35"/>
      <c r="AC2052" s="35"/>
      <c r="AD2052" s="35"/>
      <c r="AE2052" s="35"/>
      <c r="AF2052" s="35"/>
      <c r="AG2052" s="35"/>
      <c r="AH2052" s="35"/>
      <c r="AI2052" s="35"/>
    </row>
    <row r="2053">
      <c r="A2053" s="263"/>
      <c r="B2053" s="264"/>
      <c r="C2053" s="265"/>
      <c r="D2053" s="266"/>
      <c r="E2053" s="263"/>
      <c r="F2053" s="267"/>
      <c r="G2053" s="267"/>
      <c r="H2053" s="268"/>
      <c r="I2053" s="268"/>
      <c r="J2053" s="267"/>
      <c r="K2053" s="265"/>
      <c r="L2053" s="265"/>
      <c r="M2053" s="269"/>
      <c r="N2053" s="270"/>
      <c r="O2053" s="271"/>
      <c r="P2053" s="271"/>
      <c r="Q2053" s="272"/>
      <c r="R2053" s="273"/>
      <c r="S2053" s="273"/>
      <c r="T2053" s="273"/>
      <c r="U2053" s="274"/>
      <c r="V2053" s="263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</row>
    <row r="2054">
      <c r="A2054" s="263"/>
      <c r="B2054" s="264"/>
      <c r="C2054" s="265"/>
      <c r="D2054" s="266"/>
      <c r="E2054" s="263"/>
      <c r="F2054" s="267"/>
      <c r="G2054" s="267"/>
      <c r="H2054" s="268"/>
      <c r="I2054" s="268"/>
      <c r="J2054" s="267"/>
      <c r="K2054" s="265"/>
      <c r="L2054" s="265"/>
      <c r="M2054" s="269"/>
      <c r="N2054" s="270"/>
      <c r="O2054" s="271"/>
      <c r="P2054" s="271"/>
      <c r="Q2054" s="272"/>
      <c r="R2054" s="273"/>
      <c r="S2054" s="273"/>
      <c r="T2054" s="273"/>
      <c r="U2054" s="274"/>
      <c r="V2054" s="263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</row>
    <row r="2055">
      <c r="A2055" s="263"/>
      <c r="B2055" s="264"/>
      <c r="C2055" s="265"/>
      <c r="D2055" s="266"/>
      <c r="E2055" s="263"/>
      <c r="F2055" s="267"/>
      <c r="G2055" s="267"/>
      <c r="H2055" s="268"/>
      <c r="I2055" s="268"/>
      <c r="J2055" s="267"/>
      <c r="K2055" s="265"/>
      <c r="L2055" s="265"/>
      <c r="M2055" s="269"/>
      <c r="N2055" s="270"/>
      <c r="O2055" s="271"/>
      <c r="P2055" s="271"/>
      <c r="Q2055" s="272"/>
      <c r="R2055" s="273"/>
      <c r="S2055" s="273"/>
      <c r="T2055" s="273"/>
      <c r="U2055" s="274"/>
      <c r="V2055" s="263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</row>
    <row r="2056">
      <c r="A2056" s="263"/>
      <c r="B2056" s="264"/>
      <c r="C2056" s="265"/>
      <c r="D2056" s="266"/>
      <c r="E2056" s="263"/>
      <c r="F2056" s="267"/>
      <c r="G2056" s="267"/>
      <c r="H2056" s="268"/>
      <c r="I2056" s="268"/>
      <c r="J2056" s="267"/>
      <c r="K2056" s="265"/>
      <c r="L2056" s="265"/>
      <c r="M2056" s="269"/>
      <c r="N2056" s="270"/>
      <c r="O2056" s="271"/>
      <c r="P2056" s="271"/>
      <c r="Q2056" s="272"/>
      <c r="R2056" s="273"/>
      <c r="S2056" s="273"/>
      <c r="T2056" s="273"/>
      <c r="U2056" s="274"/>
      <c r="V2056" s="263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</row>
    <row r="2057">
      <c r="A2057" s="263"/>
      <c r="B2057" s="264"/>
      <c r="C2057" s="265"/>
      <c r="D2057" s="266"/>
      <c r="E2057" s="263"/>
      <c r="F2057" s="267"/>
      <c r="G2057" s="267"/>
      <c r="H2057" s="268"/>
      <c r="I2057" s="268"/>
      <c r="J2057" s="267"/>
      <c r="K2057" s="265"/>
      <c r="L2057" s="265"/>
      <c r="M2057" s="269"/>
      <c r="N2057" s="270"/>
      <c r="O2057" s="271"/>
      <c r="P2057" s="271"/>
      <c r="Q2057" s="272"/>
      <c r="R2057" s="273"/>
      <c r="S2057" s="273"/>
      <c r="T2057" s="273"/>
      <c r="U2057" s="274"/>
      <c r="V2057" s="263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</row>
    <row r="2058">
      <c r="A2058" s="263"/>
      <c r="B2058" s="264"/>
      <c r="C2058" s="265"/>
      <c r="D2058" s="266"/>
      <c r="E2058" s="263"/>
      <c r="F2058" s="267"/>
      <c r="G2058" s="267"/>
      <c r="H2058" s="268"/>
      <c r="I2058" s="268"/>
      <c r="J2058" s="267"/>
      <c r="K2058" s="265"/>
      <c r="L2058" s="265"/>
      <c r="M2058" s="269"/>
      <c r="N2058" s="270"/>
      <c r="O2058" s="271"/>
      <c r="P2058" s="271"/>
      <c r="Q2058" s="272"/>
      <c r="R2058" s="273"/>
      <c r="S2058" s="273"/>
      <c r="T2058" s="273"/>
      <c r="U2058" s="274"/>
      <c r="V2058" s="263"/>
      <c r="W2058" s="188"/>
      <c r="X2058" s="188"/>
      <c r="Y2058" s="188"/>
      <c r="Z2058" s="188"/>
      <c r="AA2058" s="188"/>
      <c r="AB2058" s="188"/>
      <c r="AC2058" s="188"/>
      <c r="AD2058" s="188"/>
      <c r="AE2058" s="188"/>
      <c r="AF2058" s="188"/>
      <c r="AG2058" s="188"/>
      <c r="AH2058" s="188"/>
      <c r="AI2058" s="188"/>
    </row>
    <row r="2059">
      <c r="A2059" s="263"/>
      <c r="B2059" s="264"/>
      <c r="C2059" s="265"/>
      <c r="D2059" s="266"/>
      <c r="E2059" s="263"/>
      <c r="F2059" s="267"/>
      <c r="G2059" s="267"/>
      <c r="H2059" s="268"/>
      <c r="I2059" s="268"/>
      <c r="J2059" s="267"/>
      <c r="K2059" s="265"/>
      <c r="L2059" s="265"/>
      <c r="M2059" s="269"/>
      <c r="N2059" s="270"/>
      <c r="O2059" s="271"/>
      <c r="P2059" s="271"/>
      <c r="Q2059" s="272"/>
      <c r="R2059" s="273"/>
      <c r="S2059" s="273"/>
      <c r="T2059" s="273"/>
      <c r="U2059" s="274"/>
      <c r="V2059" s="263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</row>
    <row r="2060">
      <c r="A2060" s="263"/>
      <c r="B2060" s="264"/>
      <c r="C2060" s="265"/>
      <c r="D2060" s="266"/>
      <c r="E2060" s="263"/>
      <c r="F2060" s="267"/>
      <c r="G2060" s="267"/>
      <c r="H2060" s="268"/>
      <c r="I2060" s="268"/>
      <c r="J2060" s="267"/>
      <c r="K2060" s="265"/>
      <c r="L2060" s="265"/>
      <c r="M2060" s="269"/>
      <c r="N2060" s="270"/>
      <c r="O2060" s="271"/>
      <c r="P2060" s="271"/>
      <c r="Q2060" s="272"/>
      <c r="R2060" s="273"/>
      <c r="S2060" s="273"/>
      <c r="T2060" s="273"/>
      <c r="U2060" s="274"/>
      <c r="V2060" s="263"/>
      <c r="W2060" s="35"/>
      <c r="X2060" s="35"/>
      <c r="Y2060" s="35"/>
      <c r="Z2060" s="35"/>
      <c r="AA2060" s="35"/>
      <c r="AB2060" s="35"/>
      <c r="AC2060" s="35"/>
      <c r="AD2060" s="35"/>
      <c r="AE2060" s="35"/>
      <c r="AF2060" s="35"/>
      <c r="AG2060" s="35"/>
      <c r="AH2060" s="35"/>
      <c r="AI2060" s="35"/>
    </row>
    <row r="2061">
      <c r="A2061" s="263"/>
      <c r="B2061" s="264"/>
      <c r="C2061" s="265"/>
      <c r="D2061" s="266"/>
      <c r="E2061" s="263"/>
      <c r="F2061" s="267"/>
      <c r="G2061" s="267"/>
      <c r="H2061" s="268"/>
      <c r="I2061" s="268"/>
      <c r="J2061" s="267"/>
      <c r="K2061" s="265"/>
      <c r="L2061" s="265"/>
      <c r="M2061" s="269"/>
      <c r="N2061" s="270"/>
      <c r="O2061" s="271"/>
      <c r="P2061" s="271"/>
      <c r="Q2061" s="272"/>
      <c r="R2061" s="273"/>
      <c r="S2061" s="273"/>
      <c r="T2061" s="273"/>
      <c r="U2061" s="274"/>
      <c r="V2061" s="263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</row>
    <row r="2062">
      <c r="A2062" s="263"/>
      <c r="B2062" s="264"/>
      <c r="C2062" s="265"/>
      <c r="D2062" s="266"/>
      <c r="E2062" s="263"/>
      <c r="F2062" s="267"/>
      <c r="G2062" s="267"/>
      <c r="H2062" s="268"/>
      <c r="I2062" s="268"/>
      <c r="J2062" s="267"/>
      <c r="K2062" s="265"/>
      <c r="L2062" s="265"/>
      <c r="M2062" s="269"/>
      <c r="N2062" s="270"/>
      <c r="O2062" s="271"/>
      <c r="P2062" s="271"/>
      <c r="Q2062" s="272"/>
      <c r="R2062" s="273"/>
      <c r="S2062" s="273"/>
      <c r="T2062" s="260"/>
      <c r="U2062" s="261"/>
      <c r="V2062" s="251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</row>
    <row r="2063">
      <c r="A2063" s="263"/>
      <c r="B2063" s="264"/>
      <c r="C2063" s="265"/>
      <c r="D2063" s="266"/>
      <c r="E2063" s="263"/>
      <c r="F2063" s="267"/>
      <c r="G2063" s="267"/>
      <c r="H2063" s="268"/>
      <c r="I2063" s="268"/>
      <c r="J2063" s="267"/>
      <c r="K2063" s="265"/>
      <c r="L2063" s="265"/>
      <c r="M2063" s="269"/>
      <c r="N2063" s="270"/>
      <c r="O2063" s="271"/>
      <c r="P2063" s="271"/>
      <c r="Q2063" s="272"/>
      <c r="R2063" s="273"/>
      <c r="S2063" s="273"/>
      <c r="T2063" s="273"/>
      <c r="U2063" s="274"/>
      <c r="V2063" s="263"/>
      <c r="W2063" s="35"/>
      <c r="X2063" s="35"/>
      <c r="Y2063" s="35"/>
      <c r="Z2063" s="35"/>
      <c r="AA2063" s="35"/>
      <c r="AB2063" s="35"/>
      <c r="AC2063" s="35"/>
      <c r="AD2063" s="35"/>
      <c r="AE2063" s="35"/>
      <c r="AF2063" s="35"/>
      <c r="AG2063" s="35"/>
      <c r="AH2063" s="35"/>
      <c r="AI2063" s="35"/>
    </row>
    <row r="2064">
      <c r="A2064" s="263"/>
      <c r="B2064" s="264"/>
      <c r="C2064" s="265"/>
      <c r="D2064" s="266"/>
      <c r="E2064" s="263"/>
      <c r="F2064" s="267"/>
      <c r="G2064" s="267"/>
      <c r="H2064" s="268"/>
      <c r="I2064" s="268"/>
      <c r="J2064" s="267"/>
      <c r="K2064" s="265"/>
      <c r="L2064" s="265"/>
      <c r="M2064" s="269"/>
      <c r="N2064" s="270"/>
      <c r="O2064" s="271"/>
      <c r="P2064" s="271"/>
      <c r="Q2064" s="272"/>
      <c r="R2064" s="273"/>
      <c r="S2064" s="273"/>
      <c r="T2064" s="273"/>
      <c r="U2064" s="274"/>
      <c r="V2064" s="263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</row>
    <row r="2065">
      <c r="A2065" s="263"/>
      <c r="B2065" s="264"/>
      <c r="C2065" s="265"/>
      <c r="D2065" s="266"/>
      <c r="E2065" s="263"/>
      <c r="F2065" s="267"/>
      <c r="G2065" s="267"/>
      <c r="H2065" s="268"/>
      <c r="I2065" s="268"/>
      <c r="J2065" s="267"/>
      <c r="K2065" s="265"/>
      <c r="L2065" s="265"/>
      <c r="M2065" s="269"/>
      <c r="N2065" s="270"/>
      <c r="O2065" s="271"/>
      <c r="P2065" s="271"/>
      <c r="Q2065" s="272"/>
      <c r="R2065" s="273"/>
      <c r="S2065" s="273"/>
      <c r="T2065" s="273"/>
      <c r="U2065" s="274"/>
      <c r="V2065" s="263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</row>
    <row r="2066">
      <c r="A2066" s="263"/>
      <c r="B2066" s="264"/>
      <c r="C2066" s="265"/>
      <c r="D2066" s="266"/>
      <c r="E2066" s="263"/>
      <c r="F2066" s="267"/>
      <c r="G2066" s="267"/>
      <c r="H2066" s="268"/>
      <c r="I2066" s="268"/>
      <c r="J2066" s="267"/>
      <c r="K2066" s="265"/>
      <c r="L2066" s="265"/>
      <c r="M2066" s="269"/>
      <c r="N2066" s="270"/>
      <c r="O2066" s="271"/>
      <c r="P2066" s="271"/>
      <c r="Q2066" s="272"/>
      <c r="R2066" s="273"/>
      <c r="S2066" s="273"/>
      <c r="T2066" s="273"/>
      <c r="U2066" s="274"/>
      <c r="V2066" s="263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</row>
    <row r="2067">
      <c r="A2067" s="263"/>
      <c r="B2067" s="264"/>
      <c r="C2067" s="265"/>
      <c r="D2067" s="266"/>
      <c r="E2067" s="263"/>
      <c r="F2067" s="267"/>
      <c r="G2067" s="267"/>
      <c r="H2067" s="268"/>
      <c r="I2067" s="268"/>
      <c r="J2067" s="267"/>
      <c r="K2067" s="265"/>
      <c r="L2067" s="265"/>
      <c r="M2067" s="269"/>
      <c r="N2067" s="270"/>
      <c r="O2067" s="271"/>
      <c r="P2067" s="271"/>
      <c r="Q2067" s="272"/>
      <c r="R2067" s="273"/>
      <c r="S2067" s="273"/>
      <c r="T2067" s="273"/>
      <c r="U2067" s="274"/>
      <c r="V2067" s="263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</row>
    <row r="2068">
      <c r="A2068" s="263"/>
      <c r="B2068" s="264"/>
      <c r="C2068" s="265"/>
      <c r="D2068" s="266"/>
      <c r="E2068" s="263"/>
      <c r="F2068" s="267"/>
      <c r="G2068" s="267"/>
      <c r="H2068" s="268"/>
      <c r="I2068" s="268"/>
      <c r="J2068" s="267"/>
      <c r="K2068" s="265"/>
      <c r="L2068" s="265"/>
      <c r="M2068" s="269"/>
      <c r="N2068" s="270"/>
      <c r="O2068" s="271"/>
      <c r="P2068" s="271"/>
      <c r="Q2068" s="272"/>
      <c r="R2068" s="273"/>
      <c r="S2068" s="273"/>
      <c r="T2068" s="273"/>
      <c r="U2068" s="274"/>
      <c r="V2068" s="263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</row>
    <row r="2069">
      <c r="A2069" s="263"/>
      <c r="B2069" s="264"/>
      <c r="C2069" s="265"/>
      <c r="D2069" s="266"/>
      <c r="E2069" s="263"/>
      <c r="F2069" s="267"/>
      <c r="G2069" s="267"/>
      <c r="H2069" s="268"/>
      <c r="I2069" s="268"/>
      <c r="J2069" s="267"/>
      <c r="K2069" s="265"/>
      <c r="L2069" s="265"/>
      <c r="M2069" s="269"/>
      <c r="N2069" s="270"/>
      <c r="O2069" s="271"/>
      <c r="P2069" s="271"/>
      <c r="Q2069" s="272"/>
      <c r="R2069" s="273"/>
      <c r="S2069" s="273"/>
      <c r="T2069" s="273"/>
      <c r="U2069" s="274"/>
      <c r="V2069" s="263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</row>
    <row r="2070">
      <c r="A2070" s="263"/>
      <c r="B2070" s="264"/>
      <c r="C2070" s="265"/>
      <c r="D2070" s="266"/>
      <c r="E2070" s="263"/>
      <c r="F2070" s="267"/>
      <c r="G2070" s="267"/>
      <c r="H2070" s="268"/>
      <c r="I2070" s="268"/>
      <c r="J2070" s="267"/>
      <c r="K2070" s="265"/>
      <c r="L2070" s="265"/>
      <c r="M2070" s="269"/>
      <c r="N2070" s="270"/>
      <c r="O2070" s="271"/>
      <c r="P2070" s="271"/>
      <c r="Q2070" s="272"/>
      <c r="R2070" s="273"/>
      <c r="S2070" s="273"/>
      <c r="T2070" s="273"/>
      <c r="U2070" s="274"/>
      <c r="V2070" s="263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</row>
    <row r="2071">
      <c r="A2071" s="263"/>
      <c r="B2071" s="264"/>
      <c r="C2071" s="265"/>
      <c r="D2071" s="266"/>
      <c r="E2071" s="263"/>
      <c r="F2071" s="267"/>
      <c r="G2071" s="267"/>
      <c r="H2071" s="268"/>
      <c r="I2071" s="268"/>
      <c r="J2071" s="267"/>
      <c r="K2071" s="265"/>
      <c r="L2071" s="265"/>
      <c r="M2071" s="269"/>
      <c r="N2071" s="270"/>
      <c r="O2071" s="271"/>
      <c r="P2071" s="271"/>
      <c r="Q2071" s="272"/>
      <c r="R2071" s="273"/>
      <c r="S2071" s="273"/>
      <c r="T2071" s="273"/>
      <c r="U2071" s="274"/>
      <c r="V2071" s="263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</row>
    <row r="2072">
      <c r="A2072" s="263"/>
      <c r="B2072" s="264"/>
      <c r="C2072" s="265"/>
      <c r="D2072" s="266"/>
      <c r="E2072" s="263"/>
      <c r="F2072" s="267"/>
      <c r="G2072" s="267"/>
      <c r="H2072" s="268"/>
      <c r="I2072" s="268"/>
      <c r="J2072" s="267"/>
      <c r="K2072" s="265"/>
      <c r="L2072" s="265"/>
      <c r="M2072" s="269"/>
      <c r="N2072" s="270"/>
      <c r="O2072" s="271"/>
      <c r="P2072" s="271"/>
      <c r="Q2072" s="272"/>
      <c r="R2072" s="273"/>
      <c r="S2072" s="273"/>
      <c r="T2072" s="273"/>
      <c r="U2072" s="274"/>
      <c r="V2072" s="263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</row>
    <row r="2073">
      <c r="A2073" s="263"/>
      <c r="B2073" s="264"/>
      <c r="C2073" s="265"/>
      <c r="D2073" s="266"/>
      <c r="E2073" s="263"/>
      <c r="F2073" s="267"/>
      <c r="G2073" s="267"/>
      <c r="H2073" s="268"/>
      <c r="I2073" s="268"/>
      <c r="J2073" s="267"/>
      <c r="K2073" s="265"/>
      <c r="L2073" s="265"/>
      <c r="M2073" s="269"/>
      <c r="N2073" s="270"/>
      <c r="O2073" s="271"/>
      <c r="P2073" s="271"/>
      <c r="Q2073" s="272"/>
      <c r="R2073" s="273"/>
      <c r="S2073" s="273"/>
      <c r="T2073" s="273"/>
      <c r="U2073" s="274"/>
      <c r="V2073" s="263"/>
      <c r="W2073" s="35"/>
      <c r="X2073" s="35"/>
      <c r="Y2073" s="35"/>
      <c r="Z2073" s="35"/>
      <c r="AA2073" s="35"/>
      <c r="AB2073" s="35"/>
      <c r="AC2073" s="35"/>
      <c r="AD2073" s="35"/>
      <c r="AE2073" s="35"/>
      <c r="AF2073" s="35"/>
      <c r="AG2073" s="35"/>
      <c r="AH2073" s="35"/>
      <c r="AI2073" s="35"/>
    </row>
    <row r="2074">
      <c r="A2074" s="263"/>
      <c r="B2074" s="264"/>
      <c r="C2074" s="265"/>
      <c r="D2074" s="266"/>
      <c r="E2074" s="263"/>
      <c r="F2074" s="267"/>
      <c r="G2074" s="267"/>
      <c r="H2074" s="268"/>
      <c r="I2074" s="268"/>
      <c r="J2074" s="267"/>
      <c r="K2074" s="265"/>
      <c r="L2074" s="265"/>
      <c r="M2074" s="269"/>
      <c r="N2074" s="270"/>
      <c r="O2074" s="271"/>
      <c r="P2074" s="271"/>
      <c r="Q2074" s="272"/>
      <c r="R2074" s="273"/>
      <c r="S2074" s="273"/>
      <c r="T2074" s="273"/>
      <c r="U2074" s="274"/>
      <c r="V2074" s="263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</row>
    <row r="2075">
      <c r="A2075" s="263"/>
      <c r="B2075" s="264"/>
      <c r="C2075" s="265"/>
      <c r="D2075" s="266"/>
      <c r="E2075" s="263"/>
      <c r="F2075" s="267"/>
      <c r="G2075" s="267"/>
      <c r="H2075" s="268"/>
      <c r="I2075" s="268"/>
      <c r="J2075" s="267"/>
      <c r="K2075" s="265"/>
      <c r="L2075" s="265"/>
      <c r="M2075" s="269"/>
      <c r="N2075" s="270"/>
      <c r="O2075" s="271"/>
      <c r="P2075" s="271"/>
      <c r="Q2075" s="272"/>
      <c r="R2075" s="273"/>
      <c r="S2075" s="273"/>
      <c r="T2075" s="273"/>
      <c r="U2075" s="274"/>
      <c r="V2075" s="263"/>
      <c r="W2075" s="188"/>
      <c r="X2075" s="188"/>
      <c r="Y2075" s="188"/>
      <c r="Z2075" s="188"/>
      <c r="AA2075" s="188"/>
      <c r="AB2075" s="188"/>
      <c r="AC2075" s="188"/>
      <c r="AD2075" s="188"/>
      <c r="AE2075" s="188"/>
      <c r="AF2075" s="188"/>
      <c r="AG2075" s="188"/>
      <c r="AH2075" s="188"/>
      <c r="AI2075" s="188"/>
    </row>
    <row r="2076">
      <c r="A2076" s="263"/>
      <c r="B2076" s="264"/>
      <c r="C2076" s="265"/>
      <c r="D2076" s="266"/>
      <c r="E2076" s="263"/>
      <c r="F2076" s="267"/>
      <c r="G2076" s="267"/>
      <c r="H2076" s="268"/>
      <c r="I2076" s="268"/>
      <c r="J2076" s="267"/>
      <c r="K2076" s="265"/>
      <c r="L2076" s="265"/>
      <c r="M2076" s="269"/>
      <c r="N2076" s="270"/>
      <c r="O2076" s="271"/>
      <c r="P2076" s="271"/>
      <c r="Q2076" s="272"/>
      <c r="R2076" s="273"/>
      <c r="S2076" s="273"/>
      <c r="T2076" s="273"/>
      <c r="U2076" s="274"/>
      <c r="V2076" s="263"/>
      <c r="W2076" s="35"/>
      <c r="X2076" s="35"/>
      <c r="Y2076" s="35"/>
      <c r="Z2076" s="35"/>
      <c r="AA2076" s="35"/>
      <c r="AB2076" s="35"/>
      <c r="AC2076" s="35"/>
      <c r="AD2076" s="35"/>
      <c r="AE2076" s="35"/>
      <c r="AF2076" s="35"/>
      <c r="AG2076" s="35"/>
      <c r="AH2076" s="35"/>
      <c r="AI2076" s="35"/>
    </row>
    <row r="2077">
      <c r="A2077" s="263"/>
      <c r="B2077" s="264"/>
      <c r="C2077" s="265"/>
      <c r="D2077" s="266"/>
      <c r="E2077" s="263"/>
      <c r="F2077" s="267"/>
      <c r="G2077" s="267"/>
      <c r="H2077" s="268"/>
      <c r="I2077" s="268"/>
      <c r="J2077" s="267"/>
      <c r="K2077" s="265"/>
      <c r="L2077" s="265"/>
      <c r="M2077" s="269"/>
      <c r="N2077" s="270"/>
      <c r="O2077" s="271"/>
      <c r="P2077" s="271"/>
      <c r="Q2077" s="272"/>
      <c r="R2077" s="273"/>
      <c r="S2077" s="273"/>
      <c r="T2077" s="273"/>
      <c r="U2077" s="274"/>
      <c r="V2077" s="263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</row>
    <row r="2078">
      <c r="A2078" s="263"/>
      <c r="B2078" s="264"/>
      <c r="C2078" s="265"/>
      <c r="D2078" s="266"/>
      <c r="E2078" s="263"/>
      <c r="F2078" s="267"/>
      <c r="G2078" s="267"/>
      <c r="H2078" s="268"/>
      <c r="I2078" s="268"/>
      <c r="J2078" s="267"/>
      <c r="K2078" s="265"/>
      <c r="L2078" s="265"/>
      <c r="M2078" s="269"/>
      <c r="N2078" s="270"/>
      <c r="O2078" s="271"/>
      <c r="P2078" s="271"/>
      <c r="Q2078" s="272"/>
      <c r="R2078" s="273"/>
      <c r="S2078" s="273"/>
      <c r="T2078" s="273"/>
      <c r="U2078" s="274"/>
      <c r="V2078" s="263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</row>
    <row r="2079">
      <c r="A2079" s="263"/>
      <c r="B2079" s="264"/>
      <c r="C2079" s="265"/>
      <c r="D2079" s="266"/>
      <c r="E2079" s="263"/>
      <c r="F2079" s="267"/>
      <c r="G2079" s="267"/>
      <c r="H2079" s="268"/>
      <c r="I2079" s="268"/>
      <c r="J2079" s="267"/>
      <c r="K2079" s="265"/>
      <c r="L2079" s="265"/>
      <c r="M2079" s="269"/>
      <c r="N2079" s="270"/>
      <c r="O2079" s="271"/>
      <c r="P2079" s="271"/>
      <c r="Q2079" s="272"/>
      <c r="R2079" s="273"/>
      <c r="S2079" s="273"/>
      <c r="T2079" s="273"/>
      <c r="U2079" s="274"/>
      <c r="V2079" s="263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</row>
    <row r="2080">
      <c r="A2080" s="263"/>
      <c r="B2080" s="264"/>
      <c r="C2080" s="265"/>
      <c r="D2080" s="266"/>
      <c r="E2080" s="263"/>
      <c r="F2080" s="267"/>
      <c r="G2080" s="267"/>
      <c r="H2080" s="268"/>
      <c r="I2080" s="268"/>
      <c r="J2080" s="267"/>
      <c r="K2080" s="265"/>
      <c r="L2080" s="265"/>
      <c r="M2080" s="269"/>
      <c r="N2080" s="270"/>
      <c r="O2080" s="271"/>
      <c r="P2080" s="271"/>
      <c r="Q2080" s="272"/>
      <c r="R2080" s="273"/>
      <c r="S2080" s="273"/>
      <c r="T2080" s="273"/>
      <c r="U2080" s="274"/>
      <c r="V2080" s="263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</row>
    <row r="2081">
      <c r="A2081" s="263"/>
      <c r="B2081" s="264"/>
      <c r="C2081" s="265"/>
      <c r="D2081" s="266"/>
      <c r="E2081" s="263"/>
      <c r="F2081" s="267"/>
      <c r="G2081" s="267"/>
      <c r="H2081" s="268"/>
      <c r="I2081" s="268"/>
      <c r="J2081" s="267"/>
      <c r="K2081" s="265"/>
      <c r="L2081" s="265"/>
      <c r="M2081" s="269"/>
      <c r="N2081" s="270"/>
      <c r="O2081" s="271"/>
      <c r="P2081" s="271"/>
      <c r="Q2081" s="272"/>
      <c r="R2081" s="273"/>
      <c r="S2081" s="273"/>
      <c r="T2081" s="273"/>
      <c r="U2081" s="274"/>
      <c r="V2081" s="263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</row>
    <row r="2082">
      <c r="A2082" s="263"/>
      <c r="B2082" s="264"/>
      <c r="C2082" s="265"/>
      <c r="D2082" s="266"/>
      <c r="E2082" s="263"/>
      <c r="F2082" s="267"/>
      <c r="G2082" s="267"/>
      <c r="H2082" s="268"/>
      <c r="I2082" s="268"/>
      <c r="J2082" s="267"/>
      <c r="K2082" s="265"/>
      <c r="L2082" s="265"/>
      <c r="M2082" s="269"/>
      <c r="N2082" s="270"/>
      <c r="O2082" s="271"/>
      <c r="P2082" s="271"/>
      <c r="Q2082" s="272"/>
      <c r="R2082" s="273"/>
      <c r="S2082" s="273"/>
      <c r="T2082" s="273"/>
      <c r="U2082" s="274"/>
      <c r="V2082" s="263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</row>
    <row r="2083">
      <c r="A2083" s="263"/>
      <c r="B2083" s="264"/>
      <c r="C2083" s="265"/>
      <c r="D2083" s="266"/>
      <c r="E2083" s="263"/>
      <c r="F2083" s="267"/>
      <c r="G2083" s="267"/>
      <c r="H2083" s="268"/>
      <c r="I2083" s="268"/>
      <c r="J2083" s="267"/>
      <c r="K2083" s="265"/>
      <c r="L2083" s="265"/>
      <c r="M2083" s="269"/>
      <c r="N2083" s="270"/>
      <c r="O2083" s="271"/>
      <c r="P2083" s="271"/>
      <c r="Q2083" s="272"/>
      <c r="R2083" s="273"/>
      <c r="S2083" s="273"/>
      <c r="T2083" s="273"/>
      <c r="U2083" s="274"/>
      <c r="V2083" s="263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</row>
    <row r="2084">
      <c r="A2084" s="263"/>
      <c r="B2084" s="264"/>
      <c r="C2084" s="265"/>
      <c r="D2084" s="266"/>
      <c r="E2084" s="263"/>
      <c r="F2084" s="267"/>
      <c r="G2084" s="267"/>
      <c r="H2084" s="268"/>
      <c r="I2084" s="268"/>
      <c r="J2084" s="267"/>
      <c r="K2084" s="265"/>
      <c r="L2084" s="265"/>
      <c r="M2084" s="269"/>
      <c r="N2084" s="270"/>
      <c r="O2084" s="271"/>
      <c r="P2084" s="271"/>
      <c r="Q2084" s="272"/>
      <c r="R2084" s="273"/>
      <c r="S2084" s="273"/>
      <c r="T2084" s="273"/>
      <c r="U2084" s="274"/>
      <c r="V2084" s="263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</row>
    <row r="2085">
      <c r="A2085" s="263"/>
      <c r="B2085" s="264"/>
      <c r="C2085" s="265"/>
      <c r="D2085" s="266"/>
      <c r="E2085" s="263"/>
      <c r="F2085" s="267"/>
      <c r="G2085" s="267"/>
      <c r="H2085" s="268"/>
      <c r="I2085" s="268"/>
      <c r="J2085" s="267"/>
      <c r="K2085" s="265"/>
      <c r="L2085" s="265"/>
      <c r="M2085" s="269"/>
      <c r="N2085" s="270"/>
      <c r="O2085" s="271"/>
      <c r="P2085" s="271"/>
      <c r="Q2085" s="272"/>
      <c r="R2085" s="273"/>
      <c r="S2085" s="273"/>
      <c r="T2085" s="273"/>
      <c r="U2085" s="274"/>
      <c r="V2085" s="263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</row>
    <row r="2086">
      <c r="A2086" s="263"/>
      <c r="B2086" s="264"/>
      <c r="C2086" s="265"/>
      <c r="D2086" s="266"/>
      <c r="E2086" s="263"/>
      <c r="F2086" s="267"/>
      <c r="G2086" s="267"/>
      <c r="H2086" s="268"/>
      <c r="I2086" s="268"/>
      <c r="J2086" s="267"/>
      <c r="K2086" s="265"/>
      <c r="L2086" s="265"/>
      <c r="M2086" s="269"/>
      <c r="N2086" s="270"/>
      <c r="O2086" s="271"/>
      <c r="P2086" s="271"/>
      <c r="Q2086" s="272"/>
      <c r="R2086" s="273"/>
      <c r="S2086" s="273"/>
      <c r="T2086" s="273"/>
      <c r="U2086" s="274"/>
      <c r="V2086" s="263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</row>
    <row r="2087">
      <c r="A2087" s="263"/>
      <c r="B2087" s="264"/>
      <c r="C2087" s="265"/>
      <c r="D2087" s="266"/>
      <c r="E2087" s="263"/>
      <c r="F2087" s="267"/>
      <c r="G2087" s="267"/>
      <c r="H2087" s="268"/>
      <c r="I2087" s="268"/>
      <c r="J2087" s="267"/>
      <c r="K2087" s="265"/>
      <c r="L2087" s="265"/>
      <c r="M2087" s="269"/>
      <c r="N2087" s="270"/>
      <c r="O2087" s="271"/>
      <c r="P2087" s="271"/>
      <c r="Q2087" s="272"/>
      <c r="R2087" s="273"/>
      <c r="S2087" s="273"/>
      <c r="T2087" s="273"/>
      <c r="U2087" s="274"/>
      <c r="V2087" s="263"/>
      <c r="W2087" s="35"/>
      <c r="X2087" s="35"/>
      <c r="Y2087" s="35"/>
      <c r="Z2087" s="35"/>
      <c r="AA2087" s="35"/>
      <c r="AB2087" s="35"/>
      <c r="AC2087" s="35"/>
      <c r="AD2087" s="35"/>
      <c r="AE2087" s="35"/>
      <c r="AF2087" s="35"/>
      <c r="AG2087" s="35"/>
      <c r="AH2087" s="35"/>
      <c r="AI2087" s="35"/>
    </row>
    <row r="2088">
      <c r="A2088" s="263"/>
      <c r="B2088" s="264"/>
      <c r="C2088" s="265"/>
      <c r="D2088" s="266"/>
      <c r="E2088" s="263"/>
      <c r="F2088" s="267"/>
      <c r="G2088" s="267"/>
      <c r="H2088" s="268"/>
      <c r="I2088" s="268"/>
      <c r="J2088" s="267"/>
      <c r="K2088" s="265"/>
      <c r="L2088" s="265"/>
      <c r="M2088" s="269"/>
      <c r="N2088" s="270"/>
      <c r="O2088" s="271"/>
      <c r="P2088" s="271"/>
      <c r="Q2088" s="272"/>
      <c r="R2088" s="273"/>
      <c r="S2088" s="273"/>
      <c r="T2088" s="273"/>
      <c r="U2088" s="274"/>
      <c r="V2088" s="263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</row>
    <row r="2089">
      <c r="A2089" s="263"/>
      <c r="B2089" s="264"/>
      <c r="C2089" s="265"/>
      <c r="D2089" s="266"/>
      <c r="E2089" s="263"/>
      <c r="F2089" s="267"/>
      <c r="G2089" s="267"/>
      <c r="H2089" s="268"/>
      <c r="I2089" s="268"/>
      <c r="J2089" s="267"/>
      <c r="K2089" s="265"/>
      <c r="L2089" s="265"/>
      <c r="M2089" s="269"/>
      <c r="N2089" s="270"/>
      <c r="O2089" s="271"/>
      <c r="P2089" s="271"/>
      <c r="Q2089" s="272"/>
      <c r="R2089" s="273"/>
      <c r="S2089" s="273"/>
      <c r="T2089" s="273"/>
      <c r="U2089" s="274"/>
      <c r="V2089" s="263"/>
      <c r="W2089" s="35"/>
      <c r="X2089" s="35"/>
      <c r="Y2089" s="35"/>
      <c r="Z2089" s="35"/>
      <c r="AA2089" s="35"/>
      <c r="AB2089" s="35"/>
      <c r="AC2089" s="35"/>
      <c r="AD2089" s="35"/>
      <c r="AE2089" s="35"/>
      <c r="AF2089" s="35"/>
      <c r="AG2089" s="35"/>
      <c r="AH2089" s="35"/>
      <c r="AI2089" s="35"/>
    </row>
    <row r="2090">
      <c r="A2090" s="263"/>
      <c r="B2090" s="264"/>
      <c r="C2090" s="265"/>
      <c r="D2090" s="266"/>
      <c r="E2090" s="263"/>
      <c r="F2090" s="267"/>
      <c r="G2090" s="267"/>
      <c r="H2090" s="268"/>
      <c r="I2090" s="268"/>
      <c r="J2090" s="267"/>
      <c r="K2090" s="265"/>
      <c r="L2090" s="265"/>
      <c r="M2090" s="269"/>
      <c r="N2090" s="270"/>
      <c r="O2090" s="271"/>
      <c r="P2090" s="271"/>
      <c r="Q2090" s="272"/>
      <c r="R2090" s="273"/>
      <c r="S2090" s="273"/>
      <c r="T2090" s="273"/>
      <c r="U2090" s="274"/>
      <c r="V2090" s="263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</row>
    <row r="2091">
      <c r="A2091" s="263"/>
      <c r="B2091" s="264"/>
      <c r="C2091" s="265"/>
      <c r="D2091" s="266"/>
      <c r="E2091" s="263"/>
      <c r="F2091" s="267"/>
      <c r="G2091" s="267"/>
      <c r="H2091" s="268"/>
      <c r="I2091" s="268"/>
      <c r="J2091" s="267"/>
      <c r="K2091" s="265"/>
      <c r="L2091" s="265"/>
      <c r="M2091" s="269"/>
      <c r="N2091" s="270"/>
      <c r="O2091" s="271"/>
      <c r="P2091" s="271"/>
      <c r="Q2091" s="272"/>
      <c r="R2091" s="273"/>
      <c r="S2091" s="273"/>
      <c r="T2091" s="273"/>
      <c r="U2091" s="274"/>
      <c r="V2091" s="263"/>
      <c r="W2091" s="35"/>
      <c r="X2091" s="35"/>
      <c r="Y2091" s="35"/>
      <c r="Z2091" s="35"/>
      <c r="AA2091" s="35"/>
      <c r="AB2091" s="35"/>
      <c r="AC2091" s="35"/>
      <c r="AD2091" s="35"/>
      <c r="AE2091" s="35"/>
      <c r="AF2091" s="35"/>
      <c r="AG2091" s="35"/>
      <c r="AH2091" s="35"/>
      <c r="AI2091" s="35"/>
    </row>
    <row r="2092">
      <c r="A2092" s="263"/>
      <c r="B2092" s="264"/>
      <c r="C2092" s="265"/>
      <c r="D2092" s="266"/>
      <c r="E2092" s="263"/>
      <c r="F2092" s="267"/>
      <c r="G2092" s="267"/>
      <c r="H2092" s="268"/>
      <c r="I2092" s="268"/>
      <c r="J2092" s="267"/>
      <c r="K2092" s="265"/>
      <c r="L2092" s="265"/>
      <c r="M2092" s="269"/>
      <c r="N2092" s="270"/>
      <c r="O2092" s="271"/>
      <c r="P2092" s="271"/>
      <c r="Q2092" s="272"/>
      <c r="R2092" s="273"/>
      <c r="S2092" s="273"/>
      <c r="T2092" s="273"/>
      <c r="U2092" s="274"/>
      <c r="V2092" s="263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</row>
    <row r="2093">
      <c r="A2093" s="263"/>
      <c r="B2093" s="264"/>
      <c r="C2093" s="265"/>
      <c r="D2093" s="266"/>
      <c r="E2093" s="263"/>
      <c r="F2093" s="267"/>
      <c r="G2093" s="267"/>
      <c r="H2093" s="268"/>
      <c r="I2093" s="268"/>
      <c r="J2093" s="267"/>
      <c r="K2093" s="265"/>
      <c r="L2093" s="265"/>
      <c r="M2093" s="269"/>
      <c r="N2093" s="270"/>
      <c r="O2093" s="271"/>
      <c r="P2093" s="271"/>
      <c r="Q2093" s="272"/>
      <c r="R2093" s="273"/>
      <c r="S2093" s="273"/>
      <c r="T2093" s="273"/>
      <c r="U2093" s="274"/>
      <c r="V2093" s="263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</row>
    <row r="2094">
      <c r="A2094" s="263"/>
      <c r="B2094" s="264"/>
      <c r="C2094" s="265"/>
      <c r="D2094" s="266"/>
      <c r="E2094" s="263"/>
      <c r="F2094" s="267"/>
      <c r="G2094" s="267"/>
      <c r="H2094" s="268"/>
      <c r="I2094" s="268"/>
      <c r="J2094" s="267"/>
      <c r="K2094" s="265"/>
      <c r="L2094" s="265"/>
      <c r="M2094" s="269"/>
      <c r="N2094" s="270"/>
      <c r="O2094" s="271"/>
      <c r="P2094" s="271"/>
      <c r="Q2094" s="272"/>
      <c r="R2094" s="273"/>
      <c r="S2094" s="273"/>
      <c r="T2094" s="273"/>
      <c r="U2094" s="274"/>
      <c r="V2094" s="263"/>
      <c r="W2094" s="188"/>
      <c r="X2094" s="188"/>
      <c r="Y2094" s="188"/>
      <c r="Z2094" s="188"/>
      <c r="AA2094" s="188"/>
      <c r="AB2094" s="188"/>
      <c r="AC2094" s="188"/>
      <c r="AD2094" s="188"/>
      <c r="AE2094" s="188"/>
      <c r="AF2094" s="188"/>
      <c r="AG2094" s="188"/>
      <c r="AH2094" s="188"/>
      <c r="AI2094" s="188"/>
    </row>
    <row r="2095">
      <c r="A2095" s="263"/>
      <c r="B2095" s="264"/>
      <c r="C2095" s="265"/>
      <c r="D2095" s="266"/>
      <c r="E2095" s="263"/>
      <c r="F2095" s="267"/>
      <c r="G2095" s="267"/>
      <c r="H2095" s="268"/>
      <c r="I2095" s="268"/>
      <c r="J2095" s="267"/>
      <c r="K2095" s="265"/>
      <c r="L2095" s="265"/>
      <c r="M2095" s="269"/>
      <c r="N2095" s="270"/>
      <c r="O2095" s="271"/>
      <c r="P2095" s="271"/>
      <c r="Q2095" s="272"/>
      <c r="R2095" s="273"/>
      <c r="S2095" s="273"/>
      <c r="T2095" s="273"/>
      <c r="U2095" s="274"/>
      <c r="V2095" s="263"/>
      <c r="W2095" s="188"/>
      <c r="X2095" s="188"/>
      <c r="Y2095" s="188"/>
      <c r="Z2095" s="188"/>
      <c r="AA2095" s="188"/>
      <c r="AB2095" s="188"/>
      <c r="AC2095" s="188"/>
      <c r="AD2095" s="188"/>
      <c r="AE2095" s="188"/>
      <c r="AF2095" s="188"/>
      <c r="AG2095" s="188"/>
      <c r="AH2095" s="188"/>
      <c r="AI2095" s="188"/>
    </row>
    <row r="2096">
      <c r="A2096" s="263"/>
      <c r="B2096" s="264"/>
      <c r="C2096" s="265"/>
      <c r="D2096" s="266"/>
      <c r="E2096" s="263"/>
      <c r="F2096" s="267"/>
      <c r="G2096" s="267"/>
      <c r="H2096" s="268"/>
      <c r="I2096" s="268"/>
      <c r="J2096" s="267"/>
      <c r="K2096" s="265"/>
      <c r="L2096" s="265"/>
      <c r="M2096" s="269"/>
      <c r="N2096" s="270"/>
      <c r="O2096" s="271"/>
      <c r="P2096" s="271"/>
      <c r="Q2096" s="272"/>
      <c r="R2096" s="273"/>
      <c r="S2096" s="273"/>
      <c r="T2096" s="273"/>
      <c r="U2096" s="274"/>
      <c r="V2096" s="263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</row>
    <row r="2097">
      <c r="A2097" s="263"/>
      <c r="B2097" s="264"/>
      <c r="C2097" s="265"/>
      <c r="D2097" s="266"/>
      <c r="E2097" s="263"/>
      <c r="F2097" s="267"/>
      <c r="G2097" s="267"/>
      <c r="H2097" s="268"/>
      <c r="I2097" s="268"/>
      <c r="J2097" s="267"/>
      <c r="K2097" s="265"/>
      <c r="L2097" s="265"/>
      <c r="M2097" s="269"/>
      <c r="N2097" s="270"/>
      <c r="O2097" s="271"/>
      <c r="P2097" s="271"/>
      <c r="Q2097" s="272"/>
      <c r="R2097" s="273"/>
      <c r="S2097" s="273"/>
      <c r="T2097" s="273"/>
      <c r="U2097" s="274"/>
      <c r="V2097" s="263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</row>
    <row r="2098">
      <c r="A2098" s="263"/>
      <c r="B2098" s="264"/>
      <c r="C2098" s="265"/>
      <c r="D2098" s="266"/>
      <c r="E2098" s="263"/>
      <c r="F2098" s="267"/>
      <c r="G2098" s="267"/>
      <c r="H2098" s="268"/>
      <c r="I2098" s="268"/>
      <c r="J2098" s="267"/>
      <c r="K2098" s="265"/>
      <c r="L2098" s="265"/>
      <c r="M2098" s="269"/>
      <c r="N2098" s="270"/>
      <c r="O2098" s="271"/>
      <c r="P2098" s="271"/>
      <c r="Q2098" s="272"/>
      <c r="R2098" s="273"/>
      <c r="S2098" s="273"/>
      <c r="T2098" s="273"/>
      <c r="U2098" s="274"/>
      <c r="V2098" s="263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</row>
    <row r="2099">
      <c r="A2099" s="263"/>
      <c r="B2099" s="264"/>
      <c r="C2099" s="265"/>
      <c r="D2099" s="266"/>
      <c r="E2099" s="263"/>
      <c r="F2099" s="267"/>
      <c r="G2099" s="267"/>
      <c r="H2099" s="268"/>
      <c r="I2099" s="268"/>
      <c r="J2099" s="267"/>
      <c r="K2099" s="265"/>
      <c r="L2099" s="265"/>
      <c r="M2099" s="269"/>
      <c r="N2099" s="270"/>
      <c r="O2099" s="271"/>
      <c r="P2099" s="271"/>
      <c r="Q2099" s="272"/>
      <c r="R2099" s="273"/>
      <c r="S2099" s="273"/>
      <c r="T2099" s="273"/>
      <c r="U2099" s="274"/>
      <c r="V2099" s="263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</row>
    <row r="2100">
      <c r="A2100" s="263"/>
      <c r="B2100" s="264"/>
      <c r="C2100" s="265"/>
      <c r="D2100" s="266"/>
      <c r="E2100" s="263"/>
      <c r="F2100" s="267"/>
      <c r="G2100" s="267"/>
      <c r="H2100" s="268"/>
      <c r="I2100" s="268"/>
      <c r="J2100" s="267"/>
      <c r="K2100" s="265"/>
      <c r="L2100" s="265"/>
      <c r="M2100" s="269"/>
      <c r="N2100" s="270"/>
      <c r="O2100" s="271"/>
      <c r="P2100" s="271"/>
      <c r="Q2100" s="272"/>
      <c r="R2100" s="273"/>
      <c r="S2100" s="273"/>
      <c r="T2100" s="273"/>
      <c r="U2100" s="274"/>
      <c r="V2100" s="263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</row>
    <row r="2101">
      <c r="A2101" s="263"/>
      <c r="B2101" s="264"/>
      <c r="C2101" s="265"/>
      <c r="D2101" s="266"/>
      <c r="E2101" s="263"/>
      <c r="F2101" s="267"/>
      <c r="G2101" s="267"/>
      <c r="H2101" s="268"/>
      <c r="I2101" s="268"/>
      <c r="J2101" s="267"/>
      <c r="K2101" s="265"/>
      <c r="L2101" s="265"/>
      <c r="M2101" s="269"/>
      <c r="N2101" s="270"/>
      <c r="O2101" s="271"/>
      <c r="P2101" s="271"/>
      <c r="Q2101" s="272"/>
      <c r="R2101" s="273"/>
      <c r="S2101" s="273"/>
      <c r="T2101" s="273"/>
      <c r="U2101" s="274"/>
      <c r="V2101" s="263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</row>
    <row r="2102">
      <c r="A2102" s="263"/>
      <c r="B2102" s="264"/>
      <c r="C2102" s="265"/>
      <c r="D2102" s="266"/>
      <c r="E2102" s="263"/>
      <c r="F2102" s="267"/>
      <c r="G2102" s="267"/>
      <c r="H2102" s="268"/>
      <c r="I2102" s="268"/>
      <c r="J2102" s="267"/>
      <c r="K2102" s="265"/>
      <c r="L2102" s="265"/>
      <c r="M2102" s="269"/>
      <c r="N2102" s="270"/>
      <c r="O2102" s="271"/>
      <c r="P2102" s="271"/>
      <c r="Q2102" s="272"/>
      <c r="R2102" s="273"/>
      <c r="S2102" s="273"/>
      <c r="T2102" s="273"/>
      <c r="U2102" s="274"/>
      <c r="V2102" s="263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</row>
    <row r="2103">
      <c r="A2103" s="263"/>
      <c r="B2103" s="264"/>
      <c r="C2103" s="265"/>
      <c r="D2103" s="266"/>
      <c r="E2103" s="263"/>
      <c r="F2103" s="267"/>
      <c r="G2103" s="267"/>
      <c r="H2103" s="268"/>
      <c r="I2103" s="268"/>
      <c r="J2103" s="267"/>
      <c r="K2103" s="265"/>
      <c r="L2103" s="265"/>
      <c r="M2103" s="269"/>
      <c r="N2103" s="270"/>
      <c r="O2103" s="271"/>
      <c r="P2103" s="271"/>
      <c r="Q2103" s="272"/>
      <c r="R2103" s="273"/>
      <c r="S2103" s="273"/>
      <c r="T2103" s="273"/>
      <c r="U2103" s="274"/>
      <c r="V2103" s="263"/>
      <c r="W2103" s="35"/>
      <c r="X2103" s="35"/>
      <c r="Y2103" s="35"/>
      <c r="Z2103" s="35"/>
      <c r="AA2103" s="35"/>
      <c r="AB2103" s="35"/>
      <c r="AC2103" s="35"/>
      <c r="AD2103" s="35"/>
      <c r="AE2103" s="35"/>
      <c r="AF2103" s="35"/>
      <c r="AG2103" s="35"/>
      <c r="AH2103" s="35"/>
      <c r="AI2103" s="35"/>
    </row>
    <row r="2104">
      <c r="A2104" s="263"/>
      <c r="B2104" s="264"/>
      <c r="C2104" s="265"/>
      <c r="D2104" s="266"/>
      <c r="E2104" s="263"/>
      <c r="F2104" s="267"/>
      <c r="G2104" s="267"/>
      <c r="H2104" s="268"/>
      <c r="I2104" s="268"/>
      <c r="J2104" s="267"/>
      <c r="K2104" s="265"/>
      <c r="L2104" s="265"/>
      <c r="M2104" s="269"/>
      <c r="N2104" s="270"/>
      <c r="O2104" s="271"/>
      <c r="P2104" s="271"/>
      <c r="Q2104" s="272"/>
      <c r="R2104" s="273"/>
      <c r="S2104" s="273"/>
      <c r="T2104" s="273"/>
      <c r="U2104" s="274"/>
      <c r="V2104" s="263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</row>
    <row r="2105">
      <c r="A2105" s="263"/>
      <c r="B2105" s="264"/>
      <c r="C2105" s="265"/>
      <c r="D2105" s="266"/>
      <c r="E2105" s="263"/>
      <c r="F2105" s="267"/>
      <c r="G2105" s="267"/>
      <c r="H2105" s="268"/>
      <c r="I2105" s="268"/>
      <c r="J2105" s="267"/>
      <c r="K2105" s="265"/>
      <c r="L2105" s="265"/>
      <c r="M2105" s="269"/>
      <c r="N2105" s="270"/>
      <c r="O2105" s="271"/>
      <c r="P2105" s="271"/>
      <c r="Q2105" s="272"/>
      <c r="R2105" s="273"/>
      <c r="S2105" s="273"/>
      <c r="T2105" s="273"/>
      <c r="U2105" s="274"/>
      <c r="V2105" s="263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</row>
    <row r="2106">
      <c r="A2106" s="263"/>
      <c r="B2106" s="264"/>
      <c r="C2106" s="265"/>
      <c r="D2106" s="266"/>
      <c r="E2106" s="263"/>
      <c r="F2106" s="267"/>
      <c r="G2106" s="267"/>
      <c r="H2106" s="268"/>
      <c r="I2106" s="268"/>
      <c r="J2106" s="267"/>
      <c r="K2106" s="265"/>
      <c r="L2106" s="265"/>
      <c r="M2106" s="269"/>
      <c r="N2106" s="270"/>
      <c r="O2106" s="271"/>
      <c r="P2106" s="271"/>
      <c r="Q2106" s="272"/>
      <c r="R2106" s="273"/>
      <c r="S2106" s="273"/>
      <c r="T2106" s="273"/>
      <c r="U2106" s="274"/>
      <c r="V2106" s="263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</row>
    <row r="2107">
      <c r="A2107" s="263"/>
      <c r="B2107" s="264"/>
      <c r="C2107" s="265"/>
      <c r="D2107" s="266"/>
      <c r="E2107" s="263"/>
      <c r="F2107" s="267"/>
      <c r="G2107" s="267"/>
      <c r="H2107" s="268"/>
      <c r="I2107" s="268"/>
      <c r="J2107" s="267"/>
      <c r="K2107" s="265"/>
      <c r="L2107" s="265"/>
      <c r="M2107" s="269"/>
      <c r="N2107" s="270"/>
      <c r="O2107" s="271"/>
      <c r="P2107" s="271"/>
      <c r="Q2107" s="272"/>
      <c r="R2107" s="273"/>
      <c r="S2107" s="273"/>
      <c r="T2107" s="273"/>
      <c r="U2107" s="274"/>
      <c r="V2107" s="263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</row>
    <row r="2108">
      <c r="A2108" s="263"/>
      <c r="B2108" s="264"/>
      <c r="C2108" s="265"/>
      <c r="D2108" s="266"/>
      <c r="E2108" s="263"/>
      <c r="F2108" s="267"/>
      <c r="G2108" s="267"/>
      <c r="H2108" s="268"/>
      <c r="I2108" s="268"/>
      <c r="J2108" s="267"/>
      <c r="K2108" s="265"/>
      <c r="L2108" s="265"/>
      <c r="M2108" s="269"/>
      <c r="N2108" s="270"/>
      <c r="O2108" s="271"/>
      <c r="P2108" s="271"/>
      <c r="Q2108" s="272"/>
      <c r="R2108" s="273"/>
      <c r="S2108" s="273"/>
      <c r="T2108" s="273"/>
      <c r="U2108" s="274"/>
      <c r="V2108" s="263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</row>
    <row r="2109">
      <c r="A2109" s="263"/>
      <c r="B2109" s="264"/>
      <c r="C2109" s="265"/>
      <c r="D2109" s="266"/>
      <c r="E2109" s="263"/>
      <c r="F2109" s="267"/>
      <c r="G2109" s="267"/>
      <c r="H2109" s="268"/>
      <c r="I2109" s="268"/>
      <c r="J2109" s="267"/>
      <c r="K2109" s="265"/>
      <c r="L2109" s="265"/>
      <c r="M2109" s="269"/>
      <c r="N2109" s="270"/>
      <c r="O2109" s="271"/>
      <c r="P2109" s="271"/>
      <c r="Q2109" s="272"/>
      <c r="R2109" s="273"/>
      <c r="S2109" s="273"/>
      <c r="T2109" s="273"/>
      <c r="U2109" s="274"/>
      <c r="V2109" s="263"/>
      <c r="W2109" s="188"/>
      <c r="X2109" s="188"/>
      <c r="Y2109" s="188"/>
      <c r="Z2109" s="188"/>
      <c r="AA2109" s="188"/>
      <c r="AB2109" s="188"/>
      <c r="AC2109" s="188"/>
      <c r="AD2109" s="188"/>
      <c r="AE2109" s="188"/>
      <c r="AF2109" s="188"/>
      <c r="AG2109" s="188"/>
      <c r="AH2109" s="188"/>
      <c r="AI2109" s="188"/>
    </row>
    <row r="2110">
      <c r="A2110" s="263"/>
      <c r="B2110" s="264"/>
      <c r="C2110" s="265"/>
      <c r="D2110" s="266"/>
      <c r="E2110" s="263"/>
      <c r="F2110" s="267"/>
      <c r="G2110" s="267"/>
      <c r="H2110" s="268"/>
      <c r="I2110" s="268"/>
      <c r="J2110" s="267"/>
      <c r="K2110" s="265"/>
      <c r="L2110" s="265"/>
      <c r="M2110" s="269"/>
      <c r="N2110" s="270"/>
      <c r="O2110" s="271"/>
      <c r="P2110" s="271"/>
      <c r="Q2110" s="272"/>
      <c r="R2110" s="273"/>
      <c r="S2110" s="273"/>
      <c r="T2110" s="273"/>
      <c r="U2110" s="274"/>
      <c r="V2110" s="263"/>
      <c r="W2110" s="188"/>
      <c r="X2110" s="188"/>
      <c r="Y2110" s="188"/>
      <c r="Z2110" s="188"/>
      <c r="AA2110" s="188"/>
      <c r="AB2110" s="188"/>
      <c r="AC2110" s="188"/>
      <c r="AD2110" s="188"/>
      <c r="AE2110" s="188"/>
      <c r="AF2110" s="188"/>
      <c r="AG2110" s="188"/>
      <c r="AH2110" s="188"/>
      <c r="AI2110" s="188"/>
    </row>
    <row r="2111">
      <c r="A2111" s="263"/>
      <c r="B2111" s="264"/>
      <c r="C2111" s="265"/>
      <c r="D2111" s="266"/>
      <c r="E2111" s="263"/>
      <c r="F2111" s="267"/>
      <c r="G2111" s="267"/>
      <c r="H2111" s="268"/>
      <c r="I2111" s="268"/>
      <c r="J2111" s="267"/>
      <c r="K2111" s="265"/>
      <c r="L2111" s="265"/>
      <c r="M2111" s="269"/>
      <c r="N2111" s="270"/>
      <c r="O2111" s="271"/>
      <c r="P2111" s="271"/>
      <c r="Q2111" s="272"/>
      <c r="R2111" s="273"/>
      <c r="S2111" s="273"/>
      <c r="T2111" s="273"/>
      <c r="U2111" s="274"/>
      <c r="V2111" s="263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</row>
    <row r="2112">
      <c r="A2112" s="263"/>
      <c r="B2112" s="264"/>
      <c r="C2112" s="265"/>
      <c r="D2112" s="266"/>
      <c r="E2112" s="263"/>
      <c r="F2112" s="267"/>
      <c r="G2112" s="267"/>
      <c r="H2112" s="268"/>
      <c r="I2112" s="268"/>
      <c r="J2112" s="267"/>
      <c r="K2112" s="265"/>
      <c r="L2112" s="265"/>
      <c r="M2112" s="269"/>
      <c r="N2112" s="270"/>
      <c r="O2112" s="271"/>
      <c r="P2112" s="271"/>
      <c r="Q2112" s="272"/>
      <c r="R2112" s="273"/>
      <c r="S2112" s="273"/>
      <c r="T2112" s="273"/>
      <c r="U2112" s="274"/>
      <c r="V2112" s="263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</row>
    <row r="2113">
      <c r="A2113" s="263"/>
      <c r="B2113" s="264"/>
      <c r="C2113" s="265"/>
      <c r="D2113" s="266"/>
      <c r="E2113" s="263"/>
      <c r="F2113" s="267"/>
      <c r="G2113" s="267"/>
      <c r="H2113" s="268"/>
      <c r="I2113" s="268"/>
      <c r="J2113" s="267"/>
      <c r="K2113" s="265"/>
      <c r="L2113" s="265"/>
      <c r="M2113" s="269"/>
      <c r="N2113" s="270"/>
      <c r="O2113" s="271"/>
      <c r="P2113" s="271"/>
      <c r="Q2113" s="272"/>
      <c r="R2113" s="273"/>
      <c r="S2113" s="273"/>
      <c r="T2113" s="273"/>
      <c r="U2113" s="274"/>
      <c r="V2113" s="263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</row>
    <row r="2114">
      <c r="A2114" s="263"/>
      <c r="B2114" s="264"/>
      <c r="C2114" s="265"/>
      <c r="D2114" s="266"/>
      <c r="E2114" s="263"/>
      <c r="F2114" s="267"/>
      <c r="G2114" s="267"/>
      <c r="H2114" s="268"/>
      <c r="I2114" s="268"/>
      <c r="J2114" s="267"/>
      <c r="K2114" s="265"/>
      <c r="L2114" s="265"/>
      <c r="M2114" s="269"/>
      <c r="N2114" s="270"/>
      <c r="O2114" s="271"/>
      <c r="P2114" s="271"/>
      <c r="Q2114" s="272"/>
      <c r="R2114" s="273"/>
      <c r="S2114" s="273"/>
      <c r="T2114" s="273"/>
      <c r="U2114" s="274"/>
      <c r="V2114" s="263"/>
      <c r="W2114" s="35"/>
      <c r="X2114" s="35"/>
      <c r="Y2114" s="35"/>
      <c r="Z2114" s="35"/>
      <c r="AA2114" s="35"/>
      <c r="AB2114" s="35"/>
      <c r="AC2114" s="35"/>
      <c r="AD2114" s="35"/>
      <c r="AE2114" s="35"/>
      <c r="AF2114" s="35"/>
      <c r="AG2114" s="35"/>
      <c r="AH2114" s="35"/>
      <c r="AI2114" s="35"/>
    </row>
    <row r="2115">
      <c r="A2115" s="263"/>
      <c r="B2115" s="264"/>
      <c r="C2115" s="265"/>
      <c r="D2115" s="266"/>
      <c r="E2115" s="263"/>
      <c r="F2115" s="267"/>
      <c r="G2115" s="267"/>
      <c r="H2115" s="268"/>
      <c r="I2115" s="268"/>
      <c r="J2115" s="267"/>
      <c r="K2115" s="265"/>
      <c r="L2115" s="265"/>
      <c r="M2115" s="269"/>
      <c r="N2115" s="270"/>
      <c r="O2115" s="271"/>
      <c r="P2115" s="271"/>
      <c r="Q2115" s="272"/>
      <c r="R2115" s="273"/>
      <c r="S2115" s="273"/>
      <c r="T2115" s="273"/>
      <c r="U2115" s="274"/>
      <c r="V2115" s="263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</row>
    <row r="2116">
      <c r="A2116" s="263"/>
      <c r="B2116" s="264"/>
      <c r="C2116" s="265"/>
      <c r="D2116" s="266"/>
      <c r="E2116" s="263"/>
      <c r="F2116" s="267"/>
      <c r="G2116" s="267"/>
      <c r="H2116" s="268"/>
      <c r="I2116" s="268"/>
      <c r="J2116" s="267"/>
      <c r="K2116" s="265"/>
      <c r="L2116" s="265"/>
      <c r="M2116" s="269"/>
      <c r="N2116" s="270"/>
      <c r="O2116" s="271"/>
      <c r="P2116" s="271"/>
      <c r="Q2116" s="272"/>
      <c r="R2116" s="273"/>
      <c r="S2116" s="273"/>
      <c r="T2116" s="273"/>
      <c r="U2116" s="274"/>
      <c r="V2116" s="263"/>
      <c r="W2116" s="35"/>
      <c r="X2116" s="35"/>
      <c r="Y2116" s="35"/>
      <c r="Z2116" s="35"/>
      <c r="AA2116" s="35"/>
      <c r="AB2116" s="35"/>
      <c r="AC2116" s="35"/>
      <c r="AD2116" s="35"/>
      <c r="AE2116" s="35"/>
      <c r="AF2116" s="35"/>
      <c r="AG2116" s="35"/>
      <c r="AH2116" s="35"/>
      <c r="AI2116" s="35"/>
    </row>
    <row r="2117">
      <c r="A2117" s="251"/>
      <c r="B2117" s="252"/>
      <c r="C2117" s="253"/>
      <c r="D2117" s="254"/>
      <c r="E2117" s="251"/>
      <c r="F2117" s="255"/>
      <c r="G2117" s="255"/>
      <c r="H2117" s="256"/>
      <c r="I2117" s="256"/>
      <c r="J2117" s="267"/>
      <c r="K2117" s="253"/>
      <c r="L2117" s="253"/>
      <c r="M2117" s="252"/>
      <c r="N2117" s="258"/>
      <c r="O2117" s="259"/>
      <c r="P2117" s="259"/>
      <c r="Q2117" s="262"/>
      <c r="R2117" s="260"/>
      <c r="S2117" s="260"/>
      <c r="T2117" s="273"/>
      <c r="U2117" s="274"/>
      <c r="V2117" s="263"/>
      <c r="W2117" s="188"/>
      <c r="X2117" s="188"/>
      <c r="Y2117" s="188"/>
      <c r="Z2117" s="188"/>
      <c r="AA2117" s="188"/>
      <c r="AB2117" s="188"/>
      <c r="AC2117" s="188"/>
      <c r="AD2117" s="188"/>
      <c r="AE2117" s="188"/>
      <c r="AF2117" s="188"/>
      <c r="AG2117" s="188"/>
      <c r="AH2117" s="188"/>
      <c r="AI2117" s="188"/>
    </row>
    <row r="2118">
      <c r="A2118" s="263"/>
      <c r="B2118" s="264"/>
      <c r="C2118" s="265"/>
      <c r="D2118" s="266"/>
      <c r="E2118" s="263"/>
      <c r="F2118" s="267"/>
      <c r="G2118" s="267"/>
      <c r="H2118" s="268"/>
      <c r="I2118" s="268"/>
      <c r="J2118" s="267"/>
      <c r="K2118" s="265"/>
      <c r="L2118" s="265"/>
      <c r="M2118" s="269"/>
      <c r="N2118" s="270"/>
      <c r="O2118" s="271"/>
      <c r="P2118" s="271"/>
      <c r="Q2118" s="272"/>
      <c r="R2118" s="273"/>
      <c r="S2118" s="273"/>
      <c r="T2118" s="273"/>
      <c r="U2118" s="274"/>
      <c r="V2118" s="263"/>
      <c r="W2118" s="35"/>
      <c r="X2118" s="35"/>
      <c r="Y2118" s="35"/>
      <c r="Z2118" s="35"/>
      <c r="AA2118" s="35"/>
      <c r="AB2118" s="35"/>
      <c r="AC2118" s="35"/>
      <c r="AD2118" s="35"/>
      <c r="AE2118" s="35"/>
      <c r="AF2118" s="35"/>
      <c r="AG2118" s="35"/>
      <c r="AH2118" s="35"/>
      <c r="AI2118" s="35"/>
    </row>
    <row r="2119">
      <c r="A2119" s="251"/>
      <c r="B2119" s="252"/>
      <c r="C2119" s="253"/>
      <c r="D2119" s="254"/>
      <c r="E2119" s="251"/>
      <c r="F2119" s="255"/>
      <c r="G2119" s="255"/>
      <c r="H2119" s="256"/>
      <c r="I2119" s="256"/>
      <c r="J2119" s="267"/>
      <c r="K2119" s="253"/>
      <c r="L2119" s="253"/>
      <c r="M2119" s="275"/>
      <c r="N2119" s="258"/>
      <c r="O2119" s="259"/>
      <c r="P2119" s="259"/>
      <c r="Q2119" s="262"/>
      <c r="R2119" s="260"/>
      <c r="S2119" s="260"/>
      <c r="T2119" s="260"/>
      <c r="U2119" s="261"/>
      <c r="V2119" s="251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</row>
    <row r="2120">
      <c r="A2120" s="263"/>
      <c r="B2120" s="264"/>
      <c r="C2120" s="265"/>
      <c r="D2120" s="266"/>
      <c r="E2120" s="263"/>
      <c r="F2120" s="267"/>
      <c r="G2120" s="267"/>
      <c r="H2120" s="268"/>
      <c r="I2120" s="268"/>
      <c r="J2120" s="267"/>
      <c r="K2120" s="265"/>
      <c r="L2120" s="265"/>
      <c r="M2120" s="269"/>
      <c r="N2120" s="270"/>
      <c r="O2120" s="271"/>
      <c r="P2120" s="271"/>
      <c r="Q2120" s="272"/>
      <c r="R2120" s="273"/>
      <c r="S2120" s="273"/>
      <c r="T2120" s="273"/>
      <c r="U2120" s="274"/>
      <c r="V2120" s="263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</row>
    <row r="2121">
      <c r="A2121" s="263"/>
      <c r="B2121" s="264"/>
      <c r="C2121" s="265"/>
      <c r="D2121" s="266"/>
      <c r="E2121" s="263"/>
      <c r="F2121" s="267"/>
      <c r="G2121" s="267"/>
      <c r="H2121" s="268"/>
      <c r="I2121" s="268"/>
      <c r="J2121" s="267"/>
      <c r="K2121" s="265"/>
      <c r="L2121" s="265"/>
      <c r="M2121" s="269"/>
      <c r="N2121" s="270"/>
      <c r="O2121" s="271"/>
      <c r="P2121" s="271"/>
      <c r="Q2121" s="272"/>
      <c r="R2121" s="273"/>
      <c r="S2121" s="273"/>
      <c r="T2121" s="273"/>
      <c r="U2121" s="274"/>
      <c r="V2121" s="263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</row>
    <row r="2122">
      <c r="A2122" s="263"/>
      <c r="B2122" s="264"/>
      <c r="C2122" s="265"/>
      <c r="D2122" s="266"/>
      <c r="E2122" s="263"/>
      <c r="F2122" s="267"/>
      <c r="G2122" s="267"/>
      <c r="H2122" s="268"/>
      <c r="I2122" s="268"/>
      <c r="J2122" s="255"/>
      <c r="K2122" s="265"/>
      <c r="L2122" s="265"/>
      <c r="M2122" s="269"/>
      <c r="N2122" s="270"/>
      <c r="O2122" s="271"/>
      <c r="P2122" s="271"/>
      <c r="Q2122" s="272"/>
      <c r="R2122" s="273"/>
      <c r="S2122" s="273"/>
      <c r="T2122" s="273"/>
      <c r="U2122" s="274"/>
      <c r="V2122" s="263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</row>
    <row r="2123">
      <c r="A2123" s="263"/>
      <c r="B2123" s="264"/>
      <c r="C2123" s="265"/>
      <c r="D2123" s="266"/>
      <c r="E2123" s="263"/>
      <c r="F2123" s="267"/>
      <c r="G2123" s="267"/>
      <c r="H2123" s="268"/>
      <c r="I2123" s="268"/>
      <c r="J2123" s="267"/>
      <c r="K2123" s="265"/>
      <c r="L2123" s="265"/>
      <c r="M2123" s="269"/>
      <c r="N2123" s="270"/>
      <c r="O2123" s="271"/>
      <c r="P2123" s="271"/>
      <c r="Q2123" s="272"/>
      <c r="R2123" s="273"/>
      <c r="S2123" s="273"/>
      <c r="T2123" s="273"/>
      <c r="U2123" s="274"/>
      <c r="V2123" s="263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</row>
    <row r="2124">
      <c r="A2124" s="263"/>
      <c r="B2124" s="264"/>
      <c r="C2124" s="265"/>
      <c r="D2124" s="266"/>
      <c r="E2124" s="263"/>
      <c r="F2124" s="267"/>
      <c r="G2124" s="267"/>
      <c r="H2124" s="268"/>
      <c r="I2124" s="268"/>
      <c r="J2124" s="255"/>
      <c r="K2124" s="265"/>
      <c r="L2124" s="265"/>
      <c r="M2124" s="269"/>
      <c r="N2124" s="270"/>
      <c r="O2124" s="271"/>
      <c r="P2124" s="271"/>
      <c r="Q2124" s="272"/>
      <c r="R2124" s="273"/>
      <c r="S2124" s="273"/>
      <c r="T2124" s="273"/>
      <c r="U2124" s="274"/>
      <c r="V2124" s="263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</row>
    <row r="2125">
      <c r="A2125" s="263"/>
      <c r="B2125" s="264"/>
      <c r="C2125" s="265"/>
      <c r="D2125" s="266"/>
      <c r="E2125" s="263"/>
      <c r="F2125" s="267"/>
      <c r="G2125" s="267"/>
      <c r="H2125" s="268"/>
      <c r="I2125" s="268"/>
      <c r="J2125" s="267"/>
      <c r="K2125" s="265"/>
      <c r="L2125" s="265"/>
      <c r="M2125" s="269"/>
      <c r="N2125" s="270"/>
      <c r="O2125" s="271"/>
      <c r="P2125" s="271"/>
      <c r="Q2125" s="272"/>
      <c r="R2125" s="273"/>
      <c r="S2125" s="273"/>
      <c r="T2125" s="273"/>
      <c r="U2125" s="274"/>
      <c r="V2125" s="263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</row>
    <row r="2126">
      <c r="A2126" s="263"/>
      <c r="B2126" s="264"/>
      <c r="C2126" s="265"/>
      <c r="D2126" s="266"/>
      <c r="E2126" s="263"/>
      <c r="F2126" s="267"/>
      <c r="G2126" s="267"/>
      <c r="H2126" s="268"/>
      <c r="I2126" s="268"/>
      <c r="J2126" s="267"/>
      <c r="K2126" s="265"/>
      <c r="L2126" s="265"/>
      <c r="M2126" s="269"/>
      <c r="N2126" s="270"/>
      <c r="O2126" s="271"/>
      <c r="P2126" s="271"/>
      <c r="Q2126" s="272"/>
      <c r="R2126" s="273"/>
      <c r="S2126" s="273"/>
      <c r="T2126" s="273"/>
      <c r="U2126" s="274"/>
      <c r="V2126" s="263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</row>
    <row r="2127">
      <c r="A2127" s="263"/>
      <c r="B2127" s="264"/>
      <c r="C2127" s="265"/>
      <c r="D2127" s="266"/>
      <c r="E2127" s="263"/>
      <c r="F2127" s="267"/>
      <c r="G2127" s="267"/>
      <c r="H2127" s="268"/>
      <c r="I2127" s="268"/>
      <c r="J2127" s="267"/>
      <c r="K2127" s="265"/>
      <c r="L2127" s="265"/>
      <c r="M2127" s="269"/>
      <c r="N2127" s="270"/>
      <c r="O2127" s="271"/>
      <c r="P2127" s="271"/>
      <c r="Q2127" s="272"/>
      <c r="R2127" s="273"/>
      <c r="S2127" s="273"/>
      <c r="T2127" s="273"/>
      <c r="U2127" s="274"/>
      <c r="V2127" s="263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</row>
    <row r="2128">
      <c r="A2128" s="263"/>
      <c r="B2128" s="264"/>
      <c r="C2128" s="265"/>
      <c r="D2128" s="266"/>
      <c r="E2128" s="263"/>
      <c r="F2128" s="267"/>
      <c r="G2128" s="267"/>
      <c r="H2128" s="268"/>
      <c r="I2128" s="268"/>
      <c r="J2128" s="267"/>
      <c r="K2128" s="265"/>
      <c r="L2128" s="265"/>
      <c r="M2128" s="269"/>
      <c r="N2128" s="270"/>
      <c r="O2128" s="271"/>
      <c r="P2128" s="271"/>
      <c r="Q2128" s="272"/>
      <c r="R2128" s="273"/>
      <c r="S2128" s="273"/>
      <c r="T2128" s="273"/>
      <c r="U2128" s="274"/>
      <c r="V2128" s="263"/>
      <c r="W2128" s="35"/>
      <c r="X2128" s="35"/>
      <c r="Y2128" s="35"/>
      <c r="Z2128" s="35"/>
      <c r="AA2128" s="35"/>
      <c r="AB2128" s="35"/>
      <c r="AC2128" s="35"/>
      <c r="AD2128" s="35"/>
      <c r="AE2128" s="35"/>
      <c r="AF2128" s="35"/>
      <c r="AG2128" s="35"/>
      <c r="AH2128" s="35"/>
      <c r="AI2128" s="35"/>
    </row>
    <row r="2129">
      <c r="A2129" s="263"/>
      <c r="B2129" s="264"/>
      <c r="C2129" s="265"/>
      <c r="D2129" s="266"/>
      <c r="E2129" s="263"/>
      <c r="F2129" s="267"/>
      <c r="G2129" s="267"/>
      <c r="H2129" s="268"/>
      <c r="I2129" s="268"/>
      <c r="J2129" s="267"/>
      <c r="K2129" s="265"/>
      <c r="L2129" s="265"/>
      <c r="M2129" s="269"/>
      <c r="N2129" s="270"/>
      <c r="O2129" s="271"/>
      <c r="P2129" s="271"/>
      <c r="Q2129" s="272"/>
      <c r="R2129" s="273"/>
      <c r="S2129" s="273"/>
      <c r="T2129" s="273"/>
      <c r="U2129" s="274"/>
      <c r="V2129" s="263"/>
      <c r="W2129" s="35"/>
      <c r="X2129" s="35"/>
      <c r="Y2129" s="35"/>
      <c r="Z2129" s="35"/>
      <c r="AA2129" s="35"/>
      <c r="AB2129" s="35"/>
      <c r="AC2129" s="35"/>
      <c r="AD2129" s="35"/>
      <c r="AE2129" s="35"/>
      <c r="AF2129" s="35"/>
      <c r="AG2129" s="35"/>
      <c r="AH2129" s="35"/>
      <c r="AI2129" s="35"/>
    </row>
    <row r="2130">
      <c r="A2130" s="263"/>
      <c r="B2130" s="264"/>
      <c r="C2130" s="265"/>
      <c r="D2130" s="266"/>
      <c r="E2130" s="263"/>
      <c r="F2130" s="267"/>
      <c r="G2130" s="267"/>
      <c r="H2130" s="268"/>
      <c r="I2130" s="268"/>
      <c r="J2130" s="267"/>
      <c r="K2130" s="265"/>
      <c r="L2130" s="265"/>
      <c r="M2130" s="269"/>
      <c r="N2130" s="270"/>
      <c r="O2130" s="271"/>
      <c r="P2130" s="271"/>
      <c r="Q2130" s="272"/>
      <c r="R2130" s="273"/>
      <c r="S2130" s="273"/>
      <c r="T2130" s="273"/>
      <c r="U2130" s="274"/>
      <c r="V2130" s="263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</row>
    <row r="2131">
      <c r="A2131" s="263"/>
      <c r="B2131" s="264"/>
      <c r="C2131" s="265"/>
      <c r="D2131" s="266"/>
      <c r="E2131" s="263"/>
      <c r="F2131" s="267"/>
      <c r="G2131" s="267"/>
      <c r="H2131" s="268"/>
      <c r="I2131" s="268"/>
      <c r="J2131" s="267"/>
      <c r="K2131" s="265"/>
      <c r="L2131" s="265"/>
      <c r="M2131" s="269"/>
      <c r="N2131" s="270"/>
      <c r="O2131" s="271"/>
      <c r="P2131" s="271"/>
      <c r="Q2131" s="272"/>
      <c r="R2131" s="273"/>
      <c r="S2131" s="273"/>
      <c r="T2131" s="273"/>
      <c r="U2131" s="274"/>
      <c r="V2131" s="263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</row>
    <row r="2132">
      <c r="A2132" s="263"/>
      <c r="B2132" s="264"/>
      <c r="C2132" s="265"/>
      <c r="D2132" s="266"/>
      <c r="E2132" s="263"/>
      <c r="F2132" s="267"/>
      <c r="G2132" s="267"/>
      <c r="H2132" s="268"/>
      <c r="I2132" s="268"/>
      <c r="J2132" s="267"/>
      <c r="K2132" s="265"/>
      <c r="L2132" s="265"/>
      <c r="M2132" s="269"/>
      <c r="N2132" s="270"/>
      <c r="O2132" s="271"/>
      <c r="P2132" s="271"/>
      <c r="Q2132" s="272"/>
      <c r="R2132" s="273"/>
      <c r="S2132" s="273"/>
      <c r="T2132" s="273"/>
      <c r="U2132" s="274"/>
      <c r="V2132" s="263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</row>
    <row r="2133">
      <c r="A2133" s="263"/>
      <c r="B2133" s="264"/>
      <c r="C2133" s="265"/>
      <c r="D2133" s="266"/>
      <c r="E2133" s="263"/>
      <c r="F2133" s="267"/>
      <c r="G2133" s="267"/>
      <c r="H2133" s="268"/>
      <c r="I2133" s="268"/>
      <c r="J2133" s="267"/>
      <c r="K2133" s="265"/>
      <c r="L2133" s="265"/>
      <c r="M2133" s="269"/>
      <c r="N2133" s="270"/>
      <c r="O2133" s="271"/>
      <c r="P2133" s="271"/>
      <c r="Q2133" s="272"/>
      <c r="R2133" s="273"/>
      <c r="S2133" s="273"/>
      <c r="T2133" s="273"/>
      <c r="U2133" s="274"/>
      <c r="V2133" s="263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</row>
    <row r="2134">
      <c r="A2134" s="263"/>
      <c r="B2134" s="264"/>
      <c r="C2134" s="265"/>
      <c r="D2134" s="266"/>
      <c r="E2134" s="263"/>
      <c r="F2134" s="267"/>
      <c r="G2134" s="267"/>
      <c r="H2134" s="268"/>
      <c r="I2134" s="268"/>
      <c r="J2134" s="267"/>
      <c r="K2134" s="265"/>
      <c r="L2134" s="265"/>
      <c r="M2134" s="269"/>
      <c r="N2134" s="270"/>
      <c r="O2134" s="271"/>
      <c r="P2134" s="271"/>
      <c r="Q2134" s="272"/>
      <c r="R2134" s="273"/>
      <c r="S2134" s="273"/>
      <c r="T2134" s="273"/>
      <c r="U2134" s="274"/>
      <c r="V2134" s="263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</row>
    <row r="2135">
      <c r="A2135" s="263"/>
      <c r="B2135" s="264"/>
      <c r="C2135" s="265"/>
      <c r="D2135" s="266"/>
      <c r="E2135" s="263"/>
      <c r="F2135" s="267"/>
      <c r="G2135" s="267"/>
      <c r="H2135" s="268"/>
      <c r="I2135" s="268"/>
      <c r="J2135" s="267"/>
      <c r="K2135" s="265"/>
      <c r="L2135" s="265"/>
      <c r="M2135" s="269"/>
      <c r="N2135" s="270"/>
      <c r="O2135" s="271"/>
      <c r="P2135" s="271"/>
      <c r="Q2135" s="272"/>
      <c r="R2135" s="273"/>
      <c r="S2135" s="273"/>
      <c r="T2135" s="273"/>
      <c r="U2135" s="274"/>
      <c r="V2135" s="263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</row>
    <row r="2136">
      <c r="A2136" s="263"/>
      <c r="B2136" s="264"/>
      <c r="C2136" s="265"/>
      <c r="D2136" s="266"/>
      <c r="E2136" s="263"/>
      <c r="F2136" s="267"/>
      <c r="G2136" s="267"/>
      <c r="H2136" s="268"/>
      <c r="I2136" s="268"/>
      <c r="J2136" s="267"/>
      <c r="K2136" s="265"/>
      <c r="L2136" s="265"/>
      <c r="M2136" s="269"/>
      <c r="N2136" s="270"/>
      <c r="O2136" s="271"/>
      <c r="P2136" s="271"/>
      <c r="Q2136" s="272"/>
      <c r="R2136" s="273"/>
      <c r="S2136" s="273"/>
      <c r="T2136" s="273"/>
      <c r="U2136" s="274"/>
      <c r="V2136" s="263"/>
      <c r="W2136" s="188"/>
      <c r="X2136" s="188"/>
      <c r="Y2136" s="188"/>
      <c r="Z2136" s="188"/>
      <c r="AA2136" s="188"/>
      <c r="AB2136" s="188"/>
      <c r="AC2136" s="188"/>
      <c r="AD2136" s="188"/>
      <c r="AE2136" s="188"/>
      <c r="AF2136" s="188"/>
      <c r="AG2136" s="188"/>
      <c r="AH2136" s="188"/>
      <c r="AI2136" s="188"/>
    </row>
    <row r="2137">
      <c r="A2137" s="263"/>
      <c r="B2137" s="264"/>
      <c r="C2137" s="265"/>
      <c r="D2137" s="266"/>
      <c r="E2137" s="263"/>
      <c r="F2137" s="267"/>
      <c r="G2137" s="267"/>
      <c r="H2137" s="268"/>
      <c r="I2137" s="268"/>
      <c r="J2137" s="267"/>
      <c r="K2137" s="265"/>
      <c r="L2137" s="265"/>
      <c r="M2137" s="269"/>
      <c r="N2137" s="270"/>
      <c r="O2137" s="271"/>
      <c r="P2137" s="271"/>
      <c r="Q2137" s="272"/>
      <c r="R2137" s="273"/>
      <c r="S2137" s="273"/>
      <c r="T2137" s="273"/>
      <c r="U2137" s="274"/>
      <c r="V2137" s="263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</row>
    <row r="2138">
      <c r="A2138" s="263"/>
      <c r="B2138" s="264"/>
      <c r="C2138" s="265"/>
      <c r="D2138" s="266"/>
      <c r="E2138" s="263"/>
      <c r="F2138" s="267"/>
      <c r="G2138" s="267"/>
      <c r="H2138" s="268"/>
      <c r="I2138" s="268"/>
      <c r="J2138" s="267"/>
      <c r="K2138" s="265"/>
      <c r="L2138" s="265"/>
      <c r="M2138" s="269"/>
      <c r="N2138" s="270"/>
      <c r="O2138" s="271"/>
      <c r="P2138" s="271"/>
      <c r="Q2138" s="272"/>
      <c r="R2138" s="273"/>
      <c r="S2138" s="273"/>
      <c r="T2138" s="273"/>
      <c r="U2138" s="274"/>
      <c r="V2138" s="263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</row>
    <row r="2139">
      <c r="A2139" s="263"/>
      <c r="B2139" s="264"/>
      <c r="C2139" s="265"/>
      <c r="D2139" s="266"/>
      <c r="E2139" s="263"/>
      <c r="F2139" s="267"/>
      <c r="G2139" s="267"/>
      <c r="H2139" s="268"/>
      <c r="I2139" s="268"/>
      <c r="J2139" s="267"/>
      <c r="K2139" s="265"/>
      <c r="L2139" s="265"/>
      <c r="M2139" s="269"/>
      <c r="N2139" s="270"/>
      <c r="O2139" s="271"/>
      <c r="P2139" s="271"/>
      <c r="Q2139" s="272"/>
      <c r="R2139" s="273"/>
      <c r="S2139" s="273"/>
      <c r="T2139" s="273"/>
      <c r="U2139" s="274"/>
      <c r="V2139" s="263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</row>
    <row r="2140">
      <c r="A2140" s="263"/>
      <c r="B2140" s="264"/>
      <c r="C2140" s="265"/>
      <c r="D2140" s="266"/>
      <c r="E2140" s="263"/>
      <c r="F2140" s="267"/>
      <c r="G2140" s="267"/>
      <c r="H2140" s="268"/>
      <c r="I2140" s="268"/>
      <c r="J2140" s="267"/>
      <c r="K2140" s="265"/>
      <c r="L2140" s="265"/>
      <c r="M2140" s="269"/>
      <c r="N2140" s="270"/>
      <c r="O2140" s="271"/>
      <c r="P2140" s="271"/>
      <c r="Q2140" s="272"/>
      <c r="R2140" s="273"/>
      <c r="S2140" s="273"/>
      <c r="T2140" s="273"/>
      <c r="U2140" s="274"/>
      <c r="V2140" s="263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</row>
    <row r="2141">
      <c r="A2141" s="263"/>
      <c r="B2141" s="264"/>
      <c r="C2141" s="265"/>
      <c r="D2141" s="266"/>
      <c r="E2141" s="263"/>
      <c r="F2141" s="267"/>
      <c r="G2141" s="267"/>
      <c r="H2141" s="268"/>
      <c r="I2141" s="268"/>
      <c r="J2141" s="267"/>
      <c r="K2141" s="265"/>
      <c r="L2141" s="265"/>
      <c r="M2141" s="269"/>
      <c r="N2141" s="270"/>
      <c r="O2141" s="271"/>
      <c r="P2141" s="271"/>
      <c r="Q2141" s="272"/>
      <c r="R2141" s="273"/>
      <c r="S2141" s="273"/>
      <c r="T2141" s="273"/>
      <c r="U2141" s="274"/>
      <c r="V2141" s="263"/>
      <c r="W2141" s="188"/>
      <c r="X2141" s="188"/>
      <c r="Y2141" s="188"/>
      <c r="Z2141" s="188"/>
      <c r="AA2141" s="188"/>
      <c r="AB2141" s="188"/>
      <c r="AC2141" s="188"/>
      <c r="AD2141" s="188"/>
      <c r="AE2141" s="188"/>
      <c r="AF2141" s="188"/>
      <c r="AG2141" s="188"/>
      <c r="AH2141" s="188"/>
      <c r="AI2141" s="188"/>
    </row>
    <row r="2142">
      <c r="A2142" s="263"/>
      <c r="B2142" s="264"/>
      <c r="C2142" s="265"/>
      <c r="D2142" s="266"/>
      <c r="E2142" s="263"/>
      <c r="F2142" s="267"/>
      <c r="G2142" s="267"/>
      <c r="H2142" s="268"/>
      <c r="I2142" s="268"/>
      <c r="J2142" s="267"/>
      <c r="K2142" s="265"/>
      <c r="L2142" s="265"/>
      <c r="M2142" s="269"/>
      <c r="N2142" s="270"/>
      <c r="O2142" s="271"/>
      <c r="P2142" s="271"/>
      <c r="Q2142" s="272"/>
      <c r="R2142" s="273"/>
      <c r="S2142" s="273"/>
      <c r="T2142" s="273"/>
      <c r="U2142" s="274"/>
      <c r="V2142" s="263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</row>
    <row r="2143">
      <c r="A2143" s="263"/>
      <c r="B2143" s="264"/>
      <c r="C2143" s="265"/>
      <c r="D2143" s="266"/>
      <c r="E2143" s="263"/>
      <c r="F2143" s="267"/>
      <c r="G2143" s="267"/>
      <c r="H2143" s="268"/>
      <c r="I2143" s="268"/>
      <c r="J2143" s="267"/>
      <c r="K2143" s="265"/>
      <c r="L2143" s="265"/>
      <c r="M2143" s="269"/>
      <c r="N2143" s="270"/>
      <c r="O2143" s="271"/>
      <c r="P2143" s="271"/>
      <c r="Q2143" s="272"/>
      <c r="R2143" s="273"/>
      <c r="S2143" s="273"/>
      <c r="T2143" s="273"/>
      <c r="U2143" s="274"/>
      <c r="V2143" s="263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</row>
    <row r="2144">
      <c r="A2144" s="263"/>
      <c r="B2144" s="264"/>
      <c r="C2144" s="265"/>
      <c r="D2144" s="266"/>
      <c r="E2144" s="263"/>
      <c r="F2144" s="267"/>
      <c r="G2144" s="267"/>
      <c r="H2144" s="268"/>
      <c r="I2144" s="268"/>
      <c r="J2144" s="267"/>
      <c r="K2144" s="265"/>
      <c r="L2144" s="265"/>
      <c r="M2144" s="269"/>
      <c r="N2144" s="270"/>
      <c r="O2144" s="271"/>
      <c r="P2144" s="271"/>
      <c r="Q2144" s="272"/>
      <c r="R2144" s="273"/>
      <c r="S2144" s="273"/>
      <c r="T2144" s="273"/>
      <c r="U2144" s="274"/>
      <c r="V2144" s="263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</row>
    <row r="2145">
      <c r="A2145" s="263"/>
      <c r="B2145" s="264"/>
      <c r="C2145" s="265"/>
      <c r="D2145" s="266"/>
      <c r="E2145" s="263"/>
      <c r="F2145" s="267"/>
      <c r="G2145" s="267"/>
      <c r="H2145" s="268"/>
      <c r="I2145" s="268"/>
      <c r="J2145" s="267"/>
      <c r="K2145" s="265"/>
      <c r="L2145" s="265"/>
      <c r="M2145" s="269"/>
      <c r="N2145" s="270"/>
      <c r="O2145" s="271"/>
      <c r="P2145" s="271"/>
      <c r="Q2145" s="272"/>
      <c r="R2145" s="273"/>
      <c r="S2145" s="273"/>
      <c r="T2145" s="273"/>
      <c r="U2145" s="274"/>
      <c r="V2145" s="263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</row>
    <row r="2146">
      <c r="A2146" s="263"/>
      <c r="B2146" s="264"/>
      <c r="C2146" s="265"/>
      <c r="D2146" s="266"/>
      <c r="E2146" s="263"/>
      <c r="F2146" s="267"/>
      <c r="G2146" s="267"/>
      <c r="H2146" s="268"/>
      <c r="I2146" s="268"/>
      <c r="J2146" s="267"/>
      <c r="K2146" s="265"/>
      <c r="L2146" s="265"/>
      <c r="M2146" s="269"/>
      <c r="N2146" s="270"/>
      <c r="O2146" s="271"/>
      <c r="P2146" s="271"/>
      <c r="Q2146" s="272"/>
      <c r="R2146" s="273"/>
      <c r="S2146" s="273"/>
      <c r="T2146" s="273"/>
      <c r="U2146" s="274"/>
      <c r="V2146" s="263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</row>
    <row r="2147">
      <c r="A2147" s="263"/>
      <c r="B2147" s="264"/>
      <c r="C2147" s="265"/>
      <c r="D2147" s="266"/>
      <c r="E2147" s="263"/>
      <c r="F2147" s="267"/>
      <c r="G2147" s="267"/>
      <c r="H2147" s="268"/>
      <c r="I2147" s="268"/>
      <c r="J2147" s="267"/>
      <c r="K2147" s="265"/>
      <c r="L2147" s="265"/>
      <c r="M2147" s="269"/>
      <c r="N2147" s="270"/>
      <c r="O2147" s="271"/>
      <c r="P2147" s="271"/>
      <c r="Q2147" s="272"/>
      <c r="R2147" s="273"/>
      <c r="S2147" s="273"/>
      <c r="T2147" s="273"/>
      <c r="U2147" s="274"/>
      <c r="V2147" s="263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</row>
    <row r="2148">
      <c r="A2148" s="263"/>
      <c r="B2148" s="264"/>
      <c r="C2148" s="265"/>
      <c r="D2148" s="266"/>
      <c r="E2148" s="263"/>
      <c r="F2148" s="267"/>
      <c r="G2148" s="267"/>
      <c r="H2148" s="268"/>
      <c r="I2148" s="268"/>
      <c r="J2148" s="267"/>
      <c r="K2148" s="265"/>
      <c r="L2148" s="265"/>
      <c r="M2148" s="269"/>
      <c r="N2148" s="270"/>
      <c r="O2148" s="271"/>
      <c r="P2148" s="271"/>
      <c r="Q2148" s="272"/>
      <c r="R2148" s="273"/>
      <c r="S2148" s="273"/>
      <c r="T2148" s="273"/>
      <c r="U2148" s="274"/>
      <c r="V2148" s="263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</row>
    <row r="2149">
      <c r="A2149" s="263"/>
      <c r="B2149" s="264"/>
      <c r="C2149" s="265"/>
      <c r="D2149" s="266"/>
      <c r="E2149" s="263"/>
      <c r="F2149" s="267"/>
      <c r="G2149" s="267"/>
      <c r="H2149" s="268"/>
      <c r="I2149" s="268"/>
      <c r="J2149" s="267"/>
      <c r="K2149" s="265"/>
      <c r="L2149" s="265"/>
      <c r="M2149" s="269"/>
      <c r="N2149" s="270"/>
      <c r="O2149" s="271"/>
      <c r="P2149" s="271"/>
      <c r="Q2149" s="272"/>
      <c r="R2149" s="273"/>
      <c r="S2149" s="273"/>
      <c r="T2149" s="273"/>
      <c r="U2149" s="274"/>
      <c r="V2149" s="263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</row>
    <row r="2150">
      <c r="A2150" s="263"/>
      <c r="B2150" s="264"/>
      <c r="C2150" s="265"/>
      <c r="D2150" s="266"/>
      <c r="E2150" s="263"/>
      <c r="F2150" s="267"/>
      <c r="G2150" s="267"/>
      <c r="H2150" s="268"/>
      <c r="I2150" s="268"/>
      <c r="J2150" s="267"/>
      <c r="K2150" s="265"/>
      <c r="L2150" s="265"/>
      <c r="M2150" s="269"/>
      <c r="N2150" s="270"/>
      <c r="O2150" s="271"/>
      <c r="P2150" s="271"/>
      <c r="Q2150" s="272"/>
      <c r="R2150" s="273"/>
      <c r="S2150" s="273"/>
      <c r="T2150" s="273"/>
      <c r="U2150" s="274"/>
      <c r="V2150" s="263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</row>
    <row r="2151">
      <c r="A2151" s="263"/>
      <c r="B2151" s="264"/>
      <c r="C2151" s="265"/>
      <c r="D2151" s="266"/>
      <c r="E2151" s="263"/>
      <c r="F2151" s="267"/>
      <c r="G2151" s="267"/>
      <c r="H2151" s="268"/>
      <c r="I2151" s="268"/>
      <c r="J2151" s="267"/>
      <c r="K2151" s="265"/>
      <c r="L2151" s="265"/>
      <c r="M2151" s="269"/>
      <c r="N2151" s="270"/>
      <c r="O2151" s="271"/>
      <c r="P2151" s="271"/>
      <c r="Q2151" s="272"/>
      <c r="R2151" s="273"/>
      <c r="S2151" s="273"/>
      <c r="T2151" s="273"/>
      <c r="U2151" s="274"/>
      <c r="V2151" s="263"/>
      <c r="W2151" s="188"/>
      <c r="X2151" s="188"/>
      <c r="Y2151" s="188"/>
      <c r="Z2151" s="188"/>
      <c r="AA2151" s="188"/>
      <c r="AB2151" s="188"/>
      <c r="AC2151" s="188"/>
      <c r="AD2151" s="188"/>
      <c r="AE2151" s="188"/>
      <c r="AF2151" s="188"/>
      <c r="AG2151" s="188"/>
      <c r="AH2151" s="188"/>
      <c r="AI2151" s="188"/>
    </row>
    <row r="2152">
      <c r="A2152" s="263"/>
      <c r="B2152" s="264"/>
      <c r="C2152" s="265"/>
      <c r="D2152" s="266"/>
      <c r="E2152" s="263"/>
      <c r="F2152" s="267"/>
      <c r="G2152" s="267"/>
      <c r="H2152" s="268"/>
      <c r="I2152" s="268"/>
      <c r="J2152" s="267"/>
      <c r="K2152" s="265"/>
      <c r="L2152" s="265"/>
      <c r="M2152" s="269"/>
      <c r="N2152" s="270"/>
      <c r="O2152" s="271"/>
      <c r="P2152" s="271"/>
      <c r="Q2152" s="272"/>
      <c r="R2152" s="273"/>
      <c r="S2152" s="273"/>
      <c r="T2152" s="273"/>
      <c r="U2152" s="274"/>
      <c r="V2152" s="263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</row>
    <row r="2153">
      <c r="A2153" s="263"/>
      <c r="B2153" s="264"/>
      <c r="C2153" s="265"/>
      <c r="D2153" s="266"/>
      <c r="E2153" s="263"/>
      <c r="F2153" s="267"/>
      <c r="G2153" s="267"/>
      <c r="H2153" s="268"/>
      <c r="I2153" s="268"/>
      <c r="J2153" s="267"/>
      <c r="K2153" s="265"/>
      <c r="L2153" s="265"/>
      <c r="M2153" s="269"/>
      <c r="N2153" s="270"/>
      <c r="O2153" s="271"/>
      <c r="P2153" s="271"/>
      <c r="Q2153" s="272"/>
      <c r="R2153" s="273"/>
      <c r="S2153" s="273"/>
      <c r="T2153" s="273"/>
      <c r="U2153" s="274"/>
      <c r="V2153" s="263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</row>
    <row r="2154">
      <c r="A2154" s="263"/>
      <c r="B2154" s="264"/>
      <c r="C2154" s="265"/>
      <c r="D2154" s="266"/>
      <c r="E2154" s="263"/>
      <c r="F2154" s="267"/>
      <c r="G2154" s="267"/>
      <c r="H2154" s="268"/>
      <c r="I2154" s="268"/>
      <c r="J2154" s="267"/>
      <c r="K2154" s="265"/>
      <c r="L2154" s="265"/>
      <c r="M2154" s="269"/>
      <c r="N2154" s="270"/>
      <c r="O2154" s="271"/>
      <c r="P2154" s="271"/>
      <c r="Q2154" s="272"/>
      <c r="R2154" s="273"/>
      <c r="S2154" s="273"/>
      <c r="T2154" s="273"/>
      <c r="U2154" s="274"/>
      <c r="V2154" s="263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</row>
    <row r="2155">
      <c r="A2155" s="263"/>
      <c r="B2155" s="264"/>
      <c r="C2155" s="265"/>
      <c r="D2155" s="266"/>
      <c r="E2155" s="263"/>
      <c r="F2155" s="267"/>
      <c r="G2155" s="267"/>
      <c r="H2155" s="268"/>
      <c r="I2155" s="268"/>
      <c r="J2155" s="267"/>
      <c r="K2155" s="265"/>
      <c r="L2155" s="265"/>
      <c r="M2155" s="269"/>
      <c r="N2155" s="270"/>
      <c r="O2155" s="271"/>
      <c r="P2155" s="271"/>
      <c r="Q2155" s="272"/>
      <c r="R2155" s="273"/>
      <c r="S2155" s="273"/>
      <c r="T2155" s="273"/>
      <c r="U2155" s="274"/>
      <c r="V2155" s="263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</row>
    <row r="2156">
      <c r="A2156" s="263"/>
      <c r="B2156" s="264"/>
      <c r="C2156" s="265"/>
      <c r="D2156" s="266"/>
      <c r="E2156" s="263"/>
      <c r="F2156" s="267"/>
      <c r="G2156" s="267"/>
      <c r="H2156" s="268"/>
      <c r="I2156" s="268"/>
      <c r="J2156" s="267"/>
      <c r="K2156" s="265"/>
      <c r="L2156" s="265"/>
      <c r="M2156" s="269"/>
      <c r="N2156" s="270"/>
      <c r="O2156" s="271"/>
      <c r="P2156" s="271"/>
      <c r="Q2156" s="272"/>
      <c r="R2156" s="273"/>
      <c r="S2156" s="273"/>
      <c r="T2156" s="273"/>
      <c r="U2156" s="274"/>
      <c r="V2156" s="263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</row>
    <row r="2157">
      <c r="A2157" s="263"/>
      <c r="B2157" s="264"/>
      <c r="C2157" s="265"/>
      <c r="D2157" s="266"/>
      <c r="E2157" s="263"/>
      <c r="F2157" s="267"/>
      <c r="G2157" s="267"/>
      <c r="H2157" s="268"/>
      <c r="I2157" s="268"/>
      <c r="J2157" s="267"/>
      <c r="K2157" s="265"/>
      <c r="L2157" s="265"/>
      <c r="M2157" s="269"/>
      <c r="N2157" s="270"/>
      <c r="O2157" s="271"/>
      <c r="P2157" s="271"/>
      <c r="Q2157" s="272"/>
      <c r="R2157" s="273"/>
      <c r="S2157" s="273"/>
      <c r="T2157" s="273"/>
      <c r="U2157" s="274"/>
      <c r="V2157" s="263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</row>
    <row r="2158">
      <c r="A2158" s="263"/>
      <c r="B2158" s="264"/>
      <c r="C2158" s="265"/>
      <c r="D2158" s="266"/>
      <c r="E2158" s="263"/>
      <c r="F2158" s="267"/>
      <c r="G2158" s="267"/>
      <c r="H2158" s="268"/>
      <c r="I2158" s="268"/>
      <c r="J2158" s="267"/>
      <c r="K2158" s="265"/>
      <c r="L2158" s="265"/>
      <c r="M2158" s="269"/>
      <c r="N2158" s="270"/>
      <c r="O2158" s="271"/>
      <c r="P2158" s="271"/>
      <c r="Q2158" s="272"/>
      <c r="R2158" s="273"/>
      <c r="S2158" s="273"/>
      <c r="T2158" s="273"/>
      <c r="U2158" s="274"/>
      <c r="V2158" s="263"/>
      <c r="W2158" s="35"/>
      <c r="X2158" s="35"/>
      <c r="Y2158" s="35"/>
      <c r="Z2158" s="35"/>
      <c r="AA2158" s="35"/>
      <c r="AB2158" s="35"/>
      <c r="AC2158" s="35"/>
      <c r="AD2158" s="35"/>
      <c r="AE2158" s="35"/>
      <c r="AF2158" s="35"/>
      <c r="AG2158" s="35"/>
      <c r="AH2158" s="35"/>
      <c r="AI2158" s="35"/>
    </row>
    <row r="2159">
      <c r="A2159" s="263"/>
      <c r="B2159" s="264"/>
      <c r="C2159" s="265"/>
      <c r="D2159" s="266"/>
      <c r="E2159" s="263"/>
      <c r="F2159" s="267"/>
      <c r="G2159" s="267"/>
      <c r="H2159" s="268"/>
      <c r="I2159" s="268"/>
      <c r="J2159" s="267"/>
      <c r="K2159" s="265"/>
      <c r="L2159" s="265"/>
      <c r="M2159" s="269"/>
      <c r="N2159" s="270"/>
      <c r="O2159" s="271"/>
      <c r="P2159" s="271"/>
      <c r="Q2159" s="272"/>
      <c r="R2159" s="273"/>
      <c r="S2159" s="273"/>
      <c r="T2159" s="273"/>
      <c r="U2159" s="274"/>
      <c r="V2159" s="263"/>
      <c r="W2159" s="188"/>
      <c r="X2159" s="188"/>
      <c r="Y2159" s="188"/>
      <c r="Z2159" s="188"/>
      <c r="AA2159" s="188"/>
      <c r="AB2159" s="188"/>
      <c r="AC2159" s="188"/>
      <c r="AD2159" s="188"/>
      <c r="AE2159" s="188"/>
      <c r="AF2159" s="188"/>
      <c r="AG2159" s="188"/>
      <c r="AH2159" s="188"/>
      <c r="AI2159" s="188"/>
    </row>
    <row r="2160">
      <c r="A2160" s="263"/>
      <c r="B2160" s="264"/>
      <c r="C2160" s="265"/>
      <c r="D2160" s="266"/>
      <c r="E2160" s="263"/>
      <c r="F2160" s="267"/>
      <c r="G2160" s="267"/>
      <c r="H2160" s="268"/>
      <c r="I2160" s="268"/>
      <c r="J2160" s="267"/>
      <c r="K2160" s="265"/>
      <c r="L2160" s="265"/>
      <c r="M2160" s="269"/>
      <c r="N2160" s="270"/>
      <c r="O2160" s="271"/>
      <c r="P2160" s="271"/>
      <c r="Q2160" s="272"/>
      <c r="R2160" s="273"/>
      <c r="S2160" s="273"/>
      <c r="T2160" s="273"/>
      <c r="U2160" s="274"/>
      <c r="V2160" s="263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</row>
    <row r="2161">
      <c r="A2161" s="263"/>
      <c r="B2161" s="264"/>
      <c r="C2161" s="265"/>
      <c r="D2161" s="266"/>
      <c r="E2161" s="263"/>
      <c r="F2161" s="267"/>
      <c r="G2161" s="267"/>
      <c r="H2161" s="268"/>
      <c r="I2161" s="268"/>
      <c r="J2161" s="267"/>
      <c r="K2161" s="265"/>
      <c r="L2161" s="265"/>
      <c r="M2161" s="269"/>
      <c r="N2161" s="270"/>
      <c r="O2161" s="271"/>
      <c r="P2161" s="271"/>
      <c r="Q2161" s="272"/>
      <c r="R2161" s="273"/>
      <c r="S2161" s="273"/>
      <c r="T2161" s="273"/>
      <c r="U2161" s="274"/>
      <c r="V2161" s="263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</row>
    <row r="2162">
      <c r="A2162" s="263"/>
      <c r="B2162" s="264"/>
      <c r="C2162" s="265"/>
      <c r="D2162" s="266"/>
      <c r="E2162" s="263"/>
      <c r="F2162" s="267"/>
      <c r="G2162" s="267"/>
      <c r="H2162" s="268"/>
      <c r="I2162" s="268"/>
      <c r="J2162" s="267"/>
      <c r="K2162" s="265"/>
      <c r="L2162" s="265"/>
      <c r="M2162" s="269"/>
      <c r="N2162" s="270"/>
      <c r="O2162" s="271"/>
      <c r="P2162" s="271"/>
      <c r="Q2162" s="272"/>
      <c r="R2162" s="273"/>
      <c r="S2162" s="273"/>
      <c r="T2162" s="273"/>
      <c r="U2162" s="274"/>
      <c r="V2162" s="263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</row>
    <row r="2163">
      <c r="A2163" s="263"/>
      <c r="B2163" s="264"/>
      <c r="C2163" s="265"/>
      <c r="D2163" s="266"/>
      <c r="E2163" s="263"/>
      <c r="F2163" s="267"/>
      <c r="G2163" s="267"/>
      <c r="H2163" s="268"/>
      <c r="I2163" s="268"/>
      <c r="J2163" s="267"/>
      <c r="K2163" s="265"/>
      <c r="L2163" s="265"/>
      <c r="M2163" s="269"/>
      <c r="N2163" s="270"/>
      <c r="O2163" s="271"/>
      <c r="P2163" s="271"/>
      <c r="Q2163" s="272"/>
      <c r="R2163" s="273"/>
      <c r="S2163" s="273"/>
      <c r="T2163" s="273"/>
      <c r="U2163" s="274"/>
      <c r="V2163" s="263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</row>
    <row r="2164">
      <c r="A2164" s="263"/>
      <c r="B2164" s="264"/>
      <c r="C2164" s="265"/>
      <c r="D2164" s="266"/>
      <c r="E2164" s="263"/>
      <c r="F2164" s="267"/>
      <c r="G2164" s="267"/>
      <c r="H2164" s="268"/>
      <c r="I2164" s="268"/>
      <c r="J2164" s="267"/>
      <c r="K2164" s="265"/>
      <c r="L2164" s="265"/>
      <c r="M2164" s="269"/>
      <c r="N2164" s="270"/>
      <c r="O2164" s="271"/>
      <c r="P2164" s="271"/>
      <c r="Q2164" s="272"/>
      <c r="R2164" s="273"/>
      <c r="S2164" s="273"/>
      <c r="T2164" s="273"/>
      <c r="U2164" s="274"/>
      <c r="V2164" s="263"/>
      <c r="W2164" s="35"/>
      <c r="X2164" s="35"/>
      <c r="Y2164" s="35"/>
      <c r="Z2164" s="35"/>
      <c r="AA2164" s="35"/>
      <c r="AB2164" s="35"/>
      <c r="AC2164" s="35"/>
      <c r="AD2164" s="35"/>
      <c r="AE2164" s="35"/>
      <c r="AF2164" s="35"/>
      <c r="AG2164" s="35"/>
      <c r="AH2164" s="35"/>
      <c r="AI2164" s="35"/>
    </row>
    <row r="2165">
      <c r="A2165" s="263"/>
      <c r="B2165" s="264"/>
      <c r="C2165" s="265"/>
      <c r="D2165" s="266"/>
      <c r="E2165" s="263"/>
      <c r="F2165" s="267"/>
      <c r="G2165" s="267"/>
      <c r="H2165" s="268"/>
      <c r="I2165" s="268"/>
      <c r="J2165" s="267"/>
      <c r="K2165" s="265"/>
      <c r="L2165" s="265"/>
      <c r="M2165" s="269"/>
      <c r="N2165" s="270"/>
      <c r="O2165" s="271"/>
      <c r="P2165" s="271"/>
      <c r="Q2165" s="272"/>
      <c r="R2165" s="273"/>
      <c r="S2165" s="273"/>
      <c r="T2165" s="273"/>
      <c r="U2165" s="274"/>
      <c r="V2165" s="263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</row>
    <row r="2166">
      <c r="A2166" s="263"/>
      <c r="B2166" s="264"/>
      <c r="C2166" s="265"/>
      <c r="D2166" s="266"/>
      <c r="E2166" s="263"/>
      <c r="F2166" s="267"/>
      <c r="G2166" s="267"/>
      <c r="H2166" s="268"/>
      <c r="I2166" s="268"/>
      <c r="J2166" s="267"/>
      <c r="K2166" s="265"/>
      <c r="L2166" s="265"/>
      <c r="M2166" s="269"/>
      <c r="N2166" s="270"/>
      <c r="O2166" s="271"/>
      <c r="P2166" s="271"/>
      <c r="Q2166" s="272"/>
      <c r="R2166" s="273"/>
      <c r="S2166" s="273"/>
      <c r="T2166" s="273"/>
      <c r="U2166" s="274"/>
      <c r="V2166" s="263"/>
      <c r="W2166" s="188"/>
      <c r="X2166" s="188"/>
      <c r="Y2166" s="188"/>
      <c r="Z2166" s="188"/>
      <c r="AA2166" s="188"/>
      <c r="AB2166" s="188"/>
      <c r="AC2166" s="188"/>
      <c r="AD2166" s="188"/>
      <c r="AE2166" s="188"/>
      <c r="AF2166" s="188"/>
      <c r="AG2166" s="188"/>
      <c r="AH2166" s="188"/>
      <c r="AI2166" s="188"/>
    </row>
    <row r="2167">
      <c r="A2167" s="263"/>
      <c r="B2167" s="264"/>
      <c r="C2167" s="265"/>
      <c r="D2167" s="266"/>
      <c r="E2167" s="263"/>
      <c r="F2167" s="267"/>
      <c r="G2167" s="267"/>
      <c r="H2167" s="268"/>
      <c r="I2167" s="268"/>
      <c r="J2167" s="267"/>
      <c r="K2167" s="265"/>
      <c r="L2167" s="265"/>
      <c r="M2167" s="269"/>
      <c r="N2167" s="270"/>
      <c r="O2167" s="271"/>
      <c r="P2167" s="271"/>
      <c r="Q2167" s="272"/>
      <c r="R2167" s="273"/>
      <c r="S2167" s="273"/>
      <c r="T2167" s="273"/>
      <c r="U2167" s="274"/>
      <c r="V2167" s="263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</row>
    <row r="2168">
      <c r="A2168" s="263"/>
      <c r="B2168" s="264"/>
      <c r="C2168" s="265"/>
      <c r="D2168" s="266"/>
      <c r="E2168" s="263"/>
      <c r="F2168" s="267"/>
      <c r="G2168" s="267"/>
      <c r="H2168" s="268"/>
      <c r="I2168" s="268"/>
      <c r="J2168" s="267"/>
      <c r="K2168" s="265"/>
      <c r="L2168" s="265"/>
      <c r="M2168" s="269"/>
      <c r="N2168" s="270"/>
      <c r="O2168" s="271"/>
      <c r="P2168" s="271"/>
      <c r="Q2168" s="272"/>
      <c r="R2168" s="273"/>
      <c r="S2168" s="273"/>
      <c r="T2168" s="273"/>
      <c r="U2168" s="274"/>
      <c r="V2168" s="263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</row>
    <row r="2169">
      <c r="A2169" s="263"/>
      <c r="B2169" s="264"/>
      <c r="C2169" s="265"/>
      <c r="D2169" s="266"/>
      <c r="E2169" s="263"/>
      <c r="F2169" s="267"/>
      <c r="G2169" s="267"/>
      <c r="H2169" s="268"/>
      <c r="I2169" s="268"/>
      <c r="J2169" s="267"/>
      <c r="K2169" s="265"/>
      <c r="L2169" s="265"/>
      <c r="M2169" s="269"/>
      <c r="N2169" s="270"/>
      <c r="O2169" s="271"/>
      <c r="P2169" s="271"/>
      <c r="Q2169" s="272"/>
      <c r="R2169" s="273"/>
      <c r="S2169" s="273"/>
      <c r="T2169" s="273"/>
      <c r="U2169" s="274"/>
      <c r="V2169" s="263"/>
      <c r="W2169" s="188"/>
      <c r="X2169" s="188"/>
      <c r="Y2169" s="188"/>
      <c r="Z2169" s="188"/>
      <c r="AA2169" s="188"/>
      <c r="AB2169" s="188"/>
      <c r="AC2169" s="188"/>
      <c r="AD2169" s="188"/>
      <c r="AE2169" s="188"/>
      <c r="AF2169" s="188"/>
      <c r="AG2169" s="188"/>
      <c r="AH2169" s="188"/>
      <c r="AI2169" s="188"/>
    </row>
    <row r="2170">
      <c r="A2170" s="263"/>
      <c r="B2170" s="264"/>
      <c r="C2170" s="265"/>
      <c r="D2170" s="266"/>
      <c r="E2170" s="263"/>
      <c r="F2170" s="267"/>
      <c r="G2170" s="267"/>
      <c r="H2170" s="268"/>
      <c r="I2170" s="268"/>
      <c r="J2170" s="267"/>
      <c r="K2170" s="265"/>
      <c r="L2170" s="265"/>
      <c r="M2170" s="269"/>
      <c r="N2170" s="270"/>
      <c r="O2170" s="271"/>
      <c r="P2170" s="271"/>
      <c r="Q2170" s="272"/>
      <c r="R2170" s="273"/>
      <c r="S2170" s="273"/>
      <c r="T2170" s="273"/>
      <c r="U2170" s="274"/>
      <c r="V2170" s="263"/>
      <c r="W2170" s="35"/>
      <c r="X2170" s="35"/>
      <c r="Y2170" s="35"/>
      <c r="Z2170" s="35"/>
      <c r="AA2170" s="35"/>
      <c r="AB2170" s="35"/>
      <c r="AC2170" s="35"/>
      <c r="AD2170" s="35"/>
      <c r="AE2170" s="35"/>
      <c r="AF2170" s="35"/>
      <c r="AG2170" s="35"/>
      <c r="AH2170" s="35"/>
      <c r="AI2170" s="35"/>
    </row>
    <row r="2171">
      <c r="A2171" s="263"/>
      <c r="B2171" s="264"/>
      <c r="C2171" s="265"/>
      <c r="D2171" s="266"/>
      <c r="E2171" s="263"/>
      <c r="F2171" s="267"/>
      <c r="G2171" s="267"/>
      <c r="H2171" s="268"/>
      <c r="I2171" s="268"/>
      <c r="J2171" s="267"/>
      <c r="K2171" s="265"/>
      <c r="L2171" s="265"/>
      <c r="M2171" s="269"/>
      <c r="N2171" s="270"/>
      <c r="O2171" s="271"/>
      <c r="P2171" s="271"/>
      <c r="Q2171" s="272"/>
      <c r="R2171" s="273"/>
      <c r="S2171" s="273"/>
      <c r="T2171" s="273"/>
      <c r="U2171" s="274"/>
      <c r="V2171" s="263"/>
      <c r="W2171" s="35"/>
      <c r="X2171" s="35"/>
      <c r="Y2171" s="35"/>
      <c r="Z2171" s="35"/>
      <c r="AA2171" s="35"/>
      <c r="AB2171" s="35"/>
      <c r="AC2171" s="35"/>
      <c r="AD2171" s="35"/>
      <c r="AE2171" s="35"/>
      <c r="AF2171" s="35"/>
      <c r="AG2171" s="35"/>
      <c r="AH2171" s="35"/>
      <c r="AI2171" s="35"/>
    </row>
    <row r="2172">
      <c r="A2172" s="263"/>
      <c r="B2172" s="264"/>
      <c r="C2172" s="265"/>
      <c r="D2172" s="266"/>
      <c r="E2172" s="263"/>
      <c r="F2172" s="267"/>
      <c r="G2172" s="267"/>
      <c r="H2172" s="268"/>
      <c r="I2172" s="268"/>
      <c r="J2172" s="267"/>
      <c r="K2172" s="265"/>
      <c r="L2172" s="265"/>
      <c r="M2172" s="269"/>
      <c r="N2172" s="270"/>
      <c r="O2172" s="271"/>
      <c r="P2172" s="271"/>
      <c r="Q2172" s="272"/>
      <c r="R2172" s="273"/>
      <c r="S2172" s="273"/>
      <c r="T2172" s="273"/>
      <c r="U2172" s="274"/>
      <c r="V2172" s="263"/>
      <c r="W2172" s="188"/>
      <c r="X2172" s="188"/>
      <c r="Y2172" s="188"/>
      <c r="Z2172" s="188"/>
      <c r="AA2172" s="188"/>
      <c r="AB2172" s="188"/>
      <c r="AC2172" s="188"/>
      <c r="AD2172" s="188"/>
      <c r="AE2172" s="188"/>
      <c r="AF2172" s="188"/>
      <c r="AG2172" s="188"/>
      <c r="AH2172" s="188"/>
      <c r="AI2172" s="188"/>
    </row>
    <row r="2173">
      <c r="A2173" s="263"/>
      <c r="B2173" s="264"/>
      <c r="C2173" s="265"/>
      <c r="D2173" s="266"/>
      <c r="E2173" s="263"/>
      <c r="F2173" s="267"/>
      <c r="G2173" s="267"/>
      <c r="H2173" s="268"/>
      <c r="I2173" s="268"/>
      <c r="J2173" s="267"/>
      <c r="K2173" s="265"/>
      <c r="L2173" s="265"/>
      <c r="M2173" s="269"/>
      <c r="N2173" s="270"/>
      <c r="O2173" s="271"/>
      <c r="P2173" s="271"/>
      <c r="Q2173" s="272"/>
      <c r="R2173" s="273"/>
      <c r="S2173" s="273"/>
      <c r="T2173" s="273"/>
      <c r="U2173" s="274"/>
      <c r="V2173" s="263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</row>
    <row r="2174">
      <c r="A2174" s="263"/>
      <c r="B2174" s="264"/>
      <c r="C2174" s="265"/>
      <c r="D2174" s="266"/>
      <c r="E2174" s="263"/>
      <c r="F2174" s="267"/>
      <c r="G2174" s="267"/>
      <c r="H2174" s="268"/>
      <c r="I2174" s="268"/>
      <c r="J2174" s="267"/>
      <c r="K2174" s="265"/>
      <c r="L2174" s="265"/>
      <c r="M2174" s="269"/>
      <c r="N2174" s="270"/>
      <c r="O2174" s="271"/>
      <c r="P2174" s="271"/>
      <c r="Q2174" s="272"/>
      <c r="R2174" s="273"/>
      <c r="S2174" s="273"/>
      <c r="T2174" s="273"/>
      <c r="U2174" s="274"/>
      <c r="V2174" s="263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</row>
    <row r="2175">
      <c r="A2175" s="263"/>
      <c r="B2175" s="264"/>
      <c r="C2175" s="265"/>
      <c r="D2175" s="266"/>
      <c r="E2175" s="263"/>
      <c r="F2175" s="267"/>
      <c r="G2175" s="267"/>
      <c r="H2175" s="268"/>
      <c r="I2175" s="268"/>
      <c r="J2175" s="267"/>
      <c r="K2175" s="265"/>
      <c r="L2175" s="265"/>
      <c r="M2175" s="269"/>
      <c r="N2175" s="270"/>
      <c r="O2175" s="271"/>
      <c r="P2175" s="271"/>
      <c r="Q2175" s="272"/>
      <c r="R2175" s="273"/>
      <c r="S2175" s="273"/>
      <c r="T2175" s="273"/>
      <c r="U2175" s="274"/>
      <c r="V2175" s="263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</row>
    <row r="2176">
      <c r="A2176" s="263"/>
      <c r="B2176" s="264"/>
      <c r="C2176" s="265"/>
      <c r="D2176" s="266"/>
      <c r="E2176" s="263"/>
      <c r="F2176" s="267"/>
      <c r="G2176" s="267"/>
      <c r="H2176" s="268"/>
      <c r="I2176" s="268"/>
      <c r="J2176" s="267"/>
      <c r="K2176" s="265"/>
      <c r="L2176" s="265"/>
      <c r="M2176" s="269"/>
      <c r="N2176" s="270"/>
      <c r="O2176" s="271"/>
      <c r="P2176" s="271"/>
      <c r="Q2176" s="272"/>
      <c r="R2176" s="273"/>
      <c r="S2176" s="273"/>
      <c r="T2176" s="273"/>
      <c r="U2176" s="274"/>
      <c r="V2176" s="263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</row>
    <row r="2177">
      <c r="A2177" s="263"/>
      <c r="B2177" s="264"/>
      <c r="C2177" s="265"/>
      <c r="D2177" s="266"/>
      <c r="E2177" s="263"/>
      <c r="F2177" s="267"/>
      <c r="G2177" s="267"/>
      <c r="H2177" s="268"/>
      <c r="I2177" s="268"/>
      <c r="J2177" s="267"/>
      <c r="K2177" s="265"/>
      <c r="L2177" s="265"/>
      <c r="M2177" s="269"/>
      <c r="N2177" s="270"/>
      <c r="O2177" s="271"/>
      <c r="P2177" s="271"/>
      <c r="Q2177" s="272"/>
      <c r="R2177" s="273"/>
      <c r="S2177" s="273"/>
      <c r="T2177" s="273"/>
      <c r="U2177" s="274"/>
      <c r="V2177" s="263"/>
      <c r="W2177" s="188"/>
      <c r="X2177" s="188"/>
      <c r="Y2177" s="188"/>
      <c r="Z2177" s="188"/>
      <c r="AA2177" s="188"/>
      <c r="AB2177" s="188"/>
      <c r="AC2177" s="188"/>
      <c r="AD2177" s="188"/>
      <c r="AE2177" s="188"/>
      <c r="AF2177" s="188"/>
      <c r="AG2177" s="188"/>
      <c r="AH2177" s="188"/>
      <c r="AI2177" s="188"/>
    </row>
    <row r="2178">
      <c r="A2178" s="263"/>
      <c r="B2178" s="264"/>
      <c r="C2178" s="265"/>
      <c r="D2178" s="266"/>
      <c r="E2178" s="263"/>
      <c r="F2178" s="267"/>
      <c r="G2178" s="267"/>
      <c r="H2178" s="268"/>
      <c r="I2178" s="268"/>
      <c r="J2178" s="267"/>
      <c r="K2178" s="265"/>
      <c r="L2178" s="265"/>
      <c r="M2178" s="269"/>
      <c r="N2178" s="270"/>
      <c r="O2178" s="271"/>
      <c r="P2178" s="271"/>
      <c r="Q2178" s="272"/>
      <c r="R2178" s="273"/>
      <c r="S2178" s="273"/>
      <c r="T2178" s="273"/>
      <c r="U2178" s="274"/>
      <c r="V2178" s="263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</row>
    <row r="2179">
      <c r="A2179" s="263"/>
      <c r="B2179" s="264"/>
      <c r="C2179" s="265"/>
      <c r="D2179" s="266"/>
      <c r="E2179" s="263"/>
      <c r="F2179" s="267"/>
      <c r="G2179" s="267"/>
      <c r="H2179" s="268"/>
      <c r="I2179" s="268"/>
      <c r="J2179" s="267"/>
      <c r="K2179" s="265"/>
      <c r="L2179" s="265"/>
      <c r="M2179" s="269"/>
      <c r="N2179" s="270"/>
      <c r="O2179" s="271"/>
      <c r="P2179" s="271"/>
      <c r="Q2179" s="272"/>
      <c r="R2179" s="273"/>
      <c r="S2179" s="273"/>
      <c r="T2179" s="273"/>
      <c r="U2179" s="274"/>
      <c r="V2179" s="263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</row>
    <row r="2180">
      <c r="A2180" s="263"/>
      <c r="B2180" s="264"/>
      <c r="C2180" s="265"/>
      <c r="D2180" s="266"/>
      <c r="E2180" s="263"/>
      <c r="F2180" s="267"/>
      <c r="G2180" s="267"/>
      <c r="H2180" s="268"/>
      <c r="I2180" s="268"/>
      <c r="J2180" s="267"/>
      <c r="K2180" s="265"/>
      <c r="L2180" s="265"/>
      <c r="M2180" s="269"/>
      <c r="N2180" s="270"/>
      <c r="O2180" s="271"/>
      <c r="P2180" s="271"/>
      <c r="Q2180" s="272"/>
      <c r="R2180" s="273"/>
      <c r="S2180" s="273"/>
      <c r="T2180" s="273"/>
      <c r="U2180" s="274"/>
      <c r="V2180" s="263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</row>
    <row r="2181">
      <c r="A2181" s="263"/>
      <c r="B2181" s="264"/>
      <c r="C2181" s="265"/>
      <c r="D2181" s="266"/>
      <c r="E2181" s="263"/>
      <c r="F2181" s="267"/>
      <c r="G2181" s="267"/>
      <c r="H2181" s="268"/>
      <c r="I2181" s="268"/>
      <c r="J2181" s="267"/>
      <c r="K2181" s="265"/>
      <c r="L2181" s="265"/>
      <c r="M2181" s="269"/>
      <c r="N2181" s="270"/>
      <c r="O2181" s="271"/>
      <c r="P2181" s="271"/>
      <c r="Q2181" s="272"/>
      <c r="R2181" s="273"/>
      <c r="S2181" s="273"/>
      <c r="T2181" s="273"/>
      <c r="U2181" s="274"/>
      <c r="V2181" s="263"/>
      <c r="W2181" s="35"/>
      <c r="X2181" s="35"/>
      <c r="Y2181" s="35"/>
      <c r="Z2181" s="35"/>
      <c r="AA2181" s="35"/>
      <c r="AB2181" s="35"/>
      <c r="AC2181" s="35"/>
      <c r="AD2181" s="35"/>
      <c r="AE2181" s="35"/>
      <c r="AF2181" s="35"/>
      <c r="AG2181" s="35"/>
      <c r="AH2181" s="35"/>
      <c r="AI2181" s="35"/>
    </row>
    <row r="2182">
      <c r="A2182" s="263"/>
      <c r="B2182" s="264"/>
      <c r="C2182" s="265"/>
      <c r="D2182" s="266"/>
      <c r="E2182" s="263"/>
      <c r="F2182" s="267"/>
      <c r="G2182" s="267"/>
      <c r="H2182" s="268"/>
      <c r="I2182" s="268"/>
      <c r="J2182" s="267"/>
      <c r="K2182" s="265"/>
      <c r="L2182" s="265"/>
      <c r="M2182" s="269"/>
      <c r="N2182" s="270"/>
      <c r="O2182" s="271"/>
      <c r="P2182" s="271"/>
      <c r="Q2182" s="272"/>
      <c r="R2182" s="273"/>
      <c r="S2182" s="273"/>
      <c r="T2182" s="273"/>
      <c r="U2182" s="274"/>
      <c r="V2182" s="263"/>
      <c r="W2182" s="35"/>
      <c r="X2182" s="35"/>
      <c r="Y2182" s="35"/>
      <c r="Z2182" s="35"/>
      <c r="AA2182" s="35"/>
      <c r="AB2182" s="35"/>
      <c r="AC2182" s="35"/>
      <c r="AD2182" s="35"/>
      <c r="AE2182" s="35"/>
      <c r="AF2182" s="35"/>
      <c r="AG2182" s="35"/>
      <c r="AH2182" s="35"/>
      <c r="AI2182" s="35"/>
    </row>
    <row r="2183">
      <c r="A2183" s="263"/>
      <c r="B2183" s="264"/>
      <c r="C2183" s="265"/>
      <c r="D2183" s="266"/>
      <c r="E2183" s="263"/>
      <c r="F2183" s="267"/>
      <c r="G2183" s="267"/>
      <c r="H2183" s="268"/>
      <c r="I2183" s="268"/>
      <c r="J2183" s="267"/>
      <c r="K2183" s="265"/>
      <c r="L2183" s="265"/>
      <c r="M2183" s="269"/>
      <c r="N2183" s="270"/>
      <c r="O2183" s="271"/>
      <c r="P2183" s="271"/>
      <c r="Q2183" s="272"/>
      <c r="R2183" s="273"/>
      <c r="S2183" s="273"/>
      <c r="T2183" s="273"/>
      <c r="U2183" s="274"/>
      <c r="V2183" s="263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</row>
    <row r="2184">
      <c r="A2184" s="263"/>
      <c r="B2184" s="264"/>
      <c r="C2184" s="265"/>
      <c r="D2184" s="266"/>
      <c r="E2184" s="263"/>
      <c r="F2184" s="267"/>
      <c r="G2184" s="267"/>
      <c r="H2184" s="268"/>
      <c r="I2184" s="268"/>
      <c r="J2184" s="267"/>
      <c r="K2184" s="265"/>
      <c r="L2184" s="265"/>
      <c r="M2184" s="269"/>
      <c r="N2184" s="270"/>
      <c r="O2184" s="271"/>
      <c r="P2184" s="271"/>
      <c r="Q2184" s="272"/>
      <c r="R2184" s="273"/>
      <c r="S2184" s="273"/>
      <c r="T2184" s="273"/>
      <c r="U2184" s="274"/>
      <c r="V2184" s="263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</row>
    <row r="2185">
      <c r="A2185" s="263"/>
      <c r="B2185" s="264"/>
      <c r="C2185" s="265"/>
      <c r="D2185" s="266"/>
      <c r="E2185" s="263"/>
      <c r="F2185" s="267"/>
      <c r="G2185" s="267"/>
      <c r="H2185" s="268"/>
      <c r="I2185" s="268"/>
      <c r="J2185" s="267"/>
      <c r="K2185" s="265"/>
      <c r="L2185" s="265"/>
      <c r="M2185" s="269"/>
      <c r="N2185" s="270"/>
      <c r="O2185" s="271"/>
      <c r="P2185" s="271"/>
      <c r="Q2185" s="272"/>
      <c r="R2185" s="273"/>
      <c r="S2185" s="273"/>
      <c r="T2185" s="273"/>
      <c r="U2185" s="274"/>
      <c r="V2185" s="263"/>
      <c r="W2185" s="35"/>
      <c r="X2185" s="35"/>
      <c r="Y2185" s="35"/>
      <c r="Z2185" s="35"/>
      <c r="AA2185" s="35"/>
      <c r="AB2185" s="35"/>
      <c r="AC2185" s="35"/>
      <c r="AD2185" s="35"/>
      <c r="AE2185" s="35"/>
      <c r="AF2185" s="35"/>
      <c r="AG2185" s="35"/>
      <c r="AH2185" s="35"/>
      <c r="AI2185" s="35"/>
    </row>
    <row r="2186">
      <c r="A2186" s="263"/>
      <c r="B2186" s="264"/>
      <c r="C2186" s="265"/>
      <c r="D2186" s="266"/>
      <c r="E2186" s="263"/>
      <c r="F2186" s="267"/>
      <c r="G2186" s="267"/>
      <c r="H2186" s="268"/>
      <c r="I2186" s="268"/>
      <c r="J2186" s="267"/>
      <c r="K2186" s="265"/>
      <c r="L2186" s="265"/>
      <c r="M2186" s="269"/>
      <c r="N2186" s="270"/>
      <c r="O2186" s="271"/>
      <c r="P2186" s="271"/>
      <c r="Q2186" s="272"/>
      <c r="R2186" s="273"/>
      <c r="S2186" s="273"/>
      <c r="T2186" s="273"/>
      <c r="U2186" s="274"/>
      <c r="V2186" s="263"/>
      <c r="W2186" s="35"/>
      <c r="X2186" s="35"/>
      <c r="Y2186" s="35"/>
      <c r="Z2186" s="35"/>
      <c r="AA2186" s="35"/>
      <c r="AB2186" s="35"/>
      <c r="AC2186" s="35"/>
      <c r="AD2186" s="35"/>
      <c r="AE2186" s="35"/>
      <c r="AF2186" s="35"/>
      <c r="AG2186" s="35"/>
      <c r="AH2186" s="35"/>
      <c r="AI2186" s="35"/>
    </row>
    <row r="2187">
      <c r="A2187" s="263"/>
      <c r="B2187" s="264"/>
      <c r="C2187" s="265"/>
      <c r="D2187" s="266"/>
      <c r="E2187" s="263"/>
      <c r="F2187" s="267"/>
      <c r="G2187" s="267"/>
      <c r="H2187" s="268"/>
      <c r="I2187" s="268"/>
      <c r="J2187" s="267"/>
      <c r="K2187" s="265"/>
      <c r="L2187" s="265"/>
      <c r="M2187" s="269"/>
      <c r="N2187" s="270"/>
      <c r="O2187" s="271"/>
      <c r="P2187" s="271"/>
      <c r="Q2187" s="272"/>
      <c r="R2187" s="273"/>
      <c r="S2187" s="273"/>
      <c r="T2187" s="273"/>
      <c r="U2187" s="274"/>
      <c r="V2187" s="263"/>
      <c r="W2187" s="188"/>
      <c r="X2187" s="188"/>
      <c r="Y2187" s="188"/>
      <c r="Z2187" s="188"/>
      <c r="AA2187" s="188"/>
      <c r="AB2187" s="188"/>
      <c r="AC2187" s="188"/>
      <c r="AD2187" s="188"/>
      <c r="AE2187" s="188"/>
      <c r="AF2187" s="188"/>
      <c r="AG2187" s="188"/>
      <c r="AH2187" s="188"/>
      <c r="AI2187" s="188"/>
    </row>
    <row r="2188">
      <c r="A2188" s="263"/>
      <c r="B2188" s="264"/>
      <c r="C2188" s="265"/>
      <c r="D2188" s="266"/>
      <c r="E2188" s="263"/>
      <c r="F2188" s="267"/>
      <c r="G2188" s="267"/>
      <c r="H2188" s="268"/>
      <c r="I2188" s="268"/>
      <c r="J2188" s="267"/>
      <c r="K2188" s="265"/>
      <c r="L2188" s="265"/>
      <c r="M2188" s="269"/>
      <c r="N2188" s="270"/>
      <c r="O2188" s="271"/>
      <c r="P2188" s="271"/>
      <c r="Q2188" s="272"/>
      <c r="R2188" s="273"/>
      <c r="S2188" s="273"/>
      <c r="T2188" s="273"/>
      <c r="U2188" s="274"/>
      <c r="V2188" s="263"/>
      <c r="W2188" s="188"/>
      <c r="X2188" s="188"/>
      <c r="Y2188" s="188"/>
      <c r="Z2188" s="188"/>
      <c r="AA2188" s="188"/>
      <c r="AB2188" s="188"/>
      <c r="AC2188" s="188"/>
      <c r="AD2188" s="188"/>
      <c r="AE2188" s="188"/>
      <c r="AF2188" s="188"/>
      <c r="AG2188" s="188"/>
      <c r="AH2188" s="188"/>
      <c r="AI2188" s="188"/>
    </row>
    <row r="2189">
      <c r="A2189" s="263"/>
      <c r="B2189" s="264"/>
      <c r="C2189" s="265"/>
      <c r="D2189" s="266"/>
      <c r="E2189" s="263"/>
      <c r="F2189" s="267"/>
      <c r="G2189" s="267"/>
      <c r="H2189" s="268"/>
      <c r="I2189" s="268"/>
      <c r="J2189" s="267"/>
      <c r="K2189" s="265"/>
      <c r="L2189" s="265"/>
      <c r="M2189" s="269"/>
      <c r="N2189" s="270"/>
      <c r="O2189" s="271"/>
      <c r="P2189" s="271"/>
      <c r="Q2189" s="272"/>
      <c r="R2189" s="273"/>
      <c r="S2189" s="273"/>
      <c r="T2189" s="273"/>
      <c r="U2189" s="274"/>
      <c r="V2189" s="263"/>
      <c r="W2189" s="35"/>
      <c r="X2189" s="35"/>
      <c r="Y2189" s="35"/>
      <c r="Z2189" s="35"/>
      <c r="AA2189" s="35"/>
      <c r="AB2189" s="35"/>
      <c r="AC2189" s="35"/>
      <c r="AD2189" s="35"/>
      <c r="AE2189" s="35"/>
      <c r="AF2189" s="35"/>
      <c r="AG2189" s="35"/>
      <c r="AH2189" s="35"/>
      <c r="AI2189" s="35"/>
    </row>
    <row r="2190">
      <c r="A2190" s="263"/>
      <c r="B2190" s="264"/>
      <c r="C2190" s="265"/>
      <c r="D2190" s="266"/>
      <c r="E2190" s="263"/>
      <c r="F2190" s="267"/>
      <c r="G2190" s="267"/>
      <c r="H2190" s="268"/>
      <c r="I2190" s="268"/>
      <c r="J2190" s="267"/>
      <c r="K2190" s="265"/>
      <c r="L2190" s="265"/>
      <c r="M2190" s="269"/>
      <c r="N2190" s="270"/>
      <c r="O2190" s="271"/>
      <c r="P2190" s="271"/>
      <c r="Q2190" s="272"/>
      <c r="R2190" s="273"/>
      <c r="S2190" s="273"/>
      <c r="T2190" s="273"/>
      <c r="U2190" s="274"/>
      <c r="V2190" s="263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</row>
    <row r="2191">
      <c r="A2191" s="263"/>
      <c r="B2191" s="264"/>
      <c r="C2191" s="265"/>
      <c r="D2191" s="266"/>
      <c r="E2191" s="263"/>
      <c r="F2191" s="267"/>
      <c r="G2191" s="267"/>
      <c r="H2191" s="268"/>
      <c r="I2191" s="268"/>
      <c r="J2191" s="267"/>
      <c r="K2191" s="265"/>
      <c r="L2191" s="265"/>
      <c r="M2191" s="269"/>
      <c r="N2191" s="270"/>
      <c r="O2191" s="271"/>
      <c r="P2191" s="271"/>
      <c r="Q2191" s="272"/>
      <c r="R2191" s="273"/>
      <c r="S2191" s="273"/>
      <c r="T2191" s="273"/>
      <c r="U2191" s="274"/>
      <c r="V2191" s="263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</row>
    <row r="2192">
      <c r="A2192" s="263"/>
      <c r="B2192" s="264"/>
      <c r="C2192" s="265"/>
      <c r="D2192" s="266"/>
      <c r="E2192" s="263"/>
      <c r="F2192" s="267"/>
      <c r="G2192" s="267"/>
      <c r="H2192" s="268"/>
      <c r="I2192" s="268"/>
      <c r="J2192" s="267"/>
      <c r="K2192" s="265"/>
      <c r="L2192" s="265"/>
      <c r="M2192" s="269"/>
      <c r="N2192" s="270"/>
      <c r="O2192" s="271"/>
      <c r="P2192" s="271"/>
      <c r="Q2192" s="272"/>
      <c r="R2192" s="273"/>
      <c r="S2192" s="273"/>
      <c r="T2192" s="273"/>
      <c r="U2192" s="274"/>
      <c r="V2192" s="263"/>
      <c r="W2192" s="35"/>
      <c r="X2192" s="35"/>
      <c r="Y2192" s="35"/>
      <c r="Z2192" s="35"/>
      <c r="AA2192" s="35"/>
      <c r="AB2192" s="35"/>
      <c r="AC2192" s="35"/>
      <c r="AD2192" s="35"/>
      <c r="AE2192" s="35"/>
      <c r="AF2192" s="35"/>
      <c r="AG2192" s="35"/>
      <c r="AH2192" s="35"/>
      <c r="AI2192" s="35"/>
    </row>
    <row r="2193">
      <c r="A2193" s="263"/>
      <c r="B2193" s="264"/>
      <c r="C2193" s="265"/>
      <c r="D2193" s="266"/>
      <c r="E2193" s="263"/>
      <c r="F2193" s="267"/>
      <c r="G2193" s="267"/>
      <c r="H2193" s="268"/>
      <c r="I2193" s="268"/>
      <c r="J2193" s="267"/>
      <c r="K2193" s="265"/>
      <c r="L2193" s="265"/>
      <c r="M2193" s="269"/>
      <c r="N2193" s="270"/>
      <c r="O2193" s="271"/>
      <c r="P2193" s="271"/>
      <c r="Q2193" s="272"/>
      <c r="R2193" s="273"/>
      <c r="S2193" s="273"/>
      <c r="T2193" s="273"/>
      <c r="U2193" s="274"/>
      <c r="V2193" s="263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</row>
    <row r="2194">
      <c r="A2194" s="263"/>
      <c r="B2194" s="264"/>
      <c r="C2194" s="265"/>
      <c r="D2194" s="266"/>
      <c r="E2194" s="263"/>
      <c r="F2194" s="267"/>
      <c r="G2194" s="267"/>
      <c r="H2194" s="268"/>
      <c r="I2194" s="268"/>
      <c r="J2194" s="267"/>
      <c r="K2194" s="265"/>
      <c r="L2194" s="265"/>
      <c r="M2194" s="269"/>
      <c r="N2194" s="270"/>
      <c r="O2194" s="271"/>
      <c r="P2194" s="271"/>
      <c r="Q2194" s="272"/>
      <c r="R2194" s="273"/>
      <c r="S2194" s="273"/>
      <c r="T2194" s="273"/>
      <c r="U2194" s="274"/>
      <c r="V2194" s="263"/>
      <c r="W2194" s="188"/>
      <c r="X2194" s="188"/>
      <c r="Y2194" s="188"/>
      <c r="Z2194" s="188"/>
      <c r="AA2194" s="188"/>
      <c r="AB2194" s="188"/>
      <c r="AC2194" s="188"/>
      <c r="AD2194" s="188"/>
      <c r="AE2194" s="188"/>
      <c r="AF2194" s="188"/>
      <c r="AG2194" s="188"/>
      <c r="AH2194" s="188"/>
      <c r="AI2194" s="188"/>
    </row>
    <row r="2195">
      <c r="A2195" s="263"/>
      <c r="B2195" s="264"/>
      <c r="C2195" s="265"/>
      <c r="D2195" s="266"/>
      <c r="E2195" s="263"/>
      <c r="F2195" s="267"/>
      <c r="G2195" s="267"/>
      <c r="H2195" s="268"/>
      <c r="I2195" s="268"/>
      <c r="J2195" s="267"/>
      <c r="K2195" s="265"/>
      <c r="L2195" s="265"/>
      <c r="M2195" s="269"/>
      <c r="N2195" s="270"/>
      <c r="O2195" s="271"/>
      <c r="P2195" s="271"/>
      <c r="Q2195" s="272"/>
      <c r="R2195" s="273"/>
      <c r="S2195" s="273"/>
      <c r="T2195" s="273"/>
      <c r="U2195" s="274"/>
      <c r="V2195" s="263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</row>
    <row r="2196">
      <c r="A2196" s="263"/>
      <c r="B2196" s="264"/>
      <c r="C2196" s="265"/>
      <c r="D2196" s="266"/>
      <c r="E2196" s="263"/>
      <c r="F2196" s="267"/>
      <c r="G2196" s="267"/>
      <c r="H2196" s="268"/>
      <c r="I2196" s="268"/>
      <c r="J2196" s="267"/>
      <c r="K2196" s="265"/>
      <c r="L2196" s="265"/>
      <c r="M2196" s="269"/>
      <c r="N2196" s="270"/>
      <c r="O2196" s="271"/>
      <c r="P2196" s="271"/>
      <c r="Q2196" s="272"/>
      <c r="R2196" s="273"/>
      <c r="S2196" s="273"/>
      <c r="T2196" s="273"/>
      <c r="U2196" s="274"/>
      <c r="V2196" s="263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</row>
    <row r="2197">
      <c r="A2197" s="263"/>
      <c r="B2197" s="264"/>
      <c r="C2197" s="265"/>
      <c r="D2197" s="266"/>
      <c r="E2197" s="263"/>
      <c r="F2197" s="267"/>
      <c r="G2197" s="267"/>
      <c r="H2197" s="268"/>
      <c r="I2197" s="268"/>
      <c r="J2197" s="267"/>
      <c r="K2197" s="265"/>
      <c r="L2197" s="265"/>
      <c r="M2197" s="269"/>
      <c r="N2197" s="270"/>
      <c r="O2197" s="271"/>
      <c r="P2197" s="271"/>
      <c r="Q2197" s="272"/>
      <c r="R2197" s="273"/>
      <c r="S2197" s="273"/>
      <c r="T2197" s="273"/>
      <c r="U2197" s="274"/>
      <c r="V2197" s="263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</row>
    <row r="2198">
      <c r="A2198" s="263"/>
      <c r="B2198" s="264"/>
      <c r="C2198" s="265"/>
      <c r="D2198" s="266"/>
      <c r="E2198" s="263"/>
      <c r="F2198" s="267"/>
      <c r="G2198" s="267"/>
      <c r="H2198" s="268"/>
      <c r="I2198" s="268"/>
      <c r="J2198" s="267"/>
      <c r="K2198" s="265"/>
      <c r="L2198" s="265"/>
      <c r="M2198" s="269"/>
      <c r="N2198" s="270"/>
      <c r="O2198" s="271"/>
      <c r="P2198" s="271"/>
      <c r="Q2198" s="272"/>
      <c r="R2198" s="273"/>
      <c r="S2198" s="273"/>
      <c r="T2198" s="273"/>
      <c r="U2198" s="274"/>
      <c r="V2198" s="263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</row>
    <row r="2199">
      <c r="A2199" s="263"/>
      <c r="B2199" s="264"/>
      <c r="C2199" s="265"/>
      <c r="D2199" s="266"/>
      <c r="E2199" s="263"/>
      <c r="F2199" s="267"/>
      <c r="G2199" s="267"/>
      <c r="H2199" s="268"/>
      <c r="I2199" s="268"/>
      <c r="J2199" s="267"/>
      <c r="K2199" s="265"/>
      <c r="L2199" s="265"/>
      <c r="M2199" s="269"/>
      <c r="N2199" s="270"/>
      <c r="O2199" s="271"/>
      <c r="P2199" s="271"/>
      <c r="Q2199" s="272"/>
      <c r="R2199" s="273"/>
      <c r="S2199" s="273"/>
      <c r="T2199" s="273"/>
      <c r="U2199" s="274"/>
      <c r="V2199" s="263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</row>
    <row r="2200">
      <c r="A2200" s="263"/>
      <c r="B2200" s="264"/>
      <c r="C2200" s="265"/>
      <c r="D2200" s="266"/>
      <c r="E2200" s="263"/>
      <c r="F2200" s="267"/>
      <c r="G2200" s="267"/>
      <c r="H2200" s="268"/>
      <c r="I2200" s="268"/>
      <c r="J2200" s="267"/>
      <c r="K2200" s="265"/>
      <c r="L2200" s="265"/>
      <c r="M2200" s="269"/>
      <c r="N2200" s="270"/>
      <c r="O2200" s="271"/>
      <c r="P2200" s="271"/>
      <c r="Q2200" s="272"/>
      <c r="R2200" s="273"/>
      <c r="S2200" s="273"/>
      <c r="T2200" s="273"/>
      <c r="U2200" s="274"/>
      <c r="V2200" s="263"/>
      <c r="W2200" s="188"/>
      <c r="X2200" s="188"/>
      <c r="Y2200" s="188"/>
      <c r="Z2200" s="188"/>
      <c r="AA2200" s="188"/>
      <c r="AB2200" s="188"/>
      <c r="AC2200" s="188"/>
      <c r="AD2200" s="188"/>
      <c r="AE2200" s="188"/>
      <c r="AF2200" s="188"/>
      <c r="AG2200" s="188"/>
      <c r="AH2200" s="188"/>
      <c r="AI2200" s="188"/>
    </row>
    <row r="2201">
      <c r="A2201" s="263"/>
      <c r="B2201" s="264"/>
      <c r="C2201" s="265"/>
      <c r="D2201" s="266"/>
      <c r="E2201" s="263"/>
      <c r="F2201" s="267"/>
      <c r="G2201" s="267"/>
      <c r="H2201" s="268"/>
      <c r="I2201" s="268"/>
      <c r="J2201" s="267"/>
      <c r="K2201" s="265"/>
      <c r="L2201" s="265"/>
      <c r="M2201" s="269"/>
      <c r="N2201" s="270"/>
      <c r="O2201" s="271"/>
      <c r="P2201" s="271"/>
      <c r="Q2201" s="272"/>
      <c r="R2201" s="273"/>
      <c r="S2201" s="273"/>
      <c r="T2201" s="273"/>
      <c r="U2201" s="274"/>
      <c r="V2201" s="263"/>
      <c r="W2201" s="188"/>
      <c r="X2201" s="188"/>
      <c r="Y2201" s="188"/>
      <c r="Z2201" s="188"/>
      <c r="AA2201" s="188"/>
      <c r="AB2201" s="188"/>
      <c r="AC2201" s="188"/>
      <c r="AD2201" s="188"/>
      <c r="AE2201" s="188"/>
      <c r="AF2201" s="188"/>
      <c r="AG2201" s="188"/>
      <c r="AH2201" s="188"/>
      <c r="AI2201" s="188"/>
    </row>
    <row r="2202">
      <c r="A2202" s="263"/>
      <c r="B2202" s="264"/>
      <c r="C2202" s="265"/>
      <c r="D2202" s="266"/>
      <c r="E2202" s="263"/>
      <c r="F2202" s="267"/>
      <c r="G2202" s="267"/>
      <c r="H2202" s="268"/>
      <c r="I2202" s="268"/>
      <c r="J2202" s="267"/>
      <c r="K2202" s="265"/>
      <c r="L2202" s="265"/>
      <c r="M2202" s="269"/>
      <c r="N2202" s="270"/>
      <c r="O2202" s="271"/>
      <c r="P2202" s="271"/>
      <c r="Q2202" s="272"/>
      <c r="R2202" s="273"/>
      <c r="S2202" s="273"/>
      <c r="T2202" s="273"/>
      <c r="U2202" s="274"/>
      <c r="V2202" s="263"/>
      <c r="W2202" s="188"/>
      <c r="X2202" s="188"/>
      <c r="Y2202" s="188"/>
      <c r="Z2202" s="188"/>
      <c r="AA2202" s="188"/>
      <c r="AB2202" s="188"/>
      <c r="AC2202" s="188"/>
      <c r="AD2202" s="188"/>
      <c r="AE2202" s="188"/>
      <c r="AF2202" s="188"/>
      <c r="AG2202" s="188"/>
      <c r="AH2202" s="188"/>
      <c r="AI2202" s="188"/>
    </row>
    <row r="2203">
      <c r="A2203" s="263"/>
      <c r="B2203" s="264"/>
      <c r="C2203" s="265"/>
      <c r="D2203" s="266"/>
      <c r="E2203" s="263"/>
      <c r="F2203" s="267"/>
      <c r="G2203" s="267"/>
      <c r="H2203" s="268"/>
      <c r="I2203" s="268"/>
      <c r="J2203" s="267"/>
      <c r="K2203" s="265"/>
      <c r="L2203" s="265"/>
      <c r="M2203" s="269"/>
      <c r="N2203" s="270"/>
      <c r="O2203" s="271"/>
      <c r="P2203" s="271"/>
      <c r="Q2203" s="272"/>
      <c r="R2203" s="273"/>
      <c r="S2203" s="273"/>
      <c r="T2203" s="273"/>
      <c r="U2203" s="274"/>
      <c r="V2203" s="263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</row>
    <row r="2204">
      <c r="A2204" s="263"/>
      <c r="B2204" s="264"/>
      <c r="C2204" s="265"/>
      <c r="D2204" s="266"/>
      <c r="E2204" s="263"/>
      <c r="F2204" s="267"/>
      <c r="G2204" s="267"/>
      <c r="H2204" s="268"/>
      <c r="I2204" s="268"/>
      <c r="J2204" s="267"/>
      <c r="K2204" s="265"/>
      <c r="L2204" s="265"/>
      <c r="M2204" s="269"/>
      <c r="N2204" s="270"/>
      <c r="O2204" s="271"/>
      <c r="P2204" s="271"/>
      <c r="Q2204" s="272"/>
      <c r="R2204" s="273"/>
      <c r="S2204" s="273"/>
      <c r="T2204" s="273"/>
      <c r="U2204" s="274"/>
      <c r="V2204" s="263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</row>
    <row r="2205">
      <c r="A2205" s="263"/>
      <c r="B2205" s="264"/>
      <c r="C2205" s="265"/>
      <c r="D2205" s="266"/>
      <c r="E2205" s="263"/>
      <c r="F2205" s="267"/>
      <c r="G2205" s="267"/>
      <c r="H2205" s="268"/>
      <c r="I2205" s="268"/>
      <c r="J2205" s="267"/>
      <c r="K2205" s="265"/>
      <c r="L2205" s="265"/>
      <c r="M2205" s="269"/>
      <c r="N2205" s="270"/>
      <c r="O2205" s="271"/>
      <c r="P2205" s="271"/>
      <c r="Q2205" s="272"/>
      <c r="R2205" s="273"/>
      <c r="S2205" s="273"/>
      <c r="T2205" s="273"/>
      <c r="U2205" s="274"/>
      <c r="V2205" s="263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</row>
    <row r="2206">
      <c r="A2206" s="263"/>
      <c r="B2206" s="264"/>
      <c r="C2206" s="265"/>
      <c r="D2206" s="266"/>
      <c r="E2206" s="263"/>
      <c r="F2206" s="267"/>
      <c r="G2206" s="267"/>
      <c r="H2206" s="268"/>
      <c r="I2206" s="268"/>
      <c r="J2206" s="267"/>
      <c r="K2206" s="265"/>
      <c r="L2206" s="265"/>
      <c r="M2206" s="269"/>
      <c r="N2206" s="270"/>
      <c r="O2206" s="271"/>
      <c r="P2206" s="271"/>
      <c r="Q2206" s="272"/>
      <c r="R2206" s="273"/>
      <c r="S2206" s="273"/>
      <c r="T2206" s="273"/>
      <c r="U2206" s="274"/>
      <c r="V2206" s="263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</row>
    <row r="2207">
      <c r="A2207" s="263"/>
      <c r="B2207" s="264"/>
      <c r="C2207" s="265"/>
      <c r="D2207" s="266"/>
      <c r="E2207" s="263"/>
      <c r="F2207" s="267"/>
      <c r="G2207" s="267"/>
      <c r="H2207" s="268"/>
      <c r="I2207" s="268"/>
      <c r="J2207" s="267"/>
      <c r="K2207" s="265"/>
      <c r="L2207" s="265"/>
      <c r="M2207" s="269"/>
      <c r="N2207" s="270"/>
      <c r="O2207" s="271"/>
      <c r="P2207" s="271"/>
      <c r="Q2207" s="272"/>
      <c r="R2207" s="273"/>
      <c r="S2207" s="273"/>
      <c r="T2207" s="273"/>
      <c r="U2207" s="274"/>
      <c r="V2207" s="263"/>
      <c r="W2207" s="35"/>
      <c r="X2207" s="35"/>
      <c r="Y2207" s="35"/>
      <c r="Z2207" s="35"/>
      <c r="AA2207" s="35"/>
      <c r="AB2207" s="35"/>
      <c r="AC2207" s="35"/>
      <c r="AD2207" s="35"/>
      <c r="AE2207" s="35"/>
      <c r="AF2207" s="35"/>
      <c r="AG2207" s="35"/>
      <c r="AH2207" s="35"/>
      <c r="AI2207" s="35"/>
    </row>
    <row r="2208">
      <c r="A2208" s="263"/>
      <c r="B2208" s="264"/>
      <c r="C2208" s="265"/>
      <c r="D2208" s="266"/>
      <c r="E2208" s="263"/>
      <c r="F2208" s="267"/>
      <c r="G2208" s="267"/>
      <c r="H2208" s="268"/>
      <c r="I2208" s="268"/>
      <c r="J2208" s="267"/>
      <c r="K2208" s="265"/>
      <c r="L2208" s="265"/>
      <c r="M2208" s="269"/>
      <c r="N2208" s="270"/>
      <c r="O2208" s="271"/>
      <c r="P2208" s="271"/>
      <c r="Q2208" s="272"/>
      <c r="R2208" s="273"/>
      <c r="S2208" s="273"/>
      <c r="T2208" s="273"/>
      <c r="U2208" s="274"/>
      <c r="V2208" s="263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</row>
    <row r="2209">
      <c r="A2209" s="263"/>
      <c r="B2209" s="264"/>
      <c r="C2209" s="265"/>
      <c r="D2209" s="266"/>
      <c r="E2209" s="263"/>
      <c r="F2209" s="267"/>
      <c r="G2209" s="267"/>
      <c r="H2209" s="268"/>
      <c r="I2209" s="268"/>
      <c r="J2209" s="267"/>
      <c r="K2209" s="265"/>
      <c r="L2209" s="265"/>
      <c r="M2209" s="269"/>
      <c r="N2209" s="270"/>
      <c r="O2209" s="271"/>
      <c r="P2209" s="271"/>
      <c r="Q2209" s="272"/>
      <c r="R2209" s="273"/>
      <c r="S2209" s="273"/>
      <c r="T2209" s="273"/>
      <c r="U2209" s="274"/>
      <c r="V2209" s="263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</row>
    <row r="2210">
      <c r="A2210" s="263"/>
      <c r="B2210" s="264"/>
      <c r="C2210" s="265"/>
      <c r="D2210" s="266"/>
      <c r="E2210" s="263"/>
      <c r="F2210" s="267"/>
      <c r="G2210" s="267"/>
      <c r="H2210" s="268"/>
      <c r="I2210" s="268"/>
      <c r="J2210" s="267"/>
      <c r="K2210" s="265"/>
      <c r="L2210" s="265"/>
      <c r="M2210" s="269"/>
      <c r="N2210" s="270"/>
      <c r="O2210" s="271"/>
      <c r="P2210" s="271"/>
      <c r="Q2210" s="272"/>
      <c r="R2210" s="273"/>
      <c r="S2210" s="273"/>
      <c r="T2210" s="273"/>
      <c r="U2210" s="274"/>
      <c r="V2210" s="263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</row>
    <row r="2211">
      <c r="A2211" s="263"/>
      <c r="B2211" s="264"/>
      <c r="C2211" s="265"/>
      <c r="D2211" s="266"/>
      <c r="E2211" s="263"/>
      <c r="F2211" s="267"/>
      <c r="G2211" s="267"/>
      <c r="H2211" s="268"/>
      <c r="I2211" s="268"/>
      <c r="J2211" s="267"/>
      <c r="K2211" s="265"/>
      <c r="L2211" s="265"/>
      <c r="M2211" s="269"/>
      <c r="N2211" s="270"/>
      <c r="O2211" s="271"/>
      <c r="P2211" s="271"/>
      <c r="Q2211" s="272"/>
      <c r="R2211" s="273"/>
      <c r="S2211" s="273"/>
      <c r="T2211" s="273"/>
      <c r="U2211" s="274"/>
      <c r="V2211" s="263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</row>
    <row r="2212">
      <c r="A2212" s="263"/>
      <c r="B2212" s="264"/>
      <c r="C2212" s="265"/>
      <c r="D2212" s="266"/>
      <c r="E2212" s="263"/>
      <c r="F2212" s="267"/>
      <c r="G2212" s="267"/>
      <c r="H2212" s="268"/>
      <c r="I2212" s="268"/>
      <c r="J2212" s="267"/>
      <c r="K2212" s="265"/>
      <c r="L2212" s="265"/>
      <c r="M2212" s="269"/>
      <c r="N2212" s="270"/>
      <c r="O2212" s="271"/>
      <c r="P2212" s="271"/>
      <c r="Q2212" s="272"/>
      <c r="R2212" s="273"/>
      <c r="S2212" s="273"/>
      <c r="T2212" s="273"/>
      <c r="U2212" s="274"/>
      <c r="V2212" s="263"/>
      <c r="W2212" s="35"/>
      <c r="X2212" s="35"/>
      <c r="Y2212" s="35"/>
      <c r="Z2212" s="35"/>
      <c r="AA2212" s="35"/>
      <c r="AB2212" s="35"/>
      <c r="AC2212" s="35"/>
      <c r="AD2212" s="35"/>
      <c r="AE2212" s="35"/>
      <c r="AF2212" s="35"/>
      <c r="AG2212" s="35"/>
      <c r="AH2212" s="35"/>
      <c r="AI2212" s="35"/>
    </row>
    <row r="2213">
      <c r="A2213" s="263"/>
      <c r="B2213" s="264"/>
      <c r="C2213" s="265"/>
      <c r="D2213" s="266"/>
      <c r="E2213" s="263"/>
      <c r="F2213" s="267"/>
      <c r="G2213" s="267"/>
      <c r="H2213" s="268"/>
      <c r="I2213" s="268"/>
      <c r="J2213" s="267"/>
      <c r="K2213" s="265"/>
      <c r="L2213" s="265"/>
      <c r="M2213" s="269"/>
      <c r="N2213" s="270"/>
      <c r="O2213" s="271"/>
      <c r="P2213" s="271"/>
      <c r="Q2213" s="272"/>
      <c r="R2213" s="273"/>
      <c r="S2213" s="273"/>
      <c r="T2213" s="273"/>
      <c r="U2213" s="274"/>
      <c r="V2213" s="263"/>
      <c r="W2213" s="35"/>
      <c r="X2213" s="35"/>
      <c r="Y2213" s="35"/>
      <c r="Z2213" s="35"/>
      <c r="AA2213" s="35"/>
      <c r="AB2213" s="35"/>
      <c r="AC2213" s="35"/>
      <c r="AD2213" s="35"/>
      <c r="AE2213" s="35"/>
      <c r="AF2213" s="35"/>
      <c r="AG2213" s="35"/>
      <c r="AH2213" s="35"/>
      <c r="AI2213" s="35"/>
    </row>
    <row r="2214">
      <c r="A2214" s="263"/>
      <c r="B2214" s="264"/>
      <c r="C2214" s="265"/>
      <c r="D2214" s="266"/>
      <c r="E2214" s="263"/>
      <c r="F2214" s="267"/>
      <c r="G2214" s="267"/>
      <c r="H2214" s="268"/>
      <c r="I2214" s="268"/>
      <c r="J2214" s="267"/>
      <c r="K2214" s="265"/>
      <c r="L2214" s="265"/>
      <c r="M2214" s="269"/>
      <c r="N2214" s="270"/>
      <c r="O2214" s="271"/>
      <c r="P2214" s="271"/>
      <c r="Q2214" s="272"/>
      <c r="R2214" s="273"/>
      <c r="S2214" s="273"/>
      <c r="T2214" s="273"/>
      <c r="U2214" s="274"/>
      <c r="V2214" s="263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</row>
    <row r="2215">
      <c r="A2215" s="263"/>
      <c r="B2215" s="264"/>
      <c r="C2215" s="265"/>
      <c r="D2215" s="266"/>
      <c r="E2215" s="263"/>
      <c r="F2215" s="267"/>
      <c r="G2215" s="267"/>
      <c r="H2215" s="268"/>
      <c r="I2215" s="268"/>
      <c r="J2215" s="267"/>
      <c r="K2215" s="265"/>
      <c r="L2215" s="265"/>
      <c r="M2215" s="269"/>
      <c r="N2215" s="270"/>
      <c r="O2215" s="271"/>
      <c r="P2215" s="271"/>
      <c r="Q2215" s="272"/>
      <c r="R2215" s="273"/>
      <c r="S2215" s="273"/>
      <c r="T2215" s="273"/>
      <c r="U2215" s="274"/>
      <c r="V2215" s="263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</row>
    <row r="2216">
      <c r="A2216" s="263"/>
      <c r="B2216" s="264"/>
      <c r="C2216" s="265"/>
      <c r="D2216" s="266"/>
      <c r="E2216" s="263"/>
      <c r="F2216" s="267"/>
      <c r="G2216" s="267"/>
      <c r="H2216" s="268"/>
      <c r="I2216" s="268"/>
      <c r="J2216" s="267"/>
      <c r="K2216" s="265"/>
      <c r="L2216" s="265"/>
      <c r="M2216" s="269"/>
      <c r="N2216" s="270"/>
      <c r="O2216" s="271"/>
      <c r="P2216" s="271"/>
      <c r="Q2216" s="272"/>
      <c r="R2216" s="273"/>
      <c r="S2216" s="273"/>
      <c r="T2216" s="273"/>
      <c r="U2216" s="274"/>
      <c r="V2216" s="263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</row>
    <row r="2217">
      <c r="A2217" s="263"/>
      <c r="B2217" s="264"/>
      <c r="C2217" s="265"/>
      <c r="D2217" s="266"/>
      <c r="E2217" s="263"/>
      <c r="F2217" s="267"/>
      <c r="G2217" s="267"/>
      <c r="H2217" s="268"/>
      <c r="I2217" s="268"/>
      <c r="J2217" s="267"/>
      <c r="K2217" s="265"/>
      <c r="L2217" s="265"/>
      <c r="M2217" s="269"/>
      <c r="N2217" s="270"/>
      <c r="O2217" s="271"/>
      <c r="P2217" s="271"/>
      <c r="Q2217" s="272"/>
      <c r="R2217" s="273"/>
      <c r="S2217" s="273"/>
      <c r="T2217" s="273"/>
      <c r="U2217" s="274"/>
      <c r="V2217" s="263"/>
      <c r="W2217" s="35"/>
      <c r="X2217" s="35"/>
      <c r="Y2217" s="35"/>
      <c r="Z2217" s="35"/>
      <c r="AA2217" s="35"/>
      <c r="AB2217" s="35"/>
      <c r="AC2217" s="35"/>
      <c r="AD2217" s="35"/>
      <c r="AE2217" s="35"/>
      <c r="AF2217" s="35"/>
      <c r="AG2217" s="35"/>
      <c r="AH2217" s="35"/>
      <c r="AI2217" s="35"/>
    </row>
    <row r="2218">
      <c r="A2218" s="263"/>
      <c r="B2218" s="264"/>
      <c r="C2218" s="265"/>
      <c r="D2218" s="266"/>
      <c r="E2218" s="263"/>
      <c r="F2218" s="267"/>
      <c r="G2218" s="267"/>
      <c r="H2218" s="268"/>
      <c r="I2218" s="268"/>
      <c r="J2218" s="267"/>
      <c r="K2218" s="265"/>
      <c r="L2218" s="265"/>
      <c r="M2218" s="269"/>
      <c r="N2218" s="270"/>
      <c r="O2218" s="271"/>
      <c r="P2218" s="271"/>
      <c r="Q2218" s="272"/>
      <c r="R2218" s="273"/>
      <c r="S2218" s="273"/>
      <c r="T2218" s="273"/>
      <c r="U2218" s="274"/>
      <c r="V2218" s="263"/>
      <c r="W2218" s="35"/>
      <c r="X2218" s="35"/>
      <c r="Y2218" s="35"/>
      <c r="Z2218" s="35"/>
      <c r="AA2218" s="35"/>
      <c r="AB2218" s="35"/>
      <c r="AC2218" s="35"/>
      <c r="AD2218" s="35"/>
      <c r="AE2218" s="35"/>
      <c r="AF2218" s="35"/>
      <c r="AG2218" s="35"/>
      <c r="AH2218" s="35"/>
      <c r="AI2218" s="35"/>
    </row>
    <row r="2219">
      <c r="A2219" s="263"/>
      <c r="B2219" s="264"/>
      <c r="C2219" s="265"/>
      <c r="D2219" s="266"/>
      <c r="E2219" s="263"/>
      <c r="F2219" s="267"/>
      <c r="G2219" s="267"/>
      <c r="H2219" s="268"/>
      <c r="I2219" s="268"/>
      <c r="J2219" s="267"/>
      <c r="K2219" s="265"/>
      <c r="L2219" s="265"/>
      <c r="M2219" s="269"/>
      <c r="N2219" s="270"/>
      <c r="O2219" s="271"/>
      <c r="P2219" s="271"/>
      <c r="Q2219" s="272"/>
      <c r="R2219" s="273"/>
      <c r="S2219" s="273"/>
      <c r="T2219" s="273"/>
      <c r="U2219" s="274"/>
      <c r="V2219" s="263"/>
      <c r="W2219" s="35"/>
      <c r="X2219" s="35"/>
      <c r="Y2219" s="35"/>
      <c r="Z2219" s="35"/>
      <c r="AA2219" s="35"/>
      <c r="AB2219" s="35"/>
      <c r="AC2219" s="35"/>
      <c r="AD2219" s="35"/>
      <c r="AE2219" s="35"/>
      <c r="AF2219" s="35"/>
      <c r="AG2219" s="35"/>
      <c r="AH2219" s="35"/>
      <c r="AI2219" s="35"/>
    </row>
    <row r="2220">
      <c r="A2220" s="263"/>
      <c r="B2220" s="264"/>
      <c r="C2220" s="265"/>
      <c r="D2220" s="266"/>
      <c r="E2220" s="263"/>
      <c r="F2220" s="267"/>
      <c r="G2220" s="267"/>
      <c r="H2220" s="268"/>
      <c r="I2220" s="268"/>
      <c r="J2220" s="267"/>
      <c r="K2220" s="265"/>
      <c r="L2220" s="265"/>
      <c r="M2220" s="269"/>
      <c r="N2220" s="270"/>
      <c r="O2220" s="271"/>
      <c r="P2220" s="271"/>
      <c r="Q2220" s="272"/>
      <c r="R2220" s="273"/>
      <c r="S2220" s="273"/>
      <c r="T2220" s="273"/>
      <c r="U2220" s="274"/>
      <c r="V2220" s="263"/>
      <c r="W2220" s="36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</row>
    <row r="2221">
      <c r="A2221" s="263"/>
      <c r="B2221" s="264"/>
      <c r="C2221" s="265"/>
      <c r="D2221" s="266"/>
      <c r="E2221" s="263"/>
      <c r="F2221" s="267"/>
      <c r="G2221" s="267"/>
      <c r="H2221" s="268"/>
      <c r="I2221" s="268"/>
      <c r="J2221" s="267"/>
      <c r="K2221" s="265"/>
      <c r="L2221" s="265"/>
      <c r="M2221" s="269"/>
      <c r="N2221" s="270"/>
      <c r="O2221" s="271"/>
      <c r="P2221" s="271"/>
      <c r="Q2221" s="272"/>
      <c r="R2221" s="273"/>
      <c r="S2221" s="273"/>
      <c r="T2221" s="273"/>
      <c r="U2221" s="274"/>
      <c r="V2221" s="263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</row>
    <row r="2222">
      <c r="A2222" s="263"/>
      <c r="B2222" s="264"/>
      <c r="C2222" s="265"/>
      <c r="D2222" s="266"/>
      <c r="E2222" s="263"/>
      <c r="F2222" s="267"/>
      <c r="G2222" s="267"/>
      <c r="H2222" s="268"/>
      <c r="I2222" s="268"/>
      <c r="J2222" s="267"/>
      <c r="K2222" s="265"/>
      <c r="L2222" s="265"/>
      <c r="M2222" s="269"/>
      <c r="N2222" s="270"/>
      <c r="O2222" s="271"/>
      <c r="P2222" s="271"/>
      <c r="Q2222" s="272"/>
      <c r="R2222" s="273"/>
      <c r="S2222" s="273"/>
      <c r="T2222" s="273"/>
      <c r="U2222" s="274"/>
      <c r="V2222" s="263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</row>
    <row r="2223">
      <c r="A2223" s="263"/>
      <c r="B2223" s="264"/>
      <c r="C2223" s="265"/>
      <c r="D2223" s="266"/>
      <c r="E2223" s="263"/>
      <c r="F2223" s="267"/>
      <c r="G2223" s="267"/>
      <c r="H2223" s="268"/>
      <c r="I2223" s="268"/>
      <c r="J2223" s="267"/>
      <c r="K2223" s="265"/>
      <c r="L2223" s="265"/>
      <c r="M2223" s="269"/>
      <c r="N2223" s="270"/>
      <c r="O2223" s="271"/>
      <c r="P2223" s="271"/>
      <c r="Q2223" s="272"/>
      <c r="R2223" s="273"/>
      <c r="S2223" s="273"/>
      <c r="T2223" s="273"/>
      <c r="U2223" s="274"/>
      <c r="V2223" s="263"/>
      <c r="W2223" s="188"/>
      <c r="X2223" s="188"/>
      <c r="Y2223" s="188"/>
      <c r="Z2223" s="188"/>
      <c r="AA2223" s="188"/>
      <c r="AB2223" s="188"/>
      <c r="AC2223" s="188"/>
      <c r="AD2223" s="188"/>
      <c r="AE2223" s="188"/>
      <c r="AF2223" s="188"/>
      <c r="AG2223" s="188"/>
      <c r="AH2223" s="188"/>
      <c r="AI2223" s="188"/>
    </row>
    <row r="2224">
      <c r="A2224" s="263"/>
      <c r="B2224" s="264"/>
      <c r="C2224" s="265"/>
      <c r="D2224" s="266"/>
      <c r="E2224" s="263"/>
      <c r="F2224" s="267"/>
      <c r="G2224" s="267"/>
      <c r="H2224" s="268"/>
      <c r="I2224" s="268"/>
      <c r="J2224" s="267"/>
      <c r="K2224" s="265"/>
      <c r="L2224" s="265"/>
      <c r="M2224" s="269"/>
      <c r="N2224" s="270"/>
      <c r="O2224" s="271"/>
      <c r="P2224" s="271"/>
      <c r="Q2224" s="272"/>
      <c r="R2224" s="273"/>
      <c r="S2224" s="273"/>
      <c r="T2224" s="273"/>
      <c r="U2224" s="274"/>
      <c r="V2224" s="263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</row>
    <row r="2225">
      <c r="A2225" s="263"/>
      <c r="B2225" s="264"/>
      <c r="C2225" s="265"/>
      <c r="D2225" s="266"/>
      <c r="E2225" s="263"/>
      <c r="F2225" s="267"/>
      <c r="G2225" s="267"/>
      <c r="H2225" s="268"/>
      <c r="I2225" s="268"/>
      <c r="J2225" s="267"/>
      <c r="K2225" s="265"/>
      <c r="L2225" s="265"/>
      <c r="M2225" s="269"/>
      <c r="N2225" s="270"/>
      <c r="O2225" s="271"/>
      <c r="P2225" s="271"/>
      <c r="Q2225" s="272"/>
      <c r="R2225" s="273"/>
      <c r="S2225" s="273"/>
      <c r="T2225" s="273"/>
      <c r="U2225" s="274"/>
      <c r="V2225" s="263"/>
      <c r="W2225" s="35"/>
      <c r="X2225" s="35"/>
      <c r="Y2225" s="35"/>
      <c r="Z2225" s="35"/>
      <c r="AA2225" s="35"/>
      <c r="AB2225" s="35"/>
      <c r="AC2225" s="35"/>
      <c r="AD2225" s="35"/>
      <c r="AE2225" s="35"/>
      <c r="AF2225" s="35"/>
      <c r="AG2225" s="35"/>
      <c r="AH2225" s="35"/>
      <c r="AI2225" s="35"/>
    </row>
    <row r="2226">
      <c r="A2226" s="263"/>
      <c r="B2226" s="264"/>
      <c r="C2226" s="265"/>
      <c r="D2226" s="266"/>
      <c r="E2226" s="263"/>
      <c r="F2226" s="267"/>
      <c r="G2226" s="267"/>
      <c r="H2226" s="268"/>
      <c r="I2226" s="268"/>
      <c r="J2226" s="267"/>
      <c r="K2226" s="265"/>
      <c r="L2226" s="265"/>
      <c r="M2226" s="269"/>
      <c r="N2226" s="270"/>
      <c r="O2226" s="271"/>
      <c r="P2226" s="271"/>
      <c r="Q2226" s="272"/>
      <c r="R2226" s="273"/>
      <c r="S2226" s="273"/>
      <c r="T2226" s="273"/>
      <c r="U2226" s="274"/>
      <c r="V2226" s="263"/>
      <c r="W2226" s="35"/>
      <c r="X2226" s="35"/>
      <c r="Y2226" s="35"/>
      <c r="Z2226" s="35"/>
      <c r="AA2226" s="35"/>
      <c r="AB2226" s="35"/>
      <c r="AC2226" s="35"/>
      <c r="AD2226" s="35"/>
      <c r="AE2226" s="35"/>
      <c r="AF2226" s="35"/>
      <c r="AG2226" s="35"/>
      <c r="AH2226" s="35"/>
      <c r="AI2226" s="35"/>
    </row>
    <row r="2227">
      <c r="A2227" s="263"/>
      <c r="B2227" s="264"/>
      <c r="C2227" s="265"/>
      <c r="D2227" s="266"/>
      <c r="E2227" s="263"/>
      <c r="F2227" s="267"/>
      <c r="G2227" s="267"/>
      <c r="H2227" s="268"/>
      <c r="I2227" s="268"/>
      <c r="J2227" s="267"/>
      <c r="K2227" s="265"/>
      <c r="L2227" s="265"/>
      <c r="M2227" s="269"/>
      <c r="N2227" s="270"/>
      <c r="O2227" s="271"/>
      <c r="P2227" s="271"/>
      <c r="Q2227" s="272"/>
      <c r="R2227" s="273"/>
      <c r="S2227" s="273"/>
      <c r="T2227" s="273"/>
      <c r="U2227" s="274"/>
      <c r="V2227" s="263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</row>
    <row r="2228">
      <c r="A2228" s="263"/>
      <c r="B2228" s="264"/>
      <c r="C2228" s="265"/>
      <c r="D2228" s="266"/>
      <c r="E2228" s="263"/>
      <c r="F2228" s="267"/>
      <c r="G2228" s="267"/>
      <c r="H2228" s="268"/>
      <c r="I2228" s="268"/>
      <c r="J2228" s="267"/>
      <c r="K2228" s="265"/>
      <c r="L2228" s="265"/>
      <c r="M2228" s="269"/>
      <c r="N2228" s="270"/>
      <c r="O2228" s="271"/>
      <c r="P2228" s="271"/>
      <c r="Q2228" s="272"/>
      <c r="R2228" s="273"/>
      <c r="S2228" s="273"/>
      <c r="T2228" s="273"/>
      <c r="U2228" s="274"/>
      <c r="V2228" s="263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</row>
    <row r="2229">
      <c r="A2229" s="263"/>
      <c r="B2229" s="264"/>
      <c r="C2229" s="265"/>
      <c r="D2229" s="266"/>
      <c r="E2229" s="263"/>
      <c r="F2229" s="267"/>
      <c r="G2229" s="267"/>
      <c r="H2229" s="268"/>
      <c r="I2229" s="268"/>
      <c r="J2229" s="267"/>
      <c r="K2229" s="265"/>
      <c r="L2229" s="265"/>
      <c r="M2229" s="269"/>
      <c r="N2229" s="270"/>
      <c r="O2229" s="271"/>
      <c r="P2229" s="271"/>
      <c r="Q2229" s="272"/>
      <c r="R2229" s="273"/>
      <c r="S2229" s="273"/>
      <c r="T2229" s="273"/>
      <c r="U2229" s="274"/>
      <c r="V2229" s="263"/>
      <c r="W2229" s="36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</row>
    <row r="2230">
      <c r="A2230" s="263"/>
      <c r="B2230" s="264"/>
      <c r="C2230" s="265"/>
      <c r="D2230" s="266"/>
      <c r="E2230" s="263"/>
      <c r="F2230" s="267"/>
      <c r="G2230" s="267"/>
      <c r="H2230" s="268"/>
      <c r="I2230" s="268"/>
      <c r="J2230" s="267"/>
      <c r="K2230" s="265"/>
      <c r="L2230" s="265"/>
      <c r="M2230" s="269"/>
      <c r="N2230" s="270"/>
      <c r="O2230" s="271"/>
      <c r="P2230" s="271"/>
      <c r="Q2230" s="272"/>
      <c r="R2230" s="273"/>
      <c r="S2230" s="273"/>
      <c r="T2230" s="273"/>
      <c r="U2230" s="274"/>
      <c r="V2230" s="263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</row>
    <row r="2231">
      <c r="A2231" s="263"/>
      <c r="B2231" s="264"/>
      <c r="C2231" s="265"/>
      <c r="D2231" s="266"/>
      <c r="E2231" s="263"/>
      <c r="F2231" s="267"/>
      <c r="G2231" s="267"/>
      <c r="H2231" s="268"/>
      <c r="I2231" s="268"/>
      <c r="J2231" s="267"/>
      <c r="K2231" s="265"/>
      <c r="L2231" s="265"/>
      <c r="M2231" s="269"/>
      <c r="N2231" s="270"/>
      <c r="O2231" s="271"/>
      <c r="P2231" s="271"/>
      <c r="Q2231" s="272"/>
      <c r="R2231" s="273"/>
      <c r="S2231" s="273"/>
      <c r="T2231" s="273"/>
      <c r="U2231" s="274"/>
      <c r="V2231" s="263"/>
      <c r="W2231" s="188"/>
      <c r="X2231" s="188"/>
      <c r="Y2231" s="188"/>
      <c r="Z2231" s="188"/>
      <c r="AA2231" s="188"/>
      <c r="AB2231" s="188"/>
      <c r="AC2231" s="188"/>
      <c r="AD2231" s="188"/>
      <c r="AE2231" s="188"/>
      <c r="AF2231" s="188"/>
      <c r="AG2231" s="188"/>
      <c r="AH2231" s="188"/>
      <c r="AI2231" s="188"/>
    </row>
    <row r="2232">
      <c r="A2232" s="263"/>
      <c r="B2232" s="264"/>
      <c r="C2232" s="265"/>
      <c r="D2232" s="266"/>
      <c r="E2232" s="263"/>
      <c r="F2232" s="267"/>
      <c r="G2232" s="267"/>
      <c r="H2232" s="268"/>
      <c r="I2232" s="268"/>
      <c r="J2232" s="267"/>
      <c r="K2232" s="265"/>
      <c r="L2232" s="265"/>
      <c r="M2232" s="269"/>
      <c r="N2232" s="270"/>
      <c r="O2232" s="271"/>
      <c r="P2232" s="271"/>
      <c r="Q2232" s="272"/>
      <c r="R2232" s="273"/>
      <c r="S2232" s="273"/>
      <c r="T2232" s="273"/>
      <c r="U2232" s="274"/>
      <c r="V2232" s="263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</row>
    <row r="2233">
      <c r="A2233" s="263"/>
      <c r="B2233" s="264"/>
      <c r="C2233" s="265"/>
      <c r="D2233" s="266"/>
      <c r="E2233" s="263"/>
      <c r="F2233" s="267"/>
      <c r="G2233" s="267"/>
      <c r="H2233" s="268"/>
      <c r="I2233" s="268"/>
      <c r="J2233" s="267"/>
      <c r="K2233" s="265"/>
      <c r="L2233" s="265"/>
      <c r="M2233" s="269"/>
      <c r="N2233" s="270"/>
      <c r="O2233" s="271"/>
      <c r="P2233" s="271"/>
      <c r="Q2233" s="272"/>
      <c r="R2233" s="273"/>
      <c r="S2233" s="273"/>
      <c r="T2233" s="273"/>
      <c r="U2233" s="274"/>
      <c r="V2233" s="263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</row>
    <row r="2234">
      <c r="A2234" s="263"/>
      <c r="B2234" s="264"/>
      <c r="C2234" s="265"/>
      <c r="D2234" s="266"/>
      <c r="E2234" s="263"/>
      <c r="F2234" s="267"/>
      <c r="G2234" s="267"/>
      <c r="H2234" s="268"/>
      <c r="I2234" s="268"/>
      <c r="J2234" s="267"/>
      <c r="K2234" s="265"/>
      <c r="L2234" s="265"/>
      <c r="M2234" s="269"/>
      <c r="N2234" s="270"/>
      <c r="O2234" s="271"/>
      <c r="P2234" s="271"/>
      <c r="Q2234" s="272"/>
      <c r="R2234" s="273"/>
      <c r="S2234" s="273"/>
      <c r="T2234" s="273"/>
      <c r="U2234" s="274"/>
      <c r="V2234" s="263"/>
      <c r="W2234" s="35"/>
      <c r="X2234" s="35"/>
      <c r="Y2234" s="35"/>
      <c r="Z2234" s="35"/>
      <c r="AA2234" s="35"/>
      <c r="AB2234" s="35"/>
      <c r="AC2234" s="35"/>
      <c r="AD2234" s="35"/>
      <c r="AE2234" s="35"/>
      <c r="AF2234" s="35"/>
      <c r="AG2234" s="35"/>
      <c r="AH2234" s="35"/>
      <c r="AI2234" s="35"/>
    </row>
    <row r="2235">
      <c r="A2235" s="263"/>
      <c r="B2235" s="264"/>
      <c r="C2235" s="265"/>
      <c r="D2235" s="266"/>
      <c r="E2235" s="263"/>
      <c r="F2235" s="267"/>
      <c r="G2235" s="267"/>
      <c r="H2235" s="268"/>
      <c r="I2235" s="268"/>
      <c r="J2235" s="267"/>
      <c r="K2235" s="265"/>
      <c r="L2235" s="265"/>
      <c r="M2235" s="269"/>
      <c r="N2235" s="270"/>
      <c r="O2235" s="271"/>
      <c r="P2235" s="271"/>
      <c r="Q2235" s="272"/>
      <c r="R2235" s="273"/>
      <c r="S2235" s="273"/>
      <c r="T2235" s="273"/>
      <c r="U2235" s="274"/>
      <c r="V2235" s="263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</row>
    <row r="2236">
      <c r="A2236" s="263"/>
      <c r="B2236" s="264"/>
      <c r="C2236" s="265"/>
      <c r="D2236" s="266"/>
      <c r="E2236" s="263"/>
      <c r="F2236" s="267"/>
      <c r="G2236" s="267"/>
      <c r="H2236" s="268"/>
      <c r="I2236" s="268"/>
      <c r="J2236" s="267"/>
      <c r="K2236" s="265"/>
      <c r="L2236" s="265"/>
      <c r="M2236" s="269"/>
      <c r="N2236" s="270"/>
      <c r="O2236" s="271"/>
      <c r="P2236" s="271"/>
      <c r="Q2236" s="272"/>
      <c r="R2236" s="273"/>
      <c r="S2236" s="273"/>
      <c r="T2236" s="273"/>
      <c r="U2236" s="274"/>
      <c r="V2236" s="263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</row>
    <row r="2237">
      <c r="A2237" s="263"/>
      <c r="B2237" s="264"/>
      <c r="C2237" s="265"/>
      <c r="D2237" s="266"/>
      <c r="E2237" s="263"/>
      <c r="F2237" s="267"/>
      <c r="G2237" s="267"/>
      <c r="H2237" s="268"/>
      <c r="I2237" s="268"/>
      <c r="J2237" s="267"/>
      <c r="K2237" s="265"/>
      <c r="L2237" s="265"/>
      <c r="M2237" s="269"/>
      <c r="N2237" s="270"/>
      <c r="O2237" s="271"/>
      <c r="P2237" s="271"/>
      <c r="Q2237" s="272"/>
      <c r="R2237" s="273"/>
      <c r="S2237" s="273"/>
      <c r="T2237" s="273"/>
      <c r="U2237" s="274"/>
      <c r="V2237" s="263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</row>
    <row r="2238">
      <c r="A2238" s="263"/>
      <c r="B2238" s="264"/>
      <c r="C2238" s="265"/>
      <c r="D2238" s="266"/>
      <c r="E2238" s="263"/>
      <c r="F2238" s="267"/>
      <c r="G2238" s="267"/>
      <c r="H2238" s="268"/>
      <c r="I2238" s="268"/>
      <c r="J2238" s="267"/>
      <c r="K2238" s="265"/>
      <c r="L2238" s="265"/>
      <c r="M2238" s="269"/>
      <c r="N2238" s="270"/>
      <c r="O2238" s="271"/>
      <c r="P2238" s="271"/>
      <c r="Q2238" s="272"/>
      <c r="R2238" s="273"/>
      <c r="S2238" s="273"/>
      <c r="T2238" s="273"/>
      <c r="U2238" s="274"/>
      <c r="V2238" s="263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</row>
    <row r="2239">
      <c r="A2239" s="263"/>
      <c r="B2239" s="264"/>
      <c r="C2239" s="265"/>
      <c r="D2239" s="266"/>
      <c r="E2239" s="263"/>
      <c r="F2239" s="267"/>
      <c r="G2239" s="267"/>
      <c r="H2239" s="268"/>
      <c r="I2239" s="268"/>
      <c r="J2239" s="267"/>
      <c r="K2239" s="265"/>
      <c r="L2239" s="265"/>
      <c r="M2239" s="269"/>
      <c r="N2239" s="270"/>
      <c r="O2239" s="271"/>
      <c r="P2239" s="271"/>
      <c r="Q2239" s="272"/>
      <c r="R2239" s="273"/>
      <c r="S2239" s="273"/>
      <c r="T2239" s="273"/>
      <c r="U2239" s="274"/>
      <c r="V2239" s="263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</row>
    <row r="2240">
      <c r="A2240" s="263"/>
      <c r="B2240" s="264"/>
      <c r="C2240" s="265"/>
      <c r="D2240" s="266"/>
      <c r="E2240" s="263"/>
      <c r="F2240" s="267"/>
      <c r="G2240" s="267"/>
      <c r="H2240" s="268"/>
      <c r="I2240" s="268"/>
      <c r="J2240" s="267"/>
      <c r="K2240" s="265"/>
      <c r="L2240" s="265"/>
      <c r="M2240" s="269"/>
      <c r="N2240" s="270"/>
      <c r="O2240" s="271"/>
      <c r="P2240" s="271"/>
      <c r="Q2240" s="272"/>
      <c r="R2240" s="273"/>
      <c r="S2240" s="273"/>
      <c r="T2240" s="273"/>
      <c r="U2240" s="274"/>
      <c r="V2240" s="263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</row>
    <row r="2241">
      <c r="A2241" s="263"/>
      <c r="B2241" s="264"/>
      <c r="C2241" s="265"/>
      <c r="D2241" s="266"/>
      <c r="E2241" s="263"/>
      <c r="F2241" s="267"/>
      <c r="G2241" s="267"/>
      <c r="H2241" s="268"/>
      <c r="I2241" s="268"/>
      <c r="J2241" s="267"/>
      <c r="K2241" s="265"/>
      <c r="L2241" s="265"/>
      <c r="M2241" s="269"/>
      <c r="N2241" s="270"/>
      <c r="O2241" s="271"/>
      <c r="P2241" s="271"/>
      <c r="Q2241" s="272"/>
      <c r="R2241" s="273"/>
      <c r="S2241" s="273"/>
      <c r="T2241" s="273"/>
      <c r="U2241" s="274"/>
      <c r="V2241" s="263"/>
      <c r="W2241" s="188"/>
      <c r="X2241" s="188"/>
      <c r="Y2241" s="188"/>
      <c r="Z2241" s="188"/>
      <c r="AA2241" s="188"/>
      <c r="AB2241" s="188"/>
      <c r="AC2241" s="188"/>
      <c r="AD2241" s="188"/>
      <c r="AE2241" s="188"/>
      <c r="AF2241" s="188"/>
      <c r="AG2241" s="188"/>
      <c r="AH2241" s="188"/>
      <c r="AI2241" s="188"/>
    </row>
    <row r="2242">
      <c r="A2242" s="263"/>
      <c r="B2242" s="264"/>
      <c r="C2242" s="265"/>
      <c r="D2242" s="266"/>
      <c r="E2242" s="263"/>
      <c r="F2242" s="267"/>
      <c r="G2242" s="267"/>
      <c r="H2242" s="268"/>
      <c r="I2242" s="268"/>
      <c r="J2242" s="267"/>
      <c r="K2242" s="265"/>
      <c r="L2242" s="265"/>
      <c r="M2242" s="269"/>
      <c r="N2242" s="270"/>
      <c r="O2242" s="271"/>
      <c r="P2242" s="271"/>
      <c r="Q2242" s="272"/>
      <c r="R2242" s="273"/>
      <c r="S2242" s="273"/>
      <c r="T2242" s="273"/>
      <c r="U2242" s="274"/>
      <c r="V2242" s="263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</row>
    <row r="2243">
      <c r="A2243" s="263"/>
      <c r="B2243" s="264"/>
      <c r="C2243" s="265"/>
      <c r="D2243" s="266"/>
      <c r="E2243" s="263"/>
      <c r="F2243" s="267"/>
      <c r="G2243" s="267"/>
      <c r="H2243" s="268"/>
      <c r="I2243" s="268"/>
      <c r="J2243" s="267"/>
      <c r="K2243" s="265"/>
      <c r="L2243" s="265"/>
      <c r="M2243" s="269"/>
      <c r="N2243" s="270"/>
      <c r="O2243" s="271"/>
      <c r="P2243" s="271"/>
      <c r="Q2243" s="272"/>
      <c r="R2243" s="273"/>
      <c r="S2243" s="273"/>
      <c r="T2243" s="273"/>
      <c r="U2243" s="274"/>
      <c r="V2243" s="263"/>
      <c r="W2243" s="188"/>
      <c r="X2243" s="188"/>
      <c r="Y2243" s="188"/>
      <c r="Z2243" s="188"/>
      <c r="AA2243" s="188"/>
      <c r="AB2243" s="188"/>
      <c r="AC2243" s="188"/>
      <c r="AD2243" s="188"/>
      <c r="AE2243" s="188"/>
      <c r="AF2243" s="188"/>
      <c r="AG2243" s="188"/>
      <c r="AH2243" s="188"/>
      <c r="AI2243" s="188"/>
    </row>
    <row r="2244">
      <c r="A2244" s="263"/>
      <c r="B2244" s="264"/>
      <c r="C2244" s="265"/>
      <c r="D2244" s="266"/>
      <c r="E2244" s="263"/>
      <c r="F2244" s="267"/>
      <c r="G2244" s="267"/>
      <c r="H2244" s="268"/>
      <c r="I2244" s="268"/>
      <c r="J2244" s="267"/>
      <c r="K2244" s="265"/>
      <c r="L2244" s="265"/>
      <c r="M2244" s="269"/>
      <c r="N2244" s="270"/>
      <c r="O2244" s="271"/>
      <c r="P2244" s="271"/>
      <c r="Q2244" s="272"/>
      <c r="R2244" s="273"/>
      <c r="S2244" s="273"/>
      <c r="T2244" s="273"/>
      <c r="U2244" s="274"/>
      <c r="V2244" s="263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</row>
    <row r="2245">
      <c r="A2245" s="263"/>
      <c r="B2245" s="264"/>
      <c r="C2245" s="265"/>
      <c r="D2245" s="266"/>
      <c r="E2245" s="263"/>
      <c r="F2245" s="267"/>
      <c r="G2245" s="267"/>
      <c r="H2245" s="268"/>
      <c r="I2245" s="268"/>
      <c r="J2245" s="267"/>
      <c r="K2245" s="265"/>
      <c r="L2245" s="265"/>
      <c r="M2245" s="269"/>
      <c r="N2245" s="270"/>
      <c r="O2245" s="271"/>
      <c r="P2245" s="271"/>
      <c r="Q2245" s="272"/>
      <c r="R2245" s="273"/>
      <c r="S2245" s="273"/>
      <c r="T2245" s="273"/>
      <c r="U2245" s="274"/>
      <c r="V2245" s="263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</row>
    <row r="2246">
      <c r="A2246" s="263"/>
      <c r="B2246" s="264"/>
      <c r="C2246" s="265"/>
      <c r="D2246" s="266"/>
      <c r="E2246" s="263"/>
      <c r="F2246" s="267"/>
      <c r="G2246" s="267"/>
      <c r="H2246" s="268"/>
      <c r="I2246" s="268"/>
      <c r="J2246" s="267"/>
      <c r="K2246" s="265"/>
      <c r="L2246" s="265"/>
      <c r="M2246" s="269"/>
      <c r="N2246" s="270"/>
      <c r="O2246" s="271"/>
      <c r="P2246" s="271"/>
      <c r="Q2246" s="272"/>
      <c r="R2246" s="273"/>
      <c r="S2246" s="273"/>
      <c r="T2246" s="273"/>
      <c r="U2246" s="274"/>
      <c r="V2246" s="263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</row>
    <row r="2247">
      <c r="A2247" s="263"/>
      <c r="B2247" s="264"/>
      <c r="C2247" s="265"/>
      <c r="D2247" s="266"/>
      <c r="E2247" s="263"/>
      <c r="F2247" s="267"/>
      <c r="G2247" s="267"/>
      <c r="H2247" s="268"/>
      <c r="I2247" s="268"/>
      <c r="J2247" s="267"/>
      <c r="K2247" s="265"/>
      <c r="L2247" s="265"/>
      <c r="M2247" s="269"/>
      <c r="N2247" s="270"/>
      <c r="O2247" s="271"/>
      <c r="P2247" s="271"/>
      <c r="Q2247" s="272"/>
      <c r="R2247" s="273"/>
      <c r="S2247" s="273"/>
      <c r="T2247" s="273"/>
      <c r="U2247" s="274"/>
      <c r="V2247" s="263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</row>
    <row r="2248">
      <c r="A2248" s="263"/>
      <c r="B2248" s="264"/>
      <c r="C2248" s="265"/>
      <c r="D2248" s="266"/>
      <c r="E2248" s="263"/>
      <c r="F2248" s="267"/>
      <c r="G2248" s="267"/>
      <c r="H2248" s="268"/>
      <c r="I2248" s="268"/>
      <c r="J2248" s="267"/>
      <c r="K2248" s="265"/>
      <c r="L2248" s="265"/>
      <c r="M2248" s="269"/>
      <c r="N2248" s="270"/>
      <c r="O2248" s="271"/>
      <c r="P2248" s="271"/>
      <c r="Q2248" s="272"/>
      <c r="R2248" s="273"/>
      <c r="S2248" s="273"/>
      <c r="T2248" s="273"/>
      <c r="U2248" s="274"/>
      <c r="V2248" s="263"/>
      <c r="W2248" s="35"/>
      <c r="X2248" s="35"/>
      <c r="Y2248" s="35"/>
      <c r="Z2248" s="35"/>
      <c r="AA2248" s="35"/>
      <c r="AB2248" s="35"/>
      <c r="AC2248" s="35"/>
      <c r="AD2248" s="35"/>
      <c r="AE2248" s="35"/>
      <c r="AF2248" s="35"/>
      <c r="AG2248" s="35"/>
      <c r="AH2248" s="35"/>
      <c r="AI2248" s="35"/>
    </row>
    <row r="2249">
      <c r="A2249" s="263"/>
      <c r="B2249" s="264"/>
      <c r="C2249" s="265"/>
      <c r="D2249" s="266"/>
      <c r="E2249" s="263"/>
      <c r="F2249" s="267"/>
      <c r="G2249" s="267"/>
      <c r="H2249" s="268"/>
      <c r="I2249" s="268"/>
      <c r="J2249" s="267"/>
      <c r="K2249" s="265"/>
      <c r="L2249" s="265"/>
      <c r="M2249" s="269"/>
      <c r="N2249" s="270"/>
      <c r="O2249" s="271"/>
      <c r="P2249" s="271"/>
      <c r="Q2249" s="272"/>
      <c r="R2249" s="273"/>
      <c r="S2249" s="273"/>
      <c r="T2249" s="273"/>
      <c r="U2249" s="274"/>
      <c r="V2249" s="263"/>
      <c r="W2249" s="35"/>
      <c r="X2249" s="35"/>
      <c r="Y2249" s="35"/>
      <c r="Z2249" s="35"/>
      <c r="AA2249" s="35"/>
      <c r="AB2249" s="35"/>
      <c r="AC2249" s="35"/>
      <c r="AD2249" s="35"/>
      <c r="AE2249" s="35"/>
      <c r="AF2249" s="35"/>
      <c r="AG2249" s="35"/>
      <c r="AH2249" s="35"/>
      <c r="AI2249" s="35"/>
    </row>
    <row r="2250">
      <c r="A2250" s="263"/>
      <c r="B2250" s="264"/>
      <c r="C2250" s="265"/>
      <c r="D2250" s="266"/>
      <c r="E2250" s="263"/>
      <c r="F2250" s="267"/>
      <c r="G2250" s="267"/>
      <c r="H2250" s="268"/>
      <c r="I2250" s="268"/>
      <c r="J2250" s="267"/>
      <c r="K2250" s="265"/>
      <c r="L2250" s="265"/>
      <c r="M2250" s="269"/>
      <c r="N2250" s="270"/>
      <c r="O2250" s="271"/>
      <c r="P2250" s="271"/>
      <c r="Q2250" s="272"/>
      <c r="R2250" s="273"/>
      <c r="S2250" s="273"/>
      <c r="T2250" s="273"/>
      <c r="U2250" s="274"/>
      <c r="V2250" s="263"/>
      <c r="W2250" s="188"/>
      <c r="X2250" s="188"/>
      <c r="Y2250" s="188"/>
      <c r="Z2250" s="188"/>
      <c r="AA2250" s="188"/>
      <c r="AB2250" s="188"/>
      <c r="AC2250" s="188"/>
      <c r="AD2250" s="188"/>
      <c r="AE2250" s="188"/>
      <c r="AF2250" s="188"/>
      <c r="AG2250" s="188"/>
      <c r="AH2250" s="188"/>
      <c r="AI2250" s="188"/>
    </row>
    <row r="2251">
      <c r="A2251" s="263"/>
      <c r="B2251" s="264"/>
      <c r="C2251" s="265"/>
      <c r="D2251" s="266"/>
      <c r="E2251" s="263"/>
      <c r="F2251" s="267"/>
      <c r="G2251" s="267"/>
      <c r="H2251" s="268"/>
      <c r="I2251" s="268"/>
      <c r="J2251" s="267"/>
      <c r="K2251" s="265"/>
      <c r="L2251" s="265"/>
      <c r="M2251" s="269"/>
      <c r="N2251" s="270"/>
      <c r="O2251" s="271"/>
      <c r="P2251" s="271"/>
      <c r="Q2251" s="272"/>
      <c r="R2251" s="273"/>
      <c r="S2251" s="273"/>
      <c r="T2251" s="273"/>
      <c r="U2251" s="274"/>
      <c r="V2251" s="263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</row>
    <row r="2252">
      <c r="A2252" s="263"/>
      <c r="B2252" s="264"/>
      <c r="C2252" s="265"/>
      <c r="D2252" s="266"/>
      <c r="E2252" s="263"/>
      <c r="F2252" s="267"/>
      <c r="G2252" s="267"/>
      <c r="H2252" s="268"/>
      <c r="I2252" s="268"/>
      <c r="J2252" s="267"/>
      <c r="K2252" s="265"/>
      <c r="L2252" s="265"/>
      <c r="M2252" s="269"/>
      <c r="N2252" s="270"/>
      <c r="O2252" s="271"/>
      <c r="P2252" s="271"/>
      <c r="Q2252" s="272"/>
      <c r="R2252" s="273"/>
      <c r="S2252" s="273"/>
      <c r="T2252" s="273"/>
      <c r="U2252" s="274"/>
      <c r="V2252" s="263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</row>
    <row r="2253">
      <c r="A2253" s="263"/>
      <c r="B2253" s="264"/>
      <c r="C2253" s="265"/>
      <c r="D2253" s="266"/>
      <c r="E2253" s="263"/>
      <c r="F2253" s="267"/>
      <c r="G2253" s="267"/>
      <c r="H2253" s="268"/>
      <c r="I2253" s="268"/>
      <c r="J2253" s="267"/>
      <c r="K2253" s="265"/>
      <c r="L2253" s="265"/>
      <c r="M2253" s="269"/>
      <c r="N2253" s="270"/>
      <c r="O2253" s="271"/>
      <c r="P2253" s="271"/>
      <c r="Q2253" s="272"/>
      <c r="R2253" s="273"/>
      <c r="S2253" s="273"/>
      <c r="T2253" s="273"/>
      <c r="U2253" s="274"/>
      <c r="V2253" s="263"/>
      <c r="W2253" s="188"/>
      <c r="X2253" s="188"/>
      <c r="Y2253" s="188"/>
      <c r="Z2253" s="188"/>
      <c r="AA2253" s="188"/>
      <c r="AB2253" s="188"/>
      <c r="AC2253" s="188"/>
      <c r="AD2253" s="188"/>
      <c r="AE2253" s="188"/>
      <c r="AF2253" s="188"/>
      <c r="AG2253" s="188"/>
      <c r="AH2253" s="188"/>
      <c r="AI2253" s="188"/>
    </row>
    <row r="2254">
      <c r="A2254" s="263"/>
      <c r="B2254" s="264"/>
      <c r="C2254" s="265"/>
      <c r="D2254" s="266"/>
      <c r="E2254" s="263"/>
      <c r="F2254" s="267"/>
      <c r="G2254" s="267"/>
      <c r="H2254" s="268"/>
      <c r="I2254" s="268"/>
      <c r="J2254" s="267"/>
      <c r="K2254" s="265"/>
      <c r="L2254" s="265"/>
      <c r="M2254" s="269"/>
      <c r="N2254" s="270"/>
      <c r="O2254" s="271"/>
      <c r="P2254" s="271"/>
      <c r="Q2254" s="272"/>
      <c r="R2254" s="273"/>
      <c r="S2254" s="273"/>
      <c r="T2254" s="273"/>
      <c r="U2254" s="274"/>
      <c r="V2254" s="263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</row>
    <row r="2255">
      <c r="A2255" s="263"/>
      <c r="B2255" s="264"/>
      <c r="C2255" s="265"/>
      <c r="D2255" s="266"/>
      <c r="E2255" s="263"/>
      <c r="F2255" s="267"/>
      <c r="G2255" s="267"/>
      <c r="H2255" s="268"/>
      <c r="I2255" s="268"/>
      <c r="J2255" s="267"/>
      <c r="K2255" s="265"/>
      <c r="L2255" s="265"/>
      <c r="M2255" s="269"/>
      <c r="N2255" s="270"/>
      <c r="O2255" s="271"/>
      <c r="P2255" s="271"/>
      <c r="Q2255" s="272"/>
      <c r="R2255" s="273"/>
      <c r="S2255" s="273"/>
      <c r="T2255" s="273"/>
      <c r="U2255" s="274"/>
      <c r="V2255" s="263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</row>
    <row r="2256">
      <c r="A2256" s="263"/>
      <c r="B2256" s="264"/>
      <c r="C2256" s="265"/>
      <c r="D2256" s="266"/>
      <c r="E2256" s="263"/>
      <c r="F2256" s="267"/>
      <c r="G2256" s="267"/>
      <c r="H2256" s="268"/>
      <c r="I2256" s="268"/>
      <c r="J2256" s="267"/>
      <c r="K2256" s="265"/>
      <c r="L2256" s="265"/>
      <c r="M2256" s="269"/>
      <c r="N2256" s="270"/>
      <c r="O2256" s="271"/>
      <c r="P2256" s="271"/>
      <c r="Q2256" s="272"/>
      <c r="R2256" s="273"/>
      <c r="S2256" s="273"/>
      <c r="T2256" s="273"/>
      <c r="U2256" s="274"/>
      <c r="V2256" s="263"/>
      <c r="W2256" s="188"/>
      <c r="X2256" s="188"/>
      <c r="Y2256" s="188"/>
      <c r="Z2256" s="188"/>
      <c r="AA2256" s="188"/>
      <c r="AB2256" s="188"/>
      <c r="AC2256" s="188"/>
      <c r="AD2256" s="188"/>
      <c r="AE2256" s="188"/>
      <c r="AF2256" s="188"/>
      <c r="AG2256" s="188"/>
      <c r="AH2256" s="188"/>
      <c r="AI2256" s="188"/>
    </row>
    <row r="2257">
      <c r="A2257" s="263"/>
      <c r="B2257" s="264"/>
      <c r="C2257" s="265"/>
      <c r="D2257" s="266"/>
      <c r="E2257" s="263"/>
      <c r="F2257" s="267"/>
      <c r="G2257" s="267"/>
      <c r="H2257" s="268"/>
      <c r="I2257" s="268"/>
      <c r="J2257" s="267"/>
      <c r="K2257" s="265"/>
      <c r="L2257" s="265"/>
      <c r="M2257" s="269"/>
      <c r="N2257" s="270"/>
      <c r="O2257" s="271"/>
      <c r="P2257" s="271"/>
      <c r="Q2257" s="272"/>
      <c r="R2257" s="273"/>
      <c r="S2257" s="273"/>
      <c r="T2257" s="273"/>
      <c r="U2257" s="274"/>
      <c r="V2257" s="263"/>
      <c r="W2257" s="35"/>
      <c r="X2257" s="35"/>
      <c r="Y2257" s="35"/>
      <c r="Z2257" s="35"/>
      <c r="AA2257" s="35"/>
      <c r="AB2257" s="35"/>
      <c r="AC2257" s="35"/>
      <c r="AD2257" s="35"/>
      <c r="AE2257" s="35"/>
      <c r="AF2257" s="35"/>
      <c r="AG2257" s="35"/>
      <c r="AH2257" s="35"/>
      <c r="AI2257" s="35"/>
    </row>
    <row r="2258">
      <c r="A2258" s="263"/>
      <c r="B2258" s="264"/>
      <c r="C2258" s="265"/>
      <c r="D2258" s="266"/>
      <c r="E2258" s="263"/>
      <c r="F2258" s="267"/>
      <c r="G2258" s="267"/>
      <c r="H2258" s="268"/>
      <c r="I2258" s="268"/>
      <c r="J2258" s="267"/>
      <c r="K2258" s="265"/>
      <c r="L2258" s="265"/>
      <c r="M2258" s="269"/>
      <c r="N2258" s="270"/>
      <c r="O2258" s="271"/>
      <c r="P2258" s="271"/>
      <c r="Q2258" s="272"/>
      <c r="R2258" s="273"/>
      <c r="S2258" s="273"/>
      <c r="T2258" s="273"/>
      <c r="U2258" s="274"/>
      <c r="V2258" s="263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</row>
    <row r="2259">
      <c r="A2259" s="263"/>
      <c r="B2259" s="264"/>
      <c r="C2259" s="265"/>
      <c r="D2259" s="266"/>
      <c r="E2259" s="263"/>
      <c r="F2259" s="267"/>
      <c r="G2259" s="267"/>
      <c r="H2259" s="268"/>
      <c r="I2259" s="268"/>
      <c r="J2259" s="267"/>
      <c r="K2259" s="265"/>
      <c r="L2259" s="265"/>
      <c r="M2259" s="269"/>
      <c r="N2259" s="270"/>
      <c r="O2259" s="271"/>
      <c r="P2259" s="271"/>
      <c r="Q2259" s="272"/>
      <c r="R2259" s="273"/>
      <c r="S2259" s="273"/>
      <c r="T2259" s="273"/>
      <c r="U2259" s="274"/>
      <c r="V2259" s="263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</row>
    <row r="2260">
      <c r="A2260" s="263"/>
      <c r="B2260" s="264"/>
      <c r="C2260" s="265"/>
      <c r="D2260" s="266"/>
      <c r="E2260" s="263"/>
      <c r="F2260" s="267"/>
      <c r="G2260" s="267"/>
      <c r="H2260" s="268"/>
      <c r="I2260" s="268"/>
      <c r="J2260" s="267"/>
      <c r="K2260" s="265"/>
      <c r="L2260" s="265"/>
      <c r="M2260" s="269"/>
      <c r="N2260" s="270"/>
      <c r="O2260" s="271"/>
      <c r="P2260" s="271"/>
      <c r="Q2260" s="272"/>
      <c r="R2260" s="273"/>
      <c r="S2260" s="273"/>
      <c r="T2260" s="273"/>
      <c r="U2260" s="274"/>
      <c r="V2260" s="263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</row>
    <row r="2261">
      <c r="A2261" s="263"/>
      <c r="B2261" s="264"/>
      <c r="C2261" s="265"/>
      <c r="D2261" s="266"/>
      <c r="E2261" s="263"/>
      <c r="F2261" s="267"/>
      <c r="G2261" s="267"/>
      <c r="H2261" s="268"/>
      <c r="I2261" s="268"/>
      <c r="J2261" s="267"/>
      <c r="K2261" s="265"/>
      <c r="L2261" s="265"/>
      <c r="M2261" s="269"/>
      <c r="N2261" s="270"/>
      <c r="O2261" s="271"/>
      <c r="P2261" s="271"/>
      <c r="Q2261" s="272"/>
      <c r="R2261" s="273"/>
      <c r="S2261" s="273"/>
      <c r="T2261" s="273"/>
      <c r="U2261" s="274"/>
      <c r="V2261" s="263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</row>
    <row r="2262">
      <c r="A2262" s="263"/>
      <c r="B2262" s="264"/>
      <c r="C2262" s="265"/>
      <c r="D2262" s="266"/>
      <c r="E2262" s="263"/>
      <c r="F2262" s="267"/>
      <c r="G2262" s="267"/>
      <c r="H2262" s="268"/>
      <c r="I2262" s="268"/>
      <c r="J2262" s="267"/>
      <c r="K2262" s="265"/>
      <c r="L2262" s="265"/>
      <c r="M2262" s="269"/>
      <c r="N2262" s="270"/>
      <c r="O2262" s="271"/>
      <c r="P2262" s="271"/>
      <c r="Q2262" s="272"/>
      <c r="R2262" s="273"/>
      <c r="S2262" s="273"/>
      <c r="T2262" s="273"/>
      <c r="U2262" s="274"/>
      <c r="V2262" s="263"/>
      <c r="W2262" s="35"/>
      <c r="X2262" s="35"/>
      <c r="Y2262" s="35"/>
      <c r="Z2262" s="35"/>
      <c r="AA2262" s="35"/>
      <c r="AB2262" s="35"/>
      <c r="AC2262" s="35"/>
      <c r="AD2262" s="35"/>
      <c r="AE2262" s="35"/>
      <c r="AF2262" s="35"/>
      <c r="AG2262" s="35"/>
      <c r="AH2262" s="35"/>
      <c r="AI2262" s="35"/>
    </row>
    <row r="2263">
      <c r="A2263" s="263"/>
      <c r="B2263" s="264"/>
      <c r="C2263" s="265"/>
      <c r="D2263" s="266"/>
      <c r="E2263" s="263"/>
      <c r="F2263" s="267"/>
      <c r="G2263" s="267"/>
      <c r="H2263" s="268"/>
      <c r="I2263" s="268"/>
      <c r="J2263" s="267"/>
      <c r="K2263" s="265"/>
      <c r="L2263" s="265"/>
      <c r="M2263" s="269"/>
      <c r="N2263" s="270"/>
      <c r="O2263" s="271"/>
      <c r="P2263" s="271"/>
      <c r="Q2263" s="272"/>
      <c r="R2263" s="273"/>
      <c r="S2263" s="273"/>
      <c r="T2263" s="273"/>
      <c r="U2263" s="274"/>
      <c r="V2263" s="263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</row>
    <row r="2264">
      <c r="A2264" s="263"/>
      <c r="B2264" s="264"/>
      <c r="C2264" s="265"/>
      <c r="D2264" s="266"/>
      <c r="E2264" s="263"/>
      <c r="F2264" s="267"/>
      <c r="G2264" s="267"/>
      <c r="H2264" s="268"/>
      <c r="I2264" s="268"/>
      <c r="J2264" s="267"/>
      <c r="K2264" s="265"/>
      <c r="L2264" s="265"/>
      <c r="M2264" s="269"/>
      <c r="N2264" s="270"/>
      <c r="O2264" s="271"/>
      <c r="P2264" s="271"/>
      <c r="Q2264" s="272"/>
      <c r="R2264" s="273"/>
      <c r="S2264" s="273"/>
      <c r="T2264" s="273"/>
      <c r="U2264" s="274"/>
      <c r="V2264" s="263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</row>
    <row r="2265">
      <c r="A2265" s="263"/>
      <c r="B2265" s="264"/>
      <c r="C2265" s="265"/>
      <c r="D2265" s="266"/>
      <c r="E2265" s="263"/>
      <c r="F2265" s="267"/>
      <c r="G2265" s="267"/>
      <c r="H2265" s="268"/>
      <c r="I2265" s="268"/>
      <c r="J2265" s="267"/>
      <c r="K2265" s="265"/>
      <c r="L2265" s="265"/>
      <c r="M2265" s="269"/>
      <c r="N2265" s="270"/>
      <c r="O2265" s="271"/>
      <c r="P2265" s="271"/>
      <c r="Q2265" s="272"/>
      <c r="R2265" s="273"/>
      <c r="S2265" s="273"/>
      <c r="T2265" s="273"/>
      <c r="U2265" s="274"/>
      <c r="V2265" s="263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</row>
    <row r="2266">
      <c r="A2266" s="263"/>
      <c r="B2266" s="264"/>
      <c r="C2266" s="265"/>
      <c r="D2266" s="266"/>
      <c r="E2266" s="263"/>
      <c r="F2266" s="267"/>
      <c r="G2266" s="267"/>
      <c r="H2266" s="268"/>
      <c r="I2266" s="268"/>
      <c r="J2266" s="267"/>
      <c r="K2266" s="265"/>
      <c r="L2266" s="265"/>
      <c r="M2266" s="269"/>
      <c r="N2266" s="270"/>
      <c r="O2266" s="271"/>
      <c r="P2266" s="271"/>
      <c r="Q2266" s="272"/>
      <c r="R2266" s="273"/>
      <c r="S2266" s="273"/>
      <c r="T2266" s="273"/>
      <c r="U2266" s="274"/>
      <c r="V2266" s="263"/>
      <c r="W2266" s="428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</row>
    <row r="2267">
      <c r="A2267" s="263"/>
      <c r="B2267" s="264"/>
      <c r="C2267" s="265"/>
      <c r="D2267" s="266"/>
      <c r="E2267" s="263"/>
      <c r="F2267" s="267"/>
      <c r="G2267" s="267"/>
      <c r="H2267" s="268"/>
      <c r="I2267" s="268"/>
      <c r="J2267" s="267"/>
      <c r="K2267" s="265"/>
      <c r="L2267" s="265"/>
      <c r="M2267" s="269"/>
      <c r="N2267" s="270"/>
      <c r="O2267" s="271"/>
      <c r="P2267" s="271"/>
      <c r="Q2267" s="272"/>
      <c r="R2267" s="273"/>
      <c r="S2267" s="273"/>
      <c r="T2267" s="273"/>
      <c r="U2267" s="274"/>
      <c r="V2267" s="263"/>
      <c r="W2267" s="35"/>
      <c r="X2267" s="35"/>
      <c r="Y2267" s="35"/>
      <c r="Z2267" s="35"/>
      <c r="AA2267" s="35"/>
      <c r="AB2267" s="35"/>
      <c r="AC2267" s="35"/>
      <c r="AD2267" s="35"/>
      <c r="AE2267" s="35"/>
      <c r="AF2267" s="35"/>
      <c r="AG2267" s="35"/>
      <c r="AH2267" s="35"/>
      <c r="AI2267" s="35"/>
    </row>
    <row r="2268">
      <c r="A2268" s="263"/>
      <c r="B2268" s="264"/>
      <c r="C2268" s="265"/>
      <c r="D2268" s="266"/>
      <c r="E2268" s="263"/>
      <c r="F2268" s="267"/>
      <c r="G2268" s="267"/>
      <c r="H2268" s="268"/>
      <c r="I2268" s="268"/>
      <c r="J2268" s="267"/>
      <c r="K2268" s="265"/>
      <c r="L2268" s="265"/>
      <c r="M2268" s="269"/>
      <c r="N2268" s="270"/>
      <c r="O2268" s="271"/>
      <c r="P2268" s="271"/>
      <c r="Q2268" s="272"/>
      <c r="R2268" s="273"/>
      <c r="S2268" s="273"/>
      <c r="T2268" s="273"/>
      <c r="U2268" s="274"/>
      <c r="V2268" s="263"/>
      <c r="W2268" s="35"/>
      <c r="X2268" s="35"/>
      <c r="Y2268" s="35"/>
      <c r="Z2268" s="35"/>
      <c r="AA2268" s="35"/>
      <c r="AB2268" s="35"/>
      <c r="AC2268" s="35"/>
      <c r="AD2268" s="35"/>
      <c r="AE2268" s="35"/>
      <c r="AF2268" s="35"/>
      <c r="AG2268" s="35"/>
      <c r="AH2268" s="35"/>
      <c r="AI2268" s="35"/>
    </row>
    <row r="2269">
      <c r="A2269" s="263"/>
      <c r="B2269" s="264"/>
      <c r="C2269" s="265"/>
      <c r="D2269" s="266"/>
      <c r="E2269" s="263"/>
      <c r="F2269" s="267"/>
      <c r="G2269" s="267"/>
      <c r="H2269" s="268"/>
      <c r="I2269" s="268"/>
      <c r="J2269" s="267"/>
      <c r="K2269" s="265"/>
      <c r="L2269" s="265"/>
      <c r="M2269" s="269"/>
      <c r="N2269" s="270"/>
      <c r="O2269" s="271"/>
      <c r="P2269" s="271"/>
      <c r="Q2269" s="272"/>
      <c r="R2269" s="273"/>
      <c r="S2269" s="273"/>
      <c r="T2269" s="273"/>
      <c r="U2269" s="274"/>
      <c r="V2269" s="263"/>
      <c r="W2269" s="35"/>
      <c r="X2269" s="35"/>
      <c r="Y2269" s="35"/>
      <c r="Z2269" s="35"/>
      <c r="AA2269" s="35"/>
      <c r="AB2269" s="35"/>
      <c r="AC2269" s="35"/>
      <c r="AD2269" s="35"/>
      <c r="AE2269" s="35"/>
      <c r="AF2269" s="35"/>
      <c r="AG2269" s="35"/>
      <c r="AH2269" s="35"/>
      <c r="AI2269" s="35"/>
    </row>
    <row r="2270">
      <c r="A2270" s="263"/>
      <c r="B2270" s="264"/>
      <c r="C2270" s="265"/>
      <c r="D2270" s="266"/>
      <c r="E2270" s="263"/>
      <c r="F2270" s="267"/>
      <c r="G2270" s="267"/>
      <c r="H2270" s="268"/>
      <c r="I2270" s="268"/>
      <c r="J2270" s="267"/>
      <c r="K2270" s="265"/>
      <c r="L2270" s="265"/>
      <c r="M2270" s="269"/>
      <c r="N2270" s="270"/>
      <c r="O2270" s="271"/>
      <c r="P2270" s="271"/>
      <c r="Q2270" s="272"/>
      <c r="R2270" s="273"/>
      <c r="S2270" s="273"/>
      <c r="T2270" s="273"/>
      <c r="U2270" s="274"/>
      <c r="V2270" s="263"/>
      <c r="W2270" s="35"/>
      <c r="X2270" s="35"/>
      <c r="Y2270" s="35"/>
      <c r="Z2270" s="35"/>
      <c r="AA2270" s="35"/>
      <c r="AB2270" s="35"/>
      <c r="AC2270" s="35"/>
      <c r="AD2270" s="35"/>
      <c r="AE2270" s="35"/>
      <c r="AF2270" s="35"/>
      <c r="AG2270" s="35"/>
      <c r="AH2270" s="35"/>
      <c r="AI2270" s="35"/>
    </row>
    <row r="2271">
      <c r="A2271" s="263"/>
      <c r="B2271" s="264"/>
      <c r="C2271" s="265"/>
      <c r="D2271" s="266"/>
      <c r="E2271" s="263"/>
      <c r="F2271" s="267"/>
      <c r="G2271" s="267"/>
      <c r="H2271" s="268"/>
      <c r="I2271" s="268"/>
      <c r="J2271" s="267"/>
      <c r="K2271" s="265"/>
      <c r="L2271" s="265"/>
      <c r="M2271" s="269"/>
      <c r="N2271" s="270"/>
      <c r="O2271" s="271"/>
      <c r="P2271" s="271"/>
      <c r="Q2271" s="272"/>
      <c r="R2271" s="273"/>
      <c r="S2271" s="273"/>
      <c r="T2271" s="273"/>
      <c r="U2271" s="274"/>
      <c r="V2271" s="263"/>
      <c r="W2271" s="188"/>
      <c r="X2271" s="188"/>
      <c r="Y2271" s="188"/>
      <c r="Z2271" s="188"/>
      <c r="AA2271" s="188"/>
      <c r="AB2271" s="188"/>
      <c r="AC2271" s="188"/>
      <c r="AD2271" s="188"/>
      <c r="AE2271" s="188"/>
      <c r="AF2271" s="188"/>
      <c r="AG2271" s="188"/>
      <c r="AH2271" s="188"/>
      <c r="AI2271" s="188"/>
    </row>
    <row r="2272">
      <c r="A2272" s="263"/>
      <c r="B2272" s="264"/>
      <c r="C2272" s="265"/>
      <c r="D2272" s="266"/>
      <c r="E2272" s="263"/>
      <c r="F2272" s="267"/>
      <c r="G2272" s="267"/>
      <c r="H2272" s="268"/>
      <c r="I2272" s="268"/>
      <c r="J2272" s="267"/>
      <c r="K2272" s="265"/>
      <c r="L2272" s="265"/>
      <c r="M2272" s="269"/>
      <c r="N2272" s="270"/>
      <c r="O2272" s="271"/>
      <c r="P2272" s="271"/>
      <c r="Q2272" s="272"/>
      <c r="R2272" s="273"/>
      <c r="S2272" s="273"/>
      <c r="T2272" s="273"/>
      <c r="U2272" s="274"/>
      <c r="V2272" s="263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</row>
    <row r="2273">
      <c r="A2273" s="263"/>
      <c r="B2273" s="264"/>
      <c r="C2273" s="265"/>
      <c r="D2273" s="266"/>
      <c r="E2273" s="263"/>
      <c r="F2273" s="267"/>
      <c r="G2273" s="267"/>
      <c r="H2273" s="268"/>
      <c r="I2273" s="268"/>
      <c r="J2273" s="267"/>
      <c r="K2273" s="265"/>
      <c r="L2273" s="265"/>
      <c r="M2273" s="269"/>
      <c r="N2273" s="270"/>
      <c r="O2273" s="271"/>
      <c r="P2273" s="271"/>
      <c r="Q2273" s="272"/>
      <c r="R2273" s="273"/>
      <c r="S2273" s="273"/>
      <c r="T2273" s="273"/>
      <c r="U2273" s="274"/>
      <c r="V2273" s="263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</row>
    <row r="2274">
      <c r="A2274" s="263"/>
      <c r="B2274" s="264"/>
      <c r="C2274" s="265"/>
      <c r="D2274" s="266"/>
      <c r="E2274" s="263"/>
      <c r="F2274" s="267"/>
      <c r="G2274" s="267"/>
      <c r="H2274" s="268"/>
      <c r="I2274" s="268"/>
      <c r="J2274" s="267"/>
      <c r="K2274" s="265"/>
      <c r="L2274" s="265"/>
      <c r="M2274" s="269"/>
      <c r="N2274" s="270"/>
      <c r="O2274" s="271"/>
      <c r="P2274" s="271"/>
      <c r="Q2274" s="272"/>
      <c r="R2274" s="273"/>
      <c r="S2274" s="273"/>
      <c r="T2274" s="273"/>
      <c r="U2274" s="274"/>
      <c r="V2274" s="263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</row>
    <row r="2275">
      <c r="A2275" s="263"/>
      <c r="B2275" s="264"/>
      <c r="C2275" s="265"/>
      <c r="D2275" s="266"/>
      <c r="E2275" s="263"/>
      <c r="F2275" s="267"/>
      <c r="G2275" s="267"/>
      <c r="H2275" s="268"/>
      <c r="I2275" s="268"/>
      <c r="J2275" s="267"/>
      <c r="K2275" s="265"/>
      <c r="L2275" s="265"/>
      <c r="M2275" s="269"/>
      <c r="N2275" s="270"/>
      <c r="O2275" s="271"/>
      <c r="P2275" s="271"/>
      <c r="Q2275" s="272"/>
      <c r="R2275" s="273"/>
      <c r="S2275" s="273"/>
      <c r="T2275" s="273"/>
      <c r="U2275" s="274"/>
      <c r="V2275" s="263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</row>
    <row r="2276">
      <c r="A2276" s="263"/>
      <c r="B2276" s="264"/>
      <c r="C2276" s="265"/>
      <c r="D2276" s="266"/>
      <c r="E2276" s="263"/>
      <c r="F2276" s="267"/>
      <c r="G2276" s="267"/>
      <c r="H2276" s="268"/>
      <c r="I2276" s="268"/>
      <c r="J2276" s="267"/>
      <c r="K2276" s="265"/>
      <c r="L2276" s="265"/>
      <c r="M2276" s="269"/>
      <c r="N2276" s="270"/>
      <c r="O2276" s="271"/>
      <c r="P2276" s="271"/>
      <c r="Q2276" s="272"/>
      <c r="R2276" s="273"/>
      <c r="S2276" s="273"/>
      <c r="T2276" s="273"/>
      <c r="U2276" s="274"/>
      <c r="V2276" s="263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</row>
    <row r="2277">
      <c r="A2277" s="263"/>
      <c r="B2277" s="264"/>
      <c r="C2277" s="265"/>
      <c r="D2277" s="266"/>
      <c r="E2277" s="263"/>
      <c r="F2277" s="267"/>
      <c r="G2277" s="267"/>
      <c r="H2277" s="268"/>
      <c r="I2277" s="268"/>
      <c r="J2277" s="267"/>
      <c r="K2277" s="265"/>
      <c r="L2277" s="265"/>
      <c r="M2277" s="269"/>
      <c r="N2277" s="270"/>
      <c r="O2277" s="271"/>
      <c r="P2277" s="271"/>
      <c r="Q2277" s="272"/>
      <c r="R2277" s="273"/>
      <c r="S2277" s="273"/>
      <c r="T2277" s="273"/>
      <c r="U2277" s="274"/>
      <c r="V2277" s="263"/>
      <c r="W2277" s="35"/>
      <c r="X2277" s="35"/>
      <c r="Y2277" s="35"/>
      <c r="Z2277" s="35"/>
      <c r="AA2277" s="35"/>
      <c r="AB2277" s="35"/>
      <c r="AC2277" s="35"/>
      <c r="AD2277" s="35"/>
      <c r="AE2277" s="35"/>
      <c r="AF2277" s="35"/>
      <c r="AG2277" s="35"/>
      <c r="AH2277" s="35"/>
      <c r="AI2277" s="35"/>
    </row>
    <row r="2278">
      <c r="A2278" s="263"/>
      <c r="B2278" s="264"/>
      <c r="C2278" s="265"/>
      <c r="D2278" s="266"/>
      <c r="E2278" s="263"/>
      <c r="F2278" s="267"/>
      <c r="G2278" s="267"/>
      <c r="H2278" s="268"/>
      <c r="I2278" s="268"/>
      <c r="J2278" s="267"/>
      <c r="K2278" s="265"/>
      <c r="L2278" s="265"/>
      <c r="M2278" s="269"/>
      <c r="N2278" s="270"/>
      <c r="O2278" s="271"/>
      <c r="P2278" s="271"/>
      <c r="Q2278" s="272"/>
      <c r="R2278" s="273"/>
      <c r="S2278" s="273"/>
      <c r="T2278" s="273"/>
      <c r="U2278" s="274"/>
      <c r="V2278" s="263"/>
      <c r="W2278" s="188"/>
      <c r="X2278" s="188"/>
      <c r="Y2278" s="188"/>
      <c r="Z2278" s="188"/>
      <c r="AA2278" s="188"/>
      <c r="AB2278" s="188"/>
      <c r="AC2278" s="188"/>
      <c r="AD2278" s="188"/>
      <c r="AE2278" s="188"/>
      <c r="AF2278" s="188"/>
      <c r="AG2278" s="188"/>
      <c r="AH2278" s="188"/>
      <c r="AI2278" s="188"/>
    </row>
    <row r="2279">
      <c r="A2279" s="263"/>
      <c r="B2279" s="264"/>
      <c r="C2279" s="265"/>
      <c r="D2279" s="266"/>
      <c r="E2279" s="263"/>
      <c r="F2279" s="267"/>
      <c r="G2279" s="267"/>
      <c r="H2279" s="268"/>
      <c r="I2279" s="268"/>
      <c r="J2279" s="267"/>
      <c r="K2279" s="265"/>
      <c r="L2279" s="265"/>
      <c r="M2279" s="269"/>
      <c r="N2279" s="270"/>
      <c r="O2279" s="271"/>
      <c r="P2279" s="271"/>
      <c r="Q2279" s="272"/>
      <c r="R2279" s="273"/>
      <c r="S2279" s="273"/>
      <c r="T2279" s="273"/>
      <c r="U2279" s="274"/>
      <c r="V2279" s="263"/>
      <c r="W2279" s="35"/>
      <c r="X2279" s="35"/>
      <c r="Y2279" s="35"/>
      <c r="Z2279" s="35"/>
      <c r="AA2279" s="35"/>
      <c r="AB2279" s="35"/>
      <c r="AC2279" s="35"/>
      <c r="AD2279" s="35"/>
      <c r="AE2279" s="35"/>
      <c r="AF2279" s="35"/>
      <c r="AG2279" s="35"/>
      <c r="AH2279" s="35"/>
      <c r="AI2279" s="35"/>
    </row>
    <row r="2280">
      <c r="A2280" s="263"/>
      <c r="B2280" s="264"/>
      <c r="C2280" s="265"/>
      <c r="D2280" s="266"/>
      <c r="E2280" s="263"/>
      <c r="F2280" s="267"/>
      <c r="G2280" s="267"/>
      <c r="H2280" s="268"/>
      <c r="I2280" s="268"/>
      <c r="J2280" s="267"/>
      <c r="K2280" s="265"/>
      <c r="L2280" s="265"/>
      <c r="M2280" s="269"/>
      <c r="N2280" s="270"/>
      <c r="O2280" s="271"/>
      <c r="P2280" s="271"/>
      <c r="Q2280" s="272"/>
      <c r="R2280" s="273"/>
      <c r="S2280" s="273"/>
      <c r="T2280" s="273"/>
      <c r="U2280" s="274"/>
      <c r="V2280" s="263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</row>
    <row r="2281">
      <c r="A2281" s="263"/>
      <c r="B2281" s="264"/>
      <c r="C2281" s="265"/>
      <c r="D2281" s="266"/>
      <c r="E2281" s="263"/>
      <c r="F2281" s="267"/>
      <c r="G2281" s="267"/>
      <c r="H2281" s="268"/>
      <c r="I2281" s="268"/>
      <c r="J2281" s="267"/>
      <c r="K2281" s="265"/>
      <c r="L2281" s="265"/>
      <c r="M2281" s="269"/>
      <c r="N2281" s="270"/>
      <c r="O2281" s="271"/>
      <c r="P2281" s="271"/>
      <c r="Q2281" s="272"/>
      <c r="R2281" s="273"/>
      <c r="S2281" s="273"/>
      <c r="T2281" s="273"/>
      <c r="U2281" s="274"/>
      <c r="V2281" s="263"/>
      <c r="W2281" s="188"/>
      <c r="X2281" s="188"/>
      <c r="Y2281" s="188"/>
      <c r="Z2281" s="188"/>
      <c r="AA2281" s="188"/>
      <c r="AB2281" s="188"/>
      <c r="AC2281" s="188"/>
      <c r="AD2281" s="188"/>
      <c r="AE2281" s="188"/>
      <c r="AF2281" s="188"/>
      <c r="AG2281" s="188"/>
      <c r="AH2281" s="188"/>
      <c r="AI2281" s="188"/>
    </row>
    <row r="2282">
      <c r="A2282" s="263"/>
      <c r="B2282" s="264"/>
      <c r="C2282" s="265"/>
      <c r="D2282" s="266"/>
      <c r="E2282" s="263"/>
      <c r="F2282" s="267"/>
      <c r="G2282" s="267"/>
      <c r="H2282" s="268"/>
      <c r="I2282" s="268"/>
      <c r="J2282" s="267"/>
      <c r="K2282" s="265"/>
      <c r="L2282" s="265"/>
      <c r="M2282" s="269"/>
      <c r="N2282" s="270"/>
      <c r="O2282" s="271"/>
      <c r="P2282" s="271"/>
      <c r="Q2282" s="272"/>
      <c r="R2282" s="273"/>
      <c r="S2282" s="273"/>
      <c r="T2282" s="273"/>
      <c r="U2282" s="274"/>
      <c r="V2282" s="263"/>
      <c r="W2282" s="35"/>
      <c r="X2282" s="35"/>
      <c r="Y2282" s="35"/>
      <c r="Z2282" s="35"/>
      <c r="AA2282" s="35"/>
      <c r="AB2282" s="35"/>
      <c r="AC2282" s="35"/>
      <c r="AD2282" s="35"/>
      <c r="AE2282" s="35"/>
      <c r="AF2282" s="35"/>
      <c r="AG2282" s="35"/>
      <c r="AH2282" s="35"/>
      <c r="AI2282" s="35"/>
    </row>
    <row r="2283">
      <c r="A2283" s="263"/>
      <c r="B2283" s="264"/>
      <c r="C2283" s="265"/>
      <c r="D2283" s="266"/>
      <c r="E2283" s="263"/>
      <c r="F2283" s="267"/>
      <c r="G2283" s="267"/>
      <c r="H2283" s="268"/>
      <c r="I2283" s="268"/>
      <c r="J2283" s="267"/>
      <c r="K2283" s="265"/>
      <c r="L2283" s="265"/>
      <c r="M2283" s="269"/>
      <c r="N2283" s="270"/>
      <c r="O2283" s="271"/>
      <c r="P2283" s="271"/>
      <c r="Q2283" s="272"/>
      <c r="R2283" s="273"/>
      <c r="S2283" s="273"/>
      <c r="T2283" s="273"/>
      <c r="U2283" s="274"/>
      <c r="V2283" s="263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</row>
    <row r="2284">
      <c r="A2284" s="263"/>
      <c r="B2284" s="264"/>
      <c r="C2284" s="265"/>
      <c r="D2284" s="266"/>
      <c r="E2284" s="263"/>
      <c r="F2284" s="267"/>
      <c r="G2284" s="267"/>
      <c r="H2284" s="268"/>
      <c r="I2284" s="268"/>
      <c r="J2284" s="267"/>
      <c r="K2284" s="265"/>
      <c r="L2284" s="265"/>
      <c r="M2284" s="269"/>
      <c r="N2284" s="270"/>
      <c r="O2284" s="271"/>
      <c r="P2284" s="271"/>
      <c r="Q2284" s="272"/>
      <c r="R2284" s="273"/>
      <c r="S2284" s="273"/>
      <c r="T2284" s="273"/>
      <c r="U2284" s="274"/>
      <c r="V2284" s="263"/>
      <c r="W2284" s="188"/>
      <c r="X2284" s="188"/>
      <c r="Y2284" s="188"/>
      <c r="Z2284" s="188"/>
      <c r="AA2284" s="188"/>
      <c r="AB2284" s="188"/>
      <c r="AC2284" s="188"/>
      <c r="AD2284" s="188"/>
      <c r="AE2284" s="188"/>
      <c r="AF2284" s="188"/>
      <c r="AG2284" s="188"/>
      <c r="AH2284" s="188"/>
      <c r="AI2284" s="188"/>
    </row>
    <row r="2285">
      <c r="A2285" s="263"/>
      <c r="B2285" s="264"/>
      <c r="C2285" s="265"/>
      <c r="D2285" s="266"/>
      <c r="E2285" s="263"/>
      <c r="F2285" s="267"/>
      <c r="G2285" s="267"/>
      <c r="H2285" s="268"/>
      <c r="I2285" s="268"/>
      <c r="J2285" s="267"/>
      <c r="K2285" s="265"/>
      <c r="L2285" s="265"/>
      <c r="M2285" s="269"/>
      <c r="N2285" s="270"/>
      <c r="O2285" s="271"/>
      <c r="P2285" s="271"/>
      <c r="Q2285" s="272"/>
      <c r="R2285" s="273"/>
      <c r="S2285" s="273"/>
      <c r="T2285" s="273"/>
      <c r="U2285" s="274"/>
      <c r="V2285" s="263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</row>
    <row r="2286">
      <c r="A2286" s="263"/>
      <c r="B2286" s="264"/>
      <c r="C2286" s="265"/>
      <c r="D2286" s="266"/>
      <c r="E2286" s="263"/>
      <c r="F2286" s="267"/>
      <c r="G2286" s="267"/>
      <c r="H2286" s="268"/>
      <c r="I2286" s="268"/>
      <c r="J2286" s="267"/>
      <c r="K2286" s="265"/>
      <c r="L2286" s="265"/>
      <c r="M2286" s="269"/>
      <c r="N2286" s="270"/>
      <c r="O2286" s="271"/>
      <c r="P2286" s="271"/>
      <c r="Q2286" s="272"/>
      <c r="R2286" s="273"/>
      <c r="S2286" s="273"/>
      <c r="T2286" s="273"/>
      <c r="U2286" s="274"/>
      <c r="V2286" s="263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</row>
    <row r="2287">
      <c r="A2287" s="263"/>
      <c r="B2287" s="264"/>
      <c r="C2287" s="265"/>
      <c r="D2287" s="266"/>
      <c r="E2287" s="263"/>
      <c r="F2287" s="267"/>
      <c r="G2287" s="267"/>
      <c r="H2287" s="268"/>
      <c r="I2287" s="268"/>
      <c r="J2287" s="267"/>
      <c r="K2287" s="265"/>
      <c r="L2287" s="265"/>
      <c r="M2287" s="269"/>
      <c r="N2287" s="270"/>
      <c r="O2287" s="271"/>
      <c r="P2287" s="271"/>
      <c r="Q2287" s="272"/>
      <c r="R2287" s="273"/>
      <c r="S2287" s="273"/>
      <c r="T2287" s="273"/>
      <c r="U2287" s="274"/>
      <c r="V2287" s="263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</row>
    <row r="2288">
      <c r="A2288" s="263"/>
      <c r="B2288" s="264"/>
      <c r="C2288" s="265"/>
      <c r="D2288" s="266"/>
      <c r="E2288" s="263"/>
      <c r="F2288" s="267"/>
      <c r="G2288" s="267"/>
      <c r="H2288" s="268"/>
      <c r="I2288" s="268"/>
      <c r="J2288" s="267"/>
      <c r="K2288" s="265"/>
      <c r="L2288" s="265"/>
      <c r="M2288" s="269"/>
      <c r="N2288" s="270"/>
      <c r="O2288" s="271"/>
      <c r="P2288" s="271"/>
      <c r="Q2288" s="272"/>
      <c r="R2288" s="273"/>
      <c r="S2288" s="273"/>
      <c r="T2288" s="273"/>
      <c r="U2288" s="274"/>
      <c r="V2288" s="263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</row>
    <row r="2289">
      <c r="A2289" s="263"/>
      <c r="B2289" s="264"/>
      <c r="C2289" s="265"/>
      <c r="D2289" s="266"/>
      <c r="E2289" s="263"/>
      <c r="F2289" s="267"/>
      <c r="G2289" s="267"/>
      <c r="H2289" s="268"/>
      <c r="I2289" s="268"/>
      <c r="J2289" s="267"/>
      <c r="K2289" s="265"/>
      <c r="L2289" s="265"/>
      <c r="M2289" s="269"/>
      <c r="N2289" s="270"/>
      <c r="O2289" s="271"/>
      <c r="P2289" s="271"/>
      <c r="Q2289" s="272"/>
      <c r="R2289" s="273"/>
      <c r="S2289" s="273"/>
      <c r="T2289" s="273"/>
      <c r="U2289" s="274"/>
      <c r="V2289" s="263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</row>
    <row r="2290">
      <c r="A2290" s="263"/>
      <c r="B2290" s="264"/>
      <c r="C2290" s="265"/>
      <c r="D2290" s="266"/>
      <c r="E2290" s="263"/>
      <c r="F2290" s="267"/>
      <c r="G2290" s="267"/>
      <c r="H2290" s="268"/>
      <c r="I2290" s="268"/>
      <c r="J2290" s="267"/>
      <c r="K2290" s="265"/>
      <c r="L2290" s="265"/>
      <c r="M2290" s="269"/>
      <c r="N2290" s="270"/>
      <c r="O2290" s="271"/>
      <c r="P2290" s="271"/>
      <c r="Q2290" s="272"/>
      <c r="R2290" s="273"/>
      <c r="S2290" s="273"/>
      <c r="T2290" s="273"/>
      <c r="U2290" s="274"/>
      <c r="V2290" s="263"/>
      <c r="W2290" s="35"/>
      <c r="X2290" s="35"/>
      <c r="Y2290" s="35"/>
      <c r="Z2290" s="35"/>
      <c r="AA2290" s="35"/>
      <c r="AB2290" s="35"/>
      <c r="AC2290" s="35"/>
      <c r="AD2290" s="35"/>
      <c r="AE2290" s="35"/>
      <c r="AF2290" s="35"/>
      <c r="AG2290" s="35"/>
      <c r="AH2290" s="35"/>
      <c r="AI2290" s="35"/>
    </row>
    <row r="2291">
      <c r="A2291" s="263"/>
      <c r="B2291" s="264"/>
      <c r="C2291" s="265"/>
      <c r="D2291" s="266"/>
      <c r="E2291" s="263"/>
      <c r="F2291" s="267"/>
      <c r="G2291" s="267"/>
      <c r="H2291" s="268"/>
      <c r="I2291" s="268"/>
      <c r="J2291" s="267"/>
      <c r="K2291" s="265"/>
      <c r="L2291" s="265"/>
      <c r="M2291" s="269"/>
      <c r="N2291" s="270"/>
      <c r="O2291" s="271"/>
      <c r="P2291" s="271"/>
      <c r="Q2291" s="272"/>
      <c r="R2291" s="273"/>
      <c r="S2291" s="273"/>
      <c r="T2291" s="273"/>
      <c r="U2291" s="274"/>
      <c r="V2291" s="263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</row>
    <row r="2292">
      <c r="A2292" s="263"/>
      <c r="B2292" s="264"/>
      <c r="C2292" s="265"/>
      <c r="D2292" s="266"/>
      <c r="E2292" s="263"/>
      <c r="F2292" s="267"/>
      <c r="G2292" s="267"/>
      <c r="H2292" s="268"/>
      <c r="I2292" s="268"/>
      <c r="J2292" s="267"/>
      <c r="K2292" s="265"/>
      <c r="L2292" s="265"/>
      <c r="M2292" s="269"/>
      <c r="N2292" s="270"/>
      <c r="O2292" s="271"/>
      <c r="P2292" s="271"/>
      <c r="Q2292" s="272"/>
      <c r="R2292" s="273"/>
      <c r="S2292" s="273"/>
      <c r="T2292" s="273"/>
      <c r="U2292" s="274"/>
      <c r="V2292" s="263"/>
      <c r="W2292" s="35"/>
      <c r="X2292" s="35"/>
      <c r="Y2292" s="35"/>
      <c r="Z2292" s="35"/>
      <c r="AA2292" s="35"/>
      <c r="AB2292" s="35"/>
      <c r="AC2292" s="35"/>
      <c r="AD2292" s="35"/>
      <c r="AE2292" s="35"/>
      <c r="AF2292" s="35"/>
      <c r="AG2292" s="35"/>
      <c r="AH2292" s="35"/>
      <c r="AI2292" s="35"/>
    </row>
    <row r="2293">
      <c r="A2293" s="263"/>
      <c r="B2293" s="264"/>
      <c r="C2293" s="265"/>
      <c r="D2293" s="266"/>
      <c r="E2293" s="263"/>
      <c r="F2293" s="267"/>
      <c r="G2293" s="267"/>
      <c r="H2293" s="268"/>
      <c r="I2293" s="268"/>
      <c r="J2293" s="267"/>
      <c r="K2293" s="265"/>
      <c r="L2293" s="265"/>
      <c r="M2293" s="269"/>
      <c r="N2293" s="270"/>
      <c r="O2293" s="271"/>
      <c r="P2293" s="271"/>
      <c r="Q2293" s="272"/>
      <c r="R2293" s="273"/>
      <c r="S2293" s="273"/>
      <c r="T2293" s="273"/>
      <c r="U2293" s="274"/>
      <c r="V2293" s="263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</row>
    <row r="2294">
      <c r="A2294" s="263"/>
      <c r="B2294" s="264"/>
      <c r="C2294" s="265"/>
      <c r="D2294" s="266"/>
      <c r="E2294" s="263"/>
      <c r="F2294" s="267"/>
      <c r="G2294" s="267"/>
      <c r="H2294" s="268"/>
      <c r="I2294" s="268"/>
      <c r="J2294" s="267"/>
      <c r="K2294" s="265"/>
      <c r="L2294" s="265"/>
      <c r="M2294" s="269"/>
      <c r="N2294" s="270"/>
      <c r="O2294" s="271"/>
      <c r="P2294" s="271"/>
      <c r="Q2294" s="272"/>
      <c r="R2294" s="273"/>
      <c r="S2294" s="273"/>
      <c r="T2294" s="273"/>
      <c r="U2294" s="274"/>
      <c r="V2294" s="263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</row>
    <row r="2295">
      <c r="A2295" s="263"/>
      <c r="B2295" s="264"/>
      <c r="C2295" s="265"/>
      <c r="D2295" s="266"/>
      <c r="E2295" s="263"/>
      <c r="F2295" s="267"/>
      <c r="G2295" s="267"/>
      <c r="H2295" s="268"/>
      <c r="I2295" s="268"/>
      <c r="J2295" s="267"/>
      <c r="K2295" s="265"/>
      <c r="L2295" s="265"/>
      <c r="M2295" s="269"/>
      <c r="N2295" s="270"/>
      <c r="O2295" s="271"/>
      <c r="P2295" s="271"/>
      <c r="Q2295" s="272"/>
      <c r="R2295" s="273"/>
      <c r="S2295" s="273"/>
      <c r="T2295" s="273"/>
      <c r="U2295" s="274"/>
      <c r="V2295" s="263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</row>
    <row r="2296">
      <c r="A2296" s="263"/>
      <c r="B2296" s="264"/>
      <c r="C2296" s="265"/>
      <c r="D2296" s="266"/>
      <c r="E2296" s="263"/>
      <c r="F2296" s="267"/>
      <c r="G2296" s="267"/>
      <c r="H2296" s="268"/>
      <c r="I2296" s="268"/>
      <c r="J2296" s="267"/>
      <c r="K2296" s="265"/>
      <c r="L2296" s="265"/>
      <c r="M2296" s="269"/>
      <c r="N2296" s="270"/>
      <c r="O2296" s="271"/>
      <c r="P2296" s="271"/>
      <c r="Q2296" s="272"/>
      <c r="R2296" s="273"/>
      <c r="S2296" s="273"/>
      <c r="T2296" s="273"/>
      <c r="U2296" s="274"/>
      <c r="V2296" s="263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</row>
    <row r="2297">
      <c r="A2297" s="263"/>
      <c r="B2297" s="264"/>
      <c r="C2297" s="265"/>
      <c r="D2297" s="266"/>
      <c r="E2297" s="263"/>
      <c r="F2297" s="267"/>
      <c r="G2297" s="267"/>
      <c r="H2297" s="268"/>
      <c r="I2297" s="268"/>
      <c r="J2297" s="267"/>
      <c r="K2297" s="265"/>
      <c r="L2297" s="265"/>
      <c r="M2297" s="269"/>
      <c r="N2297" s="270"/>
      <c r="O2297" s="271"/>
      <c r="P2297" s="271"/>
      <c r="Q2297" s="272"/>
      <c r="R2297" s="273"/>
      <c r="S2297" s="273"/>
      <c r="T2297" s="273"/>
      <c r="U2297" s="274"/>
      <c r="V2297" s="263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</row>
    <row r="2298">
      <c r="A2298" s="263"/>
      <c r="B2298" s="264"/>
      <c r="C2298" s="265"/>
      <c r="D2298" s="266"/>
      <c r="E2298" s="263"/>
      <c r="F2298" s="267"/>
      <c r="G2298" s="267"/>
      <c r="H2298" s="268"/>
      <c r="I2298" s="268"/>
      <c r="J2298" s="267"/>
      <c r="K2298" s="265"/>
      <c r="L2298" s="265"/>
      <c r="M2298" s="269"/>
      <c r="N2298" s="270"/>
      <c r="O2298" s="271"/>
      <c r="P2298" s="271"/>
      <c r="Q2298" s="272"/>
      <c r="R2298" s="273"/>
      <c r="S2298" s="273"/>
      <c r="T2298" s="273"/>
      <c r="U2298" s="274"/>
      <c r="V2298" s="263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</row>
    <row r="2299">
      <c r="A2299" s="263"/>
      <c r="B2299" s="264"/>
      <c r="C2299" s="265"/>
      <c r="D2299" s="266"/>
      <c r="E2299" s="263"/>
      <c r="F2299" s="267"/>
      <c r="G2299" s="267"/>
      <c r="H2299" s="268"/>
      <c r="I2299" s="268"/>
      <c r="J2299" s="267"/>
      <c r="K2299" s="265"/>
      <c r="L2299" s="265"/>
      <c r="M2299" s="269"/>
      <c r="N2299" s="270"/>
      <c r="O2299" s="271"/>
      <c r="P2299" s="271"/>
      <c r="Q2299" s="272"/>
      <c r="R2299" s="273"/>
      <c r="S2299" s="273"/>
      <c r="T2299" s="273"/>
      <c r="U2299" s="274"/>
      <c r="V2299" s="263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</row>
    <row r="2300">
      <c r="A2300" s="263"/>
      <c r="B2300" s="264"/>
      <c r="C2300" s="265"/>
      <c r="D2300" s="266"/>
      <c r="E2300" s="263"/>
      <c r="F2300" s="267"/>
      <c r="G2300" s="267"/>
      <c r="H2300" s="268"/>
      <c r="I2300" s="268"/>
      <c r="J2300" s="267"/>
      <c r="K2300" s="265"/>
      <c r="L2300" s="265"/>
      <c r="M2300" s="269"/>
      <c r="N2300" s="270"/>
      <c r="O2300" s="271"/>
      <c r="P2300" s="271"/>
      <c r="Q2300" s="272"/>
      <c r="R2300" s="273"/>
      <c r="S2300" s="273"/>
      <c r="T2300" s="273"/>
      <c r="U2300" s="274"/>
      <c r="V2300" s="263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</row>
    <row r="2301">
      <c r="A2301" s="263"/>
      <c r="B2301" s="264"/>
      <c r="C2301" s="265"/>
      <c r="D2301" s="266"/>
      <c r="E2301" s="263"/>
      <c r="F2301" s="267"/>
      <c r="G2301" s="267"/>
      <c r="H2301" s="268"/>
      <c r="I2301" s="268"/>
      <c r="J2301" s="267"/>
      <c r="K2301" s="265"/>
      <c r="L2301" s="265"/>
      <c r="M2301" s="269"/>
      <c r="N2301" s="270"/>
      <c r="O2301" s="271"/>
      <c r="P2301" s="271"/>
      <c r="Q2301" s="272"/>
      <c r="R2301" s="273"/>
      <c r="S2301" s="273"/>
      <c r="T2301" s="273"/>
      <c r="U2301" s="274"/>
      <c r="V2301" s="263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</row>
    <row r="2302">
      <c r="A2302" s="263"/>
      <c r="B2302" s="264"/>
      <c r="C2302" s="265"/>
      <c r="D2302" s="266"/>
      <c r="E2302" s="263"/>
      <c r="F2302" s="267"/>
      <c r="G2302" s="267"/>
      <c r="H2302" s="268"/>
      <c r="I2302" s="268"/>
      <c r="J2302" s="267"/>
      <c r="K2302" s="265"/>
      <c r="L2302" s="265"/>
      <c r="M2302" s="269"/>
      <c r="N2302" s="270"/>
      <c r="O2302" s="271"/>
      <c r="P2302" s="271"/>
      <c r="Q2302" s="272"/>
      <c r="R2302" s="273"/>
      <c r="S2302" s="273"/>
      <c r="T2302" s="273"/>
      <c r="U2302" s="274"/>
      <c r="V2302" s="263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</row>
    <row r="2303">
      <c r="A2303" s="263"/>
      <c r="B2303" s="264"/>
      <c r="C2303" s="265"/>
      <c r="D2303" s="266"/>
      <c r="E2303" s="263"/>
      <c r="F2303" s="267"/>
      <c r="G2303" s="267"/>
      <c r="H2303" s="268"/>
      <c r="I2303" s="268"/>
      <c r="J2303" s="267"/>
      <c r="K2303" s="265"/>
      <c r="L2303" s="265"/>
      <c r="M2303" s="269"/>
      <c r="N2303" s="270"/>
      <c r="O2303" s="271"/>
      <c r="P2303" s="271"/>
      <c r="Q2303" s="272"/>
      <c r="R2303" s="273"/>
      <c r="S2303" s="273"/>
      <c r="T2303" s="273"/>
      <c r="U2303" s="274"/>
      <c r="V2303" s="263"/>
      <c r="W2303" s="188"/>
      <c r="X2303" s="188"/>
      <c r="Y2303" s="188"/>
      <c r="Z2303" s="188"/>
      <c r="AA2303" s="188"/>
      <c r="AB2303" s="188"/>
      <c r="AC2303" s="188"/>
      <c r="AD2303" s="188"/>
      <c r="AE2303" s="188"/>
      <c r="AF2303" s="188"/>
      <c r="AG2303" s="188"/>
      <c r="AH2303" s="188"/>
      <c r="AI2303" s="188"/>
    </row>
    <row r="2304">
      <c r="A2304" s="263"/>
      <c r="B2304" s="264"/>
      <c r="C2304" s="265"/>
      <c r="D2304" s="266"/>
      <c r="E2304" s="263"/>
      <c r="F2304" s="267"/>
      <c r="G2304" s="267"/>
      <c r="H2304" s="268"/>
      <c r="I2304" s="268"/>
      <c r="J2304" s="267"/>
      <c r="K2304" s="265"/>
      <c r="L2304" s="265"/>
      <c r="M2304" s="269"/>
      <c r="N2304" s="270"/>
      <c r="O2304" s="271"/>
      <c r="P2304" s="271"/>
      <c r="Q2304" s="272"/>
      <c r="R2304" s="273"/>
      <c r="S2304" s="273"/>
      <c r="T2304" s="273"/>
      <c r="U2304" s="274"/>
      <c r="V2304" s="263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</row>
    <row r="2305">
      <c r="A2305" s="263"/>
      <c r="B2305" s="264"/>
      <c r="C2305" s="265"/>
      <c r="D2305" s="266"/>
      <c r="E2305" s="263"/>
      <c r="F2305" s="267"/>
      <c r="G2305" s="267"/>
      <c r="H2305" s="268"/>
      <c r="I2305" s="268"/>
      <c r="J2305" s="267"/>
      <c r="K2305" s="265"/>
      <c r="L2305" s="265"/>
      <c r="M2305" s="269"/>
      <c r="N2305" s="270"/>
      <c r="O2305" s="271"/>
      <c r="P2305" s="271"/>
      <c r="Q2305" s="272"/>
      <c r="R2305" s="273"/>
      <c r="S2305" s="273"/>
      <c r="T2305" s="273"/>
      <c r="U2305" s="274"/>
      <c r="V2305" s="263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</row>
    <row r="2306">
      <c r="A2306" s="263"/>
      <c r="B2306" s="264"/>
      <c r="C2306" s="265"/>
      <c r="D2306" s="266"/>
      <c r="E2306" s="263"/>
      <c r="F2306" s="267"/>
      <c r="G2306" s="267"/>
      <c r="H2306" s="268"/>
      <c r="I2306" s="268"/>
      <c r="J2306" s="267"/>
      <c r="K2306" s="265"/>
      <c r="L2306" s="265"/>
      <c r="M2306" s="269"/>
      <c r="N2306" s="270"/>
      <c r="O2306" s="271"/>
      <c r="P2306" s="271"/>
      <c r="Q2306" s="272"/>
      <c r="R2306" s="273"/>
      <c r="S2306" s="273"/>
      <c r="T2306" s="273"/>
      <c r="U2306" s="274"/>
      <c r="V2306" s="263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</row>
    <row r="2307">
      <c r="A2307" s="263"/>
      <c r="B2307" s="264"/>
      <c r="C2307" s="265"/>
      <c r="D2307" s="266"/>
      <c r="E2307" s="263"/>
      <c r="F2307" s="267"/>
      <c r="G2307" s="267"/>
      <c r="H2307" s="268"/>
      <c r="I2307" s="268"/>
      <c r="J2307" s="267"/>
      <c r="K2307" s="265"/>
      <c r="L2307" s="265"/>
      <c r="M2307" s="269"/>
      <c r="N2307" s="270"/>
      <c r="O2307" s="271"/>
      <c r="P2307" s="271"/>
      <c r="Q2307" s="272"/>
      <c r="R2307" s="273"/>
      <c r="S2307" s="273"/>
      <c r="T2307" s="273"/>
      <c r="U2307" s="274"/>
      <c r="V2307" s="263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</row>
    <row r="2308">
      <c r="A2308" s="263"/>
      <c r="B2308" s="264"/>
      <c r="C2308" s="265"/>
      <c r="D2308" s="266"/>
      <c r="E2308" s="263"/>
      <c r="F2308" s="267"/>
      <c r="G2308" s="267"/>
      <c r="H2308" s="268"/>
      <c r="I2308" s="268"/>
      <c r="J2308" s="267"/>
      <c r="K2308" s="265"/>
      <c r="L2308" s="265"/>
      <c r="M2308" s="269"/>
      <c r="N2308" s="270"/>
      <c r="O2308" s="271"/>
      <c r="P2308" s="271"/>
      <c r="Q2308" s="272"/>
      <c r="R2308" s="273"/>
      <c r="S2308" s="273"/>
      <c r="T2308" s="273"/>
      <c r="U2308" s="274"/>
      <c r="V2308" s="263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</row>
    <row r="2309">
      <c r="A2309" s="263"/>
      <c r="B2309" s="264"/>
      <c r="C2309" s="265"/>
      <c r="D2309" s="266"/>
      <c r="E2309" s="263"/>
      <c r="F2309" s="267"/>
      <c r="G2309" s="267"/>
      <c r="H2309" s="268"/>
      <c r="I2309" s="268"/>
      <c r="J2309" s="267"/>
      <c r="K2309" s="265"/>
      <c r="L2309" s="265"/>
      <c r="M2309" s="269"/>
      <c r="N2309" s="270"/>
      <c r="O2309" s="271"/>
      <c r="P2309" s="271"/>
      <c r="Q2309" s="272"/>
      <c r="R2309" s="273"/>
      <c r="S2309" s="273"/>
      <c r="T2309" s="273"/>
      <c r="U2309" s="274"/>
      <c r="V2309" s="263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</row>
    <row r="2310">
      <c r="A2310" s="263"/>
      <c r="B2310" s="264"/>
      <c r="C2310" s="265"/>
      <c r="D2310" s="266"/>
      <c r="E2310" s="263"/>
      <c r="F2310" s="267"/>
      <c r="G2310" s="267"/>
      <c r="H2310" s="268"/>
      <c r="I2310" s="268"/>
      <c r="J2310" s="267"/>
      <c r="K2310" s="265"/>
      <c r="L2310" s="265"/>
      <c r="M2310" s="269"/>
      <c r="N2310" s="270"/>
      <c r="O2310" s="271"/>
      <c r="P2310" s="271"/>
      <c r="Q2310" s="272"/>
      <c r="R2310" s="273"/>
      <c r="S2310" s="273"/>
      <c r="T2310" s="273"/>
      <c r="U2310" s="274"/>
      <c r="V2310" s="263"/>
      <c r="W2310" s="188"/>
      <c r="X2310" s="188"/>
      <c r="Y2310" s="188"/>
      <c r="Z2310" s="188"/>
      <c r="AA2310" s="188"/>
      <c r="AB2310" s="188"/>
      <c r="AC2310" s="188"/>
      <c r="AD2310" s="188"/>
      <c r="AE2310" s="188"/>
      <c r="AF2310" s="188"/>
      <c r="AG2310" s="188"/>
      <c r="AH2310" s="188"/>
      <c r="AI2310" s="188"/>
    </row>
    <row r="2311">
      <c r="A2311" s="263"/>
      <c r="B2311" s="264"/>
      <c r="C2311" s="265"/>
      <c r="D2311" s="266"/>
      <c r="E2311" s="263"/>
      <c r="F2311" s="267"/>
      <c r="G2311" s="267"/>
      <c r="H2311" s="268"/>
      <c r="I2311" s="268"/>
      <c r="J2311" s="267"/>
      <c r="K2311" s="265"/>
      <c r="L2311" s="265"/>
      <c r="M2311" s="269"/>
      <c r="N2311" s="270"/>
      <c r="O2311" s="271"/>
      <c r="P2311" s="271"/>
      <c r="Q2311" s="272"/>
      <c r="R2311" s="273"/>
      <c r="S2311" s="273"/>
      <c r="T2311" s="273"/>
      <c r="U2311" s="274"/>
      <c r="V2311" s="263"/>
      <c r="W2311" s="35"/>
      <c r="X2311" s="35"/>
      <c r="Y2311" s="35"/>
      <c r="Z2311" s="35"/>
      <c r="AA2311" s="35"/>
      <c r="AB2311" s="35"/>
      <c r="AC2311" s="35"/>
      <c r="AD2311" s="35"/>
      <c r="AE2311" s="35"/>
      <c r="AF2311" s="35"/>
      <c r="AG2311" s="35"/>
      <c r="AH2311" s="35"/>
      <c r="AI2311" s="35"/>
    </row>
    <row r="2312">
      <c r="A2312" s="263"/>
      <c r="B2312" s="264"/>
      <c r="C2312" s="265"/>
      <c r="D2312" s="266"/>
      <c r="E2312" s="263"/>
      <c r="F2312" s="267"/>
      <c r="G2312" s="267"/>
      <c r="H2312" s="268"/>
      <c r="I2312" s="268"/>
      <c r="J2312" s="267"/>
      <c r="K2312" s="265"/>
      <c r="L2312" s="265"/>
      <c r="M2312" s="269"/>
      <c r="N2312" s="270"/>
      <c r="O2312" s="271"/>
      <c r="P2312" s="271"/>
      <c r="Q2312" s="272"/>
      <c r="R2312" s="273"/>
      <c r="S2312" s="273"/>
      <c r="T2312" s="273"/>
      <c r="U2312" s="274"/>
      <c r="V2312" s="263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</row>
    <row r="2313">
      <c r="A2313" s="263"/>
      <c r="B2313" s="264"/>
      <c r="C2313" s="265"/>
      <c r="D2313" s="266"/>
      <c r="E2313" s="263"/>
      <c r="F2313" s="267"/>
      <c r="G2313" s="267"/>
      <c r="H2313" s="268"/>
      <c r="I2313" s="268"/>
      <c r="J2313" s="267"/>
      <c r="K2313" s="265"/>
      <c r="L2313" s="265"/>
      <c r="M2313" s="269"/>
      <c r="N2313" s="270"/>
      <c r="O2313" s="271"/>
      <c r="P2313" s="271"/>
      <c r="Q2313" s="272"/>
      <c r="R2313" s="273"/>
      <c r="S2313" s="273"/>
      <c r="T2313" s="273"/>
      <c r="U2313" s="274"/>
      <c r="V2313" s="263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</row>
    <row r="2314">
      <c r="A2314" s="263"/>
      <c r="B2314" s="264"/>
      <c r="C2314" s="265"/>
      <c r="D2314" s="266"/>
      <c r="E2314" s="263"/>
      <c r="F2314" s="267"/>
      <c r="G2314" s="267"/>
      <c r="H2314" s="268"/>
      <c r="I2314" s="268"/>
      <c r="J2314" s="267"/>
      <c r="K2314" s="265"/>
      <c r="L2314" s="265"/>
      <c r="M2314" s="269"/>
      <c r="N2314" s="270"/>
      <c r="O2314" s="271"/>
      <c r="P2314" s="271"/>
      <c r="Q2314" s="272"/>
      <c r="R2314" s="273"/>
      <c r="S2314" s="273"/>
      <c r="T2314" s="273"/>
      <c r="U2314" s="274"/>
      <c r="V2314" s="263"/>
      <c r="W2314" s="188"/>
      <c r="X2314" s="188"/>
      <c r="Y2314" s="188"/>
      <c r="Z2314" s="188"/>
      <c r="AA2314" s="188"/>
      <c r="AB2314" s="188"/>
      <c r="AC2314" s="188"/>
      <c r="AD2314" s="188"/>
      <c r="AE2314" s="188"/>
      <c r="AF2314" s="188"/>
      <c r="AG2314" s="188"/>
      <c r="AH2314" s="188"/>
      <c r="AI2314" s="188"/>
    </row>
    <row r="2315">
      <c r="A2315" s="263"/>
      <c r="B2315" s="264"/>
      <c r="C2315" s="265"/>
      <c r="D2315" s="266"/>
      <c r="E2315" s="263"/>
      <c r="F2315" s="267"/>
      <c r="G2315" s="267"/>
      <c r="H2315" s="268"/>
      <c r="I2315" s="268"/>
      <c r="J2315" s="267"/>
      <c r="K2315" s="265"/>
      <c r="L2315" s="265"/>
      <c r="M2315" s="269"/>
      <c r="N2315" s="270"/>
      <c r="O2315" s="271"/>
      <c r="P2315" s="271"/>
      <c r="Q2315" s="272"/>
      <c r="R2315" s="273"/>
      <c r="S2315" s="273"/>
      <c r="T2315" s="273"/>
      <c r="U2315" s="274"/>
      <c r="V2315" s="263"/>
      <c r="W2315" s="36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</row>
    <row r="2316">
      <c r="A2316" s="263"/>
      <c r="B2316" s="264"/>
      <c r="C2316" s="265"/>
      <c r="D2316" s="266"/>
      <c r="E2316" s="263"/>
      <c r="F2316" s="267"/>
      <c r="G2316" s="267"/>
      <c r="H2316" s="268"/>
      <c r="I2316" s="268"/>
      <c r="J2316" s="267"/>
      <c r="K2316" s="265"/>
      <c r="L2316" s="265"/>
      <c r="M2316" s="269"/>
      <c r="N2316" s="270"/>
      <c r="O2316" s="271"/>
      <c r="P2316" s="271"/>
      <c r="Q2316" s="272"/>
      <c r="R2316" s="273"/>
      <c r="S2316" s="273"/>
      <c r="T2316" s="273"/>
      <c r="U2316" s="274"/>
      <c r="V2316" s="263"/>
      <c r="W2316" s="35"/>
      <c r="X2316" s="35"/>
      <c r="Y2316" s="35"/>
      <c r="Z2316" s="35"/>
      <c r="AA2316" s="35"/>
      <c r="AB2316" s="35"/>
      <c r="AC2316" s="35"/>
      <c r="AD2316" s="35"/>
      <c r="AE2316" s="35"/>
      <c r="AF2316" s="35"/>
      <c r="AG2316" s="35"/>
      <c r="AH2316" s="35"/>
      <c r="AI2316" s="35"/>
    </row>
    <row r="2317">
      <c r="A2317" s="263"/>
      <c r="B2317" s="264"/>
      <c r="C2317" s="265"/>
      <c r="D2317" s="266"/>
      <c r="E2317" s="263"/>
      <c r="F2317" s="267"/>
      <c r="G2317" s="267"/>
      <c r="H2317" s="268"/>
      <c r="I2317" s="268"/>
      <c r="J2317" s="267"/>
      <c r="K2317" s="265"/>
      <c r="L2317" s="265"/>
      <c r="M2317" s="269"/>
      <c r="N2317" s="270"/>
      <c r="O2317" s="271"/>
      <c r="P2317" s="271"/>
      <c r="Q2317" s="272"/>
      <c r="R2317" s="273"/>
      <c r="S2317" s="273"/>
      <c r="T2317" s="273"/>
      <c r="U2317" s="274"/>
      <c r="V2317" s="263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</row>
    <row r="2318">
      <c r="A2318" s="263"/>
      <c r="B2318" s="264"/>
      <c r="C2318" s="265"/>
      <c r="D2318" s="266"/>
      <c r="E2318" s="263"/>
      <c r="F2318" s="267"/>
      <c r="G2318" s="267"/>
      <c r="H2318" s="268"/>
      <c r="I2318" s="268"/>
      <c r="J2318" s="267"/>
      <c r="K2318" s="265"/>
      <c r="L2318" s="265"/>
      <c r="M2318" s="269"/>
      <c r="N2318" s="270"/>
      <c r="O2318" s="271"/>
      <c r="P2318" s="271"/>
      <c r="Q2318" s="272"/>
      <c r="R2318" s="273"/>
      <c r="S2318" s="273"/>
      <c r="T2318" s="273"/>
      <c r="U2318" s="274"/>
      <c r="V2318" s="263"/>
      <c r="W2318" s="188"/>
      <c r="X2318" s="188"/>
      <c r="Y2318" s="188"/>
      <c r="Z2318" s="188"/>
      <c r="AA2318" s="188"/>
      <c r="AB2318" s="188"/>
      <c r="AC2318" s="188"/>
      <c r="AD2318" s="188"/>
      <c r="AE2318" s="188"/>
      <c r="AF2318" s="188"/>
      <c r="AG2318" s="188"/>
      <c r="AH2318" s="188"/>
      <c r="AI2318" s="188"/>
    </row>
    <row r="2319">
      <c r="A2319" s="263"/>
      <c r="B2319" s="264"/>
      <c r="C2319" s="265"/>
      <c r="D2319" s="266"/>
      <c r="E2319" s="263"/>
      <c r="F2319" s="267"/>
      <c r="G2319" s="267"/>
      <c r="H2319" s="268"/>
      <c r="I2319" s="268"/>
      <c r="J2319" s="267"/>
      <c r="K2319" s="265"/>
      <c r="L2319" s="265"/>
      <c r="M2319" s="269"/>
      <c r="N2319" s="270"/>
      <c r="O2319" s="271"/>
      <c r="P2319" s="271"/>
      <c r="Q2319" s="272"/>
      <c r="R2319" s="273"/>
      <c r="S2319" s="273"/>
      <c r="T2319" s="273"/>
      <c r="U2319" s="274"/>
      <c r="V2319" s="263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</row>
    <row r="2320">
      <c r="A2320" s="263"/>
      <c r="B2320" s="264"/>
      <c r="C2320" s="265"/>
      <c r="D2320" s="266"/>
      <c r="E2320" s="263"/>
      <c r="F2320" s="267"/>
      <c r="G2320" s="267"/>
      <c r="H2320" s="268"/>
      <c r="I2320" s="268"/>
      <c r="J2320" s="267"/>
      <c r="K2320" s="265"/>
      <c r="L2320" s="265"/>
      <c r="M2320" s="269"/>
      <c r="N2320" s="270"/>
      <c r="O2320" s="271"/>
      <c r="P2320" s="271"/>
      <c r="Q2320" s="272"/>
      <c r="R2320" s="273"/>
      <c r="S2320" s="273"/>
      <c r="T2320" s="273"/>
      <c r="U2320" s="274"/>
      <c r="V2320" s="263"/>
      <c r="W2320" s="36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</row>
    <row r="2321">
      <c r="A2321" s="263"/>
      <c r="B2321" s="264"/>
      <c r="C2321" s="265"/>
      <c r="D2321" s="266"/>
      <c r="E2321" s="263"/>
      <c r="F2321" s="267"/>
      <c r="G2321" s="267"/>
      <c r="H2321" s="268"/>
      <c r="I2321" s="268"/>
      <c r="J2321" s="267"/>
      <c r="K2321" s="265"/>
      <c r="L2321" s="265"/>
      <c r="M2321" s="269"/>
      <c r="N2321" s="270"/>
      <c r="O2321" s="271"/>
      <c r="P2321" s="271"/>
      <c r="Q2321" s="272"/>
      <c r="R2321" s="273"/>
      <c r="S2321" s="273"/>
      <c r="T2321" s="273"/>
      <c r="U2321" s="274"/>
      <c r="V2321" s="263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</row>
    <row r="2322">
      <c r="A2322" s="263"/>
      <c r="B2322" s="264"/>
      <c r="C2322" s="265"/>
      <c r="D2322" s="266"/>
      <c r="E2322" s="263"/>
      <c r="F2322" s="267"/>
      <c r="G2322" s="267"/>
      <c r="H2322" s="268"/>
      <c r="I2322" s="268"/>
      <c r="J2322" s="267"/>
      <c r="K2322" s="265"/>
      <c r="L2322" s="265"/>
      <c r="M2322" s="269"/>
      <c r="N2322" s="270"/>
      <c r="O2322" s="271"/>
      <c r="P2322" s="271"/>
      <c r="Q2322" s="272"/>
      <c r="R2322" s="273"/>
      <c r="S2322" s="273"/>
      <c r="T2322" s="273"/>
      <c r="U2322" s="274"/>
      <c r="V2322" s="263"/>
      <c r="W2322" s="188"/>
      <c r="X2322" s="188"/>
      <c r="Y2322" s="188"/>
      <c r="Z2322" s="188"/>
      <c r="AA2322" s="188"/>
      <c r="AB2322" s="188"/>
      <c r="AC2322" s="188"/>
      <c r="AD2322" s="188"/>
      <c r="AE2322" s="188"/>
      <c r="AF2322" s="188"/>
      <c r="AG2322" s="188"/>
      <c r="AH2322" s="188"/>
      <c r="AI2322" s="188"/>
    </row>
    <row r="2323">
      <c r="A2323" s="263"/>
      <c r="B2323" s="264"/>
      <c r="C2323" s="265"/>
      <c r="D2323" s="266"/>
      <c r="E2323" s="263"/>
      <c r="F2323" s="267"/>
      <c r="G2323" s="267"/>
      <c r="H2323" s="268"/>
      <c r="I2323" s="268"/>
      <c r="J2323" s="267"/>
      <c r="K2323" s="265"/>
      <c r="L2323" s="265"/>
      <c r="M2323" s="269"/>
      <c r="N2323" s="270"/>
      <c r="O2323" s="271"/>
      <c r="P2323" s="271"/>
      <c r="Q2323" s="272"/>
      <c r="R2323" s="273"/>
      <c r="S2323" s="273"/>
      <c r="T2323" s="273"/>
      <c r="U2323" s="274"/>
      <c r="V2323" s="263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</row>
    <row r="2324">
      <c r="A2324" s="263"/>
      <c r="B2324" s="264"/>
      <c r="C2324" s="265"/>
      <c r="D2324" s="266"/>
      <c r="E2324" s="263"/>
      <c r="F2324" s="267"/>
      <c r="G2324" s="267"/>
      <c r="H2324" s="268"/>
      <c r="I2324" s="268"/>
      <c r="J2324" s="267"/>
      <c r="K2324" s="265"/>
      <c r="L2324" s="265"/>
      <c r="M2324" s="269"/>
      <c r="N2324" s="270"/>
      <c r="O2324" s="271"/>
      <c r="P2324" s="271"/>
      <c r="Q2324" s="272"/>
      <c r="R2324" s="273"/>
      <c r="S2324" s="273"/>
      <c r="T2324" s="273"/>
      <c r="U2324" s="274"/>
      <c r="V2324" s="263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</row>
    <row r="2325">
      <c r="A2325" s="263"/>
      <c r="B2325" s="264"/>
      <c r="C2325" s="265"/>
      <c r="D2325" s="266"/>
      <c r="E2325" s="263"/>
      <c r="F2325" s="267"/>
      <c r="G2325" s="267"/>
      <c r="H2325" s="268"/>
      <c r="I2325" s="268"/>
      <c r="J2325" s="267"/>
      <c r="K2325" s="265"/>
      <c r="L2325" s="265"/>
      <c r="M2325" s="269"/>
      <c r="N2325" s="270"/>
      <c r="O2325" s="271"/>
      <c r="P2325" s="271"/>
      <c r="Q2325" s="272"/>
      <c r="R2325" s="273"/>
      <c r="S2325" s="273"/>
      <c r="T2325" s="273"/>
      <c r="U2325" s="274"/>
      <c r="V2325" s="263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</row>
    <row r="2326">
      <c r="A2326" s="263"/>
      <c r="B2326" s="264"/>
      <c r="C2326" s="265"/>
      <c r="D2326" s="266"/>
      <c r="E2326" s="263"/>
      <c r="F2326" s="267"/>
      <c r="G2326" s="267"/>
      <c r="H2326" s="268"/>
      <c r="I2326" s="268"/>
      <c r="J2326" s="267"/>
      <c r="K2326" s="265"/>
      <c r="L2326" s="265"/>
      <c r="M2326" s="269"/>
      <c r="N2326" s="270"/>
      <c r="O2326" s="271"/>
      <c r="P2326" s="271"/>
      <c r="Q2326" s="272"/>
      <c r="R2326" s="273"/>
      <c r="S2326" s="273"/>
      <c r="T2326" s="273"/>
      <c r="U2326" s="274"/>
      <c r="V2326" s="263"/>
      <c r="W2326" s="35"/>
      <c r="X2326" s="35"/>
      <c r="Y2326" s="35"/>
      <c r="Z2326" s="35"/>
      <c r="AA2326" s="35"/>
      <c r="AB2326" s="35"/>
      <c r="AC2326" s="35"/>
      <c r="AD2326" s="35"/>
      <c r="AE2326" s="35"/>
      <c r="AF2326" s="35"/>
      <c r="AG2326" s="35"/>
      <c r="AH2326" s="35"/>
      <c r="AI2326" s="35"/>
    </row>
    <row r="2327">
      <c r="A2327" s="263"/>
      <c r="B2327" s="264"/>
      <c r="C2327" s="265"/>
      <c r="D2327" s="266"/>
      <c r="E2327" s="263"/>
      <c r="F2327" s="267"/>
      <c r="G2327" s="267"/>
      <c r="H2327" s="268"/>
      <c r="I2327" s="268"/>
      <c r="J2327" s="267"/>
      <c r="K2327" s="265"/>
      <c r="L2327" s="265"/>
      <c r="M2327" s="269"/>
      <c r="N2327" s="270"/>
      <c r="O2327" s="271"/>
      <c r="P2327" s="271"/>
      <c r="Q2327" s="272"/>
      <c r="R2327" s="273"/>
      <c r="S2327" s="273"/>
      <c r="T2327" s="273"/>
      <c r="U2327" s="274"/>
      <c r="V2327" s="263"/>
      <c r="W2327" s="35"/>
      <c r="X2327" s="35"/>
      <c r="Y2327" s="35"/>
      <c r="Z2327" s="35"/>
      <c r="AA2327" s="35"/>
      <c r="AB2327" s="35"/>
      <c r="AC2327" s="35"/>
      <c r="AD2327" s="35"/>
      <c r="AE2327" s="35"/>
      <c r="AF2327" s="35"/>
      <c r="AG2327" s="35"/>
      <c r="AH2327" s="35"/>
      <c r="AI2327" s="35"/>
    </row>
    <row r="2328">
      <c r="A2328" s="263"/>
      <c r="B2328" s="264"/>
      <c r="C2328" s="265"/>
      <c r="D2328" s="266"/>
      <c r="E2328" s="263"/>
      <c r="F2328" s="267"/>
      <c r="G2328" s="267"/>
      <c r="H2328" s="268"/>
      <c r="I2328" s="268"/>
      <c r="J2328" s="267"/>
      <c r="K2328" s="265"/>
      <c r="L2328" s="265"/>
      <c r="M2328" s="269"/>
      <c r="N2328" s="270"/>
      <c r="O2328" s="271"/>
      <c r="P2328" s="271"/>
      <c r="Q2328" s="272"/>
      <c r="R2328" s="273"/>
      <c r="S2328" s="273"/>
      <c r="T2328" s="273"/>
      <c r="U2328" s="274"/>
      <c r="V2328" s="263"/>
      <c r="W2328" s="36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</row>
    <row r="2329">
      <c r="A2329" s="263"/>
      <c r="B2329" s="264"/>
      <c r="C2329" s="265"/>
      <c r="D2329" s="266"/>
      <c r="E2329" s="263"/>
      <c r="F2329" s="267"/>
      <c r="G2329" s="267"/>
      <c r="H2329" s="268"/>
      <c r="I2329" s="268"/>
      <c r="J2329" s="267"/>
      <c r="K2329" s="265"/>
      <c r="L2329" s="265"/>
      <c r="M2329" s="269"/>
      <c r="N2329" s="270"/>
      <c r="O2329" s="271"/>
      <c r="P2329" s="271"/>
      <c r="Q2329" s="272"/>
      <c r="R2329" s="273"/>
      <c r="S2329" s="273"/>
      <c r="T2329" s="273"/>
      <c r="U2329" s="274"/>
      <c r="V2329" s="263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</row>
    <row r="2330">
      <c r="A2330" s="263"/>
      <c r="B2330" s="264"/>
      <c r="C2330" s="265"/>
      <c r="D2330" s="266"/>
      <c r="E2330" s="263"/>
      <c r="F2330" s="267"/>
      <c r="G2330" s="267"/>
      <c r="H2330" s="268"/>
      <c r="I2330" s="268"/>
      <c r="J2330" s="267"/>
      <c r="K2330" s="265"/>
      <c r="L2330" s="265"/>
      <c r="M2330" s="269"/>
      <c r="N2330" s="270"/>
      <c r="O2330" s="271"/>
      <c r="P2330" s="271"/>
      <c r="Q2330" s="272"/>
      <c r="R2330" s="273"/>
      <c r="S2330" s="273"/>
      <c r="T2330" s="273"/>
      <c r="U2330" s="274"/>
      <c r="V2330" s="263"/>
      <c r="W2330" s="36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</row>
    <row r="2331">
      <c r="A2331" s="263"/>
      <c r="B2331" s="264"/>
      <c r="C2331" s="265"/>
      <c r="D2331" s="266"/>
      <c r="E2331" s="263"/>
      <c r="F2331" s="267"/>
      <c r="G2331" s="267"/>
      <c r="H2331" s="268"/>
      <c r="I2331" s="268"/>
      <c r="J2331" s="267"/>
      <c r="K2331" s="265"/>
      <c r="L2331" s="265"/>
      <c r="M2331" s="269"/>
      <c r="N2331" s="270"/>
      <c r="O2331" s="271"/>
      <c r="P2331" s="271"/>
      <c r="Q2331" s="272"/>
      <c r="R2331" s="273"/>
      <c r="S2331" s="273"/>
      <c r="T2331" s="273"/>
      <c r="U2331" s="274"/>
      <c r="V2331" s="263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</row>
    <row r="2332">
      <c r="A2332" s="263"/>
      <c r="B2332" s="264"/>
      <c r="C2332" s="265"/>
      <c r="D2332" s="266"/>
      <c r="E2332" s="263"/>
      <c r="F2332" s="267"/>
      <c r="G2332" s="267"/>
      <c r="H2332" s="268"/>
      <c r="I2332" s="268"/>
      <c r="J2332" s="267"/>
      <c r="K2332" s="265"/>
      <c r="L2332" s="265"/>
      <c r="M2332" s="269"/>
      <c r="N2332" s="270"/>
      <c r="O2332" s="271"/>
      <c r="P2332" s="271"/>
      <c r="Q2332" s="272"/>
      <c r="R2332" s="273"/>
      <c r="S2332" s="273"/>
      <c r="T2332" s="273"/>
      <c r="U2332" s="274"/>
      <c r="V2332" s="263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</row>
    <row r="2333">
      <c r="A2333" s="263"/>
      <c r="B2333" s="264"/>
      <c r="C2333" s="265"/>
      <c r="D2333" s="266"/>
      <c r="E2333" s="263"/>
      <c r="F2333" s="267"/>
      <c r="G2333" s="267"/>
      <c r="H2333" s="268"/>
      <c r="I2333" s="268"/>
      <c r="J2333" s="267"/>
      <c r="K2333" s="265"/>
      <c r="L2333" s="265"/>
      <c r="M2333" s="269"/>
      <c r="N2333" s="270"/>
      <c r="O2333" s="271"/>
      <c r="P2333" s="271"/>
      <c r="Q2333" s="272"/>
      <c r="R2333" s="273"/>
      <c r="S2333" s="273"/>
      <c r="T2333" s="273"/>
      <c r="U2333" s="274"/>
      <c r="V2333" s="263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</row>
    <row r="2334">
      <c r="A2334" s="263"/>
      <c r="B2334" s="264"/>
      <c r="C2334" s="265"/>
      <c r="D2334" s="266"/>
      <c r="E2334" s="263"/>
      <c r="F2334" s="267"/>
      <c r="G2334" s="267"/>
      <c r="H2334" s="268"/>
      <c r="I2334" s="268"/>
      <c r="J2334" s="267"/>
      <c r="K2334" s="265"/>
      <c r="L2334" s="265"/>
      <c r="M2334" s="269"/>
      <c r="N2334" s="270"/>
      <c r="O2334" s="271"/>
      <c r="P2334" s="271"/>
      <c r="Q2334" s="272"/>
      <c r="R2334" s="273"/>
      <c r="S2334" s="273"/>
      <c r="T2334" s="273"/>
      <c r="U2334" s="274"/>
      <c r="V2334" s="263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</row>
    <row r="2335">
      <c r="A2335" s="263"/>
      <c r="B2335" s="264"/>
      <c r="C2335" s="265"/>
      <c r="D2335" s="266"/>
      <c r="E2335" s="263"/>
      <c r="F2335" s="267"/>
      <c r="G2335" s="267"/>
      <c r="H2335" s="268"/>
      <c r="I2335" s="268"/>
      <c r="J2335" s="267"/>
      <c r="K2335" s="265"/>
      <c r="L2335" s="265"/>
      <c r="M2335" s="269"/>
      <c r="N2335" s="270"/>
      <c r="O2335" s="271"/>
      <c r="P2335" s="271"/>
      <c r="Q2335" s="272"/>
      <c r="R2335" s="273"/>
      <c r="S2335" s="273"/>
      <c r="T2335" s="273"/>
      <c r="U2335" s="274"/>
      <c r="V2335" s="263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</row>
    <row r="2336">
      <c r="A2336" s="263"/>
      <c r="B2336" s="264"/>
      <c r="C2336" s="265"/>
      <c r="D2336" s="266"/>
      <c r="E2336" s="263"/>
      <c r="F2336" s="267"/>
      <c r="G2336" s="267"/>
      <c r="H2336" s="268"/>
      <c r="I2336" s="268"/>
      <c r="J2336" s="267"/>
      <c r="K2336" s="265"/>
      <c r="L2336" s="265"/>
      <c r="M2336" s="269"/>
      <c r="N2336" s="270"/>
      <c r="O2336" s="271"/>
      <c r="P2336" s="271"/>
      <c r="Q2336" s="272"/>
      <c r="R2336" s="273"/>
      <c r="S2336" s="273"/>
      <c r="T2336" s="273"/>
      <c r="U2336" s="274"/>
      <c r="V2336" s="263"/>
      <c r="W2336" s="35"/>
      <c r="X2336" s="35"/>
      <c r="Y2336" s="35"/>
      <c r="Z2336" s="35"/>
      <c r="AA2336" s="35"/>
      <c r="AB2336" s="35"/>
      <c r="AC2336" s="35"/>
      <c r="AD2336" s="35"/>
      <c r="AE2336" s="35"/>
      <c r="AF2336" s="35"/>
      <c r="AG2336" s="35"/>
      <c r="AH2336" s="35"/>
      <c r="AI2336" s="35"/>
    </row>
    <row r="2337">
      <c r="A2337" s="263"/>
      <c r="B2337" s="264"/>
      <c r="C2337" s="265"/>
      <c r="D2337" s="266"/>
      <c r="E2337" s="263"/>
      <c r="F2337" s="267"/>
      <c r="G2337" s="267"/>
      <c r="H2337" s="268"/>
      <c r="I2337" s="268"/>
      <c r="J2337" s="267"/>
      <c r="K2337" s="265"/>
      <c r="L2337" s="265"/>
      <c r="M2337" s="269"/>
      <c r="N2337" s="270"/>
      <c r="O2337" s="271"/>
      <c r="P2337" s="271"/>
      <c r="Q2337" s="272"/>
      <c r="R2337" s="273"/>
      <c r="S2337" s="273"/>
      <c r="T2337" s="273"/>
      <c r="U2337" s="274"/>
      <c r="V2337" s="263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</row>
    <row r="2338">
      <c r="A2338" s="263"/>
      <c r="B2338" s="264"/>
      <c r="C2338" s="265"/>
      <c r="D2338" s="266"/>
      <c r="E2338" s="263"/>
      <c r="F2338" s="267"/>
      <c r="G2338" s="267"/>
      <c r="H2338" s="268"/>
      <c r="I2338" s="268"/>
      <c r="J2338" s="267"/>
      <c r="K2338" s="265"/>
      <c r="L2338" s="265"/>
      <c r="M2338" s="269"/>
      <c r="N2338" s="270"/>
      <c r="O2338" s="271"/>
      <c r="P2338" s="271"/>
      <c r="Q2338" s="272"/>
      <c r="R2338" s="273"/>
      <c r="S2338" s="273"/>
      <c r="T2338" s="273"/>
      <c r="U2338" s="274"/>
      <c r="V2338" s="263"/>
      <c r="W2338" s="35"/>
      <c r="X2338" s="35"/>
      <c r="Y2338" s="35"/>
      <c r="Z2338" s="35"/>
      <c r="AA2338" s="35"/>
      <c r="AB2338" s="35"/>
      <c r="AC2338" s="35"/>
      <c r="AD2338" s="35"/>
      <c r="AE2338" s="35"/>
      <c r="AF2338" s="35"/>
      <c r="AG2338" s="35"/>
      <c r="AH2338" s="35"/>
      <c r="AI2338" s="35"/>
    </row>
    <row r="2339">
      <c r="A2339" s="263"/>
      <c r="B2339" s="264"/>
      <c r="C2339" s="265"/>
      <c r="D2339" s="266"/>
      <c r="E2339" s="263"/>
      <c r="F2339" s="267"/>
      <c r="G2339" s="267"/>
      <c r="H2339" s="268"/>
      <c r="I2339" s="268"/>
      <c r="J2339" s="267"/>
      <c r="K2339" s="265"/>
      <c r="L2339" s="265"/>
      <c r="M2339" s="269"/>
      <c r="N2339" s="270"/>
      <c r="O2339" s="271"/>
      <c r="P2339" s="271"/>
      <c r="Q2339" s="272"/>
      <c r="R2339" s="273"/>
      <c r="S2339" s="273"/>
      <c r="T2339" s="273"/>
      <c r="U2339" s="274"/>
      <c r="V2339" s="263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</row>
    <row r="2340">
      <c r="A2340" s="263"/>
      <c r="B2340" s="264"/>
      <c r="C2340" s="265"/>
      <c r="D2340" s="266"/>
      <c r="E2340" s="263"/>
      <c r="F2340" s="267"/>
      <c r="G2340" s="267"/>
      <c r="H2340" s="268"/>
      <c r="I2340" s="268"/>
      <c r="J2340" s="267"/>
      <c r="K2340" s="265"/>
      <c r="L2340" s="265"/>
      <c r="M2340" s="269"/>
      <c r="N2340" s="270"/>
      <c r="O2340" s="271"/>
      <c r="P2340" s="271"/>
      <c r="Q2340" s="272"/>
      <c r="R2340" s="273"/>
      <c r="S2340" s="273"/>
      <c r="T2340" s="273"/>
      <c r="U2340" s="274"/>
      <c r="V2340" s="263"/>
      <c r="W2340" s="225"/>
      <c r="X2340" s="225"/>
      <c r="Y2340" s="225"/>
      <c r="Z2340" s="225"/>
      <c r="AA2340" s="225"/>
      <c r="AB2340" s="225"/>
      <c r="AC2340" s="225"/>
      <c r="AD2340" s="225"/>
      <c r="AE2340" s="225"/>
      <c r="AF2340" s="225"/>
      <c r="AG2340" s="225"/>
      <c r="AH2340" s="225"/>
      <c r="AI2340" s="225"/>
    </row>
    <row r="2341">
      <c r="A2341" s="263"/>
      <c r="B2341" s="264"/>
      <c r="C2341" s="265"/>
      <c r="D2341" s="266"/>
      <c r="E2341" s="263"/>
      <c r="F2341" s="267"/>
      <c r="G2341" s="267"/>
      <c r="H2341" s="268"/>
      <c r="I2341" s="268"/>
      <c r="J2341" s="267"/>
      <c r="K2341" s="265"/>
      <c r="L2341" s="265"/>
      <c r="M2341" s="269"/>
      <c r="N2341" s="270"/>
      <c r="O2341" s="271"/>
      <c r="P2341" s="271"/>
      <c r="Q2341" s="272"/>
      <c r="R2341" s="273"/>
      <c r="S2341" s="273"/>
      <c r="T2341" s="273"/>
      <c r="U2341" s="274"/>
      <c r="V2341" s="263"/>
      <c r="W2341" s="188"/>
      <c r="X2341" s="188"/>
      <c r="Y2341" s="188"/>
      <c r="Z2341" s="188"/>
      <c r="AA2341" s="188"/>
      <c r="AB2341" s="188"/>
      <c r="AC2341" s="188"/>
      <c r="AD2341" s="188"/>
      <c r="AE2341" s="188"/>
      <c r="AF2341" s="188"/>
      <c r="AG2341" s="188"/>
      <c r="AH2341" s="188"/>
      <c r="AI2341" s="188"/>
    </row>
    <row r="2342">
      <c r="A2342" s="263"/>
      <c r="B2342" s="264"/>
      <c r="C2342" s="265"/>
      <c r="D2342" s="266"/>
      <c r="E2342" s="263"/>
      <c r="F2342" s="267"/>
      <c r="G2342" s="267"/>
      <c r="H2342" s="268"/>
      <c r="I2342" s="268"/>
      <c r="J2342" s="267"/>
      <c r="K2342" s="265"/>
      <c r="L2342" s="265"/>
      <c r="M2342" s="269"/>
      <c r="N2342" s="270"/>
      <c r="O2342" s="271"/>
      <c r="P2342" s="271"/>
      <c r="Q2342" s="272"/>
      <c r="R2342" s="273"/>
      <c r="S2342" s="273"/>
      <c r="T2342" s="273"/>
      <c r="U2342" s="274"/>
      <c r="V2342" s="263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</row>
    <row r="2343">
      <c r="A2343" s="263"/>
      <c r="B2343" s="264"/>
      <c r="C2343" s="265"/>
      <c r="D2343" s="266"/>
      <c r="E2343" s="263"/>
      <c r="F2343" s="267"/>
      <c r="G2343" s="267"/>
      <c r="H2343" s="268"/>
      <c r="I2343" s="268"/>
      <c r="J2343" s="267"/>
      <c r="K2343" s="265"/>
      <c r="L2343" s="265"/>
      <c r="M2343" s="269"/>
      <c r="N2343" s="270"/>
      <c r="O2343" s="271"/>
      <c r="P2343" s="271"/>
      <c r="Q2343" s="272"/>
      <c r="R2343" s="273"/>
      <c r="S2343" s="273"/>
      <c r="T2343" s="273"/>
      <c r="U2343" s="274"/>
      <c r="V2343" s="263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</row>
    <row r="2344">
      <c r="A2344" s="263"/>
      <c r="B2344" s="264"/>
      <c r="C2344" s="265"/>
      <c r="D2344" s="266"/>
      <c r="E2344" s="263"/>
      <c r="F2344" s="267"/>
      <c r="G2344" s="267"/>
      <c r="H2344" s="268"/>
      <c r="I2344" s="268"/>
      <c r="J2344" s="267"/>
      <c r="K2344" s="265"/>
      <c r="L2344" s="265"/>
      <c r="M2344" s="269"/>
      <c r="N2344" s="270"/>
      <c r="O2344" s="271"/>
      <c r="P2344" s="271"/>
      <c r="Q2344" s="272"/>
      <c r="R2344" s="273"/>
      <c r="S2344" s="273"/>
      <c r="T2344" s="273"/>
      <c r="U2344" s="274"/>
      <c r="V2344" s="263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</row>
    <row r="2345">
      <c r="A2345" s="263"/>
      <c r="B2345" s="264"/>
      <c r="C2345" s="265"/>
      <c r="D2345" s="266"/>
      <c r="E2345" s="263"/>
      <c r="F2345" s="267"/>
      <c r="G2345" s="267"/>
      <c r="H2345" s="268"/>
      <c r="I2345" s="268"/>
      <c r="J2345" s="267"/>
      <c r="K2345" s="265"/>
      <c r="L2345" s="265"/>
      <c r="M2345" s="269"/>
      <c r="N2345" s="270"/>
      <c r="O2345" s="271"/>
      <c r="P2345" s="271"/>
      <c r="Q2345" s="272"/>
      <c r="R2345" s="273"/>
      <c r="S2345" s="273"/>
      <c r="T2345" s="273"/>
      <c r="U2345" s="274"/>
      <c r="V2345" s="263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</row>
    <row r="2346">
      <c r="A2346" s="263"/>
      <c r="B2346" s="264"/>
      <c r="C2346" s="265"/>
      <c r="D2346" s="266"/>
      <c r="E2346" s="263"/>
      <c r="F2346" s="267"/>
      <c r="G2346" s="267"/>
      <c r="H2346" s="268"/>
      <c r="I2346" s="268"/>
      <c r="J2346" s="267"/>
      <c r="K2346" s="265"/>
      <c r="L2346" s="265"/>
      <c r="M2346" s="269"/>
      <c r="N2346" s="270"/>
      <c r="O2346" s="271"/>
      <c r="P2346" s="271"/>
      <c r="Q2346" s="272"/>
      <c r="R2346" s="273"/>
      <c r="S2346" s="273"/>
      <c r="T2346" s="273"/>
      <c r="U2346" s="274"/>
      <c r="V2346" s="263"/>
      <c r="W2346" s="188"/>
      <c r="X2346" s="188"/>
      <c r="Y2346" s="188"/>
      <c r="Z2346" s="188"/>
      <c r="AA2346" s="188"/>
      <c r="AB2346" s="188"/>
      <c r="AC2346" s="188"/>
      <c r="AD2346" s="188"/>
      <c r="AE2346" s="188"/>
      <c r="AF2346" s="188"/>
      <c r="AG2346" s="188"/>
      <c r="AH2346" s="188"/>
      <c r="AI2346" s="188"/>
    </row>
    <row r="2347">
      <c r="A2347" s="263"/>
      <c r="B2347" s="264"/>
      <c r="C2347" s="265"/>
      <c r="D2347" s="266"/>
      <c r="E2347" s="263"/>
      <c r="F2347" s="267"/>
      <c r="G2347" s="267"/>
      <c r="H2347" s="268"/>
      <c r="I2347" s="268"/>
      <c r="J2347" s="267"/>
      <c r="K2347" s="265"/>
      <c r="L2347" s="265"/>
      <c r="M2347" s="269"/>
      <c r="N2347" s="270"/>
      <c r="O2347" s="271"/>
      <c r="P2347" s="271"/>
      <c r="Q2347" s="272"/>
      <c r="R2347" s="273"/>
      <c r="S2347" s="273"/>
      <c r="T2347" s="273"/>
      <c r="U2347" s="274"/>
      <c r="V2347" s="263"/>
      <c r="W2347" s="35"/>
      <c r="X2347" s="35"/>
      <c r="Y2347" s="35"/>
      <c r="Z2347" s="35"/>
      <c r="AA2347" s="35"/>
      <c r="AB2347" s="35"/>
      <c r="AC2347" s="35"/>
      <c r="AD2347" s="35"/>
      <c r="AE2347" s="35"/>
      <c r="AF2347" s="35"/>
      <c r="AG2347" s="35"/>
      <c r="AH2347" s="35"/>
      <c r="AI2347" s="35"/>
    </row>
    <row r="2348">
      <c r="A2348" s="263"/>
      <c r="B2348" s="264"/>
      <c r="C2348" s="265"/>
      <c r="D2348" s="266"/>
      <c r="E2348" s="263"/>
      <c r="F2348" s="267"/>
      <c r="G2348" s="267"/>
      <c r="H2348" s="268"/>
      <c r="I2348" s="268"/>
      <c r="J2348" s="267"/>
      <c r="K2348" s="265"/>
      <c r="L2348" s="265"/>
      <c r="M2348" s="269"/>
      <c r="N2348" s="270"/>
      <c r="O2348" s="271"/>
      <c r="P2348" s="271"/>
      <c r="Q2348" s="272"/>
      <c r="R2348" s="273"/>
      <c r="S2348" s="273"/>
      <c r="T2348" s="273"/>
      <c r="U2348" s="274"/>
      <c r="V2348" s="263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</row>
    <row r="2349">
      <c r="A2349" s="263"/>
      <c r="B2349" s="264"/>
      <c r="C2349" s="265"/>
      <c r="D2349" s="266"/>
      <c r="E2349" s="263"/>
      <c r="F2349" s="267"/>
      <c r="G2349" s="267"/>
      <c r="H2349" s="268"/>
      <c r="I2349" s="268"/>
      <c r="J2349" s="267"/>
      <c r="K2349" s="265"/>
      <c r="L2349" s="265"/>
      <c r="M2349" s="269"/>
      <c r="N2349" s="270"/>
      <c r="O2349" s="271"/>
      <c r="P2349" s="271"/>
      <c r="Q2349" s="272"/>
      <c r="R2349" s="273"/>
      <c r="S2349" s="273"/>
      <c r="T2349" s="273"/>
      <c r="U2349" s="274"/>
      <c r="V2349" s="263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</row>
    <row r="2350">
      <c r="A2350" s="263"/>
      <c r="B2350" s="264"/>
      <c r="C2350" s="265"/>
      <c r="D2350" s="266"/>
      <c r="E2350" s="263"/>
      <c r="F2350" s="267"/>
      <c r="G2350" s="267"/>
      <c r="H2350" s="268"/>
      <c r="I2350" s="268"/>
      <c r="J2350" s="267"/>
      <c r="K2350" s="265"/>
      <c r="L2350" s="265"/>
      <c r="M2350" s="269"/>
      <c r="N2350" s="270"/>
      <c r="O2350" s="271"/>
      <c r="P2350" s="271"/>
      <c r="Q2350" s="272"/>
      <c r="R2350" s="273"/>
      <c r="S2350" s="273"/>
      <c r="T2350" s="273"/>
      <c r="U2350" s="274"/>
      <c r="V2350" s="263"/>
      <c r="W2350" s="35"/>
      <c r="X2350" s="35"/>
      <c r="Y2350" s="35"/>
      <c r="Z2350" s="35"/>
      <c r="AA2350" s="35"/>
      <c r="AB2350" s="35"/>
      <c r="AC2350" s="35"/>
      <c r="AD2350" s="35"/>
      <c r="AE2350" s="35"/>
      <c r="AF2350" s="35"/>
      <c r="AG2350" s="35"/>
      <c r="AH2350" s="35"/>
      <c r="AI2350" s="35"/>
    </row>
    <row r="2351">
      <c r="A2351" s="263"/>
      <c r="B2351" s="264"/>
      <c r="C2351" s="265"/>
      <c r="D2351" s="266"/>
      <c r="E2351" s="263"/>
      <c r="F2351" s="267"/>
      <c r="G2351" s="267"/>
      <c r="H2351" s="268"/>
      <c r="I2351" s="268"/>
      <c r="J2351" s="267"/>
      <c r="K2351" s="265"/>
      <c r="L2351" s="265"/>
      <c r="M2351" s="269"/>
      <c r="N2351" s="270"/>
      <c r="O2351" s="271"/>
      <c r="P2351" s="271"/>
      <c r="Q2351" s="272"/>
      <c r="R2351" s="273"/>
      <c r="S2351" s="273"/>
      <c r="T2351" s="273"/>
      <c r="U2351" s="274"/>
      <c r="V2351" s="263"/>
      <c r="W2351" s="225"/>
      <c r="X2351" s="225"/>
      <c r="Y2351" s="225"/>
      <c r="Z2351" s="225"/>
      <c r="AA2351" s="225"/>
      <c r="AB2351" s="225"/>
      <c r="AC2351" s="225"/>
      <c r="AD2351" s="225"/>
      <c r="AE2351" s="225"/>
      <c r="AF2351" s="225"/>
      <c r="AG2351" s="225"/>
      <c r="AH2351" s="225"/>
      <c r="AI2351" s="225"/>
    </row>
    <row r="2352">
      <c r="A2352" s="263"/>
      <c r="B2352" s="264"/>
      <c r="C2352" s="265"/>
      <c r="D2352" s="266"/>
      <c r="E2352" s="263"/>
      <c r="F2352" s="267"/>
      <c r="G2352" s="267"/>
      <c r="H2352" s="268"/>
      <c r="I2352" s="268"/>
      <c r="J2352" s="267"/>
      <c r="K2352" s="265"/>
      <c r="L2352" s="265"/>
      <c r="M2352" s="269"/>
      <c r="N2352" s="270"/>
      <c r="O2352" s="271"/>
      <c r="P2352" s="271"/>
      <c r="Q2352" s="272"/>
      <c r="R2352" s="273"/>
      <c r="S2352" s="273"/>
      <c r="T2352" s="273"/>
      <c r="U2352" s="274"/>
      <c r="V2352" s="263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</row>
    <row r="2353">
      <c r="A2353" s="263"/>
      <c r="B2353" s="264"/>
      <c r="C2353" s="265"/>
      <c r="D2353" s="266"/>
      <c r="E2353" s="263"/>
      <c r="F2353" s="267"/>
      <c r="G2353" s="267"/>
      <c r="H2353" s="268"/>
      <c r="I2353" s="268"/>
      <c r="J2353" s="267"/>
      <c r="K2353" s="265"/>
      <c r="L2353" s="265"/>
      <c r="M2353" s="269"/>
      <c r="N2353" s="270"/>
      <c r="O2353" s="271"/>
      <c r="P2353" s="271"/>
      <c r="Q2353" s="272"/>
      <c r="R2353" s="273"/>
      <c r="S2353" s="273"/>
      <c r="T2353" s="273"/>
      <c r="U2353" s="274"/>
      <c r="V2353" s="263"/>
      <c r="W2353" s="35"/>
      <c r="X2353" s="35"/>
      <c r="Y2353" s="35"/>
      <c r="Z2353" s="35"/>
      <c r="AA2353" s="35"/>
      <c r="AB2353" s="35"/>
      <c r="AC2353" s="35"/>
      <c r="AD2353" s="35"/>
      <c r="AE2353" s="35"/>
      <c r="AF2353" s="35"/>
      <c r="AG2353" s="35"/>
      <c r="AH2353" s="35"/>
      <c r="AI2353" s="35"/>
    </row>
    <row r="2354">
      <c r="A2354" s="263"/>
      <c r="B2354" s="264"/>
      <c r="C2354" s="265"/>
      <c r="D2354" s="266"/>
      <c r="E2354" s="263"/>
      <c r="F2354" s="267"/>
      <c r="G2354" s="267"/>
      <c r="H2354" s="268"/>
      <c r="I2354" s="268"/>
      <c r="J2354" s="267"/>
      <c r="K2354" s="265"/>
      <c r="L2354" s="265"/>
      <c r="M2354" s="269"/>
      <c r="N2354" s="270"/>
      <c r="O2354" s="271"/>
      <c r="P2354" s="271"/>
      <c r="Q2354" s="272"/>
      <c r="R2354" s="273"/>
      <c r="S2354" s="273"/>
      <c r="T2354" s="273"/>
      <c r="U2354" s="274"/>
      <c r="V2354" s="263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</row>
    <row r="2355">
      <c r="A2355" s="263"/>
      <c r="B2355" s="264"/>
      <c r="C2355" s="265"/>
      <c r="D2355" s="266"/>
      <c r="E2355" s="263"/>
      <c r="F2355" s="267"/>
      <c r="G2355" s="267"/>
      <c r="H2355" s="268"/>
      <c r="I2355" s="268"/>
      <c r="J2355" s="267"/>
      <c r="K2355" s="265"/>
      <c r="L2355" s="265"/>
      <c r="M2355" s="269"/>
      <c r="N2355" s="270"/>
      <c r="O2355" s="271"/>
      <c r="P2355" s="271"/>
      <c r="Q2355" s="272"/>
      <c r="R2355" s="273"/>
      <c r="S2355" s="273"/>
      <c r="T2355" s="273"/>
      <c r="U2355" s="274"/>
      <c r="V2355" s="263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</row>
    <row r="2356">
      <c r="A2356" s="263"/>
      <c r="B2356" s="264"/>
      <c r="C2356" s="265"/>
      <c r="D2356" s="266"/>
      <c r="E2356" s="263"/>
      <c r="F2356" s="267"/>
      <c r="G2356" s="267"/>
      <c r="H2356" s="268"/>
      <c r="I2356" s="268"/>
      <c r="J2356" s="267"/>
      <c r="K2356" s="265"/>
      <c r="L2356" s="265"/>
      <c r="M2356" s="269"/>
      <c r="N2356" s="270"/>
      <c r="O2356" s="271"/>
      <c r="P2356" s="271"/>
      <c r="Q2356" s="272"/>
      <c r="R2356" s="273"/>
      <c r="S2356" s="273"/>
      <c r="T2356" s="273"/>
      <c r="U2356" s="274"/>
      <c r="V2356" s="263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</row>
    <row r="2357">
      <c r="A2357" s="263"/>
      <c r="B2357" s="264"/>
      <c r="C2357" s="265"/>
      <c r="D2357" s="266"/>
      <c r="E2357" s="263"/>
      <c r="F2357" s="267"/>
      <c r="G2357" s="267"/>
      <c r="H2357" s="268"/>
      <c r="I2357" s="268"/>
      <c r="J2357" s="267"/>
      <c r="K2357" s="265"/>
      <c r="L2357" s="265"/>
      <c r="M2357" s="269"/>
      <c r="N2357" s="270"/>
      <c r="O2357" s="271"/>
      <c r="P2357" s="271"/>
      <c r="Q2357" s="272"/>
      <c r="R2357" s="273"/>
      <c r="S2357" s="273"/>
      <c r="T2357" s="273"/>
      <c r="U2357" s="274"/>
      <c r="V2357" s="263"/>
      <c r="W2357" s="35"/>
      <c r="X2357" s="35"/>
      <c r="Y2357" s="35"/>
      <c r="Z2357" s="35"/>
      <c r="AA2357" s="35"/>
      <c r="AB2357" s="35"/>
      <c r="AC2357" s="35"/>
      <c r="AD2357" s="35"/>
      <c r="AE2357" s="35"/>
      <c r="AF2357" s="35"/>
      <c r="AG2357" s="35"/>
      <c r="AH2357" s="35"/>
      <c r="AI2357" s="35"/>
    </row>
    <row r="2358">
      <c r="A2358" s="263"/>
      <c r="B2358" s="264"/>
      <c r="C2358" s="265"/>
      <c r="D2358" s="266"/>
      <c r="E2358" s="263"/>
      <c r="F2358" s="267"/>
      <c r="G2358" s="267"/>
      <c r="H2358" s="268"/>
      <c r="I2358" s="268"/>
      <c r="J2358" s="267"/>
      <c r="K2358" s="265"/>
      <c r="L2358" s="265"/>
      <c r="M2358" s="269"/>
      <c r="N2358" s="270"/>
      <c r="O2358" s="271"/>
      <c r="P2358" s="271"/>
      <c r="Q2358" s="272"/>
      <c r="R2358" s="273"/>
      <c r="S2358" s="273"/>
      <c r="T2358" s="273"/>
      <c r="U2358" s="274"/>
      <c r="V2358" s="263"/>
      <c r="W2358" s="35"/>
      <c r="X2358" s="35"/>
      <c r="Y2358" s="35"/>
      <c r="Z2358" s="35"/>
      <c r="AA2358" s="35"/>
      <c r="AB2358" s="35"/>
      <c r="AC2358" s="35"/>
      <c r="AD2358" s="35"/>
      <c r="AE2358" s="35"/>
      <c r="AF2358" s="35"/>
      <c r="AG2358" s="35"/>
      <c r="AH2358" s="35"/>
      <c r="AI2358" s="35"/>
    </row>
    <row r="2359">
      <c r="A2359" s="263"/>
      <c r="B2359" s="264"/>
      <c r="C2359" s="265"/>
      <c r="D2359" s="266"/>
      <c r="E2359" s="263"/>
      <c r="F2359" s="267"/>
      <c r="G2359" s="267"/>
      <c r="H2359" s="268"/>
      <c r="I2359" s="268"/>
      <c r="J2359" s="267"/>
      <c r="K2359" s="265"/>
      <c r="L2359" s="265"/>
      <c r="M2359" s="269"/>
      <c r="N2359" s="270"/>
      <c r="O2359" s="271"/>
      <c r="P2359" s="271"/>
      <c r="Q2359" s="272"/>
      <c r="R2359" s="273"/>
      <c r="S2359" s="273"/>
      <c r="T2359" s="273"/>
      <c r="U2359" s="274"/>
      <c r="V2359" s="263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</row>
    <row r="2360">
      <c r="A2360" s="263"/>
      <c r="B2360" s="264"/>
      <c r="C2360" s="265"/>
      <c r="D2360" s="266"/>
      <c r="E2360" s="263"/>
      <c r="F2360" s="267"/>
      <c r="G2360" s="267"/>
      <c r="H2360" s="268"/>
      <c r="I2360" s="268"/>
      <c r="J2360" s="267"/>
      <c r="K2360" s="265"/>
      <c r="L2360" s="265"/>
      <c r="M2360" s="269"/>
      <c r="N2360" s="270"/>
      <c r="O2360" s="271"/>
      <c r="P2360" s="271"/>
      <c r="Q2360" s="272"/>
      <c r="R2360" s="273"/>
      <c r="S2360" s="273"/>
      <c r="T2360" s="273"/>
      <c r="U2360" s="274"/>
      <c r="V2360" s="263"/>
      <c r="W2360" s="35"/>
      <c r="X2360" s="35"/>
      <c r="Y2360" s="35"/>
      <c r="Z2360" s="35"/>
      <c r="AA2360" s="35"/>
      <c r="AB2360" s="35"/>
      <c r="AC2360" s="35"/>
      <c r="AD2360" s="35"/>
      <c r="AE2360" s="35"/>
      <c r="AF2360" s="35"/>
      <c r="AG2360" s="35"/>
      <c r="AH2360" s="35"/>
      <c r="AI2360" s="35"/>
    </row>
    <row r="2361">
      <c r="A2361" s="263"/>
      <c r="B2361" s="264"/>
      <c r="C2361" s="265"/>
      <c r="D2361" s="266"/>
      <c r="E2361" s="263"/>
      <c r="F2361" s="267"/>
      <c r="G2361" s="267"/>
      <c r="H2361" s="268"/>
      <c r="I2361" s="268"/>
      <c r="J2361" s="267"/>
      <c r="K2361" s="265"/>
      <c r="L2361" s="265"/>
      <c r="M2361" s="269"/>
      <c r="N2361" s="270"/>
      <c r="O2361" s="271"/>
      <c r="P2361" s="271"/>
      <c r="Q2361" s="272"/>
      <c r="R2361" s="273"/>
      <c r="S2361" s="273"/>
      <c r="T2361" s="273"/>
      <c r="U2361" s="274"/>
      <c r="V2361" s="263"/>
      <c r="W2361" s="35"/>
      <c r="X2361" s="35"/>
      <c r="Y2361" s="35"/>
      <c r="Z2361" s="35"/>
      <c r="AA2361" s="35"/>
      <c r="AB2361" s="35"/>
      <c r="AC2361" s="35"/>
      <c r="AD2361" s="35"/>
      <c r="AE2361" s="35"/>
      <c r="AF2361" s="35"/>
      <c r="AG2361" s="35"/>
      <c r="AH2361" s="35"/>
      <c r="AI2361" s="35"/>
    </row>
    <row r="2362">
      <c r="A2362" s="263"/>
      <c r="B2362" s="264"/>
      <c r="C2362" s="265"/>
      <c r="D2362" s="266"/>
      <c r="E2362" s="263"/>
      <c r="F2362" s="267"/>
      <c r="G2362" s="267"/>
      <c r="H2362" s="268"/>
      <c r="I2362" s="268"/>
      <c r="J2362" s="267"/>
      <c r="K2362" s="265"/>
      <c r="L2362" s="265"/>
      <c r="M2362" s="269"/>
      <c r="N2362" s="270"/>
      <c r="O2362" s="271"/>
      <c r="P2362" s="271"/>
      <c r="Q2362" s="272"/>
      <c r="R2362" s="273"/>
      <c r="S2362" s="273"/>
      <c r="T2362" s="273"/>
      <c r="U2362" s="274"/>
      <c r="V2362" s="263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</row>
    <row r="2363">
      <c r="A2363" s="263"/>
      <c r="B2363" s="264"/>
      <c r="C2363" s="265"/>
      <c r="D2363" s="266"/>
      <c r="E2363" s="263"/>
      <c r="F2363" s="267"/>
      <c r="G2363" s="267"/>
      <c r="H2363" s="268"/>
      <c r="I2363" s="268"/>
      <c r="J2363" s="267"/>
      <c r="K2363" s="265"/>
      <c r="L2363" s="265"/>
      <c r="M2363" s="269"/>
      <c r="N2363" s="270"/>
      <c r="O2363" s="271"/>
      <c r="P2363" s="271"/>
      <c r="Q2363" s="272"/>
      <c r="R2363" s="273"/>
      <c r="S2363" s="273"/>
      <c r="T2363" s="273"/>
      <c r="U2363" s="274"/>
      <c r="V2363" s="263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</row>
    <row r="2364">
      <c r="A2364" s="263"/>
      <c r="B2364" s="264"/>
      <c r="C2364" s="265"/>
      <c r="D2364" s="266"/>
      <c r="E2364" s="263"/>
      <c r="F2364" s="267"/>
      <c r="G2364" s="267"/>
      <c r="H2364" s="268"/>
      <c r="I2364" s="268"/>
      <c r="J2364" s="267"/>
      <c r="K2364" s="265"/>
      <c r="L2364" s="265"/>
      <c r="M2364" s="269"/>
      <c r="N2364" s="270"/>
      <c r="O2364" s="271"/>
      <c r="P2364" s="271"/>
      <c r="Q2364" s="272"/>
      <c r="R2364" s="273"/>
      <c r="S2364" s="273"/>
      <c r="T2364" s="273"/>
      <c r="U2364" s="274"/>
      <c r="V2364" s="263"/>
      <c r="W2364" s="35"/>
      <c r="X2364" s="35"/>
      <c r="Y2364" s="35"/>
      <c r="Z2364" s="35"/>
      <c r="AA2364" s="35"/>
      <c r="AB2364" s="35"/>
      <c r="AC2364" s="35"/>
      <c r="AD2364" s="35"/>
      <c r="AE2364" s="35"/>
      <c r="AF2364" s="35"/>
      <c r="AG2364" s="35"/>
      <c r="AH2364" s="35"/>
      <c r="AI2364" s="35"/>
    </row>
    <row r="2365">
      <c r="A2365" s="263"/>
      <c r="B2365" s="264"/>
      <c r="C2365" s="265"/>
      <c r="D2365" s="266"/>
      <c r="E2365" s="263"/>
      <c r="F2365" s="267"/>
      <c r="G2365" s="267"/>
      <c r="H2365" s="268"/>
      <c r="I2365" s="268"/>
      <c r="J2365" s="267"/>
      <c r="K2365" s="265"/>
      <c r="L2365" s="265"/>
      <c r="M2365" s="269"/>
      <c r="N2365" s="270"/>
      <c r="O2365" s="271"/>
      <c r="P2365" s="271"/>
      <c r="Q2365" s="272"/>
      <c r="R2365" s="273"/>
      <c r="S2365" s="273"/>
      <c r="T2365" s="273"/>
      <c r="U2365" s="274"/>
      <c r="V2365" s="263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</row>
    <row r="2366">
      <c r="A2366" s="263"/>
      <c r="B2366" s="264"/>
      <c r="C2366" s="265"/>
      <c r="D2366" s="266"/>
      <c r="E2366" s="263"/>
      <c r="F2366" s="267"/>
      <c r="G2366" s="267"/>
      <c r="H2366" s="268"/>
      <c r="I2366" s="268"/>
      <c r="J2366" s="267"/>
      <c r="K2366" s="265"/>
      <c r="L2366" s="265"/>
      <c r="M2366" s="269"/>
      <c r="N2366" s="270"/>
      <c r="O2366" s="271"/>
      <c r="P2366" s="271"/>
      <c r="Q2366" s="272"/>
      <c r="R2366" s="273"/>
      <c r="S2366" s="273"/>
      <c r="T2366" s="273"/>
      <c r="U2366" s="274"/>
      <c r="V2366" s="263"/>
      <c r="W2366" s="188"/>
      <c r="X2366" s="188"/>
      <c r="Y2366" s="188"/>
      <c r="Z2366" s="188"/>
      <c r="AA2366" s="188"/>
      <c r="AB2366" s="188"/>
      <c r="AC2366" s="188"/>
      <c r="AD2366" s="188"/>
      <c r="AE2366" s="188"/>
      <c r="AF2366" s="188"/>
      <c r="AG2366" s="188"/>
      <c r="AH2366" s="188"/>
      <c r="AI2366" s="188"/>
    </row>
    <row r="2367">
      <c r="A2367" s="263"/>
      <c r="B2367" s="264"/>
      <c r="C2367" s="265"/>
      <c r="D2367" s="266"/>
      <c r="E2367" s="263"/>
      <c r="F2367" s="267"/>
      <c r="G2367" s="267"/>
      <c r="H2367" s="268"/>
      <c r="I2367" s="268"/>
      <c r="J2367" s="267"/>
      <c r="K2367" s="265"/>
      <c r="L2367" s="265"/>
      <c r="M2367" s="269"/>
      <c r="N2367" s="270"/>
      <c r="O2367" s="271"/>
      <c r="P2367" s="271"/>
      <c r="Q2367" s="272"/>
      <c r="R2367" s="273"/>
      <c r="S2367" s="273"/>
      <c r="T2367" s="273"/>
      <c r="U2367" s="274"/>
      <c r="V2367" s="263"/>
      <c r="W2367" s="188"/>
      <c r="X2367" s="188"/>
      <c r="Y2367" s="188"/>
      <c r="Z2367" s="188"/>
      <c r="AA2367" s="188"/>
      <c r="AB2367" s="188"/>
      <c r="AC2367" s="188"/>
      <c r="AD2367" s="188"/>
      <c r="AE2367" s="188"/>
      <c r="AF2367" s="188"/>
      <c r="AG2367" s="188"/>
      <c r="AH2367" s="188"/>
      <c r="AI2367" s="188"/>
    </row>
    <row r="2368">
      <c r="A2368" s="263"/>
      <c r="B2368" s="264"/>
      <c r="C2368" s="265"/>
      <c r="D2368" s="266"/>
      <c r="E2368" s="263"/>
      <c r="F2368" s="267"/>
      <c r="G2368" s="267"/>
      <c r="H2368" s="268"/>
      <c r="I2368" s="268"/>
      <c r="J2368" s="267"/>
      <c r="K2368" s="265"/>
      <c r="L2368" s="265"/>
      <c r="M2368" s="269"/>
      <c r="N2368" s="270"/>
      <c r="O2368" s="271"/>
      <c r="P2368" s="271"/>
      <c r="Q2368" s="272"/>
      <c r="R2368" s="273"/>
      <c r="S2368" s="273"/>
      <c r="T2368" s="273"/>
      <c r="U2368" s="274"/>
      <c r="V2368" s="263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</row>
    <row r="2369">
      <c r="A2369" s="263"/>
      <c r="B2369" s="264"/>
      <c r="C2369" s="265"/>
      <c r="D2369" s="266"/>
      <c r="E2369" s="263"/>
      <c r="F2369" s="267"/>
      <c r="G2369" s="267"/>
      <c r="H2369" s="268"/>
      <c r="I2369" s="268"/>
      <c r="J2369" s="267"/>
      <c r="K2369" s="265"/>
      <c r="L2369" s="265"/>
      <c r="M2369" s="269"/>
      <c r="N2369" s="270"/>
      <c r="O2369" s="271"/>
      <c r="P2369" s="271"/>
      <c r="Q2369" s="272"/>
      <c r="R2369" s="273"/>
      <c r="S2369" s="273"/>
      <c r="T2369" s="273"/>
      <c r="U2369" s="274"/>
      <c r="V2369" s="263"/>
      <c r="W2369" s="36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</row>
    <row r="2370">
      <c r="A2370" s="263"/>
      <c r="B2370" s="264"/>
      <c r="C2370" s="265"/>
      <c r="D2370" s="266"/>
      <c r="E2370" s="263"/>
      <c r="F2370" s="267"/>
      <c r="G2370" s="267"/>
      <c r="H2370" s="268"/>
      <c r="I2370" s="268"/>
      <c r="J2370" s="267"/>
      <c r="K2370" s="265"/>
      <c r="L2370" s="265"/>
      <c r="M2370" s="269"/>
      <c r="N2370" s="270"/>
      <c r="O2370" s="271"/>
      <c r="P2370" s="271"/>
      <c r="Q2370" s="272"/>
      <c r="R2370" s="273"/>
      <c r="S2370" s="273"/>
      <c r="T2370" s="273"/>
      <c r="U2370" s="274"/>
      <c r="V2370" s="263"/>
      <c r="W2370" s="36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</row>
    <row r="2371">
      <c r="A2371" s="263"/>
      <c r="B2371" s="264"/>
      <c r="C2371" s="265"/>
      <c r="D2371" s="266"/>
      <c r="E2371" s="263"/>
      <c r="F2371" s="267"/>
      <c r="G2371" s="267"/>
      <c r="H2371" s="268"/>
      <c r="I2371" s="268"/>
      <c r="J2371" s="267"/>
      <c r="K2371" s="265"/>
      <c r="L2371" s="265"/>
      <c r="M2371" s="269"/>
      <c r="N2371" s="270"/>
      <c r="O2371" s="271"/>
      <c r="P2371" s="271"/>
      <c r="Q2371" s="272"/>
      <c r="R2371" s="273"/>
      <c r="S2371" s="273"/>
      <c r="T2371" s="273"/>
      <c r="U2371" s="274"/>
      <c r="V2371" s="263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</row>
    <row r="2372">
      <c r="A2372" s="263"/>
      <c r="B2372" s="264"/>
      <c r="C2372" s="265"/>
      <c r="D2372" s="266"/>
      <c r="E2372" s="263"/>
      <c r="F2372" s="267"/>
      <c r="G2372" s="267"/>
      <c r="H2372" s="268"/>
      <c r="I2372" s="268"/>
      <c r="J2372" s="267"/>
      <c r="K2372" s="265"/>
      <c r="L2372" s="265"/>
      <c r="M2372" s="269"/>
      <c r="N2372" s="270"/>
      <c r="O2372" s="271"/>
      <c r="P2372" s="271"/>
      <c r="Q2372" s="272"/>
      <c r="R2372" s="273"/>
      <c r="S2372" s="273"/>
      <c r="T2372" s="273"/>
      <c r="U2372" s="274"/>
      <c r="V2372" s="263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</row>
    <row r="2373">
      <c r="A2373" s="263"/>
      <c r="B2373" s="264"/>
      <c r="C2373" s="265"/>
      <c r="D2373" s="266"/>
      <c r="E2373" s="263"/>
      <c r="F2373" s="267"/>
      <c r="G2373" s="267"/>
      <c r="H2373" s="268"/>
      <c r="I2373" s="268"/>
      <c r="J2373" s="267"/>
      <c r="K2373" s="265"/>
      <c r="L2373" s="265"/>
      <c r="M2373" s="269"/>
      <c r="N2373" s="270"/>
      <c r="O2373" s="271"/>
      <c r="P2373" s="271"/>
      <c r="Q2373" s="272"/>
      <c r="R2373" s="273"/>
      <c r="S2373" s="273"/>
      <c r="T2373" s="273"/>
      <c r="U2373" s="274"/>
      <c r="V2373" s="263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</row>
    <row r="2374">
      <c r="A2374" s="263"/>
      <c r="B2374" s="264"/>
      <c r="C2374" s="265"/>
      <c r="D2374" s="266"/>
      <c r="E2374" s="263"/>
      <c r="F2374" s="267"/>
      <c r="G2374" s="267"/>
      <c r="H2374" s="268"/>
      <c r="I2374" s="268"/>
      <c r="J2374" s="267"/>
      <c r="K2374" s="265"/>
      <c r="L2374" s="265"/>
      <c r="M2374" s="269"/>
      <c r="N2374" s="270"/>
      <c r="O2374" s="271"/>
      <c r="P2374" s="271"/>
      <c r="Q2374" s="272"/>
      <c r="R2374" s="273"/>
      <c r="S2374" s="273"/>
      <c r="T2374" s="273"/>
      <c r="U2374" s="274"/>
      <c r="V2374" s="263"/>
      <c r="W2374" s="188"/>
      <c r="X2374" s="188"/>
      <c r="Y2374" s="188"/>
      <c r="Z2374" s="188"/>
      <c r="AA2374" s="188"/>
      <c r="AB2374" s="188"/>
      <c r="AC2374" s="188"/>
      <c r="AD2374" s="188"/>
      <c r="AE2374" s="188"/>
      <c r="AF2374" s="188"/>
      <c r="AG2374" s="188"/>
      <c r="AH2374" s="188"/>
      <c r="AI2374" s="188"/>
    </row>
    <row r="2375">
      <c r="A2375" s="263"/>
      <c r="B2375" s="264"/>
      <c r="C2375" s="265"/>
      <c r="D2375" s="266"/>
      <c r="E2375" s="263"/>
      <c r="F2375" s="267"/>
      <c r="G2375" s="267"/>
      <c r="H2375" s="268"/>
      <c r="I2375" s="268"/>
      <c r="J2375" s="267"/>
      <c r="K2375" s="265"/>
      <c r="L2375" s="265"/>
      <c r="M2375" s="269"/>
      <c r="N2375" s="270"/>
      <c r="O2375" s="271"/>
      <c r="P2375" s="271"/>
      <c r="Q2375" s="272"/>
      <c r="R2375" s="273"/>
      <c r="S2375" s="273"/>
      <c r="T2375" s="273"/>
      <c r="U2375" s="274"/>
      <c r="V2375" s="263"/>
      <c r="W2375" s="188"/>
      <c r="X2375" s="188"/>
      <c r="Y2375" s="188"/>
      <c r="Z2375" s="188"/>
      <c r="AA2375" s="188"/>
      <c r="AB2375" s="188"/>
      <c r="AC2375" s="188"/>
      <c r="AD2375" s="188"/>
      <c r="AE2375" s="188"/>
      <c r="AF2375" s="188"/>
      <c r="AG2375" s="188"/>
      <c r="AH2375" s="188"/>
      <c r="AI2375" s="188"/>
    </row>
    <row r="2376">
      <c r="A2376" s="263"/>
      <c r="B2376" s="264"/>
      <c r="C2376" s="265"/>
      <c r="D2376" s="266"/>
      <c r="E2376" s="263"/>
      <c r="F2376" s="267"/>
      <c r="G2376" s="267"/>
      <c r="H2376" s="268"/>
      <c r="I2376" s="268"/>
      <c r="J2376" s="267"/>
      <c r="K2376" s="265"/>
      <c r="L2376" s="265"/>
      <c r="M2376" s="269"/>
      <c r="N2376" s="270"/>
      <c r="O2376" s="271"/>
      <c r="P2376" s="271"/>
      <c r="Q2376" s="272"/>
      <c r="R2376" s="273"/>
      <c r="S2376" s="273"/>
      <c r="T2376" s="273"/>
      <c r="U2376" s="274"/>
      <c r="V2376" s="263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</row>
    <row r="2377">
      <c r="A2377" s="263"/>
      <c r="B2377" s="264"/>
      <c r="C2377" s="265"/>
      <c r="D2377" s="266"/>
      <c r="E2377" s="263"/>
      <c r="F2377" s="267"/>
      <c r="G2377" s="267"/>
      <c r="H2377" s="268"/>
      <c r="I2377" s="268"/>
      <c r="J2377" s="267"/>
      <c r="K2377" s="265"/>
      <c r="L2377" s="265"/>
      <c r="M2377" s="269"/>
      <c r="N2377" s="270"/>
      <c r="O2377" s="271"/>
      <c r="P2377" s="271"/>
      <c r="Q2377" s="272"/>
      <c r="R2377" s="273"/>
      <c r="S2377" s="273"/>
      <c r="T2377" s="273"/>
      <c r="U2377" s="274"/>
      <c r="V2377" s="263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</row>
    <row r="2378">
      <c r="A2378" s="263"/>
      <c r="B2378" s="264"/>
      <c r="C2378" s="265"/>
      <c r="D2378" s="266"/>
      <c r="E2378" s="263"/>
      <c r="F2378" s="267"/>
      <c r="G2378" s="267"/>
      <c r="H2378" s="268"/>
      <c r="I2378" s="268"/>
      <c r="J2378" s="267"/>
      <c r="K2378" s="265"/>
      <c r="L2378" s="265"/>
      <c r="M2378" s="269"/>
      <c r="N2378" s="270"/>
      <c r="O2378" s="271"/>
      <c r="P2378" s="271"/>
      <c r="Q2378" s="272"/>
      <c r="R2378" s="273"/>
      <c r="S2378" s="273"/>
      <c r="T2378" s="273"/>
      <c r="U2378" s="274"/>
      <c r="V2378" s="263"/>
      <c r="W2378" s="188"/>
      <c r="X2378" s="188"/>
      <c r="Y2378" s="188"/>
      <c r="Z2378" s="188"/>
      <c r="AA2378" s="188"/>
      <c r="AB2378" s="188"/>
      <c r="AC2378" s="188"/>
      <c r="AD2378" s="188"/>
      <c r="AE2378" s="188"/>
      <c r="AF2378" s="188"/>
      <c r="AG2378" s="188"/>
      <c r="AH2378" s="188"/>
      <c r="AI2378" s="188"/>
    </row>
    <row r="2379">
      <c r="A2379" s="263"/>
      <c r="B2379" s="264"/>
      <c r="C2379" s="265"/>
      <c r="D2379" s="266"/>
      <c r="E2379" s="263"/>
      <c r="F2379" s="267"/>
      <c r="G2379" s="267"/>
      <c r="H2379" s="268"/>
      <c r="I2379" s="268"/>
      <c r="J2379" s="267"/>
      <c r="K2379" s="265"/>
      <c r="L2379" s="265"/>
      <c r="M2379" s="269"/>
      <c r="N2379" s="270"/>
      <c r="O2379" s="271"/>
      <c r="P2379" s="271"/>
      <c r="Q2379" s="272"/>
      <c r="R2379" s="273"/>
      <c r="S2379" s="273"/>
      <c r="T2379" s="273"/>
      <c r="U2379" s="274"/>
      <c r="V2379" s="263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</row>
    <row r="2380">
      <c r="A2380" s="263"/>
      <c r="B2380" s="264"/>
      <c r="C2380" s="265"/>
      <c r="D2380" s="266"/>
      <c r="E2380" s="263"/>
      <c r="F2380" s="267"/>
      <c r="G2380" s="267"/>
      <c r="H2380" s="268"/>
      <c r="I2380" s="268"/>
      <c r="J2380" s="267"/>
      <c r="K2380" s="265"/>
      <c r="L2380" s="265"/>
      <c r="M2380" s="269"/>
      <c r="N2380" s="270"/>
      <c r="O2380" s="271"/>
      <c r="P2380" s="271"/>
      <c r="Q2380" s="272"/>
      <c r="R2380" s="273"/>
      <c r="S2380" s="273"/>
      <c r="T2380" s="273"/>
      <c r="U2380" s="274"/>
      <c r="V2380" s="263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</row>
    <row r="2381">
      <c r="A2381" s="263"/>
      <c r="B2381" s="264"/>
      <c r="C2381" s="265"/>
      <c r="D2381" s="266"/>
      <c r="E2381" s="263"/>
      <c r="F2381" s="267"/>
      <c r="G2381" s="267"/>
      <c r="H2381" s="268"/>
      <c r="I2381" s="268"/>
      <c r="J2381" s="267"/>
      <c r="K2381" s="265"/>
      <c r="L2381" s="265"/>
      <c r="M2381" s="269"/>
      <c r="N2381" s="270"/>
      <c r="O2381" s="271"/>
      <c r="P2381" s="271"/>
      <c r="Q2381" s="272"/>
      <c r="R2381" s="273"/>
      <c r="S2381" s="273"/>
      <c r="T2381" s="273"/>
      <c r="U2381" s="274"/>
      <c r="V2381" s="263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</row>
    <row r="2382">
      <c r="A2382" s="263"/>
      <c r="B2382" s="264"/>
      <c r="C2382" s="265"/>
      <c r="D2382" s="266"/>
      <c r="E2382" s="263"/>
      <c r="F2382" s="267"/>
      <c r="G2382" s="267"/>
      <c r="H2382" s="268"/>
      <c r="I2382" s="268"/>
      <c r="J2382" s="267"/>
      <c r="K2382" s="265"/>
      <c r="L2382" s="265"/>
      <c r="M2382" s="269"/>
      <c r="N2382" s="270"/>
      <c r="O2382" s="271"/>
      <c r="P2382" s="271"/>
      <c r="Q2382" s="272"/>
      <c r="R2382" s="273"/>
      <c r="S2382" s="273"/>
      <c r="T2382" s="273"/>
      <c r="U2382" s="274"/>
      <c r="V2382" s="263"/>
      <c r="W2382" s="188"/>
      <c r="X2382" s="188"/>
      <c r="Y2382" s="188"/>
      <c r="Z2382" s="188"/>
      <c r="AA2382" s="188"/>
      <c r="AB2382" s="188"/>
      <c r="AC2382" s="188"/>
      <c r="AD2382" s="188"/>
      <c r="AE2382" s="188"/>
      <c r="AF2382" s="188"/>
      <c r="AG2382" s="188"/>
      <c r="AH2382" s="188"/>
      <c r="AI2382" s="188"/>
    </row>
    <row r="2383">
      <c r="A2383" s="263"/>
      <c r="B2383" s="264"/>
      <c r="C2383" s="265"/>
      <c r="D2383" s="266"/>
      <c r="E2383" s="263"/>
      <c r="F2383" s="267"/>
      <c r="G2383" s="267"/>
      <c r="H2383" s="268"/>
      <c r="I2383" s="268"/>
      <c r="J2383" s="267"/>
      <c r="K2383" s="265"/>
      <c r="L2383" s="265"/>
      <c r="M2383" s="269"/>
      <c r="N2383" s="270"/>
      <c r="O2383" s="271"/>
      <c r="P2383" s="271"/>
      <c r="Q2383" s="272"/>
      <c r="R2383" s="273"/>
      <c r="S2383" s="273"/>
      <c r="T2383" s="273"/>
      <c r="U2383" s="274"/>
      <c r="V2383" s="263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</row>
    <row r="2384">
      <c r="A2384" s="263"/>
      <c r="B2384" s="264"/>
      <c r="C2384" s="265"/>
      <c r="D2384" s="266"/>
      <c r="E2384" s="263"/>
      <c r="F2384" s="267"/>
      <c r="G2384" s="267"/>
      <c r="H2384" s="268"/>
      <c r="I2384" s="268"/>
      <c r="J2384" s="267"/>
      <c r="K2384" s="265"/>
      <c r="L2384" s="265"/>
      <c r="M2384" s="269"/>
      <c r="N2384" s="270"/>
      <c r="O2384" s="271"/>
      <c r="P2384" s="271"/>
      <c r="Q2384" s="272"/>
      <c r="R2384" s="273"/>
      <c r="S2384" s="273"/>
      <c r="T2384" s="273"/>
      <c r="U2384" s="274"/>
      <c r="V2384" s="263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</row>
    <row r="2385">
      <c r="A2385" s="263"/>
      <c r="B2385" s="264"/>
      <c r="C2385" s="265"/>
      <c r="D2385" s="266"/>
      <c r="E2385" s="263"/>
      <c r="F2385" s="267"/>
      <c r="G2385" s="267"/>
      <c r="H2385" s="268"/>
      <c r="I2385" s="268"/>
      <c r="J2385" s="267"/>
      <c r="K2385" s="265"/>
      <c r="L2385" s="265"/>
      <c r="M2385" s="269"/>
      <c r="N2385" s="270"/>
      <c r="O2385" s="271"/>
      <c r="P2385" s="271"/>
      <c r="Q2385" s="272"/>
      <c r="R2385" s="273"/>
      <c r="S2385" s="273"/>
      <c r="T2385" s="273"/>
      <c r="U2385" s="274"/>
      <c r="V2385" s="263"/>
      <c r="W2385" s="35"/>
      <c r="X2385" s="35"/>
      <c r="Y2385" s="35"/>
      <c r="Z2385" s="35"/>
      <c r="AA2385" s="35"/>
      <c r="AB2385" s="35"/>
      <c r="AC2385" s="35"/>
      <c r="AD2385" s="35"/>
      <c r="AE2385" s="35"/>
      <c r="AF2385" s="35"/>
      <c r="AG2385" s="35"/>
      <c r="AH2385" s="35"/>
      <c r="AI2385" s="35"/>
    </row>
    <row r="2386">
      <c r="A2386" s="263"/>
      <c r="B2386" s="264"/>
      <c r="C2386" s="265"/>
      <c r="D2386" s="266"/>
      <c r="E2386" s="263"/>
      <c r="F2386" s="267"/>
      <c r="G2386" s="267"/>
      <c r="H2386" s="268"/>
      <c r="I2386" s="268"/>
      <c r="J2386" s="267"/>
      <c r="K2386" s="265"/>
      <c r="L2386" s="265"/>
      <c r="M2386" s="269"/>
      <c r="N2386" s="270"/>
      <c r="O2386" s="271"/>
      <c r="P2386" s="271"/>
      <c r="Q2386" s="272"/>
      <c r="R2386" s="273"/>
      <c r="S2386" s="273"/>
      <c r="T2386" s="273"/>
      <c r="U2386" s="274"/>
      <c r="V2386" s="263"/>
      <c r="W2386" s="188"/>
      <c r="X2386" s="188"/>
      <c r="Y2386" s="188"/>
      <c r="Z2386" s="188"/>
      <c r="AA2386" s="188"/>
      <c r="AB2386" s="188"/>
      <c r="AC2386" s="188"/>
      <c r="AD2386" s="188"/>
      <c r="AE2386" s="188"/>
      <c r="AF2386" s="188"/>
      <c r="AG2386" s="188"/>
      <c r="AH2386" s="188"/>
      <c r="AI2386" s="188"/>
    </row>
    <row r="2387">
      <c r="A2387" s="263"/>
      <c r="B2387" s="264"/>
      <c r="C2387" s="265"/>
      <c r="D2387" s="266"/>
      <c r="E2387" s="263"/>
      <c r="F2387" s="267"/>
      <c r="G2387" s="267"/>
      <c r="H2387" s="268"/>
      <c r="I2387" s="268"/>
      <c r="J2387" s="267"/>
      <c r="K2387" s="265"/>
      <c r="L2387" s="265"/>
      <c r="M2387" s="269"/>
      <c r="N2387" s="270"/>
      <c r="O2387" s="271"/>
      <c r="P2387" s="271"/>
      <c r="Q2387" s="272"/>
      <c r="R2387" s="273"/>
      <c r="S2387" s="273"/>
      <c r="T2387" s="273"/>
      <c r="U2387" s="274"/>
      <c r="V2387" s="263"/>
      <c r="W2387" s="188"/>
      <c r="X2387" s="188"/>
      <c r="Y2387" s="188"/>
      <c r="Z2387" s="188"/>
      <c r="AA2387" s="188"/>
      <c r="AB2387" s="188"/>
      <c r="AC2387" s="188"/>
      <c r="AD2387" s="188"/>
      <c r="AE2387" s="188"/>
      <c r="AF2387" s="188"/>
      <c r="AG2387" s="188"/>
      <c r="AH2387" s="188"/>
      <c r="AI2387" s="188"/>
    </row>
    <row r="2388">
      <c r="A2388" s="263"/>
      <c r="B2388" s="264"/>
      <c r="C2388" s="265"/>
      <c r="D2388" s="266"/>
      <c r="E2388" s="263"/>
      <c r="F2388" s="267"/>
      <c r="G2388" s="267"/>
      <c r="H2388" s="268"/>
      <c r="I2388" s="268"/>
      <c r="J2388" s="267"/>
      <c r="K2388" s="265"/>
      <c r="L2388" s="265"/>
      <c r="M2388" s="269"/>
      <c r="N2388" s="270"/>
      <c r="O2388" s="271"/>
      <c r="P2388" s="271"/>
      <c r="Q2388" s="272"/>
      <c r="R2388" s="273"/>
      <c r="S2388" s="273"/>
      <c r="T2388" s="273"/>
      <c r="U2388" s="274"/>
      <c r="V2388" s="263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</row>
    <row r="2389">
      <c r="A2389" s="263"/>
      <c r="B2389" s="264"/>
      <c r="C2389" s="265"/>
      <c r="D2389" s="266"/>
      <c r="E2389" s="263"/>
      <c r="F2389" s="267"/>
      <c r="G2389" s="267"/>
      <c r="H2389" s="268"/>
      <c r="I2389" s="268"/>
      <c r="J2389" s="267"/>
      <c r="K2389" s="265"/>
      <c r="L2389" s="265"/>
      <c r="M2389" s="269"/>
      <c r="N2389" s="270"/>
      <c r="O2389" s="271"/>
      <c r="P2389" s="271"/>
      <c r="Q2389" s="272"/>
      <c r="R2389" s="273"/>
      <c r="S2389" s="273"/>
      <c r="T2389" s="273"/>
      <c r="U2389" s="274"/>
      <c r="V2389" s="263"/>
      <c r="W2389" s="188"/>
      <c r="X2389" s="188"/>
      <c r="Y2389" s="188"/>
      <c r="Z2389" s="188"/>
      <c r="AA2389" s="188"/>
      <c r="AB2389" s="188"/>
      <c r="AC2389" s="188"/>
      <c r="AD2389" s="188"/>
      <c r="AE2389" s="188"/>
      <c r="AF2389" s="188"/>
      <c r="AG2389" s="188"/>
      <c r="AH2389" s="188"/>
      <c r="AI2389" s="188"/>
    </row>
    <row r="2390">
      <c r="A2390" s="263"/>
      <c r="B2390" s="264"/>
      <c r="C2390" s="265"/>
      <c r="D2390" s="266"/>
      <c r="E2390" s="263"/>
      <c r="F2390" s="267"/>
      <c r="G2390" s="267"/>
      <c r="H2390" s="268"/>
      <c r="I2390" s="268"/>
      <c r="J2390" s="267"/>
      <c r="K2390" s="265"/>
      <c r="L2390" s="265"/>
      <c r="M2390" s="269"/>
      <c r="N2390" s="270"/>
      <c r="O2390" s="271"/>
      <c r="P2390" s="271"/>
      <c r="Q2390" s="272"/>
      <c r="R2390" s="273"/>
      <c r="S2390" s="273"/>
      <c r="T2390" s="273"/>
      <c r="U2390" s="274"/>
      <c r="V2390" s="263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</row>
    <row r="2391">
      <c r="A2391" s="263"/>
      <c r="B2391" s="264"/>
      <c r="C2391" s="265"/>
      <c r="D2391" s="266"/>
      <c r="E2391" s="263"/>
      <c r="F2391" s="267"/>
      <c r="G2391" s="267"/>
      <c r="H2391" s="268"/>
      <c r="I2391" s="268"/>
      <c r="J2391" s="267"/>
      <c r="K2391" s="265"/>
      <c r="L2391" s="265"/>
      <c r="M2391" s="269"/>
      <c r="N2391" s="270"/>
      <c r="O2391" s="271"/>
      <c r="P2391" s="271"/>
      <c r="Q2391" s="272"/>
      <c r="R2391" s="273"/>
      <c r="S2391" s="273"/>
      <c r="T2391" s="273"/>
      <c r="U2391" s="274"/>
      <c r="V2391" s="263"/>
      <c r="W2391" s="35"/>
      <c r="X2391" s="35"/>
      <c r="Y2391" s="35"/>
      <c r="Z2391" s="35"/>
      <c r="AA2391" s="35"/>
      <c r="AB2391" s="35"/>
      <c r="AC2391" s="35"/>
      <c r="AD2391" s="35"/>
      <c r="AE2391" s="35"/>
      <c r="AF2391" s="35"/>
      <c r="AG2391" s="35"/>
      <c r="AH2391" s="35"/>
      <c r="AI2391" s="35"/>
    </row>
    <row r="2392">
      <c r="A2392" s="263"/>
      <c r="B2392" s="264"/>
      <c r="C2392" s="265"/>
      <c r="D2392" s="266"/>
      <c r="E2392" s="263"/>
      <c r="F2392" s="267"/>
      <c r="G2392" s="267"/>
      <c r="H2392" s="268"/>
      <c r="I2392" s="268"/>
      <c r="J2392" s="267"/>
      <c r="K2392" s="265"/>
      <c r="L2392" s="265"/>
      <c r="M2392" s="269"/>
      <c r="N2392" s="270"/>
      <c r="O2392" s="271"/>
      <c r="P2392" s="271"/>
      <c r="Q2392" s="272"/>
      <c r="R2392" s="273"/>
      <c r="S2392" s="273"/>
      <c r="T2392" s="273"/>
      <c r="U2392" s="274"/>
      <c r="V2392" s="263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</row>
    <row r="2393">
      <c r="A2393" s="263"/>
      <c r="B2393" s="264"/>
      <c r="C2393" s="265"/>
      <c r="D2393" s="266"/>
      <c r="E2393" s="263"/>
      <c r="F2393" s="267"/>
      <c r="G2393" s="267"/>
      <c r="H2393" s="268"/>
      <c r="I2393" s="268"/>
      <c r="J2393" s="267"/>
      <c r="K2393" s="265"/>
      <c r="L2393" s="265"/>
      <c r="M2393" s="269"/>
      <c r="N2393" s="270"/>
      <c r="O2393" s="271"/>
      <c r="P2393" s="271"/>
      <c r="Q2393" s="272"/>
      <c r="R2393" s="273"/>
      <c r="S2393" s="273"/>
      <c r="T2393" s="273"/>
      <c r="U2393" s="274"/>
      <c r="V2393" s="263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</row>
    <row r="2394">
      <c r="A2394" s="263"/>
      <c r="B2394" s="264"/>
      <c r="C2394" s="265"/>
      <c r="D2394" s="266"/>
      <c r="E2394" s="263"/>
      <c r="F2394" s="267"/>
      <c r="G2394" s="267"/>
      <c r="H2394" s="268"/>
      <c r="I2394" s="268"/>
      <c r="J2394" s="267"/>
      <c r="K2394" s="265"/>
      <c r="L2394" s="265"/>
      <c r="M2394" s="269"/>
      <c r="N2394" s="270"/>
      <c r="O2394" s="271"/>
      <c r="P2394" s="271"/>
      <c r="Q2394" s="272"/>
      <c r="R2394" s="273"/>
      <c r="S2394" s="273"/>
      <c r="T2394" s="273"/>
      <c r="U2394" s="274"/>
      <c r="V2394" s="263"/>
      <c r="W2394" s="188"/>
      <c r="X2394" s="188"/>
      <c r="Y2394" s="188"/>
      <c r="Z2394" s="188"/>
      <c r="AA2394" s="188"/>
      <c r="AB2394" s="188"/>
      <c r="AC2394" s="188"/>
      <c r="AD2394" s="188"/>
      <c r="AE2394" s="188"/>
      <c r="AF2394" s="188"/>
      <c r="AG2394" s="188"/>
      <c r="AH2394" s="188"/>
      <c r="AI2394" s="188"/>
    </row>
    <row r="2395">
      <c r="A2395" s="263"/>
      <c r="B2395" s="264"/>
      <c r="C2395" s="265"/>
      <c r="D2395" s="266"/>
      <c r="E2395" s="263"/>
      <c r="F2395" s="267"/>
      <c r="G2395" s="267"/>
      <c r="H2395" s="268"/>
      <c r="I2395" s="268"/>
      <c r="J2395" s="267"/>
      <c r="K2395" s="265"/>
      <c r="L2395" s="265"/>
      <c r="M2395" s="269"/>
      <c r="N2395" s="270"/>
      <c r="O2395" s="271"/>
      <c r="P2395" s="271"/>
      <c r="Q2395" s="272"/>
      <c r="R2395" s="273"/>
      <c r="S2395" s="273"/>
      <c r="T2395" s="273"/>
      <c r="U2395" s="274"/>
      <c r="V2395" s="263"/>
      <c r="W2395" s="188"/>
      <c r="X2395" s="188"/>
      <c r="Y2395" s="188"/>
      <c r="Z2395" s="188"/>
      <c r="AA2395" s="188"/>
      <c r="AB2395" s="188"/>
      <c r="AC2395" s="188"/>
      <c r="AD2395" s="188"/>
      <c r="AE2395" s="188"/>
      <c r="AF2395" s="188"/>
      <c r="AG2395" s="188"/>
      <c r="AH2395" s="188"/>
      <c r="AI2395" s="188"/>
    </row>
    <row r="2396">
      <c r="A2396" s="263"/>
      <c r="B2396" s="264"/>
      <c r="C2396" s="265"/>
      <c r="D2396" s="266"/>
      <c r="E2396" s="263"/>
      <c r="F2396" s="267"/>
      <c r="G2396" s="267"/>
      <c r="H2396" s="268"/>
      <c r="I2396" s="268"/>
      <c r="J2396" s="267"/>
      <c r="K2396" s="265"/>
      <c r="L2396" s="265"/>
      <c r="M2396" s="269"/>
      <c r="N2396" s="270"/>
      <c r="O2396" s="271"/>
      <c r="P2396" s="271"/>
      <c r="Q2396" s="272"/>
      <c r="R2396" s="273"/>
      <c r="S2396" s="273"/>
      <c r="T2396" s="273"/>
      <c r="U2396" s="274"/>
      <c r="V2396" s="263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</row>
    <row r="2397">
      <c r="A2397" s="263"/>
      <c r="B2397" s="264"/>
      <c r="C2397" s="265"/>
      <c r="D2397" s="266"/>
      <c r="E2397" s="263"/>
      <c r="F2397" s="267"/>
      <c r="G2397" s="267"/>
      <c r="H2397" s="268"/>
      <c r="I2397" s="268"/>
      <c r="J2397" s="267"/>
      <c r="K2397" s="265"/>
      <c r="L2397" s="265"/>
      <c r="M2397" s="269"/>
      <c r="N2397" s="270"/>
      <c r="O2397" s="271"/>
      <c r="P2397" s="271"/>
      <c r="Q2397" s="272"/>
      <c r="R2397" s="273"/>
      <c r="S2397" s="273"/>
      <c r="T2397" s="273"/>
      <c r="U2397" s="274"/>
      <c r="V2397" s="263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</row>
    <row r="2398">
      <c r="A2398" s="263"/>
      <c r="B2398" s="264"/>
      <c r="C2398" s="265"/>
      <c r="D2398" s="266"/>
      <c r="E2398" s="263"/>
      <c r="F2398" s="267"/>
      <c r="G2398" s="267"/>
      <c r="H2398" s="268"/>
      <c r="I2398" s="268"/>
      <c r="J2398" s="267"/>
      <c r="K2398" s="265"/>
      <c r="L2398" s="265"/>
      <c r="M2398" s="269"/>
      <c r="N2398" s="270"/>
      <c r="O2398" s="271"/>
      <c r="P2398" s="271"/>
      <c r="Q2398" s="272"/>
      <c r="R2398" s="273"/>
      <c r="S2398" s="273"/>
      <c r="T2398" s="273"/>
      <c r="U2398" s="274"/>
      <c r="V2398" s="263"/>
      <c r="W2398" s="188"/>
      <c r="X2398" s="188"/>
      <c r="Y2398" s="188"/>
      <c r="Z2398" s="188"/>
      <c r="AA2398" s="188"/>
      <c r="AB2398" s="188"/>
      <c r="AC2398" s="188"/>
      <c r="AD2398" s="188"/>
      <c r="AE2398" s="188"/>
      <c r="AF2398" s="188"/>
      <c r="AG2398" s="188"/>
      <c r="AH2398" s="188"/>
      <c r="AI2398" s="188"/>
    </row>
    <row r="2399">
      <c r="A2399" s="263"/>
      <c r="B2399" s="264"/>
      <c r="C2399" s="265"/>
      <c r="D2399" s="266"/>
      <c r="E2399" s="263"/>
      <c r="F2399" s="267"/>
      <c r="G2399" s="267"/>
      <c r="H2399" s="268"/>
      <c r="I2399" s="268"/>
      <c r="J2399" s="267"/>
      <c r="K2399" s="265"/>
      <c r="L2399" s="265"/>
      <c r="M2399" s="269"/>
      <c r="N2399" s="270"/>
      <c r="O2399" s="271"/>
      <c r="P2399" s="271"/>
      <c r="Q2399" s="272"/>
      <c r="R2399" s="273"/>
      <c r="S2399" s="273"/>
      <c r="T2399" s="273"/>
      <c r="U2399" s="274"/>
      <c r="V2399" s="263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</row>
    <row r="2400">
      <c r="A2400" s="263"/>
      <c r="B2400" s="264"/>
      <c r="C2400" s="265"/>
      <c r="D2400" s="266"/>
      <c r="E2400" s="263"/>
      <c r="F2400" s="267"/>
      <c r="G2400" s="267"/>
      <c r="H2400" s="268"/>
      <c r="I2400" s="268"/>
      <c r="J2400" s="267"/>
      <c r="K2400" s="265"/>
      <c r="L2400" s="265"/>
      <c r="M2400" s="269"/>
      <c r="N2400" s="270"/>
      <c r="O2400" s="271"/>
      <c r="P2400" s="271"/>
      <c r="Q2400" s="272"/>
      <c r="R2400" s="273"/>
      <c r="S2400" s="273"/>
      <c r="T2400" s="273"/>
      <c r="U2400" s="274"/>
      <c r="V2400" s="263"/>
      <c r="W2400" s="188"/>
      <c r="X2400" s="188"/>
      <c r="Y2400" s="188"/>
      <c r="Z2400" s="188"/>
      <c r="AA2400" s="188"/>
      <c r="AB2400" s="188"/>
      <c r="AC2400" s="188"/>
      <c r="AD2400" s="188"/>
      <c r="AE2400" s="188"/>
      <c r="AF2400" s="188"/>
      <c r="AG2400" s="188"/>
      <c r="AH2400" s="188"/>
      <c r="AI2400" s="188"/>
    </row>
    <row r="2401">
      <c r="A2401" s="263"/>
      <c r="B2401" s="264"/>
      <c r="C2401" s="265"/>
      <c r="D2401" s="266"/>
      <c r="E2401" s="263"/>
      <c r="F2401" s="267"/>
      <c r="G2401" s="267"/>
      <c r="H2401" s="268"/>
      <c r="I2401" s="268"/>
      <c r="J2401" s="267"/>
      <c r="K2401" s="265"/>
      <c r="L2401" s="265"/>
      <c r="M2401" s="269"/>
      <c r="N2401" s="270"/>
      <c r="O2401" s="271"/>
      <c r="P2401" s="271"/>
      <c r="Q2401" s="272"/>
      <c r="R2401" s="273"/>
      <c r="S2401" s="273"/>
      <c r="T2401" s="273"/>
      <c r="U2401" s="274"/>
      <c r="V2401" s="263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</row>
    <row r="2402">
      <c r="A2402" s="263"/>
      <c r="B2402" s="264"/>
      <c r="C2402" s="265"/>
      <c r="D2402" s="266"/>
      <c r="E2402" s="263"/>
      <c r="F2402" s="267"/>
      <c r="G2402" s="267"/>
      <c r="H2402" s="268"/>
      <c r="I2402" s="268"/>
      <c r="J2402" s="267"/>
      <c r="K2402" s="265"/>
      <c r="L2402" s="265"/>
      <c r="M2402" s="269"/>
      <c r="N2402" s="270"/>
      <c r="O2402" s="271"/>
      <c r="P2402" s="271"/>
      <c r="Q2402" s="272"/>
      <c r="R2402" s="273"/>
      <c r="S2402" s="273"/>
      <c r="T2402" s="273"/>
      <c r="U2402" s="274"/>
      <c r="V2402" s="263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</row>
    <row r="2403">
      <c r="A2403" s="263"/>
      <c r="B2403" s="264"/>
      <c r="C2403" s="265"/>
      <c r="D2403" s="266"/>
      <c r="E2403" s="263"/>
      <c r="F2403" s="267"/>
      <c r="G2403" s="267"/>
      <c r="H2403" s="268"/>
      <c r="I2403" s="268"/>
      <c r="J2403" s="267"/>
      <c r="K2403" s="265"/>
      <c r="L2403" s="265"/>
      <c r="M2403" s="269"/>
      <c r="N2403" s="270"/>
      <c r="O2403" s="271"/>
      <c r="P2403" s="271"/>
      <c r="Q2403" s="272"/>
      <c r="R2403" s="273"/>
      <c r="S2403" s="273"/>
      <c r="T2403" s="273"/>
      <c r="U2403" s="274"/>
      <c r="V2403" s="263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</row>
    <row r="2404">
      <c r="A2404" s="263"/>
      <c r="B2404" s="264"/>
      <c r="C2404" s="265"/>
      <c r="D2404" s="266"/>
      <c r="E2404" s="263"/>
      <c r="F2404" s="267"/>
      <c r="G2404" s="267"/>
      <c r="H2404" s="268"/>
      <c r="I2404" s="268"/>
      <c r="J2404" s="267"/>
      <c r="K2404" s="265"/>
      <c r="L2404" s="265"/>
      <c r="M2404" s="269"/>
      <c r="N2404" s="270"/>
      <c r="O2404" s="271"/>
      <c r="P2404" s="271"/>
      <c r="Q2404" s="272"/>
      <c r="R2404" s="273"/>
      <c r="S2404" s="273"/>
      <c r="T2404" s="273"/>
      <c r="U2404" s="274"/>
      <c r="V2404" s="263"/>
      <c r="W2404" s="35"/>
      <c r="X2404" s="35"/>
      <c r="Y2404" s="35"/>
      <c r="Z2404" s="35"/>
      <c r="AA2404" s="35"/>
      <c r="AB2404" s="35"/>
      <c r="AC2404" s="35"/>
      <c r="AD2404" s="35"/>
      <c r="AE2404" s="35"/>
      <c r="AF2404" s="35"/>
      <c r="AG2404" s="35"/>
      <c r="AH2404" s="35"/>
      <c r="AI2404" s="35"/>
    </row>
    <row r="2405">
      <c r="A2405" s="263"/>
      <c r="B2405" s="264"/>
      <c r="C2405" s="265"/>
      <c r="D2405" s="266"/>
      <c r="E2405" s="263"/>
      <c r="F2405" s="267"/>
      <c r="G2405" s="267"/>
      <c r="H2405" s="268"/>
      <c r="I2405" s="268"/>
      <c r="J2405" s="267"/>
      <c r="K2405" s="265"/>
      <c r="L2405" s="265"/>
      <c r="M2405" s="269"/>
      <c r="N2405" s="270"/>
      <c r="O2405" s="271"/>
      <c r="P2405" s="271"/>
      <c r="Q2405" s="272"/>
      <c r="R2405" s="273"/>
      <c r="S2405" s="273"/>
      <c r="T2405" s="273"/>
      <c r="U2405" s="274"/>
      <c r="V2405" s="263"/>
      <c r="W2405" s="35"/>
      <c r="X2405" s="35"/>
      <c r="Y2405" s="35"/>
      <c r="Z2405" s="35"/>
      <c r="AA2405" s="35"/>
      <c r="AB2405" s="35"/>
      <c r="AC2405" s="35"/>
      <c r="AD2405" s="35"/>
      <c r="AE2405" s="35"/>
      <c r="AF2405" s="35"/>
      <c r="AG2405" s="35"/>
      <c r="AH2405" s="35"/>
      <c r="AI2405" s="35"/>
    </row>
    <row r="2406">
      <c r="A2406" s="263"/>
      <c r="B2406" s="264"/>
      <c r="C2406" s="265"/>
      <c r="D2406" s="266"/>
      <c r="E2406" s="263"/>
      <c r="F2406" s="267"/>
      <c r="G2406" s="267"/>
      <c r="H2406" s="268"/>
      <c r="I2406" s="268"/>
      <c r="J2406" s="267"/>
      <c r="K2406" s="265"/>
      <c r="L2406" s="265"/>
      <c r="M2406" s="269"/>
      <c r="N2406" s="270"/>
      <c r="O2406" s="271"/>
      <c r="P2406" s="271"/>
      <c r="Q2406" s="272"/>
      <c r="R2406" s="273"/>
      <c r="S2406" s="273"/>
      <c r="T2406" s="273"/>
      <c r="U2406" s="274"/>
      <c r="V2406" s="263"/>
      <c r="W2406" s="188"/>
      <c r="X2406" s="188"/>
      <c r="Y2406" s="188"/>
      <c r="Z2406" s="188"/>
      <c r="AA2406" s="188"/>
      <c r="AB2406" s="188"/>
      <c r="AC2406" s="188"/>
      <c r="AD2406" s="188"/>
      <c r="AE2406" s="188"/>
      <c r="AF2406" s="188"/>
      <c r="AG2406" s="188"/>
      <c r="AH2406" s="188"/>
      <c r="AI2406" s="188"/>
    </row>
    <row r="2407">
      <c r="A2407" s="263"/>
      <c r="B2407" s="264"/>
      <c r="C2407" s="265"/>
      <c r="D2407" s="266"/>
      <c r="E2407" s="263"/>
      <c r="F2407" s="267"/>
      <c r="G2407" s="267"/>
      <c r="H2407" s="268"/>
      <c r="I2407" s="268"/>
      <c r="J2407" s="267"/>
      <c r="K2407" s="265"/>
      <c r="L2407" s="265"/>
      <c r="M2407" s="269"/>
      <c r="N2407" s="270"/>
      <c r="O2407" s="271"/>
      <c r="P2407" s="271"/>
      <c r="Q2407" s="272"/>
      <c r="R2407" s="273"/>
      <c r="S2407" s="273"/>
      <c r="T2407" s="273"/>
      <c r="U2407" s="274"/>
      <c r="V2407" s="263"/>
      <c r="W2407" s="36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</row>
    <row r="2408">
      <c r="A2408" s="263"/>
      <c r="B2408" s="264"/>
      <c r="C2408" s="265"/>
      <c r="D2408" s="266"/>
      <c r="E2408" s="263"/>
      <c r="F2408" s="267"/>
      <c r="G2408" s="267"/>
      <c r="H2408" s="268"/>
      <c r="I2408" s="268"/>
      <c r="J2408" s="267"/>
      <c r="K2408" s="265"/>
      <c r="L2408" s="265"/>
      <c r="M2408" s="269"/>
      <c r="N2408" s="270"/>
      <c r="O2408" s="271"/>
      <c r="P2408" s="271"/>
      <c r="Q2408" s="272"/>
      <c r="R2408" s="273"/>
      <c r="S2408" s="273"/>
      <c r="T2408" s="273"/>
      <c r="U2408" s="274"/>
      <c r="V2408" s="263"/>
      <c r="W2408" s="35"/>
      <c r="X2408" s="35"/>
      <c r="Y2408" s="35"/>
      <c r="Z2408" s="35"/>
      <c r="AA2408" s="35"/>
      <c r="AB2408" s="35"/>
      <c r="AC2408" s="35"/>
      <c r="AD2408" s="35"/>
      <c r="AE2408" s="35"/>
      <c r="AF2408" s="35"/>
      <c r="AG2408" s="35"/>
      <c r="AH2408" s="35"/>
      <c r="AI2408" s="35"/>
    </row>
    <row r="2409">
      <c r="A2409" s="263"/>
      <c r="B2409" s="264"/>
      <c r="C2409" s="265"/>
      <c r="D2409" s="266"/>
      <c r="E2409" s="263"/>
      <c r="F2409" s="267"/>
      <c r="G2409" s="267"/>
      <c r="H2409" s="268"/>
      <c r="I2409" s="268"/>
      <c r="J2409" s="267"/>
      <c r="K2409" s="265"/>
      <c r="L2409" s="265"/>
      <c r="M2409" s="269"/>
      <c r="N2409" s="270"/>
      <c r="O2409" s="271"/>
      <c r="P2409" s="271"/>
      <c r="Q2409" s="272"/>
      <c r="R2409" s="273"/>
      <c r="S2409" s="273"/>
      <c r="T2409" s="273"/>
      <c r="U2409" s="274"/>
      <c r="V2409" s="263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</row>
    <row r="2410">
      <c r="A2410" s="263"/>
      <c r="B2410" s="264"/>
      <c r="C2410" s="265"/>
      <c r="D2410" s="266"/>
      <c r="E2410" s="263"/>
      <c r="F2410" s="267"/>
      <c r="G2410" s="267"/>
      <c r="H2410" s="268"/>
      <c r="I2410" s="268"/>
      <c r="J2410" s="267"/>
      <c r="K2410" s="265"/>
      <c r="L2410" s="265"/>
      <c r="M2410" s="269"/>
      <c r="N2410" s="270"/>
      <c r="O2410" s="271"/>
      <c r="P2410" s="271"/>
      <c r="Q2410" s="272"/>
      <c r="R2410" s="273"/>
      <c r="S2410" s="273"/>
      <c r="T2410" s="273"/>
      <c r="U2410" s="274"/>
      <c r="V2410" s="263"/>
      <c r="W2410" s="35"/>
      <c r="X2410" s="35"/>
      <c r="Y2410" s="35"/>
      <c r="Z2410" s="35"/>
      <c r="AA2410" s="35"/>
      <c r="AB2410" s="35"/>
      <c r="AC2410" s="35"/>
      <c r="AD2410" s="35"/>
      <c r="AE2410" s="35"/>
      <c r="AF2410" s="35"/>
      <c r="AG2410" s="35"/>
      <c r="AH2410" s="35"/>
      <c r="AI2410" s="35"/>
    </row>
    <row r="2411">
      <c r="A2411" s="263"/>
      <c r="B2411" s="264"/>
      <c r="C2411" s="265"/>
      <c r="D2411" s="266"/>
      <c r="E2411" s="263"/>
      <c r="F2411" s="267"/>
      <c r="G2411" s="267"/>
      <c r="H2411" s="268"/>
      <c r="I2411" s="268"/>
      <c r="J2411" s="267"/>
      <c r="K2411" s="265"/>
      <c r="L2411" s="265"/>
      <c r="M2411" s="269"/>
      <c r="N2411" s="270"/>
      <c r="O2411" s="271"/>
      <c r="P2411" s="271"/>
      <c r="Q2411" s="272"/>
      <c r="R2411" s="273"/>
      <c r="S2411" s="273"/>
      <c r="T2411" s="273"/>
      <c r="U2411" s="274"/>
      <c r="V2411" s="263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</row>
    <row r="2412">
      <c r="A2412" s="263"/>
      <c r="B2412" s="264"/>
      <c r="C2412" s="265"/>
      <c r="D2412" s="266"/>
      <c r="E2412" s="263"/>
      <c r="F2412" s="267"/>
      <c r="G2412" s="267"/>
      <c r="H2412" s="268"/>
      <c r="I2412" s="268"/>
      <c r="J2412" s="267"/>
      <c r="K2412" s="265"/>
      <c r="L2412" s="265"/>
      <c r="M2412" s="269"/>
      <c r="N2412" s="270"/>
      <c r="O2412" s="271"/>
      <c r="P2412" s="271"/>
      <c r="Q2412" s="272"/>
      <c r="R2412" s="273"/>
      <c r="S2412" s="273"/>
      <c r="T2412" s="273"/>
      <c r="U2412" s="274"/>
      <c r="V2412" s="263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</row>
    <row r="2413">
      <c r="A2413" s="263"/>
      <c r="B2413" s="264"/>
      <c r="C2413" s="265"/>
      <c r="D2413" s="266"/>
      <c r="E2413" s="263"/>
      <c r="F2413" s="267"/>
      <c r="G2413" s="267"/>
      <c r="H2413" s="268"/>
      <c r="I2413" s="268"/>
      <c r="J2413" s="267"/>
      <c r="K2413" s="265"/>
      <c r="L2413" s="265"/>
      <c r="M2413" s="269"/>
      <c r="N2413" s="270"/>
      <c r="O2413" s="271"/>
      <c r="P2413" s="271"/>
      <c r="Q2413" s="272"/>
      <c r="R2413" s="273"/>
      <c r="S2413" s="273"/>
      <c r="T2413" s="273"/>
      <c r="U2413" s="274"/>
      <c r="V2413" s="263"/>
      <c r="W2413" s="35"/>
      <c r="X2413" s="35"/>
      <c r="Y2413" s="35"/>
      <c r="Z2413" s="35"/>
      <c r="AA2413" s="35"/>
      <c r="AB2413" s="35"/>
      <c r="AC2413" s="35"/>
      <c r="AD2413" s="35"/>
      <c r="AE2413" s="35"/>
      <c r="AF2413" s="35"/>
      <c r="AG2413" s="35"/>
      <c r="AH2413" s="35"/>
      <c r="AI2413" s="35"/>
    </row>
    <row r="2414">
      <c r="A2414" s="263"/>
      <c r="B2414" s="264"/>
      <c r="C2414" s="265"/>
      <c r="D2414" s="266"/>
      <c r="E2414" s="263"/>
      <c r="F2414" s="267"/>
      <c r="G2414" s="267"/>
      <c r="H2414" s="268"/>
      <c r="I2414" s="268"/>
      <c r="J2414" s="267"/>
      <c r="K2414" s="265"/>
      <c r="L2414" s="265"/>
      <c r="M2414" s="269"/>
      <c r="N2414" s="270"/>
      <c r="O2414" s="271"/>
      <c r="P2414" s="271"/>
      <c r="Q2414" s="272"/>
      <c r="R2414" s="273"/>
      <c r="S2414" s="273"/>
      <c r="T2414" s="273"/>
      <c r="U2414" s="274"/>
      <c r="V2414" s="263"/>
      <c r="W2414" s="35"/>
      <c r="X2414" s="35"/>
      <c r="Y2414" s="35"/>
      <c r="Z2414" s="35"/>
      <c r="AA2414" s="35"/>
      <c r="AB2414" s="35"/>
      <c r="AC2414" s="35"/>
      <c r="AD2414" s="35"/>
      <c r="AE2414" s="35"/>
      <c r="AF2414" s="35"/>
      <c r="AG2414" s="35"/>
      <c r="AH2414" s="35"/>
      <c r="AI2414" s="35"/>
    </row>
    <row r="2415">
      <c r="A2415" s="263"/>
      <c r="B2415" s="264"/>
      <c r="C2415" s="265"/>
      <c r="D2415" s="266"/>
      <c r="E2415" s="263"/>
      <c r="F2415" s="267"/>
      <c r="G2415" s="267"/>
      <c r="H2415" s="268"/>
      <c r="I2415" s="268"/>
      <c r="J2415" s="267"/>
      <c r="K2415" s="265"/>
      <c r="L2415" s="265"/>
      <c r="M2415" s="269"/>
      <c r="N2415" s="270"/>
      <c r="O2415" s="271"/>
      <c r="P2415" s="271"/>
      <c r="Q2415" s="272"/>
      <c r="R2415" s="273"/>
      <c r="S2415" s="273"/>
      <c r="T2415" s="273"/>
      <c r="U2415" s="274"/>
      <c r="V2415" s="263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</row>
    <row r="2416">
      <c r="A2416" s="263"/>
      <c r="B2416" s="264"/>
      <c r="C2416" s="265"/>
      <c r="D2416" s="266"/>
      <c r="E2416" s="263"/>
      <c r="F2416" s="267"/>
      <c r="G2416" s="267"/>
      <c r="H2416" s="268"/>
      <c r="I2416" s="268"/>
      <c r="J2416" s="267"/>
      <c r="K2416" s="265"/>
      <c r="L2416" s="265"/>
      <c r="M2416" s="269"/>
      <c r="N2416" s="270"/>
      <c r="O2416" s="271"/>
      <c r="P2416" s="271"/>
      <c r="Q2416" s="272"/>
      <c r="R2416" s="273"/>
      <c r="S2416" s="273"/>
      <c r="T2416" s="273"/>
      <c r="U2416" s="274"/>
      <c r="V2416" s="263"/>
      <c r="W2416" s="35"/>
      <c r="X2416" s="35"/>
      <c r="Y2416" s="35"/>
      <c r="Z2416" s="35"/>
      <c r="AA2416" s="35"/>
      <c r="AB2416" s="35"/>
      <c r="AC2416" s="35"/>
      <c r="AD2416" s="35"/>
      <c r="AE2416" s="35"/>
      <c r="AF2416" s="35"/>
      <c r="AG2416" s="35"/>
      <c r="AH2416" s="35"/>
      <c r="AI2416" s="35"/>
    </row>
    <row r="2417">
      <c r="A2417" s="263"/>
      <c r="B2417" s="264"/>
      <c r="C2417" s="265"/>
      <c r="D2417" s="266"/>
      <c r="E2417" s="263"/>
      <c r="F2417" s="267"/>
      <c r="G2417" s="267"/>
      <c r="H2417" s="268"/>
      <c r="I2417" s="268"/>
      <c r="J2417" s="267"/>
      <c r="K2417" s="265"/>
      <c r="L2417" s="265"/>
      <c r="M2417" s="269"/>
      <c r="N2417" s="270"/>
      <c r="O2417" s="271"/>
      <c r="P2417" s="271"/>
      <c r="Q2417" s="272"/>
      <c r="R2417" s="273"/>
      <c r="S2417" s="273"/>
      <c r="T2417" s="273"/>
      <c r="U2417" s="274"/>
      <c r="V2417" s="263"/>
      <c r="W2417" s="35"/>
      <c r="X2417" s="35"/>
      <c r="Y2417" s="35"/>
      <c r="Z2417" s="35"/>
      <c r="AA2417" s="35"/>
      <c r="AB2417" s="35"/>
      <c r="AC2417" s="35"/>
      <c r="AD2417" s="35"/>
      <c r="AE2417" s="35"/>
      <c r="AF2417" s="35"/>
      <c r="AG2417" s="35"/>
      <c r="AH2417" s="35"/>
      <c r="AI2417" s="35"/>
    </row>
    <row r="2418">
      <c r="A2418" s="263"/>
      <c r="B2418" s="264"/>
      <c r="C2418" s="265"/>
      <c r="D2418" s="266"/>
      <c r="E2418" s="263"/>
      <c r="F2418" s="267"/>
      <c r="G2418" s="267"/>
      <c r="H2418" s="268"/>
      <c r="I2418" s="268"/>
      <c r="J2418" s="267"/>
      <c r="K2418" s="265"/>
      <c r="L2418" s="265"/>
      <c r="M2418" s="269"/>
      <c r="N2418" s="270"/>
      <c r="O2418" s="271"/>
      <c r="P2418" s="271"/>
      <c r="Q2418" s="272"/>
      <c r="R2418" s="273"/>
      <c r="S2418" s="273"/>
      <c r="T2418" s="273"/>
      <c r="U2418" s="274"/>
      <c r="V2418" s="263"/>
      <c r="W2418" s="188"/>
      <c r="X2418" s="188"/>
      <c r="Y2418" s="188"/>
      <c r="Z2418" s="188"/>
      <c r="AA2418" s="188"/>
      <c r="AB2418" s="188"/>
      <c r="AC2418" s="188"/>
      <c r="AD2418" s="188"/>
      <c r="AE2418" s="188"/>
      <c r="AF2418" s="188"/>
      <c r="AG2418" s="188"/>
      <c r="AH2418" s="188"/>
      <c r="AI2418" s="188"/>
    </row>
    <row r="2419">
      <c r="A2419" s="263"/>
      <c r="B2419" s="264"/>
      <c r="C2419" s="265"/>
      <c r="D2419" s="266"/>
      <c r="E2419" s="263"/>
      <c r="F2419" s="267"/>
      <c r="G2419" s="267"/>
      <c r="H2419" s="268"/>
      <c r="I2419" s="268"/>
      <c r="J2419" s="267"/>
      <c r="K2419" s="265"/>
      <c r="L2419" s="265"/>
      <c r="M2419" s="269"/>
      <c r="N2419" s="270"/>
      <c r="O2419" s="271"/>
      <c r="P2419" s="271"/>
      <c r="Q2419" s="272"/>
      <c r="R2419" s="273"/>
      <c r="S2419" s="273"/>
      <c r="T2419" s="273"/>
      <c r="U2419" s="274"/>
      <c r="V2419" s="263"/>
      <c r="W2419" s="188"/>
      <c r="X2419" s="188"/>
      <c r="Y2419" s="188"/>
      <c r="Z2419" s="188"/>
      <c r="AA2419" s="188"/>
      <c r="AB2419" s="188"/>
      <c r="AC2419" s="188"/>
      <c r="AD2419" s="188"/>
      <c r="AE2419" s="188"/>
      <c r="AF2419" s="188"/>
      <c r="AG2419" s="188"/>
      <c r="AH2419" s="188"/>
      <c r="AI2419" s="188"/>
    </row>
    <row r="2420">
      <c r="A2420" s="263"/>
      <c r="B2420" s="264"/>
      <c r="C2420" s="265"/>
      <c r="D2420" s="266"/>
      <c r="E2420" s="263"/>
      <c r="F2420" s="267"/>
      <c r="G2420" s="267"/>
      <c r="H2420" s="268"/>
      <c r="I2420" s="268"/>
      <c r="J2420" s="267"/>
      <c r="K2420" s="265"/>
      <c r="L2420" s="265"/>
      <c r="M2420" s="269"/>
      <c r="N2420" s="270"/>
      <c r="O2420" s="271"/>
      <c r="P2420" s="271"/>
      <c r="Q2420" s="272"/>
      <c r="R2420" s="273"/>
      <c r="S2420" s="273"/>
      <c r="T2420" s="273"/>
      <c r="U2420" s="274"/>
      <c r="V2420" s="263"/>
      <c r="W2420" s="35"/>
      <c r="X2420" s="35"/>
      <c r="Y2420" s="35"/>
      <c r="Z2420" s="35"/>
      <c r="AA2420" s="35"/>
      <c r="AB2420" s="35"/>
      <c r="AC2420" s="35"/>
      <c r="AD2420" s="35"/>
      <c r="AE2420" s="35"/>
      <c r="AF2420" s="35"/>
      <c r="AG2420" s="35"/>
      <c r="AH2420" s="35"/>
      <c r="AI2420" s="35"/>
    </row>
    <row r="2421">
      <c r="A2421" s="263"/>
      <c r="B2421" s="264"/>
      <c r="C2421" s="265"/>
      <c r="D2421" s="266"/>
      <c r="E2421" s="263"/>
      <c r="F2421" s="267"/>
      <c r="G2421" s="267"/>
      <c r="H2421" s="268"/>
      <c r="I2421" s="268"/>
      <c r="J2421" s="267"/>
      <c r="K2421" s="265"/>
      <c r="L2421" s="265"/>
      <c r="M2421" s="269"/>
      <c r="N2421" s="270"/>
      <c r="O2421" s="271"/>
      <c r="P2421" s="271"/>
      <c r="Q2421" s="272"/>
      <c r="R2421" s="273"/>
      <c r="S2421" s="273"/>
      <c r="T2421" s="273"/>
      <c r="U2421" s="274"/>
      <c r="V2421" s="263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</row>
    <row r="2422">
      <c r="A2422" s="263"/>
      <c r="B2422" s="264"/>
      <c r="C2422" s="265"/>
      <c r="D2422" s="266"/>
      <c r="E2422" s="263"/>
      <c r="F2422" s="267"/>
      <c r="G2422" s="267"/>
      <c r="H2422" s="268"/>
      <c r="I2422" s="268"/>
      <c r="J2422" s="267"/>
      <c r="K2422" s="265"/>
      <c r="L2422" s="265"/>
      <c r="M2422" s="269"/>
      <c r="N2422" s="270"/>
      <c r="O2422" s="271"/>
      <c r="P2422" s="271"/>
      <c r="Q2422" s="272"/>
      <c r="R2422" s="273"/>
      <c r="S2422" s="273"/>
      <c r="T2422" s="273"/>
      <c r="U2422" s="274"/>
      <c r="V2422" s="263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</row>
    <row r="2423">
      <c r="A2423" s="263"/>
      <c r="B2423" s="264"/>
      <c r="C2423" s="265"/>
      <c r="D2423" s="266"/>
      <c r="E2423" s="263"/>
      <c r="F2423" s="267"/>
      <c r="G2423" s="267"/>
      <c r="H2423" s="268"/>
      <c r="I2423" s="268"/>
      <c r="J2423" s="267"/>
      <c r="K2423" s="265"/>
      <c r="L2423" s="265"/>
      <c r="M2423" s="269"/>
      <c r="N2423" s="270"/>
      <c r="O2423" s="271"/>
      <c r="P2423" s="271"/>
      <c r="Q2423" s="272"/>
      <c r="R2423" s="273"/>
      <c r="S2423" s="273"/>
      <c r="T2423" s="273"/>
      <c r="U2423" s="274"/>
      <c r="V2423" s="263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</row>
    <row r="2424">
      <c r="A2424" s="263"/>
      <c r="B2424" s="264"/>
      <c r="C2424" s="265"/>
      <c r="D2424" s="266"/>
      <c r="E2424" s="263"/>
      <c r="F2424" s="267"/>
      <c r="G2424" s="267"/>
      <c r="H2424" s="268"/>
      <c r="I2424" s="268"/>
      <c r="J2424" s="267"/>
      <c r="K2424" s="265"/>
      <c r="L2424" s="265"/>
      <c r="M2424" s="269"/>
      <c r="N2424" s="270"/>
      <c r="O2424" s="271"/>
      <c r="P2424" s="271"/>
      <c r="Q2424" s="272"/>
      <c r="R2424" s="273"/>
      <c r="S2424" s="273"/>
      <c r="T2424" s="273"/>
      <c r="U2424" s="274"/>
      <c r="V2424" s="263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</row>
    <row r="2425">
      <c r="A2425" s="263"/>
      <c r="B2425" s="264"/>
      <c r="C2425" s="265"/>
      <c r="D2425" s="266"/>
      <c r="E2425" s="263"/>
      <c r="F2425" s="267"/>
      <c r="G2425" s="267"/>
      <c r="H2425" s="268"/>
      <c r="I2425" s="268"/>
      <c r="J2425" s="267"/>
      <c r="K2425" s="265"/>
      <c r="L2425" s="265"/>
      <c r="M2425" s="269"/>
      <c r="N2425" s="270"/>
      <c r="O2425" s="271"/>
      <c r="P2425" s="271"/>
      <c r="Q2425" s="272"/>
      <c r="R2425" s="273"/>
      <c r="S2425" s="273"/>
      <c r="T2425" s="273"/>
      <c r="U2425" s="274"/>
      <c r="V2425" s="263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</row>
    <row r="2426">
      <c r="A2426" s="263"/>
      <c r="B2426" s="264"/>
      <c r="C2426" s="265"/>
      <c r="D2426" s="266"/>
      <c r="E2426" s="263"/>
      <c r="F2426" s="267"/>
      <c r="G2426" s="267"/>
      <c r="H2426" s="268"/>
      <c r="I2426" s="268"/>
      <c r="J2426" s="267"/>
      <c r="K2426" s="265"/>
      <c r="L2426" s="265"/>
      <c r="M2426" s="269"/>
      <c r="N2426" s="270"/>
      <c r="O2426" s="271"/>
      <c r="P2426" s="271"/>
      <c r="Q2426" s="272"/>
      <c r="R2426" s="273"/>
      <c r="S2426" s="273"/>
      <c r="T2426" s="273"/>
      <c r="U2426" s="274"/>
      <c r="V2426" s="263"/>
      <c r="W2426" s="36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</row>
    <row r="2427">
      <c r="A2427" s="263"/>
      <c r="B2427" s="264"/>
      <c r="C2427" s="265"/>
      <c r="D2427" s="266"/>
      <c r="E2427" s="263"/>
      <c r="F2427" s="267"/>
      <c r="G2427" s="267"/>
      <c r="H2427" s="268"/>
      <c r="I2427" s="268"/>
      <c r="J2427" s="267"/>
      <c r="K2427" s="265"/>
      <c r="L2427" s="265"/>
      <c r="M2427" s="269"/>
      <c r="N2427" s="270"/>
      <c r="O2427" s="271"/>
      <c r="P2427" s="271"/>
      <c r="Q2427" s="272"/>
      <c r="R2427" s="273"/>
      <c r="S2427" s="273"/>
      <c r="T2427" s="273"/>
      <c r="U2427" s="274"/>
      <c r="V2427" s="263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</row>
    <row r="2428">
      <c r="A2428" s="263"/>
      <c r="B2428" s="264"/>
      <c r="C2428" s="265"/>
      <c r="D2428" s="266"/>
      <c r="E2428" s="263"/>
      <c r="F2428" s="267"/>
      <c r="G2428" s="267"/>
      <c r="H2428" s="268"/>
      <c r="I2428" s="268"/>
      <c r="J2428" s="267"/>
      <c r="K2428" s="265"/>
      <c r="L2428" s="265"/>
      <c r="M2428" s="269"/>
      <c r="N2428" s="270"/>
      <c r="O2428" s="271"/>
      <c r="P2428" s="271"/>
      <c r="Q2428" s="272"/>
      <c r="R2428" s="273"/>
      <c r="S2428" s="273"/>
      <c r="T2428" s="273"/>
      <c r="U2428" s="274"/>
      <c r="V2428" s="263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</row>
    <row r="2429">
      <c r="A2429" s="263"/>
      <c r="B2429" s="264"/>
      <c r="C2429" s="265"/>
      <c r="D2429" s="266"/>
      <c r="E2429" s="263"/>
      <c r="F2429" s="267"/>
      <c r="G2429" s="267"/>
      <c r="H2429" s="268"/>
      <c r="I2429" s="268"/>
      <c r="J2429" s="267"/>
      <c r="K2429" s="265"/>
      <c r="L2429" s="265"/>
      <c r="M2429" s="269"/>
      <c r="N2429" s="270"/>
      <c r="O2429" s="271"/>
      <c r="P2429" s="271"/>
      <c r="Q2429" s="272"/>
      <c r="R2429" s="273"/>
      <c r="S2429" s="273"/>
      <c r="T2429" s="273"/>
      <c r="U2429" s="274"/>
      <c r="V2429" s="263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</row>
    <row r="2430">
      <c r="A2430" s="263"/>
      <c r="B2430" s="264"/>
      <c r="C2430" s="265"/>
      <c r="D2430" s="266"/>
      <c r="E2430" s="263"/>
      <c r="F2430" s="267"/>
      <c r="G2430" s="267"/>
      <c r="H2430" s="268"/>
      <c r="I2430" s="268"/>
      <c r="J2430" s="267"/>
      <c r="K2430" s="265"/>
      <c r="L2430" s="265"/>
      <c r="M2430" s="269"/>
      <c r="N2430" s="270"/>
      <c r="O2430" s="271"/>
      <c r="P2430" s="271"/>
      <c r="Q2430" s="272"/>
      <c r="R2430" s="273"/>
      <c r="S2430" s="273"/>
      <c r="T2430" s="273"/>
      <c r="U2430" s="274"/>
      <c r="V2430" s="263"/>
      <c r="W2430" s="188"/>
      <c r="X2430" s="188"/>
      <c r="Y2430" s="188"/>
      <c r="Z2430" s="188"/>
      <c r="AA2430" s="188"/>
      <c r="AB2430" s="188"/>
      <c r="AC2430" s="188"/>
      <c r="AD2430" s="188"/>
      <c r="AE2430" s="188"/>
      <c r="AF2430" s="188"/>
      <c r="AG2430" s="188"/>
      <c r="AH2430" s="188"/>
      <c r="AI2430" s="188"/>
    </row>
    <row r="2431">
      <c r="A2431" s="263"/>
      <c r="B2431" s="264"/>
      <c r="C2431" s="265"/>
      <c r="D2431" s="266"/>
      <c r="E2431" s="263"/>
      <c r="F2431" s="267"/>
      <c r="G2431" s="267"/>
      <c r="H2431" s="268"/>
      <c r="I2431" s="268"/>
      <c r="J2431" s="267"/>
      <c r="K2431" s="265"/>
      <c r="L2431" s="265"/>
      <c r="M2431" s="269"/>
      <c r="N2431" s="270"/>
      <c r="O2431" s="271"/>
      <c r="P2431" s="271"/>
      <c r="Q2431" s="272"/>
      <c r="R2431" s="273"/>
      <c r="S2431" s="273"/>
      <c r="T2431" s="273"/>
      <c r="U2431" s="274"/>
      <c r="V2431" s="263"/>
      <c r="W2431" s="35"/>
      <c r="X2431" s="35"/>
      <c r="Y2431" s="35"/>
      <c r="Z2431" s="35"/>
      <c r="AA2431" s="35"/>
      <c r="AB2431" s="35"/>
      <c r="AC2431" s="35"/>
      <c r="AD2431" s="35"/>
      <c r="AE2431" s="35"/>
      <c r="AF2431" s="35"/>
      <c r="AG2431" s="35"/>
      <c r="AH2431" s="35"/>
      <c r="AI2431" s="35"/>
    </row>
    <row r="2432">
      <c r="A2432" s="263"/>
      <c r="B2432" s="264"/>
      <c r="C2432" s="265"/>
      <c r="D2432" s="266"/>
      <c r="E2432" s="263"/>
      <c r="F2432" s="267"/>
      <c r="G2432" s="267"/>
      <c r="H2432" s="268"/>
      <c r="I2432" s="268"/>
      <c r="J2432" s="267"/>
      <c r="K2432" s="265"/>
      <c r="L2432" s="265"/>
      <c r="M2432" s="269"/>
      <c r="N2432" s="270"/>
      <c r="O2432" s="271"/>
      <c r="P2432" s="271"/>
      <c r="Q2432" s="272"/>
      <c r="R2432" s="273"/>
      <c r="S2432" s="273"/>
      <c r="T2432" s="273"/>
      <c r="U2432" s="274"/>
      <c r="V2432" s="263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</row>
    <row r="2433">
      <c r="A2433" s="263"/>
      <c r="B2433" s="264"/>
      <c r="C2433" s="265"/>
      <c r="D2433" s="266"/>
      <c r="E2433" s="263"/>
      <c r="F2433" s="267"/>
      <c r="G2433" s="267"/>
      <c r="H2433" s="268"/>
      <c r="I2433" s="268"/>
      <c r="J2433" s="267"/>
      <c r="K2433" s="265"/>
      <c r="L2433" s="265"/>
      <c r="M2433" s="269"/>
      <c r="N2433" s="270"/>
      <c r="O2433" s="271"/>
      <c r="P2433" s="271"/>
      <c r="Q2433" s="272"/>
      <c r="R2433" s="273"/>
      <c r="S2433" s="273"/>
      <c r="T2433" s="273"/>
      <c r="U2433" s="274"/>
      <c r="V2433" s="263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</row>
    <row r="2434">
      <c r="A2434" s="263"/>
      <c r="B2434" s="264"/>
      <c r="C2434" s="265"/>
      <c r="D2434" s="266"/>
      <c r="E2434" s="263"/>
      <c r="F2434" s="267"/>
      <c r="G2434" s="267"/>
      <c r="H2434" s="268"/>
      <c r="I2434" s="268"/>
      <c r="J2434" s="267"/>
      <c r="K2434" s="265"/>
      <c r="L2434" s="265"/>
      <c r="M2434" s="269"/>
      <c r="N2434" s="270"/>
      <c r="O2434" s="271"/>
      <c r="P2434" s="271"/>
      <c r="Q2434" s="272"/>
      <c r="R2434" s="273"/>
      <c r="S2434" s="273"/>
      <c r="T2434" s="273"/>
      <c r="U2434" s="274"/>
      <c r="V2434" s="263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</row>
    <row r="2435">
      <c r="A2435" s="263"/>
      <c r="B2435" s="264"/>
      <c r="C2435" s="265"/>
      <c r="D2435" s="266"/>
      <c r="E2435" s="263"/>
      <c r="F2435" s="267"/>
      <c r="G2435" s="267"/>
      <c r="H2435" s="268"/>
      <c r="I2435" s="268"/>
      <c r="J2435" s="267"/>
      <c r="K2435" s="265"/>
      <c r="L2435" s="265"/>
      <c r="M2435" s="269"/>
      <c r="N2435" s="270"/>
      <c r="O2435" s="271"/>
      <c r="P2435" s="271"/>
      <c r="Q2435" s="272"/>
      <c r="R2435" s="273"/>
      <c r="S2435" s="273"/>
      <c r="T2435" s="273"/>
      <c r="U2435" s="274"/>
      <c r="V2435" s="263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</row>
    <row r="2436">
      <c r="A2436" s="263"/>
      <c r="B2436" s="264"/>
      <c r="C2436" s="265"/>
      <c r="D2436" s="266"/>
      <c r="E2436" s="263"/>
      <c r="F2436" s="267"/>
      <c r="G2436" s="267"/>
      <c r="H2436" s="268"/>
      <c r="I2436" s="268"/>
      <c r="J2436" s="267"/>
      <c r="K2436" s="265"/>
      <c r="L2436" s="265"/>
      <c r="M2436" s="269"/>
      <c r="N2436" s="270"/>
      <c r="O2436" s="271"/>
      <c r="P2436" s="271"/>
      <c r="Q2436" s="272"/>
      <c r="R2436" s="273"/>
      <c r="S2436" s="273"/>
      <c r="T2436" s="273"/>
      <c r="U2436" s="274"/>
      <c r="V2436" s="263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</row>
    <row r="2437">
      <c r="A2437" s="263"/>
      <c r="B2437" s="264"/>
      <c r="C2437" s="265"/>
      <c r="D2437" s="266"/>
      <c r="E2437" s="263"/>
      <c r="F2437" s="267"/>
      <c r="G2437" s="267"/>
      <c r="H2437" s="268"/>
      <c r="I2437" s="268"/>
      <c r="J2437" s="267"/>
      <c r="K2437" s="265"/>
      <c r="L2437" s="265"/>
      <c r="M2437" s="269"/>
      <c r="N2437" s="270"/>
      <c r="O2437" s="271"/>
      <c r="P2437" s="271"/>
      <c r="Q2437" s="272"/>
      <c r="R2437" s="273"/>
      <c r="S2437" s="273"/>
      <c r="T2437" s="273"/>
      <c r="U2437" s="274"/>
      <c r="V2437" s="263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</row>
    <row r="2438">
      <c r="A2438" s="263"/>
      <c r="B2438" s="264"/>
      <c r="C2438" s="265"/>
      <c r="D2438" s="266"/>
      <c r="E2438" s="263"/>
      <c r="F2438" s="267"/>
      <c r="G2438" s="267"/>
      <c r="H2438" s="268"/>
      <c r="I2438" s="268"/>
      <c r="J2438" s="267"/>
      <c r="K2438" s="265"/>
      <c r="L2438" s="265"/>
      <c r="M2438" s="269"/>
      <c r="N2438" s="270"/>
      <c r="O2438" s="271"/>
      <c r="P2438" s="271"/>
      <c r="Q2438" s="272"/>
      <c r="R2438" s="273"/>
      <c r="S2438" s="273"/>
      <c r="T2438" s="273"/>
      <c r="U2438" s="274"/>
      <c r="V2438" s="263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</row>
    <row r="2439">
      <c r="A2439" s="263"/>
      <c r="B2439" s="264"/>
      <c r="C2439" s="265"/>
      <c r="D2439" s="266"/>
      <c r="E2439" s="263"/>
      <c r="F2439" s="267"/>
      <c r="G2439" s="267"/>
      <c r="H2439" s="268"/>
      <c r="I2439" s="268"/>
      <c r="J2439" s="267"/>
      <c r="K2439" s="265"/>
      <c r="L2439" s="265"/>
      <c r="M2439" s="269"/>
      <c r="N2439" s="270"/>
      <c r="O2439" s="271"/>
      <c r="P2439" s="271"/>
      <c r="Q2439" s="272"/>
      <c r="R2439" s="273"/>
      <c r="S2439" s="273"/>
      <c r="T2439" s="273"/>
      <c r="U2439" s="274"/>
      <c r="V2439" s="263"/>
      <c r="W2439" s="188"/>
      <c r="X2439" s="188"/>
      <c r="Y2439" s="188"/>
      <c r="Z2439" s="188"/>
      <c r="AA2439" s="188"/>
      <c r="AB2439" s="188"/>
      <c r="AC2439" s="188"/>
      <c r="AD2439" s="188"/>
      <c r="AE2439" s="188"/>
      <c r="AF2439" s="188"/>
      <c r="AG2439" s="188"/>
      <c r="AH2439" s="188"/>
      <c r="AI2439" s="188"/>
    </row>
    <row r="2440">
      <c r="A2440" s="263"/>
      <c r="B2440" s="264"/>
      <c r="C2440" s="265"/>
      <c r="D2440" s="266"/>
      <c r="E2440" s="263"/>
      <c r="F2440" s="267"/>
      <c r="G2440" s="267"/>
      <c r="H2440" s="268"/>
      <c r="I2440" s="268"/>
      <c r="J2440" s="267"/>
      <c r="K2440" s="265"/>
      <c r="L2440" s="265"/>
      <c r="M2440" s="269"/>
      <c r="N2440" s="270"/>
      <c r="O2440" s="271"/>
      <c r="P2440" s="271"/>
      <c r="Q2440" s="272"/>
      <c r="R2440" s="273"/>
      <c r="S2440" s="273"/>
      <c r="T2440" s="273"/>
      <c r="U2440" s="274"/>
      <c r="V2440" s="263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</row>
    <row r="2441">
      <c r="A2441" s="263"/>
      <c r="B2441" s="264"/>
      <c r="C2441" s="265"/>
      <c r="D2441" s="266"/>
      <c r="E2441" s="263"/>
      <c r="F2441" s="267"/>
      <c r="G2441" s="267"/>
      <c r="H2441" s="268"/>
      <c r="I2441" s="268"/>
      <c r="J2441" s="267"/>
      <c r="K2441" s="265"/>
      <c r="L2441" s="265"/>
      <c r="M2441" s="269"/>
      <c r="N2441" s="270"/>
      <c r="O2441" s="271"/>
      <c r="P2441" s="271"/>
      <c r="Q2441" s="272"/>
      <c r="R2441" s="273"/>
      <c r="S2441" s="273"/>
      <c r="T2441" s="273"/>
      <c r="U2441" s="274"/>
      <c r="V2441" s="263"/>
      <c r="W2441" s="35"/>
      <c r="X2441" s="35"/>
      <c r="Y2441" s="35"/>
      <c r="Z2441" s="35"/>
      <c r="AA2441" s="35"/>
      <c r="AB2441" s="35"/>
      <c r="AC2441" s="35"/>
      <c r="AD2441" s="35"/>
      <c r="AE2441" s="35"/>
      <c r="AF2441" s="35"/>
      <c r="AG2441" s="35"/>
      <c r="AH2441" s="35"/>
      <c r="AI2441" s="35"/>
    </row>
    <row r="2442">
      <c r="A2442" s="263"/>
      <c r="B2442" s="264"/>
      <c r="C2442" s="265"/>
      <c r="D2442" s="266"/>
      <c r="E2442" s="263"/>
      <c r="F2442" s="267"/>
      <c r="G2442" s="267"/>
      <c r="H2442" s="268"/>
      <c r="I2442" s="268"/>
      <c r="J2442" s="267"/>
      <c r="K2442" s="265"/>
      <c r="L2442" s="265"/>
      <c r="M2442" s="269"/>
      <c r="N2442" s="270"/>
      <c r="O2442" s="271"/>
      <c r="P2442" s="271"/>
      <c r="Q2442" s="272"/>
      <c r="R2442" s="273"/>
      <c r="S2442" s="273"/>
      <c r="T2442" s="273"/>
      <c r="U2442" s="274"/>
      <c r="V2442" s="263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</row>
    <row r="2443">
      <c r="A2443" s="263"/>
      <c r="B2443" s="264"/>
      <c r="C2443" s="265"/>
      <c r="D2443" s="266"/>
      <c r="E2443" s="263"/>
      <c r="F2443" s="267"/>
      <c r="G2443" s="267"/>
      <c r="H2443" s="268"/>
      <c r="I2443" s="268"/>
      <c r="J2443" s="267"/>
      <c r="K2443" s="265"/>
      <c r="L2443" s="265"/>
      <c r="M2443" s="269"/>
      <c r="N2443" s="270"/>
      <c r="O2443" s="271"/>
      <c r="P2443" s="271"/>
      <c r="Q2443" s="272"/>
      <c r="R2443" s="273"/>
      <c r="S2443" s="273"/>
      <c r="T2443" s="273"/>
      <c r="U2443" s="274"/>
      <c r="V2443" s="263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</row>
    <row r="2444">
      <c r="A2444" s="263"/>
      <c r="B2444" s="264"/>
      <c r="C2444" s="265"/>
      <c r="D2444" s="266"/>
      <c r="E2444" s="263"/>
      <c r="F2444" s="267"/>
      <c r="G2444" s="267"/>
      <c r="H2444" s="268"/>
      <c r="I2444" s="268"/>
      <c r="J2444" s="267"/>
      <c r="K2444" s="265"/>
      <c r="L2444" s="265"/>
      <c r="M2444" s="269"/>
      <c r="N2444" s="270"/>
      <c r="O2444" s="271"/>
      <c r="P2444" s="271"/>
      <c r="Q2444" s="272"/>
      <c r="R2444" s="273"/>
      <c r="S2444" s="273"/>
      <c r="T2444" s="273"/>
      <c r="U2444" s="274"/>
      <c r="V2444" s="263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</row>
    <row r="2445">
      <c r="A2445" s="263"/>
      <c r="B2445" s="264"/>
      <c r="C2445" s="265"/>
      <c r="D2445" s="266"/>
      <c r="E2445" s="263"/>
      <c r="F2445" s="267"/>
      <c r="G2445" s="267"/>
      <c r="H2445" s="268"/>
      <c r="I2445" s="268"/>
      <c r="J2445" s="267"/>
      <c r="K2445" s="265"/>
      <c r="L2445" s="265"/>
      <c r="M2445" s="269"/>
      <c r="N2445" s="270"/>
      <c r="O2445" s="271"/>
      <c r="P2445" s="271"/>
      <c r="Q2445" s="272"/>
      <c r="R2445" s="273"/>
      <c r="S2445" s="273"/>
      <c r="T2445" s="273"/>
      <c r="U2445" s="274"/>
      <c r="V2445" s="263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</row>
    <row r="2446">
      <c r="A2446" s="263"/>
      <c r="B2446" s="264"/>
      <c r="C2446" s="265"/>
      <c r="D2446" s="266"/>
      <c r="E2446" s="263"/>
      <c r="F2446" s="267"/>
      <c r="G2446" s="267"/>
      <c r="H2446" s="268"/>
      <c r="I2446" s="268"/>
      <c r="J2446" s="267"/>
      <c r="K2446" s="265"/>
      <c r="L2446" s="265"/>
      <c r="M2446" s="269"/>
      <c r="N2446" s="270"/>
      <c r="O2446" s="271"/>
      <c r="P2446" s="271"/>
      <c r="Q2446" s="272"/>
      <c r="R2446" s="273"/>
      <c r="S2446" s="273"/>
      <c r="T2446" s="273"/>
      <c r="U2446" s="274"/>
      <c r="V2446" s="263"/>
      <c r="W2446" s="35"/>
      <c r="X2446" s="35"/>
      <c r="Y2446" s="35"/>
      <c r="Z2446" s="35"/>
      <c r="AA2446" s="35"/>
      <c r="AB2446" s="35"/>
      <c r="AC2446" s="35"/>
      <c r="AD2446" s="35"/>
      <c r="AE2446" s="35"/>
      <c r="AF2446" s="35"/>
      <c r="AG2446" s="35"/>
      <c r="AH2446" s="35"/>
      <c r="AI2446" s="35"/>
    </row>
    <row r="2447">
      <c r="A2447" s="263"/>
      <c r="B2447" s="264"/>
      <c r="C2447" s="265"/>
      <c r="D2447" s="266"/>
      <c r="E2447" s="263"/>
      <c r="F2447" s="267"/>
      <c r="G2447" s="267"/>
      <c r="H2447" s="268"/>
      <c r="I2447" s="268"/>
      <c r="J2447" s="267"/>
      <c r="K2447" s="265"/>
      <c r="L2447" s="265"/>
      <c r="M2447" s="269"/>
      <c r="N2447" s="270"/>
      <c r="O2447" s="271"/>
      <c r="P2447" s="271"/>
      <c r="Q2447" s="272"/>
      <c r="R2447" s="273"/>
      <c r="S2447" s="273"/>
      <c r="T2447" s="273"/>
      <c r="U2447" s="274"/>
      <c r="V2447" s="263"/>
      <c r="W2447" s="35"/>
      <c r="X2447" s="35"/>
      <c r="Y2447" s="35"/>
      <c r="Z2447" s="35"/>
      <c r="AA2447" s="35"/>
      <c r="AB2447" s="35"/>
      <c r="AC2447" s="35"/>
      <c r="AD2447" s="35"/>
      <c r="AE2447" s="35"/>
      <c r="AF2447" s="35"/>
      <c r="AG2447" s="35"/>
      <c r="AH2447" s="35"/>
      <c r="AI2447" s="35"/>
    </row>
    <row r="2448">
      <c r="A2448" s="263"/>
      <c r="B2448" s="264"/>
      <c r="C2448" s="265"/>
      <c r="D2448" s="266"/>
      <c r="E2448" s="263"/>
      <c r="F2448" s="267"/>
      <c r="G2448" s="267"/>
      <c r="H2448" s="268"/>
      <c r="I2448" s="268"/>
      <c r="J2448" s="267"/>
      <c r="K2448" s="265"/>
      <c r="L2448" s="265"/>
      <c r="M2448" s="269"/>
      <c r="N2448" s="270"/>
      <c r="O2448" s="271"/>
      <c r="P2448" s="271"/>
      <c r="Q2448" s="272"/>
      <c r="R2448" s="273"/>
      <c r="S2448" s="273"/>
      <c r="T2448" s="273"/>
      <c r="U2448" s="274"/>
      <c r="V2448" s="263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</row>
    <row r="2449">
      <c r="A2449" s="263"/>
      <c r="B2449" s="264"/>
      <c r="C2449" s="265"/>
      <c r="D2449" s="266"/>
      <c r="E2449" s="263"/>
      <c r="F2449" s="267"/>
      <c r="G2449" s="267"/>
      <c r="H2449" s="268"/>
      <c r="I2449" s="268"/>
      <c r="J2449" s="267"/>
      <c r="K2449" s="265"/>
      <c r="L2449" s="265"/>
      <c r="M2449" s="269"/>
      <c r="N2449" s="270"/>
      <c r="O2449" s="271"/>
      <c r="P2449" s="271"/>
      <c r="Q2449" s="272"/>
      <c r="R2449" s="273"/>
      <c r="S2449" s="273"/>
      <c r="T2449" s="273"/>
      <c r="U2449" s="274"/>
      <c r="V2449" s="263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</row>
    <row r="2450">
      <c r="A2450" s="263"/>
      <c r="B2450" s="264"/>
      <c r="C2450" s="265"/>
      <c r="D2450" s="266"/>
      <c r="E2450" s="263"/>
      <c r="F2450" s="267"/>
      <c r="G2450" s="267"/>
      <c r="H2450" s="268"/>
      <c r="I2450" s="268"/>
      <c r="J2450" s="267"/>
      <c r="K2450" s="265"/>
      <c r="L2450" s="265"/>
      <c r="M2450" s="269"/>
      <c r="N2450" s="270"/>
      <c r="O2450" s="271"/>
      <c r="P2450" s="271"/>
      <c r="Q2450" s="272"/>
      <c r="R2450" s="273"/>
      <c r="S2450" s="273"/>
      <c r="T2450" s="273"/>
      <c r="U2450" s="274"/>
      <c r="V2450" s="263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</row>
    <row r="2451">
      <c r="A2451" s="263"/>
      <c r="B2451" s="264"/>
      <c r="C2451" s="265"/>
      <c r="D2451" s="266"/>
      <c r="E2451" s="263"/>
      <c r="F2451" s="267"/>
      <c r="G2451" s="267"/>
      <c r="H2451" s="268"/>
      <c r="I2451" s="268"/>
      <c r="J2451" s="267"/>
      <c r="K2451" s="265"/>
      <c r="L2451" s="265"/>
      <c r="M2451" s="269"/>
      <c r="N2451" s="270"/>
      <c r="O2451" s="271"/>
      <c r="P2451" s="271"/>
      <c r="Q2451" s="272"/>
      <c r="R2451" s="273"/>
      <c r="S2451" s="273"/>
      <c r="T2451" s="273"/>
      <c r="U2451" s="274"/>
      <c r="V2451" s="263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</row>
    <row r="2452">
      <c r="A2452" s="263"/>
      <c r="B2452" s="264"/>
      <c r="C2452" s="265"/>
      <c r="D2452" s="266"/>
      <c r="E2452" s="263"/>
      <c r="F2452" s="267"/>
      <c r="G2452" s="267"/>
      <c r="H2452" s="268"/>
      <c r="I2452" s="268"/>
      <c r="J2452" s="267"/>
      <c r="K2452" s="265"/>
      <c r="L2452" s="265"/>
      <c r="M2452" s="269"/>
      <c r="N2452" s="270"/>
      <c r="O2452" s="271"/>
      <c r="P2452" s="271"/>
      <c r="Q2452" s="272"/>
      <c r="R2452" s="273"/>
      <c r="S2452" s="273"/>
      <c r="T2452" s="273"/>
      <c r="U2452" s="274"/>
      <c r="V2452" s="263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</row>
    <row r="2453">
      <c r="A2453" s="263"/>
      <c r="B2453" s="264"/>
      <c r="C2453" s="265"/>
      <c r="D2453" s="266"/>
      <c r="E2453" s="263"/>
      <c r="F2453" s="267"/>
      <c r="G2453" s="267"/>
      <c r="H2453" s="268"/>
      <c r="I2453" s="268"/>
      <c r="J2453" s="267"/>
      <c r="K2453" s="265"/>
      <c r="L2453" s="265"/>
      <c r="M2453" s="269"/>
      <c r="N2453" s="270"/>
      <c r="O2453" s="271"/>
      <c r="P2453" s="271"/>
      <c r="Q2453" s="272"/>
      <c r="R2453" s="273"/>
      <c r="S2453" s="273"/>
      <c r="T2453" s="273"/>
      <c r="U2453" s="274"/>
      <c r="V2453" s="263"/>
      <c r="W2453" s="35"/>
      <c r="X2453" s="35"/>
      <c r="Y2453" s="35"/>
      <c r="Z2453" s="35"/>
      <c r="AA2453" s="35"/>
      <c r="AB2453" s="35"/>
      <c r="AC2453" s="35"/>
      <c r="AD2453" s="35"/>
      <c r="AE2453" s="35"/>
      <c r="AF2453" s="35"/>
      <c r="AG2453" s="35"/>
      <c r="AH2453" s="35"/>
      <c r="AI2453" s="35"/>
    </row>
    <row r="2454">
      <c r="A2454" s="263"/>
      <c r="B2454" s="264"/>
      <c r="C2454" s="265"/>
      <c r="D2454" s="266"/>
      <c r="E2454" s="263"/>
      <c r="F2454" s="267"/>
      <c r="G2454" s="267"/>
      <c r="H2454" s="268"/>
      <c r="I2454" s="268"/>
      <c r="J2454" s="267"/>
      <c r="K2454" s="265"/>
      <c r="L2454" s="265"/>
      <c r="M2454" s="269"/>
      <c r="N2454" s="270"/>
      <c r="O2454" s="271"/>
      <c r="P2454" s="271"/>
      <c r="Q2454" s="272"/>
      <c r="R2454" s="273"/>
      <c r="S2454" s="273"/>
      <c r="T2454" s="273"/>
      <c r="U2454" s="274"/>
      <c r="V2454" s="263"/>
      <c r="W2454" s="35"/>
      <c r="X2454" s="35"/>
      <c r="Y2454" s="35"/>
      <c r="Z2454" s="35"/>
      <c r="AA2454" s="35"/>
      <c r="AB2454" s="35"/>
      <c r="AC2454" s="35"/>
      <c r="AD2454" s="35"/>
      <c r="AE2454" s="35"/>
      <c r="AF2454" s="35"/>
      <c r="AG2454" s="35"/>
      <c r="AH2454" s="35"/>
      <c r="AI2454" s="35"/>
    </row>
    <row r="2455">
      <c r="A2455" s="263"/>
      <c r="B2455" s="264"/>
      <c r="C2455" s="265"/>
      <c r="D2455" s="266"/>
      <c r="E2455" s="263"/>
      <c r="F2455" s="267"/>
      <c r="G2455" s="267"/>
      <c r="H2455" s="268"/>
      <c r="I2455" s="268"/>
      <c r="J2455" s="267"/>
      <c r="K2455" s="265"/>
      <c r="L2455" s="265"/>
      <c r="M2455" s="269"/>
      <c r="N2455" s="270"/>
      <c r="O2455" s="271"/>
      <c r="P2455" s="271"/>
      <c r="Q2455" s="272"/>
      <c r="R2455" s="273"/>
      <c r="S2455" s="273"/>
      <c r="T2455" s="273"/>
      <c r="U2455" s="274"/>
      <c r="V2455" s="263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</row>
    <row r="2456">
      <c r="A2456" s="263"/>
      <c r="B2456" s="264"/>
      <c r="C2456" s="265"/>
      <c r="D2456" s="266"/>
      <c r="E2456" s="263"/>
      <c r="F2456" s="267"/>
      <c r="G2456" s="267"/>
      <c r="H2456" s="268"/>
      <c r="I2456" s="268"/>
      <c r="J2456" s="267"/>
      <c r="K2456" s="265"/>
      <c r="L2456" s="265"/>
      <c r="M2456" s="269"/>
      <c r="N2456" s="270"/>
      <c r="O2456" s="271"/>
      <c r="P2456" s="271"/>
      <c r="Q2456" s="272"/>
      <c r="R2456" s="273"/>
      <c r="S2456" s="273"/>
      <c r="T2456" s="273"/>
      <c r="U2456" s="274"/>
      <c r="V2456" s="263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</row>
    <row r="2457">
      <c r="A2457" s="263"/>
      <c r="B2457" s="264"/>
      <c r="C2457" s="265"/>
      <c r="D2457" s="266"/>
      <c r="E2457" s="263"/>
      <c r="F2457" s="267"/>
      <c r="G2457" s="267"/>
      <c r="H2457" s="268"/>
      <c r="I2457" s="268"/>
      <c r="J2457" s="267"/>
      <c r="K2457" s="265"/>
      <c r="L2457" s="265"/>
      <c r="M2457" s="269"/>
      <c r="N2457" s="270"/>
      <c r="O2457" s="271"/>
      <c r="P2457" s="271"/>
      <c r="Q2457" s="272"/>
      <c r="R2457" s="273"/>
      <c r="S2457" s="273"/>
      <c r="T2457" s="273"/>
      <c r="U2457" s="274"/>
      <c r="V2457" s="263"/>
      <c r="W2457" s="35"/>
      <c r="X2457" s="35"/>
      <c r="Y2457" s="35"/>
      <c r="Z2457" s="35"/>
      <c r="AA2457" s="35"/>
      <c r="AB2457" s="35"/>
      <c r="AC2457" s="35"/>
      <c r="AD2457" s="35"/>
      <c r="AE2457" s="35"/>
      <c r="AF2457" s="35"/>
      <c r="AG2457" s="35"/>
      <c r="AH2457" s="35"/>
      <c r="AI2457" s="35"/>
    </row>
    <row r="2458">
      <c r="A2458" s="263"/>
      <c r="B2458" s="264"/>
      <c r="C2458" s="265"/>
      <c r="D2458" s="266"/>
      <c r="E2458" s="263"/>
      <c r="F2458" s="267"/>
      <c r="G2458" s="267"/>
      <c r="H2458" s="268"/>
      <c r="I2458" s="268"/>
      <c r="J2458" s="267"/>
      <c r="K2458" s="265"/>
      <c r="L2458" s="265"/>
      <c r="M2458" s="269"/>
      <c r="N2458" s="270"/>
      <c r="O2458" s="271"/>
      <c r="P2458" s="271"/>
      <c r="Q2458" s="272"/>
      <c r="R2458" s="273"/>
      <c r="S2458" s="273"/>
      <c r="T2458" s="273"/>
      <c r="U2458" s="274"/>
      <c r="V2458" s="263"/>
      <c r="W2458" s="35"/>
      <c r="X2458" s="35"/>
      <c r="Y2458" s="35"/>
      <c r="Z2458" s="35"/>
      <c r="AA2458" s="35"/>
      <c r="AB2458" s="35"/>
      <c r="AC2458" s="35"/>
      <c r="AD2458" s="35"/>
      <c r="AE2458" s="35"/>
      <c r="AF2458" s="35"/>
      <c r="AG2458" s="35"/>
      <c r="AH2458" s="35"/>
      <c r="AI2458" s="35"/>
    </row>
    <row r="2459">
      <c r="A2459" s="263"/>
      <c r="B2459" s="264"/>
      <c r="C2459" s="265"/>
      <c r="D2459" s="266"/>
      <c r="E2459" s="263"/>
      <c r="F2459" s="267"/>
      <c r="G2459" s="267"/>
      <c r="H2459" s="268"/>
      <c r="I2459" s="268"/>
      <c r="J2459" s="267"/>
      <c r="K2459" s="265"/>
      <c r="L2459" s="265"/>
      <c r="M2459" s="269"/>
      <c r="N2459" s="270"/>
      <c r="O2459" s="271"/>
      <c r="P2459" s="271"/>
      <c r="Q2459" s="272"/>
      <c r="R2459" s="273"/>
      <c r="S2459" s="273"/>
      <c r="T2459" s="273"/>
      <c r="U2459" s="274"/>
      <c r="V2459" s="263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</row>
    <row r="2460">
      <c r="A2460" s="263"/>
      <c r="B2460" s="264"/>
      <c r="C2460" s="265"/>
      <c r="D2460" s="266"/>
      <c r="E2460" s="263"/>
      <c r="F2460" s="267"/>
      <c r="G2460" s="267"/>
      <c r="H2460" s="268"/>
      <c r="I2460" s="268"/>
      <c r="J2460" s="267"/>
      <c r="K2460" s="265"/>
      <c r="L2460" s="265"/>
      <c r="M2460" s="269"/>
      <c r="N2460" s="270"/>
      <c r="O2460" s="271"/>
      <c r="P2460" s="271"/>
      <c r="Q2460" s="272"/>
      <c r="R2460" s="273"/>
      <c r="S2460" s="273"/>
      <c r="T2460" s="273"/>
      <c r="U2460" s="274"/>
      <c r="V2460" s="263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</row>
    <row r="2461">
      <c r="A2461" s="263"/>
      <c r="B2461" s="264"/>
      <c r="C2461" s="265"/>
      <c r="D2461" s="266"/>
      <c r="E2461" s="263"/>
      <c r="F2461" s="267"/>
      <c r="G2461" s="267"/>
      <c r="H2461" s="268"/>
      <c r="I2461" s="268"/>
      <c r="J2461" s="267"/>
      <c r="K2461" s="265"/>
      <c r="L2461" s="265"/>
      <c r="M2461" s="269"/>
      <c r="N2461" s="270"/>
      <c r="O2461" s="271"/>
      <c r="P2461" s="271"/>
      <c r="Q2461" s="272"/>
      <c r="R2461" s="273"/>
      <c r="S2461" s="273"/>
      <c r="T2461" s="273"/>
      <c r="U2461" s="274"/>
      <c r="V2461" s="263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</row>
    <row r="2462">
      <c r="A2462" s="263"/>
      <c r="B2462" s="264"/>
      <c r="C2462" s="265"/>
      <c r="D2462" s="266"/>
      <c r="E2462" s="263"/>
      <c r="F2462" s="267"/>
      <c r="G2462" s="267"/>
      <c r="H2462" s="268"/>
      <c r="I2462" s="268"/>
      <c r="J2462" s="267"/>
      <c r="K2462" s="265"/>
      <c r="L2462" s="265"/>
      <c r="M2462" s="269"/>
      <c r="N2462" s="270"/>
      <c r="O2462" s="271"/>
      <c r="P2462" s="271"/>
      <c r="Q2462" s="272"/>
      <c r="R2462" s="273"/>
      <c r="S2462" s="273"/>
      <c r="T2462" s="273"/>
      <c r="U2462" s="274"/>
      <c r="V2462" s="263"/>
      <c r="W2462" s="188"/>
      <c r="X2462" s="188"/>
      <c r="Y2462" s="188"/>
      <c r="Z2462" s="188"/>
      <c r="AA2462" s="188"/>
      <c r="AB2462" s="188"/>
      <c r="AC2462" s="188"/>
      <c r="AD2462" s="188"/>
      <c r="AE2462" s="188"/>
      <c r="AF2462" s="188"/>
      <c r="AG2462" s="188"/>
      <c r="AH2462" s="188"/>
      <c r="AI2462" s="188"/>
    </row>
    <row r="2463">
      <c r="A2463" s="263"/>
      <c r="B2463" s="264"/>
      <c r="C2463" s="265"/>
      <c r="D2463" s="266"/>
      <c r="E2463" s="263"/>
      <c r="F2463" s="267"/>
      <c r="G2463" s="267"/>
      <c r="H2463" s="268"/>
      <c r="I2463" s="268"/>
      <c r="J2463" s="267"/>
      <c r="K2463" s="265"/>
      <c r="L2463" s="265"/>
      <c r="M2463" s="269"/>
      <c r="N2463" s="270"/>
      <c r="O2463" s="271"/>
      <c r="P2463" s="271"/>
      <c r="Q2463" s="272"/>
      <c r="R2463" s="273"/>
      <c r="S2463" s="273"/>
      <c r="T2463" s="273"/>
      <c r="U2463" s="274"/>
      <c r="V2463" s="263"/>
      <c r="W2463" s="35"/>
      <c r="X2463" s="35"/>
      <c r="Y2463" s="35"/>
      <c r="Z2463" s="35"/>
      <c r="AA2463" s="35"/>
      <c r="AB2463" s="35"/>
      <c r="AC2463" s="35"/>
      <c r="AD2463" s="35"/>
      <c r="AE2463" s="35"/>
      <c r="AF2463" s="35"/>
      <c r="AG2463" s="35"/>
      <c r="AH2463" s="35"/>
      <c r="AI2463" s="35"/>
    </row>
    <row r="2464">
      <c r="A2464" s="263"/>
      <c r="B2464" s="264"/>
      <c r="C2464" s="265"/>
      <c r="D2464" s="266"/>
      <c r="E2464" s="263"/>
      <c r="F2464" s="267"/>
      <c r="G2464" s="267"/>
      <c r="H2464" s="268"/>
      <c r="I2464" s="268"/>
      <c r="J2464" s="267"/>
      <c r="K2464" s="265"/>
      <c r="L2464" s="265"/>
      <c r="M2464" s="269"/>
      <c r="N2464" s="270"/>
      <c r="O2464" s="271"/>
      <c r="P2464" s="271"/>
      <c r="Q2464" s="272"/>
      <c r="R2464" s="273"/>
      <c r="S2464" s="273"/>
      <c r="T2464" s="273"/>
      <c r="U2464" s="274"/>
      <c r="V2464" s="263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</row>
    <row r="2465">
      <c r="A2465" s="263"/>
      <c r="B2465" s="264"/>
      <c r="C2465" s="265"/>
      <c r="D2465" s="266"/>
      <c r="E2465" s="263"/>
      <c r="F2465" s="267"/>
      <c r="G2465" s="267"/>
      <c r="H2465" s="268"/>
      <c r="I2465" s="268"/>
      <c r="J2465" s="267"/>
      <c r="K2465" s="265"/>
      <c r="L2465" s="265"/>
      <c r="M2465" s="269"/>
      <c r="N2465" s="270"/>
      <c r="O2465" s="271"/>
      <c r="P2465" s="271"/>
      <c r="Q2465" s="272"/>
      <c r="R2465" s="273"/>
      <c r="S2465" s="273"/>
      <c r="T2465" s="273"/>
      <c r="U2465" s="274"/>
      <c r="V2465" s="263"/>
      <c r="W2465" s="188"/>
      <c r="X2465" s="188"/>
      <c r="Y2465" s="188"/>
      <c r="Z2465" s="188"/>
      <c r="AA2465" s="188"/>
      <c r="AB2465" s="188"/>
      <c r="AC2465" s="188"/>
      <c r="AD2465" s="188"/>
      <c r="AE2465" s="188"/>
      <c r="AF2465" s="188"/>
      <c r="AG2465" s="188"/>
      <c r="AH2465" s="188"/>
      <c r="AI2465" s="188"/>
    </row>
    <row r="2466">
      <c r="A2466" s="263"/>
      <c r="B2466" s="264"/>
      <c r="C2466" s="265"/>
      <c r="D2466" s="266"/>
      <c r="E2466" s="263"/>
      <c r="F2466" s="267"/>
      <c r="G2466" s="267"/>
      <c r="H2466" s="268"/>
      <c r="I2466" s="268"/>
      <c r="J2466" s="267"/>
      <c r="K2466" s="265"/>
      <c r="L2466" s="265"/>
      <c r="M2466" s="269"/>
      <c r="N2466" s="270"/>
      <c r="O2466" s="271"/>
      <c r="P2466" s="271"/>
      <c r="Q2466" s="272"/>
      <c r="R2466" s="273"/>
      <c r="S2466" s="273"/>
      <c r="T2466" s="273"/>
      <c r="U2466" s="274"/>
      <c r="V2466" s="263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</row>
    <row r="2467">
      <c r="A2467" s="263"/>
      <c r="B2467" s="264"/>
      <c r="C2467" s="265"/>
      <c r="D2467" s="266"/>
      <c r="E2467" s="263"/>
      <c r="F2467" s="267"/>
      <c r="G2467" s="267"/>
      <c r="H2467" s="268"/>
      <c r="I2467" s="268"/>
      <c r="J2467" s="267"/>
      <c r="K2467" s="265"/>
      <c r="L2467" s="265"/>
      <c r="M2467" s="269"/>
      <c r="N2467" s="270"/>
      <c r="O2467" s="271"/>
      <c r="P2467" s="271"/>
      <c r="Q2467" s="272"/>
      <c r="R2467" s="273"/>
      <c r="S2467" s="273"/>
      <c r="T2467" s="273"/>
      <c r="U2467" s="274"/>
      <c r="V2467" s="263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</row>
    <row r="2468">
      <c r="A2468" s="263"/>
      <c r="B2468" s="264"/>
      <c r="C2468" s="265"/>
      <c r="D2468" s="266"/>
      <c r="E2468" s="263"/>
      <c r="F2468" s="267"/>
      <c r="G2468" s="267"/>
      <c r="H2468" s="268"/>
      <c r="I2468" s="268"/>
      <c r="J2468" s="267"/>
      <c r="K2468" s="265"/>
      <c r="L2468" s="265"/>
      <c r="M2468" s="269"/>
      <c r="N2468" s="270"/>
      <c r="O2468" s="271"/>
      <c r="P2468" s="271"/>
      <c r="Q2468" s="272"/>
      <c r="R2468" s="273"/>
      <c r="S2468" s="273"/>
      <c r="T2468" s="273"/>
      <c r="U2468" s="274"/>
      <c r="V2468" s="263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</row>
    <row r="2469">
      <c r="A2469" s="263"/>
      <c r="B2469" s="264"/>
      <c r="C2469" s="265"/>
      <c r="D2469" s="266"/>
      <c r="E2469" s="263"/>
      <c r="F2469" s="267"/>
      <c r="G2469" s="267"/>
      <c r="H2469" s="268"/>
      <c r="I2469" s="268"/>
      <c r="J2469" s="267"/>
      <c r="K2469" s="265"/>
      <c r="L2469" s="265"/>
      <c r="M2469" s="269"/>
      <c r="N2469" s="270"/>
      <c r="O2469" s="271"/>
      <c r="P2469" s="271"/>
      <c r="Q2469" s="272"/>
      <c r="R2469" s="273"/>
      <c r="S2469" s="273"/>
      <c r="T2469" s="273"/>
      <c r="U2469" s="274"/>
      <c r="V2469" s="263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</row>
    <row r="2470">
      <c r="A2470" s="263"/>
      <c r="B2470" s="264"/>
      <c r="C2470" s="265"/>
      <c r="D2470" s="266"/>
      <c r="E2470" s="263"/>
      <c r="F2470" s="267"/>
      <c r="G2470" s="267"/>
      <c r="H2470" s="268"/>
      <c r="I2470" s="268"/>
      <c r="J2470" s="267"/>
      <c r="K2470" s="265"/>
      <c r="L2470" s="265"/>
      <c r="M2470" s="269"/>
      <c r="N2470" s="270"/>
      <c r="O2470" s="271"/>
      <c r="P2470" s="271"/>
      <c r="Q2470" s="272"/>
      <c r="R2470" s="273"/>
      <c r="S2470" s="273"/>
      <c r="T2470" s="273"/>
      <c r="U2470" s="274"/>
      <c r="V2470" s="263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</row>
    <row r="2471">
      <c r="A2471" s="263"/>
      <c r="B2471" s="264"/>
      <c r="C2471" s="265"/>
      <c r="D2471" s="266"/>
      <c r="E2471" s="263"/>
      <c r="F2471" s="267"/>
      <c r="G2471" s="267"/>
      <c r="H2471" s="268"/>
      <c r="I2471" s="268"/>
      <c r="J2471" s="267"/>
      <c r="K2471" s="265"/>
      <c r="L2471" s="265"/>
      <c r="M2471" s="269"/>
      <c r="N2471" s="270"/>
      <c r="O2471" s="271"/>
      <c r="P2471" s="271"/>
      <c r="Q2471" s="272"/>
      <c r="R2471" s="273"/>
      <c r="S2471" s="273"/>
      <c r="T2471" s="273"/>
      <c r="U2471" s="274"/>
      <c r="V2471" s="263"/>
      <c r="W2471" s="36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</row>
    <row r="2472">
      <c r="A2472" s="263"/>
      <c r="B2472" s="264"/>
      <c r="C2472" s="265"/>
      <c r="D2472" s="266"/>
      <c r="E2472" s="263"/>
      <c r="F2472" s="267"/>
      <c r="G2472" s="267"/>
      <c r="H2472" s="268"/>
      <c r="I2472" s="268"/>
      <c r="J2472" s="267"/>
      <c r="K2472" s="265"/>
      <c r="L2472" s="265"/>
      <c r="M2472" s="269"/>
      <c r="N2472" s="270"/>
      <c r="O2472" s="271"/>
      <c r="P2472" s="271"/>
      <c r="Q2472" s="272"/>
      <c r="R2472" s="273"/>
      <c r="S2472" s="273"/>
      <c r="T2472" s="273"/>
      <c r="U2472" s="274"/>
      <c r="V2472" s="263"/>
      <c r="W2472" s="36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</row>
    <row r="2473">
      <c r="A2473" s="263"/>
      <c r="B2473" s="264"/>
      <c r="C2473" s="265"/>
      <c r="D2473" s="266"/>
      <c r="E2473" s="263"/>
      <c r="F2473" s="267"/>
      <c r="G2473" s="267"/>
      <c r="H2473" s="268"/>
      <c r="I2473" s="268"/>
      <c r="J2473" s="267"/>
      <c r="K2473" s="265"/>
      <c r="L2473" s="265"/>
      <c r="M2473" s="269"/>
      <c r="N2473" s="270"/>
      <c r="O2473" s="271"/>
      <c r="P2473" s="271"/>
      <c r="Q2473" s="272"/>
      <c r="R2473" s="273"/>
      <c r="S2473" s="273"/>
      <c r="T2473" s="273"/>
      <c r="U2473" s="274"/>
      <c r="V2473" s="263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</row>
    <row r="2474">
      <c r="A2474" s="263"/>
      <c r="B2474" s="264"/>
      <c r="C2474" s="265"/>
      <c r="D2474" s="266"/>
      <c r="E2474" s="263"/>
      <c r="F2474" s="267"/>
      <c r="G2474" s="267"/>
      <c r="H2474" s="268"/>
      <c r="I2474" s="268"/>
      <c r="J2474" s="267"/>
      <c r="K2474" s="265"/>
      <c r="L2474" s="265"/>
      <c r="M2474" s="269"/>
      <c r="N2474" s="270"/>
      <c r="O2474" s="271"/>
      <c r="P2474" s="271"/>
      <c r="Q2474" s="272"/>
      <c r="R2474" s="273"/>
      <c r="S2474" s="273"/>
      <c r="T2474" s="273"/>
      <c r="U2474" s="274"/>
      <c r="V2474" s="263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</row>
    <row r="2475">
      <c r="A2475" s="263"/>
      <c r="B2475" s="264"/>
      <c r="C2475" s="265"/>
      <c r="D2475" s="266"/>
      <c r="E2475" s="263"/>
      <c r="F2475" s="267"/>
      <c r="G2475" s="267"/>
      <c r="H2475" s="268"/>
      <c r="I2475" s="268"/>
      <c r="J2475" s="267"/>
      <c r="K2475" s="265"/>
      <c r="L2475" s="265"/>
      <c r="M2475" s="269"/>
      <c r="N2475" s="270"/>
      <c r="O2475" s="271"/>
      <c r="P2475" s="271"/>
      <c r="Q2475" s="272"/>
      <c r="R2475" s="273"/>
      <c r="S2475" s="273"/>
      <c r="T2475" s="273"/>
      <c r="U2475" s="274"/>
      <c r="V2475" s="263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</row>
    <row r="2476">
      <c r="A2476" s="263"/>
      <c r="B2476" s="264"/>
      <c r="C2476" s="265"/>
      <c r="D2476" s="266"/>
      <c r="E2476" s="263"/>
      <c r="F2476" s="267"/>
      <c r="G2476" s="267"/>
      <c r="H2476" s="268"/>
      <c r="I2476" s="268"/>
      <c r="J2476" s="267"/>
      <c r="K2476" s="265"/>
      <c r="L2476" s="265"/>
      <c r="M2476" s="269"/>
      <c r="N2476" s="270"/>
      <c r="O2476" s="271"/>
      <c r="P2476" s="271"/>
      <c r="Q2476" s="272"/>
      <c r="R2476" s="273"/>
      <c r="S2476" s="273"/>
      <c r="T2476" s="273"/>
      <c r="U2476" s="274"/>
      <c r="V2476" s="263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</row>
    <row r="2477">
      <c r="A2477" s="263"/>
      <c r="B2477" s="264"/>
      <c r="C2477" s="265"/>
      <c r="D2477" s="266"/>
      <c r="E2477" s="263"/>
      <c r="F2477" s="267"/>
      <c r="G2477" s="267"/>
      <c r="H2477" s="268"/>
      <c r="I2477" s="268"/>
      <c r="J2477" s="267"/>
      <c r="K2477" s="265"/>
      <c r="L2477" s="265"/>
      <c r="M2477" s="269"/>
      <c r="N2477" s="270"/>
      <c r="O2477" s="271"/>
      <c r="P2477" s="271"/>
      <c r="Q2477" s="272"/>
      <c r="R2477" s="273"/>
      <c r="S2477" s="273"/>
      <c r="T2477" s="273"/>
      <c r="U2477" s="274"/>
      <c r="V2477" s="263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</row>
    <row r="2478">
      <c r="A2478" s="263"/>
      <c r="B2478" s="264"/>
      <c r="C2478" s="265"/>
      <c r="D2478" s="266"/>
      <c r="E2478" s="263"/>
      <c r="F2478" s="267"/>
      <c r="G2478" s="267"/>
      <c r="H2478" s="268"/>
      <c r="I2478" s="268"/>
      <c r="J2478" s="267"/>
      <c r="K2478" s="265"/>
      <c r="L2478" s="265"/>
      <c r="M2478" s="269"/>
      <c r="N2478" s="270"/>
      <c r="O2478" s="271"/>
      <c r="P2478" s="271"/>
      <c r="Q2478" s="272"/>
      <c r="R2478" s="273"/>
      <c r="S2478" s="273"/>
      <c r="T2478" s="273"/>
      <c r="U2478" s="274"/>
      <c r="V2478" s="263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</row>
    <row r="2479">
      <c r="A2479" s="263"/>
      <c r="B2479" s="264"/>
      <c r="C2479" s="265"/>
      <c r="D2479" s="266"/>
      <c r="E2479" s="263"/>
      <c r="F2479" s="267"/>
      <c r="G2479" s="267"/>
      <c r="H2479" s="268"/>
      <c r="I2479" s="268"/>
      <c r="J2479" s="267"/>
      <c r="K2479" s="265"/>
      <c r="L2479" s="265"/>
      <c r="M2479" s="269"/>
      <c r="N2479" s="270"/>
      <c r="O2479" s="271"/>
      <c r="P2479" s="271"/>
      <c r="Q2479" s="272"/>
      <c r="R2479" s="273"/>
      <c r="S2479" s="273"/>
      <c r="T2479" s="273"/>
      <c r="U2479" s="274"/>
      <c r="V2479" s="263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</row>
    <row r="2480">
      <c r="A2480" s="263"/>
      <c r="B2480" s="264"/>
      <c r="C2480" s="265"/>
      <c r="D2480" s="266"/>
      <c r="E2480" s="263"/>
      <c r="F2480" s="267"/>
      <c r="G2480" s="267"/>
      <c r="H2480" s="268"/>
      <c r="I2480" s="268"/>
      <c r="J2480" s="267"/>
      <c r="K2480" s="265"/>
      <c r="L2480" s="265"/>
      <c r="M2480" s="269"/>
      <c r="N2480" s="270"/>
      <c r="O2480" s="271"/>
      <c r="P2480" s="271"/>
      <c r="Q2480" s="272"/>
      <c r="R2480" s="273"/>
      <c r="S2480" s="273"/>
      <c r="T2480" s="273"/>
      <c r="U2480" s="274"/>
      <c r="V2480" s="263"/>
      <c r="W2480" s="188"/>
      <c r="X2480" s="188"/>
      <c r="Y2480" s="188"/>
      <c r="Z2480" s="188"/>
      <c r="AA2480" s="188"/>
      <c r="AB2480" s="188"/>
      <c r="AC2480" s="188"/>
      <c r="AD2480" s="188"/>
      <c r="AE2480" s="188"/>
      <c r="AF2480" s="188"/>
      <c r="AG2480" s="188"/>
      <c r="AH2480" s="188"/>
      <c r="AI2480" s="188"/>
    </row>
    <row r="2481">
      <c r="A2481" s="263"/>
      <c r="B2481" s="264"/>
      <c r="C2481" s="265"/>
      <c r="D2481" s="266"/>
      <c r="E2481" s="263"/>
      <c r="F2481" s="267"/>
      <c r="G2481" s="267"/>
      <c r="H2481" s="268"/>
      <c r="I2481" s="268"/>
      <c r="J2481" s="267"/>
      <c r="K2481" s="265"/>
      <c r="L2481" s="265"/>
      <c r="M2481" s="269"/>
      <c r="N2481" s="270"/>
      <c r="O2481" s="271"/>
      <c r="P2481" s="271"/>
      <c r="Q2481" s="272"/>
      <c r="R2481" s="273"/>
      <c r="S2481" s="273"/>
      <c r="T2481" s="273"/>
      <c r="U2481" s="274"/>
      <c r="V2481" s="263"/>
      <c r="W2481" s="35"/>
      <c r="X2481" s="35"/>
      <c r="Y2481" s="35"/>
      <c r="Z2481" s="35"/>
      <c r="AA2481" s="35"/>
      <c r="AB2481" s="35"/>
      <c r="AC2481" s="35"/>
      <c r="AD2481" s="35"/>
      <c r="AE2481" s="35"/>
      <c r="AF2481" s="35"/>
      <c r="AG2481" s="35"/>
      <c r="AH2481" s="35"/>
      <c r="AI2481" s="35"/>
    </row>
    <row r="2482">
      <c r="A2482" s="263"/>
      <c r="B2482" s="264"/>
      <c r="C2482" s="265"/>
      <c r="D2482" s="266"/>
      <c r="E2482" s="263"/>
      <c r="F2482" s="267"/>
      <c r="G2482" s="267"/>
      <c r="H2482" s="268"/>
      <c r="I2482" s="268"/>
      <c r="J2482" s="267"/>
      <c r="K2482" s="265"/>
      <c r="L2482" s="265"/>
      <c r="M2482" s="269"/>
      <c r="N2482" s="270"/>
      <c r="O2482" s="271"/>
      <c r="P2482" s="271"/>
      <c r="Q2482" s="272"/>
      <c r="R2482" s="273"/>
      <c r="S2482" s="273"/>
      <c r="T2482" s="273"/>
      <c r="U2482" s="274"/>
      <c r="V2482" s="263"/>
      <c r="W2482" s="188"/>
      <c r="X2482" s="188"/>
      <c r="Y2482" s="188"/>
      <c r="Z2482" s="188"/>
      <c r="AA2482" s="188"/>
      <c r="AB2482" s="188"/>
      <c r="AC2482" s="188"/>
      <c r="AD2482" s="188"/>
      <c r="AE2482" s="188"/>
      <c r="AF2482" s="188"/>
      <c r="AG2482" s="188"/>
      <c r="AH2482" s="188"/>
      <c r="AI2482" s="188"/>
    </row>
    <row r="2483">
      <c r="A2483" s="263"/>
      <c r="B2483" s="264"/>
      <c r="C2483" s="265"/>
      <c r="D2483" s="266"/>
      <c r="E2483" s="263"/>
      <c r="F2483" s="267"/>
      <c r="G2483" s="267"/>
      <c r="H2483" s="268"/>
      <c r="I2483" s="268"/>
      <c r="J2483" s="267"/>
      <c r="K2483" s="265"/>
      <c r="L2483" s="265"/>
      <c r="M2483" s="269"/>
      <c r="N2483" s="270"/>
      <c r="O2483" s="271"/>
      <c r="P2483" s="271"/>
      <c r="Q2483" s="272"/>
      <c r="R2483" s="273"/>
      <c r="S2483" s="273"/>
      <c r="T2483" s="273"/>
      <c r="U2483" s="274"/>
      <c r="V2483" s="263"/>
      <c r="W2483" s="188"/>
      <c r="X2483" s="188"/>
      <c r="Y2483" s="188"/>
      <c r="Z2483" s="188"/>
      <c r="AA2483" s="188"/>
      <c r="AB2483" s="188"/>
      <c r="AC2483" s="188"/>
      <c r="AD2483" s="188"/>
      <c r="AE2483" s="188"/>
      <c r="AF2483" s="188"/>
      <c r="AG2483" s="188"/>
      <c r="AH2483" s="188"/>
      <c r="AI2483" s="188"/>
    </row>
    <row r="2484">
      <c r="A2484" s="263"/>
      <c r="B2484" s="264"/>
      <c r="C2484" s="265"/>
      <c r="D2484" s="266"/>
      <c r="E2484" s="263"/>
      <c r="F2484" s="267"/>
      <c r="G2484" s="267"/>
      <c r="H2484" s="268"/>
      <c r="I2484" s="268"/>
      <c r="J2484" s="267"/>
      <c r="K2484" s="265"/>
      <c r="L2484" s="265"/>
      <c r="M2484" s="269"/>
      <c r="N2484" s="270"/>
      <c r="O2484" s="271"/>
      <c r="P2484" s="271"/>
      <c r="Q2484" s="272"/>
      <c r="R2484" s="273"/>
      <c r="S2484" s="273"/>
      <c r="T2484" s="273"/>
      <c r="U2484" s="274"/>
      <c r="V2484" s="263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</row>
    <row r="2485">
      <c r="A2485" s="263"/>
      <c r="B2485" s="264"/>
      <c r="C2485" s="265"/>
      <c r="D2485" s="266"/>
      <c r="E2485" s="263"/>
      <c r="F2485" s="267"/>
      <c r="G2485" s="267"/>
      <c r="H2485" s="268"/>
      <c r="I2485" s="268"/>
      <c r="J2485" s="267"/>
      <c r="K2485" s="265"/>
      <c r="L2485" s="265"/>
      <c r="M2485" s="269"/>
      <c r="N2485" s="270"/>
      <c r="O2485" s="271"/>
      <c r="P2485" s="271"/>
      <c r="Q2485" s="272"/>
      <c r="R2485" s="273"/>
      <c r="S2485" s="273"/>
      <c r="T2485" s="273"/>
      <c r="U2485" s="274"/>
      <c r="V2485" s="263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</row>
    <row r="2486">
      <c r="A2486" s="263"/>
      <c r="B2486" s="264"/>
      <c r="C2486" s="265"/>
      <c r="D2486" s="266"/>
      <c r="E2486" s="263"/>
      <c r="F2486" s="267"/>
      <c r="G2486" s="267"/>
      <c r="H2486" s="268"/>
      <c r="I2486" s="268"/>
      <c r="J2486" s="267"/>
      <c r="K2486" s="265"/>
      <c r="L2486" s="265"/>
      <c r="M2486" s="269"/>
      <c r="N2486" s="270"/>
      <c r="O2486" s="271"/>
      <c r="P2486" s="271"/>
      <c r="Q2486" s="272"/>
      <c r="R2486" s="273"/>
      <c r="S2486" s="273"/>
      <c r="T2486" s="273"/>
      <c r="U2486" s="274"/>
      <c r="V2486" s="263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</row>
    <row r="2487">
      <c r="A2487" s="263"/>
      <c r="B2487" s="264"/>
      <c r="C2487" s="265"/>
      <c r="D2487" s="266"/>
      <c r="E2487" s="263"/>
      <c r="F2487" s="267"/>
      <c r="G2487" s="267"/>
      <c r="H2487" s="268"/>
      <c r="I2487" s="268"/>
      <c r="J2487" s="267"/>
      <c r="K2487" s="265"/>
      <c r="L2487" s="265"/>
      <c r="M2487" s="269"/>
      <c r="N2487" s="270"/>
      <c r="O2487" s="271"/>
      <c r="P2487" s="271"/>
      <c r="Q2487" s="272"/>
      <c r="R2487" s="273"/>
      <c r="S2487" s="273"/>
      <c r="T2487" s="273"/>
      <c r="U2487" s="274"/>
      <c r="V2487" s="263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</row>
    <row r="2488">
      <c r="A2488" s="263"/>
      <c r="B2488" s="264"/>
      <c r="C2488" s="265"/>
      <c r="D2488" s="266"/>
      <c r="E2488" s="263"/>
      <c r="F2488" s="267"/>
      <c r="G2488" s="267"/>
      <c r="H2488" s="268"/>
      <c r="I2488" s="268"/>
      <c r="J2488" s="267"/>
      <c r="K2488" s="265"/>
      <c r="L2488" s="265"/>
      <c r="M2488" s="269"/>
      <c r="N2488" s="270"/>
      <c r="O2488" s="271"/>
      <c r="P2488" s="271"/>
      <c r="Q2488" s="272"/>
      <c r="R2488" s="273"/>
      <c r="S2488" s="273"/>
      <c r="T2488" s="273"/>
      <c r="U2488" s="274"/>
      <c r="V2488" s="263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</row>
    <row r="2489">
      <c r="A2489" s="263"/>
      <c r="B2489" s="264"/>
      <c r="C2489" s="265"/>
      <c r="D2489" s="266"/>
      <c r="E2489" s="263"/>
      <c r="F2489" s="267"/>
      <c r="G2489" s="267"/>
      <c r="H2489" s="268"/>
      <c r="I2489" s="268"/>
      <c r="J2489" s="267"/>
      <c r="K2489" s="265"/>
      <c r="L2489" s="265"/>
      <c r="M2489" s="269"/>
      <c r="N2489" s="270"/>
      <c r="O2489" s="271"/>
      <c r="P2489" s="271"/>
      <c r="Q2489" s="272"/>
      <c r="R2489" s="273"/>
      <c r="S2489" s="273"/>
      <c r="T2489" s="273"/>
      <c r="U2489" s="274"/>
      <c r="V2489" s="263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</row>
    <row r="2490">
      <c r="A2490" s="263"/>
      <c r="B2490" s="264"/>
      <c r="C2490" s="265"/>
      <c r="D2490" s="266"/>
      <c r="E2490" s="263"/>
      <c r="F2490" s="267"/>
      <c r="G2490" s="267"/>
      <c r="H2490" s="268"/>
      <c r="I2490" s="268"/>
      <c r="J2490" s="267"/>
      <c r="K2490" s="265"/>
      <c r="L2490" s="265"/>
      <c r="M2490" s="269"/>
      <c r="N2490" s="270"/>
      <c r="O2490" s="271"/>
      <c r="P2490" s="271"/>
      <c r="Q2490" s="272"/>
      <c r="R2490" s="273"/>
      <c r="S2490" s="273"/>
      <c r="T2490" s="273"/>
      <c r="U2490" s="274"/>
      <c r="V2490" s="263"/>
      <c r="W2490" s="188"/>
      <c r="X2490" s="188"/>
      <c r="Y2490" s="188"/>
      <c r="Z2490" s="188"/>
      <c r="AA2490" s="188"/>
      <c r="AB2490" s="188"/>
      <c r="AC2490" s="188"/>
      <c r="AD2490" s="188"/>
      <c r="AE2490" s="188"/>
      <c r="AF2490" s="188"/>
      <c r="AG2490" s="188"/>
      <c r="AH2490" s="188"/>
      <c r="AI2490" s="188"/>
    </row>
    <row r="2491">
      <c r="A2491" s="263"/>
      <c r="B2491" s="264"/>
      <c r="C2491" s="265"/>
      <c r="D2491" s="266"/>
      <c r="E2491" s="263"/>
      <c r="F2491" s="267"/>
      <c r="G2491" s="267"/>
      <c r="H2491" s="268"/>
      <c r="I2491" s="268"/>
      <c r="J2491" s="267"/>
      <c r="K2491" s="265"/>
      <c r="L2491" s="265"/>
      <c r="M2491" s="269"/>
      <c r="N2491" s="270"/>
      <c r="O2491" s="271"/>
      <c r="P2491" s="271"/>
      <c r="Q2491" s="272"/>
      <c r="R2491" s="273"/>
      <c r="S2491" s="273"/>
      <c r="T2491" s="273"/>
      <c r="U2491" s="274"/>
      <c r="V2491" s="263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</row>
    <row r="2492">
      <c r="A2492" s="263"/>
      <c r="B2492" s="264"/>
      <c r="C2492" s="265"/>
      <c r="D2492" s="266"/>
      <c r="E2492" s="263"/>
      <c r="F2492" s="267"/>
      <c r="G2492" s="267"/>
      <c r="H2492" s="268"/>
      <c r="I2492" s="268"/>
      <c r="J2492" s="267"/>
      <c r="K2492" s="265"/>
      <c r="L2492" s="265"/>
      <c r="M2492" s="269"/>
      <c r="N2492" s="270"/>
      <c r="O2492" s="271"/>
      <c r="P2492" s="271"/>
      <c r="Q2492" s="272"/>
      <c r="R2492" s="273"/>
      <c r="S2492" s="273"/>
      <c r="T2492" s="273"/>
      <c r="U2492" s="274"/>
      <c r="V2492" s="263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</row>
    <row r="2493">
      <c r="A2493" s="263"/>
      <c r="B2493" s="264"/>
      <c r="C2493" s="265"/>
      <c r="D2493" s="266"/>
      <c r="E2493" s="263"/>
      <c r="F2493" s="267"/>
      <c r="G2493" s="267"/>
      <c r="H2493" s="268"/>
      <c r="I2493" s="268"/>
      <c r="J2493" s="267"/>
      <c r="K2493" s="265"/>
      <c r="L2493" s="265"/>
      <c r="M2493" s="269"/>
      <c r="N2493" s="270"/>
      <c r="O2493" s="271"/>
      <c r="P2493" s="271"/>
      <c r="Q2493" s="272"/>
      <c r="R2493" s="273"/>
      <c r="S2493" s="273"/>
      <c r="T2493" s="273"/>
      <c r="U2493" s="274"/>
      <c r="V2493" s="263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</row>
    <row r="2494">
      <c r="A2494" s="263"/>
      <c r="B2494" s="264"/>
      <c r="C2494" s="265"/>
      <c r="D2494" s="266"/>
      <c r="E2494" s="263"/>
      <c r="F2494" s="267"/>
      <c r="G2494" s="267"/>
      <c r="H2494" s="268"/>
      <c r="I2494" s="268"/>
      <c r="J2494" s="267"/>
      <c r="K2494" s="265"/>
      <c r="L2494" s="265"/>
      <c r="M2494" s="269"/>
      <c r="N2494" s="270"/>
      <c r="O2494" s="271"/>
      <c r="P2494" s="271"/>
      <c r="Q2494" s="272"/>
      <c r="R2494" s="273"/>
      <c r="S2494" s="273"/>
      <c r="T2494" s="273"/>
      <c r="U2494" s="274"/>
      <c r="V2494" s="263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</row>
    <row r="2495">
      <c r="A2495" s="263"/>
      <c r="B2495" s="264"/>
      <c r="C2495" s="265"/>
      <c r="D2495" s="266"/>
      <c r="E2495" s="263"/>
      <c r="F2495" s="267"/>
      <c r="G2495" s="267"/>
      <c r="H2495" s="268"/>
      <c r="I2495" s="268"/>
      <c r="J2495" s="267"/>
      <c r="K2495" s="265"/>
      <c r="L2495" s="265"/>
      <c r="M2495" s="269"/>
      <c r="N2495" s="270"/>
      <c r="O2495" s="271"/>
      <c r="P2495" s="271"/>
      <c r="Q2495" s="272"/>
      <c r="R2495" s="273"/>
      <c r="S2495" s="273"/>
      <c r="T2495" s="273"/>
      <c r="U2495" s="274"/>
      <c r="V2495" s="263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</row>
    <row r="2496">
      <c r="A2496" s="263"/>
      <c r="B2496" s="264"/>
      <c r="C2496" s="265"/>
      <c r="D2496" s="266"/>
      <c r="E2496" s="263"/>
      <c r="F2496" s="267"/>
      <c r="G2496" s="267"/>
      <c r="H2496" s="268"/>
      <c r="I2496" s="268"/>
      <c r="J2496" s="267"/>
      <c r="K2496" s="265"/>
      <c r="L2496" s="265"/>
      <c r="M2496" s="269"/>
      <c r="N2496" s="270"/>
      <c r="O2496" s="271"/>
      <c r="P2496" s="271"/>
      <c r="Q2496" s="272"/>
      <c r="R2496" s="273"/>
      <c r="S2496" s="273"/>
      <c r="T2496" s="273"/>
      <c r="U2496" s="274"/>
      <c r="V2496" s="263"/>
      <c r="W2496" s="35"/>
      <c r="X2496" s="35"/>
      <c r="Y2496" s="35"/>
      <c r="Z2496" s="35"/>
      <c r="AA2496" s="35"/>
      <c r="AB2496" s="35"/>
      <c r="AC2496" s="35"/>
      <c r="AD2496" s="35"/>
      <c r="AE2496" s="35"/>
      <c r="AF2496" s="35"/>
      <c r="AG2496" s="35"/>
      <c r="AH2496" s="35"/>
      <c r="AI2496" s="35"/>
    </row>
    <row r="2497">
      <c r="A2497" s="263"/>
      <c r="B2497" s="264"/>
      <c r="C2497" s="265"/>
      <c r="D2497" s="266"/>
      <c r="E2497" s="263"/>
      <c r="F2497" s="267"/>
      <c r="G2497" s="267"/>
      <c r="H2497" s="268"/>
      <c r="I2497" s="268"/>
      <c r="J2497" s="267"/>
      <c r="K2497" s="265"/>
      <c r="L2497" s="265"/>
      <c r="M2497" s="269"/>
      <c r="N2497" s="270"/>
      <c r="O2497" s="271"/>
      <c r="P2497" s="271"/>
      <c r="Q2497" s="272"/>
      <c r="R2497" s="273"/>
      <c r="S2497" s="273"/>
      <c r="T2497" s="273"/>
      <c r="U2497" s="274"/>
      <c r="V2497" s="263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</row>
    <row r="2498">
      <c r="A2498" s="263"/>
      <c r="B2498" s="264"/>
      <c r="C2498" s="265"/>
      <c r="D2498" s="266"/>
      <c r="E2498" s="263"/>
      <c r="F2498" s="267"/>
      <c r="G2498" s="267"/>
      <c r="H2498" s="268"/>
      <c r="I2498" s="268"/>
      <c r="J2498" s="267"/>
      <c r="K2498" s="265"/>
      <c r="L2498" s="265"/>
      <c r="M2498" s="269"/>
      <c r="N2498" s="270"/>
      <c r="O2498" s="271"/>
      <c r="P2498" s="271"/>
      <c r="Q2498" s="272"/>
      <c r="R2498" s="273"/>
      <c r="S2498" s="273"/>
      <c r="T2498" s="273"/>
      <c r="U2498" s="274"/>
      <c r="V2498" s="263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</row>
    <row r="2499">
      <c r="A2499" s="263"/>
      <c r="B2499" s="264"/>
      <c r="C2499" s="265"/>
      <c r="D2499" s="266"/>
      <c r="E2499" s="263"/>
      <c r="F2499" s="267"/>
      <c r="G2499" s="267"/>
      <c r="H2499" s="268"/>
      <c r="I2499" s="268"/>
      <c r="J2499" s="267"/>
      <c r="K2499" s="265"/>
      <c r="L2499" s="265"/>
      <c r="M2499" s="269"/>
      <c r="N2499" s="270"/>
      <c r="O2499" s="271"/>
      <c r="P2499" s="271"/>
      <c r="Q2499" s="272"/>
      <c r="R2499" s="273"/>
      <c r="S2499" s="273"/>
      <c r="T2499" s="273"/>
      <c r="U2499" s="274"/>
      <c r="V2499" s="263"/>
      <c r="W2499" s="35"/>
      <c r="X2499" s="35"/>
      <c r="Y2499" s="35"/>
      <c r="Z2499" s="35"/>
      <c r="AA2499" s="35"/>
      <c r="AB2499" s="35"/>
      <c r="AC2499" s="35"/>
      <c r="AD2499" s="35"/>
      <c r="AE2499" s="35"/>
      <c r="AF2499" s="35"/>
      <c r="AG2499" s="35"/>
      <c r="AH2499" s="35"/>
      <c r="AI2499" s="35"/>
    </row>
    <row r="2500">
      <c r="A2500" s="263"/>
      <c r="B2500" s="264"/>
      <c r="C2500" s="265"/>
      <c r="D2500" s="266"/>
      <c r="E2500" s="263"/>
      <c r="F2500" s="267"/>
      <c r="G2500" s="267"/>
      <c r="H2500" s="268"/>
      <c r="I2500" s="268"/>
      <c r="J2500" s="267"/>
      <c r="K2500" s="265"/>
      <c r="L2500" s="265"/>
      <c r="M2500" s="269"/>
      <c r="N2500" s="270"/>
      <c r="O2500" s="271"/>
      <c r="P2500" s="271"/>
      <c r="Q2500" s="272"/>
      <c r="R2500" s="273"/>
      <c r="S2500" s="273"/>
      <c r="T2500" s="273"/>
      <c r="U2500" s="274"/>
      <c r="V2500" s="263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</row>
    <row r="2501">
      <c r="A2501" s="263"/>
      <c r="B2501" s="264"/>
      <c r="C2501" s="265"/>
      <c r="D2501" s="266"/>
      <c r="E2501" s="263"/>
      <c r="F2501" s="267"/>
      <c r="G2501" s="267"/>
      <c r="H2501" s="268"/>
      <c r="I2501" s="268"/>
      <c r="J2501" s="267"/>
      <c r="K2501" s="265"/>
      <c r="L2501" s="265"/>
      <c r="M2501" s="269"/>
      <c r="N2501" s="270"/>
      <c r="O2501" s="271"/>
      <c r="P2501" s="271"/>
      <c r="Q2501" s="272"/>
      <c r="R2501" s="273"/>
      <c r="S2501" s="273"/>
      <c r="T2501" s="273"/>
      <c r="U2501" s="274"/>
      <c r="V2501" s="263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</row>
    <row r="2502">
      <c r="A2502" s="263"/>
      <c r="B2502" s="264"/>
      <c r="C2502" s="265"/>
      <c r="D2502" s="266"/>
      <c r="E2502" s="263"/>
      <c r="F2502" s="267"/>
      <c r="G2502" s="267"/>
      <c r="H2502" s="268"/>
      <c r="I2502" s="268"/>
      <c r="J2502" s="267"/>
      <c r="K2502" s="265"/>
      <c r="L2502" s="265"/>
      <c r="M2502" s="269"/>
      <c r="N2502" s="270"/>
      <c r="O2502" s="271"/>
      <c r="P2502" s="271"/>
      <c r="Q2502" s="272"/>
      <c r="R2502" s="273"/>
      <c r="S2502" s="273"/>
      <c r="T2502" s="273"/>
      <c r="U2502" s="274"/>
      <c r="V2502" s="263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</row>
    <row r="2503">
      <c r="A2503" s="263"/>
      <c r="B2503" s="264"/>
      <c r="C2503" s="265"/>
      <c r="D2503" s="266"/>
      <c r="E2503" s="263"/>
      <c r="F2503" s="267"/>
      <c r="G2503" s="267"/>
      <c r="H2503" s="268"/>
      <c r="I2503" s="268"/>
      <c r="J2503" s="267"/>
      <c r="K2503" s="265"/>
      <c r="L2503" s="265"/>
      <c r="M2503" s="269"/>
      <c r="N2503" s="270"/>
      <c r="O2503" s="271"/>
      <c r="P2503" s="271"/>
      <c r="Q2503" s="272"/>
      <c r="R2503" s="273"/>
      <c r="S2503" s="273"/>
      <c r="T2503" s="273"/>
      <c r="U2503" s="274"/>
      <c r="V2503" s="263"/>
      <c r="W2503" s="188"/>
      <c r="X2503" s="188"/>
      <c r="Y2503" s="188"/>
      <c r="Z2503" s="188"/>
      <c r="AA2503" s="188"/>
      <c r="AB2503" s="188"/>
      <c r="AC2503" s="188"/>
      <c r="AD2503" s="188"/>
      <c r="AE2503" s="188"/>
      <c r="AF2503" s="188"/>
      <c r="AG2503" s="188"/>
      <c r="AH2503" s="188"/>
      <c r="AI2503" s="188"/>
    </row>
    <row r="2504">
      <c r="A2504" s="263"/>
      <c r="B2504" s="264"/>
      <c r="C2504" s="265"/>
      <c r="D2504" s="266"/>
      <c r="E2504" s="263"/>
      <c r="F2504" s="267"/>
      <c r="G2504" s="267"/>
      <c r="H2504" s="268"/>
      <c r="I2504" s="268"/>
      <c r="J2504" s="267"/>
      <c r="K2504" s="265"/>
      <c r="L2504" s="265"/>
      <c r="M2504" s="269"/>
      <c r="N2504" s="270"/>
      <c r="O2504" s="271"/>
      <c r="P2504" s="271"/>
      <c r="Q2504" s="272"/>
      <c r="R2504" s="273"/>
      <c r="S2504" s="273"/>
      <c r="T2504" s="273"/>
      <c r="U2504" s="274"/>
      <c r="V2504" s="263"/>
      <c r="W2504" s="35"/>
      <c r="X2504" s="35"/>
      <c r="Y2504" s="35"/>
      <c r="Z2504" s="35"/>
      <c r="AA2504" s="35"/>
      <c r="AB2504" s="35"/>
      <c r="AC2504" s="35"/>
      <c r="AD2504" s="35"/>
      <c r="AE2504" s="35"/>
      <c r="AF2504" s="35"/>
      <c r="AG2504" s="35"/>
      <c r="AH2504" s="35"/>
      <c r="AI2504" s="35"/>
    </row>
    <row r="2505">
      <c r="A2505" s="263"/>
      <c r="B2505" s="264"/>
      <c r="C2505" s="265"/>
      <c r="D2505" s="266"/>
      <c r="E2505" s="263"/>
      <c r="F2505" s="267"/>
      <c r="G2505" s="267"/>
      <c r="H2505" s="268"/>
      <c r="I2505" s="268"/>
      <c r="J2505" s="267"/>
      <c r="K2505" s="265"/>
      <c r="L2505" s="265"/>
      <c r="M2505" s="269"/>
      <c r="N2505" s="270"/>
      <c r="O2505" s="271"/>
      <c r="P2505" s="271"/>
      <c r="Q2505" s="272"/>
      <c r="R2505" s="273"/>
      <c r="S2505" s="273"/>
      <c r="T2505" s="273"/>
      <c r="U2505" s="274"/>
      <c r="V2505" s="263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</row>
    <row r="2506">
      <c r="A2506" s="263"/>
      <c r="B2506" s="264"/>
      <c r="C2506" s="265"/>
      <c r="D2506" s="266"/>
      <c r="E2506" s="263"/>
      <c r="F2506" s="267"/>
      <c r="G2506" s="267"/>
      <c r="H2506" s="268"/>
      <c r="I2506" s="268"/>
      <c r="J2506" s="267"/>
      <c r="K2506" s="265"/>
      <c r="L2506" s="265"/>
      <c r="M2506" s="269"/>
      <c r="N2506" s="270"/>
      <c r="O2506" s="271"/>
      <c r="P2506" s="271"/>
      <c r="Q2506" s="272"/>
      <c r="R2506" s="273"/>
      <c r="S2506" s="273"/>
      <c r="T2506" s="273"/>
      <c r="U2506" s="274"/>
      <c r="V2506" s="263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</row>
    <row r="2507">
      <c r="A2507" s="263"/>
      <c r="B2507" s="264"/>
      <c r="C2507" s="265"/>
      <c r="D2507" s="266"/>
      <c r="E2507" s="263"/>
      <c r="F2507" s="267"/>
      <c r="G2507" s="267"/>
      <c r="H2507" s="268"/>
      <c r="I2507" s="268"/>
      <c r="J2507" s="267"/>
      <c r="K2507" s="265"/>
      <c r="L2507" s="265"/>
      <c r="M2507" s="269"/>
      <c r="N2507" s="270"/>
      <c r="O2507" s="271"/>
      <c r="P2507" s="271"/>
      <c r="Q2507" s="272"/>
      <c r="R2507" s="273"/>
      <c r="S2507" s="273"/>
      <c r="T2507" s="273"/>
      <c r="U2507" s="274"/>
      <c r="V2507" s="263"/>
      <c r="W2507" s="188"/>
      <c r="X2507" s="188"/>
      <c r="Y2507" s="188"/>
      <c r="Z2507" s="188"/>
      <c r="AA2507" s="188"/>
      <c r="AB2507" s="188"/>
      <c r="AC2507" s="188"/>
      <c r="AD2507" s="188"/>
      <c r="AE2507" s="188"/>
      <c r="AF2507" s="188"/>
      <c r="AG2507" s="188"/>
      <c r="AH2507" s="188"/>
      <c r="AI2507" s="188"/>
    </row>
    <row r="2508">
      <c r="A2508" s="263"/>
      <c r="B2508" s="264"/>
      <c r="C2508" s="265"/>
      <c r="D2508" s="266"/>
      <c r="E2508" s="263"/>
      <c r="F2508" s="267"/>
      <c r="G2508" s="267"/>
      <c r="H2508" s="268"/>
      <c r="I2508" s="268"/>
      <c r="J2508" s="267"/>
      <c r="K2508" s="265"/>
      <c r="L2508" s="265"/>
      <c r="M2508" s="269"/>
      <c r="N2508" s="270"/>
      <c r="O2508" s="271"/>
      <c r="P2508" s="271"/>
      <c r="Q2508" s="272"/>
      <c r="R2508" s="273"/>
      <c r="S2508" s="273"/>
      <c r="T2508" s="273"/>
      <c r="U2508" s="274"/>
      <c r="V2508" s="263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</row>
    <row r="2509">
      <c r="A2509" s="263"/>
      <c r="B2509" s="264"/>
      <c r="C2509" s="265"/>
      <c r="D2509" s="266"/>
      <c r="E2509" s="263"/>
      <c r="F2509" s="267"/>
      <c r="G2509" s="267"/>
      <c r="H2509" s="268"/>
      <c r="I2509" s="268"/>
      <c r="J2509" s="267"/>
      <c r="K2509" s="265"/>
      <c r="L2509" s="265"/>
      <c r="M2509" s="269"/>
      <c r="N2509" s="270"/>
      <c r="O2509" s="271"/>
      <c r="P2509" s="271"/>
      <c r="Q2509" s="272"/>
      <c r="R2509" s="273"/>
      <c r="S2509" s="273"/>
      <c r="T2509" s="273"/>
      <c r="U2509" s="274"/>
      <c r="V2509" s="263"/>
      <c r="W2509" s="188"/>
      <c r="X2509" s="188"/>
      <c r="Y2509" s="188"/>
      <c r="Z2509" s="188"/>
      <c r="AA2509" s="188"/>
      <c r="AB2509" s="188"/>
      <c r="AC2509" s="188"/>
      <c r="AD2509" s="188"/>
      <c r="AE2509" s="188"/>
      <c r="AF2509" s="188"/>
      <c r="AG2509" s="188"/>
      <c r="AH2509" s="188"/>
      <c r="AI2509" s="188"/>
    </row>
    <row r="2510">
      <c r="A2510" s="263"/>
      <c r="B2510" s="264"/>
      <c r="C2510" s="265"/>
      <c r="D2510" s="266"/>
      <c r="E2510" s="263"/>
      <c r="F2510" s="267"/>
      <c r="G2510" s="267"/>
      <c r="H2510" s="268"/>
      <c r="I2510" s="268"/>
      <c r="J2510" s="267"/>
      <c r="K2510" s="265"/>
      <c r="L2510" s="265"/>
      <c r="M2510" s="269"/>
      <c r="N2510" s="270"/>
      <c r="O2510" s="271"/>
      <c r="P2510" s="271"/>
      <c r="Q2510" s="272"/>
      <c r="R2510" s="273"/>
      <c r="S2510" s="273"/>
      <c r="T2510" s="273"/>
      <c r="U2510" s="274"/>
      <c r="V2510" s="263"/>
      <c r="W2510" s="188"/>
      <c r="X2510" s="188"/>
      <c r="Y2510" s="188"/>
      <c r="Z2510" s="188"/>
      <c r="AA2510" s="188"/>
      <c r="AB2510" s="188"/>
      <c r="AC2510" s="188"/>
      <c r="AD2510" s="188"/>
      <c r="AE2510" s="188"/>
      <c r="AF2510" s="188"/>
      <c r="AG2510" s="188"/>
      <c r="AH2510" s="188"/>
      <c r="AI2510" s="188"/>
    </row>
    <row r="2511">
      <c r="A2511" s="263"/>
      <c r="B2511" s="264"/>
      <c r="C2511" s="265"/>
      <c r="D2511" s="266"/>
      <c r="E2511" s="263"/>
      <c r="F2511" s="267"/>
      <c r="G2511" s="267"/>
      <c r="H2511" s="268"/>
      <c r="I2511" s="268"/>
      <c r="J2511" s="267"/>
      <c r="K2511" s="265"/>
      <c r="L2511" s="265"/>
      <c r="M2511" s="269"/>
      <c r="N2511" s="270"/>
      <c r="O2511" s="271"/>
      <c r="P2511" s="271"/>
      <c r="Q2511" s="272"/>
      <c r="R2511" s="273"/>
      <c r="S2511" s="273"/>
      <c r="T2511" s="273"/>
      <c r="U2511" s="274"/>
      <c r="V2511" s="263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</row>
    <row r="2512">
      <c r="A2512" s="263"/>
      <c r="B2512" s="264"/>
      <c r="C2512" s="265"/>
      <c r="D2512" s="266"/>
      <c r="E2512" s="263"/>
      <c r="F2512" s="267"/>
      <c r="G2512" s="267"/>
      <c r="H2512" s="268"/>
      <c r="I2512" s="268"/>
      <c r="J2512" s="267"/>
      <c r="K2512" s="265"/>
      <c r="L2512" s="265"/>
      <c r="M2512" s="269"/>
      <c r="N2512" s="270"/>
      <c r="O2512" s="271"/>
      <c r="P2512" s="271"/>
      <c r="Q2512" s="272"/>
      <c r="R2512" s="273"/>
      <c r="S2512" s="273"/>
      <c r="T2512" s="273"/>
      <c r="U2512" s="274"/>
      <c r="V2512" s="263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</row>
    <row r="2513">
      <c r="A2513" s="263"/>
      <c r="B2513" s="264"/>
      <c r="C2513" s="265"/>
      <c r="D2513" s="266"/>
      <c r="E2513" s="263"/>
      <c r="F2513" s="267"/>
      <c r="G2513" s="267"/>
      <c r="H2513" s="268"/>
      <c r="I2513" s="268"/>
      <c r="J2513" s="267"/>
      <c r="K2513" s="265"/>
      <c r="L2513" s="265"/>
      <c r="M2513" s="269"/>
      <c r="N2513" s="270"/>
      <c r="O2513" s="271"/>
      <c r="P2513" s="271"/>
      <c r="Q2513" s="272"/>
      <c r="R2513" s="273"/>
      <c r="S2513" s="273"/>
      <c r="T2513" s="273"/>
      <c r="U2513" s="274"/>
      <c r="V2513" s="263"/>
      <c r="W2513" s="188"/>
      <c r="X2513" s="188"/>
      <c r="Y2513" s="188"/>
      <c r="Z2513" s="188"/>
      <c r="AA2513" s="188"/>
      <c r="AB2513" s="188"/>
      <c r="AC2513" s="188"/>
      <c r="AD2513" s="188"/>
      <c r="AE2513" s="188"/>
      <c r="AF2513" s="188"/>
      <c r="AG2513" s="188"/>
      <c r="AH2513" s="188"/>
      <c r="AI2513" s="188"/>
    </row>
    <row r="2514">
      <c r="A2514" s="263"/>
      <c r="B2514" s="264"/>
      <c r="C2514" s="265"/>
      <c r="D2514" s="266"/>
      <c r="E2514" s="263"/>
      <c r="F2514" s="267"/>
      <c r="G2514" s="267"/>
      <c r="H2514" s="268"/>
      <c r="I2514" s="268"/>
      <c r="J2514" s="267"/>
      <c r="K2514" s="265"/>
      <c r="L2514" s="265"/>
      <c r="M2514" s="269"/>
      <c r="N2514" s="270"/>
      <c r="O2514" s="271"/>
      <c r="P2514" s="271"/>
      <c r="Q2514" s="272"/>
      <c r="R2514" s="273"/>
      <c r="S2514" s="273"/>
      <c r="T2514" s="273"/>
      <c r="U2514" s="274"/>
      <c r="V2514" s="263"/>
      <c r="W2514" s="35"/>
      <c r="X2514" s="35"/>
      <c r="Y2514" s="35"/>
      <c r="Z2514" s="35"/>
      <c r="AA2514" s="35"/>
      <c r="AB2514" s="35"/>
      <c r="AC2514" s="35"/>
      <c r="AD2514" s="35"/>
      <c r="AE2514" s="35"/>
      <c r="AF2514" s="35"/>
      <c r="AG2514" s="35"/>
      <c r="AH2514" s="35"/>
      <c r="AI2514" s="35"/>
    </row>
    <row r="2515">
      <c r="A2515" s="263"/>
      <c r="B2515" s="264"/>
      <c r="C2515" s="265"/>
      <c r="D2515" s="266"/>
      <c r="E2515" s="263"/>
      <c r="F2515" s="267"/>
      <c r="G2515" s="267"/>
      <c r="H2515" s="268"/>
      <c r="I2515" s="268"/>
      <c r="J2515" s="267"/>
      <c r="K2515" s="265"/>
      <c r="L2515" s="265"/>
      <c r="M2515" s="269"/>
      <c r="N2515" s="270"/>
      <c r="O2515" s="271"/>
      <c r="P2515" s="271"/>
      <c r="Q2515" s="272"/>
      <c r="R2515" s="273"/>
      <c r="S2515" s="273"/>
      <c r="T2515" s="273"/>
      <c r="U2515" s="274"/>
      <c r="V2515" s="263"/>
      <c r="W2515" s="35"/>
      <c r="X2515" s="35"/>
      <c r="Y2515" s="35"/>
      <c r="Z2515" s="35"/>
      <c r="AA2515" s="35"/>
      <c r="AB2515" s="35"/>
      <c r="AC2515" s="35"/>
      <c r="AD2515" s="35"/>
      <c r="AE2515" s="35"/>
      <c r="AF2515" s="35"/>
      <c r="AG2515" s="35"/>
      <c r="AH2515" s="35"/>
      <c r="AI2515" s="35"/>
    </row>
    <row r="2516">
      <c r="A2516" s="263"/>
      <c r="B2516" s="264"/>
      <c r="C2516" s="265"/>
      <c r="D2516" s="266"/>
      <c r="E2516" s="263"/>
      <c r="F2516" s="267"/>
      <c r="G2516" s="267"/>
      <c r="H2516" s="268"/>
      <c r="I2516" s="268"/>
      <c r="J2516" s="267"/>
      <c r="K2516" s="265"/>
      <c r="L2516" s="265"/>
      <c r="M2516" s="269"/>
      <c r="N2516" s="270"/>
      <c r="O2516" s="271"/>
      <c r="P2516" s="271"/>
      <c r="Q2516" s="272"/>
      <c r="R2516" s="273"/>
      <c r="S2516" s="273"/>
      <c r="T2516" s="273"/>
      <c r="U2516" s="274"/>
      <c r="V2516" s="263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</row>
    <row r="2517">
      <c r="A2517" s="263"/>
      <c r="B2517" s="264"/>
      <c r="C2517" s="265"/>
      <c r="D2517" s="266"/>
      <c r="E2517" s="263"/>
      <c r="F2517" s="267"/>
      <c r="G2517" s="267"/>
      <c r="H2517" s="268"/>
      <c r="I2517" s="268"/>
      <c r="J2517" s="267"/>
      <c r="K2517" s="265"/>
      <c r="L2517" s="265"/>
      <c r="M2517" s="269"/>
      <c r="N2517" s="270"/>
      <c r="O2517" s="271"/>
      <c r="P2517" s="271"/>
      <c r="Q2517" s="272"/>
      <c r="R2517" s="273"/>
      <c r="S2517" s="273"/>
      <c r="T2517" s="273"/>
      <c r="U2517" s="274"/>
      <c r="V2517" s="263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</row>
    <row r="2518">
      <c r="A2518" s="263"/>
      <c r="B2518" s="264"/>
      <c r="C2518" s="265"/>
      <c r="D2518" s="266"/>
      <c r="E2518" s="263"/>
      <c r="F2518" s="267"/>
      <c r="G2518" s="267"/>
      <c r="H2518" s="268"/>
      <c r="I2518" s="268"/>
      <c r="J2518" s="267"/>
      <c r="K2518" s="265"/>
      <c r="L2518" s="265"/>
      <c r="M2518" s="269"/>
      <c r="N2518" s="270"/>
      <c r="O2518" s="271"/>
      <c r="P2518" s="271"/>
      <c r="Q2518" s="272"/>
      <c r="R2518" s="273"/>
      <c r="S2518" s="273"/>
      <c r="T2518" s="273"/>
      <c r="U2518" s="274"/>
      <c r="V2518" s="263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</row>
    <row r="2519">
      <c r="A2519" s="263"/>
      <c r="B2519" s="264"/>
      <c r="C2519" s="265"/>
      <c r="D2519" s="266"/>
      <c r="E2519" s="263"/>
      <c r="F2519" s="267"/>
      <c r="G2519" s="267"/>
      <c r="H2519" s="268"/>
      <c r="I2519" s="268"/>
      <c r="J2519" s="267"/>
      <c r="K2519" s="265"/>
      <c r="L2519" s="265"/>
      <c r="M2519" s="269"/>
      <c r="N2519" s="270"/>
      <c r="O2519" s="271"/>
      <c r="P2519" s="271"/>
      <c r="Q2519" s="272"/>
      <c r="R2519" s="273"/>
      <c r="S2519" s="273"/>
      <c r="T2519" s="273"/>
      <c r="U2519" s="274"/>
      <c r="V2519" s="263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</row>
    <row r="2520">
      <c r="A2520" s="263"/>
      <c r="B2520" s="264"/>
      <c r="C2520" s="265"/>
      <c r="D2520" s="266"/>
      <c r="E2520" s="263"/>
      <c r="F2520" s="267"/>
      <c r="G2520" s="267"/>
      <c r="H2520" s="268"/>
      <c r="I2520" s="268"/>
      <c r="J2520" s="267"/>
      <c r="K2520" s="265"/>
      <c r="L2520" s="265"/>
      <c r="M2520" s="269"/>
      <c r="N2520" s="270"/>
      <c r="O2520" s="271"/>
      <c r="P2520" s="271"/>
      <c r="Q2520" s="272"/>
      <c r="R2520" s="273"/>
      <c r="S2520" s="273"/>
      <c r="T2520" s="273"/>
      <c r="U2520" s="274"/>
      <c r="V2520" s="263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</row>
    <row r="2521">
      <c r="A2521" s="263"/>
      <c r="B2521" s="264"/>
      <c r="C2521" s="265"/>
      <c r="D2521" s="266"/>
      <c r="E2521" s="263"/>
      <c r="F2521" s="267"/>
      <c r="G2521" s="267"/>
      <c r="H2521" s="268"/>
      <c r="I2521" s="268"/>
      <c r="J2521" s="267"/>
      <c r="K2521" s="265"/>
      <c r="L2521" s="265"/>
      <c r="M2521" s="269"/>
      <c r="N2521" s="270"/>
      <c r="O2521" s="271"/>
      <c r="P2521" s="271"/>
      <c r="Q2521" s="272"/>
      <c r="R2521" s="273"/>
      <c r="S2521" s="273"/>
      <c r="T2521" s="273"/>
      <c r="U2521" s="274"/>
      <c r="V2521" s="263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</row>
    <row r="2522">
      <c r="A2522" s="263"/>
      <c r="B2522" s="264"/>
      <c r="C2522" s="265"/>
      <c r="D2522" s="266"/>
      <c r="E2522" s="263"/>
      <c r="F2522" s="267"/>
      <c r="G2522" s="267"/>
      <c r="H2522" s="268"/>
      <c r="I2522" s="268"/>
      <c r="J2522" s="267"/>
      <c r="K2522" s="265"/>
      <c r="L2522" s="265"/>
      <c r="M2522" s="269"/>
      <c r="N2522" s="270"/>
      <c r="O2522" s="271"/>
      <c r="P2522" s="271"/>
      <c r="Q2522" s="272"/>
      <c r="R2522" s="273"/>
      <c r="S2522" s="273"/>
      <c r="T2522" s="273"/>
      <c r="U2522" s="274"/>
      <c r="V2522" s="263"/>
      <c r="W2522" s="188"/>
      <c r="X2522" s="188"/>
      <c r="Y2522" s="188"/>
      <c r="Z2522" s="188"/>
      <c r="AA2522" s="188"/>
      <c r="AB2522" s="188"/>
      <c r="AC2522" s="188"/>
      <c r="AD2522" s="188"/>
      <c r="AE2522" s="188"/>
      <c r="AF2522" s="188"/>
      <c r="AG2522" s="188"/>
      <c r="AH2522" s="188"/>
      <c r="AI2522" s="188"/>
    </row>
    <row r="2523">
      <c r="A2523" s="263"/>
      <c r="B2523" s="264"/>
      <c r="C2523" s="265"/>
      <c r="D2523" s="266"/>
      <c r="E2523" s="263"/>
      <c r="F2523" s="267"/>
      <c r="G2523" s="267"/>
      <c r="H2523" s="268"/>
      <c r="I2523" s="268"/>
      <c r="J2523" s="267"/>
      <c r="K2523" s="265"/>
      <c r="L2523" s="265"/>
      <c r="M2523" s="269"/>
      <c r="N2523" s="270"/>
      <c r="O2523" s="271"/>
      <c r="P2523" s="271"/>
      <c r="Q2523" s="272"/>
      <c r="R2523" s="273"/>
      <c r="S2523" s="273"/>
      <c r="T2523" s="273"/>
      <c r="U2523" s="274"/>
      <c r="V2523" s="263"/>
      <c r="W2523" s="188"/>
      <c r="X2523" s="188"/>
      <c r="Y2523" s="188"/>
      <c r="Z2523" s="188"/>
      <c r="AA2523" s="188"/>
      <c r="AB2523" s="188"/>
      <c r="AC2523" s="188"/>
      <c r="AD2523" s="188"/>
      <c r="AE2523" s="188"/>
      <c r="AF2523" s="188"/>
      <c r="AG2523" s="188"/>
      <c r="AH2523" s="188"/>
      <c r="AI2523" s="188"/>
    </row>
    <row r="2524">
      <c r="A2524" s="263"/>
      <c r="B2524" s="264"/>
      <c r="C2524" s="265"/>
      <c r="D2524" s="266"/>
      <c r="E2524" s="263"/>
      <c r="F2524" s="267"/>
      <c r="G2524" s="267"/>
      <c r="H2524" s="268"/>
      <c r="I2524" s="268"/>
      <c r="J2524" s="267"/>
      <c r="K2524" s="265"/>
      <c r="L2524" s="265"/>
      <c r="M2524" s="269"/>
      <c r="N2524" s="270"/>
      <c r="O2524" s="271"/>
      <c r="P2524" s="271"/>
      <c r="Q2524" s="272"/>
      <c r="R2524" s="273"/>
      <c r="S2524" s="273"/>
      <c r="T2524" s="273"/>
      <c r="U2524" s="274"/>
      <c r="V2524" s="263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</row>
    <row r="2525">
      <c r="A2525" s="263"/>
      <c r="B2525" s="264"/>
      <c r="C2525" s="265"/>
      <c r="D2525" s="266"/>
      <c r="E2525" s="263"/>
      <c r="F2525" s="267"/>
      <c r="G2525" s="267"/>
      <c r="H2525" s="268"/>
      <c r="I2525" s="268"/>
      <c r="J2525" s="267"/>
      <c r="K2525" s="265"/>
      <c r="L2525" s="265"/>
      <c r="M2525" s="269"/>
      <c r="N2525" s="270"/>
      <c r="O2525" s="271"/>
      <c r="P2525" s="271"/>
      <c r="Q2525" s="272"/>
      <c r="R2525" s="273"/>
      <c r="S2525" s="273"/>
      <c r="T2525" s="273"/>
      <c r="U2525" s="274"/>
      <c r="V2525" s="263"/>
      <c r="W2525" s="188"/>
      <c r="X2525" s="188"/>
      <c r="Y2525" s="188"/>
      <c r="Z2525" s="188"/>
      <c r="AA2525" s="188"/>
      <c r="AB2525" s="188"/>
      <c r="AC2525" s="188"/>
      <c r="AD2525" s="188"/>
      <c r="AE2525" s="188"/>
      <c r="AF2525" s="188"/>
      <c r="AG2525" s="188"/>
      <c r="AH2525" s="188"/>
      <c r="AI2525" s="188"/>
    </row>
    <row r="2526">
      <c r="A2526" s="263"/>
      <c r="B2526" s="264"/>
      <c r="C2526" s="265"/>
      <c r="D2526" s="266"/>
      <c r="E2526" s="263"/>
      <c r="F2526" s="267"/>
      <c r="G2526" s="267"/>
      <c r="H2526" s="268"/>
      <c r="I2526" s="268"/>
      <c r="J2526" s="267"/>
      <c r="K2526" s="265"/>
      <c r="L2526" s="265"/>
      <c r="M2526" s="269"/>
      <c r="N2526" s="270"/>
      <c r="O2526" s="271"/>
      <c r="P2526" s="271"/>
      <c r="Q2526" s="272"/>
      <c r="R2526" s="273"/>
      <c r="S2526" s="273"/>
      <c r="T2526" s="273"/>
      <c r="U2526" s="274"/>
      <c r="V2526" s="263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</row>
    <row r="2527">
      <c r="A2527" s="263"/>
      <c r="B2527" s="264"/>
      <c r="C2527" s="265"/>
      <c r="D2527" s="266"/>
      <c r="E2527" s="263"/>
      <c r="F2527" s="267"/>
      <c r="G2527" s="267"/>
      <c r="H2527" s="268"/>
      <c r="I2527" s="268"/>
      <c r="J2527" s="267"/>
      <c r="K2527" s="265"/>
      <c r="L2527" s="265"/>
      <c r="M2527" s="269"/>
      <c r="N2527" s="270"/>
      <c r="O2527" s="271"/>
      <c r="P2527" s="271"/>
      <c r="Q2527" s="272"/>
      <c r="R2527" s="273"/>
      <c r="S2527" s="273"/>
      <c r="T2527" s="273"/>
      <c r="U2527" s="274"/>
      <c r="V2527" s="263"/>
      <c r="W2527" s="35"/>
      <c r="X2527" s="35"/>
      <c r="Y2527" s="35"/>
      <c r="Z2527" s="35"/>
      <c r="AA2527" s="35"/>
      <c r="AB2527" s="35"/>
      <c r="AC2527" s="35"/>
      <c r="AD2527" s="35"/>
      <c r="AE2527" s="35"/>
      <c r="AF2527" s="35"/>
      <c r="AG2527" s="35"/>
      <c r="AH2527" s="35"/>
      <c r="AI2527" s="35"/>
    </row>
    <row r="2528">
      <c r="A2528" s="263"/>
      <c r="B2528" s="264"/>
      <c r="C2528" s="265"/>
      <c r="D2528" s="266"/>
      <c r="E2528" s="263"/>
      <c r="F2528" s="267"/>
      <c r="G2528" s="267"/>
      <c r="H2528" s="268"/>
      <c r="I2528" s="268"/>
      <c r="J2528" s="267"/>
      <c r="K2528" s="265"/>
      <c r="L2528" s="265"/>
      <c r="M2528" s="269"/>
      <c r="N2528" s="270"/>
      <c r="O2528" s="271"/>
      <c r="P2528" s="271"/>
      <c r="Q2528" s="272"/>
      <c r="R2528" s="273"/>
      <c r="S2528" s="273"/>
      <c r="T2528" s="273"/>
      <c r="U2528" s="274"/>
      <c r="V2528" s="263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</row>
    <row r="2529">
      <c r="A2529" s="263"/>
      <c r="B2529" s="264"/>
      <c r="C2529" s="265"/>
      <c r="D2529" s="266"/>
      <c r="E2529" s="263"/>
      <c r="F2529" s="267"/>
      <c r="G2529" s="267"/>
      <c r="H2529" s="268"/>
      <c r="I2529" s="268"/>
      <c r="J2529" s="267"/>
      <c r="K2529" s="265"/>
      <c r="L2529" s="265"/>
      <c r="M2529" s="269"/>
      <c r="N2529" s="270"/>
      <c r="O2529" s="271"/>
      <c r="P2529" s="271"/>
      <c r="Q2529" s="272"/>
      <c r="R2529" s="273"/>
      <c r="S2529" s="273"/>
      <c r="T2529" s="273"/>
      <c r="U2529" s="274"/>
      <c r="V2529" s="263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</row>
    <row r="2530">
      <c r="A2530" s="263"/>
      <c r="B2530" s="264"/>
      <c r="C2530" s="265"/>
      <c r="D2530" s="266"/>
      <c r="E2530" s="263"/>
      <c r="F2530" s="267"/>
      <c r="G2530" s="267"/>
      <c r="H2530" s="268"/>
      <c r="I2530" s="268"/>
      <c r="J2530" s="267"/>
      <c r="K2530" s="265"/>
      <c r="L2530" s="265"/>
      <c r="M2530" s="269"/>
      <c r="N2530" s="270"/>
      <c r="O2530" s="271"/>
      <c r="P2530" s="271"/>
      <c r="Q2530" s="272"/>
      <c r="R2530" s="273"/>
      <c r="S2530" s="273"/>
      <c r="T2530" s="273"/>
      <c r="U2530" s="274"/>
      <c r="V2530" s="263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</row>
    <row r="2531">
      <c r="A2531" s="263"/>
      <c r="B2531" s="264"/>
      <c r="C2531" s="265"/>
      <c r="D2531" s="266"/>
      <c r="E2531" s="263"/>
      <c r="F2531" s="267"/>
      <c r="G2531" s="267"/>
      <c r="H2531" s="268"/>
      <c r="I2531" s="268"/>
      <c r="J2531" s="267"/>
      <c r="K2531" s="265"/>
      <c r="L2531" s="265"/>
      <c r="M2531" s="269"/>
      <c r="N2531" s="270"/>
      <c r="O2531" s="271"/>
      <c r="P2531" s="271"/>
      <c r="Q2531" s="272"/>
      <c r="R2531" s="273"/>
      <c r="S2531" s="273"/>
      <c r="T2531" s="273"/>
      <c r="U2531" s="274"/>
      <c r="V2531" s="263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</row>
    <row r="2532">
      <c r="A2532" s="263"/>
      <c r="B2532" s="264"/>
      <c r="C2532" s="265"/>
      <c r="D2532" s="266"/>
      <c r="E2532" s="263"/>
      <c r="F2532" s="267"/>
      <c r="G2532" s="267"/>
      <c r="H2532" s="268"/>
      <c r="I2532" s="268"/>
      <c r="J2532" s="267"/>
      <c r="K2532" s="265"/>
      <c r="L2532" s="265"/>
      <c r="M2532" s="269"/>
      <c r="N2532" s="270"/>
      <c r="O2532" s="271"/>
      <c r="P2532" s="271"/>
      <c r="Q2532" s="272"/>
      <c r="R2532" s="273"/>
      <c r="S2532" s="273"/>
      <c r="T2532" s="273"/>
      <c r="U2532" s="274"/>
      <c r="V2532" s="263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</row>
    <row r="2533">
      <c r="A2533" s="263"/>
      <c r="B2533" s="264"/>
      <c r="C2533" s="265"/>
      <c r="D2533" s="266"/>
      <c r="E2533" s="263"/>
      <c r="F2533" s="267"/>
      <c r="G2533" s="267"/>
      <c r="H2533" s="268"/>
      <c r="I2533" s="268"/>
      <c r="J2533" s="267"/>
      <c r="K2533" s="265"/>
      <c r="L2533" s="265"/>
      <c r="M2533" s="269"/>
      <c r="N2533" s="270"/>
      <c r="O2533" s="271"/>
      <c r="P2533" s="271"/>
      <c r="Q2533" s="272"/>
      <c r="R2533" s="273"/>
      <c r="S2533" s="273"/>
      <c r="T2533" s="273"/>
      <c r="U2533" s="274"/>
      <c r="V2533" s="263"/>
      <c r="W2533" s="188"/>
      <c r="X2533" s="188"/>
      <c r="Y2533" s="188"/>
      <c r="Z2533" s="188"/>
      <c r="AA2533" s="188"/>
      <c r="AB2533" s="188"/>
      <c r="AC2533" s="188"/>
      <c r="AD2533" s="188"/>
      <c r="AE2533" s="188"/>
      <c r="AF2533" s="188"/>
      <c r="AG2533" s="188"/>
      <c r="AH2533" s="188"/>
      <c r="AI2533" s="188"/>
    </row>
    <row r="2534">
      <c r="A2534" s="263"/>
      <c r="B2534" s="264"/>
      <c r="C2534" s="265"/>
      <c r="D2534" s="266"/>
      <c r="E2534" s="263"/>
      <c r="F2534" s="267"/>
      <c r="G2534" s="267"/>
      <c r="H2534" s="268"/>
      <c r="I2534" s="268"/>
      <c r="J2534" s="267"/>
      <c r="K2534" s="265"/>
      <c r="L2534" s="265"/>
      <c r="M2534" s="269"/>
      <c r="N2534" s="270"/>
      <c r="O2534" s="271"/>
      <c r="P2534" s="271"/>
      <c r="Q2534" s="272"/>
      <c r="R2534" s="273"/>
      <c r="S2534" s="273"/>
      <c r="T2534" s="273"/>
      <c r="U2534" s="274"/>
      <c r="V2534" s="263"/>
      <c r="W2534" s="188"/>
      <c r="X2534" s="188"/>
      <c r="Y2534" s="188"/>
      <c r="Z2534" s="188"/>
      <c r="AA2534" s="188"/>
      <c r="AB2534" s="188"/>
      <c r="AC2534" s="188"/>
      <c r="AD2534" s="188"/>
      <c r="AE2534" s="188"/>
      <c r="AF2534" s="188"/>
      <c r="AG2534" s="188"/>
      <c r="AH2534" s="188"/>
      <c r="AI2534" s="188"/>
    </row>
    <row r="2535">
      <c r="A2535" s="263"/>
      <c r="B2535" s="264"/>
      <c r="C2535" s="265"/>
      <c r="D2535" s="266"/>
      <c r="E2535" s="263"/>
      <c r="F2535" s="267"/>
      <c r="G2535" s="267"/>
      <c r="H2535" s="268"/>
      <c r="I2535" s="268"/>
      <c r="J2535" s="267"/>
      <c r="K2535" s="265"/>
      <c r="L2535" s="265"/>
      <c r="M2535" s="269"/>
      <c r="N2535" s="270"/>
      <c r="O2535" s="271"/>
      <c r="P2535" s="271"/>
      <c r="Q2535" s="272"/>
      <c r="R2535" s="273"/>
      <c r="S2535" s="273"/>
      <c r="T2535" s="273"/>
      <c r="U2535" s="274"/>
      <c r="V2535" s="263"/>
      <c r="W2535" s="35"/>
      <c r="X2535" s="35"/>
      <c r="Y2535" s="35"/>
      <c r="Z2535" s="35"/>
      <c r="AA2535" s="35"/>
      <c r="AB2535" s="35"/>
      <c r="AC2535" s="35"/>
      <c r="AD2535" s="35"/>
      <c r="AE2535" s="35"/>
      <c r="AF2535" s="35"/>
      <c r="AG2535" s="35"/>
      <c r="AH2535" s="35"/>
      <c r="AI2535" s="35"/>
    </row>
    <row r="2536">
      <c r="A2536" s="263"/>
      <c r="B2536" s="264"/>
      <c r="C2536" s="265"/>
      <c r="D2536" s="266"/>
      <c r="E2536" s="263"/>
      <c r="F2536" s="267"/>
      <c r="G2536" s="267"/>
      <c r="H2536" s="268"/>
      <c r="I2536" s="268"/>
      <c r="J2536" s="267"/>
      <c r="K2536" s="265"/>
      <c r="L2536" s="265"/>
      <c r="M2536" s="269"/>
      <c r="N2536" s="270"/>
      <c r="O2536" s="271"/>
      <c r="P2536" s="271"/>
      <c r="Q2536" s="272"/>
      <c r="R2536" s="273"/>
      <c r="S2536" s="273"/>
      <c r="T2536" s="273"/>
      <c r="U2536" s="274"/>
      <c r="V2536" s="263"/>
      <c r="W2536" s="188"/>
      <c r="X2536" s="188"/>
      <c r="Y2536" s="188"/>
      <c r="Z2536" s="188"/>
      <c r="AA2536" s="188"/>
      <c r="AB2536" s="188"/>
      <c r="AC2536" s="188"/>
      <c r="AD2536" s="188"/>
      <c r="AE2536" s="188"/>
      <c r="AF2536" s="188"/>
      <c r="AG2536" s="188"/>
      <c r="AH2536" s="188"/>
      <c r="AI2536" s="188"/>
    </row>
    <row r="2537">
      <c r="A2537" s="263"/>
      <c r="B2537" s="264"/>
      <c r="C2537" s="265"/>
      <c r="D2537" s="266"/>
      <c r="E2537" s="263"/>
      <c r="F2537" s="267"/>
      <c r="G2537" s="267"/>
      <c r="H2537" s="268"/>
      <c r="I2537" s="268"/>
      <c r="J2537" s="267"/>
      <c r="K2537" s="265"/>
      <c r="L2537" s="265"/>
      <c r="M2537" s="269"/>
      <c r="N2537" s="270"/>
      <c r="O2537" s="271"/>
      <c r="P2537" s="271"/>
      <c r="Q2537" s="272"/>
      <c r="R2537" s="273"/>
      <c r="S2537" s="273"/>
      <c r="T2537" s="273"/>
      <c r="U2537" s="274"/>
      <c r="V2537" s="263"/>
      <c r="W2537" s="188"/>
      <c r="X2537" s="188"/>
      <c r="Y2537" s="188"/>
      <c r="Z2537" s="188"/>
      <c r="AA2537" s="188"/>
      <c r="AB2537" s="188"/>
      <c r="AC2537" s="188"/>
      <c r="AD2537" s="188"/>
      <c r="AE2537" s="188"/>
      <c r="AF2537" s="188"/>
      <c r="AG2537" s="188"/>
      <c r="AH2537" s="188"/>
      <c r="AI2537" s="188"/>
    </row>
    <row r="2538">
      <c r="A2538" s="263"/>
      <c r="B2538" s="264"/>
      <c r="C2538" s="265"/>
      <c r="D2538" s="266"/>
      <c r="E2538" s="263"/>
      <c r="F2538" s="267"/>
      <c r="G2538" s="267"/>
      <c r="H2538" s="268"/>
      <c r="I2538" s="268"/>
      <c r="J2538" s="267"/>
      <c r="K2538" s="265"/>
      <c r="L2538" s="265"/>
      <c r="M2538" s="269"/>
      <c r="N2538" s="270"/>
      <c r="O2538" s="271"/>
      <c r="P2538" s="271"/>
      <c r="Q2538" s="272"/>
      <c r="R2538" s="273"/>
      <c r="S2538" s="273"/>
      <c r="T2538" s="273"/>
      <c r="U2538" s="274"/>
      <c r="V2538" s="263"/>
      <c r="W2538" s="35"/>
      <c r="X2538" s="35"/>
      <c r="Y2538" s="35"/>
      <c r="Z2538" s="35"/>
      <c r="AA2538" s="35"/>
      <c r="AB2538" s="35"/>
      <c r="AC2538" s="35"/>
      <c r="AD2538" s="35"/>
      <c r="AE2538" s="35"/>
      <c r="AF2538" s="35"/>
      <c r="AG2538" s="35"/>
      <c r="AH2538" s="35"/>
      <c r="AI2538" s="35"/>
    </row>
    <row r="2539">
      <c r="A2539" s="263"/>
      <c r="B2539" s="264"/>
      <c r="C2539" s="265"/>
      <c r="D2539" s="266"/>
      <c r="E2539" s="263"/>
      <c r="F2539" s="267"/>
      <c r="G2539" s="267"/>
      <c r="H2539" s="268"/>
      <c r="I2539" s="268"/>
      <c r="J2539" s="267"/>
      <c r="K2539" s="265"/>
      <c r="L2539" s="265"/>
      <c r="M2539" s="269"/>
      <c r="N2539" s="270"/>
      <c r="O2539" s="271"/>
      <c r="P2539" s="271"/>
      <c r="Q2539" s="272"/>
      <c r="R2539" s="273"/>
      <c r="S2539" s="273"/>
      <c r="T2539" s="273"/>
      <c r="U2539" s="274"/>
      <c r="V2539" s="263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</row>
    <row r="2540">
      <c r="A2540" s="263"/>
      <c r="B2540" s="264"/>
      <c r="C2540" s="265"/>
      <c r="D2540" s="266"/>
      <c r="E2540" s="263"/>
      <c r="F2540" s="267"/>
      <c r="G2540" s="267"/>
      <c r="H2540" s="268"/>
      <c r="I2540" s="268"/>
      <c r="J2540" s="267"/>
      <c r="K2540" s="265"/>
      <c r="L2540" s="265"/>
      <c r="M2540" s="269"/>
      <c r="N2540" s="270"/>
      <c r="O2540" s="271"/>
      <c r="P2540" s="271"/>
      <c r="Q2540" s="272"/>
      <c r="R2540" s="273"/>
      <c r="S2540" s="273"/>
      <c r="T2540" s="273"/>
      <c r="U2540" s="274"/>
      <c r="V2540" s="263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</row>
    <row r="2541">
      <c r="A2541" s="263"/>
      <c r="B2541" s="264"/>
      <c r="C2541" s="265"/>
      <c r="D2541" s="266"/>
      <c r="E2541" s="263"/>
      <c r="F2541" s="267"/>
      <c r="G2541" s="267"/>
      <c r="H2541" s="268"/>
      <c r="I2541" s="268"/>
      <c r="J2541" s="267"/>
      <c r="K2541" s="265"/>
      <c r="L2541" s="265"/>
      <c r="M2541" s="269"/>
      <c r="N2541" s="270"/>
      <c r="O2541" s="271"/>
      <c r="P2541" s="271"/>
      <c r="Q2541" s="272"/>
      <c r="R2541" s="273"/>
      <c r="S2541" s="273"/>
      <c r="T2541" s="273"/>
      <c r="U2541" s="274"/>
      <c r="V2541" s="263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</row>
    <row r="2542">
      <c r="A2542" s="263"/>
      <c r="B2542" s="264"/>
      <c r="C2542" s="265"/>
      <c r="D2542" s="266"/>
      <c r="E2542" s="263"/>
      <c r="F2542" s="267"/>
      <c r="G2542" s="267"/>
      <c r="H2542" s="268"/>
      <c r="I2542" s="268"/>
      <c r="J2542" s="267"/>
      <c r="K2542" s="265"/>
      <c r="L2542" s="265"/>
      <c r="M2542" s="269"/>
      <c r="N2542" s="270"/>
      <c r="O2542" s="271"/>
      <c r="P2542" s="271"/>
      <c r="Q2542" s="272"/>
      <c r="R2542" s="273"/>
      <c r="S2542" s="273"/>
      <c r="T2542" s="273"/>
      <c r="U2542" s="274"/>
      <c r="V2542" s="263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</row>
    <row r="2543">
      <c r="A2543" s="263"/>
      <c r="B2543" s="264"/>
      <c r="C2543" s="265"/>
      <c r="D2543" s="266"/>
      <c r="E2543" s="263"/>
      <c r="F2543" s="267"/>
      <c r="G2543" s="267"/>
      <c r="H2543" s="268"/>
      <c r="I2543" s="268"/>
      <c r="J2543" s="267"/>
      <c r="K2543" s="265"/>
      <c r="L2543" s="265"/>
      <c r="M2543" s="269"/>
      <c r="N2543" s="270"/>
      <c r="O2543" s="271"/>
      <c r="P2543" s="271"/>
      <c r="Q2543" s="272"/>
      <c r="R2543" s="273"/>
      <c r="S2543" s="273"/>
      <c r="T2543" s="273"/>
      <c r="U2543" s="274"/>
      <c r="V2543" s="263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</row>
    <row r="2544">
      <c r="A2544" s="263"/>
      <c r="B2544" s="264"/>
      <c r="C2544" s="265"/>
      <c r="D2544" s="266"/>
      <c r="E2544" s="263"/>
      <c r="F2544" s="267"/>
      <c r="G2544" s="267"/>
      <c r="H2544" s="268"/>
      <c r="I2544" s="268"/>
      <c r="J2544" s="267"/>
      <c r="K2544" s="265"/>
      <c r="L2544" s="265"/>
      <c r="M2544" s="269"/>
      <c r="N2544" s="270"/>
      <c r="O2544" s="271"/>
      <c r="P2544" s="271"/>
      <c r="Q2544" s="272"/>
      <c r="R2544" s="273"/>
      <c r="S2544" s="273"/>
      <c r="T2544" s="273"/>
      <c r="U2544" s="274"/>
      <c r="V2544" s="263"/>
      <c r="W2544" s="35"/>
      <c r="X2544" s="35"/>
      <c r="Y2544" s="35"/>
      <c r="Z2544" s="35"/>
      <c r="AA2544" s="35"/>
      <c r="AB2544" s="35"/>
      <c r="AC2544" s="35"/>
      <c r="AD2544" s="35"/>
      <c r="AE2544" s="35"/>
      <c r="AF2544" s="35"/>
      <c r="AG2544" s="35"/>
      <c r="AH2544" s="35"/>
      <c r="AI2544" s="35"/>
    </row>
    <row r="2545">
      <c r="A2545" s="263"/>
      <c r="B2545" s="264"/>
      <c r="C2545" s="265"/>
      <c r="D2545" s="266"/>
      <c r="E2545" s="263"/>
      <c r="F2545" s="267"/>
      <c r="G2545" s="267"/>
      <c r="H2545" s="268"/>
      <c r="I2545" s="268"/>
      <c r="J2545" s="267"/>
      <c r="K2545" s="265"/>
      <c r="L2545" s="265"/>
      <c r="M2545" s="269"/>
      <c r="N2545" s="270"/>
      <c r="O2545" s="271"/>
      <c r="P2545" s="271"/>
      <c r="Q2545" s="272"/>
      <c r="R2545" s="273"/>
      <c r="S2545" s="273"/>
      <c r="T2545" s="273"/>
      <c r="U2545" s="274"/>
      <c r="V2545" s="263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</row>
    <row r="2546">
      <c r="A2546" s="263"/>
      <c r="B2546" s="264"/>
      <c r="C2546" s="265"/>
      <c r="D2546" s="266"/>
      <c r="E2546" s="263"/>
      <c r="F2546" s="267"/>
      <c r="G2546" s="267"/>
      <c r="H2546" s="268"/>
      <c r="I2546" s="268"/>
      <c r="J2546" s="267"/>
      <c r="K2546" s="265"/>
      <c r="L2546" s="265"/>
      <c r="M2546" s="269"/>
      <c r="N2546" s="270"/>
      <c r="O2546" s="271"/>
      <c r="P2546" s="271"/>
      <c r="Q2546" s="272"/>
      <c r="R2546" s="273"/>
      <c r="S2546" s="273"/>
      <c r="T2546" s="273"/>
      <c r="U2546" s="274"/>
      <c r="V2546" s="263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</row>
    <row r="2547">
      <c r="A2547" s="263"/>
      <c r="B2547" s="264"/>
      <c r="C2547" s="265"/>
      <c r="D2547" s="266"/>
      <c r="E2547" s="263"/>
      <c r="F2547" s="267"/>
      <c r="G2547" s="267"/>
      <c r="H2547" s="268"/>
      <c r="I2547" s="268"/>
      <c r="J2547" s="267"/>
      <c r="K2547" s="265"/>
      <c r="L2547" s="265"/>
      <c r="M2547" s="269"/>
      <c r="N2547" s="270"/>
      <c r="O2547" s="271"/>
      <c r="P2547" s="271"/>
      <c r="Q2547" s="272"/>
      <c r="R2547" s="273"/>
      <c r="S2547" s="273"/>
      <c r="T2547" s="273"/>
      <c r="U2547" s="274"/>
      <c r="V2547" s="263"/>
      <c r="W2547" s="36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</row>
    <row r="2548">
      <c r="A2548" s="263"/>
      <c r="B2548" s="264"/>
      <c r="C2548" s="265"/>
      <c r="D2548" s="266"/>
      <c r="E2548" s="263"/>
      <c r="F2548" s="267"/>
      <c r="G2548" s="267"/>
      <c r="H2548" s="268"/>
      <c r="I2548" s="268"/>
      <c r="J2548" s="267"/>
      <c r="K2548" s="265"/>
      <c r="L2548" s="265"/>
      <c r="M2548" s="269"/>
      <c r="N2548" s="270"/>
      <c r="O2548" s="271"/>
      <c r="P2548" s="271"/>
      <c r="Q2548" s="272"/>
      <c r="R2548" s="273"/>
      <c r="S2548" s="273"/>
      <c r="T2548" s="273"/>
      <c r="U2548" s="274"/>
      <c r="V2548" s="263"/>
      <c r="W2548" s="188"/>
      <c r="X2548" s="188"/>
      <c r="Y2548" s="188"/>
      <c r="Z2548" s="188"/>
      <c r="AA2548" s="188"/>
      <c r="AB2548" s="188"/>
      <c r="AC2548" s="188"/>
      <c r="AD2548" s="188"/>
      <c r="AE2548" s="188"/>
      <c r="AF2548" s="188"/>
      <c r="AG2548" s="188"/>
      <c r="AH2548" s="188"/>
      <c r="AI2548" s="188"/>
    </row>
    <row r="2549">
      <c r="A2549" s="263"/>
      <c r="B2549" s="264"/>
      <c r="C2549" s="265"/>
      <c r="D2549" s="266"/>
      <c r="E2549" s="263"/>
      <c r="F2549" s="267"/>
      <c r="G2549" s="267"/>
      <c r="H2549" s="268"/>
      <c r="I2549" s="268"/>
      <c r="J2549" s="267"/>
      <c r="K2549" s="265"/>
      <c r="L2549" s="265"/>
      <c r="M2549" s="269"/>
      <c r="N2549" s="270"/>
      <c r="O2549" s="271"/>
      <c r="P2549" s="271"/>
      <c r="Q2549" s="272"/>
      <c r="R2549" s="273"/>
      <c r="S2549" s="273"/>
      <c r="T2549" s="273"/>
      <c r="U2549" s="274"/>
      <c r="V2549" s="263"/>
      <c r="W2549" s="188"/>
      <c r="X2549" s="188"/>
      <c r="Y2549" s="188"/>
      <c r="Z2549" s="188"/>
      <c r="AA2549" s="188"/>
      <c r="AB2549" s="188"/>
      <c r="AC2549" s="188"/>
      <c r="AD2549" s="188"/>
      <c r="AE2549" s="188"/>
      <c r="AF2549" s="188"/>
      <c r="AG2549" s="188"/>
      <c r="AH2549" s="188"/>
      <c r="AI2549" s="188"/>
    </row>
    <row r="2550">
      <c r="A2550" s="263"/>
      <c r="B2550" s="264"/>
      <c r="C2550" s="265"/>
      <c r="D2550" s="266"/>
      <c r="E2550" s="263"/>
      <c r="F2550" s="267"/>
      <c r="G2550" s="267"/>
      <c r="H2550" s="268"/>
      <c r="I2550" s="268"/>
      <c r="J2550" s="267"/>
      <c r="K2550" s="265"/>
      <c r="L2550" s="265"/>
      <c r="M2550" s="269"/>
      <c r="N2550" s="270"/>
      <c r="O2550" s="271"/>
      <c r="P2550" s="271"/>
      <c r="Q2550" s="272"/>
      <c r="R2550" s="273"/>
      <c r="S2550" s="273"/>
      <c r="T2550" s="273"/>
      <c r="U2550" s="274"/>
      <c r="V2550" s="263"/>
      <c r="W2550" s="188"/>
      <c r="X2550" s="188"/>
      <c r="Y2550" s="188"/>
      <c r="Z2550" s="188"/>
      <c r="AA2550" s="188"/>
      <c r="AB2550" s="188"/>
      <c r="AC2550" s="188"/>
      <c r="AD2550" s="188"/>
      <c r="AE2550" s="188"/>
      <c r="AF2550" s="188"/>
      <c r="AG2550" s="188"/>
      <c r="AH2550" s="188"/>
      <c r="AI2550" s="188"/>
    </row>
    <row r="2551">
      <c r="A2551" s="263"/>
      <c r="B2551" s="264"/>
      <c r="C2551" s="265"/>
      <c r="D2551" s="266"/>
      <c r="E2551" s="263"/>
      <c r="F2551" s="267"/>
      <c r="G2551" s="267"/>
      <c r="H2551" s="268"/>
      <c r="I2551" s="268"/>
      <c r="J2551" s="267"/>
      <c r="K2551" s="265"/>
      <c r="L2551" s="265"/>
      <c r="M2551" s="269"/>
      <c r="N2551" s="270"/>
      <c r="O2551" s="271"/>
      <c r="P2551" s="271"/>
      <c r="Q2551" s="272"/>
      <c r="R2551" s="273"/>
      <c r="S2551" s="273"/>
      <c r="T2551" s="273"/>
      <c r="U2551" s="274"/>
      <c r="V2551" s="263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</row>
    <row r="2552">
      <c r="A2552" s="263"/>
      <c r="B2552" s="264"/>
      <c r="C2552" s="265"/>
      <c r="D2552" s="266"/>
      <c r="E2552" s="263"/>
      <c r="F2552" s="267"/>
      <c r="G2552" s="267"/>
      <c r="H2552" s="268"/>
      <c r="I2552" s="268"/>
      <c r="J2552" s="267"/>
      <c r="K2552" s="265"/>
      <c r="L2552" s="265"/>
      <c r="M2552" s="269"/>
      <c r="N2552" s="270"/>
      <c r="O2552" s="271"/>
      <c r="P2552" s="271"/>
      <c r="Q2552" s="272"/>
      <c r="R2552" s="273"/>
      <c r="S2552" s="273"/>
      <c r="T2552" s="273"/>
      <c r="U2552" s="274"/>
      <c r="V2552" s="263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</row>
    <row r="2553">
      <c r="A2553" s="263"/>
      <c r="B2553" s="264"/>
      <c r="C2553" s="265"/>
      <c r="D2553" s="266"/>
      <c r="E2553" s="263"/>
      <c r="F2553" s="267"/>
      <c r="G2553" s="267"/>
      <c r="H2553" s="268"/>
      <c r="I2553" s="268"/>
      <c r="J2553" s="267"/>
      <c r="K2553" s="265"/>
      <c r="L2553" s="265"/>
      <c r="M2553" s="269"/>
      <c r="N2553" s="270"/>
      <c r="O2553" s="271"/>
      <c r="P2553" s="271"/>
      <c r="Q2553" s="272"/>
      <c r="R2553" s="273"/>
      <c r="S2553" s="273"/>
      <c r="T2553" s="273"/>
      <c r="U2553" s="274"/>
      <c r="V2553" s="263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</row>
    <row r="2554">
      <c r="A2554" s="263"/>
      <c r="B2554" s="264"/>
      <c r="C2554" s="265"/>
      <c r="D2554" s="266"/>
      <c r="E2554" s="263"/>
      <c r="F2554" s="267"/>
      <c r="G2554" s="267"/>
      <c r="H2554" s="268"/>
      <c r="I2554" s="268"/>
      <c r="J2554" s="267"/>
      <c r="K2554" s="265"/>
      <c r="L2554" s="265"/>
      <c r="M2554" s="269"/>
      <c r="N2554" s="270"/>
      <c r="O2554" s="271"/>
      <c r="P2554" s="271"/>
      <c r="Q2554" s="272"/>
      <c r="R2554" s="273"/>
      <c r="S2554" s="273"/>
      <c r="T2554" s="273"/>
      <c r="U2554" s="274"/>
      <c r="V2554" s="263"/>
      <c r="W2554" s="36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</row>
    <row r="2555">
      <c r="A2555" s="263"/>
      <c r="B2555" s="264"/>
      <c r="C2555" s="265"/>
      <c r="D2555" s="266"/>
      <c r="E2555" s="263"/>
      <c r="F2555" s="267"/>
      <c r="G2555" s="267"/>
      <c r="H2555" s="268"/>
      <c r="I2555" s="268"/>
      <c r="J2555" s="267"/>
      <c r="K2555" s="265"/>
      <c r="L2555" s="265"/>
      <c r="M2555" s="269"/>
      <c r="N2555" s="270"/>
      <c r="O2555" s="271"/>
      <c r="P2555" s="271"/>
      <c r="Q2555" s="272"/>
      <c r="R2555" s="273"/>
      <c r="S2555" s="273"/>
      <c r="T2555" s="273"/>
      <c r="U2555" s="274"/>
      <c r="V2555" s="263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</row>
    <row r="2556">
      <c r="A2556" s="263"/>
      <c r="B2556" s="264"/>
      <c r="C2556" s="265"/>
      <c r="D2556" s="266"/>
      <c r="E2556" s="263"/>
      <c r="F2556" s="267"/>
      <c r="G2556" s="267"/>
      <c r="H2556" s="268"/>
      <c r="I2556" s="268"/>
      <c r="J2556" s="267"/>
      <c r="K2556" s="265"/>
      <c r="L2556" s="265"/>
      <c r="M2556" s="269"/>
      <c r="N2556" s="270"/>
      <c r="O2556" s="271"/>
      <c r="P2556" s="271"/>
      <c r="Q2556" s="272"/>
      <c r="R2556" s="273"/>
      <c r="S2556" s="273"/>
      <c r="T2556" s="273"/>
      <c r="U2556" s="274"/>
      <c r="V2556" s="263"/>
      <c r="W2556" s="35"/>
      <c r="X2556" s="35"/>
      <c r="Y2556" s="35"/>
      <c r="Z2556" s="35"/>
      <c r="AA2556" s="35"/>
      <c r="AB2556" s="35"/>
      <c r="AC2556" s="35"/>
      <c r="AD2556" s="35"/>
      <c r="AE2556" s="35"/>
      <c r="AF2556" s="35"/>
      <c r="AG2556" s="35"/>
      <c r="AH2556" s="35"/>
      <c r="AI2556" s="35"/>
    </row>
    <row r="2557">
      <c r="A2557" s="263"/>
      <c r="B2557" s="264"/>
      <c r="C2557" s="265"/>
      <c r="D2557" s="266"/>
      <c r="E2557" s="263"/>
      <c r="F2557" s="267"/>
      <c r="G2557" s="267"/>
      <c r="H2557" s="268"/>
      <c r="I2557" s="268"/>
      <c r="J2557" s="267"/>
      <c r="K2557" s="265"/>
      <c r="L2557" s="265"/>
      <c r="M2557" s="269"/>
      <c r="N2557" s="270"/>
      <c r="O2557" s="271"/>
      <c r="P2557" s="271"/>
      <c r="Q2557" s="272"/>
      <c r="R2557" s="273"/>
      <c r="S2557" s="273"/>
      <c r="T2557" s="273"/>
      <c r="U2557" s="274"/>
      <c r="V2557" s="263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</row>
    <row r="2558">
      <c r="A2558" s="263"/>
      <c r="B2558" s="264"/>
      <c r="C2558" s="265"/>
      <c r="D2558" s="266"/>
      <c r="E2558" s="263"/>
      <c r="F2558" s="267"/>
      <c r="G2558" s="267"/>
      <c r="H2558" s="268"/>
      <c r="I2558" s="268"/>
      <c r="J2558" s="267"/>
      <c r="K2558" s="265"/>
      <c r="L2558" s="265"/>
      <c r="M2558" s="269"/>
      <c r="N2558" s="270"/>
      <c r="O2558" s="271"/>
      <c r="P2558" s="271"/>
      <c r="Q2558" s="272"/>
      <c r="R2558" s="273"/>
      <c r="S2558" s="273"/>
      <c r="T2558" s="273"/>
      <c r="U2558" s="274"/>
      <c r="V2558" s="263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</row>
    <row r="2559">
      <c r="A2559" s="263"/>
      <c r="B2559" s="264"/>
      <c r="C2559" s="265"/>
      <c r="D2559" s="266"/>
      <c r="E2559" s="263"/>
      <c r="F2559" s="267"/>
      <c r="G2559" s="267"/>
      <c r="H2559" s="268"/>
      <c r="I2559" s="268"/>
      <c r="J2559" s="267"/>
      <c r="K2559" s="265"/>
      <c r="L2559" s="265"/>
      <c r="M2559" s="269"/>
      <c r="N2559" s="270"/>
      <c r="O2559" s="271"/>
      <c r="P2559" s="271"/>
      <c r="Q2559" s="272"/>
      <c r="R2559" s="273"/>
      <c r="S2559" s="273"/>
      <c r="T2559" s="273"/>
      <c r="U2559" s="274"/>
      <c r="V2559" s="263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</row>
    <row r="2560">
      <c r="A2560" s="263"/>
      <c r="B2560" s="264"/>
      <c r="C2560" s="265"/>
      <c r="D2560" s="266"/>
      <c r="E2560" s="263"/>
      <c r="F2560" s="267"/>
      <c r="G2560" s="267"/>
      <c r="H2560" s="268"/>
      <c r="I2560" s="268"/>
      <c r="J2560" s="267"/>
      <c r="K2560" s="265"/>
      <c r="L2560" s="265"/>
      <c r="M2560" s="269"/>
      <c r="N2560" s="270"/>
      <c r="O2560" s="271"/>
      <c r="P2560" s="271"/>
      <c r="Q2560" s="272"/>
      <c r="R2560" s="273"/>
      <c r="S2560" s="273"/>
      <c r="T2560" s="273"/>
      <c r="U2560" s="274"/>
      <c r="V2560" s="263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</row>
    <row r="2561">
      <c r="A2561" s="263"/>
      <c r="B2561" s="264"/>
      <c r="C2561" s="265"/>
      <c r="D2561" s="266"/>
      <c r="E2561" s="263"/>
      <c r="F2561" s="267"/>
      <c r="G2561" s="267"/>
      <c r="H2561" s="268"/>
      <c r="I2561" s="268"/>
      <c r="J2561" s="267"/>
      <c r="K2561" s="265"/>
      <c r="L2561" s="265"/>
      <c r="M2561" s="269"/>
      <c r="N2561" s="270"/>
      <c r="O2561" s="271"/>
      <c r="P2561" s="271"/>
      <c r="Q2561" s="272"/>
      <c r="R2561" s="273"/>
      <c r="S2561" s="273"/>
      <c r="T2561" s="273"/>
      <c r="U2561" s="274"/>
      <c r="V2561" s="263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</row>
    <row r="2562">
      <c r="A2562" s="263"/>
      <c r="B2562" s="264"/>
      <c r="C2562" s="265"/>
      <c r="D2562" s="266"/>
      <c r="E2562" s="263"/>
      <c r="F2562" s="267"/>
      <c r="G2562" s="267"/>
      <c r="H2562" s="268"/>
      <c r="I2562" s="268"/>
      <c r="J2562" s="267"/>
      <c r="K2562" s="265"/>
      <c r="L2562" s="265"/>
      <c r="M2562" s="269"/>
      <c r="N2562" s="270"/>
      <c r="O2562" s="271"/>
      <c r="P2562" s="271"/>
      <c r="Q2562" s="272"/>
      <c r="R2562" s="273"/>
      <c r="S2562" s="273"/>
      <c r="T2562" s="273"/>
      <c r="U2562" s="274"/>
      <c r="V2562" s="263"/>
      <c r="W2562" s="188"/>
      <c r="X2562" s="188"/>
      <c r="Y2562" s="188"/>
      <c r="Z2562" s="188"/>
      <c r="AA2562" s="188"/>
      <c r="AB2562" s="188"/>
      <c r="AC2562" s="188"/>
      <c r="AD2562" s="188"/>
      <c r="AE2562" s="188"/>
      <c r="AF2562" s="188"/>
      <c r="AG2562" s="188"/>
      <c r="AH2562" s="188"/>
      <c r="AI2562" s="188"/>
    </row>
    <row r="2563">
      <c r="A2563" s="263"/>
      <c r="B2563" s="264"/>
      <c r="C2563" s="265"/>
      <c r="D2563" s="266"/>
      <c r="E2563" s="263"/>
      <c r="F2563" s="267"/>
      <c r="G2563" s="267"/>
      <c r="H2563" s="268"/>
      <c r="I2563" s="268"/>
      <c r="J2563" s="267"/>
      <c r="K2563" s="265"/>
      <c r="L2563" s="265"/>
      <c r="M2563" s="269"/>
      <c r="N2563" s="270"/>
      <c r="O2563" s="271"/>
      <c r="P2563" s="271"/>
      <c r="Q2563" s="272"/>
      <c r="R2563" s="273"/>
      <c r="S2563" s="273"/>
      <c r="T2563" s="273"/>
      <c r="U2563" s="274"/>
      <c r="V2563" s="263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</row>
    <row r="2564">
      <c r="A2564" s="263"/>
      <c r="B2564" s="264"/>
      <c r="C2564" s="265"/>
      <c r="D2564" s="266"/>
      <c r="E2564" s="263"/>
      <c r="F2564" s="267"/>
      <c r="G2564" s="267"/>
      <c r="H2564" s="268"/>
      <c r="I2564" s="268"/>
      <c r="J2564" s="267"/>
      <c r="K2564" s="265"/>
      <c r="L2564" s="265"/>
      <c r="M2564" s="269"/>
      <c r="N2564" s="270"/>
      <c r="O2564" s="271"/>
      <c r="P2564" s="271"/>
      <c r="Q2564" s="272"/>
      <c r="R2564" s="273"/>
      <c r="S2564" s="273"/>
      <c r="T2564" s="273"/>
      <c r="U2564" s="274"/>
      <c r="V2564" s="263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</row>
    <row r="2565">
      <c r="A2565" s="263"/>
      <c r="B2565" s="264"/>
      <c r="C2565" s="265"/>
      <c r="D2565" s="266"/>
      <c r="E2565" s="263"/>
      <c r="F2565" s="267"/>
      <c r="G2565" s="267"/>
      <c r="H2565" s="268"/>
      <c r="I2565" s="268"/>
      <c r="J2565" s="267"/>
      <c r="K2565" s="265"/>
      <c r="L2565" s="265"/>
      <c r="M2565" s="269"/>
      <c r="N2565" s="270"/>
      <c r="O2565" s="271"/>
      <c r="P2565" s="271"/>
      <c r="Q2565" s="272"/>
      <c r="R2565" s="273"/>
      <c r="S2565" s="273"/>
      <c r="T2565" s="273"/>
      <c r="U2565" s="274"/>
      <c r="V2565" s="263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</row>
    <row r="2566">
      <c r="A2566" s="263"/>
      <c r="B2566" s="264"/>
      <c r="C2566" s="265"/>
      <c r="D2566" s="266"/>
      <c r="E2566" s="263"/>
      <c r="F2566" s="267"/>
      <c r="G2566" s="267"/>
      <c r="H2566" s="268"/>
      <c r="I2566" s="268"/>
      <c r="J2566" s="267"/>
      <c r="K2566" s="265"/>
      <c r="L2566" s="265"/>
      <c r="M2566" s="269"/>
      <c r="N2566" s="270"/>
      <c r="O2566" s="271"/>
      <c r="P2566" s="271"/>
      <c r="Q2566" s="272"/>
      <c r="R2566" s="273"/>
      <c r="S2566" s="273"/>
      <c r="T2566" s="273"/>
      <c r="U2566" s="274"/>
      <c r="V2566" s="263"/>
      <c r="W2566" s="35"/>
      <c r="X2566" s="35"/>
      <c r="Y2566" s="35"/>
      <c r="Z2566" s="35"/>
      <c r="AA2566" s="35"/>
      <c r="AB2566" s="35"/>
      <c r="AC2566" s="35"/>
      <c r="AD2566" s="35"/>
      <c r="AE2566" s="35"/>
      <c r="AF2566" s="35"/>
      <c r="AG2566" s="35"/>
      <c r="AH2566" s="35"/>
      <c r="AI2566" s="35"/>
    </row>
    <row r="2567">
      <c r="A2567" s="263"/>
      <c r="B2567" s="264"/>
      <c r="C2567" s="265"/>
      <c r="D2567" s="266"/>
      <c r="E2567" s="263"/>
      <c r="F2567" s="267"/>
      <c r="G2567" s="267"/>
      <c r="H2567" s="268"/>
      <c r="I2567" s="268"/>
      <c r="J2567" s="267"/>
      <c r="K2567" s="265"/>
      <c r="L2567" s="265"/>
      <c r="M2567" s="269"/>
      <c r="N2567" s="270"/>
      <c r="O2567" s="271"/>
      <c r="P2567" s="271"/>
      <c r="Q2567" s="272"/>
      <c r="R2567" s="273"/>
      <c r="S2567" s="273"/>
      <c r="T2567" s="273"/>
      <c r="U2567" s="274"/>
      <c r="V2567" s="263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</row>
    <row r="2568">
      <c r="A2568" s="263"/>
      <c r="B2568" s="264"/>
      <c r="C2568" s="265"/>
      <c r="D2568" s="266"/>
      <c r="E2568" s="263"/>
      <c r="F2568" s="267"/>
      <c r="G2568" s="267"/>
      <c r="H2568" s="268"/>
      <c r="I2568" s="268"/>
      <c r="J2568" s="267"/>
      <c r="K2568" s="265"/>
      <c r="L2568" s="265"/>
      <c r="M2568" s="269"/>
      <c r="N2568" s="270"/>
      <c r="O2568" s="271"/>
      <c r="P2568" s="271"/>
      <c r="Q2568" s="272"/>
      <c r="R2568" s="273"/>
      <c r="S2568" s="273"/>
      <c r="T2568" s="273"/>
      <c r="U2568" s="274"/>
      <c r="V2568" s="263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</row>
    <row r="2569">
      <c r="A2569" s="263"/>
      <c r="B2569" s="264"/>
      <c r="C2569" s="265"/>
      <c r="D2569" s="266"/>
      <c r="E2569" s="263"/>
      <c r="F2569" s="267"/>
      <c r="G2569" s="267"/>
      <c r="H2569" s="268"/>
      <c r="I2569" s="268"/>
      <c r="J2569" s="267"/>
      <c r="K2569" s="265"/>
      <c r="L2569" s="265"/>
      <c r="M2569" s="269"/>
      <c r="N2569" s="270"/>
      <c r="O2569" s="271"/>
      <c r="P2569" s="271"/>
      <c r="Q2569" s="272"/>
      <c r="R2569" s="273"/>
      <c r="S2569" s="273"/>
      <c r="T2569" s="273"/>
      <c r="U2569" s="274"/>
      <c r="V2569" s="263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</row>
    <row r="2570">
      <c r="A2570" s="263"/>
      <c r="B2570" s="264"/>
      <c r="C2570" s="265"/>
      <c r="D2570" s="266"/>
      <c r="E2570" s="263"/>
      <c r="F2570" s="267"/>
      <c r="G2570" s="267"/>
      <c r="H2570" s="268"/>
      <c r="I2570" s="268"/>
      <c r="J2570" s="267"/>
      <c r="K2570" s="265"/>
      <c r="L2570" s="265"/>
      <c r="M2570" s="269"/>
      <c r="N2570" s="270"/>
      <c r="O2570" s="271"/>
      <c r="P2570" s="271"/>
      <c r="Q2570" s="272"/>
      <c r="R2570" s="273"/>
      <c r="S2570" s="273"/>
      <c r="T2570" s="273"/>
      <c r="U2570" s="274"/>
      <c r="V2570" s="263"/>
      <c r="W2570" s="188"/>
      <c r="X2570" s="188"/>
      <c r="Y2570" s="188"/>
      <c r="Z2570" s="188"/>
      <c r="AA2570" s="188"/>
      <c r="AB2570" s="188"/>
      <c r="AC2570" s="188"/>
      <c r="AD2570" s="188"/>
      <c r="AE2570" s="188"/>
      <c r="AF2570" s="188"/>
      <c r="AG2570" s="188"/>
      <c r="AH2570" s="188"/>
      <c r="AI2570" s="188"/>
    </row>
    <row r="2571">
      <c r="A2571" s="263"/>
      <c r="B2571" s="264"/>
      <c r="C2571" s="265"/>
      <c r="D2571" s="266"/>
      <c r="E2571" s="263"/>
      <c r="F2571" s="267"/>
      <c r="G2571" s="267"/>
      <c r="H2571" s="268"/>
      <c r="I2571" s="268"/>
      <c r="J2571" s="267"/>
      <c r="K2571" s="265"/>
      <c r="L2571" s="265"/>
      <c r="M2571" s="269"/>
      <c r="N2571" s="270"/>
      <c r="O2571" s="271"/>
      <c r="P2571" s="271"/>
      <c r="Q2571" s="272"/>
      <c r="R2571" s="273"/>
      <c r="S2571" s="273"/>
      <c r="T2571" s="273"/>
      <c r="U2571" s="274"/>
      <c r="V2571" s="263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</row>
    <row r="2572">
      <c r="A2572" s="263"/>
      <c r="B2572" s="264"/>
      <c r="C2572" s="265"/>
      <c r="D2572" s="266"/>
      <c r="E2572" s="263"/>
      <c r="F2572" s="267"/>
      <c r="G2572" s="267"/>
      <c r="H2572" s="268"/>
      <c r="I2572" s="268"/>
      <c r="J2572" s="267"/>
      <c r="K2572" s="265"/>
      <c r="L2572" s="265"/>
      <c r="M2572" s="269"/>
      <c r="N2572" s="270"/>
      <c r="O2572" s="271"/>
      <c r="P2572" s="271"/>
      <c r="Q2572" s="272"/>
      <c r="R2572" s="273"/>
      <c r="S2572" s="273"/>
      <c r="T2572" s="273"/>
      <c r="U2572" s="274"/>
      <c r="V2572" s="263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</row>
    <row r="2573">
      <c r="A2573" s="263"/>
      <c r="B2573" s="264"/>
      <c r="C2573" s="265"/>
      <c r="D2573" s="266"/>
      <c r="E2573" s="263"/>
      <c r="F2573" s="267"/>
      <c r="G2573" s="267"/>
      <c r="H2573" s="268"/>
      <c r="I2573" s="268"/>
      <c r="J2573" s="267"/>
      <c r="K2573" s="265"/>
      <c r="L2573" s="265"/>
      <c r="M2573" s="269"/>
      <c r="N2573" s="270"/>
      <c r="O2573" s="271"/>
      <c r="P2573" s="271"/>
      <c r="Q2573" s="272"/>
      <c r="R2573" s="273"/>
      <c r="S2573" s="273"/>
      <c r="T2573" s="273"/>
      <c r="U2573" s="274"/>
      <c r="V2573" s="263"/>
      <c r="W2573" s="188"/>
      <c r="X2573" s="188"/>
      <c r="Y2573" s="188"/>
      <c r="Z2573" s="188"/>
      <c r="AA2573" s="188"/>
      <c r="AB2573" s="188"/>
      <c r="AC2573" s="188"/>
      <c r="AD2573" s="188"/>
      <c r="AE2573" s="188"/>
      <c r="AF2573" s="188"/>
      <c r="AG2573" s="188"/>
      <c r="AH2573" s="188"/>
      <c r="AI2573" s="188"/>
    </row>
    <row r="2574">
      <c r="A2574" s="263"/>
      <c r="B2574" s="264"/>
      <c r="C2574" s="265"/>
      <c r="D2574" s="266"/>
      <c r="E2574" s="263"/>
      <c r="F2574" s="267"/>
      <c r="G2574" s="267"/>
      <c r="H2574" s="268"/>
      <c r="I2574" s="268"/>
      <c r="J2574" s="267"/>
      <c r="K2574" s="265"/>
      <c r="L2574" s="265"/>
      <c r="M2574" s="269"/>
      <c r="N2574" s="270"/>
      <c r="O2574" s="271"/>
      <c r="P2574" s="271"/>
      <c r="Q2574" s="272"/>
      <c r="R2574" s="273"/>
      <c r="S2574" s="273"/>
      <c r="T2574" s="273"/>
      <c r="U2574" s="274"/>
      <c r="V2574" s="263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</row>
    <row r="2575">
      <c r="A2575" s="263"/>
      <c r="B2575" s="264"/>
      <c r="C2575" s="265"/>
      <c r="D2575" s="266"/>
      <c r="E2575" s="263"/>
      <c r="F2575" s="267"/>
      <c r="G2575" s="267"/>
      <c r="H2575" s="268"/>
      <c r="I2575" s="268"/>
      <c r="J2575" s="267"/>
      <c r="K2575" s="265"/>
      <c r="L2575" s="265"/>
      <c r="M2575" s="269"/>
      <c r="N2575" s="270"/>
      <c r="O2575" s="271"/>
      <c r="P2575" s="271"/>
      <c r="Q2575" s="272"/>
      <c r="R2575" s="273"/>
      <c r="S2575" s="273"/>
      <c r="T2575" s="273"/>
      <c r="U2575" s="274"/>
      <c r="V2575" s="263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</row>
    <row r="2576">
      <c r="A2576" s="263"/>
      <c r="B2576" s="264"/>
      <c r="C2576" s="265"/>
      <c r="D2576" s="266"/>
      <c r="E2576" s="263"/>
      <c r="F2576" s="267"/>
      <c r="G2576" s="267"/>
      <c r="H2576" s="268"/>
      <c r="I2576" s="268"/>
      <c r="J2576" s="267"/>
      <c r="K2576" s="265"/>
      <c r="L2576" s="265"/>
      <c r="M2576" s="269"/>
      <c r="N2576" s="270"/>
      <c r="O2576" s="271"/>
      <c r="P2576" s="271"/>
      <c r="Q2576" s="272"/>
      <c r="R2576" s="273"/>
      <c r="S2576" s="273"/>
      <c r="T2576" s="273"/>
      <c r="U2576" s="274"/>
      <c r="V2576" s="263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</row>
    <row r="2577">
      <c r="A2577" s="263"/>
      <c r="B2577" s="264"/>
      <c r="C2577" s="265"/>
      <c r="D2577" s="266"/>
      <c r="E2577" s="263"/>
      <c r="F2577" s="267"/>
      <c r="G2577" s="267"/>
      <c r="H2577" s="268"/>
      <c r="I2577" s="268"/>
      <c r="J2577" s="267"/>
      <c r="K2577" s="265"/>
      <c r="L2577" s="265"/>
      <c r="M2577" s="269"/>
      <c r="N2577" s="270"/>
      <c r="O2577" s="271"/>
      <c r="P2577" s="271"/>
      <c r="Q2577" s="272"/>
      <c r="R2577" s="273"/>
      <c r="S2577" s="273"/>
      <c r="T2577" s="273"/>
      <c r="U2577" s="274"/>
      <c r="V2577" s="263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</row>
    <row r="2578">
      <c r="A2578" s="263"/>
      <c r="B2578" s="264"/>
      <c r="C2578" s="265"/>
      <c r="D2578" s="266"/>
      <c r="E2578" s="263"/>
      <c r="F2578" s="267"/>
      <c r="G2578" s="267"/>
      <c r="H2578" s="268"/>
      <c r="I2578" s="268"/>
      <c r="J2578" s="267"/>
      <c r="K2578" s="265"/>
      <c r="L2578" s="265"/>
      <c r="M2578" s="269"/>
      <c r="N2578" s="270"/>
      <c r="O2578" s="271"/>
      <c r="P2578" s="271"/>
      <c r="Q2578" s="272"/>
      <c r="R2578" s="273"/>
      <c r="S2578" s="273"/>
      <c r="T2578" s="273"/>
      <c r="U2578" s="274"/>
      <c r="V2578" s="263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</row>
    <row r="2579">
      <c r="A2579" s="263"/>
      <c r="B2579" s="264"/>
      <c r="C2579" s="265"/>
      <c r="D2579" s="266"/>
      <c r="E2579" s="263"/>
      <c r="F2579" s="267"/>
      <c r="G2579" s="267"/>
      <c r="H2579" s="268"/>
      <c r="I2579" s="268"/>
      <c r="J2579" s="267"/>
      <c r="K2579" s="265"/>
      <c r="L2579" s="265"/>
      <c r="M2579" s="269"/>
      <c r="N2579" s="270"/>
      <c r="O2579" s="271"/>
      <c r="P2579" s="271"/>
      <c r="Q2579" s="272"/>
      <c r="R2579" s="273"/>
      <c r="S2579" s="273"/>
      <c r="T2579" s="273"/>
      <c r="U2579" s="274"/>
      <c r="V2579" s="263"/>
      <c r="W2579" s="35"/>
      <c r="X2579" s="35"/>
      <c r="Y2579" s="35"/>
      <c r="Z2579" s="35"/>
      <c r="AA2579" s="35"/>
      <c r="AB2579" s="35"/>
      <c r="AC2579" s="35"/>
      <c r="AD2579" s="35"/>
      <c r="AE2579" s="35"/>
      <c r="AF2579" s="35"/>
      <c r="AG2579" s="35"/>
      <c r="AH2579" s="35"/>
      <c r="AI2579" s="35"/>
    </row>
    <row r="2580">
      <c r="A2580" s="263"/>
      <c r="B2580" s="264"/>
      <c r="C2580" s="265"/>
      <c r="D2580" s="266"/>
      <c r="E2580" s="263"/>
      <c r="F2580" s="267"/>
      <c r="G2580" s="267"/>
      <c r="H2580" s="268"/>
      <c r="I2580" s="268"/>
      <c r="J2580" s="267"/>
      <c r="K2580" s="265"/>
      <c r="L2580" s="265"/>
      <c r="M2580" s="269"/>
      <c r="N2580" s="270"/>
      <c r="O2580" s="271"/>
      <c r="P2580" s="271"/>
      <c r="Q2580" s="272"/>
      <c r="R2580" s="273"/>
      <c r="S2580" s="273"/>
      <c r="T2580" s="273"/>
      <c r="U2580" s="274"/>
      <c r="V2580" s="263"/>
      <c r="W2580" s="35"/>
      <c r="X2580" s="35"/>
      <c r="Y2580" s="35"/>
      <c r="Z2580" s="35"/>
      <c r="AA2580" s="35"/>
      <c r="AB2580" s="35"/>
      <c r="AC2580" s="35"/>
      <c r="AD2580" s="35"/>
      <c r="AE2580" s="35"/>
      <c r="AF2580" s="35"/>
      <c r="AG2580" s="35"/>
      <c r="AH2580" s="35"/>
      <c r="AI2580" s="35"/>
    </row>
    <row r="2581">
      <c r="A2581" s="263"/>
      <c r="B2581" s="264"/>
      <c r="C2581" s="265"/>
      <c r="D2581" s="266"/>
      <c r="E2581" s="263"/>
      <c r="F2581" s="267"/>
      <c r="G2581" s="267"/>
      <c r="H2581" s="268"/>
      <c r="I2581" s="268"/>
      <c r="J2581" s="267"/>
      <c r="K2581" s="265"/>
      <c r="L2581" s="265"/>
      <c r="M2581" s="269"/>
      <c r="N2581" s="270"/>
      <c r="O2581" s="271"/>
      <c r="P2581" s="271"/>
      <c r="Q2581" s="272"/>
      <c r="R2581" s="273"/>
      <c r="S2581" s="273"/>
      <c r="T2581" s="273"/>
      <c r="U2581" s="274"/>
      <c r="V2581" s="263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</row>
    <row r="2582">
      <c r="A2582" s="263"/>
      <c r="B2582" s="264"/>
      <c r="C2582" s="265"/>
      <c r="D2582" s="266"/>
      <c r="E2582" s="263"/>
      <c r="F2582" s="267"/>
      <c r="G2582" s="267"/>
      <c r="H2582" s="268"/>
      <c r="I2582" s="268"/>
      <c r="J2582" s="267"/>
      <c r="K2582" s="265"/>
      <c r="L2582" s="265"/>
      <c r="M2582" s="269"/>
      <c r="N2582" s="270"/>
      <c r="O2582" s="271"/>
      <c r="P2582" s="271"/>
      <c r="Q2582" s="272"/>
      <c r="R2582" s="273"/>
      <c r="S2582" s="273"/>
      <c r="T2582" s="273"/>
      <c r="U2582" s="274"/>
      <c r="V2582" s="263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</row>
    <row r="2583">
      <c r="A2583" s="263"/>
      <c r="B2583" s="264"/>
      <c r="C2583" s="265"/>
      <c r="D2583" s="266"/>
      <c r="E2583" s="263"/>
      <c r="F2583" s="267"/>
      <c r="G2583" s="267"/>
      <c r="H2583" s="268"/>
      <c r="I2583" s="268"/>
      <c r="J2583" s="267"/>
      <c r="K2583" s="265"/>
      <c r="L2583" s="265"/>
      <c r="M2583" s="269"/>
      <c r="N2583" s="270"/>
      <c r="O2583" s="271"/>
      <c r="P2583" s="271"/>
      <c r="Q2583" s="272"/>
      <c r="R2583" s="273"/>
      <c r="S2583" s="273"/>
      <c r="T2583" s="273"/>
      <c r="U2583" s="274"/>
      <c r="V2583" s="263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</row>
    <row r="2584">
      <c r="A2584" s="263"/>
      <c r="B2584" s="264"/>
      <c r="C2584" s="265"/>
      <c r="D2584" s="266"/>
      <c r="E2584" s="263"/>
      <c r="F2584" s="267"/>
      <c r="G2584" s="267"/>
      <c r="H2584" s="268"/>
      <c r="I2584" s="268"/>
      <c r="J2584" s="267"/>
      <c r="K2584" s="265"/>
      <c r="L2584" s="265"/>
      <c r="M2584" s="269"/>
      <c r="N2584" s="270"/>
      <c r="O2584" s="271"/>
      <c r="P2584" s="271"/>
      <c r="Q2584" s="272"/>
      <c r="R2584" s="273"/>
      <c r="S2584" s="273"/>
      <c r="T2584" s="273"/>
      <c r="U2584" s="274"/>
      <c r="V2584" s="263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</row>
    <row r="2585">
      <c r="A2585" s="263"/>
      <c r="B2585" s="264"/>
      <c r="C2585" s="265"/>
      <c r="D2585" s="266"/>
      <c r="E2585" s="263"/>
      <c r="F2585" s="267"/>
      <c r="G2585" s="267"/>
      <c r="H2585" s="268"/>
      <c r="I2585" s="268"/>
      <c r="J2585" s="267"/>
      <c r="K2585" s="265"/>
      <c r="L2585" s="265"/>
      <c r="M2585" s="269"/>
      <c r="N2585" s="270"/>
      <c r="O2585" s="271"/>
      <c r="P2585" s="271"/>
      <c r="Q2585" s="272"/>
      <c r="R2585" s="273"/>
      <c r="S2585" s="273"/>
      <c r="T2585" s="273"/>
      <c r="U2585" s="274"/>
      <c r="V2585" s="263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</row>
    <row r="2586">
      <c r="A2586" s="263"/>
      <c r="B2586" s="264"/>
      <c r="C2586" s="265"/>
      <c r="D2586" s="266"/>
      <c r="E2586" s="263"/>
      <c r="F2586" s="267"/>
      <c r="G2586" s="267"/>
      <c r="H2586" s="268"/>
      <c r="I2586" s="268"/>
      <c r="J2586" s="267"/>
      <c r="K2586" s="265"/>
      <c r="L2586" s="265"/>
      <c r="M2586" s="269"/>
      <c r="N2586" s="270"/>
      <c r="O2586" s="271"/>
      <c r="P2586" s="271"/>
      <c r="Q2586" s="272"/>
      <c r="R2586" s="273"/>
      <c r="S2586" s="273"/>
      <c r="T2586" s="273"/>
      <c r="U2586" s="274"/>
      <c r="V2586" s="263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</row>
    <row r="2587">
      <c r="A2587" s="263"/>
      <c r="B2587" s="264"/>
      <c r="C2587" s="265"/>
      <c r="D2587" s="266"/>
      <c r="E2587" s="263"/>
      <c r="F2587" s="267"/>
      <c r="G2587" s="267"/>
      <c r="H2587" s="268"/>
      <c r="I2587" s="268"/>
      <c r="J2587" s="267"/>
      <c r="K2587" s="265"/>
      <c r="L2587" s="265"/>
      <c r="M2587" s="269"/>
      <c r="N2587" s="270"/>
      <c r="O2587" s="271"/>
      <c r="P2587" s="271"/>
      <c r="Q2587" s="272"/>
      <c r="R2587" s="273"/>
      <c r="S2587" s="273"/>
      <c r="T2587" s="273"/>
      <c r="U2587" s="274"/>
      <c r="V2587" s="263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</row>
    <row r="2588">
      <c r="A2588" s="263"/>
      <c r="B2588" s="264"/>
      <c r="C2588" s="265"/>
      <c r="D2588" s="266"/>
      <c r="E2588" s="263"/>
      <c r="F2588" s="267"/>
      <c r="G2588" s="267"/>
      <c r="H2588" s="268"/>
      <c r="I2588" s="268"/>
      <c r="J2588" s="267"/>
      <c r="K2588" s="265"/>
      <c r="L2588" s="265"/>
      <c r="M2588" s="269"/>
      <c r="N2588" s="270"/>
      <c r="O2588" s="271"/>
      <c r="P2588" s="271"/>
      <c r="Q2588" s="272"/>
      <c r="R2588" s="273"/>
      <c r="S2588" s="273"/>
      <c r="T2588" s="273"/>
      <c r="U2588" s="274"/>
      <c r="V2588" s="263"/>
      <c r="W2588" s="188"/>
      <c r="X2588" s="188"/>
      <c r="Y2588" s="188"/>
      <c r="Z2588" s="188"/>
      <c r="AA2588" s="188"/>
      <c r="AB2588" s="188"/>
      <c r="AC2588" s="188"/>
      <c r="AD2588" s="188"/>
      <c r="AE2588" s="188"/>
      <c r="AF2588" s="188"/>
      <c r="AG2588" s="188"/>
      <c r="AH2588" s="188"/>
      <c r="AI2588" s="188"/>
    </row>
    <row r="2589">
      <c r="A2589" s="263"/>
      <c r="B2589" s="264"/>
      <c r="C2589" s="265"/>
      <c r="D2589" s="266"/>
      <c r="E2589" s="263"/>
      <c r="F2589" s="267"/>
      <c r="G2589" s="267"/>
      <c r="H2589" s="268"/>
      <c r="I2589" s="268"/>
      <c r="J2589" s="267"/>
      <c r="K2589" s="265"/>
      <c r="L2589" s="265"/>
      <c r="M2589" s="269"/>
      <c r="N2589" s="270"/>
      <c r="O2589" s="271"/>
      <c r="P2589" s="271"/>
      <c r="Q2589" s="272"/>
      <c r="R2589" s="273"/>
      <c r="S2589" s="273"/>
      <c r="T2589" s="273"/>
      <c r="U2589" s="274"/>
      <c r="V2589" s="263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</row>
    <row r="2590">
      <c r="A2590" s="263"/>
      <c r="B2590" s="264"/>
      <c r="C2590" s="265"/>
      <c r="D2590" s="266"/>
      <c r="E2590" s="263"/>
      <c r="F2590" s="267"/>
      <c r="G2590" s="267"/>
      <c r="H2590" s="268"/>
      <c r="I2590" s="268"/>
      <c r="J2590" s="267"/>
      <c r="K2590" s="265"/>
      <c r="L2590" s="265"/>
      <c r="M2590" s="269"/>
      <c r="N2590" s="270"/>
      <c r="O2590" s="271"/>
      <c r="P2590" s="271"/>
      <c r="Q2590" s="272"/>
      <c r="R2590" s="273"/>
      <c r="S2590" s="273"/>
      <c r="T2590" s="273"/>
      <c r="U2590" s="274"/>
      <c r="V2590" s="263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</row>
    <row r="2591">
      <c r="A2591" s="263"/>
      <c r="B2591" s="264"/>
      <c r="C2591" s="265"/>
      <c r="D2591" s="266"/>
      <c r="E2591" s="263"/>
      <c r="F2591" s="267"/>
      <c r="G2591" s="267"/>
      <c r="H2591" s="268"/>
      <c r="I2591" s="268"/>
      <c r="J2591" s="267"/>
      <c r="K2591" s="265"/>
      <c r="L2591" s="265"/>
      <c r="M2591" s="269"/>
      <c r="N2591" s="270"/>
      <c r="O2591" s="271"/>
      <c r="P2591" s="271"/>
      <c r="Q2591" s="272"/>
      <c r="R2591" s="273"/>
      <c r="S2591" s="273"/>
      <c r="T2591" s="273"/>
      <c r="U2591" s="274"/>
      <c r="V2591" s="263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</row>
    <row r="2592">
      <c r="A2592" s="263"/>
      <c r="B2592" s="264"/>
      <c r="C2592" s="265"/>
      <c r="D2592" s="266"/>
      <c r="E2592" s="263"/>
      <c r="F2592" s="267"/>
      <c r="G2592" s="267"/>
      <c r="H2592" s="268"/>
      <c r="I2592" s="268"/>
      <c r="J2592" s="267"/>
      <c r="K2592" s="265"/>
      <c r="L2592" s="265"/>
      <c r="M2592" s="269"/>
      <c r="N2592" s="270"/>
      <c r="O2592" s="271"/>
      <c r="P2592" s="271"/>
      <c r="Q2592" s="272"/>
      <c r="R2592" s="273"/>
      <c r="S2592" s="273"/>
      <c r="T2592" s="273"/>
      <c r="U2592" s="274"/>
      <c r="V2592" s="263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</row>
    <row r="2593">
      <c r="A2593" s="263"/>
      <c r="B2593" s="264"/>
      <c r="C2593" s="265"/>
      <c r="D2593" s="266"/>
      <c r="E2593" s="263"/>
      <c r="F2593" s="267"/>
      <c r="G2593" s="267"/>
      <c r="H2593" s="268"/>
      <c r="I2593" s="268"/>
      <c r="J2593" s="267"/>
      <c r="K2593" s="265"/>
      <c r="L2593" s="265"/>
      <c r="M2593" s="269"/>
      <c r="N2593" s="270"/>
      <c r="O2593" s="271"/>
      <c r="P2593" s="271"/>
      <c r="Q2593" s="272"/>
      <c r="R2593" s="273"/>
      <c r="S2593" s="273"/>
      <c r="T2593" s="273"/>
      <c r="U2593" s="274"/>
      <c r="V2593" s="263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</row>
    <row r="2594">
      <c r="A2594" s="263"/>
      <c r="B2594" s="264"/>
      <c r="C2594" s="265"/>
      <c r="D2594" s="266"/>
      <c r="E2594" s="263"/>
      <c r="F2594" s="267"/>
      <c r="G2594" s="267"/>
      <c r="H2594" s="268"/>
      <c r="I2594" s="268"/>
      <c r="J2594" s="267"/>
      <c r="K2594" s="265"/>
      <c r="L2594" s="265"/>
      <c r="M2594" s="269"/>
      <c r="N2594" s="270"/>
      <c r="O2594" s="271"/>
      <c r="P2594" s="271"/>
      <c r="Q2594" s="272"/>
      <c r="R2594" s="273"/>
      <c r="S2594" s="273"/>
      <c r="T2594" s="273"/>
      <c r="U2594" s="274"/>
      <c r="V2594" s="263"/>
      <c r="W2594" s="188"/>
      <c r="X2594" s="188"/>
      <c r="Y2594" s="188"/>
      <c r="Z2594" s="188"/>
      <c r="AA2594" s="188"/>
      <c r="AB2594" s="188"/>
      <c r="AC2594" s="188"/>
      <c r="AD2594" s="188"/>
      <c r="AE2594" s="188"/>
      <c r="AF2594" s="188"/>
      <c r="AG2594" s="188"/>
      <c r="AH2594" s="188"/>
      <c r="AI2594" s="188"/>
    </row>
    <row r="2595">
      <c r="A2595" s="263"/>
      <c r="B2595" s="264"/>
      <c r="C2595" s="265"/>
      <c r="D2595" s="266"/>
      <c r="E2595" s="263"/>
      <c r="F2595" s="267"/>
      <c r="G2595" s="267"/>
      <c r="H2595" s="268"/>
      <c r="I2595" s="268"/>
      <c r="J2595" s="267"/>
      <c r="K2595" s="265"/>
      <c r="L2595" s="265"/>
      <c r="M2595" s="269"/>
      <c r="N2595" s="270"/>
      <c r="O2595" s="271"/>
      <c r="P2595" s="271"/>
      <c r="Q2595" s="272"/>
      <c r="R2595" s="273"/>
      <c r="S2595" s="273"/>
      <c r="T2595" s="273"/>
      <c r="U2595" s="274"/>
      <c r="V2595" s="263"/>
      <c r="W2595" s="35"/>
      <c r="X2595" s="35"/>
      <c r="Y2595" s="35"/>
      <c r="Z2595" s="35"/>
      <c r="AA2595" s="35"/>
      <c r="AB2595" s="35"/>
      <c r="AC2595" s="35"/>
      <c r="AD2595" s="35"/>
      <c r="AE2595" s="35"/>
      <c r="AF2595" s="35"/>
      <c r="AG2595" s="35"/>
      <c r="AH2595" s="35"/>
      <c r="AI2595" s="35"/>
    </row>
    <row r="2596">
      <c r="A2596" s="263"/>
      <c r="B2596" s="264"/>
      <c r="C2596" s="265"/>
      <c r="D2596" s="266"/>
      <c r="E2596" s="263"/>
      <c r="F2596" s="267"/>
      <c r="G2596" s="267"/>
      <c r="H2596" s="268"/>
      <c r="I2596" s="268"/>
      <c r="J2596" s="267"/>
      <c r="K2596" s="265"/>
      <c r="L2596" s="265"/>
      <c r="M2596" s="269"/>
      <c r="N2596" s="270"/>
      <c r="O2596" s="271"/>
      <c r="P2596" s="271"/>
      <c r="Q2596" s="272"/>
      <c r="R2596" s="273"/>
      <c r="S2596" s="273"/>
      <c r="T2596" s="273"/>
      <c r="U2596" s="274"/>
      <c r="V2596" s="263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</row>
    <row r="2597">
      <c r="A2597" s="263"/>
      <c r="B2597" s="264"/>
      <c r="C2597" s="265"/>
      <c r="D2597" s="266"/>
      <c r="E2597" s="263"/>
      <c r="F2597" s="267"/>
      <c r="G2597" s="267"/>
      <c r="H2597" s="268"/>
      <c r="I2597" s="268"/>
      <c r="J2597" s="267"/>
      <c r="K2597" s="265"/>
      <c r="L2597" s="265"/>
      <c r="M2597" s="269"/>
      <c r="N2597" s="270"/>
      <c r="O2597" s="271"/>
      <c r="P2597" s="271"/>
      <c r="Q2597" s="272"/>
      <c r="R2597" s="273"/>
      <c r="S2597" s="273"/>
      <c r="T2597" s="273"/>
      <c r="U2597" s="274"/>
      <c r="V2597" s="263"/>
      <c r="W2597" s="188"/>
      <c r="X2597" s="188"/>
      <c r="Y2597" s="188"/>
      <c r="Z2597" s="188"/>
      <c r="AA2597" s="188"/>
      <c r="AB2597" s="188"/>
      <c r="AC2597" s="188"/>
      <c r="AD2597" s="188"/>
      <c r="AE2597" s="188"/>
      <c r="AF2597" s="188"/>
      <c r="AG2597" s="188"/>
      <c r="AH2597" s="188"/>
      <c r="AI2597" s="188"/>
    </row>
    <row r="2598">
      <c r="A2598" s="263"/>
      <c r="B2598" s="264"/>
      <c r="C2598" s="265"/>
      <c r="D2598" s="266"/>
      <c r="E2598" s="263"/>
      <c r="F2598" s="267"/>
      <c r="G2598" s="267"/>
      <c r="H2598" s="268"/>
      <c r="I2598" s="268"/>
      <c r="J2598" s="267"/>
      <c r="K2598" s="265"/>
      <c r="L2598" s="265"/>
      <c r="M2598" s="269"/>
      <c r="N2598" s="270"/>
      <c r="O2598" s="271"/>
      <c r="P2598" s="271"/>
      <c r="Q2598" s="272"/>
      <c r="R2598" s="273"/>
      <c r="S2598" s="273"/>
      <c r="T2598" s="273"/>
      <c r="U2598" s="274"/>
      <c r="V2598" s="263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</row>
    <row r="2599">
      <c r="A2599" s="263"/>
      <c r="B2599" s="264"/>
      <c r="C2599" s="265"/>
      <c r="D2599" s="266"/>
      <c r="E2599" s="263"/>
      <c r="F2599" s="267"/>
      <c r="G2599" s="267"/>
      <c r="H2599" s="268"/>
      <c r="I2599" s="268"/>
      <c r="J2599" s="267"/>
      <c r="K2599" s="265"/>
      <c r="L2599" s="265"/>
      <c r="M2599" s="269"/>
      <c r="N2599" s="270"/>
      <c r="O2599" s="271"/>
      <c r="P2599" s="271"/>
      <c r="Q2599" s="272"/>
      <c r="R2599" s="273"/>
      <c r="S2599" s="273"/>
      <c r="T2599" s="273"/>
      <c r="U2599" s="274"/>
      <c r="V2599" s="263"/>
      <c r="W2599" s="35"/>
      <c r="X2599" s="35"/>
      <c r="Y2599" s="35"/>
      <c r="Z2599" s="35"/>
      <c r="AA2599" s="35"/>
      <c r="AB2599" s="35"/>
      <c r="AC2599" s="35"/>
      <c r="AD2599" s="35"/>
      <c r="AE2599" s="35"/>
      <c r="AF2599" s="35"/>
      <c r="AG2599" s="35"/>
      <c r="AH2599" s="35"/>
      <c r="AI2599" s="35"/>
    </row>
    <row r="2600">
      <c r="A2600" s="263"/>
      <c r="B2600" s="264"/>
      <c r="C2600" s="265"/>
      <c r="D2600" s="266"/>
      <c r="E2600" s="263"/>
      <c r="F2600" s="267"/>
      <c r="G2600" s="267"/>
      <c r="H2600" s="268"/>
      <c r="I2600" s="268"/>
      <c r="J2600" s="267"/>
      <c r="K2600" s="265"/>
      <c r="L2600" s="265"/>
      <c r="M2600" s="269"/>
      <c r="N2600" s="270"/>
      <c r="O2600" s="271"/>
      <c r="P2600" s="271"/>
      <c r="Q2600" s="272"/>
      <c r="R2600" s="273"/>
      <c r="S2600" s="273"/>
      <c r="T2600" s="273"/>
      <c r="U2600" s="274"/>
      <c r="V2600" s="263"/>
      <c r="W2600" s="36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</row>
    <row r="2601">
      <c r="A2601" s="263"/>
      <c r="B2601" s="264"/>
      <c r="C2601" s="265"/>
      <c r="D2601" s="266"/>
      <c r="E2601" s="263"/>
      <c r="F2601" s="267"/>
      <c r="G2601" s="267"/>
      <c r="H2601" s="268"/>
      <c r="I2601" s="268"/>
      <c r="J2601" s="267"/>
      <c r="K2601" s="265"/>
      <c r="L2601" s="265"/>
      <c r="M2601" s="269"/>
      <c r="N2601" s="270"/>
      <c r="O2601" s="271"/>
      <c r="P2601" s="271"/>
      <c r="Q2601" s="272"/>
      <c r="R2601" s="273"/>
      <c r="S2601" s="273"/>
      <c r="T2601" s="273"/>
      <c r="U2601" s="274"/>
      <c r="V2601" s="263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</row>
    <row r="2602">
      <c r="A2602" s="263"/>
      <c r="B2602" s="264"/>
      <c r="C2602" s="265"/>
      <c r="D2602" s="266"/>
      <c r="E2602" s="263"/>
      <c r="F2602" s="267"/>
      <c r="G2602" s="267"/>
      <c r="H2602" s="268"/>
      <c r="I2602" s="268"/>
      <c r="J2602" s="267"/>
      <c r="K2602" s="265"/>
      <c r="L2602" s="265"/>
      <c r="M2602" s="269"/>
      <c r="N2602" s="270"/>
      <c r="O2602" s="271"/>
      <c r="P2602" s="271"/>
      <c r="Q2602" s="272"/>
      <c r="R2602" s="273"/>
      <c r="S2602" s="273"/>
      <c r="T2602" s="273"/>
      <c r="U2602" s="274"/>
      <c r="V2602" s="263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</row>
    <row r="2603">
      <c r="A2603" s="263"/>
      <c r="B2603" s="264"/>
      <c r="C2603" s="265"/>
      <c r="D2603" s="266"/>
      <c r="E2603" s="263"/>
      <c r="F2603" s="267"/>
      <c r="G2603" s="267"/>
      <c r="H2603" s="268"/>
      <c r="I2603" s="268"/>
      <c r="J2603" s="267"/>
      <c r="K2603" s="265"/>
      <c r="L2603" s="265"/>
      <c r="M2603" s="269"/>
      <c r="N2603" s="270"/>
      <c r="O2603" s="271"/>
      <c r="P2603" s="271"/>
      <c r="Q2603" s="272"/>
      <c r="R2603" s="273"/>
      <c r="S2603" s="273"/>
      <c r="T2603" s="273"/>
      <c r="U2603" s="274"/>
      <c r="V2603" s="263"/>
      <c r="W2603" s="35"/>
      <c r="X2603" s="35"/>
      <c r="Y2603" s="35"/>
      <c r="Z2603" s="35"/>
      <c r="AA2603" s="35"/>
      <c r="AB2603" s="35"/>
      <c r="AC2603" s="35"/>
      <c r="AD2603" s="35"/>
      <c r="AE2603" s="35"/>
      <c r="AF2603" s="35"/>
      <c r="AG2603" s="35"/>
      <c r="AH2603" s="35"/>
      <c r="AI2603" s="35"/>
    </row>
    <row r="2604">
      <c r="A2604" s="263"/>
      <c r="B2604" s="264"/>
      <c r="C2604" s="265"/>
      <c r="D2604" s="266"/>
      <c r="E2604" s="263"/>
      <c r="F2604" s="267"/>
      <c r="G2604" s="267"/>
      <c r="H2604" s="268"/>
      <c r="I2604" s="268"/>
      <c r="J2604" s="267"/>
      <c r="K2604" s="265"/>
      <c r="L2604" s="265"/>
      <c r="M2604" s="269"/>
      <c r="N2604" s="270"/>
      <c r="O2604" s="271"/>
      <c r="P2604" s="271"/>
      <c r="Q2604" s="272"/>
      <c r="R2604" s="273"/>
      <c r="S2604" s="273"/>
      <c r="T2604" s="273"/>
      <c r="U2604" s="274"/>
      <c r="V2604" s="263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</row>
    <row r="2605">
      <c r="A2605" s="263"/>
      <c r="B2605" s="264"/>
      <c r="C2605" s="265"/>
      <c r="D2605" s="266"/>
      <c r="E2605" s="263"/>
      <c r="F2605" s="267"/>
      <c r="G2605" s="267"/>
      <c r="H2605" s="268"/>
      <c r="I2605" s="268"/>
      <c r="J2605" s="267"/>
      <c r="K2605" s="265"/>
      <c r="L2605" s="265"/>
      <c r="M2605" s="269"/>
      <c r="N2605" s="270"/>
      <c r="O2605" s="271"/>
      <c r="P2605" s="271"/>
      <c r="Q2605" s="272"/>
      <c r="R2605" s="273"/>
      <c r="S2605" s="273"/>
      <c r="T2605" s="273"/>
      <c r="U2605" s="274"/>
      <c r="V2605" s="263"/>
      <c r="W2605" s="188"/>
      <c r="X2605" s="188"/>
      <c r="Y2605" s="188"/>
      <c r="Z2605" s="188"/>
      <c r="AA2605" s="188"/>
      <c r="AB2605" s="188"/>
      <c r="AC2605" s="188"/>
      <c r="AD2605" s="188"/>
      <c r="AE2605" s="188"/>
      <c r="AF2605" s="188"/>
      <c r="AG2605" s="188"/>
      <c r="AH2605" s="188"/>
      <c r="AI2605" s="188"/>
    </row>
    <row r="2606">
      <c r="A2606" s="263"/>
      <c r="B2606" s="264"/>
      <c r="C2606" s="265"/>
      <c r="D2606" s="266"/>
      <c r="E2606" s="263"/>
      <c r="F2606" s="267"/>
      <c r="G2606" s="267"/>
      <c r="H2606" s="268"/>
      <c r="I2606" s="268"/>
      <c r="J2606" s="267"/>
      <c r="K2606" s="265"/>
      <c r="L2606" s="265"/>
      <c r="M2606" s="269"/>
      <c r="N2606" s="270"/>
      <c r="O2606" s="271"/>
      <c r="P2606" s="271"/>
      <c r="Q2606" s="272"/>
      <c r="R2606" s="273"/>
      <c r="S2606" s="273"/>
      <c r="T2606" s="273"/>
      <c r="U2606" s="274"/>
      <c r="V2606" s="263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</row>
    <row r="2607">
      <c r="A2607" s="263"/>
      <c r="B2607" s="264"/>
      <c r="C2607" s="265"/>
      <c r="D2607" s="266"/>
      <c r="E2607" s="263"/>
      <c r="F2607" s="267"/>
      <c r="G2607" s="267"/>
      <c r="H2607" s="268"/>
      <c r="I2607" s="268"/>
      <c r="J2607" s="267"/>
      <c r="K2607" s="265"/>
      <c r="L2607" s="265"/>
      <c r="M2607" s="269"/>
      <c r="N2607" s="270"/>
      <c r="O2607" s="271"/>
      <c r="P2607" s="271"/>
      <c r="Q2607" s="272"/>
      <c r="R2607" s="273"/>
      <c r="S2607" s="273"/>
      <c r="T2607" s="273"/>
      <c r="U2607" s="274"/>
      <c r="V2607" s="263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</row>
    <row r="2608">
      <c r="A2608" s="263"/>
      <c r="B2608" s="264"/>
      <c r="C2608" s="265"/>
      <c r="D2608" s="266"/>
      <c r="E2608" s="263"/>
      <c r="F2608" s="267"/>
      <c r="G2608" s="267"/>
      <c r="H2608" s="268"/>
      <c r="I2608" s="268"/>
      <c r="J2608" s="267"/>
      <c r="K2608" s="265"/>
      <c r="L2608" s="265"/>
      <c r="M2608" s="269"/>
      <c r="N2608" s="270"/>
      <c r="O2608" s="271"/>
      <c r="P2608" s="271"/>
      <c r="Q2608" s="272"/>
      <c r="R2608" s="273"/>
      <c r="S2608" s="273"/>
      <c r="T2608" s="273"/>
      <c r="U2608" s="274"/>
      <c r="V2608" s="263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</row>
    <row r="2609">
      <c r="A2609" s="263"/>
      <c r="B2609" s="264"/>
      <c r="C2609" s="265"/>
      <c r="D2609" s="266"/>
      <c r="E2609" s="263"/>
      <c r="F2609" s="267"/>
      <c r="G2609" s="267"/>
      <c r="H2609" s="268"/>
      <c r="I2609" s="268"/>
      <c r="J2609" s="267"/>
      <c r="K2609" s="265"/>
      <c r="L2609" s="265"/>
      <c r="M2609" s="269"/>
      <c r="N2609" s="270"/>
      <c r="O2609" s="271"/>
      <c r="P2609" s="271"/>
      <c r="Q2609" s="272"/>
      <c r="R2609" s="273"/>
      <c r="S2609" s="273"/>
      <c r="T2609" s="273"/>
      <c r="U2609" s="274"/>
      <c r="V2609" s="263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</row>
    <row r="2610">
      <c r="A2610" s="263"/>
      <c r="B2610" s="264"/>
      <c r="C2610" s="265"/>
      <c r="D2610" s="266"/>
      <c r="E2610" s="263"/>
      <c r="F2610" s="267"/>
      <c r="G2610" s="267"/>
      <c r="H2610" s="268"/>
      <c r="I2610" s="268"/>
      <c r="J2610" s="267"/>
      <c r="K2610" s="265"/>
      <c r="L2610" s="265"/>
      <c r="M2610" s="269"/>
      <c r="N2610" s="270"/>
      <c r="O2610" s="271"/>
      <c r="P2610" s="271"/>
      <c r="Q2610" s="272"/>
      <c r="R2610" s="273"/>
      <c r="S2610" s="273"/>
      <c r="T2610" s="273"/>
      <c r="U2610" s="274"/>
      <c r="V2610" s="263"/>
      <c r="W2610" s="188"/>
      <c r="X2610" s="188"/>
      <c r="Y2610" s="188"/>
      <c r="Z2610" s="188"/>
      <c r="AA2610" s="188"/>
      <c r="AB2610" s="188"/>
      <c r="AC2610" s="188"/>
      <c r="AD2610" s="188"/>
      <c r="AE2610" s="188"/>
      <c r="AF2610" s="188"/>
      <c r="AG2610" s="188"/>
      <c r="AH2610" s="188"/>
      <c r="AI2610" s="188"/>
    </row>
    <row r="2611">
      <c r="A2611" s="263"/>
      <c r="B2611" s="264"/>
      <c r="C2611" s="265"/>
      <c r="D2611" s="266"/>
      <c r="E2611" s="263"/>
      <c r="F2611" s="267"/>
      <c r="G2611" s="267"/>
      <c r="H2611" s="268"/>
      <c r="I2611" s="268"/>
      <c r="J2611" s="267"/>
      <c r="K2611" s="265"/>
      <c r="L2611" s="265"/>
      <c r="M2611" s="269"/>
      <c r="N2611" s="270"/>
      <c r="O2611" s="271"/>
      <c r="P2611" s="271"/>
      <c r="Q2611" s="272"/>
      <c r="R2611" s="273"/>
      <c r="S2611" s="273"/>
      <c r="T2611" s="273"/>
      <c r="U2611" s="274"/>
      <c r="V2611" s="263"/>
      <c r="W2611" s="188"/>
      <c r="X2611" s="188"/>
      <c r="Y2611" s="188"/>
      <c r="Z2611" s="188"/>
      <c r="AA2611" s="188"/>
      <c r="AB2611" s="188"/>
      <c r="AC2611" s="188"/>
      <c r="AD2611" s="188"/>
      <c r="AE2611" s="188"/>
      <c r="AF2611" s="188"/>
      <c r="AG2611" s="188"/>
      <c r="AH2611" s="188"/>
      <c r="AI2611" s="188"/>
    </row>
    <row r="2612">
      <c r="A2612" s="263"/>
      <c r="B2612" s="264"/>
      <c r="C2612" s="265"/>
      <c r="D2612" s="266"/>
      <c r="E2612" s="263"/>
      <c r="F2612" s="267"/>
      <c r="G2612" s="267"/>
      <c r="H2612" s="268"/>
      <c r="I2612" s="268"/>
      <c r="J2612" s="267"/>
      <c r="K2612" s="265"/>
      <c r="L2612" s="265"/>
      <c r="M2612" s="269"/>
      <c r="N2612" s="270"/>
      <c r="O2612" s="271"/>
      <c r="P2612" s="271"/>
      <c r="Q2612" s="272"/>
      <c r="R2612" s="273"/>
      <c r="S2612" s="273"/>
      <c r="T2612" s="273"/>
      <c r="U2612" s="274"/>
      <c r="V2612" s="263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</row>
    <row r="2613">
      <c r="A2613" s="263"/>
      <c r="B2613" s="264"/>
      <c r="C2613" s="265"/>
      <c r="D2613" s="266"/>
      <c r="E2613" s="263"/>
      <c r="F2613" s="267"/>
      <c r="G2613" s="267"/>
      <c r="H2613" s="268"/>
      <c r="I2613" s="268"/>
      <c r="J2613" s="267"/>
      <c r="K2613" s="265"/>
      <c r="L2613" s="265"/>
      <c r="M2613" s="269"/>
      <c r="N2613" s="270"/>
      <c r="O2613" s="271"/>
      <c r="P2613" s="271"/>
      <c r="Q2613" s="272"/>
      <c r="R2613" s="273"/>
      <c r="S2613" s="273"/>
      <c r="T2613" s="273"/>
      <c r="U2613" s="274"/>
      <c r="V2613" s="263"/>
      <c r="W2613" s="35"/>
      <c r="X2613" s="35"/>
      <c r="Y2613" s="35"/>
      <c r="Z2613" s="35"/>
      <c r="AA2613" s="35"/>
      <c r="AB2613" s="35"/>
      <c r="AC2613" s="35"/>
      <c r="AD2613" s="35"/>
      <c r="AE2613" s="35"/>
      <c r="AF2613" s="35"/>
      <c r="AG2613" s="35"/>
      <c r="AH2613" s="35"/>
      <c r="AI2613" s="35"/>
    </row>
    <row r="2614">
      <c r="A2614" s="263"/>
      <c r="B2614" s="264"/>
      <c r="C2614" s="265"/>
      <c r="D2614" s="266"/>
      <c r="E2614" s="263"/>
      <c r="F2614" s="267"/>
      <c r="G2614" s="267"/>
      <c r="H2614" s="268"/>
      <c r="I2614" s="268"/>
      <c r="J2614" s="267"/>
      <c r="K2614" s="265"/>
      <c r="L2614" s="265"/>
      <c r="M2614" s="269"/>
      <c r="N2614" s="270"/>
      <c r="O2614" s="271"/>
      <c r="P2614" s="271"/>
      <c r="Q2614" s="272"/>
      <c r="R2614" s="273"/>
      <c r="S2614" s="273"/>
      <c r="T2614" s="273"/>
      <c r="U2614" s="274"/>
      <c r="V2614" s="263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</row>
    <row r="2615">
      <c r="A2615" s="263"/>
      <c r="B2615" s="264"/>
      <c r="C2615" s="265"/>
      <c r="D2615" s="266"/>
      <c r="E2615" s="263"/>
      <c r="F2615" s="267"/>
      <c r="G2615" s="267"/>
      <c r="H2615" s="268"/>
      <c r="I2615" s="268"/>
      <c r="J2615" s="267"/>
      <c r="K2615" s="265"/>
      <c r="L2615" s="265"/>
      <c r="M2615" s="269"/>
      <c r="N2615" s="270"/>
      <c r="O2615" s="271"/>
      <c r="P2615" s="271"/>
      <c r="Q2615" s="272"/>
      <c r="R2615" s="273"/>
      <c r="S2615" s="273"/>
      <c r="T2615" s="273"/>
      <c r="U2615" s="274"/>
      <c r="V2615" s="263"/>
      <c r="W2615" s="188"/>
      <c r="X2615" s="188"/>
      <c r="Y2615" s="188"/>
      <c r="Z2615" s="188"/>
      <c r="AA2615" s="188"/>
      <c r="AB2615" s="188"/>
      <c r="AC2615" s="188"/>
      <c r="AD2615" s="188"/>
      <c r="AE2615" s="188"/>
      <c r="AF2615" s="188"/>
      <c r="AG2615" s="188"/>
      <c r="AH2615" s="188"/>
      <c r="AI2615" s="188"/>
    </row>
    <row r="2616">
      <c r="A2616" s="263"/>
      <c r="B2616" s="264"/>
      <c r="C2616" s="265"/>
      <c r="D2616" s="266"/>
      <c r="E2616" s="263"/>
      <c r="F2616" s="267"/>
      <c r="G2616" s="267"/>
      <c r="H2616" s="268"/>
      <c r="I2616" s="268"/>
      <c r="J2616" s="267"/>
      <c r="K2616" s="265"/>
      <c r="L2616" s="265"/>
      <c r="M2616" s="269"/>
      <c r="N2616" s="270"/>
      <c r="O2616" s="271"/>
      <c r="P2616" s="271"/>
      <c r="Q2616" s="272"/>
      <c r="R2616" s="273"/>
      <c r="S2616" s="273"/>
      <c r="T2616" s="273"/>
      <c r="U2616" s="274"/>
      <c r="V2616" s="263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</row>
    <row r="2617">
      <c r="A2617" s="263"/>
      <c r="B2617" s="264"/>
      <c r="C2617" s="265"/>
      <c r="D2617" s="266"/>
      <c r="E2617" s="263"/>
      <c r="F2617" s="267"/>
      <c r="G2617" s="267"/>
      <c r="H2617" s="268"/>
      <c r="I2617" s="268"/>
      <c r="J2617" s="267"/>
      <c r="K2617" s="265"/>
      <c r="L2617" s="265"/>
      <c r="M2617" s="269"/>
      <c r="N2617" s="270"/>
      <c r="O2617" s="271"/>
      <c r="P2617" s="271"/>
      <c r="Q2617" s="272"/>
      <c r="R2617" s="273"/>
      <c r="S2617" s="273"/>
      <c r="T2617" s="273"/>
      <c r="U2617" s="274"/>
      <c r="V2617" s="263"/>
      <c r="W2617" s="188"/>
      <c r="X2617" s="188"/>
      <c r="Y2617" s="188"/>
      <c r="Z2617" s="188"/>
      <c r="AA2617" s="188"/>
      <c r="AB2617" s="188"/>
      <c r="AC2617" s="188"/>
      <c r="AD2617" s="188"/>
      <c r="AE2617" s="188"/>
      <c r="AF2617" s="188"/>
      <c r="AG2617" s="188"/>
      <c r="AH2617" s="188"/>
      <c r="AI2617" s="188"/>
    </row>
    <row r="2618">
      <c r="A2618" s="263"/>
      <c r="B2618" s="264"/>
      <c r="C2618" s="265"/>
      <c r="D2618" s="266"/>
      <c r="E2618" s="263"/>
      <c r="F2618" s="267"/>
      <c r="G2618" s="267"/>
      <c r="H2618" s="268"/>
      <c r="I2618" s="268"/>
      <c r="J2618" s="267"/>
      <c r="K2618" s="265"/>
      <c r="L2618" s="265"/>
      <c r="M2618" s="269"/>
      <c r="N2618" s="270"/>
      <c r="O2618" s="271"/>
      <c r="P2618" s="271"/>
      <c r="Q2618" s="272"/>
      <c r="R2618" s="273"/>
      <c r="S2618" s="273"/>
      <c r="T2618" s="273"/>
      <c r="U2618" s="274"/>
      <c r="V2618" s="263"/>
      <c r="W2618" s="35"/>
      <c r="X2618" s="35"/>
      <c r="Y2618" s="35"/>
      <c r="Z2618" s="35"/>
      <c r="AA2618" s="35"/>
      <c r="AB2618" s="35"/>
      <c r="AC2618" s="35"/>
      <c r="AD2618" s="35"/>
      <c r="AE2618" s="35"/>
      <c r="AF2618" s="35"/>
      <c r="AG2618" s="35"/>
      <c r="AH2618" s="35"/>
      <c r="AI2618" s="35"/>
    </row>
    <row r="2619">
      <c r="A2619" s="263"/>
      <c r="B2619" s="264"/>
      <c r="C2619" s="265"/>
      <c r="D2619" s="266"/>
      <c r="E2619" s="263"/>
      <c r="F2619" s="267"/>
      <c r="G2619" s="267"/>
      <c r="H2619" s="268"/>
      <c r="I2619" s="268"/>
      <c r="J2619" s="267"/>
      <c r="K2619" s="265"/>
      <c r="L2619" s="265"/>
      <c r="M2619" s="269"/>
      <c r="N2619" s="270"/>
      <c r="O2619" s="271"/>
      <c r="P2619" s="271"/>
      <c r="Q2619" s="272"/>
      <c r="R2619" s="273"/>
      <c r="S2619" s="273"/>
      <c r="T2619" s="273"/>
      <c r="U2619" s="274"/>
      <c r="V2619" s="263"/>
      <c r="W2619" s="35"/>
      <c r="X2619" s="35"/>
      <c r="Y2619" s="35"/>
      <c r="Z2619" s="35"/>
      <c r="AA2619" s="35"/>
      <c r="AB2619" s="35"/>
      <c r="AC2619" s="35"/>
      <c r="AD2619" s="35"/>
      <c r="AE2619" s="35"/>
      <c r="AF2619" s="35"/>
      <c r="AG2619" s="35"/>
      <c r="AH2619" s="35"/>
      <c r="AI2619" s="35"/>
    </row>
    <row r="2620">
      <c r="A2620" s="263"/>
      <c r="B2620" s="264"/>
      <c r="C2620" s="265"/>
      <c r="D2620" s="266"/>
      <c r="E2620" s="263"/>
      <c r="F2620" s="267"/>
      <c r="G2620" s="267"/>
      <c r="H2620" s="268"/>
      <c r="I2620" s="268"/>
      <c r="J2620" s="267"/>
      <c r="K2620" s="265"/>
      <c r="L2620" s="265"/>
      <c r="M2620" s="269"/>
      <c r="N2620" s="270"/>
      <c r="O2620" s="271"/>
      <c r="P2620" s="271"/>
      <c r="Q2620" s="272"/>
      <c r="R2620" s="273"/>
      <c r="S2620" s="273"/>
      <c r="T2620" s="273"/>
      <c r="U2620" s="274"/>
      <c r="V2620" s="263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</row>
    <row r="2621">
      <c r="A2621" s="263"/>
      <c r="B2621" s="264"/>
      <c r="C2621" s="265"/>
      <c r="D2621" s="266"/>
      <c r="E2621" s="263"/>
      <c r="F2621" s="267"/>
      <c r="G2621" s="267"/>
      <c r="H2621" s="268"/>
      <c r="I2621" s="268"/>
      <c r="J2621" s="267"/>
      <c r="K2621" s="265"/>
      <c r="L2621" s="265"/>
      <c r="M2621" s="269"/>
      <c r="N2621" s="270"/>
      <c r="O2621" s="271"/>
      <c r="P2621" s="271"/>
      <c r="Q2621" s="272"/>
      <c r="R2621" s="273"/>
      <c r="S2621" s="273"/>
      <c r="T2621" s="273"/>
      <c r="U2621" s="274"/>
      <c r="V2621" s="263"/>
      <c r="W2621" s="188"/>
      <c r="X2621" s="188"/>
      <c r="Y2621" s="188"/>
      <c r="Z2621" s="188"/>
      <c r="AA2621" s="188"/>
      <c r="AB2621" s="188"/>
      <c r="AC2621" s="188"/>
      <c r="AD2621" s="188"/>
      <c r="AE2621" s="188"/>
      <c r="AF2621" s="188"/>
      <c r="AG2621" s="188"/>
      <c r="AH2621" s="188"/>
      <c r="AI2621" s="188"/>
    </row>
    <row r="2622">
      <c r="A2622" s="263"/>
      <c r="B2622" s="264"/>
      <c r="C2622" s="265"/>
      <c r="D2622" s="266"/>
      <c r="E2622" s="263"/>
      <c r="F2622" s="267"/>
      <c r="G2622" s="267"/>
      <c r="H2622" s="268"/>
      <c r="I2622" s="268"/>
      <c r="J2622" s="267"/>
      <c r="K2622" s="265"/>
      <c r="L2622" s="265"/>
      <c r="M2622" s="269"/>
      <c r="N2622" s="270"/>
      <c r="O2622" s="271"/>
      <c r="P2622" s="271"/>
      <c r="Q2622" s="272"/>
      <c r="R2622" s="273"/>
      <c r="S2622" s="273"/>
      <c r="T2622" s="273"/>
      <c r="U2622" s="274"/>
      <c r="V2622" s="263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</row>
    <row r="2623">
      <c r="A2623" s="263"/>
      <c r="B2623" s="264"/>
      <c r="C2623" s="265"/>
      <c r="D2623" s="266"/>
      <c r="E2623" s="263"/>
      <c r="F2623" s="267"/>
      <c r="G2623" s="267"/>
      <c r="H2623" s="268"/>
      <c r="I2623" s="268"/>
      <c r="J2623" s="267"/>
      <c r="K2623" s="265"/>
      <c r="L2623" s="265"/>
      <c r="M2623" s="269"/>
      <c r="N2623" s="270"/>
      <c r="O2623" s="271"/>
      <c r="P2623" s="271"/>
      <c r="Q2623" s="272"/>
      <c r="R2623" s="273"/>
      <c r="S2623" s="273"/>
      <c r="T2623" s="273"/>
      <c r="U2623" s="274"/>
      <c r="V2623" s="263"/>
      <c r="W2623" s="188"/>
      <c r="X2623" s="188"/>
      <c r="Y2623" s="188"/>
      <c r="Z2623" s="188"/>
      <c r="AA2623" s="188"/>
      <c r="AB2623" s="188"/>
      <c r="AC2623" s="188"/>
      <c r="AD2623" s="188"/>
      <c r="AE2623" s="188"/>
      <c r="AF2623" s="188"/>
      <c r="AG2623" s="188"/>
      <c r="AH2623" s="188"/>
      <c r="AI2623" s="188"/>
    </row>
    <row r="2624">
      <c r="A2624" s="263"/>
      <c r="B2624" s="264"/>
      <c r="C2624" s="265"/>
      <c r="D2624" s="266"/>
      <c r="E2624" s="263"/>
      <c r="F2624" s="267"/>
      <c r="G2624" s="267"/>
      <c r="H2624" s="268"/>
      <c r="I2624" s="268"/>
      <c r="J2624" s="267"/>
      <c r="K2624" s="265"/>
      <c r="L2624" s="265"/>
      <c r="M2624" s="269"/>
      <c r="N2624" s="270"/>
      <c r="O2624" s="271"/>
      <c r="P2624" s="271"/>
      <c r="Q2624" s="272"/>
      <c r="R2624" s="273"/>
      <c r="S2624" s="273"/>
      <c r="T2624" s="273"/>
      <c r="U2624" s="274"/>
      <c r="V2624" s="263"/>
      <c r="W2624" s="188"/>
      <c r="X2624" s="188"/>
      <c r="Y2624" s="188"/>
      <c r="Z2624" s="188"/>
      <c r="AA2624" s="188"/>
      <c r="AB2624" s="188"/>
      <c r="AC2624" s="188"/>
      <c r="AD2624" s="188"/>
      <c r="AE2624" s="188"/>
      <c r="AF2624" s="188"/>
      <c r="AG2624" s="188"/>
      <c r="AH2624" s="188"/>
      <c r="AI2624" s="188"/>
    </row>
    <row r="2625">
      <c r="A2625" s="263"/>
      <c r="B2625" s="264"/>
      <c r="C2625" s="265"/>
      <c r="D2625" s="266"/>
      <c r="E2625" s="263"/>
      <c r="F2625" s="267"/>
      <c r="G2625" s="267"/>
      <c r="H2625" s="268"/>
      <c r="I2625" s="268"/>
      <c r="J2625" s="267"/>
      <c r="K2625" s="265"/>
      <c r="L2625" s="265"/>
      <c r="M2625" s="269"/>
      <c r="N2625" s="270"/>
      <c r="O2625" s="271"/>
      <c r="P2625" s="271"/>
      <c r="Q2625" s="272"/>
      <c r="R2625" s="273"/>
      <c r="S2625" s="273"/>
      <c r="T2625" s="273"/>
      <c r="U2625" s="274"/>
      <c r="V2625" s="263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</row>
    <row r="2626">
      <c r="A2626" s="263"/>
      <c r="B2626" s="264"/>
      <c r="C2626" s="265"/>
      <c r="D2626" s="266"/>
      <c r="E2626" s="263"/>
      <c r="F2626" s="267"/>
      <c r="G2626" s="267"/>
      <c r="H2626" s="268"/>
      <c r="I2626" s="268"/>
      <c r="J2626" s="267"/>
      <c r="K2626" s="265"/>
      <c r="L2626" s="265"/>
      <c r="M2626" s="269"/>
      <c r="N2626" s="270"/>
      <c r="O2626" s="271"/>
      <c r="P2626" s="271"/>
      <c r="Q2626" s="272"/>
      <c r="R2626" s="273"/>
      <c r="S2626" s="273"/>
      <c r="T2626" s="273"/>
      <c r="U2626" s="274"/>
      <c r="V2626" s="263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</row>
    <row r="2627">
      <c r="A2627" s="263"/>
      <c r="B2627" s="264"/>
      <c r="C2627" s="265"/>
      <c r="D2627" s="266"/>
      <c r="E2627" s="263"/>
      <c r="F2627" s="267"/>
      <c r="G2627" s="267"/>
      <c r="H2627" s="268"/>
      <c r="I2627" s="268"/>
      <c r="J2627" s="267"/>
      <c r="K2627" s="265"/>
      <c r="L2627" s="265"/>
      <c r="M2627" s="269"/>
      <c r="N2627" s="270"/>
      <c r="O2627" s="271"/>
      <c r="P2627" s="271"/>
      <c r="Q2627" s="272"/>
      <c r="R2627" s="273"/>
      <c r="S2627" s="273"/>
      <c r="T2627" s="273"/>
      <c r="U2627" s="274"/>
      <c r="V2627" s="263"/>
      <c r="W2627" s="35"/>
      <c r="X2627" s="35"/>
      <c r="Y2627" s="35"/>
      <c r="Z2627" s="35"/>
      <c r="AA2627" s="35"/>
      <c r="AB2627" s="35"/>
      <c r="AC2627" s="35"/>
      <c r="AD2627" s="35"/>
      <c r="AE2627" s="35"/>
      <c r="AF2627" s="35"/>
      <c r="AG2627" s="35"/>
      <c r="AH2627" s="35"/>
      <c r="AI2627" s="35"/>
    </row>
    <row r="2628">
      <c r="A2628" s="263"/>
      <c r="B2628" s="264"/>
      <c r="C2628" s="265"/>
      <c r="D2628" s="266"/>
      <c r="E2628" s="263"/>
      <c r="F2628" s="267"/>
      <c r="G2628" s="267"/>
      <c r="H2628" s="268"/>
      <c r="I2628" s="268"/>
      <c r="J2628" s="267"/>
      <c r="K2628" s="265"/>
      <c r="L2628" s="265"/>
      <c r="M2628" s="269"/>
      <c r="N2628" s="270"/>
      <c r="O2628" s="271"/>
      <c r="P2628" s="271"/>
      <c r="Q2628" s="272"/>
      <c r="R2628" s="273"/>
      <c r="S2628" s="273"/>
      <c r="T2628" s="273"/>
      <c r="U2628" s="274"/>
      <c r="V2628" s="263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</row>
    <row r="2629">
      <c r="A2629" s="263"/>
      <c r="B2629" s="264"/>
      <c r="C2629" s="265"/>
      <c r="D2629" s="266"/>
      <c r="E2629" s="263"/>
      <c r="F2629" s="267"/>
      <c r="G2629" s="267"/>
      <c r="H2629" s="268"/>
      <c r="I2629" s="268"/>
      <c r="J2629" s="267"/>
      <c r="K2629" s="265"/>
      <c r="L2629" s="265"/>
      <c r="M2629" s="269"/>
      <c r="N2629" s="270"/>
      <c r="O2629" s="271"/>
      <c r="P2629" s="271"/>
      <c r="Q2629" s="272"/>
      <c r="R2629" s="273"/>
      <c r="S2629" s="273"/>
      <c r="T2629" s="273"/>
      <c r="U2629" s="274"/>
      <c r="V2629" s="263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</row>
    <row r="2630">
      <c r="A2630" s="263"/>
      <c r="B2630" s="264"/>
      <c r="C2630" s="265"/>
      <c r="D2630" s="266"/>
      <c r="E2630" s="263"/>
      <c r="F2630" s="267"/>
      <c r="G2630" s="267"/>
      <c r="H2630" s="268"/>
      <c r="I2630" s="268"/>
      <c r="J2630" s="267"/>
      <c r="K2630" s="265"/>
      <c r="L2630" s="265"/>
      <c r="M2630" s="269"/>
      <c r="N2630" s="270"/>
      <c r="O2630" s="271"/>
      <c r="P2630" s="271"/>
      <c r="Q2630" s="272"/>
      <c r="R2630" s="273"/>
      <c r="S2630" s="273"/>
      <c r="T2630" s="273"/>
      <c r="U2630" s="274"/>
      <c r="V2630" s="263"/>
      <c r="W2630" s="35"/>
      <c r="X2630" s="35"/>
      <c r="Y2630" s="35"/>
      <c r="Z2630" s="35"/>
      <c r="AA2630" s="35"/>
      <c r="AB2630" s="35"/>
      <c r="AC2630" s="35"/>
      <c r="AD2630" s="35"/>
      <c r="AE2630" s="35"/>
      <c r="AF2630" s="35"/>
      <c r="AG2630" s="35"/>
      <c r="AH2630" s="35"/>
      <c r="AI2630" s="35"/>
    </row>
    <row r="2631">
      <c r="A2631" s="263"/>
      <c r="B2631" s="264"/>
      <c r="C2631" s="265"/>
      <c r="D2631" s="266"/>
      <c r="E2631" s="263"/>
      <c r="F2631" s="267"/>
      <c r="G2631" s="267"/>
      <c r="H2631" s="268"/>
      <c r="I2631" s="268"/>
      <c r="J2631" s="267"/>
      <c r="K2631" s="265"/>
      <c r="L2631" s="265"/>
      <c r="M2631" s="269"/>
      <c r="N2631" s="270"/>
      <c r="O2631" s="271"/>
      <c r="P2631" s="271"/>
      <c r="Q2631" s="272"/>
      <c r="R2631" s="273"/>
      <c r="S2631" s="273"/>
      <c r="T2631" s="273"/>
      <c r="U2631" s="274"/>
      <c r="V2631" s="263"/>
      <c r="W2631" s="188"/>
      <c r="X2631" s="188"/>
      <c r="Y2631" s="188"/>
      <c r="Z2631" s="188"/>
      <c r="AA2631" s="188"/>
      <c r="AB2631" s="188"/>
      <c r="AC2631" s="188"/>
      <c r="AD2631" s="188"/>
      <c r="AE2631" s="188"/>
      <c r="AF2631" s="188"/>
      <c r="AG2631" s="188"/>
      <c r="AH2631" s="188"/>
      <c r="AI2631" s="188"/>
    </row>
    <row r="2632">
      <c r="A2632" s="263"/>
      <c r="B2632" s="264"/>
      <c r="C2632" s="265"/>
      <c r="D2632" s="266"/>
      <c r="E2632" s="263"/>
      <c r="F2632" s="267"/>
      <c r="G2632" s="267"/>
      <c r="H2632" s="268"/>
      <c r="I2632" s="268"/>
      <c r="J2632" s="267"/>
      <c r="K2632" s="265"/>
      <c r="L2632" s="265"/>
      <c r="M2632" s="269"/>
      <c r="N2632" s="270"/>
      <c r="O2632" s="271"/>
      <c r="P2632" s="271"/>
      <c r="Q2632" s="272"/>
      <c r="R2632" s="273"/>
      <c r="S2632" s="273"/>
      <c r="T2632" s="273"/>
      <c r="U2632" s="274"/>
      <c r="V2632" s="263"/>
      <c r="W2632" s="35"/>
      <c r="X2632" s="35"/>
      <c r="Y2632" s="35"/>
      <c r="Z2632" s="35"/>
      <c r="AA2632" s="35"/>
      <c r="AB2632" s="35"/>
      <c r="AC2632" s="35"/>
      <c r="AD2632" s="35"/>
      <c r="AE2632" s="35"/>
      <c r="AF2632" s="35"/>
      <c r="AG2632" s="35"/>
      <c r="AH2632" s="35"/>
      <c r="AI2632" s="35"/>
    </row>
    <row r="2633">
      <c r="A2633" s="263"/>
      <c r="B2633" s="264"/>
      <c r="C2633" s="265"/>
      <c r="D2633" s="266"/>
      <c r="E2633" s="263"/>
      <c r="F2633" s="267"/>
      <c r="G2633" s="267"/>
      <c r="H2633" s="268"/>
      <c r="I2633" s="268"/>
      <c r="J2633" s="267"/>
      <c r="K2633" s="265"/>
      <c r="L2633" s="265"/>
      <c r="M2633" s="269"/>
      <c r="N2633" s="270"/>
      <c r="O2633" s="271"/>
      <c r="P2633" s="271"/>
      <c r="Q2633" s="272"/>
      <c r="R2633" s="273"/>
      <c r="S2633" s="273"/>
      <c r="T2633" s="273"/>
      <c r="U2633" s="274"/>
      <c r="V2633" s="263"/>
      <c r="W2633" s="188"/>
      <c r="X2633" s="188"/>
      <c r="Y2633" s="188"/>
      <c r="Z2633" s="188"/>
      <c r="AA2633" s="188"/>
      <c r="AB2633" s="188"/>
      <c r="AC2633" s="188"/>
      <c r="AD2633" s="188"/>
      <c r="AE2633" s="188"/>
      <c r="AF2633" s="188"/>
      <c r="AG2633" s="188"/>
      <c r="AH2633" s="188"/>
      <c r="AI2633" s="188"/>
    </row>
    <row r="2634">
      <c r="A2634" s="263"/>
      <c r="B2634" s="264"/>
      <c r="C2634" s="265"/>
      <c r="D2634" s="266"/>
      <c r="E2634" s="263"/>
      <c r="F2634" s="267"/>
      <c r="G2634" s="267"/>
      <c r="H2634" s="268"/>
      <c r="I2634" s="268"/>
      <c r="J2634" s="267"/>
      <c r="K2634" s="265"/>
      <c r="L2634" s="265"/>
      <c r="M2634" s="269"/>
      <c r="N2634" s="270"/>
      <c r="O2634" s="271"/>
      <c r="P2634" s="271"/>
      <c r="Q2634" s="272"/>
      <c r="R2634" s="273"/>
      <c r="S2634" s="273"/>
      <c r="T2634" s="273"/>
      <c r="U2634" s="274"/>
      <c r="V2634" s="263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</row>
    <row r="2635">
      <c r="A2635" s="263"/>
      <c r="B2635" s="264"/>
      <c r="C2635" s="265"/>
      <c r="D2635" s="266"/>
      <c r="E2635" s="263"/>
      <c r="F2635" s="267"/>
      <c r="G2635" s="267"/>
      <c r="H2635" s="268"/>
      <c r="I2635" s="268"/>
      <c r="J2635" s="267"/>
      <c r="K2635" s="265"/>
      <c r="L2635" s="265"/>
      <c r="M2635" s="269"/>
      <c r="N2635" s="270"/>
      <c r="O2635" s="271"/>
      <c r="P2635" s="271"/>
      <c r="Q2635" s="272"/>
      <c r="R2635" s="273"/>
      <c r="S2635" s="273"/>
      <c r="T2635" s="273"/>
      <c r="U2635" s="274"/>
      <c r="V2635" s="263"/>
      <c r="W2635" s="188"/>
      <c r="X2635" s="188"/>
      <c r="Y2635" s="188"/>
      <c r="Z2635" s="188"/>
      <c r="AA2635" s="188"/>
      <c r="AB2635" s="188"/>
      <c r="AC2635" s="188"/>
      <c r="AD2635" s="188"/>
      <c r="AE2635" s="188"/>
      <c r="AF2635" s="188"/>
      <c r="AG2635" s="188"/>
      <c r="AH2635" s="188"/>
      <c r="AI2635" s="188"/>
    </row>
    <row r="2636">
      <c r="A2636" s="263"/>
      <c r="B2636" s="264"/>
      <c r="C2636" s="265"/>
      <c r="D2636" s="266"/>
      <c r="E2636" s="263"/>
      <c r="F2636" s="267"/>
      <c r="G2636" s="267"/>
      <c r="H2636" s="268"/>
      <c r="I2636" s="268"/>
      <c r="J2636" s="267"/>
      <c r="K2636" s="265"/>
      <c r="L2636" s="265"/>
      <c r="M2636" s="269"/>
      <c r="N2636" s="270"/>
      <c r="O2636" s="271"/>
      <c r="P2636" s="271"/>
      <c r="Q2636" s="272"/>
      <c r="R2636" s="273"/>
      <c r="S2636" s="273"/>
      <c r="T2636" s="273"/>
      <c r="U2636" s="274"/>
      <c r="V2636" s="263"/>
      <c r="W2636" s="188"/>
      <c r="X2636" s="188"/>
      <c r="Y2636" s="188"/>
      <c r="Z2636" s="188"/>
      <c r="AA2636" s="188"/>
      <c r="AB2636" s="188"/>
      <c r="AC2636" s="188"/>
      <c r="AD2636" s="188"/>
      <c r="AE2636" s="188"/>
      <c r="AF2636" s="188"/>
      <c r="AG2636" s="188"/>
      <c r="AH2636" s="188"/>
      <c r="AI2636" s="188"/>
    </row>
    <row r="2637">
      <c r="A2637" s="263"/>
      <c r="B2637" s="264"/>
      <c r="C2637" s="265"/>
      <c r="D2637" s="266"/>
      <c r="E2637" s="263"/>
      <c r="F2637" s="267"/>
      <c r="G2637" s="267"/>
      <c r="H2637" s="268"/>
      <c r="I2637" s="268"/>
      <c r="J2637" s="267"/>
      <c r="K2637" s="265"/>
      <c r="L2637" s="265"/>
      <c r="M2637" s="269"/>
      <c r="N2637" s="270"/>
      <c r="O2637" s="271"/>
      <c r="P2637" s="271"/>
      <c r="Q2637" s="272"/>
      <c r="R2637" s="273"/>
      <c r="S2637" s="273"/>
      <c r="T2637" s="273"/>
      <c r="U2637" s="274"/>
      <c r="V2637" s="263"/>
      <c r="W2637" s="188"/>
      <c r="X2637" s="188"/>
      <c r="Y2637" s="188"/>
      <c r="Z2637" s="188"/>
      <c r="AA2637" s="188"/>
      <c r="AB2637" s="188"/>
      <c r="AC2637" s="188"/>
      <c r="AD2637" s="188"/>
      <c r="AE2637" s="188"/>
      <c r="AF2637" s="188"/>
      <c r="AG2637" s="188"/>
      <c r="AH2637" s="188"/>
      <c r="AI2637" s="188"/>
    </row>
    <row r="2638">
      <c r="A2638" s="263"/>
      <c r="B2638" s="264"/>
      <c r="C2638" s="265"/>
      <c r="D2638" s="266"/>
      <c r="E2638" s="263"/>
      <c r="F2638" s="267"/>
      <c r="G2638" s="267"/>
      <c r="H2638" s="268"/>
      <c r="I2638" s="268"/>
      <c r="J2638" s="267"/>
      <c r="K2638" s="265"/>
      <c r="L2638" s="265"/>
      <c r="M2638" s="269"/>
      <c r="N2638" s="270"/>
      <c r="O2638" s="271"/>
      <c r="P2638" s="271"/>
      <c r="Q2638" s="272"/>
      <c r="R2638" s="273"/>
      <c r="S2638" s="273"/>
      <c r="T2638" s="273"/>
      <c r="U2638" s="274"/>
      <c r="V2638" s="263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</row>
    <row r="2639">
      <c r="A2639" s="263"/>
      <c r="B2639" s="264"/>
      <c r="C2639" s="265"/>
      <c r="D2639" s="266"/>
      <c r="E2639" s="263"/>
      <c r="F2639" s="267"/>
      <c r="G2639" s="267"/>
      <c r="H2639" s="268"/>
      <c r="I2639" s="268"/>
      <c r="J2639" s="267"/>
      <c r="K2639" s="265"/>
      <c r="L2639" s="265"/>
      <c r="M2639" s="269"/>
      <c r="N2639" s="270"/>
      <c r="O2639" s="271"/>
      <c r="P2639" s="271"/>
      <c r="Q2639" s="272"/>
      <c r="R2639" s="273"/>
      <c r="S2639" s="273"/>
      <c r="T2639" s="273"/>
      <c r="U2639" s="274"/>
      <c r="V2639" s="263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</row>
    <row r="2640">
      <c r="A2640" s="263"/>
      <c r="B2640" s="264"/>
      <c r="C2640" s="265"/>
      <c r="D2640" s="266"/>
      <c r="E2640" s="263"/>
      <c r="F2640" s="267"/>
      <c r="G2640" s="267"/>
      <c r="H2640" s="268"/>
      <c r="I2640" s="268"/>
      <c r="J2640" s="267"/>
      <c r="K2640" s="265"/>
      <c r="L2640" s="265"/>
      <c r="M2640" s="269"/>
      <c r="N2640" s="270"/>
      <c r="O2640" s="271"/>
      <c r="P2640" s="271"/>
      <c r="Q2640" s="272"/>
      <c r="R2640" s="273"/>
      <c r="S2640" s="273"/>
      <c r="T2640" s="273"/>
      <c r="U2640" s="274"/>
      <c r="V2640" s="263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</row>
    <row r="2641">
      <c r="A2641" s="263"/>
      <c r="B2641" s="264"/>
      <c r="C2641" s="265"/>
      <c r="D2641" s="266"/>
      <c r="E2641" s="263"/>
      <c r="F2641" s="267"/>
      <c r="G2641" s="267"/>
      <c r="H2641" s="268"/>
      <c r="I2641" s="268"/>
      <c r="J2641" s="267"/>
      <c r="K2641" s="265"/>
      <c r="L2641" s="265"/>
      <c r="M2641" s="269"/>
      <c r="N2641" s="270"/>
      <c r="O2641" s="271"/>
      <c r="P2641" s="271"/>
      <c r="Q2641" s="272"/>
      <c r="R2641" s="273"/>
      <c r="S2641" s="273"/>
      <c r="T2641" s="273"/>
      <c r="U2641" s="274"/>
      <c r="V2641" s="263"/>
      <c r="W2641" s="188"/>
      <c r="X2641" s="188"/>
      <c r="Y2641" s="188"/>
      <c r="Z2641" s="188"/>
      <c r="AA2641" s="188"/>
      <c r="AB2641" s="188"/>
      <c r="AC2641" s="188"/>
      <c r="AD2641" s="188"/>
      <c r="AE2641" s="188"/>
      <c r="AF2641" s="188"/>
      <c r="AG2641" s="188"/>
      <c r="AH2641" s="188"/>
      <c r="AI2641" s="188"/>
    </row>
    <row r="2642">
      <c r="A2642" s="263"/>
      <c r="B2642" s="264"/>
      <c r="C2642" s="265"/>
      <c r="D2642" s="266"/>
      <c r="E2642" s="263"/>
      <c r="F2642" s="267"/>
      <c r="G2642" s="267"/>
      <c r="H2642" s="268"/>
      <c r="I2642" s="268"/>
      <c r="J2642" s="267"/>
      <c r="K2642" s="265"/>
      <c r="L2642" s="265"/>
      <c r="M2642" s="269"/>
      <c r="N2642" s="270"/>
      <c r="O2642" s="271"/>
      <c r="P2642" s="271"/>
      <c r="Q2642" s="272"/>
      <c r="R2642" s="273"/>
      <c r="S2642" s="273"/>
      <c r="T2642" s="273"/>
      <c r="U2642" s="274"/>
      <c r="V2642" s="263"/>
      <c r="W2642" s="35"/>
      <c r="X2642" s="35"/>
      <c r="Y2642" s="35"/>
      <c r="Z2642" s="35"/>
      <c r="AA2642" s="35"/>
      <c r="AB2642" s="35"/>
      <c r="AC2642" s="35"/>
      <c r="AD2642" s="35"/>
      <c r="AE2642" s="35"/>
      <c r="AF2642" s="35"/>
      <c r="AG2642" s="35"/>
      <c r="AH2642" s="35"/>
      <c r="AI2642" s="35"/>
    </row>
    <row r="2643">
      <c r="A2643" s="263"/>
      <c r="B2643" s="264"/>
      <c r="C2643" s="265"/>
      <c r="D2643" s="266"/>
      <c r="E2643" s="263"/>
      <c r="F2643" s="267"/>
      <c r="G2643" s="267"/>
      <c r="H2643" s="268"/>
      <c r="I2643" s="268"/>
      <c r="J2643" s="267"/>
      <c r="K2643" s="265"/>
      <c r="L2643" s="265"/>
      <c r="M2643" s="269"/>
      <c r="N2643" s="270"/>
      <c r="O2643" s="271"/>
      <c r="P2643" s="271"/>
      <c r="Q2643" s="272"/>
      <c r="R2643" s="273"/>
      <c r="S2643" s="273"/>
      <c r="T2643" s="273"/>
      <c r="U2643" s="274"/>
      <c r="V2643" s="263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</row>
    <row r="2644">
      <c r="A2644" s="263"/>
      <c r="B2644" s="264"/>
      <c r="C2644" s="265"/>
      <c r="D2644" s="266"/>
      <c r="E2644" s="263"/>
      <c r="F2644" s="267"/>
      <c r="G2644" s="267"/>
      <c r="H2644" s="268"/>
      <c r="I2644" s="268"/>
      <c r="J2644" s="267"/>
      <c r="K2644" s="265"/>
      <c r="L2644" s="265"/>
      <c r="M2644" s="269"/>
      <c r="N2644" s="270"/>
      <c r="O2644" s="271"/>
      <c r="P2644" s="271"/>
      <c r="Q2644" s="272"/>
      <c r="R2644" s="273"/>
      <c r="S2644" s="273"/>
      <c r="T2644" s="273"/>
      <c r="U2644" s="274"/>
      <c r="V2644" s="263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</row>
    <row r="2645">
      <c r="A2645" s="263"/>
      <c r="B2645" s="264"/>
      <c r="C2645" s="265"/>
      <c r="D2645" s="266"/>
      <c r="E2645" s="263"/>
      <c r="F2645" s="267"/>
      <c r="G2645" s="267"/>
      <c r="H2645" s="268"/>
      <c r="I2645" s="268"/>
      <c r="J2645" s="267"/>
      <c r="K2645" s="265"/>
      <c r="L2645" s="265"/>
      <c r="M2645" s="269"/>
      <c r="N2645" s="270"/>
      <c r="O2645" s="271"/>
      <c r="P2645" s="271"/>
      <c r="Q2645" s="272"/>
      <c r="R2645" s="273"/>
      <c r="S2645" s="273"/>
      <c r="T2645" s="273"/>
      <c r="U2645" s="274"/>
      <c r="V2645" s="263"/>
      <c r="W2645" s="188"/>
      <c r="X2645" s="188"/>
      <c r="Y2645" s="188"/>
      <c r="Z2645" s="188"/>
      <c r="AA2645" s="188"/>
      <c r="AB2645" s="188"/>
      <c r="AC2645" s="188"/>
      <c r="AD2645" s="188"/>
      <c r="AE2645" s="188"/>
      <c r="AF2645" s="188"/>
      <c r="AG2645" s="188"/>
      <c r="AH2645" s="188"/>
      <c r="AI2645" s="188"/>
    </row>
    <row r="2646">
      <c r="A2646" s="263"/>
      <c r="B2646" s="264"/>
      <c r="C2646" s="265"/>
      <c r="D2646" s="266"/>
      <c r="E2646" s="263"/>
      <c r="F2646" s="267"/>
      <c r="G2646" s="267"/>
      <c r="H2646" s="268"/>
      <c r="I2646" s="268"/>
      <c r="J2646" s="267"/>
      <c r="K2646" s="265"/>
      <c r="L2646" s="265"/>
      <c r="M2646" s="269"/>
      <c r="N2646" s="270"/>
      <c r="O2646" s="271"/>
      <c r="P2646" s="271"/>
      <c r="Q2646" s="272"/>
      <c r="R2646" s="273"/>
      <c r="S2646" s="273"/>
      <c r="T2646" s="273"/>
      <c r="U2646" s="274"/>
      <c r="V2646" s="263"/>
      <c r="W2646" s="188"/>
      <c r="X2646" s="188"/>
      <c r="Y2646" s="188"/>
      <c r="Z2646" s="188"/>
      <c r="AA2646" s="188"/>
      <c r="AB2646" s="188"/>
      <c r="AC2646" s="188"/>
      <c r="AD2646" s="188"/>
      <c r="AE2646" s="188"/>
      <c r="AF2646" s="188"/>
      <c r="AG2646" s="188"/>
      <c r="AH2646" s="188"/>
      <c r="AI2646" s="188"/>
    </row>
    <row r="2647">
      <c r="A2647" s="263"/>
      <c r="B2647" s="264"/>
      <c r="C2647" s="265"/>
      <c r="D2647" s="266"/>
      <c r="E2647" s="263"/>
      <c r="F2647" s="267"/>
      <c r="G2647" s="267"/>
      <c r="H2647" s="268"/>
      <c r="I2647" s="268"/>
      <c r="J2647" s="267"/>
      <c r="K2647" s="265"/>
      <c r="L2647" s="265"/>
      <c r="M2647" s="269"/>
      <c r="N2647" s="270"/>
      <c r="O2647" s="271"/>
      <c r="P2647" s="271"/>
      <c r="Q2647" s="272"/>
      <c r="R2647" s="273"/>
      <c r="S2647" s="273"/>
      <c r="T2647" s="273"/>
      <c r="U2647" s="274"/>
      <c r="V2647" s="263"/>
      <c r="W2647" s="188"/>
      <c r="X2647" s="188"/>
      <c r="Y2647" s="188"/>
      <c r="Z2647" s="188"/>
      <c r="AA2647" s="188"/>
      <c r="AB2647" s="188"/>
      <c r="AC2647" s="188"/>
      <c r="AD2647" s="188"/>
      <c r="AE2647" s="188"/>
      <c r="AF2647" s="188"/>
      <c r="AG2647" s="188"/>
      <c r="AH2647" s="188"/>
      <c r="AI2647" s="188"/>
    </row>
    <row r="2648">
      <c r="A2648" s="263"/>
      <c r="B2648" s="264"/>
      <c r="C2648" s="265"/>
      <c r="D2648" s="266"/>
      <c r="E2648" s="263"/>
      <c r="F2648" s="267"/>
      <c r="G2648" s="267"/>
      <c r="H2648" s="268"/>
      <c r="I2648" s="268"/>
      <c r="J2648" s="267"/>
      <c r="K2648" s="265"/>
      <c r="L2648" s="265"/>
      <c r="M2648" s="269"/>
      <c r="N2648" s="270"/>
      <c r="O2648" s="271"/>
      <c r="P2648" s="271"/>
      <c r="Q2648" s="272"/>
      <c r="R2648" s="273"/>
      <c r="S2648" s="273"/>
      <c r="T2648" s="273"/>
      <c r="U2648" s="274"/>
      <c r="V2648" s="263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</row>
    <row r="2649">
      <c r="A2649" s="263"/>
      <c r="B2649" s="264"/>
      <c r="C2649" s="265"/>
      <c r="D2649" s="266"/>
      <c r="E2649" s="263"/>
      <c r="F2649" s="267"/>
      <c r="G2649" s="267"/>
      <c r="H2649" s="268"/>
      <c r="I2649" s="268"/>
      <c r="J2649" s="267"/>
      <c r="K2649" s="265"/>
      <c r="L2649" s="265"/>
      <c r="M2649" s="269"/>
      <c r="N2649" s="270"/>
      <c r="O2649" s="271"/>
      <c r="P2649" s="271"/>
      <c r="Q2649" s="272"/>
      <c r="R2649" s="273"/>
      <c r="S2649" s="273"/>
      <c r="T2649" s="273"/>
      <c r="U2649" s="274"/>
      <c r="V2649" s="263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</row>
    <row r="2650">
      <c r="A2650" s="263"/>
      <c r="B2650" s="264"/>
      <c r="C2650" s="265"/>
      <c r="D2650" s="266"/>
      <c r="E2650" s="263"/>
      <c r="F2650" s="267"/>
      <c r="G2650" s="267"/>
      <c r="H2650" s="268"/>
      <c r="I2650" s="268"/>
      <c r="J2650" s="267"/>
      <c r="K2650" s="265"/>
      <c r="L2650" s="265"/>
      <c r="M2650" s="269"/>
      <c r="N2650" s="270"/>
      <c r="O2650" s="271"/>
      <c r="P2650" s="271"/>
      <c r="Q2650" s="272"/>
      <c r="R2650" s="273"/>
      <c r="S2650" s="273"/>
      <c r="T2650" s="273"/>
      <c r="U2650" s="274"/>
      <c r="V2650" s="263"/>
      <c r="W2650" s="188"/>
      <c r="X2650" s="188"/>
      <c r="Y2650" s="188"/>
      <c r="Z2650" s="188"/>
      <c r="AA2650" s="188"/>
      <c r="AB2650" s="188"/>
      <c r="AC2650" s="188"/>
      <c r="AD2650" s="188"/>
      <c r="AE2650" s="188"/>
      <c r="AF2650" s="188"/>
      <c r="AG2650" s="188"/>
      <c r="AH2650" s="188"/>
      <c r="AI2650" s="188"/>
    </row>
    <row r="2651">
      <c r="A2651" s="263"/>
      <c r="B2651" s="264"/>
      <c r="C2651" s="265"/>
      <c r="D2651" s="266"/>
      <c r="E2651" s="263"/>
      <c r="F2651" s="267"/>
      <c r="G2651" s="267"/>
      <c r="H2651" s="268"/>
      <c r="I2651" s="268"/>
      <c r="J2651" s="267"/>
      <c r="K2651" s="265"/>
      <c r="L2651" s="265"/>
      <c r="M2651" s="269"/>
      <c r="N2651" s="270"/>
      <c r="O2651" s="271"/>
      <c r="P2651" s="271"/>
      <c r="Q2651" s="272"/>
      <c r="R2651" s="273"/>
      <c r="S2651" s="273"/>
      <c r="T2651" s="273"/>
      <c r="U2651" s="274"/>
      <c r="V2651" s="263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</row>
    <row r="2652">
      <c r="A2652" s="263"/>
      <c r="B2652" s="264"/>
      <c r="C2652" s="265"/>
      <c r="D2652" s="266"/>
      <c r="E2652" s="263"/>
      <c r="F2652" s="267"/>
      <c r="G2652" s="267"/>
      <c r="H2652" s="268"/>
      <c r="I2652" s="268"/>
      <c r="J2652" s="267"/>
      <c r="K2652" s="265"/>
      <c r="L2652" s="265"/>
      <c r="M2652" s="269"/>
      <c r="N2652" s="270"/>
      <c r="O2652" s="271"/>
      <c r="P2652" s="271"/>
      <c r="Q2652" s="272"/>
      <c r="R2652" s="273"/>
      <c r="S2652" s="273"/>
      <c r="T2652" s="273"/>
      <c r="U2652" s="274"/>
      <c r="V2652" s="263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</row>
    <row r="2653">
      <c r="A2653" s="263"/>
      <c r="B2653" s="264"/>
      <c r="C2653" s="265"/>
      <c r="D2653" s="266"/>
      <c r="E2653" s="263"/>
      <c r="F2653" s="267"/>
      <c r="G2653" s="267"/>
      <c r="H2653" s="268"/>
      <c r="I2653" s="268"/>
      <c r="J2653" s="267"/>
      <c r="K2653" s="265"/>
      <c r="L2653" s="265"/>
      <c r="M2653" s="269"/>
      <c r="N2653" s="270"/>
      <c r="O2653" s="271"/>
      <c r="P2653" s="271"/>
      <c r="Q2653" s="272"/>
      <c r="R2653" s="273"/>
      <c r="S2653" s="273"/>
      <c r="T2653" s="273"/>
      <c r="U2653" s="274"/>
      <c r="V2653" s="263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</row>
    <row r="2654">
      <c r="A2654" s="263"/>
      <c r="B2654" s="264"/>
      <c r="C2654" s="265"/>
      <c r="D2654" s="266"/>
      <c r="E2654" s="263"/>
      <c r="F2654" s="267"/>
      <c r="G2654" s="267"/>
      <c r="H2654" s="268"/>
      <c r="I2654" s="268"/>
      <c r="J2654" s="267"/>
      <c r="K2654" s="265"/>
      <c r="L2654" s="265"/>
      <c r="M2654" s="269"/>
      <c r="N2654" s="270"/>
      <c r="O2654" s="271"/>
      <c r="P2654" s="271"/>
      <c r="Q2654" s="272"/>
      <c r="R2654" s="273"/>
      <c r="S2654" s="273"/>
      <c r="T2654" s="273"/>
      <c r="U2654" s="274"/>
      <c r="V2654" s="263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</row>
    <row r="2655">
      <c r="A2655" s="263"/>
      <c r="B2655" s="264"/>
      <c r="C2655" s="265"/>
      <c r="D2655" s="266"/>
      <c r="E2655" s="263"/>
      <c r="F2655" s="267"/>
      <c r="G2655" s="267"/>
      <c r="H2655" s="268"/>
      <c r="I2655" s="268"/>
      <c r="J2655" s="267"/>
      <c r="K2655" s="265"/>
      <c r="L2655" s="265"/>
      <c r="M2655" s="269"/>
      <c r="N2655" s="270"/>
      <c r="O2655" s="271"/>
      <c r="P2655" s="271"/>
      <c r="Q2655" s="272"/>
      <c r="R2655" s="273"/>
      <c r="S2655" s="273"/>
      <c r="T2655" s="273"/>
      <c r="U2655" s="274"/>
      <c r="V2655" s="263"/>
      <c r="W2655" s="35"/>
      <c r="X2655" s="35"/>
      <c r="Y2655" s="35"/>
      <c r="Z2655" s="35"/>
      <c r="AA2655" s="35"/>
      <c r="AB2655" s="35"/>
      <c r="AC2655" s="35"/>
      <c r="AD2655" s="35"/>
      <c r="AE2655" s="35"/>
      <c r="AF2655" s="35"/>
      <c r="AG2655" s="35"/>
      <c r="AH2655" s="35"/>
      <c r="AI2655" s="35"/>
    </row>
    <row r="2656">
      <c r="A2656" s="263"/>
      <c r="B2656" s="264"/>
      <c r="C2656" s="265"/>
      <c r="D2656" s="266"/>
      <c r="E2656" s="263"/>
      <c r="F2656" s="267"/>
      <c r="G2656" s="267"/>
      <c r="H2656" s="268"/>
      <c r="I2656" s="268"/>
      <c r="J2656" s="267"/>
      <c r="K2656" s="265"/>
      <c r="L2656" s="265"/>
      <c r="M2656" s="269"/>
      <c r="N2656" s="270"/>
      <c r="O2656" s="271"/>
      <c r="P2656" s="271"/>
      <c r="Q2656" s="272"/>
      <c r="R2656" s="273"/>
      <c r="S2656" s="273"/>
      <c r="T2656" s="273"/>
      <c r="U2656" s="274"/>
      <c r="V2656" s="263"/>
      <c r="W2656" s="35"/>
      <c r="X2656" s="35"/>
      <c r="Y2656" s="35"/>
      <c r="Z2656" s="35"/>
      <c r="AA2656" s="35"/>
      <c r="AB2656" s="35"/>
      <c r="AC2656" s="35"/>
      <c r="AD2656" s="35"/>
      <c r="AE2656" s="35"/>
      <c r="AF2656" s="35"/>
      <c r="AG2656" s="35"/>
      <c r="AH2656" s="35"/>
      <c r="AI2656" s="35"/>
    </row>
    <row r="2657">
      <c r="A2657" s="263"/>
      <c r="B2657" s="264"/>
      <c r="C2657" s="265"/>
      <c r="D2657" s="266"/>
      <c r="E2657" s="263"/>
      <c r="F2657" s="267"/>
      <c r="G2657" s="267"/>
      <c r="H2657" s="268"/>
      <c r="I2657" s="268"/>
      <c r="J2657" s="267"/>
      <c r="K2657" s="265"/>
      <c r="L2657" s="265"/>
      <c r="M2657" s="269"/>
      <c r="N2657" s="270"/>
      <c r="O2657" s="271"/>
      <c r="P2657" s="271"/>
      <c r="Q2657" s="272"/>
      <c r="R2657" s="273"/>
      <c r="S2657" s="273"/>
      <c r="T2657" s="273"/>
      <c r="U2657" s="274"/>
      <c r="V2657" s="263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</row>
    <row r="2658">
      <c r="A2658" s="263"/>
      <c r="B2658" s="264"/>
      <c r="C2658" s="265"/>
      <c r="D2658" s="266"/>
      <c r="E2658" s="263"/>
      <c r="F2658" s="267"/>
      <c r="G2658" s="267"/>
      <c r="H2658" s="268"/>
      <c r="I2658" s="268"/>
      <c r="J2658" s="267"/>
      <c r="K2658" s="265"/>
      <c r="L2658" s="265"/>
      <c r="M2658" s="269"/>
      <c r="N2658" s="270"/>
      <c r="O2658" s="271"/>
      <c r="P2658" s="271"/>
      <c r="Q2658" s="272"/>
      <c r="R2658" s="273"/>
      <c r="S2658" s="273"/>
      <c r="T2658" s="273"/>
      <c r="U2658" s="274"/>
      <c r="V2658" s="263"/>
      <c r="W2658" s="35"/>
      <c r="X2658" s="35"/>
      <c r="Y2658" s="35"/>
      <c r="Z2658" s="35"/>
      <c r="AA2658" s="35"/>
      <c r="AB2658" s="35"/>
      <c r="AC2658" s="35"/>
      <c r="AD2658" s="35"/>
      <c r="AE2658" s="35"/>
      <c r="AF2658" s="35"/>
      <c r="AG2658" s="35"/>
      <c r="AH2658" s="35"/>
      <c r="AI2658" s="35"/>
    </row>
    <row r="2659">
      <c r="A2659" s="263"/>
      <c r="B2659" s="264"/>
      <c r="C2659" s="265"/>
      <c r="D2659" s="266"/>
      <c r="E2659" s="263"/>
      <c r="F2659" s="267"/>
      <c r="G2659" s="267"/>
      <c r="H2659" s="268"/>
      <c r="I2659" s="268"/>
      <c r="J2659" s="267"/>
      <c r="K2659" s="265"/>
      <c r="L2659" s="265"/>
      <c r="M2659" s="269"/>
      <c r="N2659" s="270"/>
      <c r="O2659" s="271"/>
      <c r="P2659" s="271"/>
      <c r="Q2659" s="272"/>
      <c r="R2659" s="273"/>
      <c r="S2659" s="273"/>
      <c r="T2659" s="273"/>
      <c r="U2659" s="274"/>
      <c r="V2659" s="263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</row>
    <row r="2660">
      <c r="A2660" s="263"/>
      <c r="B2660" s="264"/>
      <c r="C2660" s="265"/>
      <c r="D2660" s="266"/>
      <c r="E2660" s="263"/>
      <c r="F2660" s="267"/>
      <c r="G2660" s="267"/>
      <c r="H2660" s="268"/>
      <c r="I2660" s="268"/>
      <c r="J2660" s="267"/>
      <c r="K2660" s="265"/>
      <c r="L2660" s="265"/>
      <c r="M2660" s="269"/>
      <c r="N2660" s="270"/>
      <c r="O2660" s="271"/>
      <c r="P2660" s="271"/>
      <c r="Q2660" s="272"/>
      <c r="R2660" s="273"/>
      <c r="S2660" s="273"/>
      <c r="T2660" s="273"/>
      <c r="U2660" s="274"/>
      <c r="V2660" s="263"/>
      <c r="W2660" s="36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</row>
    <row r="2661">
      <c r="A2661" s="263"/>
      <c r="B2661" s="264"/>
      <c r="C2661" s="265"/>
      <c r="D2661" s="266"/>
      <c r="E2661" s="263"/>
      <c r="F2661" s="267"/>
      <c r="G2661" s="267"/>
      <c r="H2661" s="268"/>
      <c r="I2661" s="268"/>
      <c r="J2661" s="267"/>
      <c r="K2661" s="265"/>
      <c r="L2661" s="265"/>
      <c r="M2661" s="269"/>
      <c r="N2661" s="270"/>
      <c r="O2661" s="271"/>
      <c r="P2661" s="271"/>
      <c r="Q2661" s="272"/>
      <c r="R2661" s="273"/>
      <c r="S2661" s="273"/>
      <c r="T2661" s="273"/>
      <c r="U2661" s="274"/>
      <c r="V2661" s="263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</row>
    <row r="2662">
      <c r="A2662" s="263"/>
      <c r="B2662" s="264"/>
      <c r="C2662" s="265"/>
      <c r="D2662" s="266"/>
      <c r="E2662" s="263"/>
      <c r="F2662" s="267"/>
      <c r="G2662" s="267"/>
      <c r="H2662" s="268"/>
      <c r="I2662" s="268"/>
      <c r="J2662" s="267"/>
      <c r="K2662" s="265"/>
      <c r="L2662" s="265"/>
      <c r="M2662" s="269"/>
      <c r="N2662" s="270"/>
      <c r="O2662" s="271"/>
      <c r="P2662" s="271"/>
      <c r="Q2662" s="272"/>
      <c r="R2662" s="273"/>
      <c r="S2662" s="273"/>
      <c r="T2662" s="273"/>
      <c r="U2662" s="274"/>
      <c r="V2662" s="263"/>
      <c r="W2662" s="188"/>
      <c r="X2662" s="188"/>
      <c r="Y2662" s="188"/>
      <c r="Z2662" s="188"/>
      <c r="AA2662" s="188"/>
      <c r="AB2662" s="188"/>
      <c r="AC2662" s="188"/>
      <c r="AD2662" s="188"/>
      <c r="AE2662" s="188"/>
      <c r="AF2662" s="188"/>
      <c r="AG2662" s="188"/>
      <c r="AH2662" s="188"/>
      <c r="AI2662" s="188"/>
    </row>
    <row r="2663">
      <c r="A2663" s="263"/>
      <c r="B2663" s="264"/>
      <c r="C2663" s="265"/>
      <c r="D2663" s="266"/>
      <c r="E2663" s="263"/>
      <c r="F2663" s="267"/>
      <c r="G2663" s="267"/>
      <c r="H2663" s="268"/>
      <c r="I2663" s="268"/>
      <c r="J2663" s="267"/>
      <c r="K2663" s="265"/>
      <c r="L2663" s="265"/>
      <c r="M2663" s="269"/>
      <c r="N2663" s="270"/>
      <c r="O2663" s="271"/>
      <c r="P2663" s="271"/>
      <c r="Q2663" s="272"/>
      <c r="R2663" s="273"/>
      <c r="S2663" s="273"/>
      <c r="T2663" s="273"/>
      <c r="U2663" s="274"/>
      <c r="V2663" s="263"/>
      <c r="W2663" s="188"/>
      <c r="X2663" s="188"/>
      <c r="Y2663" s="188"/>
      <c r="Z2663" s="188"/>
      <c r="AA2663" s="188"/>
      <c r="AB2663" s="188"/>
      <c r="AC2663" s="188"/>
      <c r="AD2663" s="188"/>
      <c r="AE2663" s="188"/>
      <c r="AF2663" s="188"/>
      <c r="AG2663" s="188"/>
      <c r="AH2663" s="188"/>
      <c r="AI2663" s="188"/>
    </row>
    <row r="2664">
      <c r="A2664" s="263"/>
      <c r="B2664" s="264"/>
      <c r="C2664" s="265"/>
      <c r="D2664" s="266"/>
      <c r="E2664" s="263"/>
      <c r="F2664" s="267"/>
      <c r="G2664" s="267"/>
      <c r="H2664" s="268"/>
      <c r="I2664" s="268"/>
      <c r="J2664" s="267"/>
      <c r="K2664" s="265"/>
      <c r="L2664" s="265"/>
      <c r="M2664" s="269"/>
      <c r="N2664" s="270"/>
      <c r="O2664" s="271"/>
      <c r="P2664" s="271"/>
      <c r="Q2664" s="272"/>
      <c r="R2664" s="273"/>
      <c r="S2664" s="273"/>
      <c r="T2664" s="273"/>
      <c r="U2664" s="274"/>
      <c r="V2664" s="263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</row>
    <row r="2665">
      <c r="A2665" s="263"/>
      <c r="B2665" s="264"/>
      <c r="C2665" s="265"/>
      <c r="D2665" s="266"/>
      <c r="E2665" s="263"/>
      <c r="F2665" s="267"/>
      <c r="G2665" s="267"/>
      <c r="H2665" s="268"/>
      <c r="I2665" s="268"/>
      <c r="J2665" s="267"/>
      <c r="K2665" s="265"/>
      <c r="L2665" s="265"/>
      <c r="M2665" s="269"/>
      <c r="N2665" s="270"/>
      <c r="O2665" s="271"/>
      <c r="P2665" s="271"/>
      <c r="Q2665" s="272"/>
      <c r="R2665" s="273"/>
      <c r="S2665" s="273"/>
      <c r="T2665" s="273"/>
      <c r="U2665" s="274"/>
      <c r="V2665" s="263"/>
      <c r="W2665" s="35"/>
      <c r="X2665" s="35"/>
      <c r="Y2665" s="35"/>
      <c r="Z2665" s="35"/>
      <c r="AA2665" s="35"/>
      <c r="AB2665" s="35"/>
      <c r="AC2665" s="35"/>
      <c r="AD2665" s="35"/>
      <c r="AE2665" s="35"/>
      <c r="AF2665" s="35"/>
      <c r="AG2665" s="35"/>
      <c r="AH2665" s="35"/>
      <c r="AI2665" s="35"/>
    </row>
    <row r="2666">
      <c r="A2666" s="263"/>
      <c r="B2666" s="264"/>
      <c r="C2666" s="265"/>
      <c r="D2666" s="266"/>
      <c r="E2666" s="263"/>
      <c r="F2666" s="267"/>
      <c r="G2666" s="267"/>
      <c r="H2666" s="268"/>
      <c r="I2666" s="268"/>
      <c r="J2666" s="267"/>
      <c r="K2666" s="265"/>
      <c r="L2666" s="265"/>
      <c r="M2666" s="269"/>
      <c r="N2666" s="270"/>
      <c r="O2666" s="271"/>
      <c r="P2666" s="271"/>
      <c r="Q2666" s="272"/>
      <c r="R2666" s="273"/>
      <c r="S2666" s="273"/>
      <c r="T2666" s="273"/>
      <c r="U2666" s="274"/>
      <c r="V2666" s="263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</row>
    <row r="2667">
      <c r="A2667" s="263"/>
      <c r="B2667" s="264"/>
      <c r="C2667" s="265"/>
      <c r="D2667" s="266"/>
      <c r="E2667" s="263"/>
      <c r="F2667" s="267"/>
      <c r="G2667" s="267"/>
      <c r="H2667" s="268"/>
      <c r="I2667" s="268"/>
      <c r="J2667" s="267"/>
      <c r="K2667" s="265"/>
      <c r="L2667" s="265"/>
      <c r="M2667" s="269"/>
      <c r="N2667" s="270"/>
      <c r="O2667" s="271"/>
      <c r="P2667" s="271"/>
      <c r="Q2667" s="272"/>
      <c r="R2667" s="273"/>
      <c r="S2667" s="273"/>
      <c r="T2667" s="273"/>
      <c r="U2667" s="274"/>
      <c r="V2667" s="263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</row>
    <row r="2668">
      <c r="A2668" s="263"/>
      <c r="B2668" s="264"/>
      <c r="C2668" s="265"/>
      <c r="D2668" s="266"/>
      <c r="E2668" s="263"/>
      <c r="F2668" s="267"/>
      <c r="G2668" s="267"/>
      <c r="H2668" s="268"/>
      <c r="I2668" s="268"/>
      <c r="J2668" s="267"/>
      <c r="K2668" s="265"/>
      <c r="L2668" s="265"/>
      <c r="M2668" s="269"/>
      <c r="N2668" s="270"/>
      <c r="O2668" s="271"/>
      <c r="P2668" s="271"/>
      <c r="Q2668" s="272"/>
      <c r="R2668" s="273"/>
      <c r="S2668" s="273"/>
      <c r="T2668" s="273"/>
      <c r="U2668" s="274"/>
      <c r="V2668" s="263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</row>
    <row r="2669">
      <c r="A2669" s="263"/>
      <c r="B2669" s="264"/>
      <c r="C2669" s="265"/>
      <c r="D2669" s="266"/>
      <c r="E2669" s="263"/>
      <c r="F2669" s="267"/>
      <c r="G2669" s="267"/>
      <c r="H2669" s="268"/>
      <c r="I2669" s="268"/>
      <c r="J2669" s="267"/>
      <c r="K2669" s="265"/>
      <c r="L2669" s="265"/>
      <c r="M2669" s="269"/>
      <c r="N2669" s="270"/>
      <c r="O2669" s="271"/>
      <c r="P2669" s="271"/>
      <c r="Q2669" s="272"/>
      <c r="R2669" s="273"/>
      <c r="S2669" s="273"/>
      <c r="T2669" s="273"/>
      <c r="U2669" s="274"/>
      <c r="V2669" s="263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</row>
    <row r="2670">
      <c r="A2670" s="263"/>
      <c r="B2670" s="264"/>
      <c r="C2670" s="265"/>
      <c r="D2670" s="266"/>
      <c r="E2670" s="263"/>
      <c r="F2670" s="267"/>
      <c r="G2670" s="267"/>
      <c r="H2670" s="268"/>
      <c r="I2670" s="268"/>
      <c r="J2670" s="267"/>
      <c r="K2670" s="265"/>
      <c r="L2670" s="265"/>
      <c r="M2670" s="269"/>
      <c r="N2670" s="270"/>
      <c r="O2670" s="271"/>
      <c r="P2670" s="271"/>
      <c r="Q2670" s="272"/>
      <c r="R2670" s="273"/>
      <c r="S2670" s="273"/>
      <c r="T2670" s="273"/>
      <c r="U2670" s="274"/>
      <c r="V2670" s="263"/>
      <c r="W2670" s="188"/>
      <c r="X2670" s="188"/>
      <c r="Y2670" s="188"/>
      <c r="Z2670" s="188"/>
      <c r="AA2670" s="188"/>
      <c r="AB2670" s="188"/>
      <c r="AC2670" s="188"/>
      <c r="AD2670" s="188"/>
      <c r="AE2670" s="188"/>
      <c r="AF2670" s="188"/>
      <c r="AG2670" s="188"/>
      <c r="AH2670" s="188"/>
      <c r="AI2670" s="188"/>
    </row>
    <row r="2671">
      <c r="A2671" s="263"/>
      <c r="B2671" s="264"/>
      <c r="C2671" s="265"/>
      <c r="D2671" s="266"/>
      <c r="E2671" s="263"/>
      <c r="F2671" s="267"/>
      <c r="G2671" s="267"/>
      <c r="H2671" s="268"/>
      <c r="I2671" s="268"/>
      <c r="J2671" s="267"/>
      <c r="K2671" s="265"/>
      <c r="L2671" s="265"/>
      <c r="M2671" s="269"/>
      <c r="N2671" s="270"/>
      <c r="O2671" s="271"/>
      <c r="P2671" s="271"/>
      <c r="Q2671" s="272"/>
      <c r="R2671" s="273"/>
      <c r="S2671" s="273"/>
      <c r="T2671" s="273"/>
      <c r="U2671" s="274"/>
      <c r="V2671" s="263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</row>
    <row r="2672">
      <c r="A2672" s="263"/>
      <c r="B2672" s="264"/>
      <c r="C2672" s="265"/>
      <c r="D2672" s="266"/>
      <c r="E2672" s="263"/>
      <c r="F2672" s="267"/>
      <c r="G2672" s="267"/>
      <c r="H2672" s="268"/>
      <c r="I2672" s="268"/>
      <c r="J2672" s="267"/>
      <c r="K2672" s="265"/>
      <c r="L2672" s="265"/>
      <c r="M2672" s="269"/>
      <c r="N2672" s="270"/>
      <c r="O2672" s="271"/>
      <c r="P2672" s="271"/>
      <c r="Q2672" s="272"/>
      <c r="R2672" s="273"/>
      <c r="S2672" s="273"/>
      <c r="T2672" s="273"/>
      <c r="U2672" s="274"/>
      <c r="V2672" s="263"/>
      <c r="W2672" s="35"/>
      <c r="X2672" s="35"/>
      <c r="Y2672" s="35"/>
      <c r="Z2672" s="35"/>
      <c r="AA2672" s="35"/>
      <c r="AB2672" s="35"/>
      <c r="AC2672" s="35"/>
      <c r="AD2672" s="35"/>
      <c r="AE2672" s="35"/>
      <c r="AF2672" s="35"/>
      <c r="AG2672" s="35"/>
      <c r="AH2672" s="35"/>
      <c r="AI2672" s="35"/>
    </row>
    <row r="2673">
      <c r="A2673" s="263"/>
      <c r="B2673" s="264"/>
      <c r="C2673" s="265"/>
      <c r="D2673" s="266"/>
      <c r="E2673" s="263"/>
      <c r="F2673" s="267"/>
      <c r="G2673" s="267"/>
      <c r="H2673" s="268"/>
      <c r="I2673" s="268"/>
      <c r="J2673" s="267"/>
      <c r="K2673" s="265"/>
      <c r="L2673" s="265"/>
      <c r="M2673" s="269"/>
      <c r="N2673" s="270"/>
      <c r="O2673" s="271"/>
      <c r="P2673" s="271"/>
      <c r="Q2673" s="272"/>
      <c r="R2673" s="273"/>
      <c r="S2673" s="273"/>
      <c r="T2673" s="273"/>
      <c r="U2673" s="274"/>
      <c r="V2673" s="263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</row>
    <row r="2674">
      <c r="A2674" s="263"/>
      <c r="B2674" s="264"/>
      <c r="C2674" s="265"/>
      <c r="D2674" s="266"/>
      <c r="E2674" s="263"/>
      <c r="F2674" s="267"/>
      <c r="G2674" s="267"/>
      <c r="H2674" s="268"/>
      <c r="I2674" s="268"/>
      <c r="J2674" s="267"/>
      <c r="K2674" s="265"/>
      <c r="L2674" s="265"/>
      <c r="M2674" s="269"/>
      <c r="N2674" s="270"/>
      <c r="O2674" s="271"/>
      <c r="P2674" s="271"/>
      <c r="Q2674" s="272"/>
      <c r="R2674" s="273"/>
      <c r="S2674" s="273"/>
      <c r="T2674" s="273"/>
      <c r="U2674" s="274"/>
      <c r="V2674" s="263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</row>
    <row r="2675">
      <c r="A2675" s="263"/>
      <c r="B2675" s="264"/>
      <c r="C2675" s="265"/>
      <c r="D2675" s="266"/>
      <c r="E2675" s="263"/>
      <c r="F2675" s="267"/>
      <c r="G2675" s="267"/>
      <c r="H2675" s="268"/>
      <c r="I2675" s="268"/>
      <c r="J2675" s="267"/>
      <c r="K2675" s="265"/>
      <c r="L2675" s="265"/>
      <c r="M2675" s="269"/>
      <c r="N2675" s="270"/>
      <c r="O2675" s="271"/>
      <c r="P2675" s="271"/>
      <c r="Q2675" s="272"/>
      <c r="R2675" s="273"/>
      <c r="S2675" s="273"/>
      <c r="T2675" s="273"/>
      <c r="U2675" s="274"/>
      <c r="V2675" s="263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</row>
    <row r="2676">
      <c r="A2676" s="263"/>
      <c r="B2676" s="264"/>
      <c r="C2676" s="265"/>
      <c r="D2676" s="266"/>
      <c r="E2676" s="263"/>
      <c r="F2676" s="267"/>
      <c r="G2676" s="267"/>
      <c r="H2676" s="268"/>
      <c r="I2676" s="268"/>
      <c r="J2676" s="267"/>
      <c r="K2676" s="265"/>
      <c r="L2676" s="265"/>
      <c r="M2676" s="269"/>
      <c r="N2676" s="270"/>
      <c r="O2676" s="271"/>
      <c r="P2676" s="271"/>
      <c r="Q2676" s="272"/>
      <c r="R2676" s="273"/>
      <c r="S2676" s="273"/>
      <c r="T2676" s="273"/>
      <c r="U2676" s="274"/>
      <c r="V2676" s="263"/>
      <c r="W2676" s="35"/>
      <c r="X2676" s="35"/>
      <c r="Y2676" s="35"/>
      <c r="Z2676" s="35"/>
      <c r="AA2676" s="35"/>
      <c r="AB2676" s="35"/>
      <c r="AC2676" s="35"/>
      <c r="AD2676" s="35"/>
      <c r="AE2676" s="35"/>
      <c r="AF2676" s="35"/>
      <c r="AG2676" s="35"/>
      <c r="AH2676" s="35"/>
      <c r="AI2676" s="35"/>
    </row>
    <row r="2677">
      <c r="A2677" s="263"/>
      <c r="B2677" s="264"/>
      <c r="C2677" s="265"/>
      <c r="D2677" s="266"/>
      <c r="E2677" s="263"/>
      <c r="F2677" s="267"/>
      <c r="G2677" s="267"/>
      <c r="H2677" s="268"/>
      <c r="I2677" s="268"/>
      <c r="J2677" s="267"/>
      <c r="K2677" s="265"/>
      <c r="L2677" s="265"/>
      <c r="M2677" s="269"/>
      <c r="N2677" s="270"/>
      <c r="O2677" s="271"/>
      <c r="P2677" s="271"/>
      <c r="Q2677" s="272"/>
      <c r="R2677" s="273"/>
      <c r="S2677" s="273"/>
      <c r="T2677" s="273"/>
      <c r="U2677" s="274"/>
      <c r="V2677" s="263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</row>
    <row r="2678">
      <c r="A2678" s="263"/>
      <c r="B2678" s="264"/>
      <c r="C2678" s="265"/>
      <c r="D2678" s="266"/>
      <c r="E2678" s="263"/>
      <c r="F2678" s="267"/>
      <c r="G2678" s="267"/>
      <c r="H2678" s="268"/>
      <c r="I2678" s="268"/>
      <c r="J2678" s="267"/>
      <c r="K2678" s="265"/>
      <c r="L2678" s="265"/>
      <c r="M2678" s="269"/>
      <c r="N2678" s="270"/>
      <c r="O2678" s="271"/>
      <c r="P2678" s="271"/>
      <c r="Q2678" s="272"/>
      <c r="R2678" s="273"/>
      <c r="S2678" s="273"/>
      <c r="T2678" s="273"/>
      <c r="U2678" s="274"/>
      <c r="V2678" s="263"/>
      <c r="W2678" s="188"/>
      <c r="X2678" s="188"/>
      <c r="Y2678" s="188"/>
      <c r="Z2678" s="188"/>
      <c r="AA2678" s="188"/>
      <c r="AB2678" s="188"/>
      <c r="AC2678" s="188"/>
      <c r="AD2678" s="188"/>
      <c r="AE2678" s="188"/>
      <c r="AF2678" s="188"/>
      <c r="AG2678" s="188"/>
      <c r="AH2678" s="188"/>
      <c r="AI2678" s="188"/>
    </row>
    <row r="2679">
      <c r="A2679" s="263"/>
      <c r="B2679" s="264"/>
      <c r="C2679" s="265"/>
      <c r="D2679" s="266"/>
      <c r="E2679" s="263"/>
      <c r="F2679" s="267"/>
      <c r="G2679" s="267"/>
      <c r="H2679" s="268"/>
      <c r="I2679" s="268"/>
      <c r="J2679" s="267"/>
      <c r="K2679" s="265"/>
      <c r="L2679" s="265"/>
      <c r="M2679" s="269"/>
      <c r="N2679" s="270"/>
      <c r="O2679" s="271"/>
      <c r="P2679" s="271"/>
      <c r="Q2679" s="272"/>
      <c r="R2679" s="273"/>
      <c r="S2679" s="273"/>
      <c r="T2679" s="273"/>
      <c r="U2679" s="274"/>
      <c r="V2679" s="263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</row>
    <row r="2680">
      <c r="A2680" s="263"/>
      <c r="B2680" s="264"/>
      <c r="C2680" s="265"/>
      <c r="D2680" s="266"/>
      <c r="E2680" s="263"/>
      <c r="F2680" s="267"/>
      <c r="G2680" s="267"/>
      <c r="H2680" s="268"/>
      <c r="I2680" s="268"/>
      <c r="J2680" s="267"/>
      <c r="K2680" s="265"/>
      <c r="L2680" s="265"/>
      <c r="M2680" s="269"/>
      <c r="N2680" s="270"/>
      <c r="O2680" s="271"/>
      <c r="P2680" s="271"/>
      <c r="Q2680" s="272"/>
      <c r="R2680" s="273"/>
      <c r="S2680" s="273"/>
      <c r="T2680" s="273"/>
      <c r="U2680" s="274"/>
      <c r="V2680" s="263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</row>
    <row r="2681">
      <c r="A2681" s="263"/>
      <c r="B2681" s="264"/>
      <c r="C2681" s="265"/>
      <c r="D2681" s="266"/>
      <c r="E2681" s="263"/>
      <c r="F2681" s="267"/>
      <c r="G2681" s="267"/>
      <c r="H2681" s="268"/>
      <c r="I2681" s="268"/>
      <c r="J2681" s="267"/>
      <c r="K2681" s="265"/>
      <c r="L2681" s="265"/>
      <c r="M2681" s="269"/>
      <c r="N2681" s="270"/>
      <c r="O2681" s="271"/>
      <c r="P2681" s="271"/>
      <c r="Q2681" s="272"/>
      <c r="R2681" s="273"/>
      <c r="S2681" s="273"/>
      <c r="T2681" s="273"/>
      <c r="U2681" s="274"/>
      <c r="V2681" s="263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</row>
    <row r="2682">
      <c r="A2682" s="263"/>
      <c r="B2682" s="264"/>
      <c r="C2682" s="265"/>
      <c r="D2682" s="266"/>
      <c r="E2682" s="263"/>
      <c r="F2682" s="267"/>
      <c r="G2682" s="267"/>
      <c r="H2682" s="268"/>
      <c r="I2682" s="268"/>
      <c r="J2682" s="267"/>
      <c r="K2682" s="265"/>
      <c r="L2682" s="265"/>
      <c r="M2682" s="269"/>
      <c r="N2682" s="270"/>
      <c r="O2682" s="271"/>
      <c r="P2682" s="271"/>
      <c r="Q2682" s="272"/>
      <c r="R2682" s="273"/>
      <c r="S2682" s="273"/>
      <c r="T2682" s="273"/>
      <c r="U2682" s="274"/>
      <c r="V2682" s="263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</row>
    <row r="2683">
      <c r="A2683" s="263"/>
      <c r="B2683" s="264"/>
      <c r="C2683" s="265"/>
      <c r="D2683" s="266"/>
      <c r="E2683" s="263"/>
      <c r="F2683" s="267"/>
      <c r="G2683" s="267"/>
      <c r="H2683" s="268"/>
      <c r="I2683" s="268"/>
      <c r="J2683" s="267"/>
      <c r="K2683" s="265"/>
      <c r="L2683" s="265"/>
      <c r="M2683" s="269"/>
      <c r="N2683" s="270"/>
      <c r="O2683" s="271"/>
      <c r="P2683" s="271"/>
      <c r="Q2683" s="272"/>
      <c r="R2683" s="273"/>
      <c r="S2683" s="273"/>
      <c r="T2683" s="273"/>
      <c r="U2683" s="274"/>
      <c r="V2683" s="263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</row>
    <row r="2684">
      <c r="A2684" s="263"/>
      <c r="B2684" s="264"/>
      <c r="C2684" s="265"/>
      <c r="D2684" s="266"/>
      <c r="E2684" s="263"/>
      <c r="F2684" s="267"/>
      <c r="G2684" s="267"/>
      <c r="H2684" s="268"/>
      <c r="I2684" s="268"/>
      <c r="J2684" s="267"/>
      <c r="K2684" s="265"/>
      <c r="L2684" s="265"/>
      <c r="M2684" s="269"/>
      <c r="N2684" s="270"/>
      <c r="O2684" s="271"/>
      <c r="P2684" s="271"/>
      <c r="Q2684" s="272"/>
      <c r="R2684" s="273"/>
      <c r="S2684" s="273"/>
      <c r="T2684" s="273"/>
      <c r="U2684" s="274"/>
      <c r="V2684" s="263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</row>
    <row r="2685">
      <c r="A2685" s="263"/>
      <c r="B2685" s="264"/>
      <c r="C2685" s="265"/>
      <c r="D2685" s="266"/>
      <c r="E2685" s="263"/>
      <c r="F2685" s="267"/>
      <c r="G2685" s="267"/>
      <c r="H2685" s="268"/>
      <c r="I2685" s="268"/>
      <c r="J2685" s="267"/>
      <c r="K2685" s="265"/>
      <c r="L2685" s="265"/>
      <c r="M2685" s="269"/>
      <c r="N2685" s="270"/>
      <c r="O2685" s="271"/>
      <c r="P2685" s="271"/>
      <c r="Q2685" s="272"/>
      <c r="R2685" s="273"/>
      <c r="S2685" s="273"/>
      <c r="T2685" s="273"/>
      <c r="U2685" s="274"/>
      <c r="V2685" s="263"/>
      <c r="W2685" s="188"/>
      <c r="X2685" s="188"/>
      <c r="Y2685" s="188"/>
      <c r="Z2685" s="188"/>
      <c r="AA2685" s="188"/>
      <c r="AB2685" s="188"/>
      <c r="AC2685" s="188"/>
      <c r="AD2685" s="188"/>
      <c r="AE2685" s="188"/>
      <c r="AF2685" s="188"/>
      <c r="AG2685" s="188"/>
      <c r="AH2685" s="188"/>
      <c r="AI2685" s="188"/>
    </row>
    <row r="2686">
      <c r="A2686" s="263"/>
      <c r="B2686" s="264"/>
      <c r="C2686" s="265"/>
      <c r="D2686" s="266"/>
      <c r="E2686" s="263"/>
      <c r="F2686" s="267"/>
      <c r="G2686" s="267"/>
      <c r="H2686" s="268"/>
      <c r="I2686" s="268"/>
      <c r="J2686" s="267"/>
      <c r="K2686" s="265"/>
      <c r="L2686" s="265"/>
      <c r="M2686" s="269"/>
      <c r="N2686" s="270"/>
      <c r="O2686" s="271"/>
      <c r="P2686" s="271"/>
      <c r="Q2686" s="272"/>
      <c r="R2686" s="273"/>
      <c r="S2686" s="273"/>
      <c r="T2686" s="273"/>
      <c r="U2686" s="274"/>
      <c r="V2686" s="263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</row>
    <row r="2687">
      <c r="A2687" s="263"/>
      <c r="B2687" s="264"/>
      <c r="C2687" s="265"/>
      <c r="D2687" s="266"/>
      <c r="E2687" s="263"/>
      <c r="F2687" s="267"/>
      <c r="G2687" s="267"/>
      <c r="H2687" s="268"/>
      <c r="I2687" s="268"/>
      <c r="J2687" s="267"/>
      <c r="K2687" s="265"/>
      <c r="L2687" s="265"/>
      <c r="M2687" s="269"/>
      <c r="N2687" s="270"/>
      <c r="O2687" s="271"/>
      <c r="P2687" s="271"/>
      <c r="Q2687" s="272"/>
      <c r="R2687" s="273"/>
      <c r="S2687" s="273"/>
      <c r="T2687" s="273"/>
      <c r="U2687" s="274"/>
      <c r="V2687" s="263"/>
      <c r="W2687" s="188"/>
      <c r="X2687" s="188"/>
      <c r="Y2687" s="188"/>
      <c r="Z2687" s="188"/>
      <c r="AA2687" s="188"/>
      <c r="AB2687" s="188"/>
      <c r="AC2687" s="188"/>
      <c r="AD2687" s="188"/>
      <c r="AE2687" s="188"/>
      <c r="AF2687" s="188"/>
      <c r="AG2687" s="188"/>
      <c r="AH2687" s="188"/>
      <c r="AI2687" s="188"/>
    </row>
    <row r="2688">
      <c r="A2688" s="263"/>
      <c r="B2688" s="264"/>
      <c r="C2688" s="265"/>
      <c r="D2688" s="266"/>
      <c r="E2688" s="263"/>
      <c r="F2688" s="267"/>
      <c r="G2688" s="267"/>
      <c r="H2688" s="268"/>
      <c r="I2688" s="268"/>
      <c r="J2688" s="267"/>
      <c r="K2688" s="265"/>
      <c r="L2688" s="265"/>
      <c r="M2688" s="269"/>
      <c r="N2688" s="270"/>
      <c r="O2688" s="271"/>
      <c r="P2688" s="271"/>
      <c r="Q2688" s="272"/>
      <c r="R2688" s="273"/>
      <c r="S2688" s="273"/>
      <c r="T2688" s="273"/>
      <c r="U2688" s="274"/>
      <c r="V2688" s="263"/>
      <c r="W2688" s="188"/>
      <c r="X2688" s="188"/>
      <c r="Y2688" s="188"/>
      <c r="Z2688" s="188"/>
      <c r="AA2688" s="188"/>
      <c r="AB2688" s="188"/>
      <c r="AC2688" s="188"/>
      <c r="AD2688" s="188"/>
      <c r="AE2688" s="188"/>
      <c r="AF2688" s="188"/>
      <c r="AG2688" s="188"/>
      <c r="AH2688" s="188"/>
      <c r="AI2688" s="188"/>
    </row>
    <row r="2689">
      <c r="A2689" s="263"/>
      <c r="B2689" s="264"/>
      <c r="C2689" s="265"/>
      <c r="D2689" s="266"/>
      <c r="E2689" s="263"/>
      <c r="F2689" s="267"/>
      <c r="G2689" s="267"/>
      <c r="H2689" s="268"/>
      <c r="I2689" s="268"/>
      <c r="J2689" s="267"/>
      <c r="K2689" s="265"/>
      <c r="L2689" s="265"/>
      <c r="M2689" s="269"/>
      <c r="N2689" s="270"/>
      <c r="O2689" s="271"/>
      <c r="P2689" s="271"/>
      <c r="Q2689" s="272"/>
      <c r="R2689" s="273"/>
      <c r="S2689" s="273"/>
      <c r="T2689" s="273"/>
      <c r="U2689" s="274"/>
      <c r="V2689" s="263"/>
      <c r="W2689" s="188"/>
      <c r="X2689" s="188"/>
      <c r="Y2689" s="188"/>
      <c r="Z2689" s="188"/>
      <c r="AA2689" s="188"/>
      <c r="AB2689" s="188"/>
      <c r="AC2689" s="188"/>
      <c r="AD2689" s="188"/>
      <c r="AE2689" s="188"/>
      <c r="AF2689" s="188"/>
      <c r="AG2689" s="188"/>
      <c r="AH2689" s="188"/>
      <c r="AI2689" s="188"/>
    </row>
    <row r="2690">
      <c r="A2690" s="263"/>
      <c r="B2690" s="264"/>
      <c r="C2690" s="265"/>
      <c r="D2690" s="266"/>
      <c r="E2690" s="263"/>
      <c r="F2690" s="267"/>
      <c r="G2690" s="267"/>
      <c r="H2690" s="268"/>
      <c r="I2690" s="268"/>
      <c r="J2690" s="267"/>
      <c r="K2690" s="265"/>
      <c r="L2690" s="265"/>
      <c r="M2690" s="269"/>
      <c r="N2690" s="270"/>
      <c r="O2690" s="271"/>
      <c r="P2690" s="271"/>
      <c r="Q2690" s="272"/>
      <c r="R2690" s="273"/>
      <c r="S2690" s="273"/>
      <c r="T2690" s="273"/>
      <c r="U2690" s="274"/>
      <c r="V2690" s="263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</row>
    <row r="2691">
      <c r="A2691" s="263"/>
      <c r="B2691" s="264"/>
      <c r="C2691" s="265"/>
      <c r="D2691" s="266"/>
      <c r="E2691" s="263"/>
      <c r="F2691" s="267"/>
      <c r="G2691" s="267"/>
      <c r="H2691" s="268"/>
      <c r="I2691" s="268"/>
      <c r="J2691" s="267"/>
      <c r="K2691" s="265"/>
      <c r="L2691" s="265"/>
      <c r="M2691" s="269"/>
      <c r="N2691" s="270"/>
      <c r="O2691" s="271"/>
      <c r="P2691" s="271"/>
      <c r="Q2691" s="272"/>
      <c r="R2691" s="273"/>
      <c r="S2691" s="273"/>
      <c r="T2691" s="273"/>
      <c r="U2691" s="274"/>
      <c r="V2691" s="263"/>
      <c r="W2691" s="35"/>
      <c r="X2691" s="35"/>
      <c r="Y2691" s="35"/>
      <c r="Z2691" s="35"/>
      <c r="AA2691" s="35"/>
      <c r="AB2691" s="35"/>
      <c r="AC2691" s="35"/>
      <c r="AD2691" s="35"/>
      <c r="AE2691" s="35"/>
      <c r="AF2691" s="35"/>
      <c r="AG2691" s="35"/>
      <c r="AH2691" s="35"/>
      <c r="AI2691" s="35"/>
    </row>
    <row r="2692">
      <c r="A2692" s="263"/>
      <c r="B2692" s="264"/>
      <c r="C2692" s="265"/>
      <c r="D2692" s="266"/>
      <c r="E2692" s="263"/>
      <c r="F2692" s="267"/>
      <c r="G2692" s="267"/>
      <c r="H2692" s="268"/>
      <c r="I2692" s="268"/>
      <c r="J2692" s="267"/>
      <c r="K2692" s="265"/>
      <c r="L2692" s="265"/>
      <c r="M2692" s="269"/>
      <c r="N2692" s="270"/>
      <c r="O2692" s="271"/>
      <c r="P2692" s="271"/>
      <c r="Q2692" s="272"/>
      <c r="R2692" s="273"/>
      <c r="S2692" s="273"/>
      <c r="T2692" s="273"/>
      <c r="U2692" s="274"/>
      <c r="V2692" s="263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</row>
    <row r="2693">
      <c r="A2693" s="263"/>
      <c r="B2693" s="264"/>
      <c r="C2693" s="265"/>
      <c r="D2693" s="266"/>
      <c r="E2693" s="263"/>
      <c r="F2693" s="267"/>
      <c r="G2693" s="267"/>
      <c r="H2693" s="268"/>
      <c r="I2693" s="268"/>
      <c r="J2693" s="267"/>
      <c r="K2693" s="265"/>
      <c r="L2693" s="265"/>
      <c r="M2693" s="269"/>
      <c r="N2693" s="270"/>
      <c r="O2693" s="271"/>
      <c r="P2693" s="271"/>
      <c r="Q2693" s="272"/>
      <c r="R2693" s="273"/>
      <c r="S2693" s="273"/>
      <c r="T2693" s="273"/>
      <c r="U2693" s="274"/>
      <c r="V2693" s="263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</row>
    <row r="2694">
      <c r="A2694" s="263"/>
      <c r="B2694" s="264"/>
      <c r="C2694" s="265"/>
      <c r="D2694" s="266"/>
      <c r="E2694" s="263"/>
      <c r="F2694" s="267"/>
      <c r="G2694" s="267"/>
      <c r="H2694" s="268"/>
      <c r="I2694" s="268"/>
      <c r="J2694" s="267"/>
      <c r="K2694" s="265"/>
      <c r="L2694" s="265"/>
      <c r="M2694" s="269"/>
      <c r="N2694" s="270"/>
      <c r="O2694" s="271"/>
      <c r="P2694" s="271"/>
      <c r="Q2694" s="272"/>
      <c r="R2694" s="273"/>
      <c r="S2694" s="273"/>
      <c r="T2694" s="273"/>
      <c r="U2694" s="274"/>
      <c r="V2694" s="263"/>
      <c r="W2694" s="188"/>
      <c r="X2694" s="188"/>
      <c r="Y2694" s="188"/>
      <c r="Z2694" s="188"/>
      <c r="AA2694" s="188"/>
      <c r="AB2694" s="188"/>
      <c r="AC2694" s="188"/>
      <c r="AD2694" s="188"/>
      <c r="AE2694" s="188"/>
      <c r="AF2694" s="188"/>
      <c r="AG2694" s="188"/>
      <c r="AH2694" s="188"/>
      <c r="AI2694" s="188"/>
    </row>
    <row r="2695">
      <c r="A2695" s="263"/>
      <c r="B2695" s="264"/>
      <c r="C2695" s="265"/>
      <c r="D2695" s="266"/>
      <c r="E2695" s="263"/>
      <c r="F2695" s="267"/>
      <c r="G2695" s="267"/>
      <c r="H2695" s="268"/>
      <c r="I2695" s="268"/>
      <c r="J2695" s="267"/>
      <c r="K2695" s="265"/>
      <c r="L2695" s="265"/>
      <c r="M2695" s="269"/>
      <c r="N2695" s="270"/>
      <c r="O2695" s="271"/>
      <c r="P2695" s="271"/>
      <c r="Q2695" s="272"/>
      <c r="R2695" s="273"/>
      <c r="S2695" s="273"/>
      <c r="T2695" s="273"/>
      <c r="U2695" s="274"/>
      <c r="V2695" s="263"/>
      <c r="W2695" s="188"/>
      <c r="X2695" s="188"/>
      <c r="Y2695" s="188"/>
      <c r="Z2695" s="188"/>
      <c r="AA2695" s="188"/>
      <c r="AB2695" s="188"/>
      <c r="AC2695" s="188"/>
      <c r="AD2695" s="188"/>
      <c r="AE2695" s="188"/>
      <c r="AF2695" s="188"/>
      <c r="AG2695" s="188"/>
      <c r="AH2695" s="188"/>
      <c r="AI2695" s="188"/>
    </row>
    <row r="2696">
      <c r="A2696" s="263"/>
      <c r="B2696" s="264"/>
      <c r="C2696" s="265"/>
      <c r="D2696" s="266"/>
      <c r="E2696" s="263"/>
      <c r="F2696" s="267"/>
      <c r="G2696" s="267"/>
      <c r="H2696" s="268"/>
      <c r="I2696" s="268"/>
      <c r="J2696" s="267"/>
      <c r="K2696" s="265"/>
      <c r="L2696" s="265"/>
      <c r="M2696" s="269"/>
      <c r="N2696" s="270"/>
      <c r="O2696" s="271"/>
      <c r="P2696" s="271"/>
      <c r="Q2696" s="272"/>
      <c r="R2696" s="273"/>
      <c r="S2696" s="273"/>
      <c r="T2696" s="273"/>
      <c r="U2696" s="274"/>
      <c r="V2696" s="263"/>
      <c r="W2696" s="188"/>
      <c r="X2696" s="188"/>
      <c r="Y2696" s="188"/>
      <c r="Z2696" s="188"/>
      <c r="AA2696" s="188"/>
      <c r="AB2696" s="188"/>
      <c r="AC2696" s="188"/>
      <c r="AD2696" s="188"/>
      <c r="AE2696" s="188"/>
      <c r="AF2696" s="188"/>
      <c r="AG2696" s="188"/>
      <c r="AH2696" s="188"/>
      <c r="AI2696" s="188"/>
    </row>
    <row r="2697">
      <c r="A2697" s="263"/>
      <c r="B2697" s="264"/>
      <c r="C2697" s="265"/>
      <c r="D2697" s="266"/>
      <c r="E2697" s="263"/>
      <c r="F2697" s="267"/>
      <c r="G2697" s="267"/>
      <c r="H2697" s="268"/>
      <c r="I2697" s="268"/>
      <c r="J2697" s="267"/>
      <c r="K2697" s="265"/>
      <c r="L2697" s="265"/>
      <c r="M2697" s="269"/>
      <c r="N2697" s="270"/>
      <c r="O2697" s="271"/>
      <c r="P2697" s="271"/>
      <c r="Q2697" s="272"/>
      <c r="R2697" s="273"/>
      <c r="S2697" s="273"/>
      <c r="T2697" s="273"/>
      <c r="U2697" s="274"/>
      <c r="V2697" s="263"/>
      <c r="W2697" s="35"/>
      <c r="X2697" s="35"/>
      <c r="Y2697" s="35"/>
      <c r="Z2697" s="35"/>
      <c r="AA2697" s="35"/>
      <c r="AB2697" s="35"/>
      <c r="AC2697" s="35"/>
      <c r="AD2697" s="35"/>
      <c r="AE2697" s="35"/>
      <c r="AF2697" s="35"/>
      <c r="AG2697" s="35"/>
      <c r="AH2697" s="35"/>
      <c r="AI2697" s="35"/>
    </row>
    <row r="2698">
      <c r="A2698" s="263"/>
      <c r="B2698" s="264"/>
      <c r="C2698" s="265"/>
      <c r="D2698" s="266"/>
      <c r="E2698" s="263"/>
      <c r="F2698" s="267"/>
      <c r="G2698" s="267"/>
      <c r="H2698" s="268"/>
      <c r="I2698" s="268"/>
      <c r="J2698" s="267"/>
      <c r="K2698" s="265"/>
      <c r="L2698" s="265"/>
      <c r="M2698" s="269"/>
      <c r="N2698" s="270"/>
      <c r="O2698" s="271"/>
      <c r="P2698" s="271"/>
      <c r="Q2698" s="272"/>
      <c r="R2698" s="273"/>
      <c r="S2698" s="273"/>
      <c r="T2698" s="273"/>
      <c r="U2698" s="274"/>
      <c r="V2698" s="263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</row>
    <row r="2699">
      <c r="A2699" s="263"/>
      <c r="B2699" s="264"/>
      <c r="C2699" s="265"/>
      <c r="D2699" s="266"/>
      <c r="E2699" s="263"/>
      <c r="F2699" s="267"/>
      <c r="G2699" s="267"/>
      <c r="H2699" s="268"/>
      <c r="I2699" s="268"/>
      <c r="J2699" s="267"/>
      <c r="K2699" s="265"/>
      <c r="L2699" s="265"/>
      <c r="M2699" s="269"/>
      <c r="N2699" s="270"/>
      <c r="O2699" s="271"/>
      <c r="P2699" s="271"/>
      <c r="Q2699" s="272"/>
      <c r="R2699" s="273"/>
      <c r="S2699" s="273"/>
      <c r="T2699" s="273"/>
      <c r="U2699" s="274"/>
      <c r="V2699" s="263"/>
      <c r="W2699" s="188"/>
      <c r="X2699" s="188"/>
      <c r="Y2699" s="188"/>
      <c r="Z2699" s="188"/>
      <c r="AA2699" s="188"/>
      <c r="AB2699" s="188"/>
      <c r="AC2699" s="188"/>
      <c r="AD2699" s="188"/>
      <c r="AE2699" s="188"/>
      <c r="AF2699" s="188"/>
      <c r="AG2699" s="188"/>
      <c r="AH2699" s="188"/>
      <c r="AI2699" s="188"/>
    </row>
    <row r="2700">
      <c r="A2700" s="263"/>
      <c r="B2700" s="264"/>
      <c r="C2700" s="265"/>
      <c r="D2700" s="266"/>
      <c r="E2700" s="263"/>
      <c r="F2700" s="267"/>
      <c r="G2700" s="267"/>
      <c r="H2700" s="268"/>
      <c r="I2700" s="268"/>
      <c r="J2700" s="267"/>
      <c r="K2700" s="265"/>
      <c r="L2700" s="265"/>
      <c r="M2700" s="269"/>
      <c r="N2700" s="270"/>
      <c r="O2700" s="271"/>
      <c r="P2700" s="271"/>
      <c r="Q2700" s="272"/>
      <c r="R2700" s="273"/>
      <c r="S2700" s="273"/>
      <c r="T2700" s="273"/>
      <c r="U2700" s="274"/>
      <c r="V2700" s="263"/>
      <c r="W2700" s="188"/>
      <c r="X2700" s="188"/>
      <c r="Y2700" s="188"/>
      <c r="Z2700" s="188"/>
      <c r="AA2700" s="188"/>
      <c r="AB2700" s="188"/>
      <c r="AC2700" s="188"/>
      <c r="AD2700" s="188"/>
      <c r="AE2700" s="188"/>
      <c r="AF2700" s="188"/>
      <c r="AG2700" s="188"/>
      <c r="AH2700" s="188"/>
      <c r="AI2700" s="188"/>
    </row>
    <row r="2701">
      <c r="A2701" s="263"/>
      <c r="B2701" s="264"/>
      <c r="C2701" s="265"/>
      <c r="D2701" s="266"/>
      <c r="E2701" s="263"/>
      <c r="F2701" s="267"/>
      <c r="G2701" s="267"/>
      <c r="H2701" s="268"/>
      <c r="I2701" s="268"/>
      <c r="J2701" s="267"/>
      <c r="K2701" s="265"/>
      <c r="L2701" s="265"/>
      <c r="M2701" s="269"/>
      <c r="N2701" s="270"/>
      <c r="O2701" s="271"/>
      <c r="P2701" s="271"/>
      <c r="Q2701" s="272"/>
      <c r="R2701" s="273"/>
      <c r="S2701" s="273"/>
      <c r="T2701" s="273"/>
      <c r="U2701" s="274"/>
      <c r="V2701" s="263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</row>
    <row r="2702">
      <c r="A2702" s="263"/>
      <c r="B2702" s="264"/>
      <c r="C2702" s="265"/>
      <c r="D2702" s="266"/>
      <c r="E2702" s="263"/>
      <c r="F2702" s="267"/>
      <c r="G2702" s="267"/>
      <c r="H2702" s="268"/>
      <c r="I2702" s="268"/>
      <c r="J2702" s="267"/>
      <c r="K2702" s="265"/>
      <c r="L2702" s="265"/>
      <c r="M2702" s="269"/>
      <c r="N2702" s="270"/>
      <c r="O2702" s="271"/>
      <c r="P2702" s="271"/>
      <c r="Q2702" s="272"/>
      <c r="R2702" s="273"/>
      <c r="S2702" s="273"/>
      <c r="T2702" s="273"/>
      <c r="U2702" s="274"/>
      <c r="V2702" s="263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</row>
    <row r="2703">
      <c r="A2703" s="263"/>
      <c r="B2703" s="264"/>
      <c r="C2703" s="265"/>
      <c r="D2703" s="266"/>
      <c r="E2703" s="263"/>
      <c r="F2703" s="267"/>
      <c r="G2703" s="267"/>
      <c r="H2703" s="268"/>
      <c r="I2703" s="268"/>
      <c r="J2703" s="267"/>
      <c r="K2703" s="265"/>
      <c r="L2703" s="265"/>
      <c r="M2703" s="269"/>
      <c r="N2703" s="270"/>
      <c r="O2703" s="271"/>
      <c r="P2703" s="271"/>
      <c r="Q2703" s="272"/>
      <c r="R2703" s="273"/>
      <c r="S2703" s="273"/>
      <c r="T2703" s="273"/>
      <c r="U2703" s="274"/>
      <c r="V2703" s="263"/>
      <c r="W2703" s="35"/>
      <c r="X2703" s="35"/>
      <c r="Y2703" s="35"/>
      <c r="Z2703" s="35"/>
      <c r="AA2703" s="35"/>
      <c r="AB2703" s="35"/>
      <c r="AC2703" s="35"/>
      <c r="AD2703" s="35"/>
      <c r="AE2703" s="35"/>
      <c r="AF2703" s="35"/>
      <c r="AG2703" s="35"/>
      <c r="AH2703" s="35"/>
      <c r="AI2703" s="35"/>
    </row>
    <row r="2704">
      <c r="A2704" s="263"/>
      <c r="B2704" s="264"/>
      <c r="C2704" s="265"/>
      <c r="D2704" s="266"/>
      <c r="E2704" s="263"/>
      <c r="F2704" s="267"/>
      <c r="G2704" s="267"/>
      <c r="H2704" s="268"/>
      <c r="I2704" s="268"/>
      <c r="J2704" s="267"/>
      <c r="K2704" s="265"/>
      <c r="L2704" s="265"/>
      <c r="M2704" s="269"/>
      <c r="N2704" s="270"/>
      <c r="O2704" s="271"/>
      <c r="P2704" s="271"/>
      <c r="Q2704" s="272"/>
      <c r="R2704" s="273"/>
      <c r="S2704" s="273"/>
      <c r="T2704" s="273"/>
      <c r="U2704" s="274"/>
      <c r="V2704" s="263"/>
      <c r="W2704" s="35"/>
      <c r="X2704" s="35"/>
      <c r="Y2704" s="35"/>
      <c r="Z2704" s="35"/>
      <c r="AA2704" s="35"/>
      <c r="AB2704" s="35"/>
      <c r="AC2704" s="35"/>
      <c r="AD2704" s="35"/>
      <c r="AE2704" s="35"/>
      <c r="AF2704" s="35"/>
      <c r="AG2704" s="35"/>
      <c r="AH2704" s="35"/>
      <c r="AI2704" s="35"/>
    </row>
    <row r="2705">
      <c r="A2705" s="263"/>
      <c r="B2705" s="264"/>
      <c r="C2705" s="265"/>
      <c r="D2705" s="266"/>
      <c r="E2705" s="263"/>
      <c r="F2705" s="267"/>
      <c r="G2705" s="267"/>
      <c r="H2705" s="268"/>
      <c r="I2705" s="268"/>
      <c r="J2705" s="267"/>
      <c r="K2705" s="265"/>
      <c r="L2705" s="265"/>
      <c r="M2705" s="269"/>
      <c r="N2705" s="270"/>
      <c r="O2705" s="271"/>
      <c r="P2705" s="271"/>
      <c r="Q2705" s="272"/>
      <c r="R2705" s="273"/>
      <c r="S2705" s="273"/>
      <c r="T2705" s="273"/>
      <c r="U2705" s="274"/>
      <c r="V2705" s="263"/>
      <c r="W2705" s="35"/>
      <c r="X2705" s="35"/>
      <c r="Y2705" s="35"/>
      <c r="Z2705" s="35"/>
      <c r="AA2705" s="35"/>
      <c r="AB2705" s="35"/>
      <c r="AC2705" s="35"/>
      <c r="AD2705" s="35"/>
      <c r="AE2705" s="35"/>
      <c r="AF2705" s="35"/>
      <c r="AG2705" s="35"/>
      <c r="AH2705" s="35"/>
      <c r="AI2705" s="35"/>
    </row>
    <row r="2706">
      <c r="A2706" s="263"/>
      <c r="B2706" s="264"/>
      <c r="C2706" s="265"/>
      <c r="D2706" s="266"/>
      <c r="E2706" s="263"/>
      <c r="F2706" s="267"/>
      <c r="G2706" s="267"/>
      <c r="H2706" s="268"/>
      <c r="I2706" s="268"/>
      <c r="J2706" s="267"/>
      <c r="K2706" s="265"/>
      <c r="L2706" s="265"/>
      <c r="M2706" s="269"/>
      <c r="N2706" s="270"/>
      <c r="O2706" s="271"/>
      <c r="P2706" s="271"/>
      <c r="Q2706" s="272"/>
      <c r="R2706" s="273"/>
      <c r="S2706" s="273"/>
      <c r="T2706" s="273"/>
      <c r="U2706" s="274"/>
      <c r="V2706" s="263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</row>
    <row r="2707">
      <c r="A2707" s="263"/>
      <c r="B2707" s="264"/>
      <c r="C2707" s="265"/>
      <c r="D2707" s="266"/>
      <c r="E2707" s="263"/>
      <c r="F2707" s="267"/>
      <c r="G2707" s="267"/>
      <c r="H2707" s="268"/>
      <c r="I2707" s="268"/>
      <c r="J2707" s="267"/>
      <c r="K2707" s="265"/>
      <c r="L2707" s="265"/>
      <c r="M2707" s="269"/>
      <c r="N2707" s="270"/>
      <c r="O2707" s="271"/>
      <c r="P2707" s="271"/>
      <c r="Q2707" s="272"/>
      <c r="R2707" s="273"/>
      <c r="S2707" s="273"/>
      <c r="T2707" s="273"/>
      <c r="U2707" s="274"/>
      <c r="V2707" s="263"/>
      <c r="W2707" s="35"/>
      <c r="X2707" s="35"/>
      <c r="Y2707" s="35"/>
      <c r="Z2707" s="35"/>
      <c r="AA2707" s="35"/>
      <c r="AB2707" s="35"/>
      <c r="AC2707" s="35"/>
      <c r="AD2707" s="35"/>
      <c r="AE2707" s="35"/>
      <c r="AF2707" s="35"/>
      <c r="AG2707" s="35"/>
      <c r="AH2707" s="35"/>
      <c r="AI2707" s="35"/>
    </row>
    <row r="2708">
      <c r="A2708" s="263"/>
      <c r="B2708" s="264"/>
      <c r="C2708" s="265"/>
      <c r="D2708" s="266"/>
      <c r="E2708" s="263"/>
      <c r="F2708" s="267"/>
      <c r="G2708" s="267"/>
      <c r="H2708" s="268"/>
      <c r="I2708" s="268"/>
      <c r="J2708" s="267"/>
      <c r="K2708" s="265"/>
      <c r="L2708" s="265"/>
      <c r="M2708" s="269"/>
      <c r="N2708" s="270"/>
      <c r="O2708" s="271"/>
      <c r="P2708" s="271"/>
      <c r="Q2708" s="272"/>
      <c r="R2708" s="273"/>
      <c r="S2708" s="273"/>
      <c r="T2708" s="273"/>
      <c r="U2708" s="274"/>
      <c r="V2708" s="263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</row>
    <row r="2709">
      <c r="A2709" s="263"/>
      <c r="B2709" s="264"/>
      <c r="C2709" s="265"/>
      <c r="D2709" s="266"/>
      <c r="E2709" s="263"/>
      <c r="F2709" s="267"/>
      <c r="G2709" s="267"/>
      <c r="H2709" s="268"/>
      <c r="I2709" s="268"/>
      <c r="J2709" s="267"/>
      <c r="K2709" s="265"/>
      <c r="L2709" s="265"/>
      <c r="M2709" s="269"/>
      <c r="N2709" s="270"/>
      <c r="O2709" s="271"/>
      <c r="P2709" s="271"/>
      <c r="Q2709" s="272"/>
      <c r="R2709" s="273"/>
      <c r="S2709" s="273"/>
      <c r="T2709" s="273"/>
      <c r="U2709" s="274"/>
      <c r="V2709" s="263"/>
      <c r="W2709" s="35"/>
      <c r="X2709" s="35"/>
      <c r="Y2709" s="35"/>
      <c r="Z2709" s="35"/>
      <c r="AA2709" s="35"/>
      <c r="AB2709" s="35"/>
      <c r="AC2709" s="35"/>
      <c r="AD2709" s="35"/>
      <c r="AE2709" s="35"/>
      <c r="AF2709" s="35"/>
      <c r="AG2709" s="35"/>
      <c r="AH2709" s="35"/>
      <c r="AI2709" s="35"/>
    </row>
    <row r="2710">
      <c r="A2710" s="263"/>
      <c r="B2710" s="264"/>
      <c r="C2710" s="265"/>
      <c r="D2710" s="266"/>
      <c r="E2710" s="263"/>
      <c r="F2710" s="267"/>
      <c r="G2710" s="267"/>
      <c r="H2710" s="268"/>
      <c r="I2710" s="268"/>
      <c r="J2710" s="267"/>
      <c r="K2710" s="265"/>
      <c r="L2710" s="265"/>
      <c r="M2710" s="269"/>
      <c r="N2710" s="270"/>
      <c r="O2710" s="271"/>
      <c r="P2710" s="271"/>
      <c r="Q2710" s="272"/>
      <c r="R2710" s="273"/>
      <c r="S2710" s="273"/>
      <c r="T2710" s="273"/>
      <c r="U2710" s="274"/>
      <c r="V2710" s="263"/>
      <c r="W2710" s="35"/>
      <c r="X2710" s="35"/>
      <c r="Y2710" s="35"/>
      <c r="Z2710" s="35"/>
      <c r="AA2710" s="35"/>
      <c r="AB2710" s="35"/>
      <c r="AC2710" s="35"/>
      <c r="AD2710" s="35"/>
      <c r="AE2710" s="35"/>
      <c r="AF2710" s="35"/>
      <c r="AG2710" s="35"/>
      <c r="AH2710" s="35"/>
      <c r="AI2710" s="35"/>
    </row>
    <row r="2711">
      <c r="A2711" s="263"/>
      <c r="B2711" s="264"/>
      <c r="C2711" s="265"/>
      <c r="D2711" s="266"/>
      <c r="E2711" s="263"/>
      <c r="F2711" s="267"/>
      <c r="G2711" s="267"/>
      <c r="H2711" s="268"/>
      <c r="I2711" s="268"/>
      <c r="J2711" s="267"/>
      <c r="K2711" s="265"/>
      <c r="L2711" s="265"/>
      <c r="M2711" s="269"/>
      <c r="N2711" s="270"/>
      <c r="O2711" s="271"/>
      <c r="P2711" s="271"/>
      <c r="Q2711" s="272"/>
      <c r="R2711" s="273"/>
      <c r="S2711" s="273"/>
      <c r="T2711" s="273"/>
      <c r="U2711" s="274"/>
      <c r="V2711" s="263"/>
      <c r="W2711" s="188"/>
      <c r="X2711" s="188"/>
      <c r="Y2711" s="188"/>
      <c r="Z2711" s="188"/>
      <c r="AA2711" s="188"/>
      <c r="AB2711" s="188"/>
      <c r="AC2711" s="188"/>
      <c r="AD2711" s="188"/>
      <c r="AE2711" s="188"/>
      <c r="AF2711" s="188"/>
      <c r="AG2711" s="188"/>
      <c r="AH2711" s="188"/>
      <c r="AI2711" s="188"/>
    </row>
    <row r="2712">
      <c r="A2712" s="263"/>
      <c r="B2712" s="264"/>
      <c r="C2712" s="265"/>
      <c r="D2712" s="266"/>
      <c r="E2712" s="263"/>
      <c r="F2712" s="267"/>
      <c r="G2712" s="267"/>
      <c r="H2712" s="268"/>
      <c r="I2712" s="268"/>
      <c r="J2712" s="267"/>
      <c r="K2712" s="265"/>
      <c r="L2712" s="265"/>
      <c r="M2712" s="269"/>
      <c r="N2712" s="270"/>
      <c r="O2712" s="271"/>
      <c r="P2712" s="271"/>
      <c r="Q2712" s="272"/>
      <c r="R2712" s="273"/>
      <c r="S2712" s="273"/>
      <c r="T2712" s="273"/>
      <c r="U2712" s="274"/>
      <c r="V2712" s="263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</row>
    <row r="2713">
      <c r="A2713" s="263"/>
      <c r="B2713" s="264"/>
      <c r="C2713" s="265"/>
      <c r="D2713" s="266"/>
      <c r="E2713" s="263"/>
      <c r="F2713" s="267"/>
      <c r="G2713" s="267"/>
      <c r="H2713" s="268"/>
      <c r="I2713" s="268"/>
      <c r="J2713" s="267"/>
      <c r="K2713" s="265"/>
      <c r="L2713" s="265"/>
      <c r="M2713" s="269"/>
      <c r="N2713" s="270"/>
      <c r="O2713" s="271"/>
      <c r="P2713" s="271"/>
      <c r="Q2713" s="272"/>
      <c r="R2713" s="273"/>
      <c r="S2713" s="273"/>
      <c r="T2713" s="273"/>
      <c r="U2713" s="274"/>
      <c r="V2713" s="263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</row>
    <row r="2714">
      <c r="A2714" s="263"/>
      <c r="B2714" s="264"/>
      <c r="C2714" s="265"/>
      <c r="D2714" s="266"/>
      <c r="E2714" s="263"/>
      <c r="F2714" s="267"/>
      <c r="G2714" s="267"/>
      <c r="H2714" s="268"/>
      <c r="I2714" s="268"/>
      <c r="J2714" s="267"/>
      <c r="K2714" s="265"/>
      <c r="L2714" s="265"/>
      <c r="M2714" s="269"/>
      <c r="N2714" s="270"/>
      <c r="O2714" s="271"/>
      <c r="P2714" s="271"/>
      <c r="Q2714" s="272"/>
      <c r="R2714" s="273"/>
      <c r="S2714" s="273"/>
      <c r="T2714" s="273"/>
      <c r="U2714" s="274"/>
      <c r="V2714" s="263"/>
      <c r="W2714" s="188"/>
      <c r="X2714" s="188"/>
      <c r="Y2714" s="188"/>
      <c r="Z2714" s="188"/>
      <c r="AA2714" s="188"/>
      <c r="AB2714" s="188"/>
      <c r="AC2714" s="188"/>
      <c r="AD2714" s="188"/>
      <c r="AE2714" s="188"/>
      <c r="AF2714" s="188"/>
      <c r="AG2714" s="188"/>
      <c r="AH2714" s="188"/>
      <c r="AI2714" s="188"/>
    </row>
    <row r="2715">
      <c r="A2715" s="263"/>
      <c r="B2715" s="264"/>
      <c r="C2715" s="265"/>
      <c r="D2715" s="266"/>
      <c r="E2715" s="263"/>
      <c r="F2715" s="267"/>
      <c r="G2715" s="267"/>
      <c r="H2715" s="268"/>
      <c r="I2715" s="268"/>
      <c r="J2715" s="267"/>
      <c r="K2715" s="265"/>
      <c r="L2715" s="265"/>
      <c r="M2715" s="269"/>
      <c r="N2715" s="270"/>
      <c r="O2715" s="271"/>
      <c r="P2715" s="271"/>
      <c r="Q2715" s="272"/>
      <c r="R2715" s="273"/>
      <c r="S2715" s="273"/>
      <c r="T2715" s="273"/>
      <c r="U2715" s="274"/>
      <c r="V2715" s="263"/>
      <c r="W2715" s="188"/>
      <c r="X2715" s="188"/>
      <c r="Y2715" s="188"/>
      <c r="Z2715" s="188"/>
      <c r="AA2715" s="188"/>
      <c r="AB2715" s="188"/>
      <c r="AC2715" s="188"/>
      <c r="AD2715" s="188"/>
      <c r="AE2715" s="188"/>
      <c r="AF2715" s="188"/>
      <c r="AG2715" s="188"/>
      <c r="AH2715" s="188"/>
      <c r="AI2715" s="188"/>
    </row>
    <row r="2716">
      <c r="A2716" s="263"/>
      <c r="B2716" s="264"/>
      <c r="C2716" s="265"/>
      <c r="D2716" s="266"/>
      <c r="E2716" s="263"/>
      <c r="F2716" s="267"/>
      <c r="G2716" s="267"/>
      <c r="H2716" s="268"/>
      <c r="I2716" s="268"/>
      <c r="J2716" s="267"/>
      <c r="K2716" s="265"/>
      <c r="L2716" s="265"/>
      <c r="M2716" s="269"/>
      <c r="N2716" s="270"/>
      <c r="O2716" s="271"/>
      <c r="P2716" s="271"/>
      <c r="Q2716" s="272"/>
      <c r="R2716" s="273"/>
      <c r="S2716" s="273"/>
      <c r="T2716" s="273"/>
      <c r="U2716" s="274"/>
      <c r="V2716" s="263"/>
      <c r="W2716" s="188"/>
      <c r="X2716" s="188"/>
      <c r="Y2716" s="188"/>
      <c r="Z2716" s="188"/>
      <c r="AA2716" s="188"/>
      <c r="AB2716" s="188"/>
      <c r="AC2716" s="188"/>
      <c r="AD2716" s="188"/>
      <c r="AE2716" s="188"/>
      <c r="AF2716" s="188"/>
      <c r="AG2716" s="188"/>
      <c r="AH2716" s="188"/>
      <c r="AI2716" s="188"/>
    </row>
    <row r="2717">
      <c r="A2717" s="263"/>
      <c r="B2717" s="264"/>
      <c r="C2717" s="265"/>
      <c r="D2717" s="266"/>
      <c r="E2717" s="263"/>
      <c r="F2717" s="267"/>
      <c r="G2717" s="267"/>
      <c r="H2717" s="268"/>
      <c r="I2717" s="268"/>
      <c r="J2717" s="267"/>
      <c r="K2717" s="265"/>
      <c r="L2717" s="265"/>
      <c r="M2717" s="269"/>
      <c r="N2717" s="270"/>
      <c r="O2717" s="271"/>
      <c r="P2717" s="271"/>
      <c r="Q2717" s="272"/>
      <c r="R2717" s="273"/>
      <c r="S2717" s="273"/>
      <c r="T2717" s="273"/>
      <c r="U2717" s="274"/>
      <c r="V2717" s="263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</row>
    <row r="2718">
      <c r="A2718" s="263"/>
      <c r="B2718" s="264"/>
      <c r="C2718" s="265"/>
      <c r="D2718" s="266"/>
      <c r="E2718" s="263"/>
      <c r="F2718" s="267"/>
      <c r="G2718" s="267"/>
      <c r="H2718" s="268"/>
      <c r="I2718" s="268"/>
      <c r="J2718" s="267"/>
      <c r="K2718" s="265"/>
      <c r="L2718" s="265"/>
      <c r="M2718" s="269"/>
      <c r="N2718" s="270"/>
      <c r="O2718" s="271"/>
      <c r="P2718" s="271"/>
      <c r="Q2718" s="272"/>
      <c r="R2718" s="273"/>
      <c r="S2718" s="273"/>
      <c r="T2718" s="273"/>
      <c r="U2718" s="274"/>
      <c r="V2718" s="263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</row>
    <row r="2719">
      <c r="A2719" s="263"/>
      <c r="B2719" s="264"/>
      <c r="C2719" s="265"/>
      <c r="D2719" s="266"/>
      <c r="E2719" s="263"/>
      <c r="F2719" s="267"/>
      <c r="G2719" s="267"/>
      <c r="H2719" s="268"/>
      <c r="I2719" s="268"/>
      <c r="J2719" s="267"/>
      <c r="K2719" s="265"/>
      <c r="L2719" s="265"/>
      <c r="M2719" s="269"/>
      <c r="N2719" s="270"/>
      <c r="O2719" s="271"/>
      <c r="P2719" s="271"/>
      <c r="Q2719" s="272"/>
      <c r="R2719" s="273"/>
      <c r="S2719" s="273"/>
      <c r="T2719" s="273"/>
      <c r="U2719" s="274"/>
      <c r="V2719" s="263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</row>
    <row r="2720">
      <c r="A2720" s="263"/>
      <c r="B2720" s="264"/>
      <c r="C2720" s="265"/>
      <c r="D2720" s="266"/>
      <c r="E2720" s="263"/>
      <c r="F2720" s="267"/>
      <c r="G2720" s="267"/>
      <c r="H2720" s="268"/>
      <c r="I2720" s="268"/>
      <c r="J2720" s="267"/>
      <c r="K2720" s="265"/>
      <c r="L2720" s="265"/>
      <c r="M2720" s="269"/>
      <c r="N2720" s="270"/>
      <c r="O2720" s="271"/>
      <c r="P2720" s="271"/>
      <c r="Q2720" s="272"/>
      <c r="R2720" s="273"/>
      <c r="S2720" s="273"/>
      <c r="T2720" s="273"/>
      <c r="U2720" s="274"/>
      <c r="V2720" s="263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</row>
    <row r="2721">
      <c r="A2721" s="263"/>
      <c r="B2721" s="264"/>
      <c r="C2721" s="265"/>
      <c r="D2721" s="266"/>
      <c r="E2721" s="263"/>
      <c r="F2721" s="267"/>
      <c r="G2721" s="267"/>
      <c r="H2721" s="268"/>
      <c r="I2721" s="268"/>
      <c r="J2721" s="267"/>
      <c r="K2721" s="265"/>
      <c r="L2721" s="265"/>
      <c r="M2721" s="269"/>
      <c r="N2721" s="270"/>
      <c r="O2721" s="271"/>
      <c r="P2721" s="271"/>
      <c r="Q2721" s="272"/>
      <c r="R2721" s="273"/>
      <c r="S2721" s="273"/>
      <c r="T2721" s="273"/>
      <c r="U2721" s="274"/>
      <c r="V2721" s="263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</row>
    <row r="2722">
      <c r="A2722" s="263"/>
      <c r="B2722" s="264"/>
      <c r="C2722" s="265"/>
      <c r="D2722" s="266"/>
      <c r="E2722" s="263"/>
      <c r="F2722" s="267"/>
      <c r="G2722" s="267"/>
      <c r="H2722" s="268"/>
      <c r="I2722" s="268"/>
      <c r="J2722" s="267"/>
      <c r="K2722" s="265"/>
      <c r="L2722" s="265"/>
      <c r="M2722" s="269"/>
      <c r="N2722" s="270"/>
      <c r="O2722" s="271"/>
      <c r="P2722" s="271"/>
      <c r="Q2722" s="272"/>
      <c r="R2722" s="273"/>
      <c r="S2722" s="273"/>
      <c r="T2722" s="273"/>
      <c r="U2722" s="274"/>
      <c r="V2722" s="263"/>
      <c r="W2722" s="188"/>
      <c r="X2722" s="188"/>
      <c r="Y2722" s="188"/>
      <c r="Z2722" s="188"/>
      <c r="AA2722" s="188"/>
      <c r="AB2722" s="188"/>
      <c r="AC2722" s="188"/>
      <c r="AD2722" s="188"/>
      <c r="AE2722" s="188"/>
      <c r="AF2722" s="188"/>
      <c r="AG2722" s="188"/>
      <c r="AH2722" s="188"/>
      <c r="AI2722" s="188"/>
    </row>
    <row r="2723">
      <c r="A2723" s="263"/>
      <c r="B2723" s="264"/>
      <c r="C2723" s="265"/>
      <c r="D2723" s="266"/>
      <c r="E2723" s="263"/>
      <c r="F2723" s="267"/>
      <c r="G2723" s="267"/>
      <c r="H2723" s="268"/>
      <c r="I2723" s="268"/>
      <c r="J2723" s="267"/>
      <c r="K2723" s="265"/>
      <c r="L2723" s="265"/>
      <c r="M2723" s="269"/>
      <c r="N2723" s="270"/>
      <c r="O2723" s="271"/>
      <c r="P2723" s="271"/>
      <c r="Q2723" s="272"/>
      <c r="R2723" s="273"/>
      <c r="S2723" s="273"/>
      <c r="T2723" s="273"/>
      <c r="U2723" s="274"/>
      <c r="V2723" s="263"/>
      <c r="W2723" s="188"/>
      <c r="X2723" s="188"/>
      <c r="Y2723" s="188"/>
      <c r="Z2723" s="188"/>
      <c r="AA2723" s="188"/>
      <c r="AB2723" s="188"/>
      <c r="AC2723" s="188"/>
      <c r="AD2723" s="188"/>
      <c r="AE2723" s="188"/>
      <c r="AF2723" s="188"/>
      <c r="AG2723" s="188"/>
      <c r="AH2723" s="188"/>
      <c r="AI2723" s="188"/>
    </row>
    <row r="2724">
      <c r="A2724" s="263"/>
      <c r="B2724" s="264"/>
      <c r="C2724" s="265"/>
      <c r="D2724" s="266"/>
      <c r="E2724" s="263"/>
      <c r="F2724" s="267"/>
      <c r="G2724" s="267"/>
      <c r="H2724" s="268"/>
      <c r="I2724" s="268"/>
      <c r="J2724" s="267"/>
      <c r="K2724" s="265"/>
      <c r="L2724" s="265"/>
      <c r="M2724" s="269"/>
      <c r="N2724" s="270"/>
      <c r="O2724" s="271"/>
      <c r="P2724" s="271"/>
      <c r="Q2724" s="272"/>
      <c r="R2724" s="273"/>
      <c r="S2724" s="273"/>
      <c r="T2724" s="273"/>
      <c r="U2724" s="274"/>
      <c r="V2724" s="263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</row>
    <row r="2725">
      <c r="A2725" s="263"/>
      <c r="B2725" s="264"/>
      <c r="C2725" s="265"/>
      <c r="D2725" s="266"/>
      <c r="E2725" s="263"/>
      <c r="F2725" s="267"/>
      <c r="G2725" s="267"/>
      <c r="H2725" s="268"/>
      <c r="I2725" s="268"/>
      <c r="J2725" s="267"/>
      <c r="K2725" s="265"/>
      <c r="L2725" s="265"/>
      <c r="M2725" s="269"/>
      <c r="N2725" s="270"/>
      <c r="O2725" s="271"/>
      <c r="P2725" s="271"/>
      <c r="Q2725" s="272"/>
      <c r="R2725" s="273"/>
      <c r="S2725" s="273"/>
      <c r="T2725" s="273"/>
      <c r="U2725" s="274"/>
      <c r="V2725" s="263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</row>
    <row r="2726">
      <c r="A2726" s="263"/>
      <c r="B2726" s="264"/>
      <c r="C2726" s="265"/>
      <c r="D2726" s="266"/>
      <c r="E2726" s="263"/>
      <c r="F2726" s="267"/>
      <c r="G2726" s="267"/>
      <c r="H2726" s="268"/>
      <c r="I2726" s="268"/>
      <c r="J2726" s="267"/>
      <c r="K2726" s="265"/>
      <c r="L2726" s="265"/>
      <c r="M2726" s="269"/>
      <c r="N2726" s="270"/>
      <c r="O2726" s="271"/>
      <c r="P2726" s="271"/>
      <c r="Q2726" s="272"/>
      <c r="R2726" s="273"/>
      <c r="S2726" s="273"/>
      <c r="T2726" s="273"/>
      <c r="U2726" s="274"/>
      <c r="V2726" s="263"/>
      <c r="W2726" s="188"/>
      <c r="X2726" s="188"/>
      <c r="Y2726" s="188"/>
      <c r="Z2726" s="188"/>
      <c r="AA2726" s="188"/>
      <c r="AB2726" s="188"/>
      <c r="AC2726" s="188"/>
      <c r="AD2726" s="188"/>
      <c r="AE2726" s="188"/>
      <c r="AF2726" s="188"/>
      <c r="AG2726" s="188"/>
      <c r="AH2726" s="188"/>
      <c r="AI2726" s="188"/>
    </row>
    <row r="2727">
      <c r="A2727" s="263"/>
      <c r="B2727" s="264"/>
      <c r="C2727" s="265"/>
      <c r="D2727" s="266"/>
      <c r="E2727" s="263"/>
      <c r="F2727" s="267"/>
      <c r="G2727" s="267"/>
      <c r="H2727" s="268"/>
      <c r="I2727" s="268"/>
      <c r="J2727" s="267"/>
      <c r="K2727" s="265"/>
      <c r="L2727" s="265"/>
      <c r="M2727" s="269"/>
      <c r="N2727" s="270"/>
      <c r="O2727" s="271"/>
      <c r="P2727" s="271"/>
      <c r="Q2727" s="272"/>
      <c r="R2727" s="273"/>
      <c r="S2727" s="273"/>
      <c r="T2727" s="273"/>
      <c r="U2727" s="274"/>
      <c r="V2727" s="263"/>
      <c r="W2727" s="188"/>
      <c r="X2727" s="188"/>
      <c r="Y2727" s="188"/>
      <c r="Z2727" s="188"/>
      <c r="AA2727" s="188"/>
      <c r="AB2727" s="188"/>
      <c r="AC2727" s="188"/>
      <c r="AD2727" s="188"/>
      <c r="AE2727" s="188"/>
      <c r="AF2727" s="188"/>
      <c r="AG2727" s="188"/>
      <c r="AH2727" s="188"/>
      <c r="AI2727" s="188"/>
    </row>
    <row r="2728">
      <c r="A2728" s="263"/>
      <c r="B2728" s="264"/>
      <c r="C2728" s="265"/>
      <c r="D2728" s="266"/>
      <c r="E2728" s="263"/>
      <c r="F2728" s="267"/>
      <c r="G2728" s="267"/>
      <c r="H2728" s="268"/>
      <c r="I2728" s="268"/>
      <c r="J2728" s="267"/>
      <c r="K2728" s="265"/>
      <c r="L2728" s="265"/>
      <c r="M2728" s="269"/>
      <c r="N2728" s="270"/>
      <c r="O2728" s="271"/>
      <c r="P2728" s="271"/>
      <c r="Q2728" s="272"/>
      <c r="R2728" s="273"/>
      <c r="S2728" s="273"/>
      <c r="T2728" s="273"/>
      <c r="U2728" s="274"/>
      <c r="V2728" s="263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</row>
    <row r="2729">
      <c r="A2729" s="263"/>
      <c r="B2729" s="264"/>
      <c r="C2729" s="265"/>
      <c r="D2729" s="266"/>
      <c r="E2729" s="263"/>
      <c r="F2729" s="267"/>
      <c r="G2729" s="267"/>
      <c r="H2729" s="268"/>
      <c r="I2729" s="268"/>
      <c r="J2729" s="267"/>
      <c r="K2729" s="265"/>
      <c r="L2729" s="265"/>
      <c r="M2729" s="269"/>
      <c r="N2729" s="270"/>
      <c r="O2729" s="271"/>
      <c r="P2729" s="271"/>
      <c r="Q2729" s="272"/>
      <c r="R2729" s="273"/>
      <c r="S2729" s="273"/>
      <c r="T2729" s="273"/>
      <c r="U2729" s="274"/>
      <c r="V2729" s="263"/>
      <c r="W2729" s="35"/>
      <c r="X2729" s="35"/>
      <c r="Y2729" s="35"/>
      <c r="Z2729" s="35"/>
      <c r="AA2729" s="35"/>
      <c r="AB2729" s="35"/>
      <c r="AC2729" s="35"/>
      <c r="AD2729" s="35"/>
      <c r="AE2729" s="35"/>
      <c r="AF2729" s="35"/>
      <c r="AG2729" s="35"/>
      <c r="AH2729" s="35"/>
      <c r="AI2729" s="35"/>
    </row>
    <row r="2730">
      <c r="A2730" s="263"/>
      <c r="B2730" s="264"/>
      <c r="C2730" s="265"/>
      <c r="D2730" s="266"/>
      <c r="E2730" s="263"/>
      <c r="F2730" s="267"/>
      <c r="G2730" s="267"/>
      <c r="H2730" s="268"/>
      <c r="I2730" s="268"/>
      <c r="J2730" s="267"/>
      <c r="K2730" s="265"/>
      <c r="L2730" s="265"/>
      <c r="M2730" s="269"/>
      <c r="N2730" s="270"/>
      <c r="O2730" s="271"/>
      <c r="P2730" s="271"/>
      <c r="Q2730" s="272"/>
      <c r="R2730" s="273"/>
      <c r="S2730" s="273"/>
      <c r="T2730" s="273"/>
      <c r="U2730" s="274"/>
      <c r="V2730" s="263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</row>
    <row r="2731">
      <c r="A2731" s="263"/>
      <c r="B2731" s="264"/>
      <c r="C2731" s="265"/>
      <c r="D2731" s="266"/>
      <c r="E2731" s="263"/>
      <c r="F2731" s="267"/>
      <c r="G2731" s="267"/>
      <c r="H2731" s="268"/>
      <c r="I2731" s="268"/>
      <c r="J2731" s="267"/>
      <c r="K2731" s="265"/>
      <c r="L2731" s="265"/>
      <c r="M2731" s="269"/>
      <c r="N2731" s="270"/>
      <c r="O2731" s="271"/>
      <c r="P2731" s="271"/>
      <c r="Q2731" s="272"/>
      <c r="R2731" s="273"/>
      <c r="S2731" s="273"/>
      <c r="T2731" s="273"/>
      <c r="U2731" s="274"/>
      <c r="V2731" s="263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</row>
    <row r="2732">
      <c r="A2732" s="263"/>
      <c r="B2732" s="264"/>
      <c r="C2732" s="265"/>
      <c r="D2732" s="266"/>
      <c r="E2732" s="263"/>
      <c r="F2732" s="267"/>
      <c r="G2732" s="267"/>
      <c r="H2732" s="268"/>
      <c r="I2732" s="268"/>
      <c r="J2732" s="267"/>
      <c r="K2732" s="265"/>
      <c r="L2732" s="265"/>
      <c r="M2732" s="269"/>
      <c r="N2732" s="270"/>
      <c r="O2732" s="271"/>
      <c r="P2732" s="271"/>
      <c r="Q2732" s="272"/>
      <c r="R2732" s="273"/>
      <c r="S2732" s="273"/>
      <c r="T2732" s="273"/>
      <c r="U2732" s="274"/>
      <c r="V2732" s="263"/>
      <c r="W2732" s="35"/>
      <c r="X2732" s="35"/>
      <c r="Y2732" s="35"/>
      <c r="Z2732" s="35"/>
      <c r="AA2732" s="35"/>
      <c r="AB2732" s="35"/>
      <c r="AC2732" s="35"/>
      <c r="AD2732" s="35"/>
      <c r="AE2732" s="35"/>
      <c r="AF2732" s="35"/>
      <c r="AG2732" s="35"/>
      <c r="AH2732" s="35"/>
      <c r="AI2732" s="35"/>
    </row>
    <row r="2733">
      <c r="A2733" s="263"/>
      <c r="B2733" s="264"/>
      <c r="C2733" s="265"/>
      <c r="D2733" s="266"/>
      <c r="E2733" s="263"/>
      <c r="F2733" s="267"/>
      <c r="G2733" s="267"/>
      <c r="H2733" s="268"/>
      <c r="I2733" s="268"/>
      <c r="J2733" s="267"/>
      <c r="K2733" s="265"/>
      <c r="L2733" s="265"/>
      <c r="M2733" s="269"/>
      <c r="N2733" s="270"/>
      <c r="O2733" s="271"/>
      <c r="P2733" s="271"/>
      <c r="Q2733" s="272"/>
      <c r="R2733" s="273"/>
      <c r="S2733" s="273"/>
      <c r="T2733" s="273"/>
      <c r="U2733" s="274"/>
      <c r="V2733" s="263"/>
      <c r="W2733" s="35"/>
      <c r="X2733" s="35"/>
      <c r="Y2733" s="35"/>
      <c r="Z2733" s="35"/>
      <c r="AA2733" s="35"/>
      <c r="AB2733" s="35"/>
      <c r="AC2733" s="35"/>
      <c r="AD2733" s="35"/>
      <c r="AE2733" s="35"/>
      <c r="AF2733" s="35"/>
      <c r="AG2733" s="35"/>
      <c r="AH2733" s="35"/>
      <c r="AI2733" s="35"/>
    </row>
    <row r="2734">
      <c r="A2734" s="263"/>
      <c r="B2734" s="264"/>
      <c r="C2734" s="265"/>
      <c r="D2734" s="266"/>
      <c r="E2734" s="263"/>
      <c r="F2734" s="267"/>
      <c r="G2734" s="267"/>
      <c r="H2734" s="268"/>
      <c r="I2734" s="268"/>
      <c r="J2734" s="267"/>
      <c r="K2734" s="265"/>
      <c r="L2734" s="265"/>
      <c r="M2734" s="269"/>
      <c r="N2734" s="270"/>
      <c r="O2734" s="271"/>
      <c r="P2734" s="271"/>
      <c r="Q2734" s="272"/>
      <c r="R2734" s="273"/>
      <c r="S2734" s="273"/>
      <c r="T2734" s="273"/>
      <c r="U2734" s="274"/>
      <c r="V2734" s="263"/>
      <c r="W2734" s="35"/>
      <c r="X2734" s="35"/>
      <c r="Y2734" s="35"/>
      <c r="Z2734" s="35"/>
      <c r="AA2734" s="35"/>
      <c r="AB2734" s="35"/>
      <c r="AC2734" s="35"/>
      <c r="AD2734" s="35"/>
      <c r="AE2734" s="35"/>
      <c r="AF2734" s="35"/>
      <c r="AG2734" s="35"/>
      <c r="AH2734" s="35"/>
      <c r="AI2734" s="35"/>
    </row>
    <row r="2735">
      <c r="A2735" s="263"/>
      <c r="B2735" s="264"/>
      <c r="C2735" s="265"/>
      <c r="D2735" s="266"/>
      <c r="E2735" s="263"/>
      <c r="F2735" s="267"/>
      <c r="G2735" s="267"/>
      <c r="H2735" s="268"/>
      <c r="I2735" s="268"/>
      <c r="J2735" s="267"/>
      <c r="K2735" s="265"/>
      <c r="L2735" s="265"/>
      <c r="M2735" s="269"/>
      <c r="N2735" s="270"/>
      <c r="O2735" s="271"/>
      <c r="P2735" s="271"/>
      <c r="Q2735" s="272"/>
      <c r="R2735" s="273"/>
      <c r="S2735" s="273"/>
      <c r="T2735" s="273"/>
      <c r="U2735" s="274"/>
      <c r="V2735" s="263"/>
      <c r="W2735" s="35"/>
      <c r="X2735" s="35"/>
      <c r="Y2735" s="35"/>
      <c r="Z2735" s="35"/>
      <c r="AA2735" s="35"/>
      <c r="AB2735" s="35"/>
      <c r="AC2735" s="35"/>
      <c r="AD2735" s="35"/>
      <c r="AE2735" s="35"/>
      <c r="AF2735" s="35"/>
      <c r="AG2735" s="35"/>
      <c r="AH2735" s="35"/>
      <c r="AI2735" s="35"/>
    </row>
    <row r="2736">
      <c r="A2736" s="263"/>
      <c r="B2736" s="264"/>
      <c r="C2736" s="265"/>
      <c r="D2736" s="266"/>
      <c r="E2736" s="263"/>
      <c r="F2736" s="267"/>
      <c r="G2736" s="267"/>
      <c r="H2736" s="268"/>
      <c r="I2736" s="268"/>
      <c r="J2736" s="267"/>
      <c r="K2736" s="265"/>
      <c r="L2736" s="265"/>
      <c r="M2736" s="269"/>
      <c r="N2736" s="270"/>
      <c r="O2736" s="271"/>
      <c r="P2736" s="271"/>
      <c r="Q2736" s="272"/>
      <c r="R2736" s="273"/>
      <c r="S2736" s="273"/>
      <c r="T2736" s="273"/>
      <c r="U2736" s="274"/>
      <c r="V2736" s="263"/>
      <c r="W2736" s="188"/>
      <c r="X2736" s="188"/>
      <c r="Y2736" s="188"/>
      <c r="Z2736" s="188"/>
      <c r="AA2736" s="188"/>
      <c r="AB2736" s="188"/>
      <c r="AC2736" s="188"/>
      <c r="AD2736" s="188"/>
      <c r="AE2736" s="188"/>
      <c r="AF2736" s="188"/>
      <c r="AG2736" s="188"/>
      <c r="AH2736" s="188"/>
      <c r="AI2736" s="188"/>
    </row>
    <row r="2737">
      <c r="A2737" s="263"/>
      <c r="B2737" s="264"/>
      <c r="C2737" s="265"/>
      <c r="D2737" s="266"/>
      <c r="E2737" s="263"/>
      <c r="F2737" s="267"/>
      <c r="G2737" s="267"/>
      <c r="H2737" s="268"/>
      <c r="I2737" s="268"/>
      <c r="J2737" s="267"/>
      <c r="K2737" s="265"/>
      <c r="L2737" s="265"/>
      <c r="M2737" s="269"/>
      <c r="N2737" s="270"/>
      <c r="O2737" s="271"/>
      <c r="P2737" s="271"/>
      <c r="Q2737" s="272"/>
      <c r="R2737" s="273"/>
      <c r="S2737" s="273"/>
      <c r="T2737" s="273"/>
      <c r="U2737" s="274"/>
      <c r="V2737" s="263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</row>
    <row r="2738">
      <c r="A2738" s="263"/>
      <c r="B2738" s="264"/>
      <c r="C2738" s="265"/>
      <c r="D2738" s="266"/>
      <c r="E2738" s="263"/>
      <c r="F2738" s="267"/>
      <c r="G2738" s="267"/>
      <c r="H2738" s="268"/>
      <c r="I2738" s="268"/>
      <c r="J2738" s="267"/>
      <c r="K2738" s="265"/>
      <c r="L2738" s="265"/>
      <c r="M2738" s="269"/>
      <c r="N2738" s="270"/>
      <c r="O2738" s="271"/>
      <c r="P2738" s="271"/>
      <c r="Q2738" s="272"/>
      <c r="R2738" s="273"/>
      <c r="S2738" s="273"/>
      <c r="T2738" s="273"/>
      <c r="U2738" s="274"/>
      <c r="V2738" s="263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</row>
    <row r="2739">
      <c r="A2739" s="263"/>
      <c r="B2739" s="264"/>
      <c r="C2739" s="265"/>
      <c r="D2739" s="266"/>
      <c r="E2739" s="263"/>
      <c r="F2739" s="267"/>
      <c r="G2739" s="267"/>
      <c r="H2739" s="268"/>
      <c r="I2739" s="268"/>
      <c r="J2739" s="267"/>
      <c r="K2739" s="265"/>
      <c r="L2739" s="265"/>
      <c r="M2739" s="269"/>
      <c r="N2739" s="270"/>
      <c r="O2739" s="271"/>
      <c r="P2739" s="271"/>
      <c r="Q2739" s="272"/>
      <c r="R2739" s="273"/>
      <c r="S2739" s="273"/>
      <c r="T2739" s="273"/>
      <c r="U2739" s="274"/>
      <c r="V2739" s="263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</row>
    <row r="2740">
      <c r="A2740" s="263"/>
      <c r="B2740" s="264"/>
      <c r="C2740" s="265"/>
      <c r="D2740" s="266"/>
      <c r="E2740" s="263"/>
      <c r="F2740" s="267"/>
      <c r="G2740" s="267"/>
      <c r="H2740" s="268"/>
      <c r="I2740" s="268"/>
      <c r="J2740" s="267"/>
      <c r="K2740" s="265"/>
      <c r="L2740" s="265"/>
      <c r="M2740" s="269"/>
      <c r="N2740" s="270"/>
      <c r="O2740" s="271"/>
      <c r="P2740" s="271"/>
      <c r="Q2740" s="272"/>
      <c r="R2740" s="273"/>
      <c r="S2740" s="273"/>
      <c r="T2740" s="273"/>
      <c r="U2740" s="274"/>
      <c r="V2740" s="263"/>
      <c r="W2740" s="188"/>
      <c r="X2740" s="188"/>
      <c r="Y2740" s="188"/>
      <c r="Z2740" s="188"/>
      <c r="AA2740" s="188"/>
      <c r="AB2740" s="188"/>
      <c r="AC2740" s="188"/>
      <c r="AD2740" s="188"/>
      <c r="AE2740" s="188"/>
      <c r="AF2740" s="188"/>
      <c r="AG2740" s="188"/>
      <c r="AH2740" s="188"/>
      <c r="AI2740" s="188"/>
    </row>
    <row r="2741">
      <c r="A2741" s="263"/>
      <c r="B2741" s="264"/>
      <c r="C2741" s="265"/>
      <c r="D2741" s="266"/>
      <c r="E2741" s="263"/>
      <c r="F2741" s="267"/>
      <c r="G2741" s="267"/>
      <c r="H2741" s="268"/>
      <c r="I2741" s="268"/>
      <c r="J2741" s="267"/>
      <c r="K2741" s="265"/>
      <c r="L2741" s="265"/>
      <c r="M2741" s="269"/>
      <c r="N2741" s="270"/>
      <c r="O2741" s="271"/>
      <c r="P2741" s="271"/>
      <c r="Q2741" s="272"/>
      <c r="R2741" s="273"/>
      <c r="S2741" s="273"/>
      <c r="T2741" s="273"/>
      <c r="U2741" s="274"/>
      <c r="V2741" s="263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</row>
    <row r="2742">
      <c r="A2742" s="263"/>
      <c r="B2742" s="264"/>
      <c r="C2742" s="265"/>
      <c r="D2742" s="266"/>
      <c r="E2742" s="263"/>
      <c r="F2742" s="267"/>
      <c r="G2742" s="267"/>
      <c r="H2742" s="268"/>
      <c r="I2742" s="268"/>
      <c r="J2742" s="267"/>
      <c r="K2742" s="265"/>
      <c r="L2742" s="265"/>
      <c r="M2742" s="269"/>
      <c r="N2742" s="270"/>
      <c r="O2742" s="271"/>
      <c r="P2742" s="271"/>
      <c r="Q2742" s="272"/>
      <c r="R2742" s="273"/>
      <c r="S2742" s="273"/>
      <c r="T2742" s="273"/>
      <c r="U2742" s="274"/>
      <c r="V2742" s="263"/>
      <c r="W2742" s="35"/>
      <c r="X2742" s="35"/>
      <c r="Y2742" s="35"/>
      <c r="Z2742" s="35"/>
      <c r="AA2742" s="35"/>
      <c r="AB2742" s="35"/>
      <c r="AC2742" s="35"/>
      <c r="AD2742" s="35"/>
      <c r="AE2742" s="35"/>
      <c r="AF2742" s="35"/>
      <c r="AG2742" s="35"/>
      <c r="AH2742" s="35"/>
      <c r="AI2742" s="35"/>
    </row>
    <row r="2743">
      <c r="A2743" s="263"/>
      <c r="B2743" s="264"/>
      <c r="C2743" s="265"/>
      <c r="D2743" s="266"/>
      <c r="E2743" s="263"/>
      <c r="F2743" s="267"/>
      <c r="G2743" s="267"/>
      <c r="H2743" s="268"/>
      <c r="I2743" s="268"/>
      <c r="J2743" s="267"/>
      <c r="K2743" s="265"/>
      <c r="L2743" s="265"/>
      <c r="M2743" s="269"/>
      <c r="N2743" s="270"/>
      <c r="O2743" s="271"/>
      <c r="P2743" s="271"/>
      <c r="Q2743" s="272"/>
      <c r="R2743" s="273"/>
      <c r="S2743" s="273"/>
      <c r="T2743" s="273"/>
      <c r="U2743" s="274"/>
      <c r="V2743" s="263"/>
      <c r="W2743" s="36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</row>
    <row r="2744">
      <c r="A2744" s="263"/>
      <c r="B2744" s="264"/>
      <c r="C2744" s="265"/>
      <c r="D2744" s="266"/>
      <c r="E2744" s="263"/>
      <c r="F2744" s="267"/>
      <c r="G2744" s="267"/>
      <c r="H2744" s="268"/>
      <c r="I2744" s="268"/>
      <c r="J2744" s="267"/>
      <c r="K2744" s="265"/>
      <c r="L2744" s="265"/>
      <c r="M2744" s="269"/>
      <c r="N2744" s="270"/>
      <c r="O2744" s="271"/>
      <c r="P2744" s="271"/>
      <c r="Q2744" s="272"/>
      <c r="R2744" s="273"/>
      <c r="S2744" s="273"/>
      <c r="T2744" s="273"/>
      <c r="U2744" s="274"/>
      <c r="V2744" s="263"/>
      <c r="W2744" s="188"/>
      <c r="X2744" s="188"/>
      <c r="Y2744" s="188"/>
      <c r="Z2744" s="188"/>
      <c r="AA2744" s="188"/>
      <c r="AB2744" s="188"/>
      <c r="AC2744" s="188"/>
      <c r="AD2744" s="188"/>
      <c r="AE2744" s="188"/>
      <c r="AF2744" s="188"/>
      <c r="AG2744" s="188"/>
      <c r="AH2744" s="188"/>
      <c r="AI2744" s="188"/>
    </row>
    <row r="2745">
      <c r="A2745" s="263"/>
      <c r="B2745" s="264"/>
      <c r="C2745" s="265"/>
      <c r="D2745" s="266"/>
      <c r="E2745" s="263"/>
      <c r="F2745" s="267"/>
      <c r="G2745" s="267"/>
      <c r="H2745" s="268"/>
      <c r="I2745" s="268"/>
      <c r="J2745" s="267"/>
      <c r="K2745" s="265"/>
      <c r="L2745" s="265"/>
      <c r="M2745" s="269"/>
      <c r="N2745" s="270"/>
      <c r="O2745" s="271"/>
      <c r="P2745" s="271"/>
      <c r="Q2745" s="272"/>
      <c r="R2745" s="273"/>
      <c r="S2745" s="273"/>
      <c r="T2745" s="273"/>
      <c r="U2745" s="274"/>
      <c r="V2745" s="263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</row>
    <row r="2746">
      <c r="A2746" s="263"/>
      <c r="B2746" s="264"/>
      <c r="C2746" s="265"/>
      <c r="D2746" s="266"/>
      <c r="E2746" s="263"/>
      <c r="F2746" s="267"/>
      <c r="G2746" s="267"/>
      <c r="H2746" s="268"/>
      <c r="I2746" s="268"/>
      <c r="J2746" s="267"/>
      <c r="K2746" s="265"/>
      <c r="L2746" s="265"/>
      <c r="M2746" s="269"/>
      <c r="N2746" s="270"/>
      <c r="O2746" s="271"/>
      <c r="P2746" s="271"/>
      <c r="Q2746" s="272"/>
      <c r="R2746" s="273"/>
      <c r="S2746" s="273"/>
      <c r="T2746" s="273"/>
      <c r="U2746" s="274"/>
      <c r="V2746" s="263"/>
      <c r="W2746" s="35"/>
      <c r="X2746" s="35"/>
      <c r="Y2746" s="35"/>
      <c r="Z2746" s="35"/>
      <c r="AA2746" s="35"/>
      <c r="AB2746" s="35"/>
      <c r="AC2746" s="35"/>
      <c r="AD2746" s="35"/>
      <c r="AE2746" s="35"/>
      <c r="AF2746" s="35"/>
      <c r="AG2746" s="35"/>
      <c r="AH2746" s="35"/>
      <c r="AI2746" s="35"/>
    </row>
    <row r="2747">
      <c r="A2747" s="263"/>
      <c r="B2747" s="264"/>
      <c r="C2747" s="265"/>
      <c r="D2747" s="266"/>
      <c r="E2747" s="263"/>
      <c r="F2747" s="267"/>
      <c r="G2747" s="267"/>
      <c r="H2747" s="268"/>
      <c r="I2747" s="268"/>
      <c r="J2747" s="267"/>
      <c r="K2747" s="265"/>
      <c r="L2747" s="265"/>
      <c r="M2747" s="269"/>
      <c r="N2747" s="270"/>
      <c r="O2747" s="271"/>
      <c r="P2747" s="271"/>
      <c r="Q2747" s="272"/>
      <c r="R2747" s="273"/>
      <c r="S2747" s="273"/>
      <c r="T2747" s="273"/>
      <c r="U2747" s="274"/>
      <c r="V2747" s="263"/>
      <c r="W2747" s="188"/>
      <c r="X2747" s="188"/>
      <c r="Y2747" s="188"/>
      <c r="Z2747" s="188"/>
      <c r="AA2747" s="188"/>
      <c r="AB2747" s="188"/>
      <c r="AC2747" s="188"/>
      <c r="AD2747" s="188"/>
      <c r="AE2747" s="188"/>
      <c r="AF2747" s="188"/>
      <c r="AG2747" s="188"/>
      <c r="AH2747" s="188"/>
      <c r="AI2747" s="188"/>
    </row>
    <row r="2748">
      <c r="A2748" s="263"/>
      <c r="B2748" s="264"/>
      <c r="C2748" s="265"/>
      <c r="D2748" s="266"/>
      <c r="E2748" s="263"/>
      <c r="F2748" s="267"/>
      <c r="G2748" s="267"/>
      <c r="H2748" s="268"/>
      <c r="I2748" s="268"/>
      <c r="J2748" s="267"/>
      <c r="K2748" s="265"/>
      <c r="L2748" s="265"/>
      <c r="M2748" s="269"/>
      <c r="N2748" s="270"/>
      <c r="O2748" s="271"/>
      <c r="P2748" s="271"/>
      <c r="Q2748" s="272"/>
      <c r="R2748" s="273"/>
      <c r="S2748" s="273"/>
      <c r="T2748" s="273"/>
      <c r="U2748" s="274"/>
      <c r="V2748" s="263"/>
      <c r="W2748" s="188"/>
      <c r="X2748" s="188"/>
      <c r="Y2748" s="188"/>
      <c r="Z2748" s="188"/>
      <c r="AA2748" s="188"/>
      <c r="AB2748" s="188"/>
      <c r="AC2748" s="188"/>
      <c r="AD2748" s="188"/>
      <c r="AE2748" s="188"/>
      <c r="AF2748" s="188"/>
      <c r="AG2748" s="188"/>
      <c r="AH2748" s="188"/>
      <c r="AI2748" s="188"/>
    </row>
    <row r="2749">
      <c r="A2749" s="263"/>
      <c r="B2749" s="264"/>
      <c r="C2749" s="265"/>
      <c r="D2749" s="266"/>
      <c r="E2749" s="263"/>
      <c r="F2749" s="267"/>
      <c r="G2749" s="267"/>
      <c r="H2749" s="268"/>
      <c r="I2749" s="268"/>
      <c r="J2749" s="267"/>
      <c r="K2749" s="265"/>
      <c r="L2749" s="265"/>
      <c r="M2749" s="269"/>
      <c r="N2749" s="270"/>
      <c r="O2749" s="271"/>
      <c r="P2749" s="271"/>
      <c r="Q2749" s="272"/>
      <c r="R2749" s="273"/>
      <c r="S2749" s="273"/>
      <c r="T2749" s="273"/>
      <c r="U2749" s="274"/>
      <c r="V2749" s="263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</row>
    <row r="2750">
      <c r="A2750" s="263"/>
      <c r="B2750" s="264"/>
      <c r="C2750" s="265"/>
      <c r="D2750" s="266"/>
      <c r="E2750" s="263"/>
      <c r="F2750" s="267"/>
      <c r="G2750" s="267"/>
      <c r="H2750" s="268"/>
      <c r="I2750" s="268"/>
      <c r="J2750" s="267"/>
      <c r="K2750" s="265"/>
      <c r="L2750" s="265"/>
      <c r="M2750" s="269"/>
      <c r="N2750" s="270"/>
      <c r="O2750" s="271"/>
      <c r="P2750" s="271"/>
      <c r="Q2750" s="272"/>
      <c r="R2750" s="273"/>
      <c r="S2750" s="273"/>
      <c r="T2750" s="273"/>
      <c r="U2750" s="274"/>
      <c r="V2750" s="263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</row>
    <row r="2751">
      <c r="A2751" s="263"/>
      <c r="B2751" s="264"/>
      <c r="C2751" s="265"/>
      <c r="D2751" s="266"/>
      <c r="E2751" s="263"/>
      <c r="F2751" s="267"/>
      <c r="G2751" s="267"/>
      <c r="H2751" s="268"/>
      <c r="I2751" s="268"/>
      <c r="J2751" s="267"/>
      <c r="K2751" s="265"/>
      <c r="L2751" s="265"/>
      <c r="M2751" s="269"/>
      <c r="N2751" s="270"/>
      <c r="O2751" s="271"/>
      <c r="P2751" s="271"/>
      <c r="Q2751" s="272"/>
      <c r="R2751" s="273"/>
      <c r="S2751" s="273"/>
      <c r="T2751" s="273"/>
      <c r="U2751" s="274"/>
      <c r="V2751" s="263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</row>
    <row r="2752">
      <c r="A2752" s="263"/>
      <c r="B2752" s="264"/>
      <c r="C2752" s="265"/>
      <c r="D2752" s="266"/>
      <c r="E2752" s="263"/>
      <c r="F2752" s="267"/>
      <c r="G2752" s="267"/>
      <c r="H2752" s="268"/>
      <c r="I2752" s="268"/>
      <c r="J2752" s="267"/>
      <c r="K2752" s="265"/>
      <c r="L2752" s="265"/>
      <c r="M2752" s="269"/>
      <c r="N2752" s="270"/>
      <c r="O2752" s="271"/>
      <c r="P2752" s="271"/>
      <c r="Q2752" s="272"/>
      <c r="R2752" s="273"/>
      <c r="S2752" s="273"/>
      <c r="T2752" s="273"/>
      <c r="U2752" s="274"/>
      <c r="V2752" s="263"/>
      <c r="W2752" s="35"/>
      <c r="X2752" s="35"/>
      <c r="Y2752" s="35"/>
      <c r="Z2752" s="35"/>
      <c r="AA2752" s="35"/>
      <c r="AB2752" s="35"/>
      <c r="AC2752" s="35"/>
      <c r="AD2752" s="35"/>
      <c r="AE2752" s="35"/>
      <c r="AF2752" s="35"/>
      <c r="AG2752" s="35"/>
      <c r="AH2752" s="35"/>
      <c r="AI2752" s="35"/>
    </row>
    <row r="2753">
      <c r="A2753" s="263"/>
      <c r="B2753" s="264"/>
      <c r="C2753" s="265"/>
      <c r="D2753" s="266"/>
      <c r="E2753" s="263"/>
      <c r="F2753" s="267"/>
      <c r="G2753" s="267"/>
      <c r="H2753" s="268"/>
      <c r="I2753" s="268"/>
      <c r="J2753" s="267"/>
      <c r="K2753" s="265"/>
      <c r="L2753" s="265"/>
      <c r="M2753" s="269"/>
      <c r="N2753" s="270"/>
      <c r="O2753" s="271"/>
      <c r="P2753" s="271"/>
      <c r="Q2753" s="272"/>
      <c r="R2753" s="273"/>
      <c r="S2753" s="273"/>
      <c r="T2753" s="273"/>
      <c r="U2753" s="274"/>
      <c r="V2753" s="263"/>
      <c r="W2753" s="36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</row>
    <row r="2754">
      <c r="A2754" s="263"/>
      <c r="B2754" s="264"/>
      <c r="C2754" s="265"/>
      <c r="D2754" s="266"/>
      <c r="E2754" s="263"/>
      <c r="F2754" s="267"/>
      <c r="G2754" s="267"/>
      <c r="H2754" s="268"/>
      <c r="I2754" s="268"/>
      <c r="J2754" s="267"/>
      <c r="K2754" s="265"/>
      <c r="L2754" s="265"/>
      <c r="M2754" s="269"/>
      <c r="N2754" s="270"/>
      <c r="O2754" s="271"/>
      <c r="P2754" s="271"/>
      <c r="Q2754" s="272"/>
      <c r="R2754" s="273"/>
      <c r="S2754" s="273"/>
      <c r="T2754" s="273"/>
      <c r="U2754" s="274"/>
      <c r="V2754" s="263"/>
      <c r="W2754" s="188"/>
      <c r="X2754" s="188"/>
      <c r="Y2754" s="188"/>
      <c r="Z2754" s="188"/>
      <c r="AA2754" s="188"/>
      <c r="AB2754" s="188"/>
      <c r="AC2754" s="188"/>
      <c r="AD2754" s="188"/>
      <c r="AE2754" s="188"/>
      <c r="AF2754" s="188"/>
      <c r="AG2754" s="188"/>
      <c r="AH2754" s="188"/>
      <c r="AI2754" s="188"/>
    </row>
    <row r="2755">
      <c r="A2755" s="263"/>
      <c r="B2755" s="264"/>
      <c r="C2755" s="265"/>
      <c r="D2755" s="266"/>
      <c r="E2755" s="263"/>
      <c r="F2755" s="267"/>
      <c r="G2755" s="267"/>
      <c r="H2755" s="268"/>
      <c r="I2755" s="268"/>
      <c r="J2755" s="267"/>
      <c r="K2755" s="265"/>
      <c r="L2755" s="265"/>
      <c r="M2755" s="269"/>
      <c r="N2755" s="270"/>
      <c r="O2755" s="271"/>
      <c r="P2755" s="271"/>
      <c r="Q2755" s="272"/>
      <c r="R2755" s="273"/>
      <c r="S2755" s="273"/>
      <c r="T2755" s="273"/>
      <c r="U2755" s="274"/>
      <c r="V2755" s="263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</row>
    <row r="2756">
      <c r="A2756" s="263"/>
      <c r="B2756" s="264"/>
      <c r="C2756" s="265"/>
      <c r="D2756" s="266"/>
      <c r="E2756" s="263"/>
      <c r="F2756" s="267"/>
      <c r="G2756" s="267"/>
      <c r="H2756" s="268"/>
      <c r="I2756" s="268"/>
      <c r="J2756" s="267"/>
      <c r="K2756" s="265"/>
      <c r="L2756" s="265"/>
      <c r="M2756" s="269"/>
      <c r="N2756" s="270"/>
      <c r="O2756" s="271"/>
      <c r="P2756" s="271"/>
      <c r="Q2756" s="272"/>
      <c r="R2756" s="273"/>
      <c r="S2756" s="273"/>
      <c r="T2756" s="273"/>
      <c r="U2756" s="274"/>
      <c r="V2756" s="263"/>
      <c r="W2756" s="35"/>
      <c r="X2756" s="35"/>
      <c r="Y2756" s="35"/>
      <c r="Z2756" s="35"/>
      <c r="AA2756" s="35"/>
      <c r="AB2756" s="35"/>
      <c r="AC2756" s="35"/>
      <c r="AD2756" s="35"/>
      <c r="AE2756" s="35"/>
      <c r="AF2756" s="35"/>
      <c r="AG2756" s="35"/>
      <c r="AH2756" s="35"/>
      <c r="AI2756" s="35"/>
    </row>
    <row r="2757">
      <c r="A2757" s="263"/>
      <c r="B2757" s="264"/>
      <c r="C2757" s="265"/>
      <c r="D2757" s="266"/>
      <c r="E2757" s="263"/>
      <c r="F2757" s="267"/>
      <c r="G2757" s="267"/>
      <c r="H2757" s="268"/>
      <c r="I2757" s="268"/>
      <c r="J2757" s="267"/>
      <c r="K2757" s="265"/>
      <c r="L2757" s="265"/>
      <c r="M2757" s="269"/>
      <c r="N2757" s="270"/>
      <c r="O2757" s="271"/>
      <c r="P2757" s="271"/>
      <c r="Q2757" s="272"/>
      <c r="R2757" s="273"/>
      <c r="S2757" s="273"/>
      <c r="T2757" s="273"/>
      <c r="U2757" s="274"/>
      <c r="V2757" s="263"/>
      <c r="W2757" s="188"/>
      <c r="X2757" s="188"/>
      <c r="Y2757" s="188"/>
      <c r="Z2757" s="188"/>
      <c r="AA2757" s="188"/>
      <c r="AB2757" s="188"/>
      <c r="AC2757" s="188"/>
      <c r="AD2757" s="188"/>
      <c r="AE2757" s="188"/>
      <c r="AF2757" s="188"/>
      <c r="AG2757" s="188"/>
      <c r="AH2757" s="188"/>
      <c r="AI2757" s="188"/>
    </row>
    <row r="2758">
      <c r="A2758" s="263"/>
      <c r="B2758" s="264"/>
      <c r="C2758" s="265"/>
      <c r="D2758" s="266"/>
      <c r="E2758" s="263"/>
      <c r="F2758" s="267"/>
      <c r="G2758" s="267"/>
      <c r="H2758" s="268"/>
      <c r="I2758" s="268"/>
      <c r="J2758" s="267"/>
      <c r="K2758" s="265"/>
      <c r="L2758" s="265"/>
      <c r="M2758" s="269"/>
      <c r="N2758" s="270"/>
      <c r="O2758" s="271"/>
      <c r="P2758" s="271"/>
      <c r="Q2758" s="272"/>
      <c r="R2758" s="273"/>
      <c r="S2758" s="273"/>
      <c r="T2758" s="273"/>
      <c r="U2758" s="274"/>
      <c r="V2758" s="263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</row>
    <row r="2759">
      <c r="A2759" s="263"/>
      <c r="B2759" s="264"/>
      <c r="C2759" s="265"/>
      <c r="D2759" s="266"/>
      <c r="E2759" s="263"/>
      <c r="F2759" s="267"/>
      <c r="G2759" s="267"/>
      <c r="H2759" s="268"/>
      <c r="I2759" s="268"/>
      <c r="J2759" s="267"/>
      <c r="K2759" s="265"/>
      <c r="L2759" s="265"/>
      <c r="M2759" s="269"/>
      <c r="N2759" s="270"/>
      <c r="O2759" s="271"/>
      <c r="P2759" s="271"/>
      <c r="Q2759" s="272"/>
      <c r="R2759" s="273"/>
      <c r="S2759" s="273"/>
      <c r="T2759" s="273"/>
      <c r="U2759" s="274"/>
      <c r="V2759" s="263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</row>
    <row r="2760">
      <c r="A2760" s="263"/>
      <c r="B2760" s="264"/>
      <c r="C2760" s="265"/>
      <c r="D2760" s="266"/>
      <c r="E2760" s="263"/>
      <c r="F2760" s="267"/>
      <c r="G2760" s="267"/>
      <c r="H2760" s="268"/>
      <c r="I2760" s="268"/>
      <c r="J2760" s="267"/>
      <c r="K2760" s="265"/>
      <c r="L2760" s="265"/>
      <c r="M2760" s="269"/>
      <c r="N2760" s="270"/>
      <c r="O2760" s="271"/>
      <c r="P2760" s="271"/>
      <c r="Q2760" s="272"/>
      <c r="R2760" s="273"/>
      <c r="S2760" s="273"/>
      <c r="T2760" s="273"/>
      <c r="U2760" s="274"/>
      <c r="V2760" s="263"/>
      <c r="W2760" s="188"/>
      <c r="X2760" s="188"/>
      <c r="Y2760" s="188"/>
      <c r="Z2760" s="188"/>
      <c r="AA2760" s="188"/>
      <c r="AB2760" s="188"/>
      <c r="AC2760" s="188"/>
      <c r="AD2760" s="188"/>
      <c r="AE2760" s="188"/>
      <c r="AF2760" s="188"/>
      <c r="AG2760" s="188"/>
      <c r="AH2760" s="188"/>
      <c r="AI2760" s="188"/>
    </row>
    <row r="2761">
      <c r="A2761" s="263"/>
      <c r="B2761" s="264"/>
      <c r="C2761" s="265"/>
      <c r="D2761" s="266"/>
      <c r="E2761" s="263"/>
      <c r="F2761" s="267"/>
      <c r="G2761" s="267"/>
      <c r="H2761" s="268"/>
      <c r="I2761" s="268"/>
      <c r="J2761" s="267"/>
      <c r="K2761" s="265"/>
      <c r="L2761" s="265"/>
      <c r="M2761" s="269"/>
      <c r="N2761" s="270"/>
      <c r="O2761" s="271"/>
      <c r="P2761" s="271"/>
      <c r="Q2761" s="272"/>
      <c r="R2761" s="273"/>
      <c r="S2761" s="273"/>
      <c r="T2761" s="273"/>
      <c r="U2761" s="274"/>
      <c r="V2761" s="263"/>
      <c r="W2761" s="188"/>
      <c r="X2761" s="188"/>
      <c r="Y2761" s="188"/>
      <c r="Z2761" s="188"/>
      <c r="AA2761" s="188"/>
      <c r="AB2761" s="188"/>
      <c r="AC2761" s="188"/>
      <c r="AD2761" s="188"/>
      <c r="AE2761" s="188"/>
      <c r="AF2761" s="188"/>
      <c r="AG2761" s="188"/>
      <c r="AH2761" s="188"/>
      <c r="AI2761" s="188"/>
    </row>
    <row r="2762">
      <c r="A2762" s="263"/>
      <c r="B2762" s="264"/>
      <c r="C2762" s="265"/>
      <c r="D2762" s="266"/>
      <c r="E2762" s="263"/>
      <c r="F2762" s="267"/>
      <c r="G2762" s="267"/>
      <c r="H2762" s="268"/>
      <c r="I2762" s="268"/>
      <c r="J2762" s="267"/>
      <c r="K2762" s="265"/>
      <c r="L2762" s="265"/>
      <c r="M2762" s="269"/>
      <c r="N2762" s="270"/>
      <c r="O2762" s="271"/>
      <c r="P2762" s="271"/>
      <c r="Q2762" s="272"/>
      <c r="R2762" s="273"/>
      <c r="S2762" s="273"/>
      <c r="T2762" s="273"/>
      <c r="U2762" s="274"/>
      <c r="V2762" s="263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</row>
    <row r="2763">
      <c r="A2763" s="263"/>
      <c r="B2763" s="264"/>
      <c r="C2763" s="265"/>
      <c r="D2763" s="266"/>
      <c r="E2763" s="263"/>
      <c r="F2763" s="267"/>
      <c r="G2763" s="267"/>
      <c r="H2763" s="268"/>
      <c r="I2763" s="268"/>
      <c r="J2763" s="267"/>
      <c r="K2763" s="265"/>
      <c r="L2763" s="265"/>
      <c r="M2763" s="269"/>
      <c r="N2763" s="270"/>
      <c r="O2763" s="271"/>
      <c r="P2763" s="271"/>
      <c r="Q2763" s="272"/>
      <c r="R2763" s="273"/>
      <c r="S2763" s="273"/>
      <c r="T2763" s="273"/>
      <c r="U2763" s="274"/>
      <c r="V2763" s="263"/>
      <c r="W2763" s="35"/>
      <c r="X2763" s="35"/>
      <c r="Y2763" s="35"/>
      <c r="Z2763" s="35"/>
      <c r="AA2763" s="35"/>
      <c r="AB2763" s="35"/>
      <c r="AC2763" s="35"/>
      <c r="AD2763" s="35"/>
      <c r="AE2763" s="35"/>
      <c r="AF2763" s="35"/>
      <c r="AG2763" s="35"/>
      <c r="AH2763" s="35"/>
      <c r="AI2763" s="35"/>
    </row>
    <row r="2764">
      <c r="A2764" s="263"/>
      <c r="B2764" s="264"/>
      <c r="C2764" s="265"/>
      <c r="D2764" s="266"/>
      <c r="E2764" s="263"/>
      <c r="F2764" s="267"/>
      <c r="G2764" s="267"/>
      <c r="H2764" s="268"/>
      <c r="I2764" s="268"/>
      <c r="J2764" s="267"/>
      <c r="K2764" s="265"/>
      <c r="L2764" s="265"/>
      <c r="M2764" s="269"/>
      <c r="N2764" s="270"/>
      <c r="O2764" s="271"/>
      <c r="P2764" s="271"/>
      <c r="Q2764" s="272"/>
      <c r="R2764" s="273"/>
      <c r="S2764" s="273"/>
      <c r="T2764" s="273"/>
      <c r="U2764" s="274"/>
      <c r="V2764" s="263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</row>
    <row r="2765">
      <c r="A2765" s="263"/>
      <c r="B2765" s="264"/>
      <c r="C2765" s="265"/>
      <c r="D2765" s="266"/>
      <c r="E2765" s="263"/>
      <c r="F2765" s="267"/>
      <c r="G2765" s="267"/>
      <c r="H2765" s="268"/>
      <c r="I2765" s="268"/>
      <c r="J2765" s="267"/>
      <c r="K2765" s="265"/>
      <c r="L2765" s="265"/>
      <c r="M2765" s="269"/>
      <c r="N2765" s="270"/>
      <c r="O2765" s="271"/>
      <c r="P2765" s="271"/>
      <c r="Q2765" s="272"/>
      <c r="R2765" s="273"/>
      <c r="S2765" s="273"/>
      <c r="T2765" s="273"/>
      <c r="U2765" s="274"/>
      <c r="V2765" s="263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</row>
    <row r="2766">
      <c r="A2766" s="263"/>
      <c r="B2766" s="264"/>
      <c r="C2766" s="265"/>
      <c r="D2766" s="266"/>
      <c r="E2766" s="263"/>
      <c r="F2766" s="267"/>
      <c r="G2766" s="267"/>
      <c r="H2766" s="268"/>
      <c r="I2766" s="268"/>
      <c r="J2766" s="267"/>
      <c r="K2766" s="265"/>
      <c r="L2766" s="265"/>
      <c r="M2766" s="269"/>
      <c r="N2766" s="270"/>
      <c r="O2766" s="271"/>
      <c r="P2766" s="271"/>
      <c r="Q2766" s="272"/>
      <c r="R2766" s="273"/>
      <c r="S2766" s="273"/>
      <c r="T2766" s="273"/>
      <c r="U2766" s="274"/>
      <c r="V2766" s="263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</row>
    <row r="2767">
      <c r="A2767" s="263"/>
      <c r="B2767" s="264"/>
      <c r="C2767" s="265"/>
      <c r="D2767" s="266"/>
      <c r="E2767" s="263"/>
      <c r="F2767" s="267"/>
      <c r="G2767" s="267"/>
      <c r="H2767" s="268"/>
      <c r="I2767" s="268"/>
      <c r="J2767" s="267"/>
      <c r="K2767" s="265"/>
      <c r="L2767" s="265"/>
      <c r="M2767" s="269"/>
      <c r="N2767" s="270"/>
      <c r="O2767" s="271"/>
      <c r="P2767" s="271"/>
      <c r="Q2767" s="272"/>
      <c r="R2767" s="273"/>
      <c r="S2767" s="273"/>
      <c r="T2767" s="273"/>
      <c r="U2767" s="274"/>
      <c r="V2767" s="263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</row>
    <row r="2768">
      <c r="A2768" s="263"/>
      <c r="B2768" s="264"/>
      <c r="C2768" s="265"/>
      <c r="D2768" s="266"/>
      <c r="E2768" s="263"/>
      <c r="F2768" s="267"/>
      <c r="G2768" s="267"/>
      <c r="H2768" s="268"/>
      <c r="I2768" s="268"/>
      <c r="J2768" s="267"/>
      <c r="K2768" s="265"/>
      <c r="L2768" s="265"/>
      <c r="M2768" s="269"/>
      <c r="N2768" s="270"/>
      <c r="O2768" s="271"/>
      <c r="P2768" s="271"/>
      <c r="Q2768" s="272"/>
      <c r="R2768" s="273"/>
      <c r="S2768" s="273"/>
      <c r="T2768" s="273"/>
      <c r="U2768" s="274"/>
      <c r="V2768" s="263"/>
      <c r="W2768" s="188"/>
      <c r="X2768" s="188"/>
      <c r="Y2768" s="188"/>
      <c r="Z2768" s="188"/>
      <c r="AA2768" s="188"/>
      <c r="AB2768" s="188"/>
      <c r="AC2768" s="188"/>
      <c r="AD2768" s="188"/>
      <c r="AE2768" s="188"/>
      <c r="AF2768" s="188"/>
      <c r="AG2768" s="188"/>
      <c r="AH2768" s="188"/>
      <c r="AI2768" s="188"/>
    </row>
    <row r="2769">
      <c r="A2769" s="263"/>
      <c r="B2769" s="264"/>
      <c r="C2769" s="265"/>
      <c r="D2769" s="266"/>
      <c r="E2769" s="263"/>
      <c r="F2769" s="267"/>
      <c r="G2769" s="267"/>
      <c r="H2769" s="268"/>
      <c r="I2769" s="268"/>
      <c r="J2769" s="267"/>
      <c r="K2769" s="265"/>
      <c r="L2769" s="265"/>
      <c r="M2769" s="269"/>
      <c r="N2769" s="270"/>
      <c r="O2769" s="271"/>
      <c r="P2769" s="271"/>
      <c r="Q2769" s="272"/>
      <c r="R2769" s="273"/>
      <c r="S2769" s="273"/>
      <c r="T2769" s="273"/>
      <c r="U2769" s="274"/>
      <c r="V2769" s="263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</row>
    <row r="2770">
      <c r="A2770" s="263"/>
      <c r="B2770" s="264"/>
      <c r="C2770" s="265"/>
      <c r="D2770" s="266"/>
      <c r="E2770" s="263"/>
      <c r="F2770" s="267"/>
      <c r="G2770" s="267"/>
      <c r="H2770" s="268"/>
      <c r="I2770" s="268"/>
      <c r="J2770" s="267"/>
      <c r="K2770" s="265"/>
      <c r="L2770" s="265"/>
      <c r="M2770" s="269"/>
      <c r="N2770" s="270"/>
      <c r="O2770" s="271"/>
      <c r="P2770" s="271"/>
      <c r="Q2770" s="272"/>
      <c r="R2770" s="273"/>
      <c r="S2770" s="273"/>
      <c r="T2770" s="273"/>
      <c r="U2770" s="274"/>
      <c r="V2770" s="263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</row>
    <row r="2771">
      <c r="A2771" s="263"/>
      <c r="B2771" s="264"/>
      <c r="C2771" s="265"/>
      <c r="D2771" s="266"/>
      <c r="E2771" s="263"/>
      <c r="F2771" s="267"/>
      <c r="G2771" s="267"/>
      <c r="H2771" s="268"/>
      <c r="I2771" s="268"/>
      <c r="J2771" s="267"/>
      <c r="K2771" s="265"/>
      <c r="L2771" s="265"/>
      <c r="M2771" s="269"/>
      <c r="N2771" s="270"/>
      <c r="O2771" s="271"/>
      <c r="P2771" s="271"/>
      <c r="Q2771" s="272"/>
      <c r="R2771" s="273"/>
      <c r="S2771" s="273"/>
      <c r="T2771" s="273"/>
      <c r="U2771" s="274"/>
      <c r="V2771" s="263"/>
      <c r="W2771" s="188"/>
      <c r="X2771" s="188"/>
      <c r="Y2771" s="188"/>
      <c r="Z2771" s="188"/>
      <c r="AA2771" s="188"/>
      <c r="AB2771" s="188"/>
      <c r="AC2771" s="188"/>
      <c r="AD2771" s="188"/>
      <c r="AE2771" s="188"/>
      <c r="AF2771" s="188"/>
      <c r="AG2771" s="188"/>
      <c r="AH2771" s="188"/>
      <c r="AI2771" s="188"/>
    </row>
    <row r="2772">
      <c r="A2772" s="263"/>
      <c r="B2772" s="264"/>
      <c r="C2772" s="265"/>
      <c r="D2772" s="266"/>
      <c r="E2772" s="263"/>
      <c r="F2772" s="267"/>
      <c r="G2772" s="267"/>
      <c r="H2772" s="268"/>
      <c r="I2772" s="268"/>
      <c r="J2772" s="267"/>
      <c r="K2772" s="265"/>
      <c r="L2772" s="265"/>
      <c r="M2772" s="269"/>
      <c r="N2772" s="270"/>
      <c r="O2772" s="271"/>
      <c r="P2772" s="271"/>
      <c r="Q2772" s="272"/>
      <c r="R2772" s="273"/>
      <c r="S2772" s="273"/>
      <c r="T2772" s="273"/>
      <c r="U2772" s="274"/>
      <c r="V2772" s="263"/>
      <c r="W2772" s="35"/>
      <c r="X2772" s="35"/>
      <c r="Y2772" s="35"/>
      <c r="Z2772" s="35"/>
      <c r="AA2772" s="35"/>
      <c r="AB2772" s="35"/>
      <c r="AC2772" s="35"/>
      <c r="AD2772" s="35"/>
      <c r="AE2772" s="35"/>
      <c r="AF2772" s="35"/>
      <c r="AG2772" s="35"/>
      <c r="AH2772" s="35"/>
      <c r="AI2772" s="35"/>
    </row>
    <row r="2773">
      <c r="A2773" s="263"/>
      <c r="B2773" s="264"/>
      <c r="C2773" s="265"/>
      <c r="D2773" s="266"/>
      <c r="E2773" s="263"/>
      <c r="F2773" s="267"/>
      <c r="G2773" s="267"/>
      <c r="H2773" s="268"/>
      <c r="I2773" s="268"/>
      <c r="J2773" s="267"/>
      <c r="K2773" s="265"/>
      <c r="L2773" s="265"/>
      <c r="M2773" s="269"/>
      <c r="N2773" s="270"/>
      <c r="O2773" s="271"/>
      <c r="P2773" s="271"/>
      <c r="Q2773" s="272"/>
      <c r="R2773" s="273"/>
      <c r="S2773" s="273"/>
      <c r="T2773" s="273"/>
      <c r="U2773" s="274"/>
      <c r="V2773" s="263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</row>
    <row r="2774">
      <c r="A2774" s="263"/>
      <c r="B2774" s="264"/>
      <c r="C2774" s="265"/>
      <c r="D2774" s="266"/>
      <c r="E2774" s="263"/>
      <c r="F2774" s="267"/>
      <c r="G2774" s="267"/>
      <c r="H2774" s="268"/>
      <c r="I2774" s="268"/>
      <c r="J2774" s="267"/>
      <c r="K2774" s="265"/>
      <c r="L2774" s="265"/>
      <c r="M2774" s="269"/>
      <c r="N2774" s="270"/>
      <c r="O2774" s="271"/>
      <c r="P2774" s="271"/>
      <c r="Q2774" s="272"/>
      <c r="R2774" s="273"/>
      <c r="S2774" s="273"/>
      <c r="T2774" s="273"/>
      <c r="U2774" s="274"/>
      <c r="V2774" s="263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</row>
    <row r="2775">
      <c r="A2775" s="263"/>
      <c r="B2775" s="264"/>
      <c r="C2775" s="265"/>
      <c r="D2775" s="266"/>
      <c r="E2775" s="263"/>
      <c r="F2775" s="267"/>
      <c r="G2775" s="267"/>
      <c r="H2775" s="268"/>
      <c r="I2775" s="268"/>
      <c r="J2775" s="267"/>
      <c r="K2775" s="265"/>
      <c r="L2775" s="265"/>
      <c r="M2775" s="269"/>
      <c r="N2775" s="270"/>
      <c r="O2775" s="271"/>
      <c r="P2775" s="271"/>
      <c r="Q2775" s="272"/>
      <c r="R2775" s="273"/>
      <c r="S2775" s="273"/>
      <c r="T2775" s="273"/>
      <c r="U2775" s="274"/>
      <c r="V2775" s="263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</row>
    <row r="2776">
      <c r="A2776" s="263"/>
      <c r="B2776" s="264"/>
      <c r="C2776" s="265"/>
      <c r="D2776" s="266"/>
      <c r="E2776" s="263"/>
      <c r="F2776" s="267"/>
      <c r="G2776" s="267"/>
      <c r="H2776" s="268"/>
      <c r="I2776" s="268"/>
      <c r="J2776" s="267"/>
      <c r="K2776" s="265"/>
      <c r="L2776" s="265"/>
      <c r="M2776" s="269"/>
      <c r="N2776" s="270"/>
      <c r="O2776" s="271"/>
      <c r="P2776" s="271"/>
      <c r="Q2776" s="272"/>
      <c r="R2776" s="273"/>
      <c r="S2776" s="273"/>
      <c r="T2776" s="273"/>
      <c r="U2776" s="274"/>
      <c r="V2776" s="263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</row>
    <row r="2777">
      <c r="A2777" s="263"/>
      <c r="B2777" s="264"/>
      <c r="C2777" s="265"/>
      <c r="D2777" s="266"/>
      <c r="E2777" s="263"/>
      <c r="F2777" s="267"/>
      <c r="G2777" s="267"/>
      <c r="H2777" s="268"/>
      <c r="I2777" s="268"/>
      <c r="J2777" s="267"/>
      <c r="K2777" s="265"/>
      <c r="L2777" s="265"/>
      <c r="M2777" s="269"/>
      <c r="N2777" s="270"/>
      <c r="O2777" s="271"/>
      <c r="P2777" s="271"/>
      <c r="Q2777" s="272"/>
      <c r="R2777" s="273"/>
      <c r="S2777" s="273"/>
      <c r="T2777" s="273"/>
      <c r="U2777" s="274"/>
      <c r="V2777" s="263"/>
      <c r="W2777" s="188"/>
      <c r="X2777" s="188"/>
      <c r="Y2777" s="188"/>
      <c r="Z2777" s="188"/>
      <c r="AA2777" s="188"/>
      <c r="AB2777" s="188"/>
      <c r="AC2777" s="188"/>
      <c r="AD2777" s="188"/>
      <c r="AE2777" s="188"/>
      <c r="AF2777" s="188"/>
      <c r="AG2777" s="188"/>
      <c r="AH2777" s="188"/>
      <c r="AI2777" s="188"/>
    </row>
    <row r="2778">
      <c r="A2778" s="263"/>
      <c r="B2778" s="264"/>
      <c r="C2778" s="265"/>
      <c r="D2778" s="266"/>
      <c r="E2778" s="263"/>
      <c r="F2778" s="267"/>
      <c r="G2778" s="267"/>
      <c r="H2778" s="268"/>
      <c r="I2778" s="268"/>
      <c r="J2778" s="267"/>
      <c r="K2778" s="265"/>
      <c r="L2778" s="265"/>
      <c r="M2778" s="269"/>
      <c r="N2778" s="270"/>
      <c r="O2778" s="271"/>
      <c r="P2778" s="271"/>
      <c r="Q2778" s="272"/>
      <c r="R2778" s="273"/>
      <c r="S2778" s="273"/>
      <c r="T2778" s="273"/>
      <c r="U2778" s="274"/>
      <c r="V2778" s="263"/>
      <c r="W2778" s="35"/>
      <c r="X2778" s="35"/>
      <c r="Y2778" s="35"/>
      <c r="Z2778" s="35"/>
      <c r="AA2778" s="35"/>
      <c r="AB2778" s="35"/>
      <c r="AC2778" s="35"/>
      <c r="AD2778" s="35"/>
      <c r="AE2778" s="35"/>
      <c r="AF2778" s="35"/>
      <c r="AG2778" s="35"/>
      <c r="AH2778" s="35"/>
      <c r="AI2778" s="35"/>
    </row>
    <row r="2779">
      <c r="A2779" s="263"/>
      <c r="B2779" s="264"/>
      <c r="C2779" s="265"/>
      <c r="D2779" s="266"/>
      <c r="E2779" s="263"/>
      <c r="F2779" s="267"/>
      <c r="G2779" s="267"/>
      <c r="H2779" s="268"/>
      <c r="I2779" s="268"/>
      <c r="J2779" s="267"/>
      <c r="K2779" s="265"/>
      <c r="L2779" s="265"/>
      <c r="M2779" s="269"/>
      <c r="N2779" s="270"/>
      <c r="O2779" s="271"/>
      <c r="P2779" s="271"/>
      <c r="Q2779" s="272"/>
      <c r="R2779" s="273"/>
      <c r="S2779" s="273"/>
      <c r="T2779" s="273"/>
      <c r="U2779" s="274"/>
      <c r="V2779" s="263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</row>
    <row r="2780">
      <c r="A2780" s="263"/>
      <c r="B2780" s="264"/>
      <c r="C2780" s="265"/>
      <c r="D2780" s="266"/>
      <c r="E2780" s="263"/>
      <c r="F2780" s="267"/>
      <c r="G2780" s="267"/>
      <c r="H2780" s="268"/>
      <c r="I2780" s="268"/>
      <c r="J2780" s="267"/>
      <c r="K2780" s="265"/>
      <c r="L2780" s="265"/>
      <c r="M2780" s="269"/>
      <c r="N2780" s="270"/>
      <c r="O2780" s="271"/>
      <c r="P2780" s="271"/>
      <c r="Q2780" s="272"/>
      <c r="R2780" s="273"/>
      <c r="S2780" s="273"/>
      <c r="T2780" s="273"/>
      <c r="U2780" s="274"/>
      <c r="V2780" s="263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</row>
    <row r="2781">
      <c r="A2781" s="263"/>
      <c r="B2781" s="264"/>
      <c r="C2781" s="265"/>
      <c r="D2781" s="266"/>
      <c r="E2781" s="263"/>
      <c r="F2781" s="267"/>
      <c r="G2781" s="267"/>
      <c r="H2781" s="268"/>
      <c r="I2781" s="268"/>
      <c r="J2781" s="267"/>
      <c r="K2781" s="265"/>
      <c r="L2781" s="265"/>
      <c r="M2781" s="269"/>
      <c r="N2781" s="270"/>
      <c r="O2781" s="271"/>
      <c r="P2781" s="271"/>
      <c r="Q2781" s="272"/>
      <c r="R2781" s="273"/>
      <c r="S2781" s="273"/>
      <c r="T2781" s="273"/>
      <c r="U2781" s="274"/>
      <c r="V2781" s="263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</row>
    <row r="2782">
      <c r="A2782" s="263"/>
      <c r="B2782" s="264"/>
      <c r="C2782" s="265"/>
      <c r="D2782" s="266"/>
      <c r="E2782" s="263"/>
      <c r="F2782" s="267"/>
      <c r="G2782" s="267"/>
      <c r="H2782" s="268"/>
      <c r="I2782" s="268"/>
      <c r="J2782" s="267"/>
      <c r="K2782" s="265"/>
      <c r="L2782" s="265"/>
      <c r="M2782" s="269"/>
      <c r="N2782" s="270"/>
      <c r="O2782" s="271"/>
      <c r="P2782" s="271"/>
      <c r="Q2782" s="272"/>
      <c r="R2782" s="273"/>
      <c r="S2782" s="273"/>
      <c r="T2782" s="273"/>
      <c r="U2782" s="274"/>
      <c r="V2782" s="263"/>
      <c r="W2782" s="35"/>
      <c r="X2782" s="35"/>
      <c r="Y2782" s="35"/>
      <c r="Z2782" s="35"/>
      <c r="AA2782" s="35"/>
      <c r="AB2782" s="35"/>
      <c r="AC2782" s="35"/>
      <c r="AD2782" s="35"/>
      <c r="AE2782" s="35"/>
      <c r="AF2782" s="35"/>
      <c r="AG2782" s="35"/>
      <c r="AH2782" s="35"/>
      <c r="AI2782" s="35"/>
    </row>
    <row r="2783">
      <c r="A2783" s="263"/>
      <c r="B2783" s="264"/>
      <c r="C2783" s="265"/>
      <c r="D2783" s="266"/>
      <c r="E2783" s="263"/>
      <c r="F2783" s="267"/>
      <c r="G2783" s="267"/>
      <c r="H2783" s="268"/>
      <c r="I2783" s="268"/>
      <c r="J2783" s="267"/>
      <c r="K2783" s="265"/>
      <c r="L2783" s="265"/>
      <c r="M2783" s="269"/>
      <c r="N2783" s="270"/>
      <c r="O2783" s="271"/>
      <c r="P2783" s="271"/>
      <c r="Q2783" s="272"/>
      <c r="R2783" s="273"/>
      <c r="S2783" s="273"/>
      <c r="T2783" s="273"/>
      <c r="U2783" s="274"/>
      <c r="V2783" s="263"/>
      <c r="W2783" s="188"/>
      <c r="X2783" s="188"/>
      <c r="Y2783" s="188"/>
      <c r="Z2783" s="188"/>
      <c r="AA2783" s="188"/>
      <c r="AB2783" s="188"/>
      <c r="AC2783" s="188"/>
      <c r="AD2783" s="188"/>
      <c r="AE2783" s="188"/>
      <c r="AF2783" s="188"/>
      <c r="AG2783" s="188"/>
      <c r="AH2783" s="188"/>
      <c r="AI2783" s="188"/>
    </row>
    <row r="2784">
      <c r="A2784" s="263"/>
      <c r="B2784" s="264"/>
      <c r="C2784" s="265"/>
      <c r="D2784" s="266"/>
      <c r="E2784" s="263"/>
      <c r="F2784" s="267"/>
      <c r="G2784" s="267"/>
      <c r="H2784" s="268"/>
      <c r="I2784" s="268"/>
      <c r="J2784" s="267"/>
      <c r="K2784" s="265"/>
      <c r="L2784" s="265"/>
      <c r="M2784" s="269"/>
      <c r="N2784" s="270"/>
      <c r="O2784" s="271"/>
      <c r="P2784" s="271"/>
      <c r="Q2784" s="272"/>
      <c r="R2784" s="273"/>
      <c r="S2784" s="273"/>
      <c r="T2784" s="273"/>
      <c r="U2784" s="274"/>
      <c r="V2784" s="263"/>
      <c r="W2784" s="35"/>
      <c r="X2784" s="35"/>
      <c r="Y2784" s="35"/>
      <c r="Z2784" s="35"/>
      <c r="AA2784" s="35"/>
      <c r="AB2784" s="35"/>
      <c r="AC2784" s="35"/>
      <c r="AD2784" s="35"/>
      <c r="AE2784" s="35"/>
      <c r="AF2784" s="35"/>
      <c r="AG2784" s="35"/>
      <c r="AH2784" s="35"/>
      <c r="AI2784" s="35"/>
    </row>
    <row r="2785">
      <c r="A2785" s="263"/>
      <c r="B2785" s="264"/>
      <c r="C2785" s="265"/>
      <c r="D2785" s="266"/>
      <c r="E2785" s="263"/>
      <c r="F2785" s="267"/>
      <c r="G2785" s="267"/>
      <c r="H2785" s="268"/>
      <c r="I2785" s="268"/>
      <c r="J2785" s="267"/>
      <c r="K2785" s="265"/>
      <c r="L2785" s="265"/>
      <c r="M2785" s="269"/>
      <c r="N2785" s="270"/>
      <c r="O2785" s="271"/>
      <c r="P2785" s="271"/>
      <c r="Q2785" s="272"/>
      <c r="R2785" s="273"/>
      <c r="S2785" s="273"/>
      <c r="T2785" s="273"/>
      <c r="U2785" s="274"/>
      <c r="V2785" s="263"/>
      <c r="W2785" s="35"/>
      <c r="X2785" s="35"/>
      <c r="Y2785" s="35"/>
      <c r="Z2785" s="35"/>
      <c r="AA2785" s="35"/>
      <c r="AB2785" s="35"/>
      <c r="AC2785" s="35"/>
      <c r="AD2785" s="35"/>
      <c r="AE2785" s="35"/>
      <c r="AF2785" s="35"/>
      <c r="AG2785" s="35"/>
      <c r="AH2785" s="35"/>
      <c r="AI2785" s="35"/>
    </row>
    <row r="2786">
      <c r="A2786" s="263"/>
      <c r="B2786" s="264"/>
      <c r="C2786" s="265"/>
      <c r="D2786" s="266"/>
      <c r="E2786" s="263"/>
      <c r="F2786" s="267"/>
      <c r="G2786" s="267"/>
      <c r="H2786" s="268"/>
      <c r="I2786" s="268"/>
      <c r="J2786" s="267"/>
      <c r="K2786" s="265"/>
      <c r="L2786" s="265"/>
      <c r="M2786" s="269"/>
      <c r="N2786" s="270"/>
      <c r="O2786" s="271"/>
      <c r="P2786" s="271"/>
      <c r="Q2786" s="272"/>
      <c r="R2786" s="273"/>
      <c r="S2786" s="273"/>
      <c r="T2786" s="273"/>
      <c r="U2786" s="274"/>
      <c r="V2786" s="263"/>
      <c r="W2786" s="35"/>
      <c r="X2786" s="35"/>
      <c r="Y2786" s="35"/>
      <c r="Z2786" s="35"/>
      <c r="AA2786" s="35"/>
      <c r="AB2786" s="35"/>
      <c r="AC2786" s="35"/>
      <c r="AD2786" s="35"/>
      <c r="AE2786" s="35"/>
      <c r="AF2786" s="35"/>
      <c r="AG2786" s="35"/>
      <c r="AH2786" s="35"/>
      <c r="AI2786" s="35"/>
    </row>
    <row r="2787">
      <c r="A2787" s="263"/>
      <c r="B2787" s="264"/>
      <c r="C2787" s="265"/>
      <c r="D2787" s="266"/>
      <c r="E2787" s="263"/>
      <c r="F2787" s="267"/>
      <c r="G2787" s="267"/>
      <c r="H2787" s="268"/>
      <c r="I2787" s="268"/>
      <c r="J2787" s="267"/>
      <c r="K2787" s="265"/>
      <c r="L2787" s="265"/>
      <c r="M2787" s="269"/>
      <c r="N2787" s="270"/>
      <c r="O2787" s="271"/>
      <c r="P2787" s="271"/>
      <c r="Q2787" s="272"/>
      <c r="R2787" s="273"/>
      <c r="S2787" s="273"/>
      <c r="T2787" s="273"/>
      <c r="U2787" s="274"/>
      <c r="V2787" s="263"/>
      <c r="W2787" s="188"/>
      <c r="X2787" s="188"/>
      <c r="Y2787" s="188"/>
      <c r="Z2787" s="188"/>
      <c r="AA2787" s="188"/>
      <c r="AB2787" s="188"/>
      <c r="AC2787" s="188"/>
      <c r="AD2787" s="188"/>
      <c r="AE2787" s="188"/>
      <c r="AF2787" s="188"/>
      <c r="AG2787" s="188"/>
      <c r="AH2787" s="188"/>
      <c r="AI2787" s="188"/>
    </row>
    <row r="2788">
      <c r="A2788" s="263"/>
      <c r="B2788" s="264"/>
      <c r="C2788" s="265"/>
      <c r="D2788" s="266"/>
      <c r="E2788" s="263"/>
      <c r="F2788" s="267"/>
      <c r="G2788" s="267"/>
      <c r="H2788" s="268"/>
      <c r="I2788" s="268"/>
      <c r="J2788" s="267"/>
      <c r="K2788" s="265"/>
      <c r="L2788" s="265"/>
      <c r="M2788" s="269"/>
      <c r="N2788" s="270"/>
      <c r="O2788" s="271"/>
      <c r="P2788" s="271"/>
      <c r="Q2788" s="272"/>
      <c r="R2788" s="273"/>
      <c r="S2788" s="273"/>
      <c r="T2788" s="273"/>
      <c r="U2788" s="274"/>
      <c r="V2788" s="263"/>
      <c r="W2788" s="188"/>
      <c r="X2788" s="188"/>
      <c r="Y2788" s="188"/>
      <c r="Z2788" s="188"/>
      <c r="AA2788" s="188"/>
      <c r="AB2788" s="188"/>
      <c r="AC2788" s="188"/>
      <c r="AD2788" s="188"/>
      <c r="AE2788" s="188"/>
      <c r="AF2788" s="188"/>
      <c r="AG2788" s="188"/>
      <c r="AH2788" s="188"/>
      <c r="AI2788" s="188"/>
    </row>
    <row r="2789">
      <c r="A2789" s="263"/>
      <c r="B2789" s="264"/>
      <c r="C2789" s="265"/>
      <c r="D2789" s="266"/>
      <c r="E2789" s="263"/>
      <c r="F2789" s="267"/>
      <c r="G2789" s="267"/>
      <c r="H2789" s="268"/>
      <c r="I2789" s="268"/>
      <c r="J2789" s="267"/>
      <c r="K2789" s="265"/>
      <c r="L2789" s="265"/>
      <c r="M2789" s="269"/>
      <c r="N2789" s="270"/>
      <c r="O2789" s="271"/>
      <c r="P2789" s="271"/>
      <c r="Q2789" s="272"/>
      <c r="R2789" s="273"/>
      <c r="S2789" s="273"/>
      <c r="T2789" s="273"/>
      <c r="U2789" s="274"/>
      <c r="V2789" s="263"/>
      <c r="W2789" s="188"/>
      <c r="X2789" s="188"/>
      <c r="Y2789" s="188"/>
      <c r="Z2789" s="188"/>
      <c r="AA2789" s="188"/>
      <c r="AB2789" s="188"/>
      <c r="AC2789" s="188"/>
      <c r="AD2789" s="188"/>
      <c r="AE2789" s="188"/>
      <c r="AF2789" s="188"/>
      <c r="AG2789" s="188"/>
      <c r="AH2789" s="188"/>
      <c r="AI2789" s="188"/>
    </row>
    <row r="2790">
      <c r="A2790" s="263"/>
      <c r="B2790" s="264"/>
      <c r="C2790" s="265"/>
      <c r="D2790" s="266"/>
      <c r="E2790" s="263"/>
      <c r="F2790" s="267"/>
      <c r="G2790" s="267"/>
      <c r="H2790" s="268"/>
      <c r="I2790" s="268"/>
      <c r="J2790" s="267"/>
      <c r="K2790" s="265"/>
      <c r="L2790" s="265"/>
      <c r="M2790" s="269"/>
      <c r="N2790" s="270"/>
      <c r="O2790" s="271"/>
      <c r="P2790" s="271"/>
      <c r="Q2790" s="272"/>
      <c r="R2790" s="273"/>
      <c r="S2790" s="273"/>
      <c r="T2790" s="273"/>
      <c r="U2790" s="274"/>
      <c r="V2790" s="263"/>
      <c r="W2790" s="35"/>
      <c r="X2790" s="35"/>
      <c r="Y2790" s="35"/>
      <c r="Z2790" s="35"/>
      <c r="AA2790" s="35"/>
      <c r="AB2790" s="35"/>
      <c r="AC2790" s="35"/>
      <c r="AD2790" s="35"/>
      <c r="AE2790" s="35"/>
      <c r="AF2790" s="35"/>
      <c r="AG2790" s="35"/>
      <c r="AH2790" s="35"/>
      <c r="AI2790" s="35"/>
    </row>
    <row r="2791">
      <c r="A2791" s="263"/>
      <c r="B2791" s="264"/>
      <c r="C2791" s="265"/>
      <c r="D2791" s="266"/>
      <c r="E2791" s="263"/>
      <c r="F2791" s="267"/>
      <c r="G2791" s="267"/>
      <c r="H2791" s="268"/>
      <c r="I2791" s="268"/>
      <c r="J2791" s="267"/>
      <c r="K2791" s="265"/>
      <c r="L2791" s="265"/>
      <c r="M2791" s="269"/>
      <c r="N2791" s="270"/>
      <c r="O2791" s="271"/>
      <c r="P2791" s="271"/>
      <c r="Q2791" s="272"/>
      <c r="R2791" s="273"/>
      <c r="S2791" s="273"/>
      <c r="T2791" s="273"/>
      <c r="U2791" s="274"/>
      <c r="V2791" s="263"/>
      <c r="W2791" s="35"/>
      <c r="X2791" s="35"/>
      <c r="Y2791" s="35"/>
      <c r="Z2791" s="35"/>
      <c r="AA2791" s="35"/>
      <c r="AB2791" s="35"/>
      <c r="AC2791" s="35"/>
      <c r="AD2791" s="35"/>
      <c r="AE2791" s="35"/>
      <c r="AF2791" s="35"/>
      <c r="AG2791" s="35"/>
      <c r="AH2791" s="35"/>
      <c r="AI2791" s="35"/>
    </row>
    <row r="2792">
      <c r="A2792" s="263"/>
      <c r="B2792" s="264"/>
      <c r="C2792" s="265"/>
      <c r="D2792" s="266"/>
      <c r="E2792" s="263"/>
      <c r="F2792" s="267"/>
      <c r="G2792" s="267"/>
      <c r="H2792" s="268"/>
      <c r="I2792" s="268"/>
      <c r="J2792" s="267"/>
      <c r="K2792" s="265"/>
      <c r="L2792" s="265"/>
      <c r="M2792" s="269"/>
      <c r="N2792" s="270"/>
      <c r="O2792" s="271"/>
      <c r="P2792" s="271"/>
      <c r="Q2792" s="272"/>
      <c r="R2792" s="273"/>
      <c r="S2792" s="273"/>
      <c r="T2792" s="273"/>
      <c r="U2792" s="274"/>
      <c r="V2792" s="263"/>
      <c r="W2792" s="36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</row>
    <row r="2793">
      <c r="A2793" s="263"/>
      <c r="B2793" s="264"/>
      <c r="C2793" s="265"/>
      <c r="D2793" s="266"/>
      <c r="E2793" s="263"/>
      <c r="F2793" s="267"/>
      <c r="G2793" s="267"/>
      <c r="H2793" s="268"/>
      <c r="I2793" s="268"/>
      <c r="J2793" s="267"/>
      <c r="K2793" s="265"/>
      <c r="L2793" s="265"/>
      <c r="M2793" s="269"/>
      <c r="N2793" s="270"/>
      <c r="O2793" s="271"/>
      <c r="P2793" s="271"/>
      <c r="Q2793" s="272"/>
      <c r="R2793" s="273"/>
      <c r="S2793" s="273"/>
      <c r="T2793" s="273"/>
      <c r="U2793" s="274"/>
      <c r="V2793" s="263"/>
      <c r="W2793" s="36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</row>
    <row r="2794">
      <c r="A2794" s="263"/>
      <c r="B2794" s="264"/>
      <c r="C2794" s="265"/>
      <c r="D2794" s="266"/>
      <c r="E2794" s="263"/>
      <c r="F2794" s="267"/>
      <c r="G2794" s="267"/>
      <c r="H2794" s="268"/>
      <c r="I2794" s="268"/>
      <c r="J2794" s="267"/>
      <c r="K2794" s="265"/>
      <c r="L2794" s="265"/>
      <c r="M2794" s="269"/>
      <c r="N2794" s="270"/>
      <c r="O2794" s="271"/>
      <c r="P2794" s="271"/>
      <c r="Q2794" s="272"/>
      <c r="R2794" s="273"/>
      <c r="S2794" s="273"/>
      <c r="T2794" s="273"/>
      <c r="U2794" s="274"/>
      <c r="V2794" s="263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</row>
    <row r="2795">
      <c r="A2795" s="263"/>
      <c r="B2795" s="264"/>
      <c r="C2795" s="265"/>
      <c r="D2795" s="266"/>
      <c r="E2795" s="263"/>
      <c r="F2795" s="267"/>
      <c r="G2795" s="267"/>
      <c r="H2795" s="268"/>
      <c r="I2795" s="268"/>
      <c r="J2795" s="267"/>
      <c r="K2795" s="265"/>
      <c r="L2795" s="265"/>
      <c r="M2795" s="269"/>
      <c r="N2795" s="270"/>
      <c r="O2795" s="271"/>
      <c r="P2795" s="271"/>
      <c r="Q2795" s="272"/>
      <c r="R2795" s="273"/>
      <c r="S2795" s="273"/>
      <c r="T2795" s="273"/>
      <c r="U2795" s="274"/>
      <c r="V2795" s="263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</row>
    <row r="2796">
      <c r="A2796" s="263"/>
      <c r="B2796" s="264"/>
      <c r="C2796" s="265"/>
      <c r="D2796" s="266"/>
      <c r="E2796" s="263"/>
      <c r="F2796" s="267"/>
      <c r="G2796" s="267"/>
      <c r="H2796" s="268"/>
      <c r="I2796" s="268"/>
      <c r="J2796" s="267"/>
      <c r="K2796" s="265"/>
      <c r="L2796" s="265"/>
      <c r="M2796" s="269"/>
      <c r="N2796" s="270"/>
      <c r="O2796" s="271"/>
      <c r="P2796" s="271"/>
      <c r="Q2796" s="272"/>
      <c r="R2796" s="273"/>
      <c r="S2796" s="273"/>
      <c r="T2796" s="273"/>
      <c r="U2796" s="274"/>
      <c r="V2796" s="263"/>
      <c r="W2796" s="188"/>
      <c r="X2796" s="188"/>
      <c r="Y2796" s="188"/>
      <c r="Z2796" s="188"/>
      <c r="AA2796" s="188"/>
      <c r="AB2796" s="188"/>
      <c r="AC2796" s="188"/>
      <c r="AD2796" s="188"/>
      <c r="AE2796" s="188"/>
      <c r="AF2796" s="188"/>
      <c r="AG2796" s="188"/>
      <c r="AH2796" s="188"/>
      <c r="AI2796" s="188"/>
    </row>
    <row r="2797">
      <c r="A2797" s="263"/>
      <c r="B2797" s="264"/>
      <c r="C2797" s="265"/>
      <c r="D2797" s="266"/>
      <c r="E2797" s="263"/>
      <c r="F2797" s="267"/>
      <c r="G2797" s="267"/>
      <c r="H2797" s="268"/>
      <c r="I2797" s="268"/>
      <c r="J2797" s="267"/>
      <c r="K2797" s="265"/>
      <c r="L2797" s="265"/>
      <c r="M2797" s="269"/>
      <c r="N2797" s="270"/>
      <c r="O2797" s="271"/>
      <c r="P2797" s="271"/>
      <c r="Q2797" s="272"/>
      <c r="R2797" s="273"/>
      <c r="S2797" s="273"/>
      <c r="T2797" s="273"/>
      <c r="U2797" s="274"/>
      <c r="V2797" s="263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</row>
    <row r="2798">
      <c r="A2798" s="263"/>
      <c r="B2798" s="264"/>
      <c r="C2798" s="265"/>
      <c r="D2798" s="266"/>
      <c r="E2798" s="263"/>
      <c r="F2798" s="267"/>
      <c r="G2798" s="267"/>
      <c r="H2798" s="268"/>
      <c r="I2798" s="268"/>
      <c r="J2798" s="267"/>
      <c r="K2798" s="265"/>
      <c r="L2798" s="265"/>
      <c r="M2798" s="269"/>
      <c r="N2798" s="270"/>
      <c r="O2798" s="271"/>
      <c r="P2798" s="271"/>
      <c r="Q2798" s="272"/>
      <c r="R2798" s="273"/>
      <c r="S2798" s="273"/>
      <c r="T2798" s="273"/>
      <c r="U2798" s="274"/>
      <c r="V2798" s="263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</row>
    <row r="2799">
      <c r="A2799" s="263"/>
      <c r="B2799" s="264"/>
      <c r="C2799" s="265"/>
      <c r="D2799" s="266"/>
      <c r="E2799" s="263"/>
      <c r="F2799" s="267"/>
      <c r="G2799" s="267"/>
      <c r="H2799" s="268"/>
      <c r="I2799" s="268"/>
      <c r="J2799" s="267"/>
      <c r="K2799" s="265"/>
      <c r="L2799" s="265"/>
      <c r="M2799" s="269"/>
      <c r="N2799" s="270"/>
      <c r="O2799" s="271"/>
      <c r="P2799" s="271"/>
      <c r="Q2799" s="272"/>
      <c r="R2799" s="273"/>
      <c r="S2799" s="273"/>
      <c r="T2799" s="273"/>
      <c r="U2799" s="274"/>
      <c r="V2799" s="263"/>
      <c r="W2799" s="188"/>
      <c r="X2799" s="188"/>
      <c r="Y2799" s="188"/>
      <c r="Z2799" s="188"/>
      <c r="AA2799" s="188"/>
      <c r="AB2799" s="188"/>
      <c r="AC2799" s="188"/>
      <c r="AD2799" s="188"/>
      <c r="AE2799" s="188"/>
      <c r="AF2799" s="188"/>
      <c r="AG2799" s="188"/>
      <c r="AH2799" s="188"/>
      <c r="AI2799" s="188"/>
    </row>
    <row r="2800">
      <c r="A2800" s="263"/>
      <c r="B2800" s="264"/>
      <c r="C2800" s="265"/>
      <c r="D2800" s="266"/>
      <c r="E2800" s="263"/>
      <c r="F2800" s="267"/>
      <c r="G2800" s="267"/>
      <c r="H2800" s="268"/>
      <c r="I2800" s="268"/>
      <c r="J2800" s="267"/>
      <c r="K2800" s="265"/>
      <c r="L2800" s="265"/>
      <c r="M2800" s="269"/>
      <c r="N2800" s="270"/>
      <c r="O2800" s="271"/>
      <c r="P2800" s="271"/>
      <c r="Q2800" s="272"/>
      <c r="R2800" s="273"/>
      <c r="S2800" s="273"/>
      <c r="T2800" s="273"/>
      <c r="U2800" s="274"/>
      <c r="V2800" s="263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</row>
    <row r="2801">
      <c r="A2801" s="263"/>
      <c r="B2801" s="264"/>
      <c r="C2801" s="265"/>
      <c r="D2801" s="266"/>
      <c r="E2801" s="263"/>
      <c r="F2801" s="267"/>
      <c r="G2801" s="267"/>
      <c r="H2801" s="268"/>
      <c r="I2801" s="268"/>
      <c r="J2801" s="267"/>
      <c r="K2801" s="265"/>
      <c r="L2801" s="265"/>
      <c r="M2801" s="269"/>
      <c r="N2801" s="270"/>
      <c r="O2801" s="271"/>
      <c r="P2801" s="271"/>
      <c r="Q2801" s="272"/>
      <c r="R2801" s="273"/>
      <c r="S2801" s="273"/>
      <c r="T2801" s="273"/>
      <c r="U2801" s="274"/>
      <c r="V2801" s="263"/>
      <c r="W2801" s="188"/>
      <c r="X2801" s="188"/>
      <c r="Y2801" s="188"/>
      <c r="Z2801" s="188"/>
      <c r="AA2801" s="188"/>
      <c r="AB2801" s="188"/>
      <c r="AC2801" s="188"/>
      <c r="AD2801" s="188"/>
      <c r="AE2801" s="188"/>
      <c r="AF2801" s="188"/>
      <c r="AG2801" s="188"/>
      <c r="AH2801" s="188"/>
      <c r="AI2801" s="188"/>
    </row>
    <row r="2802">
      <c r="A2802" s="263"/>
      <c r="B2802" s="264"/>
      <c r="C2802" s="265"/>
      <c r="D2802" s="266"/>
      <c r="E2802" s="263"/>
      <c r="F2802" s="267"/>
      <c r="G2802" s="267"/>
      <c r="H2802" s="268"/>
      <c r="I2802" s="268"/>
      <c r="J2802" s="267"/>
      <c r="K2802" s="265"/>
      <c r="L2802" s="265"/>
      <c r="M2802" s="269"/>
      <c r="N2802" s="270"/>
      <c r="O2802" s="271"/>
      <c r="P2802" s="271"/>
      <c r="Q2802" s="272"/>
      <c r="R2802" s="273"/>
      <c r="S2802" s="273"/>
      <c r="T2802" s="273"/>
      <c r="U2802" s="274"/>
      <c r="V2802" s="263"/>
      <c r="W2802" s="36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</row>
    <row r="2803">
      <c r="A2803" s="263"/>
      <c r="B2803" s="264"/>
      <c r="C2803" s="265"/>
      <c r="D2803" s="266"/>
      <c r="E2803" s="263"/>
      <c r="F2803" s="267"/>
      <c r="G2803" s="267"/>
      <c r="H2803" s="268"/>
      <c r="I2803" s="268"/>
      <c r="J2803" s="267"/>
      <c r="K2803" s="265"/>
      <c r="L2803" s="265"/>
      <c r="M2803" s="269"/>
      <c r="N2803" s="270"/>
      <c r="O2803" s="271"/>
      <c r="P2803" s="271"/>
      <c r="Q2803" s="272"/>
      <c r="R2803" s="273"/>
      <c r="S2803" s="273"/>
      <c r="T2803" s="273"/>
      <c r="U2803" s="274"/>
      <c r="V2803" s="263"/>
      <c r="W2803" s="188"/>
      <c r="X2803" s="188"/>
      <c r="Y2803" s="188"/>
      <c r="Z2803" s="188"/>
      <c r="AA2803" s="188"/>
      <c r="AB2803" s="188"/>
      <c r="AC2803" s="188"/>
      <c r="AD2803" s="188"/>
      <c r="AE2803" s="188"/>
      <c r="AF2803" s="188"/>
      <c r="AG2803" s="188"/>
      <c r="AH2803" s="188"/>
      <c r="AI2803" s="188"/>
    </row>
    <row r="2804">
      <c r="A2804" s="263"/>
      <c r="B2804" s="264"/>
      <c r="C2804" s="265"/>
      <c r="D2804" s="265"/>
      <c r="E2804" s="264"/>
      <c r="F2804" s="265"/>
      <c r="G2804" s="267"/>
      <c r="H2804" s="268"/>
      <c r="I2804" s="268"/>
      <c r="J2804" s="267"/>
      <c r="K2804" s="265"/>
      <c r="L2804" s="265"/>
      <c r="M2804" s="269"/>
      <c r="N2804" s="270"/>
      <c r="O2804" s="271"/>
      <c r="P2804" s="271"/>
      <c r="Q2804" s="272"/>
      <c r="R2804" s="273"/>
      <c r="S2804" s="273"/>
      <c r="T2804" s="273"/>
      <c r="U2804" s="274"/>
      <c r="V2804" s="263"/>
      <c r="W2804" s="188"/>
      <c r="X2804" s="188"/>
      <c r="Y2804" s="188"/>
      <c r="Z2804" s="188"/>
      <c r="AA2804" s="188"/>
      <c r="AB2804" s="188"/>
      <c r="AC2804" s="188"/>
      <c r="AD2804" s="188"/>
      <c r="AE2804" s="188"/>
      <c r="AF2804" s="188"/>
      <c r="AG2804" s="188"/>
      <c r="AH2804" s="188"/>
      <c r="AI2804" s="188"/>
    </row>
    <row r="2805">
      <c r="A2805" s="263"/>
      <c r="B2805" s="264"/>
      <c r="C2805" s="265"/>
      <c r="D2805" s="265"/>
      <c r="E2805" s="264"/>
      <c r="F2805" s="265"/>
      <c r="G2805" s="267"/>
      <c r="H2805" s="268"/>
      <c r="I2805" s="268"/>
      <c r="J2805" s="267"/>
      <c r="K2805" s="265"/>
      <c r="L2805" s="265"/>
      <c r="M2805" s="269"/>
      <c r="N2805" s="270"/>
      <c r="O2805" s="271"/>
      <c r="P2805" s="271"/>
      <c r="Q2805" s="272"/>
      <c r="R2805" s="273"/>
      <c r="S2805" s="273"/>
      <c r="T2805" s="273"/>
      <c r="U2805" s="274"/>
      <c r="V2805" s="263"/>
      <c r="W2805" s="188"/>
      <c r="X2805" s="188"/>
      <c r="Y2805" s="188"/>
      <c r="Z2805" s="188"/>
      <c r="AA2805" s="188"/>
      <c r="AB2805" s="188"/>
      <c r="AC2805" s="188"/>
      <c r="AD2805" s="188"/>
      <c r="AE2805" s="188"/>
      <c r="AF2805" s="188"/>
      <c r="AG2805" s="188"/>
      <c r="AH2805" s="188"/>
      <c r="AI2805" s="188"/>
    </row>
    <row r="2806">
      <c r="A2806" s="263"/>
      <c r="B2806" s="264"/>
      <c r="C2806" s="265"/>
      <c r="D2806" s="265"/>
      <c r="E2806" s="264"/>
      <c r="F2806" s="265"/>
      <c r="G2806" s="267"/>
      <c r="H2806" s="268"/>
      <c r="I2806" s="268"/>
      <c r="J2806" s="267"/>
      <c r="K2806" s="265"/>
      <c r="L2806" s="265"/>
      <c r="M2806" s="269"/>
      <c r="N2806" s="270"/>
      <c r="O2806" s="271"/>
      <c r="P2806" s="271"/>
      <c r="Q2806" s="272"/>
      <c r="R2806" s="273"/>
      <c r="S2806" s="273"/>
      <c r="T2806" s="273"/>
      <c r="U2806" s="274"/>
      <c r="V2806" s="263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</row>
    <row r="2807">
      <c r="A2807" s="263"/>
      <c r="B2807" s="264"/>
      <c r="C2807" s="265"/>
      <c r="D2807" s="265"/>
      <c r="E2807" s="264"/>
      <c r="F2807" s="265"/>
      <c r="G2807" s="267"/>
      <c r="H2807" s="268"/>
      <c r="I2807" s="268"/>
      <c r="J2807" s="267"/>
      <c r="K2807" s="265"/>
      <c r="L2807" s="265"/>
      <c r="M2807" s="269"/>
      <c r="N2807" s="270"/>
      <c r="O2807" s="271"/>
      <c r="P2807" s="271"/>
      <c r="Q2807" s="272"/>
      <c r="R2807" s="273"/>
      <c r="S2807" s="273"/>
      <c r="T2807" s="273"/>
      <c r="U2807" s="274"/>
      <c r="V2807" s="263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</row>
    <row r="2808">
      <c r="A2808" s="263"/>
      <c r="B2808" s="264"/>
      <c r="C2808" s="265"/>
      <c r="D2808" s="265"/>
      <c r="E2808" s="264"/>
      <c r="F2808" s="265"/>
      <c r="G2808" s="267"/>
      <c r="H2808" s="268"/>
      <c r="I2808" s="268"/>
      <c r="J2808" s="267"/>
      <c r="K2808" s="265"/>
      <c r="L2808" s="265"/>
      <c r="M2808" s="269"/>
      <c r="N2808" s="270"/>
      <c r="O2808" s="271"/>
      <c r="P2808" s="271"/>
      <c r="Q2808" s="272"/>
      <c r="R2808" s="273"/>
      <c r="S2808" s="273"/>
      <c r="T2808" s="273"/>
      <c r="U2808" s="274"/>
      <c r="V2808" s="263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</row>
    <row r="2809">
      <c r="A2809" s="263"/>
      <c r="B2809" s="264"/>
      <c r="C2809" s="265"/>
      <c r="D2809" s="265"/>
      <c r="E2809" s="264"/>
      <c r="F2809" s="265"/>
      <c r="G2809" s="267"/>
      <c r="H2809" s="268"/>
      <c r="I2809" s="268"/>
      <c r="J2809" s="267"/>
      <c r="K2809" s="265"/>
      <c r="L2809" s="265"/>
      <c r="M2809" s="269"/>
      <c r="N2809" s="270"/>
      <c r="O2809" s="271"/>
      <c r="P2809" s="271"/>
      <c r="Q2809" s="272"/>
      <c r="R2809" s="273"/>
      <c r="S2809" s="273"/>
      <c r="T2809" s="273"/>
      <c r="U2809" s="274"/>
      <c r="V2809" s="263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</row>
    <row r="2810">
      <c r="A2810" s="263"/>
      <c r="B2810" s="264"/>
      <c r="C2810" s="265"/>
      <c r="D2810" s="265"/>
      <c r="E2810" s="264"/>
      <c r="F2810" s="265"/>
      <c r="G2810" s="267"/>
      <c r="H2810" s="268"/>
      <c r="I2810" s="268"/>
      <c r="J2810" s="267"/>
      <c r="K2810" s="265"/>
      <c r="L2810" s="265"/>
      <c r="M2810" s="269"/>
      <c r="N2810" s="270"/>
      <c r="O2810" s="271"/>
      <c r="P2810" s="271"/>
      <c r="Q2810" s="272"/>
      <c r="R2810" s="273"/>
      <c r="S2810" s="273"/>
      <c r="T2810" s="273"/>
      <c r="U2810" s="274"/>
      <c r="V2810" s="263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</row>
    <row r="2811">
      <c r="A2811" s="263"/>
      <c r="B2811" s="264"/>
      <c r="C2811" s="265"/>
      <c r="D2811" s="265"/>
      <c r="E2811" s="264"/>
      <c r="F2811" s="265"/>
      <c r="G2811" s="267"/>
      <c r="H2811" s="268"/>
      <c r="I2811" s="268"/>
      <c r="J2811" s="267"/>
      <c r="K2811" s="265"/>
      <c r="L2811" s="265"/>
      <c r="M2811" s="269"/>
      <c r="N2811" s="270"/>
      <c r="O2811" s="271"/>
      <c r="P2811" s="271"/>
      <c r="Q2811" s="272"/>
      <c r="R2811" s="273"/>
      <c r="S2811" s="273"/>
      <c r="T2811" s="273"/>
      <c r="U2811" s="274"/>
      <c r="V2811" s="263"/>
      <c r="W2811" s="188"/>
      <c r="X2811" s="188"/>
      <c r="Y2811" s="188"/>
      <c r="Z2811" s="188"/>
      <c r="AA2811" s="188"/>
      <c r="AB2811" s="188"/>
      <c r="AC2811" s="188"/>
      <c r="AD2811" s="188"/>
      <c r="AE2811" s="188"/>
      <c r="AF2811" s="188"/>
      <c r="AG2811" s="188"/>
      <c r="AH2811" s="188"/>
      <c r="AI2811" s="188"/>
    </row>
    <row r="2812">
      <c r="A2812" s="263"/>
      <c r="B2812" s="264"/>
      <c r="C2812" s="265"/>
      <c r="D2812" s="265"/>
      <c r="E2812" s="264"/>
      <c r="F2812" s="265"/>
      <c r="G2812" s="267"/>
      <c r="H2812" s="268"/>
      <c r="I2812" s="268"/>
      <c r="J2812" s="267"/>
      <c r="K2812" s="265"/>
      <c r="L2812" s="265"/>
      <c r="M2812" s="269"/>
      <c r="N2812" s="270"/>
      <c r="O2812" s="271"/>
      <c r="P2812" s="271"/>
      <c r="Q2812" s="272"/>
      <c r="R2812" s="273"/>
      <c r="S2812" s="273"/>
      <c r="T2812" s="273"/>
      <c r="U2812" s="274"/>
      <c r="V2812" s="263"/>
      <c r="W2812" s="188"/>
      <c r="X2812" s="188"/>
      <c r="Y2812" s="188"/>
      <c r="Z2812" s="188"/>
      <c r="AA2812" s="188"/>
      <c r="AB2812" s="188"/>
      <c r="AC2812" s="188"/>
      <c r="AD2812" s="188"/>
      <c r="AE2812" s="188"/>
      <c r="AF2812" s="188"/>
      <c r="AG2812" s="188"/>
      <c r="AH2812" s="188"/>
      <c r="AI2812" s="188"/>
    </row>
    <row r="2813">
      <c r="A2813" s="263"/>
      <c r="B2813" s="264"/>
      <c r="C2813" s="265"/>
      <c r="D2813" s="265"/>
      <c r="E2813" s="264"/>
      <c r="F2813" s="265"/>
      <c r="G2813" s="267"/>
      <c r="H2813" s="268"/>
      <c r="I2813" s="268"/>
      <c r="J2813" s="267"/>
      <c r="K2813" s="265"/>
      <c r="L2813" s="265"/>
      <c r="M2813" s="269"/>
      <c r="N2813" s="270"/>
      <c r="O2813" s="271"/>
      <c r="P2813" s="271"/>
      <c r="Q2813" s="272"/>
      <c r="R2813" s="273"/>
      <c r="S2813" s="273"/>
      <c r="T2813" s="273"/>
      <c r="U2813" s="274"/>
      <c r="V2813" s="263"/>
      <c r="W2813" s="188"/>
      <c r="X2813" s="188"/>
      <c r="Y2813" s="188"/>
      <c r="Z2813" s="188"/>
      <c r="AA2813" s="188"/>
      <c r="AB2813" s="188"/>
      <c r="AC2813" s="188"/>
      <c r="AD2813" s="188"/>
      <c r="AE2813" s="188"/>
      <c r="AF2813" s="188"/>
      <c r="AG2813" s="188"/>
      <c r="AH2813" s="188"/>
      <c r="AI2813" s="188"/>
    </row>
    <row r="2814">
      <c r="A2814" s="263"/>
      <c r="B2814" s="264"/>
      <c r="C2814" s="265"/>
      <c r="D2814" s="265"/>
      <c r="E2814" s="264"/>
      <c r="F2814" s="265"/>
      <c r="G2814" s="267"/>
      <c r="H2814" s="268"/>
      <c r="I2814" s="268"/>
      <c r="J2814" s="267"/>
      <c r="K2814" s="265"/>
      <c r="L2814" s="265"/>
      <c r="M2814" s="269"/>
      <c r="N2814" s="270"/>
      <c r="O2814" s="271"/>
      <c r="P2814" s="271"/>
      <c r="Q2814" s="272"/>
      <c r="R2814" s="273"/>
      <c r="S2814" s="273"/>
      <c r="T2814" s="273"/>
      <c r="U2814" s="274"/>
      <c r="V2814" s="263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</row>
    <row r="2815">
      <c r="A2815" s="263"/>
      <c r="B2815" s="264"/>
      <c r="C2815" s="265"/>
      <c r="D2815" s="265"/>
      <c r="E2815" s="264"/>
      <c r="F2815" s="265"/>
      <c r="G2815" s="267"/>
      <c r="H2815" s="268"/>
      <c r="I2815" s="268"/>
      <c r="J2815" s="267"/>
      <c r="K2815" s="265"/>
      <c r="L2815" s="265"/>
      <c r="M2815" s="269"/>
      <c r="N2815" s="270"/>
      <c r="O2815" s="271"/>
      <c r="P2815" s="271"/>
      <c r="Q2815" s="272"/>
      <c r="R2815" s="273"/>
      <c r="S2815" s="273"/>
      <c r="T2815" s="273"/>
      <c r="U2815" s="274"/>
      <c r="V2815" s="263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</row>
    <row r="2816">
      <c r="A2816" s="263"/>
      <c r="B2816" s="264"/>
      <c r="C2816" s="265"/>
      <c r="D2816" s="265"/>
      <c r="E2816" s="264"/>
      <c r="F2816" s="265"/>
      <c r="G2816" s="267"/>
      <c r="H2816" s="268"/>
      <c r="I2816" s="268"/>
      <c r="J2816" s="267"/>
      <c r="K2816" s="265"/>
      <c r="L2816" s="265"/>
      <c r="M2816" s="269"/>
      <c r="N2816" s="270"/>
      <c r="O2816" s="271"/>
      <c r="P2816" s="271"/>
      <c r="Q2816" s="272"/>
      <c r="R2816" s="273"/>
      <c r="S2816" s="273"/>
      <c r="T2816" s="273"/>
      <c r="U2816" s="274"/>
      <c r="V2816" s="263"/>
      <c r="W2816" s="35"/>
      <c r="X2816" s="35"/>
      <c r="Y2816" s="35"/>
      <c r="Z2816" s="35"/>
      <c r="AA2816" s="35"/>
      <c r="AB2816" s="35"/>
      <c r="AC2816" s="35"/>
      <c r="AD2816" s="35"/>
      <c r="AE2816" s="35"/>
      <c r="AF2816" s="35"/>
      <c r="AG2816" s="35"/>
      <c r="AH2816" s="35"/>
      <c r="AI2816" s="35"/>
    </row>
    <row r="2817">
      <c r="A2817" s="263"/>
      <c r="B2817" s="264"/>
      <c r="C2817" s="265"/>
      <c r="D2817" s="265"/>
      <c r="E2817" s="264"/>
      <c r="F2817" s="265"/>
      <c r="G2817" s="267"/>
      <c r="H2817" s="268"/>
      <c r="I2817" s="268"/>
      <c r="J2817" s="267"/>
      <c r="K2817" s="265"/>
      <c r="L2817" s="265"/>
      <c r="M2817" s="269"/>
      <c r="N2817" s="270"/>
      <c r="O2817" s="271"/>
      <c r="P2817" s="271"/>
      <c r="Q2817" s="272"/>
      <c r="R2817" s="273"/>
      <c r="S2817" s="273"/>
      <c r="T2817" s="273"/>
      <c r="U2817" s="274"/>
      <c r="V2817" s="263"/>
      <c r="W2817" s="35"/>
      <c r="X2817" s="35"/>
      <c r="Y2817" s="35"/>
      <c r="Z2817" s="35"/>
      <c r="AA2817" s="35"/>
      <c r="AB2817" s="35"/>
      <c r="AC2817" s="35"/>
      <c r="AD2817" s="35"/>
      <c r="AE2817" s="35"/>
      <c r="AF2817" s="35"/>
      <c r="AG2817" s="35"/>
      <c r="AH2817" s="35"/>
      <c r="AI2817" s="35"/>
    </row>
    <row r="2818">
      <c r="A2818" s="263"/>
      <c r="B2818" s="264"/>
      <c r="C2818" s="265"/>
      <c r="D2818" s="265"/>
      <c r="E2818" s="264"/>
      <c r="F2818" s="265"/>
      <c r="G2818" s="267"/>
      <c r="H2818" s="268"/>
      <c r="I2818" s="268"/>
      <c r="J2818" s="267"/>
      <c r="K2818" s="265"/>
      <c r="L2818" s="265"/>
      <c r="M2818" s="269"/>
      <c r="N2818" s="270"/>
      <c r="O2818" s="271"/>
      <c r="P2818" s="271"/>
      <c r="Q2818" s="272"/>
      <c r="R2818" s="273"/>
      <c r="S2818" s="273"/>
      <c r="T2818" s="273"/>
      <c r="U2818" s="274"/>
      <c r="V2818" s="263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</row>
    <row r="2819">
      <c r="A2819" s="263"/>
      <c r="B2819" s="264"/>
      <c r="C2819" s="265"/>
      <c r="D2819" s="265"/>
      <c r="E2819" s="264"/>
      <c r="F2819" s="265"/>
      <c r="G2819" s="267"/>
      <c r="H2819" s="268"/>
      <c r="I2819" s="268"/>
      <c r="J2819" s="267"/>
      <c r="K2819" s="265"/>
      <c r="L2819" s="265"/>
      <c r="M2819" s="269"/>
      <c r="N2819" s="270"/>
      <c r="O2819" s="271"/>
      <c r="P2819" s="271"/>
      <c r="Q2819" s="272"/>
      <c r="R2819" s="273"/>
      <c r="S2819" s="273"/>
      <c r="T2819" s="273"/>
      <c r="U2819" s="274"/>
      <c r="V2819" s="263"/>
      <c r="W2819" s="35"/>
      <c r="X2819" s="35"/>
      <c r="Y2819" s="35"/>
      <c r="Z2819" s="35"/>
      <c r="AA2819" s="35"/>
      <c r="AB2819" s="35"/>
      <c r="AC2819" s="35"/>
      <c r="AD2819" s="35"/>
      <c r="AE2819" s="35"/>
      <c r="AF2819" s="35"/>
      <c r="AG2819" s="35"/>
      <c r="AH2819" s="35"/>
      <c r="AI2819" s="35"/>
    </row>
    <row r="2820">
      <c r="A2820" s="263"/>
      <c r="B2820" s="264"/>
      <c r="C2820" s="265"/>
      <c r="D2820" s="265"/>
      <c r="E2820" s="264"/>
      <c r="F2820" s="265"/>
      <c r="G2820" s="267"/>
      <c r="H2820" s="268"/>
      <c r="I2820" s="268"/>
      <c r="J2820" s="267"/>
      <c r="K2820" s="265"/>
      <c r="L2820" s="265"/>
      <c r="M2820" s="269"/>
      <c r="N2820" s="270"/>
      <c r="O2820" s="271"/>
      <c r="P2820" s="271"/>
      <c r="Q2820" s="272"/>
      <c r="R2820" s="273"/>
      <c r="S2820" s="273"/>
      <c r="T2820" s="273"/>
      <c r="U2820" s="274"/>
      <c r="V2820" s="263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</row>
    <row r="2821">
      <c r="A2821" s="263"/>
      <c r="B2821" s="264"/>
      <c r="C2821" s="265"/>
      <c r="D2821" s="265"/>
      <c r="E2821" s="264"/>
      <c r="F2821" s="265"/>
      <c r="G2821" s="267"/>
      <c r="H2821" s="268"/>
      <c r="I2821" s="268"/>
      <c r="J2821" s="267"/>
      <c r="K2821" s="265"/>
      <c r="L2821" s="265"/>
      <c r="M2821" s="269"/>
      <c r="N2821" s="270"/>
      <c r="O2821" s="271"/>
      <c r="P2821" s="271"/>
      <c r="Q2821" s="272"/>
      <c r="R2821" s="273"/>
      <c r="S2821" s="273"/>
      <c r="T2821" s="273"/>
      <c r="U2821" s="274"/>
      <c r="V2821" s="263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</row>
    <row r="2822">
      <c r="A2822" s="263"/>
      <c r="B2822" s="264"/>
      <c r="C2822" s="265"/>
      <c r="D2822" s="265"/>
      <c r="E2822" s="264"/>
      <c r="F2822" s="265"/>
      <c r="G2822" s="267"/>
      <c r="H2822" s="268"/>
      <c r="I2822" s="268"/>
      <c r="J2822" s="267"/>
      <c r="K2822" s="265"/>
      <c r="L2822" s="265"/>
      <c r="M2822" s="269"/>
      <c r="N2822" s="270"/>
      <c r="O2822" s="271"/>
      <c r="P2822" s="271"/>
      <c r="Q2822" s="272"/>
      <c r="R2822" s="273"/>
      <c r="S2822" s="273"/>
      <c r="T2822" s="273"/>
      <c r="U2822" s="274"/>
      <c r="V2822" s="263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</row>
    <row r="2823">
      <c r="A2823" s="263"/>
      <c r="B2823" s="264"/>
      <c r="C2823" s="265"/>
      <c r="D2823" s="265"/>
      <c r="E2823" s="264"/>
      <c r="F2823" s="265"/>
      <c r="G2823" s="267"/>
      <c r="H2823" s="268"/>
      <c r="I2823" s="268"/>
      <c r="J2823" s="267"/>
      <c r="K2823" s="265"/>
      <c r="L2823" s="265"/>
      <c r="M2823" s="269"/>
      <c r="N2823" s="270"/>
      <c r="O2823" s="271"/>
      <c r="P2823" s="271"/>
      <c r="Q2823" s="272"/>
      <c r="R2823" s="273"/>
      <c r="S2823" s="273"/>
      <c r="T2823" s="273"/>
      <c r="U2823" s="274"/>
      <c r="V2823" s="263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</row>
    <row r="2824">
      <c r="A2824" s="263"/>
      <c r="B2824" s="264"/>
      <c r="C2824" s="265"/>
      <c r="D2824" s="265"/>
      <c r="E2824" s="264"/>
      <c r="F2824" s="265"/>
      <c r="G2824" s="267"/>
      <c r="H2824" s="268"/>
      <c r="I2824" s="268"/>
      <c r="J2824" s="267"/>
      <c r="K2824" s="265"/>
      <c r="L2824" s="265"/>
      <c r="M2824" s="269"/>
      <c r="N2824" s="270"/>
      <c r="O2824" s="271"/>
      <c r="P2824" s="271"/>
      <c r="Q2824" s="272"/>
      <c r="R2824" s="273"/>
      <c r="S2824" s="273"/>
      <c r="T2824" s="273"/>
      <c r="U2824" s="274"/>
      <c r="V2824" s="263"/>
      <c r="W2824" s="35"/>
      <c r="X2824" s="35"/>
      <c r="Y2824" s="35"/>
      <c r="Z2824" s="35"/>
      <c r="AA2824" s="35"/>
      <c r="AB2824" s="35"/>
      <c r="AC2824" s="35"/>
      <c r="AD2824" s="35"/>
      <c r="AE2824" s="35"/>
      <c r="AF2824" s="35"/>
      <c r="AG2824" s="35"/>
      <c r="AH2824" s="35"/>
      <c r="AI2824" s="35"/>
    </row>
    <row r="2825">
      <c r="A2825" s="263"/>
      <c r="B2825" s="264"/>
      <c r="C2825" s="265"/>
      <c r="D2825" s="265"/>
      <c r="E2825" s="264"/>
      <c r="F2825" s="265"/>
      <c r="G2825" s="267"/>
      <c r="H2825" s="268"/>
      <c r="I2825" s="268"/>
      <c r="J2825" s="267"/>
      <c r="K2825" s="265"/>
      <c r="L2825" s="265"/>
      <c r="M2825" s="269"/>
      <c r="N2825" s="270"/>
      <c r="O2825" s="271"/>
      <c r="P2825" s="271"/>
      <c r="Q2825" s="272"/>
      <c r="R2825" s="273"/>
      <c r="S2825" s="273"/>
      <c r="T2825" s="273"/>
      <c r="U2825" s="274"/>
      <c r="V2825" s="263"/>
      <c r="W2825" s="188"/>
      <c r="X2825" s="188"/>
      <c r="Y2825" s="188"/>
      <c r="Z2825" s="188"/>
      <c r="AA2825" s="188"/>
      <c r="AB2825" s="188"/>
      <c r="AC2825" s="188"/>
      <c r="AD2825" s="188"/>
      <c r="AE2825" s="188"/>
      <c r="AF2825" s="188"/>
      <c r="AG2825" s="188"/>
      <c r="AH2825" s="188"/>
      <c r="AI2825" s="188"/>
    </row>
    <row r="2826">
      <c r="A2826" s="263"/>
      <c r="B2826" s="264"/>
      <c r="C2826" s="265"/>
      <c r="D2826" s="265"/>
      <c r="E2826" s="264"/>
      <c r="F2826" s="265"/>
      <c r="G2826" s="267"/>
      <c r="H2826" s="268"/>
      <c r="I2826" s="268"/>
      <c r="J2826" s="267"/>
      <c r="K2826" s="265"/>
      <c r="L2826" s="265"/>
      <c r="M2826" s="269"/>
      <c r="N2826" s="270"/>
      <c r="O2826" s="271"/>
      <c r="P2826" s="271"/>
      <c r="Q2826" s="272"/>
      <c r="R2826" s="273"/>
      <c r="S2826" s="273"/>
      <c r="T2826" s="273"/>
      <c r="U2826" s="274"/>
      <c r="V2826" s="263"/>
      <c r="W2826" s="35"/>
      <c r="X2826" s="35"/>
      <c r="Y2826" s="35"/>
      <c r="Z2826" s="35"/>
      <c r="AA2826" s="35"/>
      <c r="AB2826" s="35"/>
      <c r="AC2826" s="35"/>
      <c r="AD2826" s="35"/>
      <c r="AE2826" s="35"/>
      <c r="AF2826" s="35"/>
      <c r="AG2826" s="35"/>
      <c r="AH2826" s="35"/>
      <c r="AI2826" s="35"/>
    </row>
    <row r="2827">
      <c r="A2827" s="263"/>
      <c r="B2827" s="264"/>
      <c r="C2827" s="265"/>
      <c r="D2827" s="265"/>
      <c r="E2827" s="264"/>
      <c r="F2827" s="265"/>
      <c r="G2827" s="267"/>
      <c r="H2827" s="268"/>
      <c r="I2827" s="268"/>
      <c r="J2827" s="267"/>
      <c r="K2827" s="265"/>
      <c r="L2827" s="265"/>
      <c r="M2827" s="269"/>
      <c r="N2827" s="270"/>
      <c r="O2827" s="271"/>
      <c r="P2827" s="271"/>
      <c r="Q2827" s="272"/>
      <c r="R2827" s="273"/>
      <c r="S2827" s="273"/>
      <c r="T2827" s="273"/>
      <c r="U2827" s="274"/>
      <c r="V2827" s="263"/>
      <c r="W2827" s="188"/>
      <c r="X2827" s="188"/>
      <c r="Y2827" s="188"/>
      <c r="Z2827" s="188"/>
      <c r="AA2827" s="188"/>
      <c r="AB2827" s="188"/>
      <c r="AC2827" s="188"/>
      <c r="AD2827" s="188"/>
      <c r="AE2827" s="188"/>
      <c r="AF2827" s="188"/>
      <c r="AG2827" s="188"/>
      <c r="AH2827" s="188"/>
      <c r="AI2827" s="188"/>
    </row>
    <row r="2828">
      <c r="A2828" s="263"/>
      <c r="B2828" s="264"/>
      <c r="C2828" s="265"/>
      <c r="D2828" s="265"/>
      <c r="E2828" s="264"/>
      <c r="F2828" s="265"/>
      <c r="G2828" s="267"/>
      <c r="H2828" s="268"/>
      <c r="I2828" s="268"/>
      <c r="J2828" s="267"/>
      <c r="K2828" s="265"/>
      <c r="L2828" s="265"/>
      <c r="M2828" s="269"/>
      <c r="N2828" s="270"/>
      <c r="O2828" s="271"/>
      <c r="P2828" s="271"/>
      <c r="Q2828" s="272"/>
      <c r="R2828" s="273"/>
      <c r="S2828" s="273"/>
      <c r="T2828" s="273"/>
      <c r="U2828" s="274"/>
      <c r="V2828" s="263"/>
      <c r="W2828" s="188"/>
      <c r="X2828" s="188"/>
      <c r="Y2828" s="188"/>
      <c r="Z2828" s="188"/>
      <c r="AA2828" s="188"/>
      <c r="AB2828" s="188"/>
      <c r="AC2828" s="188"/>
      <c r="AD2828" s="188"/>
      <c r="AE2828" s="188"/>
      <c r="AF2828" s="188"/>
      <c r="AG2828" s="188"/>
      <c r="AH2828" s="188"/>
      <c r="AI2828" s="188"/>
    </row>
    <row r="2829">
      <c r="A2829" s="263"/>
      <c r="B2829" s="264"/>
      <c r="C2829" s="265"/>
      <c r="D2829" s="265"/>
      <c r="E2829" s="264"/>
      <c r="F2829" s="265"/>
      <c r="G2829" s="267"/>
      <c r="H2829" s="268"/>
      <c r="I2829" s="268"/>
      <c r="J2829" s="267"/>
      <c r="K2829" s="265"/>
      <c r="L2829" s="265"/>
      <c r="M2829" s="269"/>
      <c r="N2829" s="270"/>
      <c r="O2829" s="271"/>
      <c r="P2829" s="271"/>
      <c r="Q2829" s="272"/>
      <c r="R2829" s="273"/>
      <c r="S2829" s="273"/>
      <c r="T2829" s="273"/>
      <c r="U2829" s="274"/>
      <c r="V2829" s="263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</row>
    <row r="2830">
      <c r="A2830" s="263"/>
      <c r="B2830" s="264"/>
      <c r="C2830" s="265"/>
      <c r="D2830" s="265"/>
      <c r="E2830" s="264"/>
      <c r="F2830" s="265"/>
      <c r="G2830" s="267"/>
      <c r="H2830" s="268"/>
      <c r="I2830" s="268"/>
      <c r="J2830" s="267"/>
      <c r="K2830" s="265"/>
      <c r="L2830" s="265"/>
      <c r="M2830" s="269"/>
      <c r="N2830" s="270"/>
      <c r="O2830" s="271"/>
      <c r="P2830" s="271"/>
      <c r="Q2830" s="272"/>
      <c r="R2830" s="273"/>
      <c r="S2830" s="273"/>
      <c r="T2830" s="273"/>
      <c r="U2830" s="274"/>
      <c r="V2830" s="263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</row>
    <row r="2831">
      <c r="A2831" s="263"/>
      <c r="B2831" s="264"/>
      <c r="C2831" s="265"/>
      <c r="D2831" s="265"/>
      <c r="E2831" s="264"/>
      <c r="F2831" s="265"/>
      <c r="G2831" s="267"/>
      <c r="H2831" s="268"/>
      <c r="I2831" s="268"/>
      <c r="J2831" s="267"/>
      <c r="K2831" s="265"/>
      <c r="L2831" s="265"/>
      <c r="M2831" s="269"/>
      <c r="N2831" s="270"/>
      <c r="O2831" s="271"/>
      <c r="P2831" s="271"/>
      <c r="Q2831" s="272"/>
      <c r="R2831" s="273"/>
      <c r="S2831" s="273"/>
      <c r="T2831" s="273"/>
      <c r="U2831" s="274"/>
      <c r="V2831" s="263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</row>
    <row r="2832">
      <c r="A2832" s="263"/>
      <c r="B2832" s="264"/>
      <c r="C2832" s="265"/>
      <c r="D2832" s="265"/>
      <c r="E2832" s="264"/>
      <c r="F2832" s="265"/>
      <c r="G2832" s="267"/>
      <c r="H2832" s="268"/>
      <c r="I2832" s="268"/>
      <c r="J2832" s="267"/>
      <c r="K2832" s="265"/>
      <c r="L2832" s="265"/>
      <c r="M2832" s="269"/>
      <c r="N2832" s="270"/>
      <c r="O2832" s="271"/>
      <c r="P2832" s="271"/>
      <c r="Q2832" s="272"/>
      <c r="R2832" s="273"/>
      <c r="S2832" s="273"/>
      <c r="T2832" s="273"/>
      <c r="U2832" s="274"/>
      <c r="V2832" s="263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</row>
    <row r="2833">
      <c r="A2833" s="263"/>
      <c r="B2833" s="264"/>
      <c r="C2833" s="265"/>
      <c r="D2833" s="265"/>
      <c r="E2833" s="264"/>
      <c r="F2833" s="265"/>
      <c r="G2833" s="267"/>
      <c r="H2833" s="268"/>
      <c r="I2833" s="268"/>
      <c r="J2833" s="267"/>
      <c r="K2833" s="265"/>
      <c r="L2833" s="265"/>
      <c r="M2833" s="269"/>
      <c r="N2833" s="270"/>
      <c r="O2833" s="271"/>
      <c r="P2833" s="271"/>
      <c r="Q2833" s="272"/>
      <c r="R2833" s="273"/>
      <c r="S2833" s="273"/>
      <c r="T2833" s="273"/>
      <c r="U2833" s="274"/>
      <c r="V2833" s="263"/>
      <c r="W2833" s="188"/>
      <c r="X2833" s="188"/>
      <c r="Y2833" s="188"/>
      <c r="Z2833" s="188"/>
      <c r="AA2833" s="188"/>
      <c r="AB2833" s="188"/>
      <c r="AC2833" s="188"/>
      <c r="AD2833" s="188"/>
      <c r="AE2833" s="188"/>
      <c r="AF2833" s="188"/>
      <c r="AG2833" s="188"/>
      <c r="AH2833" s="188"/>
      <c r="AI2833" s="188"/>
    </row>
    <row r="2834">
      <c r="A2834" s="263"/>
      <c r="B2834" s="264"/>
      <c r="C2834" s="265"/>
      <c r="D2834" s="265"/>
      <c r="E2834" s="264"/>
      <c r="F2834" s="265"/>
      <c r="G2834" s="267"/>
      <c r="H2834" s="268"/>
      <c r="I2834" s="268"/>
      <c r="J2834" s="267"/>
      <c r="K2834" s="265"/>
      <c r="L2834" s="265"/>
      <c r="M2834" s="269"/>
      <c r="N2834" s="270"/>
      <c r="O2834" s="271"/>
      <c r="P2834" s="271"/>
      <c r="Q2834" s="272"/>
      <c r="R2834" s="273"/>
      <c r="S2834" s="273"/>
      <c r="T2834" s="273"/>
      <c r="U2834" s="274"/>
      <c r="V2834" s="263"/>
      <c r="W2834" s="35"/>
      <c r="X2834" s="35"/>
      <c r="Y2834" s="35"/>
      <c r="Z2834" s="35"/>
      <c r="AA2834" s="35"/>
      <c r="AB2834" s="35"/>
      <c r="AC2834" s="35"/>
      <c r="AD2834" s="35"/>
      <c r="AE2834" s="35"/>
      <c r="AF2834" s="35"/>
      <c r="AG2834" s="35"/>
      <c r="AH2834" s="35"/>
      <c r="AI2834" s="35"/>
    </row>
    <row r="2835">
      <c r="A2835" s="263"/>
      <c r="B2835" s="264"/>
      <c r="C2835" s="265"/>
      <c r="D2835" s="265"/>
      <c r="E2835" s="264"/>
      <c r="F2835" s="265"/>
      <c r="G2835" s="267"/>
      <c r="H2835" s="268"/>
      <c r="I2835" s="268"/>
      <c r="J2835" s="267"/>
      <c r="K2835" s="265"/>
      <c r="L2835" s="265"/>
      <c r="M2835" s="269"/>
      <c r="N2835" s="270"/>
      <c r="O2835" s="271"/>
      <c r="P2835" s="271"/>
      <c r="Q2835" s="272"/>
      <c r="R2835" s="273"/>
      <c r="S2835" s="273"/>
      <c r="T2835" s="273"/>
      <c r="U2835" s="274"/>
      <c r="V2835" s="263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</row>
    <row r="2836">
      <c r="A2836" s="263"/>
      <c r="B2836" s="264"/>
      <c r="C2836" s="265"/>
      <c r="D2836" s="265"/>
      <c r="E2836" s="264"/>
      <c r="F2836" s="265"/>
      <c r="G2836" s="267"/>
      <c r="H2836" s="268"/>
      <c r="I2836" s="268"/>
      <c r="J2836" s="267"/>
      <c r="K2836" s="265"/>
      <c r="L2836" s="265"/>
      <c r="M2836" s="269"/>
      <c r="N2836" s="270"/>
      <c r="O2836" s="271"/>
      <c r="P2836" s="271"/>
      <c r="Q2836" s="272"/>
      <c r="R2836" s="273"/>
      <c r="S2836" s="273"/>
      <c r="T2836" s="273"/>
      <c r="U2836" s="274"/>
      <c r="V2836" s="263"/>
      <c r="W2836" s="35"/>
      <c r="X2836" s="35"/>
      <c r="Y2836" s="35"/>
      <c r="Z2836" s="35"/>
      <c r="AA2836" s="35"/>
      <c r="AB2836" s="35"/>
      <c r="AC2836" s="35"/>
      <c r="AD2836" s="35"/>
      <c r="AE2836" s="35"/>
      <c r="AF2836" s="35"/>
      <c r="AG2836" s="35"/>
      <c r="AH2836" s="35"/>
      <c r="AI2836" s="35"/>
    </row>
    <row r="2837">
      <c r="A2837" s="263"/>
      <c r="B2837" s="264"/>
      <c r="C2837" s="265"/>
      <c r="D2837" s="265"/>
      <c r="E2837" s="264"/>
      <c r="F2837" s="265"/>
      <c r="G2837" s="267"/>
      <c r="H2837" s="268"/>
      <c r="I2837" s="268"/>
      <c r="J2837" s="267"/>
      <c r="K2837" s="265"/>
      <c r="L2837" s="265"/>
      <c r="M2837" s="269"/>
      <c r="N2837" s="270"/>
      <c r="O2837" s="271"/>
      <c r="P2837" s="271"/>
      <c r="Q2837" s="272"/>
      <c r="R2837" s="273"/>
      <c r="S2837" s="273"/>
      <c r="T2837" s="273"/>
      <c r="U2837" s="274"/>
      <c r="V2837" s="263"/>
      <c r="W2837" s="35"/>
      <c r="X2837" s="35"/>
      <c r="Y2837" s="35"/>
      <c r="Z2837" s="35"/>
      <c r="AA2837" s="35"/>
      <c r="AB2837" s="35"/>
      <c r="AC2837" s="35"/>
      <c r="AD2837" s="35"/>
      <c r="AE2837" s="35"/>
      <c r="AF2837" s="35"/>
      <c r="AG2837" s="35"/>
      <c r="AH2837" s="35"/>
      <c r="AI2837" s="35"/>
    </row>
    <row r="2838">
      <c r="A2838" s="263"/>
      <c r="B2838" s="264"/>
      <c r="C2838" s="265"/>
      <c r="D2838" s="265"/>
      <c r="E2838" s="264"/>
      <c r="F2838" s="265"/>
      <c r="G2838" s="267"/>
      <c r="H2838" s="268"/>
      <c r="I2838" s="268"/>
      <c r="J2838" s="267"/>
      <c r="K2838" s="265"/>
      <c r="L2838" s="265"/>
      <c r="M2838" s="269"/>
      <c r="N2838" s="270"/>
      <c r="O2838" s="271"/>
      <c r="P2838" s="271"/>
      <c r="Q2838" s="272"/>
      <c r="R2838" s="273"/>
      <c r="S2838" s="273"/>
      <c r="T2838" s="273"/>
      <c r="U2838" s="274"/>
      <c r="V2838" s="263"/>
      <c r="W2838" s="35"/>
      <c r="X2838" s="35"/>
      <c r="Y2838" s="35"/>
      <c r="Z2838" s="35"/>
      <c r="AA2838" s="35"/>
      <c r="AB2838" s="35"/>
      <c r="AC2838" s="35"/>
      <c r="AD2838" s="35"/>
      <c r="AE2838" s="35"/>
      <c r="AF2838" s="35"/>
      <c r="AG2838" s="35"/>
      <c r="AH2838" s="35"/>
      <c r="AI2838" s="35"/>
    </row>
    <row r="2839">
      <c r="A2839" s="263"/>
      <c r="B2839" s="264"/>
      <c r="C2839" s="265"/>
      <c r="D2839" s="265"/>
      <c r="E2839" s="264"/>
      <c r="F2839" s="265"/>
      <c r="G2839" s="267"/>
      <c r="H2839" s="268"/>
      <c r="I2839" s="268"/>
      <c r="J2839" s="267"/>
      <c r="K2839" s="265"/>
      <c r="L2839" s="265"/>
      <c r="M2839" s="269"/>
      <c r="N2839" s="270"/>
      <c r="O2839" s="271"/>
      <c r="P2839" s="271"/>
      <c r="Q2839" s="272"/>
      <c r="R2839" s="273"/>
      <c r="S2839" s="273"/>
      <c r="T2839" s="273"/>
      <c r="U2839" s="274"/>
      <c r="V2839" s="263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</row>
    <row r="2840">
      <c r="A2840" s="263"/>
      <c r="B2840" s="264"/>
      <c r="C2840" s="265"/>
      <c r="D2840" s="265"/>
      <c r="E2840" s="264"/>
      <c r="F2840" s="265"/>
      <c r="G2840" s="267"/>
      <c r="H2840" s="268"/>
      <c r="I2840" s="268"/>
      <c r="J2840" s="267"/>
      <c r="K2840" s="265"/>
      <c r="L2840" s="265"/>
      <c r="M2840" s="269"/>
      <c r="N2840" s="270"/>
      <c r="O2840" s="271"/>
      <c r="P2840" s="271"/>
      <c r="Q2840" s="272"/>
      <c r="R2840" s="273"/>
      <c r="S2840" s="273"/>
      <c r="T2840" s="273"/>
      <c r="U2840" s="274"/>
      <c r="V2840" s="263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</row>
    <row r="2841">
      <c r="A2841" s="263"/>
      <c r="B2841" s="264"/>
      <c r="C2841" s="265"/>
      <c r="D2841" s="265"/>
      <c r="E2841" s="264"/>
      <c r="F2841" s="265"/>
      <c r="G2841" s="267"/>
      <c r="H2841" s="268"/>
      <c r="I2841" s="268"/>
      <c r="J2841" s="267"/>
      <c r="K2841" s="265"/>
      <c r="L2841" s="265"/>
      <c r="M2841" s="269"/>
      <c r="N2841" s="270"/>
      <c r="O2841" s="271"/>
      <c r="P2841" s="271"/>
      <c r="Q2841" s="272"/>
      <c r="R2841" s="273"/>
      <c r="S2841" s="273"/>
      <c r="T2841" s="273"/>
      <c r="U2841" s="274"/>
      <c r="V2841" s="263"/>
      <c r="W2841" s="188"/>
      <c r="X2841" s="188"/>
      <c r="Y2841" s="188"/>
      <c r="Z2841" s="188"/>
      <c r="AA2841" s="188"/>
      <c r="AB2841" s="188"/>
      <c r="AC2841" s="188"/>
      <c r="AD2841" s="188"/>
      <c r="AE2841" s="188"/>
      <c r="AF2841" s="188"/>
      <c r="AG2841" s="188"/>
      <c r="AH2841" s="188"/>
      <c r="AI2841" s="188"/>
    </row>
    <row r="2842">
      <c r="A2842" s="263"/>
      <c r="B2842" s="264"/>
      <c r="C2842" s="265"/>
      <c r="D2842" s="265"/>
      <c r="E2842" s="264"/>
      <c r="F2842" s="265"/>
      <c r="G2842" s="267"/>
      <c r="H2842" s="268"/>
      <c r="I2842" s="268"/>
      <c r="J2842" s="267"/>
      <c r="K2842" s="265"/>
      <c r="L2842" s="265"/>
      <c r="M2842" s="269"/>
      <c r="N2842" s="270"/>
      <c r="O2842" s="271"/>
      <c r="P2842" s="271"/>
      <c r="Q2842" s="272"/>
      <c r="R2842" s="273"/>
      <c r="S2842" s="273"/>
      <c r="T2842" s="273"/>
      <c r="U2842" s="274"/>
      <c r="V2842" s="263"/>
      <c r="W2842" s="188"/>
      <c r="X2842" s="188"/>
      <c r="Y2842" s="188"/>
      <c r="Z2842" s="188"/>
      <c r="AA2842" s="188"/>
      <c r="AB2842" s="188"/>
      <c r="AC2842" s="188"/>
      <c r="AD2842" s="188"/>
      <c r="AE2842" s="188"/>
      <c r="AF2842" s="188"/>
      <c r="AG2842" s="188"/>
      <c r="AH2842" s="188"/>
      <c r="AI2842" s="188"/>
    </row>
    <row r="2843">
      <c r="A2843" s="263"/>
      <c r="B2843" s="264"/>
      <c r="C2843" s="265"/>
      <c r="D2843" s="265"/>
      <c r="E2843" s="264"/>
      <c r="F2843" s="265"/>
      <c r="G2843" s="267"/>
      <c r="H2843" s="268"/>
      <c r="I2843" s="268"/>
      <c r="J2843" s="267"/>
      <c r="K2843" s="265"/>
      <c r="L2843" s="265"/>
      <c r="M2843" s="269"/>
      <c r="N2843" s="270"/>
      <c r="O2843" s="271"/>
      <c r="P2843" s="271"/>
      <c r="Q2843" s="272"/>
      <c r="R2843" s="273"/>
      <c r="S2843" s="273"/>
      <c r="T2843" s="273"/>
      <c r="U2843" s="274"/>
      <c r="V2843" s="263"/>
      <c r="W2843" s="188"/>
      <c r="X2843" s="188"/>
      <c r="Y2843" s="188"/>
      <c r="Z2843" s="188"/>
      <c r="AA2843" s="188"/>
      <c r="AB2843" s="188"/>
      <c r="AC2843" s="188"/>
      <c r="AD2843" s="188"/>
      <c r="AE2843" s="188"/>
      <c r="AF2843" s="188"/>
      <c r="AG2843" s="188"/>
      <c r="AH2843" s="188"/>
      <c r="AI2843" s="188"/>
    </row>
    <row r="2844">
      <c r="A2844" s="263"/>
      <c r="B2844" s="264"/>
      <c r="C2844" s="265"/>
      <c r="D2844" s="265"/>
      <c r="E2844" s="264"/>
      <c r="F2844" s="265"/>
      <c r="G2844" s="267"/>
      <c r="H2844" s="268"/>
      <c r="I2844" s="268"/>
      <c r="J2844" s="267"/>
      <c r="K2844" s="265"/>
      <c r="L2844" s="265"/>
      <c r="M2844" s="269"/>
      <c r="N2844" s="270"/>
      <c r="O2844" s="271"/>
      <c r="P2844" s="271"/>
      <c r="Q2844" s="272"/>
      <c r="R2844" s="273"/>
      <c r="S2844" s="273"/>
      <c r="T2844" s="273"/>
      <c r="U2844" s="274"/>
      <c r="V2844" s="263"/>
      <c r="W2844" s="188"/>
      <c r="X2844" s="188"/>
      <c r="Y2844" s="188"/>
      <c r="Z2844" s="188"/>
      <c r="AA2844" s="188"/>
      <c r="AB2844" s="188"/>
      <c r="AC2844" s="188"/>
      <c r="AD2844" s="188"/>
      <c r="AE2844" s="188"/>
      <c r="AF2844" s="188"/>
      <c r="AG2844" s="188"/>
      <c r="AH2844" s="188"/>
      <c r="AI2844" s="188"/>
    </row>
    <row r="2845">
      <c r="A2845" s="263"/>
      <c r="B2845" s="264"/>
      <c r="C2845" s="265"/>
      <c r="D2845" s="265"/>
      <c r="E2845" s="264"/>
      <c r="F2845" s="265"/>
      <c r="G2845" s="267"/>
      <c r="H2845" s="268"/>
      <c r="I2845" s="268"/>
      <c r="J2845" s="267"/>
      <c r="K2845" s="265"/>
      <c r="L2845" s="265"/>
      <c r="M2845" s="269"/>
      <c r="N2845" s="270"/>
      <c r="O2845" s="271"/>
      <c r="P2845" s="271"/>
      <c r="Q2845" s="272"/>
      <c r="R2845" s="273"/>
      <c r="S2845" s="273"/>
      <c r="T2845" s="273"/>
      <c r="U2845" s="274"/>
      <c r="V2845" s="263"/>
      <c r="W2845" s="188"/>
      <c r="X2845" s="188"/>
      <c r="Y2845" s="188"/>
      <c r="Z2845" s="188"/>
      <c r="AA2845" s="188"/>
      <c r="AB2845" s="188"/>
      <c r="AC2845" s="188"/>
      <c r="AD2845" s="188"/>
      <c r="AE2845" s="188"/>
      <c r="AF2845" s="188"/>
      <c r="AG2845" s="188"/>
      <c r="AH2845" s="188"/>
      <c r="AI2845" s="188"/>
    </row>
    <row r="2846">
      <c r="A2846" s="263"/>
      <c r="B2846" s="264"/>
      <c r="C2846" s="265"/>
      <c r="D2846" s="265"/>
      <c r="E2846" s="264"/>
      <c r="F2846" s="265"/>
      <c r="G2846" s="267"/>
      <c r="H2846" s="268"/>
      <c r="I2846" s="268"/>
      <c r="J2846" s="267"/>
      <c r="K2846" s="265"/>
      <c r="L2846" s="265"/>
      <c r="M2846" s="269"/>
      <c r="N2846" s="270"/>
      <c r="O2846" s="271"/>
      <c r="P2846" s="271"/>
      <c r="Q2846" s="272"/>
      <c r="R2846" s="273"/>
      <c r="S2846" s="273"/>
      <c r="T2846" s="273"/>
      <c r="U2846" s="274"/>
      <c r="V2846" s="263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</row>
    <row r="2847">
      <c r="A2847" s="263"/>
      <c r="B2847" s="264"/>
      <c r="C2847" s="265"/>
      <c r="D2847" s="265"/>
      <c r="E2847" s="264"/>
      <c r="F2847" s="265"/>
      <c r="G2847" s="267"/>
      <c r="H2847" s="268"/>
      <c r="I2847" s="268"/>
      <c r="J2847" s="267"/>
      <c r="K2847" s="265"/>
      <c r="L2847" s="265"/>
      <c r="M2847" s="269"/>
      <c r="N2847" s="270"/>
      <c r="O2847" s="271"/>
      <c r="P2847" s="271"/>
      <c r="Q2847" s="272"/>
      <c r="R2847" s="273"/>
      <c r="S2847" s="273"/>
      <c r="T2847" s="273"/>
      <c r="U2847" s="274"/>
      <c r="V2847" s="263"/>
      <c r="W2847" s="35"/>
      <c r="X2847" s="35"/>
      <c r="Y2847" s="35"/>
      <c r="Z2847" s="35"/>
      <c r="AA2847" s="35"/>
      <c r="AB2847" s="35"/>
      <c r="AC2847" s="35"/>
      <c r="AD2847" s="35"/>
      <c r="AE2847" s="35"/>
      <c r="AF2847" s="35"/>
      <c r="AG2847" s="35"/>
      <c r="AH2847" s="35"/>
      <c r="AI2847" s="35"/>
    </row>
    <row r="2848">
      <c r="A2848" s="263"/>
      <c r="B2848" s="264"/>
      <c r="C2848" s="265"/>
      <c r="D2848" s="265"/>
      <c r="E2848" s="264"/>
      <c r="F2848" s="265"/>
      <c r="G2848" s="267"/>
      <c r="H2848" s="268"/>
      <c r="I2848" s="268"/>
      <c r="J2848" s="267"/>
      <c r="K2848" s="265"/>
      <c r="L2848" s="265"/>
      <c r="M2848" s="269"/>
      <c r="N2848" s="270"/>
      <c r="O2848" s="271"/>
      <c r="P2848" s="271"/>
      <c r="Q2848" s="272"/>
      <c r="R2848" s="273"/>
      <c r="S2848" s="273"/>
      <c r="T2848" s="273"/>
      <c r="U2848" s="274"/>
      <c r="V2848" s="263"/>
      <c r="W2848" s="188"/>
      <c r="X2848" s="188"/>
      <c r="Y2848" s="188"/>
      <c r="Z2848" s="188"/>
      <c r="AA2848" s="188"/>
      <c r="AB2848" s="188"/>
      <c r="AC2848" s="188"/>
      <c r="AD2848" s="188"/>
      <c r="AE2848" s="188"/>
      <c r="AF2848" s="188"/>
      <c r="AG2848" s="188"/>
      <c r="AH2848" s="188"/>
      <c r="AI2848" s="188"/>
    </row>
    <row r="2849">
      <c r="A2849" s="263"/>
      <c r="B2849" s="264"/>
      <c r="C2849" s="265"/>
      <c r="D2849" s="265"/>
      <c r="E2849" s="264"/>
      <c r="F2849" s="265"/>
      <c r="G2849" s="267"/>
      <c r="H2849" s="268"/>
      <c r="I2849" s="268"/>
      <c r="J2849" s="267"/>
      <c r="K2849" s="265"/>
      <c r="L2849" s="265"/>
      <c r="M2849" s="269"/>
      <c r="N2849" s="270"/>
      <c r="O2849" s="271"/>
      <c r="P2849" s="271"/>
      <c r="Q2849" s="272"/>
      <c r="R2849" s="273"/>
      <c r="S2849" s="273"/>
      <c r="T2849" s="273"/>
      <c r="U2849" s="274"/>
      <c r="V2849" s="263"/>
      <c r="W2849" s="188"/>
      <c r="X2849" s="188"/>
      <c r="Y2849" s="188"/>
      <c r="Z2849" s="188"/>
      <c r="AA2849" s="188"/>
      <c r="AB2849" s="188"/>
      <c r="AC2849" s="188"/>
      <c r="AD2849" s="188"/>
      <c r="AE2849" s="188"/>
      <c r="AF2849" s="188"/>
      <c r="AG2849" s="188"/>
      <c r="AH2849" s="188"/>
      <c r="AI2849" s="188"/>
    </row>
    <row r="2850">
      <c r="A2850" s="263"/>
      <c r="B2850" s="264"/>
      <c r="C2850" s="265"/>
      <c r="D2850" s="265"/>
      <c r="E2850" s="264"/>
      <c r="F2850" s="265"/>
      <c r="G2850" s="267"/>
      <c r="H2850" s="268"/>
      <c r="I2850" s="268"/>
      <c r="J2850" s="267"/>
      <c r="K2850" s="265"/>
      <c r="L2850" s="265"/>
      <c r="M2850" s="269"/>
      <c r="N2850" s="270"/>
      <c r="O2850" s="271"/>
      <c r="P2850" s="271"/>
      <c r="Q2850" s="272"/>
      <c r="R2850" s="273"/>
      <c r="S2850" s="273"/>
      <c r="T2850" s="273"/>
      <c r="U2850" s="274"/>
      <c r="V2850" s="263"/>
      <c r="W2850" s="35"/>
      <c r="X2850" s="35"/>
      <c r="Y2850" s="35"/>
      <c r="Z2850" s="35"/>
      <c r="AA2850" s="35"/>
      <c r="AB2850" s="35"/>
      <c r="AC2850" s="35"/>
      <c r="AD2850" s="35"/>
      <c r="AE2850" s="35"/>
      <c r="AF2850" s="35"/>
      <c r="AG2850" s="35"/>
      <c r="AH2850" s="35"/>
      <c r="AI2850" s="35"/>
    </row>
    <row r="2851">
      <c r="A2851" s="263"/>
      <c r="B2851" s="264"/>
      <c r="C2851" s="265"/>
      <c r="D2851" s="265"/>
      <c r="E2851" s="264"/>
      <c r="F2851" s="265"/>
      <c r="G2851" s="267"/>
      <c r="H2851" s="268"/>
      <c r="I2851" s="268"/>
      <c r="J2851" s="267"/>
      <c r="K2851" s="265"/>
      <c r="L2851" s="265"/>
      <c r="M2851" s="269"/>
      <c r="N2851" s="270"/>
      <c r="O2851" s="271"/>
      <c r="P2851" s="271"/>
      <c r="Q2851" s="272"/>
      <c r="R2851" s="273"/>
      <c r="S2851" s="273"/>
      <c r="T2851" s="273"/>
      <c r="U2851" s="274"/>
      <c r="V2851" s="263"/>
      <c r="W2851" s="188"/>
      <c r="X2851" s="188"/>
      <c r="Y2851" s="188"/>
      <c r="Z2851" s="188"/>
      <c r="AA2851" s="188"/>
      <c r="AB2851" s="188"/>
      <c r="AC2851" s="188"/>
      <c r="AD2851" s="188"/>
      <c r="AE2851" s="188"/>
      <c r="AF2851" s="188"/>
      <c r="AG2851" s="188"/>
      <c r="AH2851" s="188"/>
      <c r="AI2851" s="188"/>
    </row>
    <row r="2852">
      <c r="A2852" s="263"/>
      <c r="B2852" s="264"/>
      <c r="C2852" s="265"/>
      <c r="D2852" s="265"/>
      <c r="E2852" s="264"/>
      <c r="F2852" s="265"/>
      <c r="G2852" s="267"/>
      <c r="H2852" s="268"/>
      <c r="I2852" s="268"/>
      <c r="J2852" s="267"/>
      <c r="K2852" s="265"/>
      <c r="L2852" s="265"/>
      <c r="M2852" s="269"/>
      <c r="N2852" s="270"/>
      <c r="O2852" s="271"/>
      <c r="P2852" s="271"/>
      <c r="Q2852" s="272"/>
      <c r="R2852" s="273"/>
      <c r="S2852" s="273"/>
      <c r="T2852" s="273"/>
      <c r="U2852" s="274"/>
      <c r="V2852" s="263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</row>
    <row r="2853">
      <c r="A2853" s="263"/>
      <c r="B2853" s="264"/>
      <c r="C2853" s="265"/>
      <c r="D2853" s="265"/>
      <c r="E2853" s="264"/>
      <c r="F2853" s="265"/>
      <c r="G2853" s="267"/>
      <c r="H2853" s="268"/>
      <c r="I2853" s="268"/>
      <c r="J2853" s="267"/>
      <c r="K2853" s="265"/>
      <c r="L2853" s="265"/>
      <c r="M2853" s="269"/>
      <c r="N2853" s="270"/>
      <c r="O2853" s="271"/>
      <c r="P2853" s="271"/>
      <c r="Q2853" s="272"/>
      <c r="R2853" s="273"/>
      <c r="S2853" s="273"/>
      <c r="T2853" s="273"/>
      <c r="U2853" s="274"/>
      <c r="V2853" s="263"/>
      <c r="W2853" s="188"/>
      <c r="X2853" s="188"/>
      <c r="Y2853" s="188"/>
      <c r="Z2853" s="188"/>
      <c r="AA2853" s="188"/>
      <c r="AB2853" s="188"/>
      <c r="AC2853" s="188"/>
      <c r="AD2853" s="188"/>
      <c r="AE2853" s="188"/>
      <c r="AF2853" s="188"/>
      <c r="AG2853" s="188"/>
      <c r="AH2853" s="188"/>
      <c r="AI2853" s="188"/>
    </row>
    <row r="2854">
      <c r="A2854" s="263"/>
      <c r="B2854" s="264"/>
      <c r="C2854" s="265"/>
      <c r="D2854" s="265"/>
      <c r="E2854" s="264"/>
      <c r="F2854" s="265"/>
      <c r="G2854" s="267"/>
      <c r="H2854" s="268"/>
      <c r="I2854" s="268"/>
      <c r="J2854" s="267"/>
      <c r="K2854" s="265"/>
      <c r="L2854" s="265"/>
      <c r="M2854" s="269"/>
      <c r="N2854" s="270"/>
      <c r="O2854" s="271"/>
      <c r="P2854" s="271"/>
      <c r="Q2854" s="272"/>
      <c r="R2854" s="273"/>
      <c r="S2854" s="273"/>
      <c r="T2854" s="273"/>
      <c r="U2854" s="274"/>
      <c r="V2854" s="263"/>
      <c r="W2854" s="35"/>
      <c r="X2854" s="35"/>
      <c r="Y2854" s="35"/>
      <c r="Z2854" s="35"/>
      <c r="AA2854" s="35"/>
      <c r="AB2854" s="35"/>
      <c r="AC2854" s="35"/>
      <c r="AD2854" s="35"/>
      <c r="AE2854" s="35"/>
      <c r="AF2854" s="35"/>
      <c r="AG2854" s="35"/>
      <c r="AH2854" s="35"/>
      <c r="AI2854" s="35"/>
    </row>
    <row r="2855">
      <c r="A2855" s="263"/>
      <c r="B2855" s="264"/>
      <c r="C2855" s="265"/>
      <c r="D2855" s="265"/>
      <c r="E2855" s="264"/>
      <c r="F2855" s="265"/>
      <c r="G2855" s="267"/>
      <c r="H2855" s="268"/>
      <c r="I2855" s="268"/>
      <c r="J2855" s="267"/>
      <c r="K2855" s="265"/>
      <c r="L2855" s="265"/>
      <c r="M2855" s="269"/>
      <c r="N2855" s="270"/>
      <c r="O2855" s="271"/>
      <c r="P2855" s="271"/>
      <c r="Q2855" s="272"/>
      <c r="R2855" s="273"/>
      <c r="S2855" s="273"/>
      <c r="T2855" s="273"/>
      <c r="U2855" s="274"/>
      <c r="V2855" s="263"/>
      <c r="W2855" s="188"/>
      <c r="X2855" s="188"/>
      <c r="Y2855" s="188"/>
      <c r="Z2855" s="188"/>
      <c r="AA2855" s="188"/>
      <c r="AB2855" s="188"/>
      <c r="AC2855" s="188"/>
      <c r="AD2855" s="188"/>
      <c r="AE2855" s="188"/>
      <c r="AF2855" s="188"/>
      <c r="AG2855" s="188"/>
      <c r="AH2855" s="188"/>
      <c r="AI2855" s="188"/>
    </row>
    <row r="2856">
      <c r="A2856" s="263"/>
      <c r="B2856" s="264"/>
      <c r="C2856" s="265"/>
      <c r="D2856" s="265"/>
      <c r="E2856" s="264"/>
      <c r="F2856" s="265"/>
      <c r="G2856" s="267"/>
      <c r="H2856" s="268"/>
      <c r="I2856" s="268"/>
      <c r="J2856" s="267"/>
      <c r="K2856" s="265"/>
      <c r="L2856" s="265"/>
      <c r="M2856" s="269"/>
      <c r="N2856" s="270"/>
      <c r="O2856" s="271"/>
      <c r="P2856" s="271"/>
      <c r="Q2856" s="272"/>
      <c r="R2856" s="273"/>
      <c r="S2856" s="273"/>
      <c r="T2856" s="273"/>
      <c r="U2856" s="274"/>
      <c r="V2856" s="263"/>
      <c r="W2856" s="188"/>
      <c r="X2856" s="188"/>
      <c r="Y2856" s="188"/>
      <c r="Z2856" s="188"/>
      <c r="AA2856" s="188"/>
      <c r="AB2856" s="188"/>
      <c r="AC2856" s="188"/>
      <c r="AD2856" s="188"/>
      <c r="AE2856" s="188"/>
      <c r="AF2856" s="188"/>
      <c r="AG2856" s="188"/>
      <c r="AH2856" s="188"/>
      <c r="AI2856" s="188"/>
    </row>
    <row r="2857">
      <c r="A2857" s="263"/>
      <c r="B2857" s="264"/>
      <c r="C2857" s="265"/>
      <c r="D2857" s="265"/>
      <c r="E2857" s="264"/>
      <c r="F2857" s="265"/>
      <c r="G2857" s="267"/>
      <c r="H2857" s="268"/>
      <c r="I2857" s="268"/>
      <c r="J2857" s="267"/>
      <c r="K2857" s="265"/>
      <c r="L2857" s="265"/>
      <c r="M2857" s="269"/>
      <c r="N2857" s="270"/>
      <c r="O2857" s="271"/>
      <c r="P2857" s="271"/>
      <c r="Q2857" s="272"/>
      <c r="R2857" s="273"/>
      <c r="S2857" s="273"/>
      <c r="T2857" s="273"/>
      <c r="U2857" s="274"/>
      <c r="V2857" s="263"/>
      <c r="W2857" s="188"/>
      <c r="X2857" s="188"/>
      <c r="Y2857" s="188"/>
      <c r="Z2857" s="188"/>
      <c r="AA2857" s="188"/>
      <c r="AB2857" s="188"/>
      <c r="AC2857" s="188"/>
      <c r="AD2857" s="188"/>
      <c r="AE2857" s="188"/>
      <c r="AF2857" s="188"/>
      <c r="AG2857" s="188"/>
      <c r="AH2857" s="188"/>
      <c r="AI2857" s="188"/>
    </row>
    <row r="2858">
      <c r="A2858" s="263"/>
      <c r="B2858" s="264"/>
      <c r="C2858" s="265"/>
      <c r="D2858" s="265"/>
      <c r="E2858" s="264"/>
      <c r="F2858" s="265"/>
      <c r="G2858" s="267"/>
      <c r="H2858" s="268"/>
      <c r="I2858" s="268"/>
      <c r="J2858" s="267"/>
      <c r="K2858" s="265"/>
      <c r="L2858" s="265"/>
      <c r="M2858" s="269"/>
      <c r="N2858" s="270"/>
      <c r="O2858" s="271"/>
      <c r="P2858" s="271"/>
      <c r="Q2858" s="272"/>
      <c r="R2858" s="273"/>
      <c r="S2858" s="273"/>
      <c r="T2858" s="273"/>
      <c r="U2858" s="274"/>
      <c r="V2858" s="263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</row>
    <row r="2859">
      <c r="A2859" s="263"/>
      <c r="B2859" s="264"/>
      <c r="C2859" s="265"/>
      <c r="D2859" s="265"/>
      <c r="E2859" s="264"/>
      <c r="F2859" s="265"/>
      <c r="G2859" s="267"/>
      <c r="H2859" s="268"/>
      <c r="I2859" s="268"/>
      <c r="J2859" s="267"/>
      <c r="K2859" s="265"/>
      <c r="L2859" s="265"/>
      <c r="M2859" s="269"/>
      <c r="N2859" s="270"/>
      <c r="O2859" s="271"/>
      <c r="P2859" s="271"/>
      <c r="Q2859" s="272"/>
      <c r="R2859" s="273"/>
      <c r="S2859" s="273"/>
      <c r="T2859" s="273"/>
      <c r="U2859" s="274"/>
      <c r="V2859" s="263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</row>
    <row r="2860">
      <c r="A2860" s="263"/>
      <c r="B2860" s="264"/>
      <c r="C2860" s="265"/>
      <c r="D2860" s="265"/>
      <c r="E2860" s="264"/>
      <c r="F2860" s="265"/>
      <c r="G2860" s="267"/>
      <c r="H2860" s="268"/>
      <c r="I2860" s="268"/>
      <c r="J2860" s="267"/>
      <c r="K2860" s="265"/>
      <c r="L2860" s="265"/>
      <c r="M2860" s="269"/>
      <c r="N2860" s="270"/>
      <c r="O2860" s="271"/>
      <c r="P2860" s="271"/>
      <c r="Q2860" s="272"/>
      <c r="R2860" s="273"/>
      <c r="S2860" s="273"/>
      <c r="T2860" s="273"/>
      <c r="U2860" s="274"/>
      <c r="V2860" s="263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</row>
    <row r="2861">
      <c r="A2861" s="263"/>
      <c r="B2861" s="264"/>
      <c r="C2861" s="265"/>
      <c r="D2861" s="265"/>
      <c r="E2861" s="264"/>
      <c r="F2861" s="265"/>
      <c r="G2861" s="267"/>
      <c r="H2861" s="268"/>
      <c r="I2861" s="268"/>
      <c r="J2861" s="267"/>
      <c r="K2861" s="265"/>
      <c r="L2861" s="265"/>
      <c r="M2861" s="269"/>
      <c r="N2861" s="270"/>
      <c r="O2861" s="271"/>
      <c r="P2861" s="271"/>
      <c r="Q2861" s="272"/>
      <c r="R2861" s="273"/>
      <c r="S2861" s="273"/>
      <c r="T2861" s="273"/>
      <c r="U2861" s="274"/>
      <c r="V2861" s="263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</row>
    <row r="2862">
      <c r="A2862" s="263"/>
      <c r="B2862" s="264"/>
      <c r="C2862" s="265"/>
      <c r="D2862" s="265"/>
      <c r="E2862" s="264"/>
      <c r="F2862" s="265"/>
      <c r="G2862" s="267"/>
      <c r="H2862" s="268"/>
      <c r="I2862" s="268"/>
      <c r="J2862" s="267"/>
      <c r="K2862" s="265"/>
      <c r="L2862" s="265"/>
      <c r="M2862" s="269"/>
      <c r="N2862" s="270"/>
      <c r="O2862" s="271"/>
      <c r="P2862" s="271"/>
      <c r="Q2862" s="272"/>
      <c r="R2862" s="273"/>
      <c r="S2862" s="273"/>
      <c r="T2862" s="273"/>
      <c r="U2862" s="274"/>
      <c r="V2862" s="263"/>
      <c r="W2862" s="188"/>
      <c r="X2862" s="188"/>
      <c r="Y2862" s="188"/>
      <c r="Z2862" s="188"/>
      <c r="AA2862" s="188"/>
      <c r="AB2862" s="188"/>
      <c r="AC2862" s="188"/>
      <c r="AD2862" s="188"/>
      <c r="AE2862" s="188"/>
      <c r="AF2862" s="188"/>
      <c r="AG2862" s="188"/>
      <c r="AH2862" s="188"/>
      <c r="AI2862" s="188"/>
    </row>
    <row r="2863">
      <c r="A2863" s="263"/>
      <c r="B2863" s="264"/>
      <c r="C2863" s="265"/>
      <c r="D2863" s="265"/>
      <c r="E2863" s="264"/>
      <c r="F2863" s="265"/>
      <c r="G2863" s="267"/>
      <c r="H2863" s="268"/>
      <c r="I2863" s="268"/>
      <c r="J2863" s="267"/>
      <c r="K2863" s="265"/>
      <c r="L2863" s="265"/>
      <c r="M2863" s="269"/>
      <c r="N2863" s="270"/>
      <c r="O2863" s="271"/>
      <c r="P2863" s="271"/>
      <c r="Q2863" s="272"/>
      <c r="R2863" s="273"/>
      <c r="S2863" s="273"/>
      <c r="T2863" s="273"/>
      <c r="U2863" s="274"/>
      <c r="V2863" s="263"/>
      <c r="W2863" s="35"/>
      <c r="X2863" s="35"/>
      <c r="Y2863" s="35"/>
      <c r="Z2863" s="35"/>
      <c r="AA2863" s="35"/>
      <c r="AB2863" s="35"/>
      <c r="AC2863" s="35"/>
      <c r="AD2863" s="35"/>
      <c r="AE2863" s="35"/>
      <c r="AF2863" s="35"/>
      <c r="AG2863" s="35"/>
      <c r="AH2863" s="35"/>
      <c r="AI2863" s="35"/>
    </row>
    <row r="2864">
      <c r="A2864" s="263"/>
      <c r="B2864" s="264"/>
      <c r="C2864" s="265"/>
      <c r="D2864" s="265"/>
      <c r="E2864" s="264"/>
      <c r="F2864" s="265"/>
      <c r="G2864" s="267"/>
      <c r="H2864" s="268"/>
      <c r="I2864" s="268"/>
      <c r="J2864" s="267"/>
      <c r="K2864" s="265"/>
      <c r="L2864" s="265"/>
      <c r="M2864" s="269"/>
      <c r="N2864" s="270"/>
      <c r="O2864" s="271"/>
      <c r="P2864" s="271"/>
      <c r="Q2864" s="272"/>
      <c r="R2864" s="273"/>
      <c r="S2864" s="273"/>
      <c r="T2864" s="273"/>
      <c r="U2864" s="274"/>
      <c r="V2864" s="263"/>
      <c r="W2864" s="188"/>
      <c r="X2864" s="188"/>
      <c r="Y2864" s="188"/>
      <c r="Z2864" s="188"/>
      <c r="AA2864" s="188"/>
      <c r="AB2864" s="188"/>
      <c r="AC2864" s="188"/>
      <c r="AD2864" s="188"/>
      <c r="AE2864" s="188"/>
      <c r="AF2864" s="188"/>
      <c r="AG2864" s="188"/>
      <c r="AH2864" s="188"/>
      <c r="AI2864" s="188"/>
    </row>
    <row r="2865">
      <c r="A2865" s="263"/>
      <c r="B2865" s="264"/>
      <c r="C2865" s="265"/>
      <c r="D2865" s="265"/>
      <c r="E2865" s="264"/>
      <c r="F2865" s="265"/>
      <c r="G2865" s="267"/>
      <c r="H2865" s="268"/>
      <c r="I2865" s="268"/>
      <c r="J2865" s="267"/>
      <c r="K2865" s="265"/>
      <c r="L2865" s="265"/>
      <c r="M2865" s="269"/>
      <c r="N2865" s="270"/>
      <c r="O2865" s="271"/>
      <c r="P2865" s="271"/>
      <c r="Q2865" s="272"/>
      <c r="R2865" s="273"/>
      <c r="S2865" s="273"/>
      <c r="T2865" s="273"/>
      <c r="U2865" s="274"/>
      <c r="V2865" s="263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</row>
    <row r="2866">
      <c r="A2866" s="263"/>
      <c r="B2866" s="264"/>
      <c r="C2866" s="265"/>
      <c r="D2866" s="265"/>
      <c r="E2866" s="264"/>
      <c r="F2866" s="265"/>
      <c r="G2866" s="267"/>
      <c r="H2866" s="268"/>
      <c r="I2866" s="268"/>
      <c r="J2866" s="267"/>
      <c r="K2866" s="265"/>
      <c r="L2866" s="265"/>
      <c r="M2866" s="269"/>
      <c r="N2866" s="270"/>
      <c r="O2866" s="271"/>
      <c r="P2866" s="271"/>
      <c r="Q2866" s="272"/>
      <c r="R2866" s="273"/>
      <c r="S2866" s="273"/>
      <c r="T2866" s="273"/>
      <c r="U2866" s="274"/>
      <c r="V2866" s="263"/>
      <c r="W2866" s="35"/>
      <c r="X2866" s="35"/>
      <c r="Y2866" s="35"/>
      <c r="Z2866" s="35"/>
      <c r="AA2866" s="35"/>
      <c r="AB2866" s="35"/>
      <c r="AC2866" s="35"/>
      <c r="AD2866" s="35"/>
      <c r="AE2866" s="35"/>
      <c r="AF2866" s="35"/>
      <c r="AG2866" s="35"/>
      <c r="AH2866" s="35"/>
      <c r="AI2866" s="35"/>
    </row>
    <row r="2867">
      <c r="A2867" s="263"/>
      <c r="B2867" s="264"/>
      <c r="C2867" s="265"/>
      <c r="D2867" s="265"/>
      <c r="E2867" s="264"/>
      <c r="F2867" s="265"/>
      <c r="G2867" s="267"/>
      <c r="H2867" s="268"/>
      <c r="I2867" s="268"/>
      <c r="J2867" s="267"/>
      <c r="K2867" s="265"/>
      <c r="L2867" s="265"/>
      <c r="M2867" s="269"/>
      <c r="N2867" s="270"/>
      <c r="O2867" s="271"/>
      <c r="P2867" s="271"/>
      <c r="Q2867" s="272"/>
      <c r="R2867" s="273"/>
      <c r="S2867" s="273"/>
      <c r="T2867" s="273"/>
      <c r="U2867" s="274"/>
      <c r="V2867" s="263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</row>
    <row r="2868">
      <c r="A2868" s="263"/>
      <c r="B2868" s="264"/>
      <c r="C2868" s="265"/>
      <c r="D2868" s="265"/>
      <c r="E2868" s="264"/>
      <c r="F2868" s="265"/>
      <c r="G2868" s="267"/>
      <c r="H2868" s="268"/>
      <c r="I2868" s="268"/>
      <c r="J2868" s="267"/>
      <c r="K2868" s="265"/>
      <c r="L2868" s="265"/>
      <c r="M2868" s="269"/>
      <c r="N2868" s="270"/>
      <c r="O2868" s="271"/>
      <c r="P2868" s="271"/>
      <c r="Q2868" s="272"/>
      <c r="R2868" s="273"/>
      <c r="S2868" s="273"/>
      <c r="T2868" s="273"/>
      <c r="U2868" s="274"/>
      <c r="V2868" s="263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</row>
    <row r="2869">
      <c r="A2869" s="263"/>
      <c r="B2869" s="264"/>
      <c r="C2869" s="265"/>
      <c r="D2869" s="265"/>
      <c r="E2869" s="264"/>
      <c r="F2869" s="265"/>
      <c r="G2869" s="267"/>
      <c r="H2869" s="268"/>
      <c r="I2869" s="268"/>
      <c r="J2869" s="267"/>
      <c r="K2869" s="265"/>
      <c r="L2869" s="265"/>
      <c r="M2869" s="269"/>
      <c r="N2869" s="270"/>
      <c r="O2869" s="271"/>
      <c r="P2869" s="271"/>
      <c r="Q2869" s="272"/>
      <c r="R2869" s="273"/>
      <c r="S2869" s="273"/>
      <c r="T2869" s="273"/>
      <c r="U2869" s="274"/>
      <c r="V2869" s="263"/>
      <c r="W2869" s="188"/>
      <c r="X2869" s="188"/>
      <c r="Y2869" s="188"/>
      <c r="Z2869" s="188"/>
      <c r="AA2869" s="188"/>
      <c r="AB2869" s="188"/>
      <c r="AC2869" s="188"/>
      <c r="AD2869" s="188"/>
      <c r="AE2869" s="188"/>
      <c r="AF2869" s="188"/>
      <c r="AG2869" s="188"/>
      <c r="AH2869" s="188"/>
      <c r="AI2869" s="188"/>
    </row>
    <row r="2870">
      <c r="A2870" s="263"/>
      <c r="B2870" s="264"/>
      <c r="C2870" s="265"/>
      <c r="D2870" s="265"/>
      <c r="E2870" s="264"/>
      <c r="F2870" s="265"/>
      <c r="G2870" s="267"/>
      <c r="H2870" s="268"/>
      <c r="I2870" s="268"/>
      <c r="J2870" s="267"/>
      <c r="K2870" s="265"/>
      <c r="L2870" s="265"/>
      <c r="M2870" s="269"/>
      <c r="N2870" s="270"/>
      <c r="O2870" s="271"/>
      <c r="P2870" s="271"/>
      <c r="Q2870" s="272"/>
      <c r="R2870" s="273"/>
      <c r="S2870" s="273"/>
      <c r="T2870" s="273"/>
      <c r="U2870" s="274"/>
      <c r="V2870" s="263"/>
      <c r="W2870" s="188"/>
      <c r="X2870" s="188"/>
      <c r="Y2870" s="188"/>
      <c r="Z2870" s="188"/>
      <c r="AA2870" s="188"/>
      <c r="AB2870" s="188"/>
      <c r="AC2870" s="188"/>
      <c r="AD2870" s="188"/>
      <c r="AE2870" s="188"/>
      <c r="AF2870" s="188"/>
      <c r="AG2870" s="188"/>
      <c r="AH2870" s="188"/>
      <c r="AI2870" s="188"/>
    </row>
    <row r="2871">
      <c r="A2871" s="263"/>
      <c r="B2871" s="264"/>
      <c r="C2871" s="265"/>
      <c r="D2871" s="265"/>
      <c r="E2871" s="264"/>
      <c r="F2871" s="265"/>
      <c r="G2871" s="267"/>
      <c r="H2871" s="268"/>
      <c r="I2871" s="268"/>
      <c r="J2871" s="267"/>
      <c r="K2871" s="265"/>
      <c r="L2871" s="265"/>
      <c r="M2871" s="269"/>
      <c r="N2871" s="270"/>
      <c r="O2871" s="271"/>
      <c r="P2871" s="271"/>
      <c r="Q2871" s="272"/>
      <c r="R2871" s="273"/>
      <c r="S2871" s="273"/>
      <c r="T2871" s="273"/>
      <c r="U2871" s="274"/>
      <c r="V2871" s="263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</row>
    <row r="2872">
      <c r="A2872" s="263"/>
      <c r="B2872" s="264"/>
      <c r="C2872" s="265"/>
      <c r="D2872" s="265"/>
      <c r="E2872" s="264"/>
      <c r="F2872" s="265"/>
      <c r="G2872" s="267"/>
      <c r="H2872" s="268"/>
      <c r="I2872" s="268"/>
      <c r="J2872" s="267"/>
      <c r="K2872" s="265"/>
      <c r="L2872" s="265"/>
      <c r="M2872" s="269"/>
      <c r="N2872" s="270"/>
      <c r="O2872" s="271"/>
      <c r="P2872" s="271"/>
      <c r="Q2872" s="272"/>
      <c r="R2872" s="273"/>
      <c r="S2872" s="273"/>
      <c r="T2872" s="273"/>
      <c r="U2872" s="274"/>
      <c r="V2872" s="263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</row>
    <row r="2873">
      <c r="A2873" s="263"/>
      <c r="B2873" s="264"/>
      <c r="C2873" s="265"/>
      <c r="D2873" s="265"/>
      <c r="E2873" s="264"/>
      <c r="F2873" s="265"/>
      <c r="G2873" s="267"/>
      <c r="H2873" s="268"/>
      <c r="I2873" s="268"/>
      <c r="J2873" s="267"/>
      <c r="K2873" s="265"/>
      <c r="L2873" s="265"/>
      <c r="M2873" s="269"/>
      <c r="N2873" s="270"/>
      <c r="O2873" s="271"/>
      <c r="P2873" s="271"/>
      <c r="Q2873" s="272"/>
      <c r="R2873" s="273"/>
      <c r="S2873" s="273"/>
      <c r="T2873" s="273"/>
      <c r="U2873" s="274"/>
      <c r="V2873" s="263"/>
      <c r="W2873" s="35"/>
      <c r="X2873" s="35"/>
      <c r="Y2873" s="35"/>
      <c r="Z2873" s="35"/>
      <c r="AA2873" s="35"/>
      <c r="AB2873" s="35"/>
      <c r="AC2873" s="35"/>
      <c r="AD2873" s="35"/>
      <c r="AE2873" s="35"/>
      <c r="AF2873" s="35"/>
      <c r="AG2873" s="35"/>
      <c r="AH2873" s="35"/>
      <c r="AI2873" s="35"/>
    </row>
    <row r="2874">
      <c r="A2874" s="263"/>
      <c r="B2874" s="264"/>
      <c r="C2874" s="265"/>
      <c r="D2874" s="265"/>
      <c r="E2874" s="264"/>
      <c r="F2874" s="265"/>
      <c r="G2874" s="267"/>
      <c r="H2874" s="268"/>
      <c r="I2874" s="268"/>
      <c r="J2874" s="267"/>
      <c r="K2874" s="265"/>
      <c r="L2874" s="265"/>
      <c r="M2874" s="269"/>
      <c r="N2874" s="270"/>
      <c r="O2874" s="271"/>
      <c r="P2874" s="271"/>
      <c r="Q2874" s="272"/>
      <c r="R2874" s="273"/>
      <c r="S2874" s="273"/>
      <c r="T2874" s="273"/>
      <c r="U2874" s="274"/>
      <c r="V2874" s="263"/>
      <c r="W2874" s="35"/>
      <c r="X2874" s="35"/>
      <c r="Y2874" s="35"/>
      <c r="Z2874" s="35"/>
      <c r="AA2874" s="35"/>
      <c r="AB2874" s="35"/>
      <c r="AC2874" s="35"/>
      <c r="AD2874" s="35"/>
      <c r="AE2874" s="35"/>
      <c r="AF2874" s="35"/>
      <c r="AG2874" s="35"/>
      <c r="AH2874" s="35"/>
      <c r="AI2874" s="35"/>
    </row>
    <row r="2875">
      <c r="A2875" s="263"/>
      <c r="B2875" s="264"/>
      <c r="C2875" s="265"/>
      <c r="D2875" s="265"/>
      <c r="E2875" s="264"/>
      <c r="F2875" s="265"/>
      <c r="G2875" s="267"/>
      <c r="H2875" s="268"/>
      <c r="I2875" s="268"/>
      <c r="J2875" s="267"/>
      <c r="K2875" s="265"/>
      <c r="L2875" s="265"/>
      <c r="M2875" s="269"/>
      <c r="N2875" s="270"/>
      <c r="O2875" s="271"/>
      <c r="P2875" s="271"/>
      <c r="Q2875" s="272"/>
      <c r="R2875" s="273"/>
      <c r="S2875" s="273"/>
      <c r="T2875" s="273"/>
      <c r="U2875" s="274"/>
      <c r="V2875" s="263"/>
      <c r="W2875" s="35"/>
      <c r="X2875" s="35"/>
      <c r="Y2875" s="35"/>
      <c r="Z2875" s="35"/>
      <c r="AA2875" s="35"/>
      <c r="AB2875" s="35"/>
      <c r="AC2875" s="35"/>
      <c r="AD2875" s="35"/>
      <c r="AE2875" s="35"/>
      <c r="AF2875" s="35"/>
      <c r="AG2875" s="35"/>
      <c r="AH2875" s="35"/>
      <c r="AI2875" s="35"/>
    </row>
    <row r="2876">
      <c r="A2876" s="263"/>
      <c r="B2876" s="264"/>
      <c r="C2876" s="265"/>
      <c r="D2876" s="265"/>
      <c r="E2876" s="264"/>
      <c r="F2876" s="265"/>
      <c r="G2876" s="267"/>
      <c r="H2876" s="268"/>
      <c r="I2876" s="268"/>
      <c r="J2876" s="267"/>
      <c r="K2876" s="265"/>
      <c r="L2876" s="265"/>
      <c r="M2876" s="269"/>
      <c r="N2876" s="270"/>
      <c r="O2876" s="271"/>
      <c r="P2876" s="271"/>
      <c r="Q2876" s="272"/>
      <c r="R2876" s="273"/>
      <c r="S2876" s="273"/>
      <c r="T2876" s="273"/>
      <c r="U2876" s="274"/>
      <c r="V2876" s="263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</row>
    <row r="2877">
      <c r="A2877" s="263"/>
      <c r="B2877" s="264"/>
      <c r="C2877" s="265"/>
      <c r="D2877" s="265"/>
      <c r="E2877" s="264"/>
      <c r="F2877" s="265"/>
      <c r="G2877" s="267"/>
      <c r="H2877" s="268"/>
      <c r="I2877" s="268"/>
      <c r="J2877" s="267"/>
      <c r="K2877" s="265"/>
      <c r="L2877" s="265"/>
      <c r="M2877" s="269"/>
      <c r="N2877" s="270"/>
      <c r="O2877" s="271"/>
      <c r="P2877" s="271"/>
      <c r="Q2877" s="272"/>
      <c r="R2877" s="273"/>
      <c r="S2877" s="273"/>
      <c r="T2877" s="273"/>
      <c r="U2877" s="274"/>
      <c r="V2877" s="263"/>
      <c r="W2877" s="35"/>
      <c r="X2877" s="35"/>
      <c r="Y2877" s="35"/>
      <c r="Z2877" s="35"/>
      <c r="AA2877" s="35"/>
      <c r="AB2877" s="35"/>
      <c r="AC2877" s="35"/>
      <c r="AD2877" s="35"/>
      <c r="AE2877" s="35"/>
      <c r="AF2877" s="35"/>
      <c r="AG2877" s="35"/>
      <c r="AH2877" s="35"/>
      <c r="AI2877" s="35"/>
    </row>
    <row r="2878">
      <c r="A2878" s="263"/>
      <c r="B2878" s="264"/>
      <c r="C2878" s="265"/>
      <c r="D2878" s="265"/>
      <c r="E2878" s="264"/>
      <c r="F2878" s="265"/>
      <c r="G2878" s="267"/>
      <c r="H2878" s="268"/>
      <c r="I2878" s="268"/>
      <c r="J2878" s="267"/>
      <c r="K2878" s="265"/>
      <c r="L2878" s="265"/>
      <c r="M2878" s="269"/>
      <c r="N2878" s="270"/>
      <c r="O2878" s="271"/>
      <c r="P2878" s="271"/>
      <c r="Q2878" s="272"/>
      <c r="R2878" s="273"/>
      <c r="S2878" s="273"/>
      <c r="T2878" s="273"/>
      <c r="U2878" s="274"/>
      <c r="V2878" s="263"/>
      <c r="W2878" s="35"/>
      <c r="X2878" s="35"/>
      <c r="Y2878" s="35"/>
      <c r="Z2878" s="35"/>
      <c r="AA2878" s="35"/>
      <c r="AB2878" s="35"/>
      <c r="AC2878" s="35"/>
      <c r="AD2878" s="35"/>
      <c r="AE2878" s="35"/>
      <c r="AF2878" s="35"/>
      <c r="AG2878" s="35"/>
      <c r="AH2878" s="35"/>
      <c r="AI2878" s="35"/>
    </row>
    <row r="2879">
      <c r="A2879" s="263"/>
      <c r="B2879" s="264"/>
      <c r="C2879" s="265"/>
      <c r="D2879" s="265"/>
      <c r="E2879" s="264"/>
      <c r="F2879" s="265"/>
      <c r="G2879" s="267"/>
      <c r="H2879" s="268"/>
      <c r="I2879" s="268"/>
      <c r="J2879" s="267"/>
      <c r="K2879" s="265"/>
      <c r="L2879" s="265"/>
      <c r="M2879" s="269"/>
      <c r="N2879" s="270"/>
      <c r="O2879" s="271"/>
      <c r="P2879" s="271"/>
      <c r="Q2879" s="272"/>
      <c r="R2879" s="273"/>
      <c r="S2879" s="273"/>
      <c r="T2879" s="273"/>
      <c r="U2879" s="274"/>
      <c r="V2879" s="263"/>
      <c r="W2879" s="35"/>
      <c r="X2879" s="35"/>
      <c r="Y2879" s="35"/>
      <c r="Z2879" s="35"/>
      <c r="AA2879" s="35"/>
      <c r="AB2879" s="35"/>
      <c r="AC2879" s="35"/>
      <c r="AD2879" s="35"/>
      <c r="AE2879" s="35"/>
      <c r="AF2879" s="35"/>
      <c r="AG2879" s="35"/>
      <c r="AH2879" s="35"/>
      <c r="AI2879" s="35"/>
    </row>
    <row r="2880">
      <c r="A2880" s="263"/>
      <c r="B2880" s="264"/>
      <c r="C2880" s="265"/>
      <c r="D2880" s="265"/>
      <c r="E2880" s="264"/>
      <c r="F2880" s="265"/>
      <c r="G2880" s="267"/>
      <c r="H2880" s="268"/>
      <c r="I2880" s="268"/>
      <c r="J2880" s="267"/>
      <c r="K2880" s="265"/>
      <c r="L2880" s="265"/>
      <c r="M2880" s="269"/>
      <c r="N2880" s="270"/>
      <c r="O2880" s="271"/>
      <c r="P2880" s="271"/>
      <c r="Q2880" s="272"/>
      <c r="R2880" s="273"/>
      <c r="S2880" s="273"/>
      <c r="T2880" s="273"/>
      <c r="U2880" s="274"/>
      <c r="V2880" s="263"/>
      <c r="W2880" s="188"/>
      <c r="X2880" s="188"/>
      <c r="Y2880" s="188"/>
      <c r="Z2880" s="188"/>
      <c r="AA2880" s="188"/>
      <c r="AB2880" s="188"/>
      <c r="AC2880" s="188"/>
      <c r="AD2880" s="188"/>
      <c r="AE2880" s="188"/>
      <c r="AF2880" s="188"/>
      <c r="AG2880" s="188"/>
      <c r="AH2880" s="188"/>
      <c r="AI2880" s="188"/>
    </row>
    <row r="2881">
      <c r="A2881" s="263"/>
      <c r="B2881" s="264"/>
      <c r="C2881" s="265"/>
      <c r="D2881" s="265"/>
      <c r="E2881" s="264"/>
      <c r="F2881" s="265"/>
      <c r="G2881" s="267"/>
      <c r="H2881" s="268"/>
      <c r="I2881" s="268"/>
      <c r="J2881" s="267"/>
      <c r="K2881" s="265"/>
      <c r="L2881" s="265"/>
      <c r="M2881" s="269"/>
      <c r="N2881" s="270"/>
      <c r="O2881" s="271"/>
      <c r="P2881" s="271"/>
      <c r="Q2881" s="272"/>
      <c r="R2881" s="273"/>
      <c r="S2881" s="273"/>
      <c r="T2881" s="273"/>
      <c r="U2881" s="274"/>
      <c r="V2881" s="263"/>
      <c r="W2881" s="35"/>
      <c r="X2881" s="35"/>
      <c r="Y2881" s="35"/>
      <c r="Z2881" s="35"/>
      <c r="AA2881" s="35"/>
      <c r="AB2881" s="35"/>
      <c r="AC2881" s="35"/>
      <c r="AD2881" s="35"/>
      <c r="AE2881" s="35"/>
      <c r="AF2881" s="35"/>
      <c r="AG2881" s="35"/>
      <c r="AH2881" s="35"/>
      <c r="AI2881" s="35"/>
    </row>
    <row r="2882">
      <c r="A2882" s="263"/>
      <c r="B2882" s="264"/>
      <c r="C2882" s="265"/>
      <c r="D2882" s="265"/>
      <c r="E2882" s="264"/>
      <c r="F2882" s="265"/>
      <c r="G2882" s="267"/>
      <c r="H2882" s="268"/>
      <c r="I2882" s="268"/>
      <c r="J2882" s="267"/>
      <c r="K2882" s="265"/>
      <c r="L2882" s="265"/>
      <c r="M2882" s="269"/>
      <c r="N2882" s="270"/>
      <c r="O2882" s="271"/>
      <c r="P2882" s="271"/>
      <c r="Q2882" s="272"/>
      <c r="R2882" s="273"/>
      <c r="S2882" s="273"/>
      <c r="T2882" s="273"/>
      <c r="U2882" s="274"/>
      <c r="V2882" s="263"/>
      <c r="W2882" s="188"/>
      <c r="X2882" s="188"/>
      <c r="Y2882" s="188"/>
      <c r="Z2882" s="188"/>
      <c r="AA2882" s="188"/>
      <c r="AB2882" s="188"/>
      <c r="AC2882" s="188"/>
      <c r="AD2882" s="188"/>
      <c r="AE2882" s="188"/>
      <c r="AF2882" s="188"/>
      <c r="AG2882" s="188"/>
      <c r="AH2882" s="188"/>
      <c r="AI2882" s="188"/>
    </row>
    <row r="2883">
      <c r="A2883" s="263"/>
      <c r="B2883" s="264"/>
      <c r="C2883" s="265"/>
      <c r="D2883" s="265"/>
      <c r="E2883" s="264"/>
      <c r="F2883" s="265"/>
      <c r="G2883" s="267"/>
      <c r="H2883" s="268"/>
      <c r="I2883" s="268"/>
      <c r="J2883" s="267"/>
      <c r="K2883" s="265"/>
      <c r="L2883" s="265"/>
      <c r="M2883" s="269"/>
      <c r="N2883" s="270"/>
      <c r="O2883" s="271"/>
      <c r="P2883" s="271"/>
      <c r="Q2883" s="272"/>
      <c r="R2883" s="273"/>
      <c r="S2883" s="273"/>
      <c r="T2883" s="273"/>
      <c r="U2883" s="274"/>
      <c r="V2883" s="263"/>
      <c r="W2883" s="35"/>
      <c r="X2883" s="35"/>
      <c r="Y2883" s="35"/>
      <c r="Z2883" s="35"/>
      <c r="AA2883" s="35"/>
      <c r="AB2883" s="35"/>
      <c r="AC2883" s="35"/>
      <c r="AD2883" s="35"/>
      <c r="AE2883" s="35"/>
      <c r="AF2883" s="35"/>
      <c r="AG2883" s="35"/>
      <c r="AH2883" s="35"/>
      <c r="AI2883" s="35"/>
    </row>
    <row r="2884">
      <c r="A2884" s="263"/>
      <c r="B2884" s="264"/>
      <c r="C2884" s="265"/>
      <c r="D2884" s="265"/>
      <c r="E2884" s="264"/>
      <c r="F2884" s="265"/>
      <c r="G2884" s="267"/>
      <c r="H2884" s="268"/>
      <c r="I2884" s="268"/>
      <c r="J2884" s="267"/>
      <c r="K2884" s="265"/>
      <c r="L2884" s="265"/>
      <c r="M2884" s="269"/>
      <c r="N2884" s="270"/>
      <c r="O2884" s="271"/>
      <c r="P2884" s="271"/>
      <c r="Q2884" s="272"/>
      <c r="R2884" s="273"/>
      <c r="S2884" s="273"/>
      <c r="T2884" s="273"/>
      <c r="U2884" s="274"/>
      <c r="V2884" s="263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</row>
    <row r="2885">
      <c r="A2885" s="263"/>
      <c r="B2885" s="264"/>
      <c r="C2885" s="265"/>
      <c r="D2885" s="265"/>
      <c r="E2885" s="264"/>
      <c r="F2885" s="265"/>
      <c r="G2885" s="267"/>
      <c r="H2885" s="268"/>
      <c r="I2885" s="268"/>
      <c r="J2885" s="267"/>
      <c r="K2885" s="265"/>
      <c r="L2885" s="265"/>
      <c r="M2885" s="269"/>
      <c r="N2885" s="270"/>
      <c r="O2885" s="271"/>
      <c r="P2885" s="271"/>
      <c r="Q2885" s="272"/>
      <c r="R2885" s="273"/>
      <c r="S2885" s="273"/>
      <c r="T2885" s="273"/>
      <c r="U2885" s="274"/>
      <c r="V2885" s="263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</row>
    <row r="2886">
      <c r="A2886" s="263"/>
      <c r="B2886" s="264"/>
      <c r="C2886" s="265"/>
      <c r="D2886" s="265"/>
      <c r="E2886" s="264"/>
      <c r="F2886" s="265"/>
      <c r="G2886" s="267"/>
      <c r="H2886" s="268"/>
      <c r="I2886" s="268"/>
      <c r="J2886" s="267"/>
      <c r="K2886" s="265"/>
      <c r="L2886" s="265"/>
      <c r="M2886" s="269"/>
      <c r="N2886" s="270"/>
      <c r="O2886" s="271"/>
      <c r="P2886" s="271"/>
      <c r="Q2886" s="272"/>
      <c r="R2886" s="273"/>
      <c r="S2886" s="273"/>
      <c r="T2886" s="273"/>
      <c r="U2886" s="274"/>
      <c r="V2886" s="263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</row>
    <row r="2887">
      <c r="A2887" s="263"/>
      <c r="B2887" s="264"/>
      <c r="C2887" s="265"/>
      <c r="D2887" s="265"/>
      <c r="E2887" s="264"/>
      <c r="F2887" s="265"/>
      <c r="G2887" s="267"/>
      <c r="H2887" s="268"/>
      <c r="I2887" s="268"/>
      <c r="J2887" s="267"/>
      <c r="K2887" s="265"/>
      <c r="L2887" s="265"/>
      <c r="M2887" s="269"/>
      <c r="N2887" s="270"/>
      <c r="O2887" s="271"/>
      <c r="P2887" s="271"/>
      <c r="Q2887" s="272"/>
      <c r="R2887" s="273"/>
      <c r="S2887" s="273"/>
      <c r="T2887" s="273"/>
      <c r="U2887" s="274"/>
      <c r="V2887" s="263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</row>
    <row r="2888">
      <c r="A2888" s="263"/>
      <c r="B2888" s="264"/>
      <c r="C2888" s="265"/>
      <c r="D2888" s="265"/>
      <c r="E2888" s="264"/>
      <c r="F2888" s="265"/>
      <c r="G2888" s="267"/>
      <c r="H2888" s="268"/>
      <c r="I2888" s="268"/>
      <c r="J2888" s="267"/>
      <c r="K2888" s="265"/>
      <c r="L2888" s="265"/>
      <c r="M2888" s="269"/>
      <c r="N2888" s="270"/>
      <c r="O2888" s="271"/>
      <c r="P2888" s="271"/>
      <c r="Q2888" s="272"/>
      <c r="R2888" s="273"/>
      <c r="S2888" s="273"/>
      <c r="T2888" s="273"/>
      <c r="U2888" s="274"/>
      <c r="V2888" s="263"/>
      <c r="W2888" s="188"/>
      <c r="X2888" s="188"/>
      <c r="Y2888" s="188"/>
      <c r="Z2888" s="188"/>
      <c r="AA2888" s="188"/>
      <c r="AB2888" s="188"/>
      <c r="AC2888" s="188"/>
      <c r="AD2888" s="188"/>
      <c r="AE2888" s="188"/>
      <c r="AF2888" s="188"/>
      <c r="AG2888" s="188"/>
      <c r="AH2888" s="188"/>
      <c r="AI2888" s="188"/>
    </row>
    <row r="2889">
      <c r="A2889" s="263"/>
      <c r="B2889" s="264"/>
      <c r="C2889" s="265"/>
      <c r="D2889" s="265"/>
      <c r="E2889" s="264"/>
      <c r="F2889" s="265"/>
      <c r="G2889" s="267"/>
      <c r="H2889" s="268"/>
      <c r="I2889" s="268"/>
      <c r="J2889" s="267"/>
      <c r="K2889" s="265"/>
      <c r="L2889" s="265"/>
      <c r="M2889" s="269"/>
      <c r="N2889" s="270"/>
      <c r="O2889" s="271"/>
      <c r="P2889" s="271"/>
      <c r="Q2889" s="272"/>
      <c r="R2889" s="273"/>
      <c r="S2889" s="273"/>
      <c r="T2889" s="273"/>
      <c r="U2889" s="274"/>
      <c r="V2889" s="263"/>
      <c r="W2889" s="188"/>
      <c r="X2889" s="188"/>
      <c r="Y2889" s="188"/>
      <c r="Z2889" s="188"/>
      <c r="AA2889" s="188"/>
      <c r="AB2889" s="188"/>
      <c r="AC2889" s="188"/>
      <c r="AD2889" s="188"/>
      <c r="AE2889" s="188"/>
      <c r="AF2889" s="188"/>
      <c r="AG2889" s="188"/>
      <c r="AH2889" s="188"/>
      <c r="AI2889" s="188"/>
    </row>
    <row r="2890">
      <c r="A2890" s="263"/>
      <c r="B2890" s="264"/>
      <c r="C2890" s="265"/>
      <c r="D2890" s="265"/>
      <c r="E2890" s="264"/>
      <c r="F2890" s="265"/>
      <c r="G2890" s="267"/>
      <c r="H2890" s="268"/>
      <c r="I2890" s="268"/>
      <c r="J2890" s="267"/>
      <c r="K2890" s="265"/>
      <c r="L2890" s="265"/>
      <c r="M2890" s="269"/>
      <c r="N2890" s="270"/>
      <c r="O2890" s="271"/>
      <c r="P2890" s="271"/>
      <c r="Q2890" s="272"/>
      <c r="R2890" s="273"/>
      <c r="S2890" s="273"/>
      <c r="T2890" s="273"/>
      <c r="U2890" s="274"/>
      <c r="V2890" s="263"/>
      <c r="W2890" s="188"/>
      <c r="X2890" s="188"/>
      <c r="Y2890" s="188"/>
      <c r="Z2890" s="188"/>
      <c r="AA2890" s="188"/>
      <c r="AB2890" s="188"/>
      <c r="AC2890" s="188"/>
      <c r="AD2890" s="188"/>
      <c r="AE2890" s="188"/>
      <c r="AF2890" s="188"/>
      <c r="AG2890" s="188"/>
      <c r="AH2890" s="188"/>
      <c r="AI2890" s="188"/>
    </row>
    <row r="2891">
      <c r="A2891" s="263"/>
      <c r="B2891" s="264"/>
      <c r="C2891" s="265"/>
      <c r="D2891" s="265"/>
      <c r="E2891" s="264"/>
      <c r="F2891" s="265"/>
      <c r="G2891" s="267"/>
      <c r="H2891" s="268"/>
      <c r="I2891" s="268"/>
      <c r="J2891" s="267"/>
      <c r="K2891" s="265"/>
      <c r="L2891" s="265"/>
      <c r="M2891" s="269"/>
      <c r="N2891" s="270"/>
      <c r="O2891" s="271"/>
      <c r="P2891" s="271"/>
      <c r="Q2891" s="272"/>
      <c r="R2891" s="273"/>
      <c r="S2891" s="273"/>
      <c r="T2891" s="273"/>
      <c r="U2891" s="274"/>
      <c r="V2891" s="263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</row>
    <row r="2892">
      <c r="A2892" s="263"/>
      <c r="B2892" s="264"/>
      <c r="C2892" s="265"/>
      <c r="D2892" s="265"/>
      <c r="E2892" s="264"/>
      <c r="F2892" s="265"/>
      <c r="G2892" s="267"/>
      <c r="H2892" s="268"/>
      <c r="I2892" s="268"/>
      <c r="J2892" s="267"/>
      <c r="K2892" s="265"/>
      <c r="L2892" s="265"/>
      <c r="M2892" s="269"/>
      <c r="N2892" s="270"/>
      <c r="O2892" s="271"/>
      <c r="P2892" s="271"/>
      <c r="Q2892" s="272"/>
      <c r="R2892" s="273"/>
      <c r="S2892" s="273"/>
      <c r="T2892" s="273"/>
      <c r="U2892" s="274"/>
      <c r="V2892" s="263"/>
      <c r="W2892" s="35"/>
      <c r="X2892" s="35"/>
      <c r="Y2892" s="35"/>
      <c r="Z2892" s="35"/>
      <c r="AA2892" s="35"/>
      <c r="AB2892" s="35"/>
      <c r="AC2892" s="35"/>
      <c r="AD2892" s="35"/>
      <c r="AE2892" s="35"/>
      <c r="AF2892" s="35"/>
      <c r="AG2892" s="35"/>
      <c r="AH2892" s="35"/>
      <c r="AI2892" s="35"/>
    </row>
    <row r="2893">
      <c r="A2893" s="263"/>
      <c r="B2893" s="264"/>
      <c r="C2893" s="265"/>
      <c r="D2893" s="265"/>
      <c r="E2893" s="264"/>
      <c r="F2893" s="265"/>
      <c r="G2893" s="267"/>
      <c r="H2893" s="268"/>
      <c r="I2893" s="268"/>
      <c r="J2893" s="267"/>
      <c r="K2893" s="265"/>
      <c r="L2893" s="265"/>
      <c r="M2893" s="269"/>
      <c r="N2893" s="270"/>
      <c r="O2893" s="271"/>
      <c r="P2893" s="271"/>
      <c r="Q2893" s="272"/>
      <c r="R2893" s="273"/>
      <c r="S2893" s="273"/>
      <c r="T2893" s="273"/>
      <c r="U2893" s="274"/>
      <c r="V2893" s="263"/>
      <c r="W2893" s="35"/>
      <c r="X2893" s="35"/>
      <c r="Y2893" s="35"/>
      <c r="Z2893" s="35"/>
      <c r="AA2893" s="35"/>
      <c r="AB2893" s="35"/>
      <c r="AC2893" s="35"/>
      <c r="AD2893" s="35"/>
      <c r="AE2893" s="35"/>
      <c r="AF2893" s="35"/>
      <c r="AG2893" s="35"/>
      <c r="AH2893" s="35"/>
      <c r="AI2893" s="35"/>
    </row>
    <row r="2894">
      <c r="A2894" s="263"/>
      <c r="B2894" s="264"/>
      <c r="C2894" s="265"/>
      <c r="D2894" s="265"/>
      <c r="E2894" s="264"/>
      <c r="F2894" s="265"/>
      <c r="G2894" s="267"/>
      <c r="H2894" s="268"/>
      <c r="I2894" s="268"/>
      <c r="J2894" s="267"/>
      <c r="K2894" s="265"/>
      <c r="L2894" s="265"/>
      <c r="M2894" s="269"/>
      <c r="N2894" s="270"/>
      <c r="O2894" s="271"/>
      <c r="P2894" s="271"/>
      <c r="Q2894" s="272"/>
      <c r="R2894" s="273"/>
      <c r="S2894" s="273"/>
      <c r="T2894" s="273"/>
      <c r="U2894" s="274"/>
      <c r="V2894" s="263"/>
      <c r="W2894" s="188"/>
      <c r="X2894" s="188"/>
      <c r="Y2894" s="188"/>
      <c r="Z2894" s="188"/>
      <c r="AA2894" s="188"/>
      <c r="AB2894" s="188"/>
      <c r="AC2894" s="188"/>
      <c r="AD2894" s="188"/>
      <c r="AE2894" s="188"/>
      <c r="AF2894" s="188"/>
      <c r="AG2894" s="188"/>
      <c r="AH2894" s="188"/>
      <c r="AI2894" s="188"/>
    </row>
    <row r="2895">
      <c r="A2895" s="263"/>
      <c r="B2895" s="264"/>
      <c r="C2895" s="265"/>
      <c r="D2895" s="265"/>
      <c r="E2895" s="264"/>
      <c r="F2895" s="265"/>
      <c r="G2895" s="267"/>
      <c r="H2895" s="268"/>
      <c r="I2895" s="268"/>
      <c r="J2895" s="267"/>
      <c r="K2895" s="265"/>
      <c r="L2895" s="265"/>
      <c r="M2895" s="269"/>
      <c r="N2895" s="270"/>
      <c r="O2895" s="271"/>
      <c r="P2895" s="271"/>
      <c r="Q2895" s="272"/>
      <c r="R2895" s="273"/>
      <c r="S2895" s="273"/>
      <c r="T2895" s="273"/>
      <c r="U2895" s="274"/>
      <c r="V2895" s="263"/>
      <c r="W2895" s="188"/>
      <c r="X2895" s="188"/>
      <c r="Y2895" s="188"/>
      <c r="Z2895" s="188"/>
      <c r="AA2895" s="188"/>
      <c r="AB2895" s="188"/>
      <c r="AC2895" s="188"/>
      <c r="AD2895" s="188"/>
      <c r="AE2895" s="188"/>
      <c r="AF2895" s="188"/>
      <c r="AG2895" s="188"/>
      <c r="AH2895" s="188"/>
      <c r="AI2895" s="188"/>
    </row>
    <row r="2896">
      <c r="A2896" s="263"/>
      <c r="B2896" s="264"/>
      <c r="C2896" s="265"/>
      <c r="D2896" s="265"/>
      <c r="E2896" s="264"/>
      <c r="F2896" s="265"/>
      <c r="G2896" s="267"/>
      <c r="H2896" s="268"/>
      <c r="I2896" s="268"/>
      <c r="J2896" s="267"/>
      <c r="K2896" s="265"/>
      <c r="L2896" s="265"/>
      <c r="M2896" s="269"/>
      <c r="N2896" s="270"/>
      <c r="O2896" s="271"/>
      <c r="P2896" s="271"/>
      <c r="Q2896" s="272"/>
      <c r="R2896" s="273"/>
      <c r="S2896" s="273"/>
      <c r="T2896" s="273"/>
      <c r="U2896" s="274"/>
      <c r="V2896" s="263"/>
      <c r="W2896" s="188"/>
      <c r="X2896" s="188"/>
      <c r="Y2896" s="188"/>
      <c r="Z2896" s="188"/>
      <c r="AA2896" s="188"/>
      <c r="AB2896" s="188"/>
      <c r="AC2896" s="188"/>
      <c r="AD2896" s="188"/>
      <c r="AE2896" s="188"/>
      <c r="AF2896" s="188"/>
      <c r="AG2896" s="188"/>
      <c r="AH2896" s="188"/>
      <c r="AI2896" s="188"/>
    </row>
    <row r="2897">
      <c r="A2897" s="263"/>
      <c r="B2897" s="264"/>
      <c r="C2897" s="265"/>
      <c r="D2897" s="265"/>
      <c r="E2897" s="264"/>
      <c r="F2897" s="265"/>
      <c r="G2897" s="267"/>
      <c r="H2897" s="268"/>
      <c r="I2897" s="268"/>
      <c r="J2897" s="267"/>
      <c r="K2897" s="265"/>
      <c r="L2897" s="265"/>
      <c r="M2897" s="269"/>
      <c r="N2897" s="270"/>
      <c r="O2897" s="271"/>
      <c r="P2897" s="271"/>
      <c r="Q2897" s="272"/>
      <c r="R2897" s="273"/>
      <c r="S2897" s="273"/>
      <c r="T2897" s="273"/>
      <c r="U2897" s="274"/>
      <c r="V2897" s="263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</row>
    <row r="2898">
      <c r="A2898" s="263"/>
      <c r="B2898" s="264"/>
      <c r="C2898" s="265"/>
      <c r="D2898" s="265"/>
      <c r="E2898" s="264"/>
      <c r="F2898" s="265"/>
      <c r="G2898" s="267"/>
      <c r="H2898" s="268"/>
      <c r="I2898" s="268"/>
      <c r="J2898" s="267"/>
      <c r="K2898" s="265"/>
      <c r="L2898" s="265"/>
      <c r="M2898" s="269"/>
      <c r="N2898" s="270"/>
      <c r="O2898" s="271"/>
      <c r="P2898" s="271"/>
      <c r="Q2898" s="272"/>
      <c r="R2898" s="273"/>
      <c r="S2898" s="273"/>
      <c r="T2898" s="273"/>
      <c r="U2898" s="274"/>
      <c r="V2898" s="263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</row>
    <row r="2899">
      <c r="A2899" s="263"/>
      <c r="B2899" s="264"/>
      <c r="C2899" s="265"/>
      <c r="D2899" s="265"/>
      <c r="E2899" s="264"/>
      <c r="F2899" s="265"/>
      <c r="G2899" s="267"/>
      <c r="H2899" s="268"/>
      <c r="I2899" s="268"/>
      <c r="J2899" s="267"/>
      <c r="K2899" s="265"/>
      <c r="L2899" s="265"/>
      <c r="M2899" s="269"/>
      <c r="N2899" s="270"/>
      <c r="O2899" s="271"/>
      <c r="P2899" s="271"/>
      <c r="Q2899" s="272"/>
      <c r="R2899" s="273"/>
      <c r="S2899" s="273"/>
      <c r="T2899" s="273"/>
      <c r="U2899" s="274"/>
      <c r="V2899" s="263"/>
      <c r="W2899" s="188"/>
      <c r="X2899" s="188"/>
      <c r="Y2899" s="188"/>
      <c r="Z2899" s="188"/>
      <c r="AA2899" s="188"/>
      <c r="AB2899" s="188"/>
      <c r="AC2899" s="188"/>
      <c r="AD2899" s="188"/>
      <c r="AE2899" s="188"/>
      <c r="AF2899" s="188"/>
      <c r="AG2899" s="188"/>
      <c r="AH2899" s="188"/>
      <c r="AI2899" s="188"/>
    </row>
    <row r="2900">
      <c r="A2900" s="263"/>
      <c r="B2900" s="264"/>
      <c r="C2900" s="265"/>
      <c r="D2900" s="265"/>
      <c r="E2900" s="264"/>
      <c r="F2900" s="265"/>
      <c r="G2900" s="267"/>
      <c r="H2900" s="268"/>
      <c r="I2900" s="268"/>
      <c r="J2900" s="267"/>
      <c r="K2900" s="265"/>
      <c r="L2900" s="265"/>
      <c r="M2900" s="269"/>
      <c r="N2900" s="270"/>
      <c r="O2900" s="271"/>
      <c r="P2900" s="271"/>
      <c r="Q2900" s="272"/>
      <c r="R2900" s="273"/>
      <c r="S2900" s="273"/>
      <c r="T2900" s="273"/>
      <c r="U2900" s="274"/>
      <c r="V2900" s="263"/>
      <c r="W2900" s="35"/>
      <c r="X2900" s="35"/>
      <c r="Y2900" s="35"/>
      <c r="Z2900" s="35"/>
      <c r="AA2900" s="35"/>
      <c r="AB2900" s="35"/>
      <c r="AC2900" s="35"/>
      <c r="AD2900" s="35"/>
      <c r="AE2900" s="35"/>
      <c r="AF2900" s="35"/>
      <c r="AG2900" s="35"/>
      <c r="AH2900" s="35"/>
      <c r="AI2900" s="35"/>
    </row>
    <row r="2901">
      <c r="A2901" s="263"/>
      <c r="B2901" s="264"/>
      <c r="C2901" s="265"/>
      <c r="D2901" s="265"/>
      <c r="E2901" s="264"/>
      <c r="F2901" s="265"/>
      <c r="G2901" s="267"/>
      <c r="H2901" s="268"/>
      <c r="I2901" s="268"/>
      <c r="J2901" s="267"/>
      <c r="K2901" s="265"/>
      <c r="L2901" s="265"/>
      <c r="M2901" s="269"/>
      <c r="N2901" s="270"/>
      <c r="O2901" s="271"/>
      <c r="P2901" s="271"/>
      <c r="Q2901" s="272"/>
      <c r="R2901" s="273"/>
      <c r="S2901" s="273"/>
      <c r="T2901" s="273"/>
      <c r="U2901" s="274"/>
      <c r="V2901" s="263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</row>
    <row r="2902">
      <c r="A2902" s="263"/>
      <c r="B2902" s="264"/>
      <c r="C2902" s="265"/>
      <c r="D2902" s="265"/>
      <c r="E2902" s="264"/>
      <c r="F2902" s="265"/>
      <c r="G2902" s="267"/>
      <c r="H2902" s="268"/>
      <c r="I2902" s="268"/>
      <c r="J2902" s="267"/>
      <c r="K2902" s="265"/>
      <c r="L2902" s="265"/>
      <c r="M2902" s="269"/>
      <c r="N2902" s="270"/>
      <c r="O2902" s="271"/>
      <c r="P2902" s="271"/>
      <c r="Q2902" s="272"/>
      <c r="R2902" s="273"/>
      <c r="S2902" s="273"/>
      <c r="T2902" s="273"/>
      <c r="U2902" s="274"/>
      <c r="V2902" s="263"/>
      <c r="W2902" s="35"/>
      <c r="X2902" s="35"/>
      <c r="Y2902" s="35"/>
      <c r="Z2902" s="35"/>
      <c r="AA2902" s="35"/>
      <c r="AB2902" s="35"/>
      <c r="AC2902" s="35"/>
      <c r="AD2902" s="35"/>
      <c r="AE2902" s="35"/>
      <c r="AF2902" s="35"/>
      <c r="AG2902" s="35"/>
      <c r="AH2902" s="35"/>
      <c r="AI2902" s="35"/>
    </row>
    <row r="2903">
      <c r="A2903" s="263"/>
      <c r="B2903" s="264"/>
      <c r="C2903" s="265"/>
      <c r="D2903" s="265"/>
      <c r="E2903" s="264"/>
      <c r="F2903" s="265"/>
      <c r="G2903" s="267"/>
      <c r="H2903" s="268"/>
      <c r="I2903" s="268"/>
      <c r="J2903" s="267"/>
      <c r="K2903" s="265"/>
      <c r="L2903" s="265"/>
      <c r="M2903" s="269"/>
      <c r="N2903" s="270"/>
      <c r="O2903" s="271"/>
      <c r="P2903" s="271"/>
      <c r="Q2903" s="272"/>
      <c r="R2903" s="273"/>
      <c r="S2903" s="273"/>
      <c r="T2903" s="273"/>
      <c r="U2903" s="274"/>
      <c r="V2903" s="263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</row>
    <row r="2904">
      <c r="A2904" s="263"/>
      <c r="B2904" s="264"/>
      <c r="C2904" s="265"/>
      <c r="D2904" s="265"/>
      <c r="E2904" s="264"/>
      <c r="F2904" s="265"/>
      <c r="G2904" s="267"/>
      <c r="H2904" s="268"/>
      <c r="I2904" s="268"/>
      <c r="J2904" s="267"/>
      <c r="K2904" s="265"/>
      <c r="L2904" s="265"/>
      <c r="M2904" s="269"/>
      <c r="N2904" s="270"/>
      <c r="O2904" s="271"/>
      <c r="P2904" s="271"/>
      <c r="Q2904" s="272"/>
      <c r="R2904" s="273"/>
      <c r="S2904" s="273"/>
      <c r="T2904" s="273"/>
      <c r="U2904" s="274"/>
      <c r="V2904" s="263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</row>
    <row r="2905">
      <c r="A2905" s="263"/>
      <c r="B2905" s="264"/>
      <c r="C2905" s="265"/>
      <c r="D2905" s="265"/>
      <c r="E2905" s="264"/>
      <c r="F2905" s="265"/>
      <c r="G2905" s="267"/>
      <c r="H2905" s="268"/>
      <c r="I2905" s="268"/>
      <c r="J2905" s="267"/>
      <c r="K2905" s="265"/>
      <c r="L2905" s="265"/>
      <c r="M2905" s="269"/>
      <c r="N2905" s="270"/>
      <c r="O2905" s="271"/>
      <c r="P2905" s="271"/>
      <c r="Q2905" s="272"/>
      <c r="R2905" s="273"/>
      <c r="S2905" s="273"/>
      <c r="T2905" s="273"/>
      <c r="U2905" s="274"/>
      <c r="V2905" s="263"/>
      <c r="W2905" s="36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</row>
    <row r="2906">
      <c r="A2906" s="263"/>
      <c r="B2906" s="264"/>
      <c r="C2906" s="265"/>
      <c r="D2906" s="265"/>
      <c r="E2906" s="264"/>
      <c r="F2906" s="265"/>
      <c r="G2906" s="267"/>
      <c r="H2906" s="268"/>
      <c r="I2906" s="268"/>
      <c r="J2906" s="267"/>
      <c r="K2906" s="265"/>
      <c r="L2906" s="265"/>
      <c r="M2906" s="269"/>
      <c r="N2906" s="270"/>
      <c r="O2906" s="271"/>
      <c r="P2906" s="271"/>
      <c r="Q2906" s="272"/>
      <c r="R2906" s="273"/>
      <c r="S2906" s="273"/>
      <c r="T2906" s="273"/>
      <c r="U2906" s="274"/>
      <c r="V2906" s="263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</row>
    <row r="2907">
      <c r="A2907" s="263"/>
      <c r="B2907" s="264"/>
      <c r="C2907" s="265"/>
      <c r="D2907" s="265"/>
      <c r="E2907" s="264"/>
      <c r="F2907" s="265"/>
      <c r="G2907" s="267"/>
      <c r="H2907" s="268"/>
      <c r="I2907" s="268"/>
      <c r="J2907" s="267"/>
      <c r="K2907" s="265"/>
      <c r="L2907" s="265"/>
      <c r="M2907" s="269"/>
      <c r="N2907" s="270"/>
      <c r="O2907" s="271"/>
      <c r="P2907" s="271"/>
      <c r="Q2907" s="272"/>
      <c r="R2907" s="273"/>
      <c r="S2907" s="273"/>
      <c r="T2907" s="273"/>
      <c r="U2907" s="274"/>
      <c r="V2907" s="263"/>
      <c r="W2907" s="35"/>
      <c r="X2907" s="35"/>
      <c r="Y2907" s="35"/>
      <c r="Z2907" s="35"/>
      <c r="AA2907" s="35"/>
      <c r="AB2907" s="35"/>
      <c r="AC2907" s="35"/>
      <c r="AD2907" s="35"/>
      <c r="AE2907" s="35"/>
      <c r="AF2907" s="35"/>
      <c r="AG2907" s="35"/>
      <c r="AH2907" s="35"/>
      <c r="AI2907" s="35"/>
    </row>
    <row r="2908">
      <c r="A2908" s="263"/>
      <c r="B2908" s="264"/>
      <c r="C2908" s="265"/>
      <c r="D2908" s="265"/>
      <c r="E2908" s="264"/>
      <c r="F2908" s="265"/>
      <c r="G2908" s="267"/>
      <c r="H2908" s="268"/>
      <c r="I2908" s="268"/>
      <c r="J2908" s="267"/>
      <c r="K2908" s="265"/>
      <c r="L2908" s="265"/>
      <c r="M2908" s="269"/>
      <c r="N2908" s="270"/>
      <c r="O2908" s="271"/>
      <c r="P2908" s="271"/>
      <c r="Q2908" s="272"/>
      <c r="R2908" s="273"/>
      <c r="S2908" s="273"/>
      <c r="T2908" s="273"/>
      <c r="U2908" s="274"/>
      <c r="V2908" s="263"/>
      <c r="W2908" s="188"/>
      <c r="X2908" s="188"/>
      <c r="Y2908" s="188"/>
      <c r="Z2908" s="188"/>
      <c r="AA2908" s="188"/>
      <c r="AB2908" s="188"/>
      <c r="AC2908" s="188"/>
      <c r="AD2908" s="188"/>
      <c r="AE2908" s="188"/>
      <c r="AF2908" s="188"/>
      <c r="AG2908" s="188"/>
      <c r="AH2908" s="188"/>
      <c r="AI2908" s="188"/>
    </row>
    <row r="2909">
      <c r="A2909" s="263"/>
      <c r="B2909" s="264"/>
      <c r="C2909" s="265"/>
      <c r="D2909" s="265"/>
      <c r="E2909" s="264"/>
      <c r="F2909" s="265"/>
      <c r="G2909" s="267"/>
      <c r="H2909" s="268"/>
      <c r="I2909" s="268"/>
      <c r="J2909" s="267"/>
      <c r="K2909" s="265"/>
      <c r="L2909" s="265"/>
      <c r="M2909" s="269"/>
      <c r="N2909" s="270"/>
      <c r="O2909" s="271"/>
      <c r="P2909" s="271"/>
      <c r="Q2909" s="272"/>
      <c r="R2909" s="273"/>
      <c r="S2909" s="273"/>
      <c r="T2909" s="273"/>
      <c r="U2909" s="274"/>
      <c r="V2909" s="263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</row>
    <row r="2910">
      <c r="A2910" s="263"/>
      <c r="B2910" s="264"/>
      <c r="C2910" s="265"/>
      <c r="D2910" s="265"/>
      <c r="E2910" s="264"/>
      <c r="F2910" s="265"/>
      <c r="G2910" s="267"/>
      <c r="H2910" s="268"/>
      <c r="I2910" s="268"/>
      <c r="J2910" s="267"/>
      <c r="K2910" s="265"/>
      <c r="L2910" s="265"/>
      <c r="M2910" s="269"/>
      <c r="N2910" s="270"/>
      <c r="O2910" s="271"/>
      <c r="P2910" s="271"/>
      <c r="Q2910" s="272"/>
      <c r="R2910" s="273"/>
      <c r="S2910" s="273"/>
      <c r="T2910" s="273"/>
      <c r="U2910" s="274"/>
      <c r="V2910" s="263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</row>
    <row r="2911">
      <c r="A2911" s="263"/>
      <c r="B2911" s="264"/>
      <c r="C2911" s="265"/>
      <c r="D2911" s="265"/>
      <c r="E2911" s="264"/>
      <c r="F2911" s="265"/>
      <c r="G2911" s="267"/>
      <c r="H2911" s="268"/>
      <c r="I2911" s="268"/>
      <c r="J2911" s="267"/>
      <c r="K2911" s="265"/>
      <c r="L2911" s="265"/>
      <c r="M2911" s="269"/>
      <c r="N2911" s="270"/>
      <c r="O2911" s="271"/>
      <c r="P2911" s="271"/>
      <c r="Q2911" s="272"/>
      <c r="R2911" s="273"/>
      <c r="S2911" s="273"/>
      <c r="T2911" s="273"/>
      <c r="U2911" s="274"/>
      <c r="V2911" s="263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</row>
    <row r="2912">
      <c r="A2912" s="263"/>
      <c r="B2912" s="264"/>
      <c r="C2912" s="265"/>
      <c r="D2912" s="265"/>
      <c r="E2912" s="264"/>
      <c r="F2912" s="265"/>
      <c r="G2912" s="267"/>
      <c r="H2912" s="268"/>
      <c r="I2912" s="268"/>
      <c r="J2912" s="267"/>
      <c r="K2912" s="265"/>
      <c r="L2912" s="265"/>
      <c r="M2912" s="269"/>
      <c r="N2912" s="270"/>
      <c r="O2912" s="271"/>
      <c r="P2912" s="271"/>
      <c r="Q2912" s="272"/>
      <c r="R2912" s="273"/>
      <c r="S2912" s="273"/>
      <c r="T2912" s="273"/>
      <c r="U2912" s="274"/>
      <c r="V2912" s="263"/>
      <c r="W2912" s="35"/>
      <c r="X2912" s="35"/>
      <c r="Y2912" s="35"/>
      <c r="Z2912" s="35"/>
      <c r="AA2912" s="35"/>
      <c r="AB2912" s="35"/>
      <c r="AC2912" s="35"/>
      <c r="AD2912" s="35"/>
      <c r="AE2912" s="35"/>
      <c r="AF2912" s="35"/>
      <c r="AG2912" s="35"/>
      <c r="AH2912" s="35"/>
      <c r="AI2912" s="35"/>
    </row>
    <row r="2913">
      <c r="A2913" s="263"/>
      <c r="B2913" s="264"/>
      <c r="C2913" s="265"/>
      <c r="D2913" s="265"/>
      <c r="E2913" s="264"/>
      <c r="F2913" s="265"/>
      <c r="G2913" s="267"/>
      <c r="H2913" s="268"/>
      <c r="I2913" s="268"/>
      <c r="J2913" s="267"/>
      <c r="K2913" s="265"/>
      <c r="L2913" s="265"/>
      <c r="M2913" s="269"/>
      <c r="N2913" s="270"/>
      <c r="O2913" s="271"/>
      <c r="P2913" s="271"/>
      <c r="Q2913" s="272"/>
      <c r="R2913" s="273"/>
      <c r="S2913" s="273"/>
      <c r="T2913" s="273"/>
      <c r="U2913" s="274"/>
      <c r="V2913" s="263"/>
      <c r="W2913" s="188"/>
      <c r="X2913" s="188"/>
      <c r="Y2913" s="188"/>
      <c r="Z2913" s="188"/>
      <c r="AA2913" s="188"/>
      <c r="AB2913" s="188"/>
      <c r="AC2913" s="188"/>
      <c r="AD2913" s="188"/>
      <c r="AE2913" s="188"/>
      <c r="AF2913" s="188"/>
      <c r="AG2913" s="188"/>
      <c r="AH2913" s="188"/>
      <c r="AI2913" s="188"/>
    </row>
    <row r="2914">
      <c r="A2914" s="263"/>
      <c r="B2914" s="264"/>
      <c r="C2914" s="265"/>
      <c r="D2914" s="265"/>
      <c r="E2914" s="264"/>
      <c r="F2914" s="265"/>
      <c r="G2914" s="267"/>
      <c r="H2914" s="268"/>
      <c r="I2914" s="268"/>
      <c r="J2914" s="267"/>
      <c r="K2914" s="265"/>
      <c r="L2914" s="265"/>
      <c r="M2914" s="269"/>
      <c r="N2914" s="270"/>
      <c r="O2914" s="271"/>
      <c r="P2914" s="271"/>
      <c r="Q2914" s="272"/>
      <c r="R2914" s="273"/>
      <c r="S2914" s="273"/>
      <c r="T2914" s="273"/>
      <c r="U2914" s="274"/>
      <c r="V2914" s="263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</row>
    <row r="2915">
      <c r="A2915" s="263"/>
      <c r="B2915" s="264"/>
      <c r="C2915" s="265"/>
      <c r="D2915" s="265"/>
      <c r="E2915" s="264"/>
      <c r="F2915" s="265"/>
      <c r="G2915" s="267"/>
      <c r="H2915" s="268"/>
      <c r="I2915" s="268"/>
      <c r="J2915" s="267"/>
      <c r="K2915" s="265"/>
      <c r="L2915" s="265"/>
      <c r="M2915" s="269"/>
      <c r="N2915" s="270"/>
      <c r="O2915" s="271"/>
      <c r="P2915" s="271"/>
      <c r="Q2915" s="272"/>
      <c r="R2915" s="273"/>
      <c r="S2915" s="273"/>
      <c r="T2915" s="273"/>
      <c r="U2915" s="274"/>
      <c r="V2915" s="263"/>
      <c r="W2915" s="188"/>
      <c r="X2915" s="188"/>
      <c r="Y2915" s="188"/>
      <c r="Z2915" s="188"/>
      <c r="AA2915" s="188"/>
      <c r="AB2915" s="188"/>
      <c r="AC2915" s="188"/>
      <c r="AD2915" s="188"/>
      <c r="AE2915" s="188"/>
      <c r="AF2915" s="188"/>
      <c r="AG2915" s="188"/>
      <c r="AH2915" s="188"/>
      <c r="AI2915" s="188"/>
    </row>
    <row r="2916">
      <c r="A2916" s="263"/>
      <c r="B2916" s="264"/>
      <c r="C2916" s="265"/>
      <c r="D2916" s="265"/>
      <c r="E2916" s="264"/>
      <c r="F2916" s="265"/>
      <c r="G2916" s="267"/>
      <c r="H2916" s="268"/>
      <c r="I2916" s="268"/>
      <c r="J2916" s="267"/>
      <c r="K2916" s="265"/>
      <c r="L2916" s="265"/>
      <c r="M2916" s="269"/>
      <c r="N2916" s="270"/>
      <c r="O2916" s="271"/>
      <c r="P2916" s="271"/>
      <c r="Q2916" s="272"/>
      <c r="R2916" s="273"/>
      <c r="S2916" s="273"/>
      <c r="T2916" s="273"/>
      <c r="U2916" s="274"/>
      <c r="V2916" s="263"/>
      <c r="W2916" s="188"/>
      <c r="X2916" s="188"/>
      <c r="Y2916" s="188"/>
      <c r="Z2916" s="188"/>
      <c r="AA2916" s="188"/>
      <c r="AB2916" s="188"/>
      <c r="AC2916" s="188"/>
      <c r="AD2916" s="188"/>
      <c r="AE2916" s="188"/>
      <c r="AF2916" s="188"/>
      <c r="AG2916" s="188"/>
      <c r="AH2916" s="188"/>
      <c r="AI2916" s="188"/>
    </row>
    <row r="2917">
      <c r="A2917" s="263"/>
      <c r="B2917" s="264"/>
      <c r="C2917" s="265"/>
      <c r="D2917" s="265"/>
      <c r="E2917" s="264"/>
      <c r="F2917" s="265"/>
      <c r="G2917" s="267"/>
      <c r="H2917" s="268"/>
      <c r="I2917" s="268"/>
      <c r="J2917" s="267"/>
      <c r="K2917" s="265"/>
      <c r="L2917" s="265"/>
      <c r="M2917" s="269"/>
      <c r="N2917" s="270"/>
      <c r="O2917" s="271"/>
      <c r="P2917" s="271"/>
      <c r="Q2917" s="272"/>
      <c r="R2917" s="273"/>
      <c r="S2917" s="273"/>
      <c r="T2917" s="273"/>
      <c r="U2917" s="274"/>
      <c r="V2917" s="263"/>
      <c r="W2917" s="35"/>
      <c r="X2917" s="35"/>
      <c r="Y2917" s="35"/>
      <c r="Z2917" s="35"/>
      <c r="AA2917" s="35"/>
      <c r="AB2917" s="35"/>
      <c r="AC2917" s="35"/>
      <c r="AD2917" s="35"/>
      <c r="AE2917" s="35"/>
      <c r="AF2917" s="35"/>
      <c r="AG2917" s="35"/>
      <c r="AH2917" s="35"/>
      <c r="AI2917" s="35"/>
    </row>
    <row r="2918">
      <c r="A2918" s="263"/>
      <c r="B2918" s="264"/>
      <c r="C2918" s="265"/>
      <c r="D2918" s="265"/>
      <c r="E2918" s="264"/>
      <c r="F2918" s="265"/>
      <c r="G2918" s="267"/>
      <c r="H2918" s="268"/>
      <c r="I2918" s="268"/>
      <c r="J2918" s="267"/>
      <c r="K2918" s="265"/>
      <c r="L2918" s="265"/>
      <c r="M2918" s="269"/>
      <c r="N2918" s="270"/>
      <c r="O2918" s="271"/>
      <c r="P2918" s="271"/>
      <c r="Q2918" s="272"/>
      <c r="R2918" s="273"/>
      <c r="S2918" s="273"/>
      <c r="T2918" s="273"/>
      <c r="U2918" s="274"/>
      <c r="V2918" s="263"/>
      <c r="W2918" s="188"/>
      <c r="X2918" s="188"/>
      <c r="Y2918" s="188"/>
      <c r="Z2918" s="188"/>
      <c r="AA2918" s="188"/>
      <c r="AB2918" s="188"/>
      <c r="AC2918" s="188"/>
      <c r="AD2918" s="188"/>
      <c r="AE2918" s="188"/>
      <c r="AF2918" s="188"/>
      <c r="AG2918" s="188"/>
      <c r="AH2918" s="188"/>
      <c r="AI2918" s="188"/>
    </row>
    <row r="2919">
      <c r="A2919" s="263"/>
      <c r="B2919" s="264"/>
      <c r="C2919" s="265"/>
      <c r="D2919" s="265"/>
      <c r="E2919" s="264"/>
      <c r="F2919" s="265"/>
      <c r="G2919" s="267"/>
      <c r="H2919" s="268"/>
      <c r="I2919" s="268"/>
      <c r="J2919" s="267"/>
      <c r="K2919" s="265"/>
      <c r="L2919" s="265"/>
      <c r="M2919" s="269"/>
      <c r="N2919" s="270"/>
      <c r="O2919" s="271"/>
      <c r="P2919" s="271"/>
      <c r="Q2919" s="272"/>
      <c r="R2919" s="273"/>
      <c r="S2919" s="273"/>
      <c r="T2919" s="273"/>
      <c r="U2919" s="274"/>
      <c r="V2919" s="263"/>
      <c r="W2919" s="188"/>
      <c r="X2919" s="188"/>
      <c r="Y2919" s="188"/>
      <c r="Z2919" s="188"/>
      <c r="AA2919" s="188"/>
      <c r="AB2919" s="188"/>
      <c r="AC2919" s="188"/>
      <c r="AD2919" s="188"/>
      <c r="AE2919" s="188"/>
      <c r="AF2919" s="188"/>
      <c r="AG2919" s="188"/>
      <c r="AH2919" s="188"/>
      <c r="AI2919" s="188"/>
    </row>
    <row r="2920">
      <c r="A2920" s="263"/>
      <c r="B2920" s="264"/>
      <c r="C2920" s="265"/>
      <c r="D2920" s="265"/>
      <c r="E2920" s="264"/>
      <c r="F2920" s="265"/>
      <c r="G2920" s="267"/>
      <c r="H2920" s="268"/>
      <c r="I2920" s="268"/>
      <c r="J2920" s="267"/>
      <c r="K2920" s="265"/>
      <c r="L2920" s="265"/>
      <c r="M2920" s="269"/>
      <c r="N2920" s="270"/>
      <c r="O2920" s="271"/>
      <c r="P2920" s="271"/>
      <c r="Q2920" s="272"/>
      <c r="R2920" s="273"/>
      <c r="S2920" s="273"/>
      <c r="T2920" s="273"/>
      <c r="U2920" s="274"/>
      <c r="V2920" s="263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</row>
    <row r="2921">
      <c r="A2921" s="263"/>
      <c r="B2921" s="264"/>
      <c r="C2921" s="265"/>
      <c r="D2921" s="265"/>
      <c r="E2921" s="264"/>
      <c r="F2921" s="265"/>
      <c r="G2921" s="267"/>
      <c r="H2921" s="268"/>
      <c r="I2921" s="268"/>
      <c r="J2921" s="267"/>
      <c r="K2921" s="265"/>
      <c r="L2921" s="265"/>
      <c r="M2921" s="269"/>
      <c r="N2921" s="270"/>
      <c r="O2921" s="271"/>
      <c r="P2921" s="271"/>
      <c r="Q2921" s="272"/>
      <c r="R2921" s="273"/>
      <c r="S2921" s="273"/>
      <c r="T2921" s="273"/>
      <c r="U2921" s="274"/>
      <c r="V2921" s="263"/>
      <c r="W2921" s="188"/>
      <c r="X2921" s="188"/>
      <c r="Y2921" s="188"/>
      <c r="Z2921" s="188"/>
      <c r="AA2921" s="188"/>
      <c r="AB2921" s="188"/>
      <c r="AC2921" s="188"/>
      <c r="AD2921" s="188"/>
      <c r="AE2921" s="188"/>
      <c r="AF2921" s="188"/>
      <c r="AG2921" s="188"/>
      <c r="AH2921" s="188"/>
      <c r="AI2921" s="188"/>
    </row>
    <row r="2922">
      <c r="A2922" s="263"/>
      <c r="B2922" s="264"/>
      <c r="C2922" s="265"/>
      <c r="D2922" s="265"/>
      <c r="E2922" s="264"/>
      <c r="F2922" s="265"/>
      <c r="G2922" s="267"/>
      <c r="H2922" s="268"/>
      <c r="I2922" s="268"/>
      <c r="J2922" s="267"/>
      <c r="K2922" s="265"/>
      <c r="L2922" s="265"/>
      <c r="M2922" s="269"/>
      <c r="N2922" s="270"/>
      <c r="O2922" s="271"/>
      <c r="P2922" s="271"/>
      <c r="Q2922" s="272"/>
      <c r="R2922" s="273"/>
      <c r="S2922" s="273"/>
      <c r="T2922" s="273"/>
      <c r="U2922" s="274"/>
      <c r="V2922" s="263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</row>
    <row r="2923">
      <c r="A2923" s="263"/>
      <c r="B2923" s="264"/>
      <c r="C2923" s="265"/>
      <c r="D2923" s="265"/>
      <c r="E2923" s="264"/>
      <c r="F2923" s="265"/>
      <c r="G2923" s="267"/>
      <c r="H2923" s="268"/>
      <c r="I2923" s="268"/>
      <c r="J2923" s="267"/>
      <c r="K2923" s="265"/>
      <c r="L2923" s="265"/>
      <c r="M2923" s="269"/>
      <c r="N2923" s="270"/>
      <c r="O2923" s="271"/>
      <c r="P2923" s="271"/>
      <c r="Q2923" s="272"/>
      <c r="R2923" s="273"/>
      <c r="S2923" s="273"/>
      <c r="T2923" s="273"/>
      <c r="U2923" s="274"/>
      <c r="V2923" s="263"/>
      <c r="W2923" s="35"/>
      <c r="X2923" s="35"/>
      <c r="Y2923" s="35"/>
      <c r="Z2923" s="35"/>
      <c r="AA2923" s="35"/>
      <c r="AB2923" s="35"/>
      <c r="AC2923" s="35"/>
      <c r="AD2923" s="35"/>
      <c r="AE2923" s="35"/>
      <c r="AF2923" s="35"/>
      <c r="AG2923" s="35"/>
      <c r="AH2923" s="35"/>
      <c r="AI2923" s="35"/>
    </row>
    <row r="2924">
      <c r="A2924" s="263"/>
      <c r="B2924" s="264"/>
      <c r="C2924" s="265"/>
      <c r="D2924" s="265"/>
      <c r="E2924" s="264"/>
      <c r="F2924" s="265"/>
      <c r="G2924" s="267"/>
      <c r="H2924" s="268"/>
      <c r="I2924" s="268"/>
      <c r="J2924" s="267"/>
      <c r="K2924" s="265"/>
      <c r="L2924" s="265"/>
      <c r="M2924" s="269"/>
      <c r="N2924" s="270"/>
      <c r="O2924" s="271"/>
      <c r="P2924" s="271"/>
      <c r="Q2924" s="272"/>
      <c r="R2924" s="273"/>
      <c r="S2924" s="273"/>
      <c r="T2924" s="273"/>
      <c r="U2924" s="274"/>
      <c r="V2924" s="263"/>
      <c r="W2924" s="35"/>
      <c r="X2924" s="35"/>
      <c r="Y2924" s="35"/>
      <c r="Z2924" s="35"/>
      <c r="AA2924" s="35"/>
      <c r="AB2924" s="35"/>
      <c r="AC2924" s="35"/>
      <c r="AD2924" s="35"/>
      <c r="AE2924" s="35"/>
      <c r="AF2924" s="35"/>
      <c r="AG2924" s="35"/>
      <c r="AH2924" s="35"/>
      <c r="AI2924" s="35"/>
    </row>
    <row r="2925">
      <c r="A2925" s="263"/>
      <c r="B2925" s="264"/>
      <c r="C2925" s="265"/>
      <c r="D2925" s="265"/>
      <c r="E2925" s="264"/>
      <c r="F2925" s="265"/>
      <c r="G2925" s="267"/>
      <c r="H2925" s="268"/>
      <c r="I2925" s="268"/>
      <c r="J2925" s="267"/>
      <c r="K2925" s="265"/>
      <c r="L2925" s="265"/>
      <c r="M2925" s="269"/>
      <c r="N2925" s="270"/>
      <c r="O2925" s="271"/>
      <c r="P2925" s="271"/>
      <c r="Q2925" s="272"/>
      <c r="R2925" s="273"/>
      <c r="S2925" s="273"/>
      <c r="T2925" s="273"/>
      <c r="U2925" s="274"/>
      <c r="V2925" s="263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</row>
    <row r="2926">
      <c r="A2926" s="263"/>
      <c r="B2926" s="264"/>
      <c r="C2926" s="265"/>
      <c r="D2926" s="265"/>
      <c r="E2926" s="264"/>
      <c r="F2926" s="265"/>
      <c r="G2926" s="267"/>
      <c r="H2926" s="268"/>
      <c r="I2926" s="268"/>
      <c r="J2926" s="267"/>
      <c r="K2926" s="265"/>
      <c r="L2926" s="265"/>
      <c r="M2926" s="269"/>
      <c r="N2926" s="270"/>
      <c r="O2926" s="271"/>
      <c r="P2926" s="271"/>
      <c r="Q2926" s="272"/>
      <c r="R2926" s="273"/>
      <c r="S2926" s="273"/>
      <c r="T2926" s="273"/>
      <c r="U2926" s="274"/>
      <c r="V2926" s="263"/>
      <c r="W2926" s="35"/>
      <c r="X2926" s="35"/>
      <c r="Y2926" s="35"/>
      <c r="Z2926" s="35"/>
      <c r="AA2926" s="35"/>
      <c r="AB2926" s="35"/>
      <c r="AC2926" s="35"/>
      <c r="AD2926" s="35"/>
      <c r="AE2926" s="35"/>
      <c r="AF2926" s="35"/>
      <c r="AG2926" s="35"/>
      <c r="AH2926" s="35"/>
      <c r="AI2926" s="35"/>
    </row>
    <row r="2927">
      <c r="A2927" s="263"/>
      <c r="B2927" s="264"/>
      <c r="C2927" s="265"/>
      <c r="D2927" s="265"/>
      <c r="E2927" s="264"/>
      <c r="F2927" s="265"/>
      <c r="G2927" s="267"/>
      <c r="H2927" s="268"/>
      <c r="I2927" s="268"/>
      <c r="J2927" s="267"/>
      <c r="K2927" s="265"/>
      <c r="L2927" s="265"/>
      <c r="M2927" s="269"/>
      <c r="N2927" s="270"/>
      <c r="O2927" s="271"/>
      <c r="P2927" s="271"/>
      <c r="Q2927" s="272"/>
      <c r="R2927" s="273"/>
      <c r="S2927" s="273"/>
      <c r="T2927" s="273"/>
      <c r="U2927" s="274"/>
      <c r="V2927" s="263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</row>
    <row r="2928">
      <c r="A2928" s="263"/>
      <c r="B2928" s="264"/>
      <c r="C2928" s="265"/>
      <c r="D2928" s="265"/>
      <c r="E2928" s="264"/>
      <c r="F2928" s="265"/>
      <c r="G2928" s="267"/>
      <c r="H2928" s="268"/>
      <c r="I2928" s="268"/>
      <c r="J2928" s="267"/>
      <c r="K2928" s="265"/>
      <c r="L2928" s="265"/>
      <c r="M2928" s="269"/>
      <c r="N2928" s="270"/>
      <c r="O2928" s="271"/>
      <c r="P2928" s="271"/>
      <c r="Q2928" s="272"/>
      <c r="R2928" s="273"/>
      <c r="S2928" s="273"/>
      <c r="T2928" s="273"/>
      <c r="U2928" s="274"/>
      <c r="V2928" s="263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</row>
    <row r="2929">
      <c r="A2929" s="263"/>
      <c r="B2929" s="264"/>
      <c r="C2929" s="265"/>
      <c r="D2929" s="265"/>
      <c r="E2929" s="264"/>
      <c r="F2929" s="265"/>
      <c r="G2929" s="267"/>
      <c r="H2929" s="268"/>
      <c r="I2929" s="268"/>
      <c r="J2929" s="267"/>
      <c r="K2929" s="265"/>
      <c r="L2929" s="265"/>
      <c r="M2929" s="269"/>
      <c r="N2929" s="270"/>
      <c r="O2929" s="271"/>
      <c r="P2929" s="271"/>
      <c r="Q2929" s="272"/>
      <c r="R2929" s="273"/>
      <c r="S2929" s="273"/>
      <c r="T2929" s="273"/>
      <c r="U2929" s="274"/>
      <c r="V2929" s="263"/>
      <c r="W2929" s="188"/>
      <c r="X2929" s="188"/>
      <c r="Y2929" s="188"/>
      <c r="Z2929" s="188"/>
      <c r="AA2929" s="188"/>
      <c r="AB2929" s="188"/>
      <c r="AC2929" s="188"/>
      <c r="AD2929" s="188"/>
      <c r="AE2929" s="188"/>
      <c r="AF2929" s="188"/>
      <c r="AG2929" s="188"/>
      <c r="AH2929" s="188"/>
      <c r="AI2929" s="188"/>
    </row>
    <row r="2930">
      <c r="A2930" s="263"/>
      <c r="B2930" s="264"/>
      <c r="C2930" s="265"/>
      <c r="D2930" s="265"/>
      <c r="E2930" s="264"/>
      <c r="F2930" s="265"/>
      <c r="G2930" s="267"/>
      <c r="H2930" s="268"/>
      <c r="I2930" s="268"/>
      <c r="J2930" s="267"/>
      <c r="K2930" s="265"/>
      <c r="L2930" s="265"/>
      <c r="M2930" s="269"/>
      <c r="N2930" s="270"/>
      <c r="O2930" s="271"/>
      <c r="P2930" s="271"/>
      <c r="Q2930" s="272"/>
      <c r="R2930" s="273"/>
      <c r="S2930" s="273"/>
      <c r="T2930" s="273"/>
      <c r="U2930" s="274"/>
      <c r="V2930" s="263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</row>
    <row r="2931">
      <c r="A2931" s="263"/>
      <c r="B2931" s="264"/>
      <c r="C2931" s="265"/>
      <c r="D2931" s="265"/>
      <c r="E2931" s="264"/>
      <c r="F2931" s="265"/>
      <c r="G2931" s="267"/>
      <c r="H2931" s="268"/>
      <c r="I2931" s="268"/>
      <c r="J2931" s="267"/>
      <c r="K2931" s="265"/>
      <c r="L2931" s="265"/>
      <c r="M2931" s="269"/>
      <c r="N2931" s="270"/>
      <c r="O2931" s="271"/>
      <c r="P2931" s="271"/>
      <c r="Q2931" s="272"/>
      <c r="R2931" s="273"/>
      <c r="S2931" s="273"/>
      <c r="T2931" s="273"/>
      <c r="U2931" s="274"/>
      <c r="V2931" s="263"/>
      <c r="W2931" s="35"/>
      <c r="X2931" s="35"/>
      <c r="Y2931" s="35"/>
      <c r="Z2931" s="35"/>
      <c r="AA2931" s="35"/>
      <c r="AB2931" s="35"/>
      <c r="AC2931" s="35"/>
      <c r="AD2931" s="35"/>
      <c r="AE2931" s="35"/>
      <c r="AF2931" s="35"/>
      <c r="AG2931" s="35"/>
      <c r="AH2931" s="35"/>
      <c r="AI2931" s="35"/>
    </row>
    <row r="2932">
      <c r="A2932" s="263"/>
      <c r="B2932" s="264"/>
      <c r="C2932" s="265"/>
      <c r="D2932" s="265"/>
      <c r="E2932" s="264"/>
      <c r="F2932" s="265"/>
      <c r="G2932" s="267"/>
      <c r="H2932" s="268"/>
      <c r="I2932" s="268"/>
      <c r="J2932" s="267"/>
      <c r="K2932" s="265"/>
      <c r="L2932" s="265"/>
      <c r="M2932" s="269"/>
      <c r="N2932" s="270"/>
      <c r="O2932" s="271"/>
      <c r="P2932" s="271"/>
      <c r="Q2932" s="272"/>
      <c r="R2932" s="273"/>
      <c r="S2932" s="273"/>
      <c r="T2932" s="273"/>
      <c r="U2932" s="274"/>
      <c r="V2932" s="263"/>
      <c r="W2932" s="188"/>
      <c r="X2932" s="188"/>
      <c r="Y2932" s="188"/>
      <c r="Z2932" s="188"/>
      <c r="AA2932" s="188"/>
      <c r="AB2932" s="188"/>
      <c r="AC2932" s="188"/>
      <c r="AD2932" s="188"/>
      <c r="AE2932" s="188"/>
      <c r="AF2932" s="188"/>
      <c r="AG2932" s="188"/>
      <c r="AH2932" s="188"/>
      <c r="AI2932" s="188"/>
    </row>
    <row r="2933">
      <c r="A2933" s="263"/>
      <c r="B2933" s="264"/>
      <c r="C2933" s="265"/>
      <c r="D2933" s="265"/>
      <c r="E2933" s="264"/>
      <c r="F2933" s="265"/>
      <c r="G2933" s="267"/>
      <c r="H2933" s="268"/>
      <c r="I2933" s="268"/>
      <c r="J2933" s="267"/>
      <c r="K2933" s="265"/>
      <c r="L2933" s="265"/>
      <c r="M2933" s="269"/>
      <c r="N2933" s="270"/>
      <c r="O2933" s="271"/>
      <c r="P2933" s="271"/>
      <c r="Q2933" s="272"/>
      <c r="R2933" s="273"/>
      <c r="S2933" s="273"/>
      <c r="T2933" s="273"/>
      <c r="U2933" s="274"/>
      <c r="V2933" s="263"/>
      <c r="W2933" s="188"/>
      <c r="X2933" s="188"/>
      <c r="Y2933" s="188"/>
      <c r="Z2933" s="188"/>
      <c r="AA2933" s="188"/>
      <c r="AB2933" s="188"/>
      <c r="AC2933" s="188"/>
      <c r="AD2933" s="188"/>
      <c r="AE2933" s="188"/>
      <c r="AF2933" s="188"/>
      <c r="AG2933" s="188"/>
      <c r="AH2933" s="188"/>
      <c r="AI2933" s="188"/>
    </row>
    <row r="2934">
      <c r="A2934" s="263"/>
      <c r="B2934" s="264"/>
      <c r="C2934" s="265"/>
      <c r="D2934" s="265"/>
      <c r="E2934" s="264"/>
      <c r="F2934" s="265"/>
      <c r="G2934" s="267"/>
      <c r="H2934" s="268"/>
      <c r="I2934" s="268"/>
      <c r="J2934" s="267"/>
      <c r="K2934" s="265"/>
      <c r="L2934" s="265"/>
      <c r="M2934" s="269"/>
      <c r="N2934" s="270"/>
      <c r="O2934" s="271"/>
      <c r="P2934" s="271"/>
      <c r="Q2934" s="272"/>
      <c r="R2934" s="273"/>
      <c r="S2934" s="273"/>
      <c r="T2934" s="273"/>
      <c r="U2934" s="274"/>
      <c r="V2934" s="263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</row>
    <row r="2935">
      <c r="A2935" s="263"/>
      <c r="B2935" s="264"/>
      <c r="C2935" s="265"/>
      <c r="D2935" s="265"/>
      <c r="E2935" s="264"/>
      <c r="F2935" s="265"/>
      <c r="G2935" s="267"/>
      <c r="H2935" s="268"/>
      <c r="I2935" s="268"/>
      <c r="J2935" s="267"/>
      <c r="K2935" s="265"/>
      <c r="L2935" s="265"/>
      <c r="M2935" s="269"/>
      <c r="N2935" s="270"/>
      <c r="O2935" s="271"/>
      <c r="P2935" s="271"/>
      <c r="Q2935" s="272"/>
      <c r="R2935" s="273"/>
      <c r="S2935" s="273"/>
      <c r="T2935" s="273"/>
      <c r="U2935" s="274"/>
      <c r="V2935" s="263"/>
      <c r="W2935" s="188"/>
      <c r="X2935" s="188"/>
      <c r="Y2935" s="188"/>
      <c r="Z2935" s="188"/>
      <c r="AA2935" s="188"/>
      <c r="AB2935" s="188"/>
      <c r="AC2935" s="188"/>
      <c r="AD2935" s="188"/>
      <c r="AE2935" s="188"/>
      <c r="AF2935" s="188"/>
      <c r="AG2935" s="188"/>
      <c r="AH2935" s="188"/>
      <c r="AI2935" s="188"/>
    </row>
    <row r="2936">
      <c r="A2936" s="263"/>
      <c r="B2936" s="264"/>
      <c r="C2936" s="265"/>
      <c r="D2936" s="265"/>
      <c r="E2936" s="264"/>
      <c r="F2936" s="265"/>
      <c r="G2936" s="267"/>
      <c r="H2936" s="268"/>
      <c r="I2936" s="268"/>
      <c r="J2936" s="267"/>
      <c r="K2936" s="265"/>
      <c r="L2936" s="265"/>
      <c r="M2936" s="269"/>
      <c r="N2936" s="270"/>
      <c r="O2936" s="271"/>
      <c r="P2936" s="271"/>
      <c r="Q2936" s="272"/>
      <c r="R2936" s="273"/>
      <c r="S2936" s="273"/>
      <c r="T2936" s="273"/>
      <c r="U2936" s="274"/>
      <c r="V2936" s="263"/>
      <c r="W2936" s="35"/>
      <c r="X2936" s="35"/>
      <c r="Y2936" s="35"/>
      <c r="Z2936" s="35"/>
      <c r="AA2936" s="35"/>
      <c r="AB2936" s="35"/>
      <c r="AC2936" s="35"/>
      <c r="AD2936" s="35"/>
      <c r="AE2936" s="35"/>
      <c r="AF2936" s="35"/>
      <c r="AG2936" s="35"/>
      <c r="AH2936" s="35"/>
      <c r="AI2936" s="35"/>
    </row>
    <row r="2937">
      <c r="A2937" s="263"/>
      <c r="B2937" s="264"/>
      <c r="C2937" s="265"/>
      <c r="D2937" s="265"/>
      <c r="E2937" s="264"/>
      <c r="F2937" s="265"/>
      <c r="G2937" s="267"/>
      <c r="H2937" s="268"/>
      <c r="I2937" s="268"/>
      <c r="J2937" s="267"/>
      <c r="K2937" s="265"/>
      <c r="L2937" s="265"/>
      <c r="M2937" s="269"/>
      <c r="N2937" s="270"/>
      <c r="O2937" s="271"/>
      <c r="P2937" s="271"/>
      <c r="Q2937" s="272"/>
      <c r="R2937" s="273"/>
      <c r="S2937" s="273"/>
      <c r="T2937" s="273"/>
      <c r="U2937" s="274"/>
      <c r="V2937" s="263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</row>
    <row r="2938">
      <c r="A2938" s="263"/>
      <c r="B2938" s="264"/>
      <c r="C2938" s="265"/>
      <c r="D2938" s="265"/>
      <c r="E2938" s="264"/>
      <c r="F2938" s="265"/>
      <c r="G2938" s="267"/>
      <c r="H2938" s="268"/>
      <c r="I2938" s="268"/>
      <c r="J2938" s="267"/>
      <c r="K2938" s="265"/>
      <c r="L2938" s="265"/>
      <c r="M2938" s="269"/>
      <c r="N2938" s="270"/>
      <c r="O2938" s="271"/>
      <c r="P2938" s="271"/>
      <c r="Q2938" s="272"/>
      <c r="R2938" s="273"/>
      <c r="S2938" s="273"/>
      <c r="T2938" s="273"/>
      <c r="U2938" s="274"/>
      <c r="V2938" s="263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</row>
    <row r="2939">
      <c r="A2939" s="263"/>
      <c r="B2939" s="264"/>
      <c r="C2939" s="265"/>
      <c r="D2939" s="265"/>
      <c r="E2939" s="264"/>
      <c r="F2939" s="265"/>
      <c r="G2939" s="267"/>
      <c r="H2939" s="268"/>
      <c r="I2939" s="268"/>
      <c r="J2939" s="267"/>
      <c r="K2939" s="265"/>
      <c r="L2939" s="265"/>
      <c r="M2939" s="269"/>
      <c r="N2939" s="270"/>
      <c r="O2939" s="271"/>
      <c r="P2939" s="271"/>
      <c r="Q2939" s="272"/>
      <c r="R2939" s="273"/>
      <c r="S2939" s="273"/>
      <c r="T2939" s="273"/>
      <c r="U2939" s="274"/>
      <c r="V2939" s="263"/>
      <c r="W2939" s="35"/>
      <c r="X2939" s="35"/>
      <c r="Y2939" s="35"/>
      <c r="Z2939" s="35"/>
      <c r="AA2939" s="35"/>
      <c r="AB2939" s="35"/>
      <c r="AC2939" s="35"/>
      <c r="AD2939" s="35"/>
      <c r="AE2939" s="35"/>
      <c r="AF2939" s="35"/>
      <c r="AG2939" s="35"/>
      <c r="AH2939" s="35"/>
      <c r="AI2939" s="35"/>
    </row>
    <row r="2940">
      <c r="A2940" s="263"/>
      <c r="B2940" s="264"/>
      <c r="C2940" s="265"/>
      <c r="D2940" s="265"/>
      <c r="E2940" s="264"/>
      <c r="F2940" s="265"/>
      <c r="G2940" s="267"/>
      <c r="H2940" s="268"/>
      <c r="I2940" s="268"/>
      <c r="J2940" s="267"/>
      <c r="K2940" s="265"/>
      <c r="L2940" s="265"/>
      <c r="M2940" s="269"/>
      <c r="N2940" s="270"/>
      <c r="O2940" s="271"/>
      <c r="P2940" s="271"/>
      <c r="Q2940" s="272"/>
      <c r="R2940" s="273"/>
      <c r="S2940" s="273"/>
      <c r="T2940" s="273"/>
      <c r="U2940" s="274"/>
      <c r="V2940" s="263"/>
      <c r="W2940" s="35"/>
      <c r="X2940" s="35"/>
      <c r="Y2940" s="35"/>
      <c r="Z2940" s="35"/>
      <c r="AA2940" s="35"/>
      <c r="AB2940" s="35"/>
      <c r="AC2940" s="35"/>
      <c r="AD2940" s="35"/>
      <c r="AE2940" s="35"/>
      <c r="AF2940" s="35"/>
      <c r="AG2940" s="35"/>
      <c r="AH2940" s="35"/>
      <c r="AI2940" s="35"/>
    </row>
    <row r="2941">
      <c r="A2941" s="263"/>
      <c r="B2941" s="264"/>
      <c r="C2941" s="265"/>
      <c r="D2941" s="265"/>
      <c r="E2941" s="264"/>
      <c r="F2941" s="265"/>
      <c r="G2941" s="267"/>
      <c r="H2941" s="268"/>
      <c r="I2941" s="268"/>
      <c r="J2941" s="267"/>
      <c r="K2941" s="265"/>
      <c r="L2941" s="265"/>
      <c r="M2941" s="269"/>
      <c r="N2941" s="270"/>
      <c r="O2941" s="271"/>
      <c r="P2941" s="271"/>
      <c r="Q2941" s="272"/>
      <c r="R2941" s="273"/>
      <c r="S2941" s="273"/>
      <c r="T2941" s="273"/>
      <c r="U2941" s="274"/>
      <c r="V2941" s="263"/>
      <c r="W2941" s="188"/>
      <c r="X2941" s="188"/>
      <c r="Y2941" s="188"/>
      <c r="Z2941" s="188"/>
      <c r="AA2941" s="188"/>
      <c r="AB2941" s="188"/>
      <c r="AC2941" s="188"/>
      <c r="AD2941" s="188"/>
      <c r="AE2941" s="188"/>
      <c r="AF2941" s="188"/>
      <c r="AG2941" s="188"/>
      <c r="AH2941" s="188"/>
      <c r="AI2941" s="188"/>
    </row>
    <row r="2942">
      <c r="A2942" s="263"/>
      <c r="B2942" s="264"/>
      <c r="C2942" s="265"/>
      <c r="D2942" s="265"/>
      <c r="E2942" s="264"/>
      <c r="F2942" s="265"/>
      <c r="G2942" s="267"/>
      <c r="H2942" s="268"/>
      <c r="I2942" s="268"/>
      <c r="J2942" s="267"/>
      <c r="K2942" s="265"/>
      <c r="L2942" s="265"/>
      <c r="M2942" s="269"/>
      <c r="N2942" s="270"/>
      <c r="O2942" s="271"/>
      <c r="P2942" s="271"/>
      <c r="Q2942" s="272"/>
      <c r="R2942" s="273"/>
      <c r="S2942" s="273"/>
      <c r="T2942" s="273"/>
      <c r="U2942" s="274"/>
      <c r="V2942" s="263"/>
      <c r="W2942" s="188"/>
      <c r="X2942" s="188"/>
      <c r="Y2942" s="188"/>
      <c r="Z2942" s="188"/>
      <c r="AA2942" s="188"/>
      <c r="AB2942" s="188"/>
      <c r="AC2942" s="188"/>
      <c r="AD2942" s="188"/>
      <c r="AE2942" s="188"/>
      <c r="AF2942" s="188"/>
      <c r="AG2942" s="188"/>
      <c r="AH2942" s="188"/>
      <c r="AI2942" s="188"/>
    </row>
    <row r="2943">
      <c r="A2943" s="263"/>
      <c r="B2943" s="264"/>
      <c r="C2943" s="265"/>
      <c r="D2943" s="265"/>
      <c r="E2943" s="264"/>
      <c r="F2943" s="265"/>
      <c r="G2943" s="267"/>
      <c r="H2943" s="268"/>
      <c r="I2943" s="268"/>
      <c r="J2943" s="267"/>
      <c r="K2943" s="265"/>
      <c r="L2943" s="265"/>
      <c r="M2943" s="269"/>
      <c r="N2943" s="270"/>
      <c r="O2943" s="271"/>
      <c r="P2943" s="271"/>
      <c r="Q2943" s="272"/>
      <c r="R2943" s="273"/>
      <c r="S2943" s="273"/>
      <c r="T2943" s="273"/>
      <c r="U2943" s="274"/>
      <c r="V2943" s="263"/>
      <c r="W2943" s="35"/>
      <c r="X2943" s="35"/>
      <c r="Y2943" s="35"/>
      <c r="Z2943" s="35"/>
      <c r="AA2943" s="35"/>
      <c r="AB2943" s="35"/>
      <c r="AC2943" s="35"/>
      <c r="AD2943" s="35"/>
      <c r="AE2943" s="35"/>
      <c r="AF2943" s="35"/>
      <c r="AG2943" s="35"/>
      <c r="AH2943" s="35"/>
      <c r="AI2943" s="35"/>
    </row>
    <row r="2944">
      <c r="A2944" s="263"/>
      <c r="B2944" s="264"/>
      <c r="C2944" s="265"/>
      <c r="D2944" s="265"/>
      <c r="E2944" s="264"/>
      <c r="F2944" s="265"/>
      <c r="G2944" s="267"/>
      <c r="H2944" s="268"/>
      <c r="I2944" s="268"/>
      <c r="J2944" s="267"/>
      <c r="K2944" s="265"/>
      <c r="L2944" s="265"/>
      <c r="M2944" s="269"/>
      <c r="N2944" s="270"/>
      <c r="O2944" s="271"/>
      <c r="P2944" s="271"/>
      <c r="Q2944" s="272"/>
      <c r="R2944" s="273"/>
      <c r="S2944" s="273"/>
      <c r="T2944" s="273"/>
      <c r="U2944" s="274"/>
      <c r="V2944" s="263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</row>
    <row r="2945">
      <c r="A2945" s="263"/>
      <c r="B2945" s="264"/>
      <c r="C2945" s="265"/>
      <c r="D2945" s="265"/>
      <c r="E2945" s="264"/>
      <c r="F2945" s="265"/>
      <c r="G2945" s="267"/>
      <c r="H2945" s="268"/>
      <c r="I2945" s="268"/>
      <c r="J2945" s="267"/>
      <c r="K2945" s="265"/>
      <c r="L2945" s="265"/>
      <c r="M2945" s="269"/>
      <c r="N2945" s="270"/>
      <c r="O2945" s="271"/>
      <c r="P2945" s="271"/>
      <c r="Q2945" s="272"/>
      <c r="R2945" s="273"/>
      <c r="S2945" s="273"/>
      <c r="T2945" s="273"/>
      <c r="U2945" s="274"/>
      <c r="V2945" s="263"/>
      <c r="W2945" s="35"/>
      <c r="X2945" s="35"/>
      <c r="Y2945" s="35"/>
      <c r="Z2945" s="35"/>
      <c r="AA2945" s="35"/>
      <c r="AB2945" s="35"/>
      <c r="AC2945" s="35"/>
      <c r="AD2945" s="35"/>
      <c r="AE2945" s="35"/>
      <c r="AF2945" s="35"/>
      <c r="AG2945" s="35"/>
      <c r="AH2945" s="35"/>
      <c r="AI2945" s="35"/>
    </row>
    <row r="2946">
      <c r="A2946" s="263"/>
      <c r="B2946" s="264"/>
      <c r="C2946" s="265"/>
      <c r="D2946" s="265"/>
      <c r="E2946" s="264"/>
      <c r="F2946" s="265"/>
      <c r="G2946" s="267"/>
      <c r="H2946" s="268"/>
      <c r="I2946" s="268"/>
      <c r="J2946" s="267"/>
      <c r="K2946" s="265"/>
      <c r="L2946" s="265"/>
      <c r="M2946" s="269"/>
      <c r="N2946" s="270"/>
      <c r="O2946" s="271"/>
      <c r="P2946" s="271"/>
      <c r="Q2946" s="272"/>
      <c r="R2946" s="273"/>
      <c r="S2946" s="273"/>
      <c r="T2946" s="273"/>
      <c r="U2946" s="274"/>
      <c r="V2946" s="263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</row>
    <row r="2947">
      <c r="A2947" s="263"/>
      <c r="B2947" s="264"/>
      <c r="C2947" s="265"/>
      <c r="D2947" s="265"/>
      <c r="E2947" s="264"/>
      <c r="F2947" s="265"/>
      <c r="G2947" s="267"/>
      <c r="H2947" s="268"/>
      <c r="I2947" s="268"/>
      <c r="J2947" s="267"/>
      <c r="K2947" s="265"/>
      <c r="L2947" s="265"/>
      <c r="M2947" s="269"/>
      <c r="N2947" s="270"/>
      <c r="O2947" s="271"/>
      <c r="P2947" s="271"/>
      <c r="Q2947" s="272"/>
      <c r="R2947" s="273"/>
      <c r="S2947" s="273"/>
      <c r="T2947" s="273"/>
      <c r="U2947" s="274"/>
      <c r="V2947" s="263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</row>
    <row r="2948">
      <c r="A2948" s="263"/>
      <c r="B2948" s="264"/>
      <c r="C2948" s="265"/>
      <c r="D2948" s="265"/>
      <c r="E2948" s="264"/>
      <c r="F2948" s="265"/>
      <c r="G2948" s="267"/>
      <c r="H2948" s="268"/>
      <c r="I2948" s="268"/>
      <c r="J2948" s="267"/>
      <c r="K2948" s="265"/>
      <c r="L2948" s="265"/>
      <c r="M2948" s="269"/>
      <c r="N2948" s="270"/>
      <c r="O2948" s="271"/>
      <c r="P2948" s="271"/>
      <c r="Q2948" s="272"/>
      <c r="R2948" s="273"/>
      <c r="S2948" s="273"/>
      <c r="T2948" s="273"/>
      <c r="U2948" s="274"/>
      <c r="V2948" s="263"/>
      <c r="W2948" s="188"/>
      <c r="X2948" s="188"/>
      <c r="Y2948" s="188"/>
      <c r="Z2948" s="188"/>
      <c r="AA2948" s="188"/>
      <c r="AB2948" s="188"/>
      <c r="AC2948" s="188"/>
      <c r="AD2948" s="188"/>
      <c r="AE2948" s="188"/>
      <c r="AF2948" s="188"/>
      <c r="AG2948" s="188"/>
      <c r="AH2948" s="188"/>
      <c r="AI2948" s="188"/>
    </row>
    <row r="2949">
      <c r="A2949" s="263"/>
      <c r="B2949" s="264"/>
      <c r="C2949" s="265"/>
      <c r="D2949" s="265"/>
      <c r="E2949" s="264"/>
      <c r="F2949" s="265"/>
      <c r="G2949" s="267"/>
      <c r="H2949" s="268"/>
      <c r="I2949" s="268"/>
      <c r="J2949" s="267"/>
      <c r="K2949" s="265"/>
      <c r="L2949" s="265"/>
      <c r="M2949" s="269"/>
      <c r="N2949" s="270"/>
      <c r="O2949" s="271"/>
      <c r="P2949" s="271"/>
      <c r="Q2949" s="272"/>
      <c r="R2949" s="273"/>
      <c r="S2949" s="273"/>
      <c r="T2949" s="273"/>
      <c r="U2949" s="274"/>
      <c r="V2949" s="263"/>
      <c r="W2949" s="35"/>
      <c r="X2949" s="35"/>
      <c r="Y2949" s="35"/>
      <c r="Z2949" s="35"/>
      <c r="AA2949" s="35"/>
      <c r="AB2949" s="35"/>
      <c r="AC2949" s="35"/>
      <c r="AD2949" s="35"/>
      <c r="AE2949" s="35"/>
      <c r="AF2949" s="35"/>
      <c r="AG2949" s="35"/>
      <c r="AH2949" s="35"/>
      <c r="AI2949" s="35"/>
    </row>
    <row r="2950">
      <c r="A2950" s="263"/>
      <c r="B2950" s="264"/>
      <c r="C2950" s="265"/>
      <c r="D2950" s="265"/>
      <c r="E2950" s="264"/>
      <c r="F2950" s="265"/>
      <c r="G2950" s="267"/>
      <c r="H2950" s="268"/>
      <c r="I2950" s="268"/>
      <c r="J2950" s="267"/>
      <c r="K2950" s="265"/>
      <c r="L2950" s="265"/>
      <c r="M2950" s="269"/>
      <c r="N2950" s="270"/>
      <c r="O2950" s="271"/>
      <c r="P2950" s="271"/>
      <c r="Q2950" s="272"/>
      <c r="R2950" s="273"/>
      <c r="S2950" s="273"/>
      <c r="T2950" s="273"/>
      <c r="U2950" s="274"/>
      <c r="V2950" s="263"/>
      <c r="W2950" s="188"/>
      <c r="X2950" s="188"/>
      <c r="Y2950" s="188"/>
      <c r="Z2950" s="188"/>
      <c r="AA2950" s="188"/>
      <c r="AB2950" s="188"/>
      <c r="AC2950" s="188"/>
      <c r="AD2950" s="188"/>
      <c r="AE2950" s="188"/>
      <c r="AF2950" s="188"/>
      <c r="AG2950" s="188"/>
      <c r="AH2950" s="188"/>
      <c r="AI2950" s="188"/>
    </row>
    <row r="2951">
      <c r="A2951" s="263"/>
      <c r="B2951" s="264"/>
      <c r="C2951" s="265"/>
      <c r="D2951" s="265"/>
      <c r="E2951" s="264"/>
      <c r="F2951" s="265"/>
      <c r="G2951" s="267"/>
      <c r="H2951" s="268"/>
      <c r="I2951" s="268"/>
      <c r="J2951" s="267"/>
      <c r="K2951" s="265"/>
      <c r="L2951" s="265"/>
      <c r="M2951" s="269"/>
      <c r="N2951" s="270"/>
      <c r="O2951" s="271"/>
      <c r="P2951" s="271"/>
      <c r="Q2951" s="272"/>
      <c r="R2951" s="273"/>
      <c r="S2951" s="273"/>
      <c r="T2951" s="273"/>
      <c r="U2951" s="274"/>
      <c r="V2951" s="263"/>
      <c r="W2951" s="35"/>
      <c r="X2951" s="35"/>
      <c r="Y2951" s="35"/>
      <c r="Z2951" s="35"/>
      <c r="AA2951" s="35"/>
      <c r="AB2951" s="35"/>
      <c r="AC2951" s="35"/>
      <c r="AD2951" s="35"/>
      <c r="AE2951" s="35"/>
      <c r="AF2951" s="35"/>
      <c r="AG2951" s="35"/>
      <c r="AH2951" s="35"/>
      <c r="AI2951" s="35"/>
    </row>
    <row r="2952">
      <c r="A2952" s="263"/>
      <c r="B2952" s="264"/>
      <c r="C2952" s="265"/>
      <c r="D2952" s="265"/>
      <c r="E2952" s="264"/>
      <c r="F2952" s="265"/>
      <c r="G2952" s="267"/>
      <c r="H2952" s="268"/>
      <c r="I2952" s="268"/>
      <c r="J2952" s="267"/>
      <c r="K2952" s="265"/>
      <c r="L2952" s="265"/>
      <c r="M2952" s="269"/>
      <c r="N2952" s="270"/>
      <c r="O2952" s="271"/>
      <c r="P2952" s="271"/>
      <c r="Q2952" s="272"/>
      <c r="R2952" s="273"/>
      <c r="S2952" s="273"/>
      <c r="T2952" s="273"/>
      <c r="U2952" s="274"/>
      <c r="V2952" s="263"/>
      <c r="W2952" s="35"/>
      <c r="X2952" s="35"/>
      <c r="Y2952" s="35"/>
      <c r="Z2952" s="35"/>
      <c r="AA2952" s="35"/>
      <c r="AB2952" s="35"/>
      <c r="AC2952" s="35"/>
      <c r="AD2952" s="35"/>
      <c r="AE2952" s="35"/>
      <c r="AF2952" s="35"/>
      <c r="AG2952" s="35"/>
      <c r="AH2952" s="35"/>
      <c r="AI2952" s="35"/>
    </row>
    <row r="2953">
      <c r="A2953" s="263"/>
      <c r="B2953" s="264"/>
      <c r="C2953" s="265"/>
      <c r="D2953" s="265"/>
      <c r="E2953" s="264"/>
      <c r="F2953" s="265"/>
      <c r="G2953" s="267"/>
      <c r="H2953" s="268"/>
      <c r="I2953" s="268"/>
      <c r="J2953" s="267"/>
      <c r="K2953" s="265"/>
      <c r="L2953" s="265"/>
      <c r="M2953" s="269"/>
      <c r="N2953" s="270"/>
      <c r="O2953" s="271"/>
      <c r="P2953" s="271"/>
      <c r="Q2953" s="272"/>
      <c r="R2953" s="273"/>
      <c r="S2953" s="273"/>
      <c r="T2953" s="273"/>
      <c r="U2953" s="274"/>
      <c r="V2953" s="263"/>
      <c r="W2953" s="188"/>
      <c r="X2953" s="188"/>
      <c r="Y2953" s="188"/>
      <c r="Z2953" s="188"/>
      <c r="AA2953" s="188"/>
      <c r="AB2953" s="188"/>
      <c r="AC2953" s="188"/>
      <c r="AD2953" s="188"/>
      <c r="AE2953" s="188"/>
      <c r="AF2953" s="188"/>
      <c r="AG2953" s="188"/>
      <c r="AH2953" s="188"/>
      <c r="AI2953" s="188"/>
    </row>
    <row r="2954">
      <c r="A2954" s="263"/>
      <c r="B2954" s="264"/>
      <c r="C2954" s="265"/>
      <c r="D2954" s="265"/>
      <c r="E2954" s="264"/>
      <c r="F2954" s="265"/>
      <c r="G2954" s="267"/>
      <c r="H2954" s="268"/>
      <c r="I2954" s="268"/>
      <c r="J2954" s="267"/>
      <c r="K2954" s="265"/>
      <c r="L2954" s="265"/>
      <c r="M2954" s="269"/>
      <c r="N2954" s="270"/>
      <c r="O2954" s="271"/>
      <c r="P2954" s="271"/>
      <c r="Q2954" s="272"/>
      <c r="R2954" s="273"/>
      <c r="S2954" s="273"/>
      <c r="T2954" s="273"/>
      <c r="U2954" s="274"/>
      <c r="V2954" s="263"/>
      <c r="W2954" s="35"/>
      <c r="X2954" s="35"/>
      <c r="Y2954" s="35"/>
      <c r="Z2954" s="35"/>
      <c r="AA2954" s="35"/>
      <c r="AB2954" s="35"/>
      <c r="AC2954" s="35"/>
      <c r="AD2954" s="35"/>
      <c r="AE2954" s="35"/>
      <c r="AF2954" s="35"/>
      <c r="AG2954" s="35"/>
      <c r="AH2954" s="35"/>
      <c r="AI2954" s="35"/>
    </row>
    <row r="2955">
      <c r="A2955" s="263"/>
      <c r="B2955" s="264"/>
      <c r="C2955" s="265"/>
      <c r="D2955" s="265"/>
      <c r="E2955" s="264"/>
      <c r="F2955" s="265"/>
      <c r="G2955" s="267"/>
      <c r="H2955" s="268"/>
      <c r="I2955" s="268"/>
      <c r="J2955" s="267"/>
      <c r="K2955" s="265"/>
      <c r="L2955" s="265"/>
      <c r="M2955" s="269"/>
      <c r="N2955" s="270"/>
      <c r="O2955" s="271"/>
      <c r="P2955" s="271"/>
      <c r="Q2955" s="272"/>
      <c r="R2955" s="273"/>
      <c r="S2955" s="273"/>
      <c r="T2955" s="273"/>
      <c r="U2955" s="274"/>
      <c r="V2955" s="263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</row>
    <row r="2956">
      <c r="A2956" s="263"/>
      <c r="B2956" s="264"/>
      <c r="C2956" s="265"/>
      <c r="D2956" s="265"/>
      <c r="E2956" s="264"/>
      <c r="F2956" s="265"/>
      <c r="G2956" s="267"/>
      <c r="H2956" s="268"/>
      <c r="I2956" s="268"/>
      <c r="J2956" s="267"/>
      <c r="K2956" s="265"/>
      <c r="L2956" s="265"/>
      <c r="M2956" s="269"/>
      <c r="N2956" s="270"/>
      <c r="O2956" s="271"/>
      <c r="P2956" s="271"/>
      <c r="Q2956" s="272"/>
      <c r="R2956" s="273"/>
      <c r="S2956" s="273"/>
      <c r="T2956" s="273"/>
      <c r="U2956" s="274"/>
      <c r="V2956" s="263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</row>
    <row r="2957">
      <c r="A2957" s="263"/>
      <c r="B2957" s="264"/>
      <c r="C2957" s="265"/>
      <c r="D2957" s="265"/>
      <c r="E2957" s="264"/>
      <c r="F2957" s="265"/>
      <c r="G2957" s="267"/>
      <c r="H2957" s="268"/>
      <c r="I2957" s="268"/>
      <c r="J2957" s="267"/>
      <c r="K2957" s="265"/>
      <c r="L2957" s="265"/>
      <c r="M2957" s="269"/>
      <c r="N2957" s="270"/>
      <c r="O2957" s="271"/>
      <c r="P2957" s="271"/>
      <c r="Q2957" s="272"/>
      <c r="R2957" s="273"/>
      <c r="S2957" s="273"/>
      <c r="T2957" s="273"/>
      <c r="U2957" s="274"/>
      <c r="V2957" s="263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</row>
    <row r="2958">
      <c r="A2958" s="263"/>
      <c r="B2958" s="264"/>
      <c r="C2958" s="265"/>
      <c r="D2958" s="265"/>
      <c r="E2958" s="264"/>
      <c r="F2958" s="265"/>
      <c r="G2958" s="267"/>
      <c r="H2958" s="268"/>
      <c r="I2958" s="268"/>
      <c r="J2958" s="267"/>
      <c r="K2958" s="265"/>
      <c r="L2958" s="265"/>
      <c r="M2958" s="269"/>
      <c r="N2958" s="270"/>
      <c r="O2958" s="271"/>
      <c r="P2958" s="271"/>
      <c r="Q2958" s="272"/>
      <c r="R2958" s="273"/>
      <c r="S2958" s="273"/>
      <c r="T2958" s="273"/>
      <c r="U2958" s="274"/>
      <c r="V2958" s="263"/>
      <c r="W2958" s="188"/>
      <c r="X2958" s="188"/>
      <c r="Y2958" s="188"/>
      <c r="Z2958" s="188"/>
      <c r="AA2958" s="188"/>
      <c r="AB2958" s="188"/>
      <c r="AC2958" s="188"/>
      <c r="AD2958" s="188"/>
      <c r="AE2958" s="188"/>
      <c r="AF2958" s="188"/>
      <c r="AG2958" s="188"/>
      <c r="AH2958" s="188"/>
      <c r="AI2958" s="188"/>
    </row>
    <row r="2959">
      <c r="A2959" s="263"/>
      <c r="B2959" s="264"/>
      <c r="C2959" s="265"/>
      <c r="D2959" s="265"/>
      <c r="E2959" s="264"/>
      <c r="F2959" s="265"/>
      <c r="G2959" s="267"/>
      <c r="H2959" s="268"/>
      <c r="I2959" s="268"/>
      <c r="J2959" s="267"/>
      <c r="K2959" s="265"/>
      <c r="L2959" s="265"/>
      <c r="M2959" s="269"/>
      <c r="N2959" s="270"/>
      <c r="O2959" s="271"/>
      <c r="P2959" s="271"/>
      <c r="Q2959" s="272"/>
      <c r="R2959" s="273"/>
      <c r="S2959" s="273"/>
      <c r="T2959" s="273"/>
      <c r="U2959" s="274"/>
      <c r="V2959" s="263"/>
      <c r="W2959" s="188"/>
      <c r="X2959" s="188"/>
      <c r="Y2959" s="188"/>
      <c r="Z2959" s="188"/>
      <c r="AA2959" s="188"/>
      <c r="AB2959" s="188"/>
      <c r="AC2959" s="188"/>
      <c r="AD2959" s="188"/>
      <c r="AE2959" s="188"/>
      <c r="AF2959" s="188"/>
      <c r="AG2959" s="188"/>
      <c r="AH2959" s="188"/>
      <c r="AI2959" s="188"/>
    </row>
    <row r="2960">
      <c r="A2960" s="263"/>
      <c r="B2960" s="264"/>
      <c r="C2960" s="265"/>
      <c r="D2960" s="265"/>
      <c r="E2960" s="264"/>
      <c r="F2960" s="265"/>
      <c r="G2960" s="267"/>
      <c r="H2960" s="268"/>
      <c r="I2960" s="268"/>
      <c r="J2960" s="267"/>
      <c r="K2960" s="265"/>
      <c r="L2960" s="265"/>
      <c r="M2960" s="269"/>
      <c r="N2960" s="270"/>
      <c r="O2960" s="271"/>
      <c r="P2960" s="271"/>
      <c r="Q2960" s="272"/>
      <c r="R2960" s="273"/>
      <c r="S2960" s="273"/>
      <c r="T2960" s="273"/>
      <c r="U2960" s="274"/>
      <c r="V2960" s="263"/>
      <c r="W2960" s="188"/>
      <c r="X2960" s="188"/>
      <c r="Y2960" s="188"/>
      <c r="Z2960" s="188"/>
      <c r="AA2960" s="188"/>
      <c r="AB2960" s="188"/>
      <c r="AC2960" s="188"/>
      <c r="AD2960" s="188"/>
      <c r="AE2960" s="188"/>
      <c r="AF2960" s="188"/>
      <c r="AG2960" s="188"/>
      <c r="AH2960" s="188"/>
      <c r="AI2960" s="188"/>
    </row>
    <row r="2961">
      <c r="A2961" s="263"/>
      <c r="B2961" s="264"/>
      <c r="C2961" s="265"/>
      <c r="D2961" s="265"/>
      <c r="E2961" s="264"/>
      <c r="F2961" s="265"/>
      <c r="G2961" s="267"/>
      <c r="H2961" s="268"/>
      <c r="I2961" s="268"/>
      <c r="J2961" s="267"/>
      <c r="K2961" s="265"/>
      <c r="L2961" s="265"/>
      <c r="M2961" s="269"/>
      <c r="N2961" s="270"/>
      <c r="O2961" s="271"/>
      <c r="P2961" s="271"/>
      <c r="Q2961" s="272"/>
      <c r="R2961" s="273"/>
      <c r="S2961" s="273"/>
      <c r="T2961" s="273"/>
      <c r="U2961" s="274"/>
      <c r="V2961" s="263"/>
      <c r="W2961" s="188"/>
      <c r="X2961" s="188"/>
      <c r="Y2961" s="188"/>
      <c r="Z2961" s="188"/>
      <c r="AA2961" s="188"/>
      <c r="AB2961" s="188"/>
      <c r="AC2961" s="188"/>
      <c r="AD2961" s="188"/>
      <c r="AE2961" s="188"/>
      <c r="AF2961" s="188"/>
      <c r="AG2961" s="188"/>
      <c r="AH2961" s="188"/>
      <c r="AI2961" s="188"/>
    </row>
    <row r="2962">
      <c r="A2962" s="263"/>
      <c r="B2962" s="264"/>
      <c r="C2962" s="265"/>
      <c r="D2962" s="265"/>
      <c r="E2962" s="264"/>
      <c r="F2962" s="265"/>
      <c r="G2962" s="267"/>
      <c r="H2962" s="268"/>
      <c r="I2962" s="268"/>
      <c r="J2962" s="267"/>
      <c r="K2962" s="265"/>
      <c r="L2962" s="265"/>
      <c r="M2962" s="269"/>
      <c r="N2962" s="270"/>
      <c r="O2962" s="271"/>
      <c r="P2962" s="271"/>
      <c r="Q2962" s="272"/>
      <c r="R2962" s="273"/>
      <c r="S2962" s="273"/>
      <c r="T2962" s="273"/>
      <c r="U2962" s="274"/>
      <c r="V2962" s="263"/>
      <c r="W2962" s="35"/>
      <c r="X2962" s="35"/>
      <c r="Y2962" s="35"/>
      <c r="Z2962" s="35"/>
      <c r="AA2962" s="35"/>
      <c r="AB2962" s="35"/>
      <c r="AC2962" s="35"/>
      <c r="AD2962" s="35"/>
      <c r="AE2962" s="35"/>
      <c r="AF2962" s="35"/>
      <c r="AG2962" s="35"/>
      <c r="AH2962" s="35"/>
      <c r="AI2962" s="35"/>
    </row>
    <row r="2963">
      <c r="A2963" s="263"/>
      <c r="B2963" s="264"/>
      <c r="C2963" s="265"/>
      <c r="D2963" s="265"/>
      <c r="E2963" s="264"/>
      <c r="F2963" s="265"/>
      <c r="G2963" s="267"/>
      <c r="H2963" s="268"/>
      <c r="I2963" s="268"/>
      <c r="J2963" s="267"/>
      <c r="K2963" s="265"/>
      <c r="L2963" s="265"/>
      <c r="M2963" s="269"/>
      <c r="N2963" s="270"/>
      <c r="O2963" s="271"/>
      <c r="P2963" s="271"/>
      <c r="Q2963" s="272"/>
      <c r="R2963" s="273"/>
      <c r="S2963" s="273"/>
      <c r="T2963" s="273"/>
      <c r="U2963" s="274"/>
      <c r="V2963" s="263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</row>
    <row r="2964">
      <c r="A2964" s="263"/>
      <c r="B2964" s="264"/>
      <c r="C2964" s="265"/>
      <c r="D2964" s="265"/>
      <c r="E2964" s="264"/>
      <c r="F2964" s="265"/>
      <c r="G2964" s="267"/>
      <c r="H2964" s="268"/>
      <c r="I2964" s="268"/>
      <c r="J2964" s="267"/>
      <c r="K2964" s="265"/>
      <c r="L2964" s="265"/>
      <c r="M2964" s="269"/>
      <c r="N2964" s="270"/>
      <c r="O2964" s="271"/>
      <c r="P2964" s="271"/>
      <c r="Q2964" s="272"/>
      <c r="R2964" s="273"/>
      <c r="S2964" s="273"/>
      <c r="T2964" s="273"/>
      <c r="U2964" s="274"/>
      <c r="V2964" s="263"/>
      <c r="W2964" s="35"/>
      <c r="X2964" s="35"/>
      <c r="Y2964" s="35"/>
      <c r="Z2964" s="35"/>
      <c r="AA2964" s="35"/>
      <c r="AB2964" s="35"/>
      <c r="AC2964" s="35"/>
      <c r="AD2964" s="35"/>
      <c r="AE2964" s="35"/>
      <c r="AF2964" s="35"/>
      <c r="AG2964" s="35"/>
      <c r="AH2964" s="35"/>
      <c r="AI2964" s="35"/>
    </row>
    <row r="2965">
      <c r="A2965" s="263"/>
      <c r="B2965" s="264"/>
      <c r="C2965" s="265"/>
      <c r="D2965" s="265"/>
      <c r="E2965" s="264"/>
      <c r="F2965" s="265"/>
      <c r="G2965" s="267"/>
      <c r="H2965" s="268"/>
      <c r="I2965" s="268"/>
      <c r="J2965" s="267"/>
      <c r="K2965" s="265"/>
      <c r="L2965" s="265"/>
      <c r="M2965" s="269"/>
      <c r="N2965" s="270"/>
      <c r="O2965" s="271"/>
      <c r="P2965" s="271"/>
      <c r="Q2965" s="272"/>
      <c r="R2965" s="273"/>
      <c r="S2965" s="273"/>
      <c r="T2965" s="273"/>
      <c r="U2965" s="274"/>
      <c r="V2965" s="263"/>
      <c r="W2965" s="188"/>
      <c r="X2965" s="188"/>
      <c r="Y2965" s="188"/>
      <c r="Z2965" s="188"/>
      <c r="AA2965" s="188"/>
      <c r="AB2965" s="188"/>
      <c r="AC2965" s="188"/>
      <c r="AD2965" s="188"/>
      <c r="AE2965" s="188"/>
      <c r="AF2965" s="188"/>
      <c r="AG2965" s="188"/>
      <c r="AH2965" s="188"/>
      <c r="AI2965" s="188"/>
    </row>
    <row r="2966">
      <c r="A2966" s="263"/>
      <c r="B2966" s="264"/>
      <c r="C2966" s="265"/>
      <c r="D2966" s="265"/>
      <c r="E2966" s="264"/>
      <c r="F2966" s="265"/>
      <c r="G2966" s="267"/>
      <c r="H2966" s="268"/>
      <c r="I2966" s="268"/>
      <c r="J2966" s="267"/>
      <c r="K2966" s="265"/>
      <c r="L2966" s="265"/>
      <c r="M2966" s="269"/>
      <c r="N2966" s="270"/>
      <c r="O2966" s="271"/>
      <c r="P2966" s="271"/>
      <c r="Q2966" s="272"/>
      <c r="R2966" s="273"/>
      <c r="S2966" s="273"/>
      <c r="T2966" s="273"/>
      <c r="U2966" s="274"/>
      <c r="V2966" s="263"/>
      <c r="W2966" s="35"/>
      <c r="X2966" s="35"/>
      <c r="Y2966" s="35"/>
      <c r="Z2966" s="35"/>
      <c r="AA2966" s="35"/>
      <c r="AB2966" s="35"/>
      <c r="AC2966" s="35"/>
      <c r="AD2966" s="35"/>
      <c r="AE2966" s="35"/>
      <c r="AF2966" s="35"/>
      <c r="AG2966" s="35"/>
      <c r="AH2966" s="35"/>
      <c r="AI2966" s="35"/>
    </row>
    <row r="2967">
      <c r="A2967" s="263"/>
      <c r="B2967" s="264"/>
      <c r="C2967" s="265"/>
      <c r="D2967" s="265"/>
      <c r="E2967" s="264"/>
      <c r="F2967" s="265"/>
      <c r="G2967" s="267"/>
      <c r="H2967" s="268"/>
      <c r="I2967" s="268"/>
      <c r="J2967" s="267"/>
      <c r="K2967" s="265"/>
      <c r="L2967" s="265"/>
      <c r="M2967" s="269"/>
      <c r="N2967" s="270"/>
      <c r="O2967" s="271"/>
      <c r="P2967" s="271"/>
      <c r="Q2967" s="272"/>
      <c r="R2967" s="273"/>
      <c r="S2967" s="273"/>
      <c r="T2967" s="273"/>
      <c r="U2967" s="274"/>
      <c r="V2967" s="263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</row>
    <row r="2968">
      <c r="A2968" s="263"/>
      <c r="B2968" s="264"/>
      <c r="C2968" s="265"/>
      <c r="D2968" s="265"/>
      <c r="E2968" s="264"/>
      <c r="F2968" s="265"/>
      <c r="G2968" s="267"/>
      <c r="H2968" s="268"/>
      <c r="I2968" s="268"/>
      <c r="J2968" s="267"/>
      <c r="K2968" s="265"/>
      <c r="L2968" s="265"/>
      <c r="M2968" s="269"/>
      <c r="N2968" s="270"/>
      <c r="O2968" s="271"/>
      <c r="P2968" s="271"/>
      <c r="Q2968" s="272"/>
      <c r="R2968" s="273"/>
      <c r="S2968" s="273"/>
      <c r="T2968" s="273"/>
      <c r="U2968" s="274"/>
      <c r="V2968" s="263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</row>
    <row r="2969">
      <c r="A2969" s="263"/>
      <c r="B2969" s="264"/>
      <c r="C2969" s="265"/>
      <c r="D2969" s="265"/>
      <c r="E2969" s="264"/>
      <c r="F2969" s="265"/>
      <c r="G2969" s="265"/>
      <c r="H2969" s="268"/>
      <c r="I2969" s="268"/>
      <c r="J2969" s="267"/>
      <c r="K2969" s="265"/>
      <c r="L2969" s="265"/>
      <c r="M2969" s="269"/>
      <c r="N2969" s="270"/>
      <c r="O2969" s="271"/>
      <c r="P2969" s="271"/>
      <c r="Q2969" s="272"/>
      <c r="R2969" s="273"/>
      <c r="S2969" s="273"/>
      <c r="T2969" s="273"/>
      <c r="U2969" s="274"/>
      <c r="V2969" s="263"/>
      <c r="W2969" s="35"/>
      <c r="X2969" s="35"/>
      <c r="Y2969" s="35"/>
      <c r="Z2969" s="35"/>
      <c r="AA2969" s="35"/>
      <c r="AB2969" s="35"/>
      <c r="AC2969" s="35"/>
      <c r="AD2969" s="35"/>
      <c r="AE2969" s="35"/>
      <c r="AF2969" s="35"/>
      <c r="AG2969" s="35"/>
      <c r="AH2969" s="35"/>
      <c r="AI2969" s="35"/>
    </row>
    <row r="2970">
      <c r="A2970" s="263"/>
      <c r="B2970" s="264"/>
      <c r="C2970" s="265"/>
      <c r="D2970" s="265"/>
      <c r="E2970" s="264"/>
      <c r="F2970" s="265"/>
      <c r="G2970" s="265"/>
      <c r="H2970" s="268"/>
      <c r="I2970" s="268"/>
      <c r="J2970" s="267"/>
      <c r="K2970" s="265"/>
      <c r="L2970" s="265"/>
      <c r="M2970" s="269"/>
      <c r="N2970" s="270"/>
      <c r="O2970" s="271"/>
      <c r="P2970" s="271"/>
      <c r="Q2970" s="272"/>
      <c r="R2970" s="273"/>
      <c r="S2970" s="273"/>
      <c r="T2970" s="273"/>
      <c r="U2970" s="274"/>
      <c r="V2970" s="263"/>
      <c r="W2970" s="188"/>
      <c r="X2970" s="188"/>
      <c r="Y2970" s="188"/>
      <c r="Z2970" s="188"/>
      <c r="AA2970" s="188"/>
      <c r="AB2970" s="188"/>
      <c r="AC2970" s="188"/>
      <c r="AD2970" s="188"/>
      <c r="AE2970" s="188"/>
      <c r="AF2970" s="188"/>
      <c r="AG2970" s="188"/>
      <c r="AH2970" s="188"/>
      <c r="AI2970" s="188"/>
    </row>
    <row r="2971">
      <c r="A2971" s="263"/>
      <c r="B2971" s="264"/>
      <c r="C2971" s="265"/>
      <c r="D2971" s="265"/>
      <c r="E2971" s="264"/>
      <c r="F2971" s="265"/>
      <c r="G2971" s="265"/>
      <c r="H2971" s="268"/>
      <c r="I2971" s="268"/>
      <c r="J2971" s="267"/>
      <c r="K2971" s="265"/>
      <c r="L2971" s="265"/>
      <c r="M2971" s="269"/>
      <c r="N2971" s="270"/>
      <c r="O2971" s="271"/>
      <c r="P2971" s="271"/>
      <c r="Q2971" s="272"/>
      <c r="R2971" s="273"/>
      <c r="S2971" s="273"/>
      <c r="T2971" s="273"/>
      <c r="U2971" s="274"/>
      <c r="V2971" s="263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</row>
    <row r="2972">
      <c r="A2972" s="263"/>
      <c r="B2972" s="264"/>
      <c r="C2972" s="265"/>
      <c r="D2972" s="265"/>
      <c r="E2972" s="264"/>
      <c r="F2972" s="265"/>
      <c r="G2972" s="265"/>
      <c r="H2972" s="268"/>
      <c r="I2972" s="268"/>
      <c r="J2972" s="267"/>
      <c r="K2972" s="265"/>
      <c r="L2972" s="265"/>
      <c r="M2972" s="269"/>
      <c r="N2972" s="270"/>
      <c r="O2972" s="271"/>
      <c r="P2972" s="271"/>
      <c r="Q2972" s="272"/>
      <c r="R2972" s="273"/>
      <c r="S2972" s="273"/>
      <c r="T2972" s="273"/>
      <c r="U2972" s="274"/>
      <c r="V2972" s="263"/>
      <c r="W2972" s="35"/>
      <c r="X2972" s="35"/>
      <c r="Y2972" s="35"/>
      <c r="Z2972" s="35"/>
      <c r="AA2972" s="35"/>
      <c r="AB2972" s="35"/>
      <c r="AC2972" s="35"/>
      <c r="AD2972" s="35"/>
      <c r="AE2972" s="35"/>
      <c r="AF2972" s="35"/>
      <c r="AG2972" s="35"/>
      <c r="AH2972" s="35"/>
      <c r="AI2972" s="35"/>
    </row>
    <row r="2973">
      <c r="A2973" s="263"/>
      <c r="B2973" s="264"/>
      <c r="C2973" s="265"/>
      <c r="D2973" s="265"/>
      <c r="E2973" s="264"/>
      <c r="F2973" s="265"/>
      <c r="G2973" s="265"/>
      <c r="H2973" s="268"/>
      <c r="I2973" s="268"/>
      <c r="J2973" s="267"/>
      <c r="K2973" s="265"/>
      <c r="L2973" s="265"/>
      <c r="M2973" s="269"/>
      <c r="N2973" s="270"/>
      <c r="O2973" s="271"/>
      <c r="P2973" s="271"/>
      <c r="Q2973" s="272"/>
      <c r="R2973" s="273"/>
      <c r="S2973" s="273"/>
      <c r="T2973" s="273"/>
      <c r="U2973" s="274"/>
      <c r="V2973" s="263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</row>
    <row r="2974">
      <c r="A2974" s="263"/>
      <c r="B2974" s="264"/>
      <c r="C2974" s="265"/>
      <c r="D2974" s="265"/>
      <c r="E2974" s="264"/>
      <c r="F2974" s="265"/>
      <c r="G2974" s="265"/>
      <c r="H2974" s="268"/>
      <c r="I2974" s="268"/>
      <c r="J2974" s="265"/>
      <c r="K2974" s="265"/>
      <c r="L2974" s="265"/>
      <c r="M2974" s="269"/>
      <c r="N2974" s="270"/>
      <c r="O2974" s="271"/>
      <c r="P2974" s="271"/>
      <c r="Q2974" s="272"/>
      <c r="R2974" s="273"/>
      <c r="S2974" s="273"/>
      <c r="T2974" s="273"/>
      <c r="U2974" s="274"/>
      <c r="V2974" s="263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</row>
    <row r="2975">
      <c r="A2975" s="263"/>
      <c r="B2975" s="264"/>
      <c r="C2975" s="265"/>
      <c r="D2975" s="265"/>
      <c r="E2975" s="264"/>
      <c r="F2975" s="265"/>
      <c r="G2975" s="265"/>
      <c r="H2975" s="268"/>
      <c r="I2975" s="268"/>
      <c r="J2975" s="265"/>
      <c r="K2975" s="265"/>
      <c r="L2975" s="265"/>
      <c r="M2975" s="269"/>
      <c r="N2975" s="270"/>
      <c r="O2975" s="271"/>
      <c r="P2975" s="271"/>
      <c r="Q2975" s="272"/>
      <c r="R2975" s="273"/>
      <c r="S2975" s="273"/>
      <c r="T2975" s="273"/>
      <c r="U2975" s="274"/>
      <c r="V2975" s="263"/>
      <c r="W2975" s="35"/>
      <c r="X2975" s="35"/>
      <c r="Y2975" s="35"/>
      <c r="Z2975" s="35"/>
      <c r="AA2975" s="35"/>
      <c r="AB2975" s="35"/>
      <c r="AC2975" s="35"/>
      <c r="AD2975" s="35"/>
      <c r="AE2975" s="35"/>
      <c r="AF2975" s="35"/>
      <c r="AG2975" s="35"/>
      <c r="AH2975" s="35"/>
      <c r="AI2975" s="35"/>
    </row>
    <row r="2976">
      <c r="A2976" s="263"/>
      <c r="B2976" s="264"/>
      <c r="C2976" s="265"/>
      <c r="D2976" s="265"/>
      <c r="E2976" s="264"/>
      <c r="F2976" s="265"/>
      <c r="G2976" s="265"/>
      <c r="H2976" s="268"/>
      <c r="I2976" s="268"/>
      <c r="J2976" s="265"/>
      <c r="K2976" s="265"/>
      <c r="L2976" s="265"/>
      <c r="M2976" s="269"/>
      <c r="N2976" s="270"/>
      <c r="O2976" s="271"/>
      <c r="P2976" s="271"/>
      <c r="Q2976" s="272"/>
      <c r="R2976" s="273"/>
      <c r="S2976" s="273"/>
      <c r="T2976" s="273"/>
      <c r="U2976" s="274"/>
      <c r="V2976" s="263"/>
      <c r="W2976" s="35"/>
      <c r="X2976" s="35"/>
      <c r="Y2976" s="35"/>
      <c r="Z2976" s="35"/>
      <c r="AA2976" s="35"/>
      <c r="AB2976" s="35"/>
      <c r="AC2976" s="35"/>
      <c r="AD2976" s="35"/>
      <c r="AE2976" s="35"/>
      <c r="AF2976" s="35"/>
      <c r="AG2976" s="35"/>
      <c r="AH2976" s="35"/>
      <c r="AI2976" s="35"/>
    </row>
    <row r="2977">
      <c r="A2977" s="263"/>
      <c r="B2977" s="264"/>
      <c r="C2977" s="265"/>
      <c r="D2977" s="265"/>
      <c r="E2977" s="264"/>
      <c r="F2977" s="265"/>
      <c r="G2977" s="265"/>
      <c r="H2977" s="268"/>
      <c r="I2977" s="268"/>
      <c r="J2977" s="265"/>
      <c r="K2977" s="265"/>
      <c r="L2977" s="265"/>
      <c r="M2977" s="269"/>
      <c r="N2977" s="270"/>
      <c r="O2977" s="271"/>
      <c r="P2977" s="271"/>
      <c r="Q2977" s="272"/>
      <c r="R2977" s="273"/>
      <c r="S2977" s="273"/>
      <c r="T2977" s="273"/>
      <c r="U2977" s="274"/>
      <c r="V2977" s="263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</row>
    <row r="2978">
      <c r="A2978" s="263"/>
      <c r="B2978" s="264"/>
      <c r="C2978" s="265"/>
      <c r="D2978" s="265"/>
      <c r="E2978" s="264"/>
      <c r="F2978" s="265"/>
      <c r="G2978" s="265"/>
      <c r="H2978" s="268"/>
      <c r="I2978" s="268"/>
      <c r="J2978" s="265"/>
      <c r="K2978" s="265"/>
      <c r="L2978" s="265"/>
      <c r="M2978" s="269"/>
      <c r="N2978" s="270"/>
      <c r="O2978" s="271"/>
      <c r="P2978" s="271"/>
      <c r="Q2978" s="272"/>
      <c r="R2978" s="273"/>
      <c r="S2978" s="273"/>
      <c r="T2978" s="273"/>
      <c r="U2978" s="274"/>
      <c r="V2978" s="263"/>
      <c r="W2978" s="188"/>
      <c r="X2978" s="188"/>
      <c r="Y2978" s="188"/>
      <c r="Z2978" s="188"/>
      <c r="AA2978" s="188"/>
      <c r="AB2978" s="188"/>
      <c r="AC2978" s="188"/>
      <c r="AD2978" s="188"/>
      <c r="AE2978" s="188"/>
      <c r="AF2978" s="188"/>
      <c r="AG2978" s="188"/>
      <c r="AH2978" s="188"/>
      <c r="AI2978" s="188"/>
    </row>
    <row r="2979">
      <c r="A2979" s="263"/>
      <c r="B2979" s="264"/>
      <c r="C2979" s="265"/>
      <c r="D2979" s="265"/>
      <c r="E2979" s="264"/>
      <c r="F2979" s="265"/>
      <c r="G2979" s="265"/>
      <c r="H2979" s="268"/>
      <c r="I2979" s="268"/>
      <c r="J2979" s="265"/>
      <c r="K2979" s="265"/>
      <c r="L2979" s="265"/>
      <c r="M2979" s="269"/>
      <c r="N2979" s="270"/>
      <c r="O2979" s="271"/>
      <c r="P2979" s="271"/>
      <c r="Q2979" s="272"/>
      <c r="R2979" s="273"/>
      <c r="S2979" s="273"/>
      <c r="T2979" s="273"/>
      <c r="U2979" s="274"/>
      <c r="V2979" s="263"/>
      <c r="W2979" s="35"/>
      <c r="X2979" s="35"/>
      <c r="Y2979" s="35"/>
      <c r="Z2979" s="35"/>
      <c r="AA2979" s="35"/>
      <c r="AB2979" s="35"/>
      <c r="AC2979" s="35"/>
      <c r="AD2979" s="35"/>
      <c r="AE2979" s="35"/>
      <c r="AF2979" s="35"/>
      <c r="AG2979" s="35"/>
      <c r="AH2979" s="35"/>
      <c r="AI2979" s="35"/>
    </row>
    <row r="2980">
      <c r="A2980" s="263"/>
      <c r="B2980" s="264"/>
      <c r="C2980" s="265"/>
      <c r="D2980" s="265"/>
      <c r="E2980" s="264"/>
      <c r="F2980" s="265"/>
      <c r="G2980" s="265"/>
      <c r="H2980" s="268"/>
      <c r="I2980" s="268"/>
      <c r="J2980" s="265"/>
      <c r="K2980" s="265"/>
      <c r="L2980" s="265"/>
      <c r="M2980" s="269"/>
      <c r="N2980" s="270"/>
      <c r="O2980" s="271"/>
      <c r="P2980" s="271"/>
      <c r="Q2980" s="272"/>
      <c r="R2980" s="273"/>
      <c r="S2980" s="273"/>
      <c r="T2980" s="273"/>
      <c r="U2980" s="274"/>
      <c r="V2980" s="263"/>
      <c r="W2980" s="35"/>
      <c r="X2980" s="35"/>
      <c r="Y2980" s="35"/>
      <c r="Z2980" s="35"/>
      <c r="AA2980" s="35"/>
      <c r="AB2980" s="35"/>
      <c r="AC2980" s="35"/>
      <c r="AD2980" s="35"/>
      <c r="AE2980" s="35"/>
      <c r="AF2980" s="35"/>
      <c r="AG2980" s="35"/>
      <c r="AH2980" s="35"/>
      <c r="AI2980" s="35"/>
    </row>
    <row r="2981">
      <c r="A2981" s="263"/>
      <c r="B2981" s="264"/>
      <c r="C2981" s="265"/>
      <c r="D2981" s="265"/>
      <c r="E2981" s="264"/>
      <c r="F2981" s="265"/>
      <c r="G2981" s="265"/>
      <c r="H2981" s="268"/>
      <c r="I2981" s="268"/>
      <c r="J2981" s="265"/>
      <c r="K2981" s="265"/>
      <c r="L2981" s="265"/>
      <c r="M2981" s="269"/>
      <c r="N2981" s="270"/>
      <c r="O2981" s="271"/>
      <c r="P2981" s="271"/>
      <c r="Q2981" s="272"/>
      <c r="R2981" s="273"/>
      <c r="S2981" s="273"/>
      <c r="T2981" s="273"/>
      <c r="U2981" s="274"/>
      <c r="V2981" s="263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</row>
    <row r="2982">
      <c r="A2982" s="263"/>
      <c r="B2982" s="264"/>
      <c r="C2982" s="265"/>
      <c r="D2982" s="265"/>
      <c r="E2982" s="264"/>
      <c r="F2982" s="265"/>
      <c r="G2982" s="265"/>
      <c r="H2982" s="268"/>
      <c r="I2982" s="268"/>
      <c r="J2982" s="265"/>
      <c r="K2982" s="265"/>
      <c r="L2982" s="265"/>
      <c r="M2982" s="269"/>
      <c r="N2982" s="270"/>
      <c r="O2982" s="271"/>
      <c r="P2982" s="271"/>
      <c r="Q2982" s="272"/>
      <c r="R2982" s="273"/>
      <c r="S2982" s="273"/>
      <c r="T2982" s="273"/>
      <c r="U2982" s="274"/>
      <c r="V2982" s="263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</row>
    <row r="2983">
      <c r="A2983" s="263"/>
      <c r="B2983" s="264"/>
      <c r="C2983" s="265"/>
      <c r="D2983" s="265"/>
      <c r="E2983" s="264"/>
      <c r="F2983" s="265"/>
      <c r="G2983" s="265"/>
      <c r="H2983" s="268"/>
      <c r="I2983" s="268"/>
      <c r="J2983" s="265"/>
      <c r="K2983" s="265"/>
      <c r="L2983" s="265"/>
      <c r="M2983" s="269"/>
      <c r="N2983" s="270"/>
      <c r="O2983" s="271"/>
      <c r="P2983" s="271"/>
      <c r="Q2983" s="272"/>
      <c r="R2983" s="273"/>
      <c r="S2983" s="273"/>
      <c r="T2983" s="273"/>
      <c r="U2983" s="274"/>
      <c r="V2983" s="263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</row>
    <row r="2984">
      <c r="A2984" s="263"/>
      <c r="B2984" s="264"/>
      <c r="C2984" s="265"/>
      <c r="D2984" s="265"/>
      <c r="E2984" s="264"/>
      <c r="F2984" s="265"/>
      <c r="G2984" s="265"/>
      <c r="H2984" s="268"/>
      <c r="I2984" s="268"/>
      <c r="J2984" s="265"/>
      <c r="K2984" s="265"/>
      <c r="L2984" s="265"/>
      <c r="M2984" s="269"/>
      <c r="N2984" s="270"/>
      <c r="O2984" s="271"/>
      <c r="P2984" s="271"/>
      <c r="Q2984" s="272"/>
      <c r="R2984" s="273"/>
      <c r="S2984" s="273"/>
      <c r="T2984" s="273"/>
      <c r="U2984" s="274"/>
      <c r="V2984" s="263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</row>
    <row r="2985">
      <c r="A2985" s="263"/>
      <c r="B2985" s="264"/>
      <c r="C2985" s="265"/>
      <c r="D2985" s="265"/>
      <c r="E2985" s="264"/>
      <c r="F2985" s="265"/>
      <c r="G2985" s="265"/>
      <c r="H2985" s="268"/>
      <c r="I2985" s="268"/>
      <c r="J2985" s="265"/>
      <c r="K2985" s="265"/>
      <c r="L2985" s="265"/>
      <c r="M2985" s="269"/>
      <c r="N2985" s="270"/>
      <c r="O2985" s="271"/>
      <c r="P2985" s="271"/>
      <c r="Q2985" s="272"/>
      <c r="R2985" s="273"/>
      <c r="S2985" s="273"/>
      <c r="T2985" s="273"/>
      <c r="U2985" s="274"/>
      <c r="V2985" s="263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</row>
    <row r="2986">
      <c r="A2986" s="263"/>
      <c r="B2986" s="264"/>
      <c r="C2986" s="265"/>
      <c r="D2986" s="265"/>
      <c r="E2986" s="264"/>
      <c r="F2986" s="265"/>
      <c r="G2986" s="265"/>
      <c r="H2986" s="268"/>
      <c r="I2986" s="268"/>
      <c r="J2986" s="265"/>
      <c r="K2986" s="265"/>
      <c r="L2986" s="265"/>
      <c r="M2986" s="269"/>
      <c r="N2986" s="270"/>
      <c r="O2986" s="271"/>
      <c r="P2986" s="271"/>
      <c r="Q2986" s="272"/>
      <c r="R2986" s="273"/>
      <c r="S2986" s="273"/>
      <c r="T2986" s="273"/>
      <c r="U2986" s="274"/>
      <c r="V2986" s="263"/>
      <c r="W2986" s="35"/>
      <c r="X2986" s="35"/>
      <c r="Y2986" s="35"/>
      <c r="Z2986" s="35"/>
      <c r="AA2986" s="35"/>
      <c r="AB2986" s="35"/>
      <c r="AC2986" s="35"/>
      <c r="AD2986" s="35"/>
      <c r="AE2986" s="35"/>
      <c r="AF2986" s="35"/>
      <c r="AG2986" s="35"/>
      <c r="AH2986" s="35"/>
      <c r="AI2986" s="35"/>
    </row>
    <row r="2987">
      <c r="A2987" s="263"/>
      <c r="B2987" s="264"/>
      <c r="C2987" s="265"/>
      <c r="D2987" s="265"/>
      <c r="E2987" s="264"/>
      <c r="F2987" s="265"/>
      <c r="G2987" s="265"/>
      <c r="H2987" s="268"/>
      <c r="I2987" s="268"/>
      <c r="J2987" s="265"/>
      <c r="K2987" s="265"/>
      <c r="L2987" s="265"/>
      <c r="M2987" s="269"/>
      <c r="N2987" s="270"/>
      <c r="O2987" s="271"/>
      <c r="P2987" s="271"/>
      <c r="Q2987" s="272"/>
      <c r="R2987" s="273"/>
      <c r="S2987" s="273"/>
      <c r="T2987" s="273"/>
      <c r="U2987" s="274"/>
      <c r="V2987" s="263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</row>
    <row r="2988">
      <c r="A2988" s="263"/>
      <c r="B2988" s="264"/>
      <c r="C2988" s="265"/>
      <c r="D2988" s="265"/>
      <c r="E2988" s="264"/>
      <c r="F2988" s="265"/>
      <c r="G2988" s="265"/>
      <c r="H2988" s="268"/>
      <c r="I2988" s="268"/>
      <c r="J2988" s="265"/>
      <c r="K2988" s="265"/>
      <c r="L2988" s="265"/>
      <c r="M2988" s="269"/>
      <c r="N2988" s="270"/>
      <c r="O2988" s="271"/>
      <c r="P2988" s="271"/>
      <c r="Q2988" s="272"/>
      <c r="R2988" s="273"/>
      <c r="S2988" s="273"/>
      <c r="T2988" s="273"/>
      <c r="U2988" s="274"/>
      <c r="V2988" s="263"/>
      <c r="W2988" s="35"/>
      <c r="X2988" s="35"/>
      <c r="Y2988" s="35"/>
      <c r="Z2988" s="35"/>
      <c r="AA2988" s="35"/>
      <c r="AB2988" s="35"/>
      <c r="AC2988" s="35"/>
      <c r="AD2988" s="35"/>
      <c r="AE2988" s="35"/>
      <c r="AF2988" s="35"/>
      <c r="AG2988" s="35"/>
      <c r="AH2988" s="35"/>
      <c r="AI2988" s="35"/>
    </row>
    <row r="2989">
      <c r="A2989" s="263"/>
      <c r="B2989" s="264"/>
      <c r="C2989" s="265"/>
      <c r="D2989" s="265"/>
      <c r="E2989" s="264"/>
      <c r="F2989" s="265"/>
      <c r="G2989" s="265"/>
      <c r="H2989" s="268"/>
      <c r="I2989" s="268"/>
      <c r="J2989" s="265"/>
      <c r="K2989" s="265"/>
      <c r="L2989" s="265"/>
      <c r="M2989" s="269"/>
      <c r="N2989" s="270"/>
      <c r="O2989" s="271"/>
      <c r="P2989" s="271"/>
      <c r="Q2989" s="272"/>
      <c r="R2989" s="273"/>
      <c r="S2989" s="273"/>
      <c r="T2989" s="273"/>
      <c r="U2989" s="274"/>
      <c r="V2989" s="263"/>
      <c r="W2989" s="188"/>
      <c r="X2989" s="188"/>
      <c r="Y2989" s="188"/>
      <c r="Z2989" s="188"/>
      <c r="AA2989" s="188"/>
      <c r="AB2989" s="188"/>
      <c r="AC2989" s="188"/>
      <c r="AD2989" s="188"/>
      <c r="AE2989" s="188"/>
      <c r="AF2989" s="188"/>
      <c r="AG2989" s="188"/>
      <c r="AH2989" s="188"/>
      <c r="AI2989" s="188"/>
    </row>
    <row r="2990">
      <c r="A2990" s="263"/>
      <c r="B2990" s="264"/>
      <c r="C2990" s="265"/>
      <c r="D2990" s="265"/>
      <c r="E2990" s="264"/>
      <c r="F2990" s="265"/>
      <c r="G2990" s="265"/>
      <c r="H2990" s="268"/>
      <c r="I2990" s="268"/>
      <c r="J2990" s="265"/>
      <c r="K2990" s="265"/>
      <c r="L2990" s="265"/>
      <c r="M2990" s="269"/>
      <c r="N2990" s="270"/>
      <c r="O2990" s="271"/>
      <c r="P2990" s="271"/>
      <c r="Q2990" s="272"/>
      <c r="R2990" s="273"/>
      <c r="S2990" s="273"/>
      <c r="T2990" s="273"/>
      <c r="U2990" s="274"/>
      <c r="V2990" s="263"/>
      <c r="W2990" s="35"/>
      <c r="X2990" s="35"/>
      <c r="Y2990" s="35"/>
      <c r="Z2990" s="35"/>
      <c r="AA2990" s="35"/>
      <c r="AB2990" s="35"/>
      <c r="AC2990" s="35"/>
      <c r="AD2990" s="35"/>
      <c r="AE2990" s="35"/>
      <c r="AF2990" s="35"/>
      <c r="AG2990" s="35"/>
      <c r="AH2990" s="35"/>
      <c r="AI2990" s="35"/>
    </row>
    <row r="2991">
      <c r="A2991" s="263"/>
      <c r="B2991" s="264"/>
      <c r="C2991" s="265"/>
      <c r="D2991" s="265"/>
      <c r="E2991" s="264"/>
      <c r="F2991" s="265"/>
      <c r="G2991" s="265"/>
      <c r="H2991" s="268"/>
      <c r="I2991" s="268"/>
      <c r="J2991" s="265"/>
      <c r="K2991" s="265"/>
      <c r="L2991" s="265"/>
      <c r="M2991" s="269"/>
      <c r="N2991" s="270"/>
      <c r="O2991" s="271"/>
      <c r="P2991" s="271"/>
      <c r="Q2991" s="272"/>
      <c r="R2991" s="273"/>
      <c r="S2991" s="273"/>
      <c r="T2991" s="273"/>
      <c r="U2991" s="274"/>
      <c r="V2991" s="263"/>
      <c r="W2991" s="188"/>
      <c r="X2991" s="188"/>
      <c r="Y2991" s="188"/>
      <c r="Z2991" s="188"/>
      <c r="AA2991" s="188"/>
      <c r="AB2991" s="188"/>
      <c r="AC2991" s="188"/>
      <c r="AD2991" s="188"/>
      <c r="AE2991" s="188"/>
      <c r="AF2991" s="188"/>
      <c r="AG2991" s="188"/>
      <c r="AH2991" s="188"/>
      <c r="AI2991" s="188"/>
    </row>
    <row r="2992">
      <c r="A2992" s="263"/>
      <c r="B2992" s="264"/>
      <c r="C2992" s="265"/>
      <c r="D2992" s="265"/>
      <c r="E2992" s="264"/>
      <c r="F2992" s="265"/>
      <c r="G2992" s="265"/>
      <c r="H2992" s="268"/>
      <c r="I2992" s="268"/>
      <c r="J2992" s="265"/>
      <c r="K2992" s="265"/>
      <c r="L2992" s="265"/>
      <c r="M2992" s="269"/>
      <c r="N2992" s="270"/>
      <c r="O2992" s="271"/>
      <c r="P2992" s="271"/>
      <c r="Q2992" s="272"/>
      <c r="R2992" s="273"/>
      <c r="S2992" s="273"/>
      <c r="T2992" s="273"/>
      <c r="U2992" s="274"/>
      <c r="V2992" s="263"/>
      <c r="W2992" s="188"/>
      <c r="X2992" s="188"/>
      <c r="Y2992" s="188"/>
      <c r="Z2992" s="188"/>
      <c r="AA2992" s="188"/>
      <c r="AB2992" s="188"/>
      <c r="AC2992" s="188"/>
      <c r="AD2992" s="188"/>
      <c r="AE2992" s="188"/>
      <c r="AF2992" s="188"/>
      <c r="AG2992" s="188"/>
      <c r="AH2992" s="188"/>
      <c r="AI2992" s="188"/>
    </row>
    <row r="2993">
      <c r="A2993" s="263"/>
      <c r="B2993" s="264"/>
      <c r="C2993" s="265"/>
      <c r="D2993" s="265"/>
      <c r="E2993" s="264"/>
      <c r="F2993" s="265"/>
      <c r="G2993" s="265"/>
      <c r="H2993" s="268"/>
      <c r="I2993" s="268"/>
      <c r="J2993" s="265"/>
      <c r="K2993" s="265"/>
      <c r="L2993" s="265"/>
      <c r="M2993" s="269"/>
      <c r="N2993" s="270"/>
      <c r="O2993" s="271"/>
      <c r="P2993" s="271"/>
      <c r="Q2993" s="272"/>
      <c r="R2993" s="273"/>
      <c r="S2993" s="273"/>
      <c r="T2993" s="273"/>
      <c r="U2993" s="274"/>
      <c r="V2993" s="263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</row>
    <row r="2994">
      <c r="A2994" s="263"/>
      <c r="B2994" s="264"/>
      <c r="C2994" s="265"/>
      <c r="D2994" s="265"/>
      <c r="E2994" s="264"/>
      <c r="F2994" s="265"/>
      <c r="G2994" s="265"/>
      <c r="H2994" s="268"/>
      <c r="I2994" s="268"/>
      <c r="J2994" s="265"/>
      <c r="K2994" s="265"/>
      <c r="L2994" s="265"/>
      <c r="M2994" s="269"/>
      <c r="N2994" s="270"/>
      <c r="O2994" s="271"/>
      <c r="P2994" s="271"/>
      <c r="Q2994" s="272"/>
      <c r="R2994" s="273"/>
      <c r="S2994" s="273"/>
      <c r="T2994" s="273"/>
      <c r="U2994" s="274"/>
      <c r="V2994" s="263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</row>
    <row r="2995">
      <c r="A2995" s="263"/>
      <c r="B2995" s="264"/>
      <c r="C2995" s="265"/>
      <c r="D2995" s="265"/>
      <c r="E2995" s="264"/>
      <c r="F2995" s="265"/>
      <c r="G2995" s="265"/>
      <c r="H2995" s="268"/>
      <c r="I2995" s="268"/>
      <c r="J2995" s="265"/>
      <c r="K2995" s="265"/>
      <c r="L2995" s="265"/>
      <c r="M2995" s="269"/>
      <c r="N2995" s="270"/>
      <c r="O2995" s="271"/>
      <c r="P2995" s="271"/>
      <c r="Q2995" s="272"/>
      <c r="R2995" s="273"/>
      <c r="S2995" s="273"/>
      <c r="T2995" s="273"/>
      <c r="U2995" s="274"/>
      <c r="V2995" s="263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</row>
    <row r="2996">
      <c r="A2996" s="263"/>
      <c r="B2996" s="264"/>
      <c r="C2996" s="265"/>
      <c r="D2996" s="265"/>
      <c r="E2996" s="264"/>
      <c r="F2996" s="265"/>
      <c r="G2996" s="265"/>
      <c r="H2996" s="268"/>
      <c r="I2996" s="268"/>
      <c r="J2996" s="265"/>
      <c r="K2996" s="265"/>
      <c r="L2996" s="265"/>
      <c r="M2996" s="269"/>
      <c r="N2996" s="270"/>
      <c r="O2996" s="271"/>
      <c r="P2996" s="271"/>
      <c r="Q2996" s="272"/>
      <c r="R2996" s="273"/>
      <c r="S2996" s="273"/>
      <c r="T2996" s="273"/>
      <c r="U2996" s="274"/>
      <c r="V2996" s="263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</row>
    <row r="2997">
      <c r="A2997" s="263"/>
      <c r="B2997" s="264"/>
      <c r="C2997" s="265"/>
      <c r="D2997" s="265"/>
      <c r="E2997" s="264"/>
      <c r="F2997" s="265"/>
      <c r="G2997" s="265"/>
      <c r="H2997" s="268"/>
      <c r="I2997" s="268"/>
      <c r="J2997" s="265"/>
      <c r="K2997" s="265"/>
      <c r="L2997" s="265"/>
      <c r="M2997" s="269"/>
      <c r="N2997" s="270"/>
      <c r="O2997" s="271"/>
      <c r="P2997" s="271"/>
      <c r="Q2997" s="272"/>
      <c r="R2997" s="273"/>
      <c r="S2997" s="273"/>
      <c r="T2997" s="273"/>
      <c r="U2997" s="274"/>
      <c r="V2997" s="263"/>
      <c r="W2997" s="188"/>
      <c r="X2997" s="188"/>
      <c r="Y2997" s="188"/>
      <c r="Z2997" s="188"/>
      <c r="AA2997" s="188"/>
      <c r="AB2997" s="188"/>
      <c r="AC2997" s="188"/>
      <c r="AD2997" s="188"/>
      <c r="AE2997" s="188"/>
      <c r="AF2997" s="188"/>
      <c r="AG2997" s="188"/>
      <c r="AH2997" s="188"/>
      <c r="AI2997" s="188"/>
    </row>
    <row r="2998">
      <c r="A2998" s="263"/>
      <c r="B2998" s="264"/>
      <c r="C2998" s="265"/>
      <c r="D2998" s="265"/>
      <c r="E2998" s="264"/>
      <c r="F2998" s="265"/>
      <c r="G2998" s="265"/>
      <c r="H2998" s="268"/>
      <c r="I2998" s="268"/>
      <c r="J2998" s="265"/>
      <c r="K2998" s="265"/>
      <c r="L2998" s="265"/>
      <c r="M2998" s="269"/>
      <c r="N2998" s="270"/>
      <c r="O2998" s="271"/>
      <c r="P2998" s="271"/>
      <c r="Q2998" s="272"/>
      <c r="R2998" s="273"/>
      <c r="S2998" s="273"/>
      <c r="T2998" s="273"/>
      <c r="U2998" s="274"/>
      <c r="V2998" s="263"/>
      <c r="W2998" s="35"/>
      <c r="X2998" s="35"/>
      <c r="Y2998" s="35"/>
      <c r="Z2998" s="35"/>
      <c r="AA2998" s="35"/>
      <c r="AB2998" s="35"/>
      <c r="AC2998" s="35"/>
      <c r="AD2998" s="35"/>
      <c r="AE2998" s="35"/>
      <c r="AF2998" s="35"/>
      <c r="AG2998" s="35"/>
      <c r="AH2998" s="35"/>
      <c r="AI2998" s="35"/>
    </row>
    <row r="2999">
      <c r="A2999" s="263"/>
      <c r="B2999" s="264"/>
      <c r="C2999" s="265"/>
      <c r="D2999" s="265"/>
      <c r="E2999" s="264"/>
      <c r="F2999" s="265"/>
      <c r="G2999" s="265"/>
      <c r="H2999" s="268"/>
      <c r="I2999" s="268"/>
      <c r="J2999" s="265"/>
      <c r="K2999" s="265"/>
      <c r="L2999" s="265"/>
      <c r="M2999" s="269"/>
      <c r="N2999" s="270"/>
      <c r="O2999" s="271"/>
      <c r="P2999" s="271"/>
      <c r="Q2999" s="272"/>
      <c r="R2999" s="273"/>
      <c r="S2999" s="273"/>
      <c r="T2999" s="273"/>
      <c r="U2999" s="274"/>
      <c r="V2999" s="263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</row>
    <row r="3000">
      <c r="A3000" s="263"/>
      <c r="B3000" s="264"/>
      <c r="C3000" s="265"/>
      <c r="D3000" s="265"/>
      <c r="E3000" s="264"/>
      <c r="F3000" s="265"/>
      <c r="G3000" s="265"/>
      <c r="H3000" s="268"/>
      <c r="I3000" s="268"/>
      <c r="J3000" s="265"/>
      <c r="K3000" s="265"/>
      <c r="L3000" s="265"/>
      <c r="M3000" s="269"/>
      <c r="N3000" s="270"/>
      <c r="O3000" s="271"/>
      <c r="P3000" s="271"/>
      <c r="Q3000" s="272"/>
      <c r="R3000" s="273"/>
      <c r="S3000" s="273"/>
      <c r="T3000" s="273"/>
      <c r="U3000" s="274"/>
      <c r="V3000" s="263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</row>
    <row r="3001">
      <c r="A3001" s="263"/>
      <c r="B3001" s="264"/>
      <c r="C3001" s="265"/>
      <c r="D3001" s="265"/>
      <c r="E3001" s="264"/>
      <c r="F3001" s="265"/>
      <c r="G3001" s="265"/>
      <c r="H3001" s="268"/>
      <c r="I3001" s="268"/>
      <c r="J3001" s="265"/>
      <c r="K3001" s="265"/>
      <c r="L3001" s="265"/>
      <c r="M3001" s="269"/>
      <c r="N3001" s="270"/>
      <c r="O3001" s="271"/>
      <c r="P3001" s="271"/>
      <c r="Q3001" s="272"/>
      <c r="R3001" s="273"/>
      <c r="S3001" s="273"/>
      <c r="T3001" s="273"/>
      <c r="U3001" s="274"/>
      <c r="V3001" s="263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</row>
    <row r="3002">
      <c r="A3002" s="263"/>
      <c r="B3002" s="264"/>
      <c r="C3002" s="265"/>
      <c r="D3002" s="265"/>
      <c r="E3002" s="264"/>
      <c r="F3002" s="265"/>
      <c r="G3002" s="265"/>
      <c r="H3002" s="268"/>
      <c r="I3002" s="268"/>
      <c r="J3002" s="265"/>
      <c r="K3002" s="265"/>
      <c r="L3002" s="265"/>
      <c r="M3002" s="269"/>
      <c r="N3002" s="270"/>
      <c r="O3002" s="271"/>
      <c r="P3002" s="271"/>
      <c r="Q3002" s="272"/>
      <c r="R3002" s="273"/>
      <c r="S3002" s="273"/>
      <c r="T3002" s="273"/>
      <c r="U3002" s="274"/>
      <c r="V3002" s="263"/>
      <c r="W3002" s="188"/>
      <c r="X3002" s="188"/>
      <c r="Y3002" s="188"/>
      <c r="Z3002" s="188"/>
      <c r="AA3002" s="188"/>
      <c r="AB3002" s="188"/>
      <c r="AC3002" s="188"/>
      <c r="AD3002" s="188"/>
      <c r="AE3002" s="188"/>
      <c r="AF3002" s="188"/>
      <c r="AG3002" s="188"/>
      <c r="AH3002" s="188"/>
      <c r="AI3002" s="188"/>
    </row>
    <row r="3003">
      <c r="A3003" s="263"/>
      <c r="B3003" s="264"/>
      <c r="C3003" s="265"/>
      <c r="D3003" s="265"/>
      <c r="E3003" s="264"/>
      <c r="F3003" s="265"/>
      <c r="G3003" s="265"/>
      <c r="H3003" s="268"/>
      <c r="I3003" s="268"/>
      <c r="J3003" s="265"/>
      <c r="K3003" s="265"/>
      <c r="L3003" s="265"/>
      <c r="M3003" s="269"/>
      <c r="N3003" s="270"/>
      <c r="O3003" s="271"/>
      <c r="P3003" s="271"/>
      <c r="Q3003" s="272"/>
      <c r="R3003" s="273"/>
      <c r="S3003" s="273"/>
      <c r="T3003" s="273"/>
      <c r="U3003" s="274"/>
      <c r="V3003" s="263"/>
      <c r="W3003" s="188"/>
      <c r="X3003" s="188"/>
      <c r="Y3003" s="188"/>
      <c r="Z3003" s="188"/>
      <c r="AA3003" s="188"/>
      <c r="AB3003" s="188"/>
      <c r="AC3003" s="188"/>
      <c r="AD3003" s="188"/>
      <c r="AE3003" s="188"/>
      <c r="AF3003" s="188"/>
      <c r="AG3003" s="188"/>
      <c r="AH3003" s="188"/>
      <c r="AI3003" s="188"/>
    </row>
    <row r="3004">
      <c r="A3004" s="263"/>
      <c r="B3004" s="264"/>
      <c r="C3004" s="265"/>
      <c r="D3004" s="265"/>
      <c r="E3004" s="264"/>
      <c r="F3004" s="265"/>
      <c r="G3004" s="265"/>
      <c r="H3004" s="268"/>
      <c r="I3004" s="268"/>
      <c r="J3004" s="265"/>
      <c r="K3004" s="265"/>
      <c r="L3004" s="265"/>
      <c r="M3004" s="269"/>
      <c r="N3004" s="270"/>
      <c r="O3004" s="271"/>
      <c r="P3004" s="271"/>
      <c r="Q3004" s="272"/>
      <c r="R3004" s="273"/>
      <c r="S3004" s="273"/>
      <c r="T3004" s="273"/>
      <c r="U3004" s="274"/>
      <c r="V3004" s="263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</row>
    <row r="3005">
      <c r="A3005" s="263"/>
      <c r="B3005" s="264"/>
      <c r="C3005" s="265"/>
      <c r="D3005" s="265"/>
      <c r="E3005" s="264"/>
      <c r="F3005" s="265"/>
      <c r="G3005" s="265"/>
      <c r="H3005" s="268"/>
      <c r="I3005" s="268"/>
      <c r="J3005" s="265"/>
      <c r="K3005" s="265"/>
      <c r="L3005" s="265"/>
      <c r="M3005" s="269"/>
      <c r="N3005" s="270"/>
      <c r="O3005" s="271"/>
      <c r="P3005" s="271"/>
      <c r="Q3005" s="272"/>
      <c r="R3005" s="273"/>
      <c r="S3005" s="273"/>
      <c r="T3005" s="273"/>
      <c r="U3005" s="274"/>
      <c r="V3005" s="263"/>
      <c r="W3005" s="35"/>
      <c r="X3005" s="35"/>
      <c r="Y3005" s="35"/>
      <c r="Z3005" s="35"/>
      <c r="AA3005" s="35"/>
      <c r="AB3005" s="35"/>
      <c r="AC3005" s="35"/>
      <c r="AD3005" s="35"/>
      <c r="AE3005" s="35"/>
      <c r="AF3005" s="35"/>
      <c r="AG3005" s="35"/>
      <c r="AH3005" s="35"/>
      <c r="AI3005" s="35"/>
    </row>
    <row r="3006">
      <c r="A3006" s="263"/>
      <c r="B3006" s="264"/>
      <c r="C3006" s="265"/>
      <c r="D3006" s="265"/>
      <c r="E3006" s="264"/>
      <c r="F3006" s="265"/>
      <c r="G3006" s="265"/>
      <c r="H3006" s="268"/>
      <c r="I3006" s="268"/>
      <c r="J3006" s="265"/>
      <c r="K3006" s="265"/>
      <c r="L3006" s="265"/>
      <c r="M3006" s="269"/>
      <c r="N3006" s="270"/>
      <c r="O3006" s="271"/>
      <c r="P3006" s="271"/>
      <c r="Q3006" s="272"/>
      <c r="R3006" s="273"/>
      <c r="S3006" s="273"/>
      <c r="T3006" s="273"/>
      <c r="U3006" s="274"/>
      <c r="V3006" s="263"/>
      <c r="W3006" s="35"/>
      <c r="X3006" s="35"/>
      <c r="Y3006" s="35"/>
      <c r="Z3006" s="35"/>
      <c r="AA3006" s="35"/>
      <c r="AB3006" s="35"/>
      <c r="AC3006" s="35"/>
      <c r="AD3006" s="35"/>
      <c r="AE3006" s="35"/>
      <c r="AF3006" s="35"/>
      <c r="AG3006" s="35"/>
      <c r="AH3006" s="35"/>
      <c r="AI3006" s="35"/>
    </row>
    <row r="3007">
      <c r="A3007" s="263"/>
      <c r="B3007" s="264"/>
      <c r="C3007" s="265"/>
      <c r="D3007" s="265"/>
      <c r="E3007" s="264"/>
      <c r="F3007" s="265"/>
      <c r="G3007" s="265"/>
      <c r="H3007" s="268"/>
      <c r="I3007" s="268"/>
      <c r="J3007" s="265"/>
      <c r="K3007" s="265"/>
      <c r="L3007" s="265"/>
      <c r="M3007" s="269"/>
      <c r="N3007" s="270"/>
      <c r="O3007" s="271"/>
      <c r="P3007" s="271"/>
      <c r="Q3007" s="272"/>
      <c r="R3007" s="273"/>
      <c r="S3007" s="273"/>
      <c r="T3007" s="273"/>
      <c r="U3007" s="274"/>
      <c r="V3007" s="263"/>
      <c r="W3007" s="35"/>
      <c r="X3007" s="35"/>
      <c r="Y3007" s="35"/>
      <c r="Z3007" s="35"/>
      <c r="AA3007" s="35"/>
      <c r="AB3007" s="35"/>
      <c r="AC3007" s="35"/>
      <c r="AD3007" s="35"/>
      <c r="AE3007" s="35"/>
      <c r="AF3007" s="35"/>
      <c r="AG3007" s="35"/>
      <c r="AH3007" s="35"/>
      <c r="AI3007" s="35"/>
    </row>
    <row r="3008">
      <c r="A3008" s="263"/>
      <c r="B3008" s="264"/>
      <c r="C3008" s="265"/>
      <c r="D3008" s="265"/>
      <c r="E3008" s="264"/>
      <c r="F3008" s="265"/>
      <c r="G3008" s="265"/>
      <c r="H3008" s="268"/>
      <c r="I3008" s="268"/>
      <c r="J3008" s="265"/>
      <c r="K3008" s="265"/>
      <c r="L3008" s="265"/>
      <c r="M3008" s="269"/>
      <c r="N3008" s="270"/>
      <c r="O3008" s="271"/>
      <c r="P3008" s="271"/>
      <c r="Q3008" s="272"/>
      <c r="R3008" s="273"/>
      <c r="S3008" s="273"/>
      <c r="T3008" s="273"/>
      <c r="U3008" s="274"/>
      <c r="V3008" s="263"/>
      <c r="W3008" s="35"/>
      <c r="X3008" s="35"/>
      <c r="Y3008" s="35"/>
      <c r="Z3008" s="35"/>
      <c r="AA3008" s="35"/>
      <c r="AB3008" s="35"/>
      <c r="AC3008" s="35"/>
      <c r="AD3008" s="35"/>
      <c r="AE3008" s="35"/>
      <c r="AF3008" s="35"/>
      <c r="AG3008" s="35"/>
      <c r="AH3008" s="35"/>
      <c r="AI3008" s="35"/>
    </row>
    <row r="3009">
      <c r="A3009" s="263"/>
      <c r="B3009" s="264"/>
      <c r="C3009" s="265"/>
      <c r="D3009" s="265"/>
      <c r="E3009" s="264"/>
      <c r="F3009" s="265"/>
      <c r="G3009" s="265"/>
      <c r="H3009" s="268"/>
      <c r="I3009" s="268"/>
      <c r="J3009" s="265"/>
      <c r="K3009" s="265"/>
      <c r="L3009" s="265"/>
      <c r="M3009" s="269"/>
      <c r="N3009" s="270"/>
      <c r="O3009" s="271"/>
      <c r="P3009" s="271"/>
      <c r="Q3009" s="272"/>
      <c r="R3009" s="273"/>
      <c r="S3009" s="273"/>
      <c r="T3009" s="273"/>
      <c r="U3009" s="274"/>
      <c r="V3009" s="263"/>
      <c r="W3009" s="35"/>
      <c r="X3009" s="35"/>
      <c r="Y3009" s="35"/>
      <c r="Z3009" s="35"/>
      <c r="AA3009" s="35"/>
      <c r="AB3009" s="35"/>
      <c r="AC3009" s="35"/>
      <c r="AD3009" s="35"/>
      <c r="AE3009" s="35"/>
      <c r="AF3009" s="35"/>
      <c r="AG3009" s="35"/>
      <c r="AH3009" s="35"/>
      <c r="AI3009" s="35"/>
    </row>
    <row r="3010">
      <c r="A3010" s="263"/>
      <c r="B3010" s="264"/>
      <c r="C3010" s="265"/>
      <c r="D3010" s="265"/>
      <c r="E3010" s="264"/>
      <c r="F3010" s="265"/>
      <c r="G3010" s="265"/>
      <c r="H3010" s="268"/>
      <c r="I3010" s="268"/>
      <c r="J3010" s="265"/>
      <c r="K3010" s="265"/>
      <c r="L3010" s="265"/>
      <c r="M3010" s="269"/>
      <c r="N3010" s="270"/>
      <c r="O3010" s="271"/>
      <c r="P3010" s="271"/>
      <c r="Q3010" s="272"/>
      <c r="R3010" s="273"/>
      <c r="S3010" s="273"/>
      <c r="T3010" s="273"/>
      <c r="U3010" s="274"/>
      <c r="V3010" s="263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</row>
    <row r="3011">
      <c r="A3011" s="263"/>
      <c r="B3011" s="264"/>
      <c r="C3011" s="265"/>
      <c r="D3011" s="265"/>
      <c r="E3011" s="264"/>
      <c r="F3011" s="265"/>
      <c r="G3011" s="265"/>
      <c r="H3011" s="268"/>
      <c r="I3011" s="268"/>
      <c r="J3011" s="265"/>
      <c r="K3011" s="265"/>
      <c r="L3011" s="265"/>
      <c r="M3011" s="269"/>
      <c r="N3011" s="270"/>
      <c r="O3011" s="271"/>
      <c r="P3011" s="271"/>
      <c r="Q3011" s="272"/>
      <c r="R3011" s="273"/>
      <c r="S3011" s="273"/>
      <c r="T3011" s="273"/>
      <c r="U3011" s="274"/>
      <c r="V3011" s="263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</row>
    <row r="3012">
      <c r="A3012" s="263"/>
      <c r="B3012" s="264"/>
      <c r="C3012" s="265"/>
      <c r="D3012" s="265"/>
      <c r="E3012" s="264"/>
      <c r="F3012" s="265"/>
      <c r="G3012" s="265"/>
      <c r="H3012" s="268"/>
      <c r="I3012" s="268"/>
      <c r="J3012" s="265"/>
      <c r="K3012" s="265"/>
      <c r="L3012" s="265"/>
      <c r="M3012" s="269"/>
      <c r="N3012" s="270"/>
      <c r="O3012" s="271"/>
      <c r="P3012" s="271"/>
      <c r="Q3012" s="272"/>
      <c r="R3012" s="273"/>
      <c r="S3012" s="273"/>
      <c r="T3012" s="273"/>
      <c r="U3012" s="274"/>
      <c r="V3012" s="263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</row>
    <row r="3013">
      <c r="A3013" s="263"/>
      <c r="B3013" s="264"/>
      <c r="C3013" s="265"/>
      <c r="D3013" s="265"/>
      <c r="E3013" s="264"/>
      <c r="F3013" s="265"/>
      <c r="G3013" s="265"/>
      <c r="H3013" s="268"/>
      <c r="I3013" s="268"/>
      <c r="J3013" s="265"/>
      <c r="K3013" s="265"/>
      <c r="L3013" s="265"/>
      <c r="M3013" s="269"/>
      <c r="N3013" s="270"/>
      <c r="O3013" s="271"/>
      <c r="P3013" s="271"/>
      <c r="Q3013" s="272"/>
      <c r="R3013" s="273"/>
      <c r="S3013" s="273"/>
      <c r="T3013" s="273"/>
      <c r="U3013" s="274"/>
      <c r="V3013" s="263"/>
      <c r="W3013" s="188"/>
      <c r="X3013" s="188"/>
      <c r="Y3013" s="188"/>
      <c r="Z3013" s="188"/>
      <c r="AA3013" s="188"/>
      <c r="AB3013" s="188"/>
      <c r="AC3013" s="188"/>
      <c r="AD3013" s="188"/>
      <c r="AE3013" s="188"/>
      <c r="AF3013" s="188"/>
      <c r="AG3013" s="188"/>
      <c r="AH3013" s="188"/>
      <c r="AI3013" s="188"/>
    </row>
    <row r="3014">
      <c r="A3014" s="263"/>
      <c r="B3014" s="264"/>
      <c r="C3014" s="265"/>
      <c r="D3014" s="265"/>
      <c r="E3014" s="264"/>
      <c r="F3014" s="265"/>
      <c r="G3014" s="265"/>
      <c r="H3014" s="268"/>
      <c r="I3014" s="268"/>
      <c r="J3014" s="265"/>
      <c r="K3014" s="265"/>
      <c r="L3014" s="265"/>
      <c r="M3014" s="269"/>
      <c r="N3014" s="270"/>
      <c r="O3014" s="271"/>
      <c r="P3014" s="271"/>
      <c r="Q3014" s="272"/>
      <c r="R3014" s="273"/>
      <c r="S3014" s="273"/>
      <c r="T3014" s="273"/>
      <c r="U3014" s="274"/>
      <c r="V3014" s="263"/>
      <c r="W3014" s="35"/>
      <c r="X3014" s="35"/>
      <c r="Y3014" s="35"/>
      <c r="Z3014" s="35"/>
      <c r="AA3014" s="35"/>
      <c r="AB3014" s="35"/>
      <c r="AC3014" s="35"/>
      <c r="AD3014" s="35"/>
      <c r="AE3014" s="35"/>
      <c r="AF3014" s="35"/>
      <c r="AG3014" s="35"/>
      <c r="AH3014" s="35"/>
      <c r="AI3014" s="35"/>
    </row>
    <row r="3015">
      <c r="A3015" s="263"/>
      <c r="B3015" s="264"/>
      <c r="C3015" s="265"/>
      <c r="D3015" s="265"/>
      <c r="E3015" s="264"/>
      <c r="F3015" s="265"/>
      <c r="G3015" s="265"/>
      <c r="H3015" s="268"/>
      <c r="I3015" s="268"/>
      <c r="J3015" s="265"/>
      <c r="K3015" s="265"/>
      <c r="L3015" s="265"/>
      <c r="M3015" s="269"/>
      <c r="N3015" s="270"/>
      <c r="O3015" s="271"/>
      <c r="P3015" s="271"/>
      <c r="Q3015" s="272"/>
      <c r="R3015" s="273"/>
      <c r="S3015" s="273"/>
      <c r="T3015" s="273"/>
      <c r="U3015" s="274"/>
      <c r="V3015" s="263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</row>
    <row r="3016">
      <c r="A3016" s="263"/>
      <c r="B3016" s="264"/>
      <c r="C3016" s="265"/>
      <c r="D3016" s="265"/>
      <c r="E3016" s="264"/>
      <c r="F3016" s="265"/>
      <c r="G3016" s="265"/>
      <c r="H3016" s="268"/>
      <c r="I3016" s="268"/>
      <c r="J3016" s="265"/>
      <c r="K3016" s="265"/>
      <c r="L3016" s="265"/>
      <c r="M3016" s="269"/>
      <c r="N3016" s="270"/>
      <c r="O3016" s="271"/>
      <c r="P3016" s="271"/>
      <c r="Q3016" s="272"/>
      <c r="R3016" s="273"/>
      <c r="S3016" s="273"/>
      <c r="T3016" s="273"/>
      <c r="U3016" s="274"/>
      <c r="V3016" s="263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</row>
    <row r="3017">
      <c r="A3017" s="263"/>
      <c r="B3017" s="264"/>
      <c r="C3017" s="265"/>
      <c r="D3017" s="265"/>
      <c r="E3017" s="264"/>
      <c r="F3017" s="265"/>
      <c r="G3017" s="265"/>
      <c r="H3017" s="268"/>
      <c r="I3017" s="268"/>
      <c r="J3017" s="265"/>
      <c r="K3017" s="265"/>
      <c r="L3017" s="265"/>
      <c r="M3017" s="269"/>
      <c r="N3017" s="270"/>
      <c r="O3017" s="271"/>
      <c r="P3017" s="271"/>
      <c r="Q3017" s="272"/>
      <c r="R3017" s="273"/>
      <c r="S3017" s="273"/>
      <c r="T3017" s="273"/>
      <c r="U3017" s="274"/>
      <c r="V3017" s="263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</row>
    <row r="3018">
      <c r="A3018" s="263"/>
      <c r="B3018" s="264"/>
      <c r="C3018" s="265"/>
      <c r="D3018" s="265"/>
      <c r="E3018" s="264"/>
      <c r="F3018" s="265"/>
      <c r="G3018" s="265"/>
      <c r="H3018" s="268"/>
      <c r="I3018" s="268"/>
      <c r="J3018" s="265"/>
      <c r="K3018" s="265"/>
      <c r="L3018" s="265"/>
      <c r="M3018" s="269"/>
      <c r="N3018" s="270"/>
      <c r="O3018" s="271"/>
      <c r="P3018" s="271"/>
      <c r="Q3018" s="272"/>
      <c r="R3018" s="273"/>
      <c r="S3018" s="273"/>
      <c r="T3018" s="273"/>
      <c r="U3018" s="274"/>
      <c r="V3018" s="263"/>
      <c r="W3018" s="35"/>
      <c r="X3018" s="35"/>
      <c r="Y3018" s="35"/>
      <c r="Z3018" s="35"/>
      <c r="AA3018" s="35"/>
      <c r="AB3018" s="35"/>
      <c r="AC3018" s="35"/>
      <c r="AD3018" s="35"/>
      <c r="AE3018" s="35"/>
      <c r="AF3018" s="35"/>
      <c r="AG3018" s="35"/>
      <c r="AH3018" s="35"/>
      <c r="AI3018" s="35"/>
    </row>
    <row r="3019">
      <c r="A3019" s="263"/>
      <c r="B3019" s="264"/>
      <c r="C3019" s="265"/>
      <c r="D3019" s="265"/>
      <c r="E3019" s="264"/>
      <c r="F3019" s="265"/>
      <c r="G3019" s="265"/>
      <c r="H3019" s="268"/>
      <c r="I3019" s="268"/>
      <c r="J3019" s="265"/>
      <c r="K3019" s="265"/>
      <c r="L3019" s="265"/>
      <c r="M3019" s="269"/>
      <c r="N3019" s="270"/>
      <c r="O3019" s="271"/>
      <c r="P3019" s="271"/>
      <c r="Q3019" s="272"/>
      <c r="R3019" s="273"/>
      <c r="S3019" s="273"/>
      <c r="T3019" s="273"/>
      <c r="U3019" s="274"/>
      <c r="V3019" s="263"/>
      <c r="W3019" s="188"/>
      <c r="X3019" s="188"/>
      <c r="Y3019" s="188"/>
      <c r="Z3019" s="188"/>
      <c r="AA3019" s="188"/>
      <c r="AB3019" s="188"/>
      <c r="AC3019" s="188"/>
      <c r="AD3019" s="188"/>
      <c r="AE3019" s="188"/>
      <c r="AF3019" s="188"/>
      <c r="AG3019" s="188"/>
      <c r="AH3019" s="188"/>
      <c r="AI3019" s="188"/>
    </row>
    <row r="3020">
      <c r="A3020" s="263"/>
      <c r="B3020" s="264"/>
      <c r="C3020" s="265"/>
      <c r="D3020" s="265"/>
      <c r="E3020" s="264"/>
      <c r="F3020" s="265"/>
      <c r="G3020" s="265"/>
      <c r="H3020" s="268"/>
      <c r="I3020" s="268"/>
      <c r="J3020" s="265"/>
      <c r="K3020" s="265"/>
      <c r="L3020" s="265"/>
      <c r="M3020" s="269"/>
      <c r="N3020" s="270"/>
      <c r="O3020" s="271"/>
      <c r="P3020" s="271"/>
      <c r="Q3020" s="272"/>
      <c r="R3020" s="273"/>
      <c r="S3020" s="273"/>
      <c r="T3020" s="273"/>
      <c r="U3020" s="274"/>
      <c r="V3020" s="263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</row>
    <row r="3021">
      <c r="A3021" s="263"/>
      <c r="B3021" s="264"/>
      <c r="C3021" s="265"/>
      <c r="D3021" s="265"/>
      <c r="E3021" s="264"/>
      <c r="F3021" s="265"/>
      <c r="G3021" s="265"/>
      <c r="H3021" s="268"/>
      <c r="I3021" s="268"/>
      <c r="J3021" s="265"/>
      <c r="K3021" s="265"/>
      <c r="L3021" s="265"/>
      <c r="M3021" s="269"/>
      <c r="N3021" s="270"/>
      <c r="O3021" s="271"/>
      <c r="P3021" s="271"/>
      <c r="Q3021" s="272"/>
      <c r="R3021" s="273"/>
      <c r="S3021" s="273"/>
      <c r="T3021" s="273"/>
      <c r="U3021" s="274"/>
      <c r="V3021" s="263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</row>
    <row r="3022">
      <c r="A3022" s="263"/>
      <c r="B3022" s="264"/>
      <c r="C3022" s="265"/>
      <c r="D3022" s="265"/>
      <c r="E3022" s="264"/>
      <c r="F3022" s="265"/>
      <c r="G3022" s="265"/>
      <c r="H3022" s="268"/>
      <c r="I3022" s="268"/>
      <c r="J3022" s="265"/>
      <c r="K3022" s="265"/>
      <c r="L3022" s="265"/>
      <c r="M3022" s="269"/>
      <c r="N3022" s="270"/>
      <c r="O3022" s="271"/>
      <c r="P3022" s="271"/>
      <c r="Q3022" s="272"/>
      <c r="R3022" s="273"/>
      <c r="S3022" s="273"/>
      <c r="T3022" s="273"/>
      <c r="U3022" s="274"/>
      <c r="V3022" s="263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</row>
    <row r="3023">
      <c r="A3023" s="263"/>
      <c r="B3023" s="264"/>
      <c r="C3023" s="265"/>
      <c r="D3023" s="265"/>
      <c r="E3023" s="264"/>
      <c r="F3023" s="265"/>
      <c r="G3023" s="265"/>
      <c r="H3023" s="268"/>
      <c r="I3023" s="268"/>
      <c r="J3023" s="265"/>
      <c r="K3023" s="265"/>
      <c r="L3023" s="265"/>
      <c r="M3023" s="269"/>
      <c r="N3023" s="270"/>
      <c r="O3023" s="271"/>
      <c r="P3023" s="271"/>
      <c r="Q3023" s="272"/>
      <c r="R3023" s="273"/>
      <c r="S3023" s="273"/>
      <c r="T3023" s="273"/>
      <c r="U3023" s="274"/>
      <c r="V3023" s="263"/>
      <c r="W3023" s="35"/>
      <c r="X3023" s="35"/>
      <c r="Y3023" s="35"/>
      <c r="Z3023" s="35"/>
      <c r="AA3023" s="35"/>
      <c r="AB3023" s="35"/>
      <c r="AC3023" s="35"/>
      <c r="AD3023" s="35"/>
      <c r="AE3023" s="35"/>
      <c r="AF3023" s="35"/>
      <c r="AG3023" s="35"/>
      <c r="AH3023" s="35"/>
      <c r="AI3023" s="35"/>
    </row>
    <row r="3024">
      <c r="A3024" s="263"/>
      <c r="B3024" s="264"/>
      <c r="C3024" s="265"/>
      <c r="D3024" s="265"/>
      <c r="E3024" s="264"/>
      <c r="F3024" s="265"/>
      <c r="G3024" s="265"/>
      <c r="H3024" s="268"/>
      <c r="I3024" s="268"/>
      <c r="J3024" s="265"/>
      <c r="K3024" s="265"/>
      <c r="L3024" s="265"/>
      <c r="M3024" s="269"/>
      <c r="N3024" s="270"/>
      <c r="O3024" s="271"/>
      <c r="P3024" s="271"/>
      <c r="Q3024" s="272"/>
      <c r="R3024" s="273"/>
      <c r="S3024" s="273"/>
      <c r="T3024" s="273"/>
      <c r="U3024" s="274"/>
      <c r="V3024" s="263"/>
      <c r="W3024" s="35"/>
      <c r="X3024" s="35"/>
      <c r="Y3024" s="35"/>
      <c r="Z3024" s="35"/>
      <c r="AA3024" s="35"/>
      <c r="AB3024" s="35"/>
      <c r="AC3024" s="35"/>
      <c r="AD3024" s="35"/>
      <c r="AE3024" s="35"/>
      <c r="AF3024" s="35"/>
      <c r="AG3024" s="35"/>
      <c r="AH3024" s="35"/>
      <c r="AI3024" s="35"/>
    </row>
    <row r="3025">
      <c r="A3025" s="263"/>
      <c r="B3025" s="264"/>
      <c r="C3025" s="265"/>
      <c r="D3025" s="265"/>
      <c r="E3025" s="264"/>
      <c r="F3025" s="265"/>
      <c r="G3025" s="265"/>
      <c r="H3025" s="268"/>
      <c r="I3025" s="268"/>
      <c r="J3025" s="265"/>
      <c r="K3025" s="265"/>
      <c r="L3025" s="265"/>
      <c r="M3025" s="269"/>
      <c r="N3025" s="270"/>
      <c r="O3025" s="271"/>
      <c r="P3025" s="271"/>
      <c r="Q3025" s="272"/>
      <c r="R3025" s="273"/>
      <c r="S3025" s="273"/>
      <c r="T3025" s="273"/>
      <c r="U3025" s="274"/>
      <c r="V3025" s="263"/>
      <c r="W3025" s="188"/>
      <c r="X3025" s="188"/>
      <c r="Y3025" s="188"/>
      <c r="Z3025" s="188"/>
      <c r="AA3025" s="188"/>
      <c r="AB3025" s="188"/>
      <c r="AC3025" s="188"/>
      <c r="AD3025" s="188"/>
      <c r="AE3025" s="188"/>
      <c r="AF3025" s="188"/>
      <c r="AG3025" s="188"/>
      <c r="AH3025" s="188"/>
      <c r="AI3025" s="188"/>
    </row>
    <row r="3026">
      <c r="A3026" s="263"/>
      <c r="B3026" s="264"/>
      <c r="C3026" s="265"/>
      <c r="D3026" s="265"/>
      <c r="E3026" s="264"/>
      <c r="F3026" s="265"/>
      <c r="G3026" s="265"/>
      <c r="H3026" s="268"/>
      <c r="I3026" s="268"/>
      <c r="J3026" s="265"/>
      <c r="K3026" s="265"/>
      <c r="L3026" s="265"/>
      <c r="M3026" s="269"/>
      <c r="N3026" s="270"/>
      <c r="O3026" s="271"/>
      <c r="P3026" s="271"/>
      <c r="Q3026" s="272"/>
      <c r="R3026" s="273"/>
      <c r="S3026" s="273"/>
      <c r="T3026" s="273"/>
      <c r="U3026" s="274"/>
      <c r="V3026" s="263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</row>
    <row r="3027">
      <c r="A3027" s="263"/>
      <c r="B3027" s="264"/>
      <c r="C3027" s="265"/>
      <c r="D3027" s="265"/>
      <c r="E3027" s="264"/>
      <c r="F3027" s="265"/>
      <c r="G3027" s="265"/>
      <c r="H3027" s="268"/>
      <c r="I3027" s="268"/>
      <c r="J3027" s="265"/>
      <c r="K3027" s="265"/>
      <c r="L3027" s="265"/>
      <c r="M3027" s="269"/>
      <c r="N3027" s="270"/>
      <c r="O3027" s="271"/>
      <c r="P3027" s="271"/>
      <c r="Q3027" s="272"/>
      <c r="R3027" s="273"/>
      <c r="S3027" s="273"/>
      <c r="T3027" s="273"/>
      <c r="U3027" s="274"/>
      <c r="V3027" s="263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</row>
    <row r="3028">
      <c r="A3028" s="263"/>
      <c r="B3028" s="264"/>
      <c r="C3028" s="265"/>
      <c r="D3028" s="265"/>
      <c r="E3028" s="264"/>
      <c r="F3028" s="265"/>
      <c r="G3028" s="265"/>
      <c r="H3028" s="268"/>
      <c r="I3028" s="268"/>
      <c r="J3028" s="265"/>
      <c r="K3028" s="265"/>
      <c r="L3028" s="265"/>
      <c r="M3028" s="269"/>
      <c r="N3028" s="270"/>
      <c r="O3028" s="271"/>
      <c r="P3028" s="271"/>
      <c r="Q3028" s="272"/>
      <c r="R3028" s="273"/>
      <c r="S3028" s="273"/>
      <c r="T3028" s="273"/>
      <c r="U3028" s="274"/>
      <c r="V3028" s="263"/>
      <c r="W3028" s="188"/>
      <c r="X3028" s="188"/>
      <c r="Y3028" s="188"/>
      <c r="Z3028" s="188"/>
      <c r="AA3028" s="188"/>
      <c r="AB3028" s="188"/>
      <c r="AC3028" s="188"/>
      <c r="AD3028" s="188"/>
      <c r="AE3028" s="188"/>
      <c r="AF3028" s="188"/>
      <c r="AG3028" s="188"/>
      <c r="AH3028" s="188"/>
      <c r="AI3028" s="188"/>
    </row>
    <row r="3029">
      <c r="A3029" s="263"/>
      <c r="B3029" s="264"/>
      <c r="C3029" s="265"/>
      <c r="D3029" s="265"/>
      <c r="E3029" s="264"/>
      <c r="F3029" s="265"/>
      <c r="G3029" s="265"/>
      <c r="H3029" s="268"/>
      <c r="I3029" s="268"/>
      <c r="J3029" s="265"/>
      <c r="K3029" s="265"/>
      <c r="L3029" s="265"/>
      <c r="M3029" s="269"/>
      <c r="N3029" s="270"/>
      <c r="O3029" s="271"/>
      <c r="P3029" s="271"/>
      <c r="Q3029" s="272"/>
      <c r="R3029" s="273"/>
      <c r="S3029" s="273"/>
      <c r="T3029" s="273"/>
      <c r="U3029" s="274"/>
      <c r="V3029" s="263"/>
      <c r="W3029" s="36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</row>
    <row r="3030">
      <c r="A3030" s="263"/>
      <c r="B3030" s="264"/>
      <c r="C3030" s="265"/>
      <c r="D3030" s="265"/>
      <c r="E3030" s="264"/>
      <c r="F3030" s="265"/>
      <c r="G3030" s="265"/>
      <c r="H3030" s="268"/>
      <c r="I3030" s="268"/>
      <c r="J3030" s="265"/>
      <c r="K3030" s="265"/>
      <c r="L3030" s="265"/>
      <c r="M3030" s="269"/>
      <c r="N3030" s="270"/>
      <c r="O3030" s="271"/>
      <c r="P3030" s="271"/>
      <c r="Q3030" s="272"/>
      <c r="R3030" s="273"/>
      <c r="S3030" s="273"/>
      <c r="T3030" s="273"/>
      <c r="U3030" s="274"/>
      <c r="V3030" s="263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</row>
    <row r="3031">
      <c r="A3031" s="263"/>
      <c r="B3031" s="264"/>
      <c r="C3031" s="265"/>
      <c r="D3031" s="265"/>
      <c r="E3031" s="264"/>
      <c r="F3031" s="265"/>
      <c r="G3031" s="265"/>
      <c r="H3031" s="268"/>
      <c r="I3031" s="268"/>
      <c r="J3031" s="265"/>
      <c r="K3031" s="265"/>
      <c r="L3031" s="265"/>
      <c r="M3031" s="269"/>
      <c r="N3031" s="270"/>
      <c r="O3031" s="271"/>
      <c r="P3031" s="271"/>
      <c r="Q3031" s="272"/>
      <c r="R3031" s="273"/>
      <c r="S3031" s="273"/>
      <c r="T3031" s="273"/>
      <c r="U3031" s="274"/>
      <c r="V3031" s="263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</row>
    <row r="3032">
      <c r="A3032" s="263"/>
      <c r="B3032" s="264"/>
      <c r="C3032" s="265"/>
      <c r="D3032" s="265"/>
      <c r="E3032" s="264"/>
      <c r="F3032" s="265"/>
      <c r="G3032" s="265"/>
      <c r="H3032" s="268"/>
      <c r="I3032" s="268"/>
      <c r="J3032" s="265"/>
      <c r="K3032" s="265"/>
      <c r="L3032" s="265"/>
      <c r="M3032" s="269"/>
      <c r="N3032" s="270"/>
      <c r="O3032" s="271"/>
      <c r="P3032" s="271"/>
      <c r="Q3032" s="272"/>
      <c r="R3032" s="273"/>
      <c r="S3032" s="273"/>
      <c r="T3032" s="273"/>
      <c r="U3032" s="274"/>
      <c r="V3032" s="263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</row>
    <row r="3033">
      <c r="A3033" s="263"/>
      <c r="B3033" s="264"/>
      <c r="C3033" s="265"/>
      <c r="D3033" s="265"/>
      <c r="E3033" s="264"/>
      <c r="F3033" s="265"/>
      <c r="G3033" s="265"/>
      <c r="H3033" s="268"/>
      <c r="I3033" s="268"/>
      <c r="J3033" s="265"/>
      <c r="K3033" s="265"/>
      <c r="L3033" s="265"/>
      <c r="M3033" s="269"/>
      <c r="N3033" s="270"/>
      <c r="O3033" s="271"/>
      <c r="P3033" s="271"/>
      <c r="Q3033" s="272"/>
      <c r="R3033" s="273"/>
      <c r="S3033" s="273"/>
      <c r="T3033" s="273"/>
      <c r="U3033" s="274"/>
      <c r="V3033" s="263"/>
      <c r="W3033" s="36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</row>
    <row r="3034">
      <c r="A3034" s="263"/>
      <c r="B3034" s="264"/>
      <c r="C3034" s="265"/>
      <c r="D3034" s="265"/>
      <c r="E3034" s="264"/>
      <c r="F3034" s="265"/>
      <c r="G3034" s="265"/>
      <c r="H3034" s="268"/>
      <c r="I3034" s="268"/>
      <c r="J3034" s="265"/>
      <c r="K3034" s="265"/>
      <c r="L3034" s="265"/>
      <c r="M3034" s="269"/>
      <c r="N3034" s="270"/>
      <c r="O3034" s="271"/>
      <c r="P3034" s="271"/>
      <c r="Q3034" s="272"/>
      <c r="R3034" s="273"/>
      <c r="S3034" s="273"/>
      <c r="T3034" s="273"/>
      <c r="U3034" s="274"/>
      <c r="V3034" s="263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</row>
    <row r="3035">
      <c r="A3035" s="263"/>
      <c r="B3035" s="264"/>
      <c r="C3035" s="265"/>
      <c r="D3035" s="265"/>
      <c r="E3035" s="264"/>
      <c r="F3035" s="265"/>
      <c r="G3035" s="265"/>
      <c r="H3035" s="268"/>
      <c r="I3035" s="268"/>
      <c r="J3035" s="265"/>
      <c r="K3035" s="265"/>
      <c r="L3035" s="265"/>
      <c r="M3035" s="269"/>
      <c r="N3035" s="270"/>
      <c r="O3035" s="271"/>
      <c r="P3035" s="271"/>
      <c r="Q3035" s="272"/>
      <c r="R3035" s="273"/>
      <c r="S3035" s="273"/>
      <c r="T3035" s="273"/>
      <c r="U3035" s="274"/>
      <c r="V3035" s="263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</row>
    <row r="3036">
      <c r="A3036" s="263"/>
      <c r="B3036" s="264"/>
      <c r="C3036" s="265"/>
      <c r="D3036" s="265"/>
      <c r="E3036" s="264"/>
      <c r="F3036" s="265"/>
      <c r="G3036" s="265"/>
      <c r="H3036" s="268"/>
      <c r="I3036" s="268"/>
      <c r="J3036" s="265"/>
      <c r="K3036" s="265"/>
      <c r="L3036" s="265"/>
      <c r="M3036" s="269"/>
      <c r="N3036" s="270"/>
      <c r="O3036" s="271"/>
      <c r="P3036" s="271"/>
      <c r="Q3036" s="272"/>
      <c r="R3036" s="273"/>
      <c r="S3036" s="273"/>
      <c r="T3036" s="273"/>
      <c r="U3036" s="274"/>
      <c r="V3036" s="263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</row>
    <row r="3037">
      <c r="A3037" s="263"/>
      <c r="B3037" s="264"/>
      <c r="C3037" s="265"/>
      <c r="D3037" s="265"/>
      <c r="E3037" s="264"/>
      <c r="F3037" s="265"/>
      <c r="G3037" s="265"/>
      <c r="H3037" s="268"/>
      <c r="I3037" s="268"/>
      <c r="J3037" s="265"/>
      <c r="K3037" s="265"/>
      <c r="L3037" s="265"/>
      <c r="M3037" s="269"/>
      <c r="N3037" s="270"/>
      <c r="O3037" s="271"/>
      <c r="P3037" s="271"/>
      <c r="Q3037" s="272"/>
      <c r="R3037" s="273"/>
      <c r="S3037" s="273"/>
      <c r="T3037" s="273"/>
      <c r="U3037" s="274"/>
      <c r="V3037" s="263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</row>
    <row r="3038">
      <c r="A3038" s="263"/>
      <c r="B3038" s="264"/>
      <c r="C3038" s="265"/>
      <c r="D3038" s="265"/>
      <c r="E3038" s="264"/>
      <c r="F3038" s="265"/>
      <c r="G3038" s="265"/>
      <c r="H3038" s="268"/>
      <c r="I3038" s="268"/>
      <c r="J3038" s="265"/>
      <c r="K3038" s="265"/>
      <c r="L3038" s="265"/>
      <c r="M3038" s="269"/>
      <c r="N3038" s="270"/>
      <c r="O3038" s="271"/>
      <c r="P3038" s="271"/>
      <c r="Q3038" s="272"/>
      <c r="R3038" s="273"/>
      <c r="S3038" s="273"/>
      <c r="T3038" s="273"/>
      <c r="U3038" s="274"/>
      <c r="V3038" s="263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</row>
    <row r="3039">
      <c r="A3039" s="263"/>
      <c r="B3039" s="264"/>
      <c r="C3039" s="265"/>
      <c r="D3039" s="265"/>
      <c r="E3039" s="264"/>
      <c r="F3039" s="265"/>
      <c r="G3039" s="265"/>
      <c r="H3039" s="268"/>
      <c r="I3039" s="268"/>
      <c r="J3039" s="265"/>
      <c r="K3039" s="265"/>
      <c r="L3039" s="265"/>
      <c r="M3039" s="269"/>
      <c r="N3039" s="270"/>
      <c r="O3039" s="271"/>
      <c r="P3039" s="271"/>
      <c r="Q3039" s="272"/>
      <c r="R3039" s="273"/>
      <c r="S3039" s="273"/>
      <c r="T3039" s="273"/>
      <c r="U3039" s="274"/>
      <c r="V3039" s="263"/>
      <c r="W3039" s="188"/>
      <c r="X3039" s="188"/>
      <c r="Y3039" s="188"/>
      <c r="Z3039" s="188"/>
      <c r="AA3039" s="188"/>
      <c r="AB3039" s="188"/>
      <c r="AC3039" s="188"/>
      <c r="AD3039" s="188"/>
      <c r="AE3039" s="188"/>
      <c r="AF3039" s="188"/>
      <c r="AG3039" s="188"/>
      <c r="AH3039" s="188"/>
      <c r="AI3039" s="188"/>
    </row>
    <row r="3040">
      <c r="A3040" s="263"/>
      <c r="B3040" s="264"/>
      <c r="C3040" s="265"/>
      <c r="D3040" s="265"/>
      <c r="E3040" s="264"/>
      <c r="F3040" s="265"/>
      <c r="G3040" s="265"/>
      <c r="H3040" s="268"/>
      <c r="I3040" s="268"/>
      <c r="J3040" s="265"/>
      <c r="K3040" s="265"/>
      <c r="L3040" s="265"/>
      <c r="M3040" s="269"/>
      <c r="N3040" s="270"/>
      <c r="O3040" s="271"/>
      <c r="P3040" s="271"/>
      <c r="Q3040" s="272"/>
      <c r="R3040" s="273"/>
      <c r="S3040" s="273"/>
      <c r="T3040" s="273"/>
      <c r="U3040" s="274"/>
      <c r="V3040" s="263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</row>
    <row r="3041">
      <c r="A3041" s="263"/>
      <c r="B3041" s="264"/>
      <c r="C3041" s="265"/>
      <c r="D3041" s="265"/>
      <c r="E3041" s="264"/>
      <c r="F3041" s="265"/>
      <c r="G3041" s="265"/>
      <c r="H3041" s="268"/>
      <c r="I3041" s="268"/>
      <c r="J3041" s="265"/>
      <c r="K3041" s="265"/>
      <c r="L3041" s="265"/>
      <c r="M3041" s="269"/>
      <c r="N3041" s="270"/>
      <c r="O3041" s="271"/>
      <c r="P3041" s="271"/>
      <c r="Q3041" s="272"/>
      <c r="R3041" s="273"/>
      <c r="S3041" s="273"/>
      <c r="T3041" s="273"/>
      <c r="U3041" s="274"/>
      <c r="V3041" s="263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</row>
    <row r="3042">
      <c r="A3042" s="263"/>
      <c r="B3042" s="264"/>
      <c r="C3042" s="265"/>
      <c r="D3042" s="265"/>
      <c r="E3042" s="264"/>
      <c r="F3042" s="265"/>
      <c r="G3042" s="265"/>
      <c r="H3042" s="268"/>
      <c r="I3042" s="268"/>
      <c r="J3042" s="265"/>
      <c r="K3042" s="265"/>
      <c r="L3042" s="265"/>
      <c r="M3042" s="269"/>
      <c r="N3042" s="270"/>
      <c r="O3042" s="271"/>
      <c r="P3042" s="271"/>
      <c r="Q3042" s="272"/>
      <c r="R3042" s="273"/>
      <c r="S3042" s="273"/>
      <c r="T3042" s="273"/>
      <c r="U3042" s="274"/>
      <c r="V3042" s="263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</row>
    <row r="3043">
      <c r="A3043" s="263"/>
      <c r="B3043" s="264"/>
      <c r="C3043" s="265"/>
      <c r="D3043" s="265"/>
      <c r="E3043" s="264"/>
      <c r="F3043" s="265"/>
      <c r="G3043" s="265"/>
      <c r="H3043" s="268"/>
      <c r="I3043" s="268"/>
      <c r="J3043" s="265"/>
      <c r="K3043" s="265"/>
      <c r="L3043" s="265"/>
      <c r="M3043" s="269"/>
      <c r="N3043" s="270"/>
      <c r="O3043" s="271"/>
      <c r="P3043" s="271"/>
      <c r="Q3043" s="272"/>
      <c r="R3043" s="273"/>
      <c r="S3043" s="273"/>
      <c r="T3043" s="273"/>
      <c r="U3043" s="274"/>
      <c r="V3043" s="263"/>
      <c r="W3043" s="188"/>
      <c r="X3043" s="188"/>
      <c r="Y3043" s="188"/>
      <c r="Z3043" s="188"/>
      <c r="AA3043" s="188"/>
      <c r="AB3043" s="188"/>
      <c r="AC3043" s="188"/>
      <c r="AD3043" s="188"/>
      <c r="AE3043" s="188"/>
      <c r="AF3043" s="188"/>
      <c r="AG3043" s="188"/>
      <c r="AH3043" s="188"/>
      <c r="AI3043" s="188"/>
    </row>
    <row r="3044">
      <c r="A3044" s="263"/>
      <c r="B3044" s="264"/>
      <c r="C3044" s="265"/>
      <c r="D3044" s="265"/>
      <c r="E3044" s="264"/>
      <c r="F3044" s="265"/>
      <c r="G3044" s="265"/>
      <c r="H3044" s="268"/>
      <c r="I3044" s="268"/>
      <c r="J3044" s="265"/>
      <c r="K3044" s="265"/>
      <c r="L3044" s="265"/>
      <c r="M3044" s="269"/>
      <c r="N3044" s="270"/>
      <c r="O3044" s="271"/>
      <c r="P3044" s="271"/>
      <c r="Q3044" s="272"/>
      <c r="R3044" s="273"/>
      <c r="S3044" s="273"/>
      <c r="T3044" s="273"/>
      <c r="U3044" s="274"/>
      <c r="V3044" s="263"/>
      <c r="W3044" s="188"/>
      <c r="X3044" s="188"/>
      <c r="Y3044" s="188"/>
      <c r="Z3044" s="188"/>
      <c r="AA3044" s="188"/>
      <c r="AB3044" s="188"/>
      <c r="AC3044" s="188"/>
      <c r="AD3044" s="188"/>
      <c r="AE3044" s="188"/>
      <c r="AF3044" s="188"/>
      <c r="AG3044" s="188"/>
      <c r="AH3044" s="188"/>
      <c r="AI3044" s="188"/>
    </row>
    <row r="3045">
      <c r="A3045" s="263"/>
      <c r="B3045" s="264"/>
      <c r="C3045" s="265"/>
      <c r="D3045" s="265"/>
      <c r="E3045" s="264"/>
      <c r="F3045" s="265"/>
      <c r="G3045" s="265"/>
      <c r="H3045" s="268"/>
      <c r="I3045" s="268"/>
      <c r="J3045" s="265"/>
      <c r="K3045" s="265"/>
      <c r="L3045" s="265"/>
      <c r="M3045" s="269"/>
      <c r="N3045" s="270"/>
      <c r="O3045" s="271"/>
      <c r="P3045" s="271"/>
      <c r="Q3045" s="272"/>
      <c r="R3045" s="273"/>
      <c r="S3045" s="273"/>
      <c r="T3045" s="273"/>
      <c r="U3045" s="274"/>
      <c r="V3045" s="263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</row>
    <row r="3046">
      <c r="A3046" s="263"/>
      <c r="B3046" s="264"/>
      <c r="C3046" s="265"/>
      <c r="D3046" s="265"/>
      <c r="E3046" s="264"/>
      <c r="F3046" s="265"/>
      <c r="G3046" s="265"/>
      <c r="H3046" s="268"/>
      <c r="I3046" s="268"/>
      <c r="J3046" s="265"/>
      <c r="K3046" s="265"/>
      <c r="L3046" s="265"/>
      <c r="M3046" s="269"/>
      <c r="N3046" s="270"/>
      <c r="O3046" s="271"/>
      <c r="P3046" s="271"/>
      <c r="Q3046" s="272"/>
      <c r="R3046" s="273"/>
      <c r="S3046" s="273"/>
      <c r="T3046" s="273"/>
      <c r="U3046" s="274"/>
      <c r="V3046" s="263"/>
      <c r="W3046" s="35"/>
      <c r="X3046" s="35"/>
      <c r="Y3046" s="35"/>
      <c r="Z3046" s="35"/>
      <c r="AA3046" s="35"/>
      <c r="AB3046" s="35"/>
      <c r="AC3046" s="35"/>
      <c r="AD3046" s="35"/>
      <c r="AE3046" s="35"/>
      <c r="AF3046" s="35"/>
      <c r="AG3046" s="35"/>
      <c r="AH3046" s="35"/>
      <c r="AI3046" s="35"/>
    </row>
    <row r="3047">
      <c r="A3047" s="263"/>
      <c r="B3047" s="264"/>
      <c r="C3047" s="265"/>
      <c r="D3047" s="265"/>
      <c r="E3047" s="264"/>
      <c r="F3047" s="265"/>
      <c r="G3047" s="265"/>
      <c r="H3047" s="268"/>
      <c r="I3047" s="268"/>
      <c r="J3047" s="265"/>
      <c r="K3047" s="265"/>
      <c r="L3047" s="265"/>
      <c r="M3047" s="269"/>
      <c r="N3047" s="270"/>
      <c r="O3047" s="271"/>
      <c r="P3047" s="271"/>
      <c r="Q3047" s="272"/>
      <c r="R3047" s="273"/>
      <c r="S3047" s="273"/>
      <c r="T3047" s="273"/>
      <c r="U3047" s="274"/>
      <c r="V3047" s="263"/>
      <c r="W3047" s="188"/>
      <c r="X3047" s="188"/>
      <c r="Y3047" s="188"/>
      <c r="Z3047" s="188"/>
      <c r="AA3047" s="188"/>
      <c r="AB3047" s="188"/>
      <c r="AC3047" s="188"/>
      <c r="AD3047" s="188"/>
      <c r="AE3047" s="188"/>
      <c r="AF3047" s="188"/>
      <c r="AG3047" s="188"/>
      <c r="AH3047" s="188"/>
      <c r="AI3047" s="188"/>
    </row>
    <row r="3048">
      <c r="A3048" s="263"/>
      <c r="B3048" s="264"/>
      <c r="C3048" s="265"/>
      <c r="D3048" s="265"/>
      <c r="E3048" s="264"/>
      <c r="F3048" s="265"/>
      <c r="G3048" s="265"/>
      <c r="H3048" s="268"/>
      <c r="I3048" s="268"/>
      <c r="J3048" s="265"/>
      <c r="K3048" s="265"/>
      <c r="L3048" s="265"/>
      <c r="M3048" s="269"/>
      <c r="N3048" s="270"/>
      <c r="O3048" s="271"/>
      <c r="P3048" s="271"/>
      <c r="Q3048" s="272"/>
      <c r="R3048" s="273"/>
      <c r="S3048" s="273"/>
      <c r="T3048" s="273"/>
      <c r="U3048" s="274"/>
      <c r="V3048" s="263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</row>
    <row r="3049">
      <c r="A3049" s="263"/>
      <c r="B3049" s="264"/>
      <c r="C3049" s="265"/>
      <c r="D3049" s="265"/>
      <c r="E3049" s="264"/>
      <c r="F3049" s="265"/>
      <c r="G3049" s="265"/>
      <c r="H3049" s="268"/>
      <c r="I3049" s="268"/>
      <c r="J3049" s="265"/>
      <c r="K3049" s="265"/>
      <c r="L3049" s="265"/>
      <c r="M3049" s="269"/>
      <c r="N3049" s="270"/>
      <c r="O3049" s="271"/>
      <c r="P3049" s="271"/>
      <c r="Q3049" s="272"/>
      <c r="R3049" s="273"/>
      <c r="S3049" s="273"/>
      <c r="T3049" s="273"/>
      <c r="U3049" s="274"/>
      <c r="V3049" s="263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</row>
    <row r="3050">
      <c r="A3050" s="263"/>
      <c r="B3050" s="264"/>
      <c r="C3050" s="265"/>
      <c r="D3050" s="265"/>
      <c r="E3050" s="264"/>
      <c r="F3050" s="265"/>
      <c r="G3050" s="265"/>
      <c r="H3050" s="268"/>
      <c r="I3050" s="268"/>
      <c r="J3050" s="265"/>
      <c r="K3050" s="265"/>
      <c r="L3050" s="265"/>
      <c r="M3050" s="269"/>
      <c r="N3050" s="270"/>
      <c r="O3050" s="271"/>
      <c r="P3050" s="271"/>
      <c r="Q3050" s="272"/>
      <c r="R3050" s="273"/>
      <c r="S3050" s="273"/>
      <c r="T3050" s="273"/>
      <c r="U3050" s="274"/>
      <c r="V3050" s="263"/>
      <c r="W3050" s="35"/>
      <c r="X3050" s="35"/>
      <c r="Y3050" s="35"/>
      <c r="Z3050" s="35"/>
      <c r="AA3050" s="35"/>
      <c r="AB3050" s="35"/>
      <c r="AC3050" s="35"/>
      <c r="AD3050" s="35"/>
      <c r="AE3050" s="35"/>
      <c r="AF3050" s="35"/>
      <c r="AG3050" s="35"/>
      <c r="AH3050" s="35"/>
      <c r="AI3050" s="35"/>
    </row>
    <row r="3051">
      <c r="A3051" s="263"/>
      <c r="B3051" s="264"/>
      <c r="C3051" s="265"/>
      <c r="D3051" s="265"/>
      <c r="E3051" s="264"/>
      <c r="F3051" s="265"/>
      <c r="G3051" s="265"/>
      <c r="H3051" s="268"/>
      <c r="I3051" s="268"/>
      <c r="J3051" s="265"/>
      <c r="K3051" s="265"/>
      <c r="L3051" s="265"/>
      <c r="M3051" s="269"/>
      <c r="N3051" s="270"/>
      <c r="O3051" s="271"/>
      <c r="P3051" s="271"/>
      <c r="Q3051" s="272"/>
      <c r="R3051" s="273"/>
      <c r="S3051" s="273"/>
      <c r="T3051" s="273"/>
      <c r="U3051" s="274"/>
      <c r="V3051" s="263"/>
      <c r="W3051" s="188"/>
      <c r="X3051" s="188"/>
      <c r="Y3051" s="188"/>
      <c r="Z3051" s="188"/>
      <c r="AA3051" s="188"/>
      <c r="AB3051" s="188"/>
      <c r="AC3051" s="188"/>
      <c r="AD3051" s="188"/>
      <c r="AE3051" s="188"/>
      <c r="AF3051" s="188"/>
      <c r="AG3051" s="188"/>
      <c r="AH3051" s="188"/>
      <c r="AI3051" s="188"/>
    </row>
    <row r="3052">
      <c r="A3052" s="263"/>
      <c r="B3052" s="264"/>
      <c r="C3052" s="265"/>
      <c r="D3052" s="265"/>
      <c r="E3052" s="264"/>
      <c r="F3052" s="265"/>
      <c r="G3052" s="265"/>
      <c r="H3052" s="268"/>
      <c r="I3052" s="268"/>
      <c r="J3052" s="265"/>
      <c r="K3052" s="265"/>
      <c r="L3052" s="265"/>
      <c r="M3052" s="269"/>
      <c r="N3052" s="270"/>
      <c r="O3052" s="271"/>
      <c r="P3052" s="271"/>
      <c r="Q3052" s="272"/>
      <c r="R3052" s="273"/>
      <c r="S3052" s="273"/>
      <c r="T3052" s="273"/>
      <c r="U3052" s="274"/>
      <c r="V3052" s="263"/>
      <c r="W3052" s="188"/>
      <c r="X3052" s="188"/>
      <c r="Y3052" s="188"/>
      <c r="Z3052" s="188"/>
      <c r="AA3052" s="188"/>
      <c r="AB3052" s="188"/>
      <c r="AC3052" s="188"/>
      <c r="AD3052" s="188"/>
      <c r="AE3052" s="188"/>
      <c r="AF3052" s="188"/>
      <c r="AG3052" s="188"/>
      <c r="AH3052" s="188"/>
      <c r="AI3052" s="188"/>
    </row>
    <row r="3053">
      <c r="A3053" s="263"/>
      <c r="B3053" s="264"/>
      <c r="C3053" s="265"/>
      <c r="D3053" s="265"/>
      <c r="E3053" s="264"/>
      <c r="F3053" s="265"/>
      <c r="G3053" s="265"/>
      <c r="H3053" s="268"/>
      <c r="I3053" s="268"/>
      <c r="J3053" s="265"/>
      <c r="K3053" s="265"/>
      <c r="L3053" s="265"/>
      <c r="M3053" s="269"/>
      <c r="N3053" s="270"/>
      <c r="O3053" s="271"/>
      <c r="P3053" s="271"/>
      <c r="Q3053" s="272"/>
      <c r="R3053" s="273"/>
      <c r="S3053" s="273"/>
      <c r="T3053" s="273"/>
      <c r="U3053" s="274"/>
      <c r="V3053" s="263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</row>
    <row r="3054">
      <c r="A3054" s="263"/>
      <c r="B3054" s="264"/>
      <c r="C3054" s="265"/>
      <c r="D3054" s="265"/>
      <c r="E3054" s="264"/>
      <c r="F3054" s="265"/>
      <c r="G3054" s="265"/>
      <c r="H3054" s="268"/>
      <c r="I3054" s="268"/>
      <c r="J3054" s="265"/>
      <c r="K3054" s="265"/>
      <c r="L3054" s="265"/>
      <c r="M3054" s="269"/>
      <c r="N3054" s="270"/>
      <c r="O3054" s="271"/>
      <c r="P3054" s="271"/>
      <c r="Q3054" s="272"/>
      <c r="R3054" s="273"/>
      <c r="S3054" s="273"/>
      <c r="T3054" s="273"/>
      <c r="U3054" s="274"/>
      <c r="V3054" s="263"/>
      <c r="W3054" s="35"/>
      <c r="X3054" s="35"/>
      <c r="Y3054" s="35"/>
      <c r="Z3054" s="35"/>
      <c r="AA3054" s="35"/>
      <c r="AB3054" s="35"/>
      <c r="AC3054" s="35"/>
      <c r="AD3054" s="35"/>
      <c r="AE3054" s="35"/>
      <c r="AF3054" s="35"/>
      <c r="AG3054" s="35"/>
      <c r="AH3054" s="35"/>
      <c r="AI3054" s="35"/>
    </row>
    <row r="3055">
      <c r="A3055" s="263"/>
      <c r="B3055" s="264"/>
      <c r="C3055" s="265"/>
      <c r="D3055" s="265"/>
      <c r="E3055" s="264"/>
      <c r="F3055" s="265"/>
      <c r="G3055" s="265"/>
      <c r="H3055" s="268"/>
      <c r="I3055" s="268"/>
      <c r="J3055" s="265"/>
      <c r="K3055" s="265"/>
      <c r="L3055" s="265"/>
      <c r="M3055" s="269"/>
      <c r="N3055" s="270"/>
      <c r="O3055" s="271"/>
      <c r="P3055" s="271"/>
      <c r="Q3055" s="272"/>
      <c r="R3055" s="273"/>
      <c r="S3055" s="273"/>
      <c r="T3055" s="273"/>
      <c r="U3055" s="274"/>
      <c r="V3055" s="263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</row>
    <row r="3056">
      <c r="A3056" s="263"/>
      <c r="B3056" s="264"/>
      <c r="C3056" s="265"/>
      <c r="D3056" s="265"/>
      <c r="E3056" s="264"/>
      <c r="F3056" s="265"/>
      <c r="G3056" s="265"/>
      <c r="H3056" s="268"/>
      <c r="I3056" s="268"/>
      <c r="J3056" s="265"/>
      <c r="K3056" s="265"/>
      <c r="L3056" s="265"/>
      <c r="M3056" s="269"/>
      <c r="N3056" s="270"/>
      <c r="O3056" s="271"/>
      <c r="P3056" s="271"/>
      <c r="Q3056" s="272"/>
      <c r="R3056" s="273"/>
      <c r="S3056" s="273"/>
      <c r="T3056" s="273"/>
      <c r="U3056" s="274"/>
      <c r="V3056" s="263"/>
      <c r="W3056" s="35"/>
      <c r="X3056" s="35"/>
      <c r="Y3056" s="35"/>
      <c r="Z3056" s="35"/>
      <c r="AA3056" s="35"/>
      <c r="AB3056" s="35"/>
      <c r="AC3056" s="35"/>
      <c r="AD3056" s="35"/>
      <c r="AE3056" s="35"/>
      <c r="AF3056" s="35"/>
      <c r="AG3056" s="35"/>
      <c r="AH3056" s="35"/>
      <c r="AI3056" s="35"/>
    </row>
    <row r="3057">
      <c r="A3057" s="263"/>
      <c r="B3057" s="264"/>
      <c r="C3057" s="265"/>
      <c r="D3057" s="265"/>
      <c r="E3057" s="264"/>
      <c r="F3057" s="265"/>
      <c r="G3057" s="265"/>
      <c r="H3057" s="268"/>
      <c r="I3057" s="268"/>
      <c r="J3057" s="265"/>
      <c r="K3057" s="265"/>
      <c r="L3057" s="265"/>
      <c r="M3057" s="269"/>
      <c r="N3057" s="270"/>
      <c r="O3057" s="271"/>
      <c r="P3057" s="271"/>
      <c r="Q3057" s="272"/>
      <c r="R3057" s="273"/>
      <c r="S3057" s="273"/>
      <c r="T3057" s="273"/>
      <c r="U3057" s="274"/>
      <c r="V3057" s="263"/>
      <c r="W3057" s="188"/>
      <c r="X3057" s="188"/>
      <c r="Y3057" s="188"/>
      <c r="Z3057" s="188"/>
      <c r="AA3057" s="188"/>
      <c r="AB3057" s="188"/>
      <c r="AC3057" s="188"/>
      <c r="AD3057" s="188"/>
      <c r="AE3057" s="188"/>
      <c r="AF3057" s="188"/>
      <c r="AG3057" s="188"/>
      <c r="AH3057" s="188"/>
      <c r="AI3057" s="188"/>
    </row>
    <row r="3058">
      <c r="A3058" s="263"/>
      <c r="B3058" s="264"/>
      <c r="C3058" s="265"/>
      <c r="D3058" s="265"/>
      <c r="E3058" s="264"/>
      <c r="F3058" s="265"/>
      <c r="G3058" s="265"/>
      <c r="H3058" s="268"/>
      <c r="I3058" s="268"/>
      <c r="J3058" s="265"/>
      <c r="K3058" s="265"/>
      <c r="L3058" s="265"/>
      <c r="M3058" s="269"/>
      <c r="N3058" s="270"/>
      <c r="O3058" s="271"/>
      <c r="P3058" s="271"/>
      <c r="Q3058" s="272"/>
      <c r="R3058" s="273"/>
      <c r="S3058" s="273"/>
      <c r="T3058" s="273"/>
      <c r="U3058" s="274"/>
      <c r="V3058" s="263"/>
      <c r="W3058" s="188"/>
      <c r="X3058" s="188"/>
      <c r="Y3058" s="188"/>
      <c r="Z3058" s="188"/>
      <c r="AA3058" s="188"/>
      <c r="AB3058" s="188"/>
      <c r="AC3058" s="188"/>
      <c r="AD3058" s="188"/>
      <c r="AE3058" s="188"/>
      <c r="AF3058" s="188"/>
      <c r="AG3058" s="188"/>
      <c r="AH3058" s="188"/>
      <c r="AI3058" s="188"/>
    </row>
    <row r="3059">
      <c r="A3059" s="263"/>
      <c r="B3059" s="264"/>
      <c r="C3059" s="265"/>
      <c r="D3059" s="265"/>
      <c r="E3059" s="264"/>
      <c r="F3059" s="265"/>
      <c r="G3059" s="265"/>
      <c r="H3059" s="268"/>
      <c r="I3059" s="268"/>
      <c r="J3059" s="265"/>
      <c r="K3059" s="265"/>
      <c r="L3059" s="265"/>
      <c r="M3059" s="269"/>
      <c r="N3059" s="270"/>
      <c r="O3059" s="271"/>
      <c r="P3059" s="271"/>
      <c r="Q3059" s="272"/>
      <c r="R3059" s="273"/>
      <c r="S3059" s="273"/>
      <c r="T3059" s="273"/>
      <c r="U3059" s="274"/>
      <c r="V3059" s="263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</row>
    <row r="3060">
      <c r="A3060" s="263"/>
      <c r="B3060" s="264"/>
      <c r="C3060" s="265"/>
      <c r="D3060" s="265"/>
      <c r="E3060" s="264"/>
      <c r="F3060" s="265"/>
      <c r="G3060" s="265"/>
      <c r="H3060" s="268"/>
      <c r="I3060" s="268"/>
      <c r="J3060" s="265"/>
      <c r="K3060" s="265"/>
      <c r="L3060" s="265"/>
      <c r="M3060" s="269"/>
      <c r="N3060" s="270"/>
      <c r="O3060" s="271"/>
      <c r="P3060" s="271"/>
      <c r="Q3060" s="272"/>
      <c r="R3060" s="273"/>
      <c r="S3060" s="273"/>
      <c r="T3060" s="273"/>
      <c r="U3060" s="274"/>
      <c r="V3060" s="263"/>
      <c r="W3060" s="35"/>
      <c r="X3060" s="35"/>
      <c r="Y3060" s="35"/>
      <c r="Z3060" s="35"/>
      <c r="AA3060" s="35"/>
      <c r="AB3060" s="35"/>
      <c r="AC3060" s="35"/>
      <c r="AD3060" s="35"/>
      <c r="AE3060" s="35"/>
      <c r="AF3060" s="35"/>
      <c r="AG3060" s="35"/>
      <c r="AH3060" s="35"/>
      <c r="AI3060" s="35"/>
    </row>
    <row r="3061">
      <c r="A3061" s="263"/>
      <c r="B3061" s="264"/>
      <c r="C3061" s="265"/>
      <c r="D3061" s="265"/>
      <c r="E3061" s="264"/>
      <c r="F3061" s="265"/>
      <c r="G3061" s="265"/>
      <c r="H3061" s="268"/>
      <c r="I3061" s="268"/>
      <c r="J3061" s="265"/>
      <c r="K3061" s="265"/>
      <c r="L3061" s="265"/>
      <c r="M3061" s="269"/>
      <c r="N3061" s="270"/>
      <c r="O3061" s="271"/>
      <c r="P3061" s="271"/>
      <c r="Q3061" s="272"/>
      <c r="R3061" s="273"/>
      <c r="S3061" s="273"/>
      <c r="T3061" s="273"/>
      <c r="U3061" s="274"/>
      <c r="V3061" s="263"/>
      <c r="W3061" s="188"/>
      <c r="X3061" s="188"/>
      <c r="Y3061" s="188"/>
      <c r="Z3061" s="188"/>
      <c r="AA3061" s="188"/>
      <c r="AB3061" s="188"/>
      <c r="AC3061" s="188"/>
      <c r="AD3061" s="188"/>
      <c r="AE3061" s="188"/>
      <c r="AF3061" s="188"/>
      <c r="AG3061" s="188"/>
      <c r="AH3061" s="188"/>
      <c r="AI3061" s="188"/>
    </row>
    <row r="3062">
      <c r="A3062" s="263"/>
      <c r="B3062" s="264"/>
      <c r="C3062" s="265"/>
      <c r="D3062" s="265"/>
      <c r="E3062" s="264"/>
      <c r="F3062" s="265"/>
      <c r="G3062" s="265"/>
      <c r="H3062" s="268"/>
      <c r="I3062" s="268"/>
      <c r="J3062" s="265"/>
      <c r="K3062" s="265"/>
      <c r="L3062" s="265"/>
      <c r="M3062" s="269"/>
      <c r="N3062" s="270"/>
      <c r="O3062" s="271"/>
      <c r="P3062" s="271"/>
      <c r="Q3062" s="272"/>
      <c r="R3062" s="273"/>
      <c r="S3062" s="273"/>
      <c r="T3062" s="273"/>
      <c r="U3062" s="274"/>
      <c r="V3062" s="263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</row>
    <row r="3063">
      <c r="A3063" s="263"/>
      <c r="B3063" s="264"/>
      <c r="C3063" s="265"/>
      <c r="D3063" s="265"/>
      <c r="E3063" s="264"/>
      <c r="F3063" s="265"/>
      <c r="G3063" s="265"/>
      <c r="H3063" s="268"/>
      <c r="I3063" s="268"/>
      <c r="J3063" s="265"/>
      <c r="K3063" s="265"/>
      <c r="L3063" s="265"/>
      <c r="M3063" s="269"/>
      <c r="N3063" s="270"/>
      <c r="O3063" s="271"/>
      <c r="P3063" s="271"/>
      <c r="Q3063" s="272"/>
      <c r="R3063" s="273"/>
      <c r="S3063" s="273"/>
      <c r="T3063" s="273"/>
      <c r="U3063" s="274"/>
      <c r="V3063" s="263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</row>
    <row r="3064">
      <c r="A3064" s="263"/>
      <c r="B3064" s="264"/>
      <c r="C3064" s="265"/>
      <c r="D3064" s="265"/>
      <c r="E3064" s="264"/>
      <c r="F3064" s="265"/>
      <c r="G3064" s="265"/>
      <c r="H3064" s="268"/>
      <c r="I3064" s="268"/>
      <c r="J3064" s="265"/>
      <c r="K3064" s="265"/>
      <c r="L3064" s="265"/>
      <c r="M3064" s="269"/>
      <c r="N3064" s="270"/>
      <c r="O3064" s="271"/>
      <c r="P3064" s="271"/>
      <c r="Q3064" s="272"/>
      <c r="R3064" s="273"/>
      <c r="S3064" s="273"/>
      <c r="T3064" s="273"/>
      <c r="U3064" s="274"/>
      <c r="V3064" s="263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</row>
    <row r="3065">
      <c r="A3065" s="263"/>
      <c r="B3065" s="264"/>
      <c r="C3065" s="265"/>
      <c r="D3065" s="265"/>
      <c r="E3065" s="264"/>
      <c r="F3065" s="265"/>
      <c r="G3065" s="265"/>
      <c r="H3065" s="268"/>
      <c r="I3065" s="268"/>
      <c r="J3065" s="265"/>
      <c r="K3065" s="265"/>
      <c r="L3065" s="265"/>
      <c r="M3065" s="269"/>
      <c r="N3065" s="270"/>
      <c r="O3065" s="271"/>
      <c r="P3065" s="271"/>
      <c r="Q3065" s="272"/>
      <c r="R3065" s="273"/>
      <c r="S3065" s="273"/>
      <c r="T3065" s="273"/>
      <c r="U3065" s="274"/>
      <c r="V3065" s="263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</row>
    <row r="3066">
      <c r="A3066" s="263"/>
      <c r="B3066" s="264"/>
      <c r="C3066" s="265"/>
      <c r="D3066" s="265"/>
      <c r="E3066" s="264"/>
      <c r="F3066" s="265"/>
      <c r="G3066" s="265"/>
      <c r="H3066" s="268"/>
      <c r="I3066" s="268"/>
      <c r="J3066" s="265"/>
      <c r="K3066" s="265"/>
      <c r="L3066" s="265"/>
      <c r="M3066" s="269"/>
      <c r="N3066" s="270"/>
      <c r="O3066" s="271"/>
      <c r="P3066" s="271"/>
      <c r="Q3066" s="272"/>
      <c r="R3066" s="273"/>
      <c r="S3066" s="273"/>
      <c r="T3066" s="273"/>
      <c r="U3066" s="274"/>
      <c r="V3066" s="263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</row>
    <row r="3067">
      <c r="A3067" s="263"/>
      <c r="B3067" s="264"/>
      <c r="C3067" s="265"/>
      <c r="D3067" s="265"/>
      <c r="E3067" s="264"/>
      <c r="F3067" s="265"/>
      <c r="G3067" s="265"/>
      <c r="H3067" s="268"/>
      <c r="I3067" s="268"/>
      <c r="J3067" s="265"/>
      <c r="K3067" s="265"/>
      <c r="L3067" s="265"/>
      <c r="M3067" s="269"/>
      <c r="N3067" s="270"/>
      <c r="O3067" s="271"/>
      <c r="P3067" s="271"/>
      <c r="Q3067" s="272"/>
      <c r="R3067" s="273"/>
      <c r="S3067" s="273"/>
      <c r="T3067" s="273"/>
      <c r="U3067" s="274"/>
      <c r="V3067" s="263"/>
      <c r="W3067" s="35"/>
      <c r="X3067" s="35"/>
      <c r="Y3067" s="35"/>
      <c r="Z3067" s="35"/>
      <c r="AA3067" s="35"/>
      <c r="AB3067" s="35"/>
      <c r="AC3067" s="35"/>
      <c r="AD3067" s="35"/>
      <c r="AE3067" s="35"/>
      <c r="AF3067" s="35"/>
      <c r="AG3067" s="35"/>
      <c r="AH3067" s="35"/>
      <c r="AI3067" s="35"/>
    </row>
    <row r="3068">
      <c r="A3068" s="263"/>
      <c r="B3068" s="264"/>
      <c r="C3068" s="265"/>
      <c r="D3068" s="265"/>
      <c r="E3068" s="264"/>
      <c r="F3068" s="265"/>
      <c r="G3068" s="265"/>
      <c r="H3068" s="268"/>
      <c r="I3068" s="268"/>
      <c r="J3068" s="265"/>
      <c r="K3068" s="265"/>
      <c r="L3068" s="265"/>
      <c r="M3068" s="269"/>
      <c r="N3068" s="270"/>
      <c r="O3068" s="271"/>
      <c r="P3068" s="271"/>
      <c r="Q3068" s="272"/>
      <c r="R3068" s="273"/>
      <c r="S3068" s="273"/>
      <c r="T3068" s="273"/>
      <c r="U3068" s="274"/>
      <c r="V3068" s="263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</row>
    <row r="3069">
      <c r="A3069" s="263"/>
      <c r="B3069" s="264"/>
      <c r="C3069" s="265"/>
      <c r="D3069" s="265"/>
      <c r="E3069" s="264"/>
      <c r="F3069" s="265"/>
      <c r="G3069" s="265"/>
      <c r="H3069" s="268"/>
      <c r="I3069" s="268"/>
      <c r="J3069" s="265"/>
      <c r="K3069" s="265"/>
      <c r="L3069" s="265"/>
      <c r="M3069" s="269"/>
      <c r="N3069" s="270"/>
      <c r="O3069" s="271"/>
      <c r="P3069" s="271"/>
      <c r="Q3069" s="272"/>
      <c r="R3069" s="273"/>
      <c r="S3069" s="273"/>
      <c r="T3069" s="273"/>
      <c r="U3069" s="274"/>
      <c r="V3069" s="263"/>
      <c r="W3069" s="188"/>
      <c r="X3069" s="188"/>
      <c r="Y3069" s="188"/>
      <c r="Z3069" s="188"/>
      <c r="AA3069" s="188"/>
      <c r="AB3069" s="188"/>
      <c r="AC3069" s="188"/>
      <c r="AD3069" s="188"/>
      <c r="AE3069" s="188"/>
      <c r="AF3069" s="188"/>
      <c r="AG3069" s="188"/>
      <c r="AH3069" s="188"/>
      <c r="AI3069" s="188"/>
    </row>
    <row r="3070">
      <c r="A3070" s="263"/>
      <c r="B3070" s="264"/>
      <c r="C3070" s="265"/>
      <c r="D3070" s="265"/>
      <c r="E3070" s="264"/>
      <c r="F3070" s="265"/>
      <c r="G3070" s="265"/>
      <c r="H3070" s="268"/>
      <c r="I3070" s="268"/>
      <c r="J3070" s="265"/>
      <c r="K3070" s="265"/>
      <c r="L3070" s="265"/>
      <c r="M3070" s="269"/>
      <c r="N3070" s="270"/>
      <c r="O3070" s="271"/>
      <c r="P3070" s="271"/>
      <c r="Q3070" s="272"/>
      <c r="R3070" s="273"/>
      <c r="S3070" s="273"/>
      <c r="T3070" s="273"/>
      <c r="U3070" s="274"/>
      <c r="V3070" s="263"/>
      <c r="W3070" s="35"/>
      <c r="X3070" s="35"/>
      <c r="Y3070" s="35"/>
      <c r="Z3070" s="35"/>
      <c r="AA3070" s="35"/>
      <c r="AB3070" s="35"/>
      <c r="AC3070" s="35"/>
      <c r="AD3070" s="35"/>
      <c r="AE3070" s="35"/>
      <c r="AF3070" s="35"/>
      <c r="AG3070" s="35"/>
      <c r="AH3070" s="35"/>
      <c r="AI3070" s="35"/>
    </row>
    <row r="3071">
      <c r="A3071" s="263"/>
      <c r="B3071" s="264"/>
      <c r="C3071" s="265"/>
      <c r="D3071" s="265"/>
      <c r="E3071" s="264"/>
      <c r="F3071" s="265"/>
      <c r="G3071" s="265"/>
      <c r="H3071" s="268"/>
      <c r="I3071" s="268"/>
      <c r="J3071" s="265"/>
      <c r="K3071" s="265"/>
      <c r="L3071" s="265"/>
      <c r="M3071" s="269"/>
      <c r="N3071" s="270"/>
      <c r="O3071" s="271"/>
      <c r="P3071" s="271"/>
      <c r="Q3071" s="272"/>
      <c r="R3071" s="273"/>
      <c r="S3071" s="273"/>
      <c r="T3071" s="273"/>
      <c r="U3071" s="274"/>
      <c r="V3071" s="263"/>
      <c r="W3071" s="35"/>
      <c r="X3071" s="35"/>
      <c r="Y3071" s="35"/>
      <c r="Z3071" s="35"/>
      <c r="AA3071" s="35"/>
      <c r="AB3071" s="35"/>
      <c r="AC3071" s="35"/>
      <c r="AD3071" s="35"/>
      <c r="AE3071" s="35"/>
      <c r="AF3071" s="35"/>
      <c r="AG3071" s="35"/>
      <c r="AH3071" s="35"/>
      <c r="AI3071" s="35"/>
    </row>
    <row r="3072">
      <c r="A3072" s="263"/>
      <c r="B3072" s="264"/>
      <c r="C3072" s="265"/>
      <c r="D3072" s="265"/>
      <c r="E3072" s="264"/>
      <c r="F3072" s="265"/>
      <c r="G3072" s="265"/>
      <c r="H3072" s="268"/>
      <c r="I3072" s="268"/>
      <c r="J3072" s="265"/>
      <c r="K3072" s="265"/>
      <c r="L3072" s="265"/>
      <c r="M3072" s="269"/>
      <c r="N3072" s="270"/>
      <c r="O3072" s="271"/>
      <c r="P3072" s="271"/>
      <c r="Q3072" s="272"/>
      <c r="R3072" s="273"/>
      <c r="S3072" s="273"/>
      <c r="T3072" s="273"/>
      <c r="U3072" s="274"/>
      <c r="V3072" s="263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</row>
    <row r="3073">
      <c r="A3073" s="263"/>
      <c r="B3073" s="264"/>
      <c r="C3073" s="265"/>
      <c r="D3073" s="265"/>
      <c r="E3073" s="264"/>
      <c r="F3073" s="265"/>
      <c r="G3073" s="265"/>
      <c r="H3073" s="268"/>
      <c r="I3073" s="268"/>
      <c r="J3073" s="265"/>
      <c r="K3073" s="265"/>
      <c r="L3073" s="265"/>
      <c r="M3073" s="269"/>
      <c r="N3073" s="270"/>
      <c r="O3073" s="271"/>
      <c r="P3073" s="271"/>
      <c r="Q3073" s="272"/>
      <c r="R3073" s="273"/>
      <c r="S3073" s="273"/>
      <c r="T3073" s="273"/>
      <c r="U3073" s="274"/>
      <c r="V3073" s="263"/>
      <c r="W3073" s="188"/>
      <c r="X3073" s="188"/>
      <c r="Y3073" s="188"/>
      <c r="Z3073" s="188"/>
      <c r="AA3073" s="188"/>
      <c r="AB3073" s="188"/>
      <c r="AC3073" s="188"/>
      <c r="AD3073" s="188"/>
      <c r="AE3073" s="188"/>
      <c r="AF3073" s="188"/>
      <c r="AG3073" s="188"/>
      <c r="AH3073" s="188"/>
      <c r="AI3073" s="188"/>
    </row>
    <row r="3074">
      <c r="A3074" s="263"/>
      <c r="B3074" s="264"/>
      <c r="C3074" s="265"/>
      <c r="D3074" s="265"/>
      <c r="E3074" s="264"/>
      <c r="F3074" s="265"/>
      <c r="G3074" s="265"/>
      <c r="H3074" s="268"/>
      <c r="I3074" s="268"/>
      <c r="J3074" s="265"/>
      <c r="K3074" s="265"/>
      <c r="L3074" s="265"/>
      <c r="M3074" s="269"/>
      <c r="N3074" s="270"/>
      <c r="O3074" s="271"/>
      <c r="P3074" s="271"/>
      <c r="Q3074" s="272"/>
      <c r="R3074" s="273"/>
      <c r="S3074" s="273"/>
      <c r="T3074" s="273"/>
      <c r="U3074" s="274"/>
      <c r="V3074" s="263"/>
      <c r="W3074" s="35"/>
      <c r="X3074" s="35"/>
      <c r="Y3074" s="35"/>
      <c r="Z3074" s="35"/>
      <c r="AA3074" s="35"/>
      <c r="AB3074" s="35"/>
      <c r="AC3074" s="35"/>
      <c r="AD3074" s="35"/>
      <c r="AE3074" s="35"/>
      <c r="AF3074" s="35"/>
      <c r="AG3074" s="35"/>
      <c r="AH3074" s="35"/>
      <c r="AI3074" s="35"/>
    </row>
    <row r="3075">
      <c r="A3075" s="263"/>
      <c r="B3075" s="264"/>
      <c r="C3075" s="265"/>
      <c r="D3075" s="265"/>
      <c r="E3075" s="264"/>
      <c r="F3075" s="265"/>
      <c r="G3075" s="265"/>
      <c r="H3075" s="268"/>
      <c r="I3075" s="268"/>
      <c r="J3075" s="265"/>
      <c r="K3075" s="265"/>
      <c r="L3075" s="265"/>
      <c r="M3075" s="269"/>
      <c r="N3075" s="270"/>
      <c r="O3075" s="271"/>
      <c r="P3075" s="271"/>
      <c r="Q3075" s="272"/>
      <c r="R3075" s="273"/>
      <c r="S3075" s="273"/>
      <c r="T3075" s="273"/>
      <c r="U3075" s="274"/>
      <c r="V3075" s="263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</row>
    <row r="3076">
      <c r="A3076" s="263"/>
      <c r="B3076" s="264"/>
      <c r="C3076" s="265"/>
      <c r="D3076" s="265"/>
      <c r="E3076" s="264"/>
      <c r="F3076" s="265"/>
      <c r="G3076" s="265"/>
      <c r="H3076" s="268"/>
      <c r="I3076" s="268"/>
      <c r="J3076" s="265"/>
      <c r="K3076" s="265"/>
      <c r="L3076" s="265"/>
      <c r="M3076" s="269"/>
      <c r="N3076" s="270"/>
      <c r="O3076" s="271"/>
      <c r="P3076" s="271"/>
      <c r="Q3076" s="272"/>
      <c r="R3076" s="273"/>
      <c r="S3076" s="273"/>
      <c r="T3076" s="273"/>
      <c r="U3076" s="274"/>
      <c r="V3076" s="263"/>
      <c r="W3076" s="188"/>
      <c r="X3076" s="188"/>
      <c r="Y3076" s="188"/>
      <c r="Z3076" s="188"/>
      <c r="AA3076" s="188"/>
      <c r="AB3076" s="188"/>
      <c r="AC3076" s="188"/>
      <c r="AD3076" s="188"/>
      <c r="AE3076" s="188"/>
      <c r="AF3076" s="188"/>
      <c r="AG3076" s="188"/>
      <c r="AH3076" s="188"/>
      <c r="AI3076" s="188"/>
    </row>
    <row r="3077">
      <c r="A3077" s="263"/>
      <c r="B3077" s="264"/>
      <c r="C3077" s="265"/>
      <c r="D3077" s="265"/>
      <c r="E3077" s="264"/>
      <c r="F3077" s="265"/>
      <c r="G3077" s="265"/>
      <c r="H3077" s="268"/>
      <c r="I3077" s="268"/>
      <c r="J3077" s="265"/>
      <c r="K3077" s="265"/>
      <c r="L3077" s="265"/>
      <c r="M3077" s="269"/>
      <c r="N3077" s="270"/>
      <c r="O3077" s="271"/>
      <c r="P3077" s="271"/>
      <c r="Q3077" s="272"/>
      <c r="R3077" s="273"/>
      <c r="S3077" s="273"/>
      <c r="T3077" s="273"/>
      <c r="U3077" s="274"/>
      <c r="V3077" s="263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</row>
    <row r="3078">
      <c r="A3078" s="263"/>
      <c r="B3078" s="264"/>
      <c r="C3078" s="265"/>
      <c r="D3078" s="265"/>
      <c r="E3078" s="264"/>
      <c r="F3078" s="265"/>
      <c r="G3078" s="265"/>
      <c r="H3078" s="268"/>
      <c r="I3078" s="268"/>
      <c r="J3078" s="265"/>
      <c r="K3078" s="265"/>
      <c r="L3078" s="265"/>
      <c r="M3078" s="269"/>
      <c r="N3078" s="270"/>
      <c r="O3078" s="271"/>
      <c r="P3078" s="271"/>
      <c r="Q3078" s="272"/>
      <c r="R3078" s="273"/>
      <c r="S3078" s="273"/>
      <c r="T3078" s="273"/>
      <c r="U3078" s="274"/>
      <c r="V3078" s="263"/>
      <c r="W3078" s="188"/>
      <c r="X3078" s="188"/>
      <c r="Y3078" s="188"/>
      <c r="Z3078" s="188"/>
      <c r="AA3078" s="188"/>
      <c r="AB3078" s="188"/>
      <c r="AC3078" s="188"/>
      <c r="AD3078" s="188"/>
      <c r="AE3078" s="188"/>
      <c r="AF3078" s="188"/>
      <c r="AG3078" s="188"/>
      <c r="AH3078" s="188"/>
      <c r="AI3078" s="188"/>
    </row>
    <row r="3079">
      <c r="A3079" s="263"/>
      <c r="B3079" s="264"/>
      <c r="C3079" s="265"/>
      <c r="D3079" s="265"/>
      <c r="E3079" s="264"/>
      <c r="F3079" s="265"/>
      <c r="G3079" s="265"/>
      <c r="H3079" s="268"/>
      <c r="I3079" s="268"/>
      <c r="J3079" s="265"/>
      <c r="K3079" s="265"/>
      <c r="L3079" s="265"/>
      <c r="M3079" s="269"/>
      <c r="N3079" s="270"/>
      <c r="O3079" s="271"/>
      <c r="P3079" s="271"/>
      <c r="Q3079" s="272"/>
      <c r="R3079" s="273"/>
      <c r="S3079" s="273"/>
      <c r="T3079" s="273"/>
      <c r="U3079" s="274"/>
      <c r="V3079" s="263"/>
      <c r="W3079" s="35"/>
      <c r="X3079" s="35"/>
      <c r="Y3079" s="35"/>
      <c r="Z3079" s="35"/>
      <c r="AA3079" s="35"/>
      <c r="AB3079" s="35"/>
      <c r="AC3079" s="35"/>
      <c r="AD3079" s="35"/>
      <c r="AE3079" s="35"/>
      <c r="AF3079" s="35"/>
      <c r="AG3079" s="35"/>
      <c r="AH3079" s="35"/>
      <c r="AI3079" s="35"/>
    </row>
    <row r="3080">
      <c r="A3080" s="263"/>
      <c r="B3080" s="264"/>
      <c r="C3080" s="265"/>
      <c r="D3080" s="265"/>
      <c r="E3080" s="264"/>
      <c r="F3080" s="265"/>
      <c r="G3080" s="265"/>
      <c r="H3080" s="268"/>
      <c r="I3080" s="268"/>
      <c r="J3080" s="265"/>
      <c r="K3080" s="265"/>
      <c r="L3080" s="265"/>
      <c r="M3080" s="269"/>
      <c r="N3080" s="270"/>
      <c r="O3080" s="271"/>
      <c r="P3080" s="271"/>
      <c r="Q3080" s="272"/>
      <c r="R3080" s="273"/>
      <c r="S3080" s="273"/>
      <c r="T3080" s="273"/>
      <c r="U3080" s="274"/>
      <c r="V3080" s="263"/>
      <c r="W3080" s="35"/>
      <c r="X3080" s="35"/>
      <c r="Y3080" s="35"/>
      <c r="Z3080" s="35"/>
      <c r="AA3080" s="35"/>
      <c r="AB3080" s="35"/>
      <c r="AC3080" s="35"/>
      <c r="AD3080" s="35"/>
      <c r="AE3080" s="35"/>
      <c r="AF3080" s="35"/>
      <c r="AG3080" s="35"/>
      <c r="AH3080" s="35"/>
      <c r="AI3080" s="35"/>
    </row>
    <row r="3081">
      <c r="A3081" s="263"/>
      <c r="B3081" s="264"/>
      <c r="C3081" s="265"/>
      <c r="D3081" s="265"/>
      <c r="E3081" s="264"/>
      <c r="F3081" s="265"/>
      <c r="G3081" s="265"/>
      <c r="H3081" s="268"/>
      <c r="I3081" s="268"/>
      <c r="J3081" s="265"/>
      <c r="K3081" s="265"/>
      <c r="L3081" s="265"/>
      <c r="M3081" s="269"/>
      <c r="N3081" s="270"/>
      <c r="O3081" s="271"/>
      <c r="P3081" s="271"/>
      <c r="Q3081" s="272"/>
      <c r="R3081" s="273"/>
      <c r="S3081" s="273"/>
      <c r="T3081" s="273"/>
      <c r="U3081" s="274"/>
      <c r="V3081" s="263"/>
      <c r="W3081" s="188"/>
      <c r="X3081" s="188"/>
      <c r="Y3081" s="188"/>
      <c r="Z3081" s="188"/>
      <c r="AA3081" s="188"/>
      <c r="AB3081" s="188"/>
      <c r="AC3081" s="188"/>
      <c r="AD3081" s="188"/>
      <c r="AE3081" s="188"/>
      <c r="AF3081" s="188"/>
      <c r="AG3081" s="188"/>
      <c r="AH3081" s="188"/>
      <c r="AI3081" s="188"/>
    </row>
    <row r="3082">
      <c r="A3082" s="263"/>
      <c r="B3082" s="264"/>
      <c r="C3082" s="265"/>
      <c r="D3082" s="265"/>
      <c r="E3082" s="264"/>
      <c r="F3082" s="265"/>
      <c r="G3082" s="265"/>
      <c r="H3082" s="268"/>
      <c r="I3082" s="268"/>
      <c r="J3082" s="265"/>
      <c r="K3082" s="265"/>
      <c r="L3082" s="265"/>
      <c r="M3082" s="269"/>
      <c r="N3082" s="270"/>
      <c r="O3082" s="271"/>
      <c r="P3082" s="271"/>
      <c r="Q3082" s="272"/>
      <c r="R3082" s="273"/>
      <c r="S3082" s="273"/>
      <c r="T3082" s="273"/>
      <c r="U3082" s="274"/>
      <c r="V3082" s="263"/>
      <c r="W3082" s="188"/>
      <c r="X3082" s="188"/>
      <c r="Y3082" s="188"/>
      <c r="Z3082" s="188"/>
      <c r="AA3082" s="188"/>
      <c r="AB3082" s="188"/>
      <c r="AC3082" s="188"/>
      <c r="AD3082" s="188"/>
      <c r="AE3082" s="188"/>
      <c r="AF3082" s="188"/>
      <c r="AG3082" s="188"/>
      <c r="AH3082" s="188"/>
      <c r="AI3082" s="188"/>
    </row>
    <row r="3083">
      <c r="A3083" s="263"/>
      <c r="B3083" s="264"/>
      <c r="C3083" s="265"/>
      <c r="D3083" s="265"/>
      <c r="E3083" s="264"/>
      <c r="F3083" s="265"/>
      <c r="G3083" s="265"/>
      <c r="H3083" s="268"/>
      <c r="I3083" s="268"/>
      <c r="J3083" s="265"/>
      <c r="K3083" s="265"/>
      <c r="L3083" s="265"/>
      <c r="M3083" s="269"/>
      <c r="N3083" s="270"/>
      <c r="O3083" s="271"/>
      <c r="P3083" s="271"/>
      <c r="Q3083" s="272"/>
      <c r="R3083" s="273"/>
      <c r="S3083" s="273"/>
      <c r="T3083" s="273"/>
      <c r="U3083" s="274"/>
      <c r="V3083" s="263"/>
      <c r="W3083" s="35"/>
      <c r="X3083" s="35"/>
      <c r="Y3083" s="35"/>
      <c r="Z3083" s="35"/>
      <c r="AA3083" s="35"/>
      <c r="AB3083" s="35"/>
      <c r="AC3083" s="35"/>
      <c r="AD3083" s="35"/>
      <c r="AE3083" s="35"/>
      <c r="AF3083" s="35"/>
      <c r="AG3083" s="35"/>
      <c r="AH3083" s="35"/>
      <c r="AI3083" s="35"/>
    </row>
    <row r="3084">
      <c r="A3084" s="263"/>
      <c r="B3084" s="264"/>
      <c r="C3084" s="265"/>
      <c r="D3084" s="265"/>
      <c r="E3084" s="264"/>
      <c r="F3084" s="265"/>
      <c r="G3084" s="265"/>
      <c r="H3084" s="268"/>
      <c r="I3084" s="268"/>
      <c r="J3084" s="265"/>
      <c r="K3084" s="265"/>
      <c r="L3084" s="265"/>
      <c r="M3084" s="269"/>
      <c r="N3084" s="270"/>
      <c r="O3084" s="271"/>
      <c r="P3084" s="271"/>
      <c r="Q3084" s="272"/>
      <c r="R3084" s="273"/>
      <c r="S3084" s="273"/>
      <c r="T3084" s="273"/>
      <c r="U3084" s="274"/>
      <c r="V3084" s="263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</row>
    <row r="3085">
      <c r="A3085" s="263"/>
      <c r="B3085" s="264"/>
      <c r="C3085" s="265"/>
      <c r="D3085" s="265"/>
      <c r="E3085" s="264"/>
      <c r="F3085" s="265"/>
      <c r="G3085" s="265"/>
      <c r="H3085" s="268"/>
      <c r="I3085" s="268"/>
      <c r="J3085" s="265"/>
      <c r="K3085" s="265"/>
      <c r="L3085" s="265"/>
      <c r="M3085" s="269"/>
      <c r="N3085" s="270"/>
      <c r="O3085" s="271"/>
      <c r="P3085" s="271"/>
      <c r="Q3085" s="272"/>
      <c r="R3085" s="273"/>
      <c r="S3085" s="273"/>
      <c r="T3085" s="273"/>
      <c r="U3085" s="274"/>
      <c r="V3085" s="263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</row>
    <row r="3086">
      <c r="A3086" s="263"/>
      <c r="B3086" s="264"/>
      <c r="C3086" s="265"/>
      <c r="D3086" s="265"/>
      <c r="E3086" s="264"/>
      <c r="F3086" s="265"/>
      <c r="G3086" s="265"/>
      <c r="H3086" s="268"/>
      <c r="I3086" s="268"/>
      <c r="J3086" s="265"/>
      <c r="K3086" s="265"/>
      <c r="L3086" s="265"/>
      <c r="M3086" s="269"/>
      <c r="N3086" s="270"/>
      <c r="O3086" s="271"/>
      <c r="P3086" s="271"/>
      <c r="Q3086" s="272"/>
      <c r="R3086" s="273"/>
      <c r="S3086" s="273"/>
      <c r="T3086" s="273"/>
      <c r="U3086" s="274"/>
      <c r="V3086" s="263"/>
      <c r="W3086" s="188"/>
      <c r="X3086" s="188"/>
      <c r="Y3086" s="188"/>
      <c r="Z3086" s="188"/>
      <c r="AA3086" s="188"/>
      <c r="AB3086" s="188"/>
      <c r="AC3086" s="188"/>
      <c r="AD3086" s="188"/>
      <c r="AE3086" s="188"/>
      <c r="AF3086" s="188"/>
      <c r="AG3086" s="188"/>
      <c r="AH3086" s="188"/>
      <c r="AI3086" s="188"/>
    </row>
    <row r="3087">
      <c r="A3087" s="263"/>
      <c r="B3087" s="264"/>
      <c r="C3087" s="265"/>
      <c r="D3087" s="265"/>
      <c r="E3087" s="264"/>
      <c r="F3087" s="265"/>
      <c r="G3087" s="265"/>
      <c r="H3087" s="268"/>
      <c r="I3087" s="268"/>
      <c r="J3087" s="265"/>
      <c r="K3087" s="265"/>
      <c r="L3087" s="265"/>
      <c r="M3087" s="269"/>
      <c r="N3087" s="270"/>
      <c r="O3087" s="271"/>
      <c r="P3087" s="271"/>
      <c r="Q3087" s="272"/>
      <c r="R3087" s="273"/>
      <c r="S3087" s="273"/>
      <c r="T3087" s="273"/>
      <c r="U3087" s="274"/>
      <c r="V3087" s="263"/>
      <c r="W3087" s="36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</row>
    <row r="3088">
      <c r="A3088" s="263"/>
      <c r="B3088" s="264"/>
      <c r="C3088" s="265"/>
      <c r="D3088" s="265"/>
      <c r="E3088" s="264"/>
      <c r="F3088" s="265"/>
      <c r="G3088" s="265"/>
      <c r="H3088" s="268"/>
      <c r="I3088" s="268"/>
      <c r="J3088" s="265"/>
      <c r="K3088" s="265"/>
      <c r="L3088" s="265"/>
      <c r="M3088" s="269"/>
      <c r="N3088" s="270"/>
      <c r="O3088" s="271"/>
      <c r="P3088" s="271"/>
      <c r="Q3088" s="272"/>
      <c r="R3088" s="273"/>
      <c r="S3088" s="273"/>
      <c r="T3088" s="273"/>
      <c r="U3088" s="274"/>
      <c r="V3088" s="263"/>
      <c r="W3088" s="188"/>
      <c r="X3088" s="188"/>
      <c r="Y3088" s="188"/>
      <c r="Z3088" s="188"/>
      <c r="AA3088" s="188"/>
      <c r="AB3088" s="188"/>
      <c r="AC3088" s="188"/>
      <c r="AD3088" s="188"/>
      <c r="AE3088" s="188"/>
      <c r="AF3088" s="188"/>
      <c r="AG3088" s="188"/>
      <c r="AH3088" s="188"/>
      <c r="AI3088" s="188"/>
    </row>
    <row r="3089">
      <c r="A3089" s="263"/>
      <c r="B3089" s="264"/>
      <c r="C3089" s="265"/>
      <c r="D3089" s="265"/>
      <c r="E3089" s="264"/>
      <c r="F3089" s="265"/>
      <c r="G3089" s="265"/>
      <c r="H3089" s="268"/>
      <c r="I3089" s="268"/>
      <c r="J3089" s="265"/>
      <c r="K3089" s="265"/>
      <c r="L3089" s="265"/>
      <c r="M3089" s="269"/>
      <c r="N3089" s="270"/>
      <c r="O3089" s="271"/>
      <c r="P3089" s="271"/>
      <c r="Q3089" s="272"/>
      <c r="R3089" s="273"/>
      <c r="S3089" s="273"/>
      <c r="T3089" s="273"/>
      <c r="U3089" s="274"/>
      <c r="V3089" s="263"/>
      <c r="W3089" s="188"/>
      <c r="X3089" s="188"/>
      <c r="Y3089" s="188"/>
      <c r="Z3089" s="188"/>
      <c r="AA3089" s="188"/>
      <c r="AB3089" s="188"/>
      <c r="AC3089" s="188"/>
      <c r="AD3089" s="188"/>
      <c r="AE3089" s="188"/>
      <c r="AF3089" s="188"/>
      <c r="AG3089" s="188"/>
      <c r="AH3089" s="188"/>
      <c r="AI3089" s="188"/>
    </row>
    <row r="3090">
      <c r="A3090" s="263"/>
      <c r="B3090" s="264"/>
      <c r="C3090" s="265"/>
      <c r="D3090" s="265"/>
      <c r="E3090" s="264"/>
      <c r="F3090" s="265"/>
      <c r="G3090" s="265"/>
      <c r="H3090" s="268"/>
      <c r="I3090" s="268"/>
      <c r="J3090" s="265"/>
      <c r="K3090" s="265"/>
      <c r="L3090" s="265"/>
      <c r="M3090" s="269"/>
      <c r="N3090" s="270"/>
      <c r="O3090" s="271"/>
      <c r="P3090" s="271"/>
      <c r="Q3090" s="272"/>
      <c r="R3090" s="273"/>
      <c r="S3090" s="273"/>
      <c r="T3090" s="273"/>
      <c r="U3090" s="274"/>
      <c r="V3090" s="263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</row>
    <row r="3091">
      <c r="A3091" s="263"/>
      <c r="B3091" s="264"/>
      <c r="C3091" s="265"/>
      <c r="D3091" s="265"/>
      <c r="E3091" s="264"/>
      <c r="F3091" s="265"/>
      <c r="G3091" s="265"/>
      <c r="H3091" s="268"/>
      <c r="I3091" s="268"/>
      <c r="J3091" s="265"/>
      <c r="K3091" s="265"/>
      <c r="L3091" s="265"/>
      <c r="M3091" s="269"/>
      <c r="N3091" s="270"/>
      <c r="O3091" s="271"/>
      <c r="P3091" s="271"/>
      <c r="Q3091" s="272"/>
      <c r="R3091" s="273"/>
      <c r="S3091" s="273"/>
      <c r="T3091" s="273"/>
      <c r="U3091" s="274"/>
      <c r="V3091" s="263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</row>
    <row r="3092">
      <c r="A3092" s="263"/>
      <c r="B3092" s="264"/>
      <c r="C3092" s="265"/>
      <c r="D3092" s="265"/>
      <c r="E3092" s="264"/>
      <c r="F3092" s="265"/>
      <c r="G3092" s="265"/>
      <c r="H3092" s="268"/>
      <c r="I3092" s="268"/>
      <c r="J3092" s="265"/>
      <c r="K3092" s="265"/>
      <c r="L3092" s="265"/>
      <c r="M3092" s="269"/>
      <c r="N3092" s="270"/>
      <c r="O3092" s="271"/>
      <c r="P3092" s="271"/>
      <c r="Q3092" s="272"/>
      <c r="R3092" s="273"/>
      <c r="S3092" s="273"/>
      <c r="T3092" s="273"/>
      <c r="U3092" s="274"/>
      <c r="V3092" s="263"/>
      <c r="W3092" s="188"/>
      <c r="X3092" s="188"/>
      <c r="Y3092" s="188"/>
      <c r="Z3092" s="188"/>
      <c r="AA3092" s="188"/>
      <c r="AB3092" s="188"/>
      <c r="AC3092" s="188"/>
      <c r="AD3092" s="188"/>
      <c r="AE3092" s="188"/>
      <c r="AF3092" s="188"/>
      <c r="AG3092" s="188"/>
      <c r="AH3092" s="188"/>
      <c r="AI3092" s="188"/>
    </row>
    <row r="3093">
      <c r="A3093" s="263"/>
      <c r="B3093" s="264"/>
      <c r="C3093" s="265"/>
      <c r="D3093" s="265"/>
      <c r="E3093" s="264"/>
      <c r="F3093" s="265"/>
      <c r="G3093" s="265"/>
      <c r="H3093" s="268"/>
      <c r="I3093" s="268"/>
      <c r="J3093" s="265"/>
      <c r="K3093" s="265"/>
      <c r="L3093" s="265"/>
      <c r="M3093" s="269"/>
      <c r="N3093" s="270"/>
      <c r="O3093" s="271"/>
      <c r="P3093" s="271"/>
      <c r="Q3093" s="272"/>
      <c r="R3093" s="273"/>
      <c r="S3093" s="273"/>
      <c r="T3093" s="273"/>
      <c r="U3093" s="274"/>
      <c r="V3093" s="263"/>
      <c r="W3093" s="188"/>
      <c r="X3093" s="188"/>
      <c r="Y3093" s="188"/>
      <c r="Z3093" s="188"/>
      <c r="AA3093" s="188"/>
      <c r="AB3093" s="188"/>
      <c r="AC3093" s="188"/>
      <c r="AD3093" s="188"/>
      <c r="AE3093" s="188"/>
      <c r="AF3093" s="188"/>
      <c r="AG3093" s="188"/>
      <c r="AH3093" s="188"/>
      <c r="AI3093" s="188"/>
    </row>
    <row r="3094">
      <c r="A3094" s="263"/>
      <c r="B3094" s="264"/>
      <c r="C3094" s="265"/>
      <c r="D3094" s="265"/>
      <c r="E3094" s="264"/>
      <c r="F3094" s="265"/>
      <c r="G3094" s="265"/>
      <c r="H3094" s="268"/>
      <c r="I3094" s="268"/>
      <c r="J3094" s="265"/>
      <c r="K3094" s="265"/>
      <c r="L3094" s="265"/>
      <c r="M3094" s="269"/>
      <c r="N3094" s="270"/>
      <c r="O3094" s="271"/>
      <c r="P3094" s="271"/>
      <c r="Q3094" s="272"/>
      <c r="R3094" s="273"/>
      <c r="S3094" s="273"/>
      <c r="T3094" s="273"/>
      <c r="U3094" s="274"/>
      <c r="V3094" s="263"/>
      <c r="W3094" s="35"/>
      <c r="X3094" s="35"/>
      <c r="Y3094" s="35"/>
      <c r="Z3094" s="35"/>
      <c r="AA3094" s="35"/>
      <c r="AB3094" s="35"/>
      <c r="AC3094" s="35"/>
      <c r="AD3094" s="35"/>
      <c r="AE3094" s="35"/>
      <c r="AF3094" s="35"/>
      <c r="AG3094" s="35"/>
      <c r="AH3094" s="35"/>
      <c r="AI3094" s="35"/>
    </row>
    <row r="3095">
      <c r="A3095" s="263"/>
      <c r="B3095" s="264"/>
      <c r="C3095" s="265"/>
      <c r="D3095" s="265"/>
      <c r="E3095" s="264"/>
      <c r="F3095" s="265"/>
      <c r="G3095" s="265"/>
      <c r="H3095" s="268"/>
      <c r="I3095" s="268"/>
      <c r="J3095" s="265"/>
      <c r="K3095" s="265"/>
      <c r="L3095" s="265"/>
      <c r="M3095" s="269"/>
      <c r="N3095" s="270"/>
      <c r="O3095" s="271"/>
      <c r="P3095" s="271"/>
      <c r="Q3095" s="272"/>
      <c r="R3095" s="273"/>
      <c r="S3095" s="273"/>
      <c r="T3095" s="273"/>
      <c r="U3095" s="274"/>
      <c r="V3095" s="263"/>
      <c r="W3095" s="188"/>
      <c r="X3095" s="188"/>
      <c r="Y3095" s="188"/>
      <c r="Z3095" s="188"/>
      <c r="AA3095" s="188"/>
      <c r="AB3095" s="188"/>
      <c r="AC3095" s="188"/>
      <c r="AD3095" s="188"/>
      <c r="AE3095" s="188"/>
      <c r="AF3095" s="188"/>
      <c r="AG3095" s="188"/>
      <c r="AH3095" s="188"/>
      <c r="AI3095" s="188"/>
    </row>
    <row r="3096">
      <c r="A3096" s="263"/>
      <c r="B3096" s="264"/>
      <c r="C3096" s="265"/>
      <c r="D3096" s="265"/>
      <c r="E3096" s="264"/>
      <c r="F3096" s="265"/>
      <c r="G3096" s="265"/>
      <c r="H3096" s="268"/>
      <c r="I3096" s="268"/>
      <c r="J3096" s="265"/>
      <c r="K3096" s="265"/>
      <c r="L3096" s="265"/>
      <c r="M3096" s="269"/>
      <c r="N3096" s="270"/>
      <c r="O3096" s="271"/>
      <c r="P3096" s="271"/>
      <c r="Q3096" s="272"/>
      <c r="R3096" s="273"/>
      <c r="S3096" s="273"/>
      <c r="T3096" s="273"/>
      <c r="U3096" s="274"/>
      <c r="V3096" s="263"/>
      <c r="W3096" s="188"/>
      <c r="X3096" s="188"/>
      <c r="Y3096" s="188"/>
      <c r="Z3096" s="188"/>
      <c r="AA3096" s="188"/>
      <c r="AB3096" s="188"/>
      <c r="AC3096" s="188"/>
      <c r="AD3096" s="188"/>
      <c r="AE3096" s="188"/>
      <c r="AF3096" s="188"/>
      <c r="AG3096" s="188"/>
      <c r="AH3096" s="188"/>
      <c r="AI3096" s="188"/>
    </row>
    <row r="3097">
      <c r="A3097" s="263"/>
      <c r="B3097" s="264"/>
      <c r="C3097" s="265"/>
      <c r="D3097" s="265"/>
      <c r="E3097" s="264"/>
      <c r="F3097" s="265"/>
      <c r="G3097" s="265"/>
      <c r="H3097" s="268"/>
      <c r="I3097" s="268"/>
      <c r="J3097" s="265"/>
      <c r="K3097" s="265"/>
      <c r="L3097" s="265"/>
      <c r="M3097" s="269"/>
      <c r="N3097" s="270"/>
      <c r="O3097" s="271"/>
      <c r="P3097" s="271"/>
      <c r="Q3097" s="272"/>
      <c r="R3097" s="273"/>
      <c r="S3097" s="273"/>
      <c r="T3097" s="273"/>
      <c r="U3097" s="274"/>
      <c r="V3097" s="263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</row>
    <row r="3098">
      <c r="A3098" s="263"/>
      <c r="B3098" s="264"/>
      <c r="C3098" s="265"/>
      <c r="D3098" s="265"/>
      <c r="E3098" s="264"/>
      <c r="F3098" s="265"/>
      <c r="G3098" s="265"/>
      <c r="H3098" s="268"/>
      <c r="I3098" s="268"/>
      <c r="J3098" s="265"/>
      <c r="K3098" s="265"/>
      <c r="L3098" s="265"/>
      <c r="M3098" s="269"/>
      <c r="N3098" s="270"/>
      <c r="O3098" s="271"/>
      <c r="P3098" s="271"/>
      <c r="Q3098" s="272"/>
      <c r="R3098" s="273"/>
      <c r="S3098" s="273"/>
      <c r="T3098" s="273"/>
      <c r="U3098" s="274"/>
      <c r="V3098" s="263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</row>
    <row r="3099">
      <c r="A3099" s="263"/>
      <c r="B3099" s="264"/>
      <c r="C3099" s="265"/>
      <c r="D3099" s="265"/>
      <c r="E3099" s="264"/>
      <c r="F3099" s="265"/>
      <c r="G3099" s="265"/>
      <c r="H3099" s="268"/>
      <c r="I3099" s="268"/>
      <c r="J3099" s="265"/>
      <c r="K3099" s="265"/>
      <c r="L3099" s="265"/>
      <c r="M3099" s="269"/>
      <c r="N3099" s="270"/>
      <c r="O3099" s="271"/>
      <c r="P3099" s="271"/>
      <c r="Q3099" s="272"/>
      <c r="R3099" s="273"/>
      <c r="S3099" s="273"/>
      <c r="T3099" s="273"/>
      <c r="U3099" s="274"/>
      <c r="V3099" s="263"/>
      <c r="W3099" s="188"/>
      <c r="X3099" s="188"/>
      <c r="Y3099" s="188"/>
      <c r="Z3099" s="188"/>
      <c r="AA3099" s="188"/>
      <c r="AB3099" s="188"/>
      <c r="AC3099" s="188"/>
      <c r="AD3099" s="188"/>
      <c r="AE3099" s="188"/>
      <c r="AF3099" s="188"/>
      <c r="AG3099" s="188"/>
      <c r="AH3099" s="188"/>
      <c r="AI3099" s="188"/>
    </row>
    <row r="3100">
      <c r="A3100" s="263"/>
      <c r="B3100" s="264"/>
      <c r="C3100" s="265"/>
      <c r="D3100" s="265"/>
      <c r="E3100" s="264"/>
      <c r="F3100" s="265"/>
      <c r="G3100" s="265"/>
      <c r="H3100" s="268"/>
      <c r="I3100" s="268"/>
      <c r="J3100" s="265"/>
      <c r="K3100" s="265"/>
      <c r="L3100" s="265"/>
      <c r="M3100" s="269"/>
      <c r="N3100" s="270"/>
      <c r="O3100" s="271"/>
      <c r="P3100" s="271"/>
      <c r="Q3100" s="272"/>
      <c r="R3100" s="273"/>
      <c r="S3100" s="273"/>
      <c r="T3100" s="273"/>
      <c r="U3100" s="274"/>
      <c r="V3100" s="263"/>
      <c r="W3100" s="35"/>
      <c r="X3100" s="35"/>
      <c r="Y3100" s="35"/>
      <c r="Z3100" s="35"/>
      <c r="AA3100" s="35"/>
      <c r="AB3100" s="35"/>
      <c r="AC3100" s="35"/>
      <c r="AD3100" s="35"/>
      <c r="AE3100" s="35"/>
      <c r="AF3100" s="35"/>
      <c r="AG3100" s="35"/>
      <c r="AH3100" s="35"/>
      <c r="AI3100" s="35"/>
    </row>
    <row r="3101">
      <c r="A3101" s="263"/>
      <c r="B3101" s="264"/>
      <c r="C3101" s="265"/>
      <c r="D3101" s="265"/>
      <c r="E3101" s="264"/>
      <c r="F3101" s="265"/>
      <c r="G3101" s="265"/>
      <c r="H3101" s="268"/>
      <c r="I3101" s="268"/>
      <c r="J3101" s="265"/>
      <c r="K3101" s="265"/>
      <c r="L3101" s="265"/>
      <c r="M3101" s="269"/>
      <c r="N3101" s="270"/>
      <c r="O3101" s="271"/>
      <c r="P3101" s="271"/>
      <c r="Q3101" s="272"/>
      <c r="R3101" s="273"/>
      <c r="S3101" s="273"/>
      <c r="T3101" s="273"/>
      <c r="U3101" s="274"/>
      <c r="V3101" s="263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</row>
    <row r="3102">
      <c r="A3102" s="263"/>
      <c r="B3102" s="264"/>
      <c r="C3102" s="265"/>
      <c r="D3102" s="265"/>
      <c r="E3102" s="264"/>
      <c r="F3102" s="265"/>
      <c r="G3102" s="265"/>
      <c r="H3102" s="268"/>
      <c r="I3102" s="268"/>
      <c r="J3102" s="265"/>
      <c r="K3102" s="265"/>
      <c r="L3102" s="265"/>
      <c r="M3102" s="269"/>
      <c r="N3102" s="270"/>
      <c r="O3102" s="271"/>
      <c r="P3102" s="271"/>
      <c r="Q3102" s="272"/>
      <c r="R3102" s="273"/>
      <c r="S3102" s="273"/>
      <c r="T3102" s="273"/>
      <c r="U3102" s="274"/>
      <c r="V3102" s="263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</row>
    <row r="3103">
      <c r="A3103" s="263"/>
      <c r="B3103" s="264"/>
      <c r="C3103" s="265"/>
      <c r="D3103" s="265"/>
      <c r="E3103" s="264"/>
      <c r="F3103" s="265"/>
      <c r="G3103" s="265"/>
      <c r="H3103" s="268"/>
      <c r="I3103" s="268"/>
      <c r="J3103" s="265"/>
      <c r="K3103" s="265"/>
      <c r="L3103" s="265"/>
      <c r="M3103" s="269"/>
      <c r="N3103" s="270"/>
      <c r="O3103" s="271"/>
      <c r="P3103" s="271"/>
      <c r="Q3103" s="272"/>
      <c r="R3103" s="273"/>
      <c r="S3103" s="273"/>
      <c r="T3103" s="273"/>
      <c r="U3103" s="274"/>
      <c r="V3103" s="263"/>
      <c r="W3103" s="188"/>
      <c r="X3103" s="188"/>
      <c r="Y3103" s="188"/>
      <c r="Z3103" s="188"/>
      <c r="AA3103" s="188"/>
      <c r="AB3103" s="188"/>
      <c r="AC3103" s="188"/>
      <c r="AD3103" s="188"/>
      <c r="AE3103" s="188"/>
      <c r="AF3103" s="188"/>
      <c r="AG3103" s="188"/>
      <c r="AH3103" s="188"/>
      <c r="AI3103" s="188"/>
    </row>
    <row r="3104">
      <c r="A3104" s="263"/>
      <c r="B3104" s="264"/>
      <c r="C3104" s="265"/>
      <c r="D3104" s="265"/>
      <c r="E3104" s="264"/>
      <c r="F3104" s="265"/>
      <c r="G3104" s="265"/>
      <c r="H3104" s="268"/>
      <c r="I3104" s="268"/>
      <c r="J3104" s="265"/>
      <c r="K3104" s="265"/>
      <c r="L3104" s="265"/>
      <c r="M3104" s="269"/>
      <c r="N3104" s="270"/>
      <c r="O3104" s="271"/>
      <c r="P3104" s="271"/>
      <c r="Q3104" s="272"/>
      <c r="R3104" s="273"/>
      <c r="S3104" s="273"/>
      <c r="T3104" s="273"/>
      <c r="U3104" s="274"/>
      <c r="V3104" s="263"/>
      <c r="W3104" s="188"/>
      <c r="X3104" s="188"/>
      <c r="Y3104" s="188"/>
      <c r="Z3104" s="188"/>
      <c r="AA3104" s="188"/>
      <c r="AB3104" s="188"/>
      <c r="AC3104" s="188"/>
      <c r="AD3104" s="188"/>
      <c r="AE3104" s="188"/>
      <c r="AF3104" s="188"/>
      <c r="AG3104" s="188"/>
      <c r="AH3104" s="188"/>
      <c r="AI3104" s="188"/>
    </row>
    <row r="3105">
      <c r="A3105" s="263"/>
      <c r="B3105" s="264"/>
      <c r="C3105" s="265"/>
      <c r="D3105" s="265"/>
      <c r="E3105" s="264"/>
      <c r="F3105" s="265"/>
      <c r="G3105" s="265"/>
      <c r="H3105" s="268"/>
      <c r="I3105" s="268"/>
      <c r="J3105" s="265"/>
      <c r="K3105" s="265"/>
      <c r="L3105" s="265"/>
      <c r="M3105" s="269"/>
      <c r="N3105" s="270"/>
      <c r="O3105" s="271"/>
      <c r="P3105" s="271"/>
      <c r="Q3105" s="272"/>
      <c r="R3105" s="273"/>
      <c r="S3105" s="273"/>
      <c r="T3105" s="273"/>
      <c r="U3105" s="274"/>
      <c r="V3105" s="263"/>
      <c r="W3105" s="188"/>
      <c r="X3105" s="188"/>
      <c r="Y3105" s="188"/>
      <c r="Z3105" s="188"/>
      <c r="AA3105" s="188"/>
      <c r="AB3105" s="188"/>
      <c r="AC3105" s="188"/>
      <c r="AD3105" s="188"/>
      <c r="AE3105" s="188"/>
      <c r="AF3105" s="188"/>
      <c r="AG3105" s="188"/>
      <c r="AH3105" s="188"/>
      <c r="AI3105" s="188"/>
    </row>
    <row r="3106">
      <c r="A3106" s="263"/>
      <c r="B3106" s="264"/>
      <c r="C3106" s="265"/>
      <c r="D3106" s="265"/>
      <c r="E3106" s="264"/>
      <c r="F3106" s="265"/>
      <c r="G3106" s="265"/>
      <c r="H3106" s="268"/>
      <c r="I3106" s="268"/>
      <c r="J3106" s="265"/>
      <c r="K3106" s="265"/>
      <c r="L3106" s="265"/>
      <c r="M3106" s="269"/>
      <c r="N3106" s="270"/>
      <c r="O3106" s="271"/>
      <c r="P3106" s="271"/>
      <c r="Q3106" s="272"/>
      <c r="R3106" s="273"/>
      <c r="S3106" s="273"/>
      <c r="T3106" s="273"/>
      <c r="U3106" s="274"/>
      <c r="V3106" s="263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</row>
    <row r="3107">
      <c r="A3107" s="263"/>
      <c r="B3107" s="264"/>
      <c r="C3107" s="265"/>
      <c r="D3107" s="265"/>
      <c r="E3107" s="264"/>
      <c r="F3107" s="265"/>
      <c r="G3107" s="265"/>
      <c r="H3107" s="268"/>
      <c r="I3107" s="268"/>
      <c r="J3107" s="265"/>
      <c r="K3107" s="265"/>
      <c r="L3107" s="265"/>
      <c r="M3107" s="269"/>
      <c r="N3107" s="270"/>
      <c r="O3107" s="271"/>
      <c r="P3107" s="271"/>
      <c r="Q3107" s="272"/>
      <c r="R3107" s="273"/>
      <c r="S3107" s="273"/>
      <c r="T3107" s="273"/>
      <c r="U3107" s="274"/>
      <c r="V3107" s="263"/>
      <c r="W3107" s="188"/>
      <c r="X3107" s="188"/>
      <c r="Y3107" s="188"/>
      <c r="Z3107" s="188"/>
      <c r="AA3107" s="188"/>
      <c r="AB3107" s="188"/>
      <c r="AC3107" s="188"/>
      <c r="AD3107" s="188"/>
      <c r="AE3107" s="188"/>
      <c r="AF3107" s="188"/>
      <c r="AG3107" s="188"/>
      <c r="AH3107" s="188"/>
      <c r="AI3107" s="188"/>
    </row>
    <row r="3108">
      <c r="A3108" s="263"/>
      <c r="B3108" s="264"/>
      <c r="C3108" s="265"/>
      <c r="D3108" s="265"/>
      <c r="E3108" s="264"/>
      <c r="F3108" s="265"/>
      <c r="G3108" s="265"/>
      <c r="H3108" s="268"/>
      <c r="I3108" s="268"/>
      <c r="J3108" s="265"/>
      <c r="K3108" s="265"/>
      <c r="L3108" s="265"/>
      <c r="M3108" s="269"/>
      <c r="N3108" s="270"/>
      <c r="O3108" s="271"/>
      <c r="P3108" s="271"/>
      <c r="Q3108" s="272"/>
      <c r="R3108" s="273"/>
      <c r="S3108" s="273"/>
      <c r="T3108" s="273"/>
      <c r="U3108" s="274"/>
      <c r="V3108" s="263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</row>
    <row r="3109">
      <c r="A3109" s="263"/>
      <c r="B3109" s="264"/>
      <c r="C3109" s="265"/>
      <c r="D3109" s="265"/>
      <c r="E3109" s="264"/>
      <c r="F3109" s="265"/>
      <c r="G3109" s="265"/>
      <c r="H3109" s="268"/>
      <c r="I3109" s="268"/>
      <c r="J3109" s="265"/>
      <c r="K3109" s="265"/>
      <c r="L3109" s="265"/>
      <c r="M3109" s="269"/>
      <c r="N3109" s="270"/>
      <c r="O3109" s="271"/>
      <c r="P3109" s="271"/>
      <c r="Q3109" s="272"/>
      <c r="R3109" s="273"/>
      <c r="S3109" s="273"/>
      <c r="T3109" s="273"/>
      <c r="U3109" s="274"/>
      <c r="V3109" s="263"/>
      <c r="W3109" s="35"/>
      <c r="X3109" s="35"/>
      <c r="Y3109" s="35"/>
      <c r="Z3109" s="35"/>
      <c r="AA3109" s="35"/>
      <c r="AB3109" s="35"/>
      <c r="AC3109" s="35"/>
      <c r="AD3109" s="35"/>
      <c r="AE3109" s="35"/>
      <c r="AF3109" s="35"/>
      <c r="AG3109" s="35"/>
      <c r="AH3109" s="35"/>
      <c r="AI3109" s="35"/>
    </row>
    <row r="3110">
      <c r="A3110" s="263"/>
      <c r="B3110" s="264"/>
      <c r="C3110" s="265"/>
      <c r="D3110" s="265"/>
      <c r="E3110" s="264"/>
      <c r="F3110" s="265"/>
      <c r="G3110" s="265"/>
      <c r="H3110" s="268"/>
      <c r="I3110" s="268"/>
      <c r="J3110" s="265"/>
      <c r="K3110" s="265"/>
      <c r="L3110" s="265"/>
      <c r="M3110" s="269"/>
      <c r="N3110" s="270"/>
      <c r="O3110" s="271"/>
      <c r="P3110" s="271"/>
      <c r="Q3110" s="272"/>
      <c r="R3110" s="273"/>
      <c r="S3110" s="273"/>
      <c r="T3110" s="273"/>
      <c r="U3110" s="274"/>
      <c r="V3110" s="263"/>
      <c r="W3110" s="35"/>
      <c r="X3110" s="35"/>
      <c r="Y3110" s="35"/>
      <c r="Z3110" s="35"/>
      <c r="AA3110" s="35"/>
      <c r="AB3110" s="35"/>
      <c r="AC3110" s="35"/>
      <c r="AD3110" s="35"/>
      <c r="AE3110" s="35"/>
      <c r="AF3110" s="35"/>
      <c r="AG3110" s="35"/>
      <c r="AH3110" s="35"/>
      <c r="AI3110" s="35"/>
    </row>
    <row r="3111">
      <c r="A3111" s="263"/>
      <c r="B3111" s="264"/>
      <c r="C3111" s="265"/>
      <c r="D3111" s="265"/>
      <c r="E3111" s="264"/>
      <c r="F3111" s="265"/>
      <c r="G3111" s="265"/>
      <c r="H3111" s="268"/>
      <c r="I3111" s="268"/>
      <c r="J3111" s="265"/>
      <c r="K3111" s="265"/>
      <c r="L3111" s="265"/>
      <c r="M3111" s="269"/>
      <c r="N3111" s="270"/>
      <c r="O3111" s="271"/>
      <c r="P3111" s="271"/>
      <c r="Q3111" s="272"/>
      <c r="R3111" s="273"/>
      <c r="S3111" s="273"/>
      <c r="T3111" s="273"/>
      <c r="U3111" s="274"/>
      <c r="V3111" s="263"/>
      <c r="W3111" s="188"/>
      <c r="X3111" s="188"/>
      <c r="Y3111" s="188"/>
      <c r="Z3111" s="188"/>
      <c r="AA3111" s="188"/>
      <c r="AB3111" s="188"/>
      <c r="AC3111" s="188"/>
      <c r="AD3111" s="188"/>
      <c r="AE3111" s="188"/>
      <c r="AF3111" s="188"/>
      <c r="AG3111" s="188"/>
      <c r="AH3111" s="188"/>
      <c r="AI3111" s="188"/>
    </row>
    <row r="3112">
      <c r="A3112" s="263"/>
      <c r="B3112" s="264"/>
      <c r="C3112" s="265"/>
      <c r="D3112" s="265"/>
      <c r="E3112" s="264"/>
      <c r="F3112" s="265"/>
      <c r="G3112" s="265"/>
      <c r="H3112" s="268"/>
      <c r="I3112" s="268"/>
      <c r="J3112" s="265"/>
      <c r="K3112" s="265"/>
      <c r="L3112" s="265"/>
      <c r="M3112" s="269"/>
      <c r="N3112" s="270"/>
      <c r="O3112" s="271"/>
      <c r="P3112" s="271"/>
      <c r="Q3112" s="272"/>
      <c r="R3112" s="273"/>
      <c r="S3112" s="273"/>
      <c r="T3112" s="273"/>
      <c r="U3112" s="274"/>
      <c r="V3112" s="263"/>
      <c r="W3112" s="188"/>
      <c r="X3112" s="188"/>
      <c r="Y3112" s="188"/>
      <c r="Z3112" s="188"/>
      <c r="AA3112" s="188"/>
      <c r="AB3112" s="188"/>
      <c r="AC3112" s="188"/>
      <c r="AD3112" s="188"/>
      <c r="AE3112" s="188"/>
      <c r="AF3112" s="188"/>
      <c r="AG3112" s="188"/>
      <c r="AH3112" s="188"/>
      <c r="AI3112" s="188"/>
    </row>
    <row r="3113">
      <c r="A3113" s="263"/>
      <c r="B3113" s="264"/>
      <c r="C3113" s="265"/>
      <c r="D3113" s="265"/>
      <c r="E3113" s="264"/>
      <c r="F3113" s="265"/>
      <c r="G3113" s="265"/>
      <c r="H3113" s="268"/>
      <c r="I3113" s="268"/>
      <c r="J3113" s="265"/>
      <c r="K3113" s="265"/>
      <c r="L3113" s="265"/>
      <c r="M3113" s="269"/>
      <c r="N3113" s="270"/>
      <c r="O3113" s="271"/>
      <c r="P3113" s="271"/>
      <c r="Q3113" s="272"/>
      <c r="R3113" s="273"/>
      <c r="S3113" s="273"/>
      <c r="T3113" s="273"/>
      <c r="U3113" s="274"/>
      <c r="V3113" s="263"/>
      <c r="W3113" s="188"/>
      <c r="X3113" s="188"/>
      <c r="Y3113" s="188"/>
      <c r="Z3113" s="188"/>
      <c r="AA3113" s="188"/>
      <c r="AB3113" s="188"/>
      <c r="AC3113" s="188"/>
      <c r="AD3113" s="188"/>
      <c r="AE3113" s="188"/>
      <c r="AF3113" s="188"/>
      <c r="AG3113" s="188"/>
      <c r="AH3113" s="188"/>
      <c r="AI3113" s="188"/>
    </row>
    <row r="3114">
      <c r="A3114" s="263"/>
      <c r="B3114" s="264"/>
      <c r="C3114" s="265"/>
      <c r="D3114" s="265"/>
      <c r="E3114" s="264"/>
      <c r="F3114" s="265"/>
      <c r="G3114" s="265"/>
      <c r="H3114" s="268"/>
      <c r="I3114" s="268"/>
      <c r="J3114" s="265"/>
      <c r="K3114" s="265"/>
      <c r="L3114" s="265"/>
      <c r="M3114" s="269"/>
      <c r="N3114" s="270"/>
      <c r="O3114" s="271"/>
      <c r="P3114" s="271"/>
      <c r="Q3114" s="272"/>
      <c r="R3114" s="273"/>
      <c r="S3114" s="273"/>
      <c r="T3114" s="273"/>
      <c r="U3114" s="274"/>
      <c r="V3114" s="263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</row>
    <row r="3115">
      <c r="A3115" s="263"/>
      <c r="B3115" s="264"/>
      <c r="C3115" s="265"/>
      <c r="D3115" s="265"/>
      <c r="E3115" s="264"/>
      <c r="F3115" s="265"/>
      <c r="G3115" s="265"/>
      <c r="H3115" s="268"/>
      <c r="I3115" s="268"/>
      <c r="J3115" s="265"/>
      <c r="K3115" s="265"/>
      <c r="L3115" s="265"/>
      <c r="M3115" s="269"/>
      <c r="N3115" s="270"/>
      <c r="O3115" s="271"/>
      <c r="P3115" s="271"/>
      <c r="Q3115" s="272"/>
      <c r="R3115" s="273"/>
      <c r="S3115" s="273"/>
      <c r="T3115" s="273"/>
      <c r="U3115" s="274"/>
      <c r="V3115" s="263"/>
      <c r="W3115" s="188"/>
      <c r="X3115" s="188"/>
      <c r="Y3115" s="188"/>
      <c r="Z3115" s="188"/>
      <c r="AA3115" s="188"/>
      <c r="AB3115" s="188"/>
      <c r="AC3115" s="188"/>
      <c r="AD3115" s="188"/>
      <c r="AE3115" s="188"/>
      <c r="AF3115" s="188"/>
      <c r="AG3115" s="188"/>
      <c r="AH3115" s="188"/>
      <c r="AI3115" s="188"/>
    </row>
    <row r="3116">
      <c r="A3116" s="263"/>
      <c r="B3116" s="264"/>
      <c r="C3116" s="265"/>
      <c r="D3116" s="265"/>
      <c r="E3116" s="264"/>
      <c r="F3116" s="265"/>
      <c r="G3116" s="265"/>
      <c r="H3116" s="268"/>
      <c r="I3116" s="268"/>
      <c r="J3116" s="265"/>
      <c r="K3116" s="265"/>
      <c r="L3116" s="265"/>
      <c r="M3116" s="269"/>
      <c r="N3116" s="270"/>
      <c r="O3116" s="271"/>
      <c r="P3116" s="271"/>
      <c r="Q3116" s="272"/>
      <c r="R3116" s="273"/>
      <c r="S3116" s="273"/>
      <c r="T3116" s="273"/>
      <c r="U3116" s="274"/>
      <c r="V3116" s="263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</row>
    <row r="3117">
      <c r="A3117" s="263"/>
      <c r="B3117" s="264"/>
      <c r="C3117" s="265"/>
      <c r="D3117" s="265"/>
      <c r="E3117" s="264"/>
      <c r="F3117" s="265"/>
      <c r="G3117" s="265"/>
      <c r="H3117" s="268"/>
      <c r="I3117" s="268"/>
      <c r="J3117" s="265"/>
      <c r="K3117" s="265"/>
      <c r="L3117" s="265"/>
      <c r="M3117" s="269"/>
      <c r="N3117" s="270"/>
      <c r="O3117" s="271"/>
      <c r="P3117" s="271"/>
      <c r="Q3117" s="272"/>
      <c r="R3117" s="273"/>
      <c r="S3117" s="273"/>
      <c r="T3117" s="273"/>
      <c r="U3117" s="274"/>
      <c r="V3117" s="263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</row>
    <row r="3118">
      <c r="A3118" s="263"/>
      <c r="B3118" s="264"/>
      <c r="C3118" s="265"/>
      <c r="D3118" s="265"/>
      <c r="E3118" s="264"/>
      <c r="F3118" s="265"/>
      <c r="G3118" s="265"/>
      <c r="H3118" s="268"/>
      <c r="I3118" s="268"/>
      <c r="J3118" s="265"/>
      <c r="K3118" s="265"/>
      <c r="L3118" s="265"/>
      <c r="M3118" s="269"/>
      <c r="N3118" s="270"/>
      <c r="O3118" s="271"/>
      <c r="P3118" s="271"/>
      <c r="Q3118" s="272"/>
      <c r="R3118" s="273"/>
      <c r="S3118" s="273"/>
      <c r="T3118" s="273"/>
      <c r="U3118" s="274"/>
      <c r="V3118" s="263"/>
      <c r="W3118" s="188"/>
      <c r="X3118" s="188"/>
      <c r="Y3118" s="188"/>
      <c r="Z3118" s="188"/>
      <c r="AA3118" s="188"/>
      <c r="AB3118" s="188"/>
      <c r="AC3118" s="188"/>
      <c r="AD3118" s="188"/>
      <c r="AE3118" s="188"/>
      <c r="AF3118" s="188"/>
      <c r="AG3118" s="188"/>
      <c r="AH3118" s="188"/>
      <c r="AI3118" s="188"/>
    </row>
    <row r="3119">
      <c r="A3119" s="263"/>
      <c r="B3119" s="264"/>
      <c r="C3119" s="265"/>
      <c r="D3119" s="265"/>
      <c r="E3119" s="264"/>
      <c r="F3119" s="265"/>
      <c r="G3119" s="265"/>
      <c r="H3119" s="268"/>
      <c r="I3119" s="268"/>
      <c r="J3119" s="265"/>
      <c r="K3119" s="265"/>
      <c r="L3119" s="265"/>
      <c r="M3119" s="269"/>
      <c r="N3119" s="270"/>
      <c r="O3119" s="271"/>
      <c r="P3119" s="271"/>
      <c r="Q3119" s="272"/>
      <c r="R3119" s="273"/>
      <c r="S3119" s="273"/>
      <c r="T3119" s="273"/>
      <c r="U3119" s="274"/>
      <c r="V3119" s="263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</row>
    <row r="3120">
      <c r="A3120" s="263"/>
      <c r="B3120" s="264"/>
      <c r="C3120" s="265"/>
      <c r="D3120" s="265"/>
      <c r="E3120" s="264"/>
      <c r="F3120" s="265"/>
      <c r="G3120" s="265"/>
      <c r="H3120" s="268"/>
      <c r="I3120" s="268"/>
      <c r="J3120" s="265"/>
      <c r="K3120" s="265"/>
      <c r="L3120" s="265"/>
      <c r="M3120" s="269"/>
      <c r="N3120" s="270"/>
      <c r="O3120" s="271"/>
      <c r="P3120" s="271"/>
      <c r="Q3120" s="272"/>
      <c r="R3120" s="273"/>
      <c r="S3120" s="273"/>
      <c r="T3120" s="273"/>
      <c r="U3120" s="274"/>
      <c r="V3120" s="263"/>
      <c r="W3120" s="35"/>
      <c r="X3120" s="35"/>
      <c r="Y3120" s="35"/>
      <c r="Z3120" s="35"/>
      <c r="AA3120" s="35"/>
      <c r="AB3120" s="35"/>
      <c r="AC3120" s="35"/>
      <c r="AD3120" s="35"/>
      <c r="AE3120" s="35"/>
      <c r="AF3120" s="35"/>
      <c r="AG3120" s="35"/>
      <c r="AH3120" s="35"/>
      <c r="AI3120" s="35"/>
    </row>
    <row r="3121">
      <c r="A3121" s="263"/>
      <c r="B3121" s="264"/>
      <c r="C3121" s="265"/>
      <c r="D3121" s="265"/>
      <c r="E3121" s="264"/>
      <c r="F3121" s="265"/>
      <c r="G3121" s="265"/>
      <c r="H3121" s="268"/>
      <c r="I3121" s="268"/>
      <c r="J3121" s="265"/>
      <c r="K3121" s="265"/>
      <c r="L3121" s="265"/>
      <c r="M3121" s="269"/>
      <c r="N3121" s="270"/>
      <c r="O3121" s="271"/>
      <c r="P3121" s="271"/>
      <c r="Q3121" s="272"/>
      <c r="R3121" s="273"/>
      <c r="S3121" s="273"/>
      <c r="T3121" s="273"/>
      <c r="U3121" s="274"/>
      <c r="V3121" s="263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</row>
    <row r="3122">
      <c r="A3122" s="263"/>
      <c r="B3122" s="264"/>
      <c r="C3122" s="265"/>
      <c r="D3122" s="265"/>
      <c r="E3122" s="264"/>
      <c r="F3122" s="265"/>
      <c r="G3122" s="265"/>
      <c r="H3122" s="268"/>
      <c r="I3122" s="268"/>
      <c r="J3122" s="265"/>
      <c r="K3122" s="265"/>
      <c r="L3122" s="265"/>
      <c r="M3122" s="269"/>
      <c r="N3122" s="270"/>
      <c r="O3122" s="271"/>
      <c r="P3122" s="271"/>
      <c r="Q3122" s="272"/>
      <c r="R3122" s="273"/>
      <c r="S3122" s="273"/>
      <c r="T3122" s="273"/>
      <c r="U3122" s="274"/>
      <c r="V3122" s="263"/>
      <c r="W3122" s="188"/>
      <c r="X3122" s="188"/>
      <c r="Y3122" s="188"/>
      <c r="Z3122" s="188"/>
      <c r="AA3122" s="188"/>
      <c r="AB3122" s="188"/>
      <c r="AC3122" s="188"/>
      <c r="AD3122" s="188"/>
      <c r="AE3122" s="188"/>
      <c r="AF3122" s="188"/>
      <c r="AG3122" s="188"/>
      <c r="AH3122" s="188"/>
      <c r="AI3122" s="188"/>
    </row>
    <row r="3123">
      <c r="A3123" s="263"/>
      <c r="B3123" s="264"/>
      <c r="C3123" s="265"/>
      <c r="D3123" s="265"/>
      <c r="E3123" s="264"/>
      <c r="F3123" s="265"/>
      <c r="G3123" s="265"/>
      <c r="H3123" s="268"/>
      <c r="I3123" s="268"/>
      <c r="J3123" s="265"/>
      <c r="K3123" s="265"/>
      <c r="L3123" s="265"/>
      <c r="M3123" s="269"/>
      <c r="N3123" s="270"/>
      <c r="O3123" s="271"/>
      <c r="P3123" s="271"/>
      <c r="Q3123" s="272"/>
      <c r="R3123" s="273"/>
      <c r="S3123" s="273"/>
      <c r="T3123" s="273"/>
      <c r="U3123" s="274"/>
      <c r="V3123" s="263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</row>
    <row r="3124">
      <c r="A3124" s="263"/>
      <c r="B3124" s="264"/>
      <c r="C3124" s="265"/>
      <c r="D3124" s="265"/>
      <c r="E3124" s="264"/>
      <c r="F3124" s="265"/>
      <c r="G3124" s="265"/>
      <c r="H3124" s="268"/>
      <c r="I3124" s="268"/>
      <c r="J3124" s="265"/>
      <c r="K3124" s="265"/>
      <c r="L3124" s="265"/>
      <c r="M3124" s="269"/>
      <c r="N3124" s="270"/>
      <c r="O3124" s="271"/>
      <c r="P3124" s="271"/>
      <c r="Q3124" s="272"/>
      <c r="R3124" s="273"/>
      <c r="S3124" s="273"/>
      <c r="T3124" s="273"/>
      <c r="U3124" s="274"/>
      <c r="V3124" s="263"/>
      <c r="W3124" s="35"/>
      <c r="X3124" s="35"/>
      <c r="Y3124" s="35"/>
      <c r="Z3124" s="35"/>
      <c r="AA3124" s="35"/>
      <c r="AB3124" s="35"/>
      <c r="AC3124" s="35"/>
      <c r="AD3124" s="35"/>
      <c r="AE3124" s="35"/>
      <c r="AF3124" s="35"/>
      <c r="AG3124" s="35"/>
      <c r="AH3124" s="35"/>
      <c r="AI3124" s="35"/>
    </row>
    <row r="3125">
      <c r="A3125" s="263"/>
      <c r="B3125" s="264"/>
      <c r="C3125" s="265"/>
      <c r="D3125" s="265"/>
      <c r="E3125" s="264"/>
      <c r="F3125" s="265"/>
      <c r="G3125" s="265"/>
      <c r="H3125" s="268"/>
      <c r="I3125" s="268"/>
      <c r="J3125" s="265"/>
      <c r="K3125" s="265"/>
      <c r="L3125" s="265"/>
      <c r="M3125" s="269"/>
      <c r="N3125" s="270"/>
      <c r="O3125" s="271"/>
      <c r="P3125" s="271"/>
      <c r="Q3125" s="272"/>
      <c r="R3125" s="273"/>
      <c r="S3125" s="273"/>
      <c r="T3125" s="273"/>
      <c r="U3125" s="274"/>
      <c r="V3125" s="263"/>
      <c r="W3125" s="188"/>
      <c r="X3125" s="188"/>
      <c r="Y3125" s="188"/>
      <c r="Z3125" s="188"/>
      <c r="AA3125" s="188"/>
      <c r="AB3125" s="188"/>
      <c r="AC3125" s="188"/>
      <c r="AD3125" s="188"/>
      <c r="AE3125" s="188"/>
      <c r="AF3125" s="188"/>
      <c r="AG3125" s="188"/>
      <c r="AH3125" s="188"/>
      <c r="AI3125" s="188"/>
    </row>
    <row r="3126">
      <c r="A3126" s="263"/>
      <c r="B3126" s="264"/>
      <c r="C3126" s="265"/>
      <c r="D3126" s="265"/>
      <c r="E3126" s="264"/>
      <c r="F3126" s="265"/>
      <c r="G3126" s="265"/>
      <c r="H3126" s="268"/>
      <c r="I3126" s="268"/>
      <c r="J3126" s="265"/>
      <c r="K3126" s="265"/>
      <c r="L3126" s="265"/>
      <c r="M3126" s="269"/>
      <c r="N3126" s="270"/>
      <c r="O3126" s="271"/>
      <c r="P3126" s="271"/>
      <c r="Q3126" s="272"/>
      <c r="R3126" s="273"/>
      <c r="S3126" s="273"/>
      <c r="T3126" s="273"/>
      <c r="U3126" s="274"/>
      <c r="V3126" s="263"/>
      <c r="W3126" s="35"/>
      <c r="X3126" s="35"/>
      <c r="Y3126" s="35"/>
      <c r="Z3126" s="35"/>
      <c r="AA3126" s="35"/>
      <c r="AB3126" s="35"/>
      <c r="AC3126" s="35"/>
      <c r="AD3126" s="35"/>
      <c r="AE3126" s="35"/>
      <c r="AF3126" s="35"/>
      <c r="AG3126" s="35"/>
      <c r="AH3126" s="35"/>
      <c r="AI3126" s="35"/>
    </row>
    <row r="3127">
      <c r="A3127" s="263"/>
      <c r="B3127" s="264"/>
      <c r="C3127" s="265"/>
      <c r="D3127" s="265"/>
      <c r="E3127" s="264"/>
      <c r="F3127" s="265"/>
      <c r="G3127" s="265"/>
      <c r="H3127" s="268"/>
      <c r="I3127" s="268"/>
      <c r="J3127" s="265"/>
      <c r="K3127" s="265"/>
      <c r="L3127" s="265"/>
      <c r="M3127" s="269"/>
      <c r="N3127" s="270"/>
      <c r="O3127" s="271"/>
      <c r="P3127" s="271"/>
      <c r="Q3127" s="272"/>
      <c r="R3127" s="273"/>
      <c r="S3127" s="273"/>
      <c r="T3127" s="273"/>
      <c r="U3127" s="274"/>
      <c r="V3127" s="263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</row>
    <row r="3128">
      <c r="A3128" s="263"/>
      <c r="B3128" s="264"/>
      <c r="C3128" s="265"/>
      <c r="D3128" s="265"/>
      <c r="E3128" s="264"/>
      <c r="F3128" s="265"/>
      <c r="G3128" s="265"/>
      <c r="H3128" s="268"/>
      <c r="I3128" s="268"/>
      <c r="J3128" s="265"/>
      <c r="K3128" s="265"/>
      <c r="L3128" s="265"/>
      <c r="M3128" s="269"/>
      <c r="N3128" s="270"/>
      <c r="O3128" s="271"/>
      <c r="P3128" s="271"/>
      <c r="Q3128" s="272"/>
      <c r="R3128" s="273"/>
      <c r="S3128" s="273"/>
      <c r="T3128" s="273"/>
      <c r="U3128" s="274"/>
      <c r="V3128" s="263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</row>
    <row r="3129">
      <c r="A3129" s="263"/>
      <c r="B3129" s="264"/>
      <c r="C3129" s="265"/>
      <c r="D3129" s="265"/>
      <c r="E3129" s="264"/>
      <c r="F3129" s="265"/>
      <c r="G3129" s="265"/>
      <c r="H3129" s="268"/>
      <c r="I3129" s="268"/>
      <c r="J3129" s="265"/>
      <c r="K3129" s="265"/>
      <c r="L3129" s="265"/>
      <c r="M3129" s="269"/>
      <c r="N3129" s="270"/>
      <c r="O3129" s="271"/>
      <c r="P3129" s="271"/>
      <c r="Q3129" s="272"/>
      <c r="R3129" s="273"/>
      <c r="S3129" s="273"/>
      <c r="T3129" s="273"/>
      <c r="U3129" s="274"/>
      <c r="V3129" s="263"/>
      <c r="W3129" s="35"/>
      <c r="X3129" s="35"/>
      <c r="Y3129" s="35"/>
      <c r="Z3129" s="35"/>
      <c r="AA3129" s="35"/>
      <c r="AB3129" s="35"/>
      <c r="AC3129" s="35"/>
      <c r="AD3129" s="35"/>
      <c r="AE3129" s="35"/>
      <c r="AF3129" s="35"/>
      <c r="AG3129" s="35"/>
      <c r="AH3129" s="35"/>
      <c r="AI3129" s="35"/>
    </row>
    <row r="3130">
      <c r="A3130" s="263"/>
      <c r="B3130" s="264"/>
      <c r="C3130" s="265"/>
      <c r="D3130" s="265"/>
      <c r="E3130" s="264"/>
      <c r="F3130" s="265"/>
      <c r="G3130" s="265"/>
      <c r="H3130" s="268"/>
      <c r="I3130" s="268"/>
      <c r="J3130" s="265"/>
      <c r="K3130" s="265"/>
      <c r="L3130" s="265"/>
      <c r="M3130" s="269"/>
      <c r="N3130" s="270"/>
      <c r="O3130" s="271"/>
      <c r="P3130" s="271"/>
      <c r="Q3130" s="272"/>
      <c r="R3130" s="273"/>
      <c r="S3130" s="273"/>
      <c r="T3130" s="273"/>
      <c r="U3130" s="274"/>
      <c r="V3130" s="263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</row>
    <row r="3131">
      <c r="A3131" s="263"/>
      <c r="B3131" s="264"/>
      <c r="C3131" s="265"/>
      <c r="D3131" s="265"/>
      <c r="E3131" s="264"/>
      <c r="F3131" s="265"/>
      <c r="G3131" s="265"/>
      <c r="H3131" s="268"/>
      <c r="I3131" s="268"/>
      <c r="J3131" s="265"/>
      <c r="K3131" s="265"/>
      <c r="L3131" s="265"/>
      <c r="M3131" s="269"/>
      <c r="N3131" s="270"/>
      <c r="O3131" s="271"/>
      <c r="P3131" s="271"/>
      <c r="Q3131" s="272"/>
      <c r="R3131" s="273"/>
      <c r="S3131" s="273"/>
      <c r="T3131" s="273"/>
      <c r="U3131" s="274"/>
      <c r="V3131" s="263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</row>
    <row r="3132">
      <c r="A3132" s="263"/>
      <c r="B3132" s="264"/>
      <c r="C3132" s="265"/>
      <c r="D3132" s="265"/>
      <c r="E3132" s="264"/>
      <c r="F3132" s="265"/>
      <c r="G3132" s="265"/>
      <c r="H3132" s="268"/>
      <c r="I3132" s="268"/>
      <c r="J3132" s="265"/>
      <c r="K3132" s="265"/>
      <c r="L3132" s="265"/>
      <c r="M3132" s="269"/>
      <c r="N3132" s="270"/>
      <c r="O3132" s="271"/>
      <c r="P3132" s="271"/>
      <c r="Q3132" s="272"/>
      <c r="R3132" s="273"/>
      <c r="S3132" s="273"/>
      <c r="T3132" s="273"/>
      <c r="U3132" s="274"/>
      <c r="V3132" s="263"/>
      <c r="W3132" s="188"/>
      <c r="X3132" s="188"/>
      <c r="Y3132" s="188"/>
      <c r="Z3132" s="188"/>
      <c r="AA3132" s="188"/>
      <c r="AB3132" s="188"/>
      <c r="AC3132" s="188"/>
      <c r="AD3132" s="188"/>
      <c r="AE3132" s="188"/>
      <c r="AF3132" s="188"/>
      <c r="AG3132" s="188"/>
      <c r="AH3132" s="188"/>
      <c r="AI3132" s="188"/>
    </row>
    <row r="3133">
      <c r="A3133" s="263"/>
      <c r="B3133" s="264"/>
      <c r="C3133" s="265"/>
      <c r="D3133" s="265"/>
      <c r="E3133" s="264"/>
      <c r="F3133" s="265"/>
      <c r="G3133" s="265"/>
      <c r="H3133" s="268"/>
      <c r="I3133" s="268"/>
      <c r="J3133" s="265"/>
      <c r="K3133" s="265"/>
      <c r="L3133" s="265"/>
      <c r="M3133" s="269"/>
      <c r="N3133" s="270"/>
      <c r="O3133" s="271"/>
      <c r="P3133" s="271"/>
      <c r="Q3133" s="272"/>
      <c r="R3133" s="273"/>
      <c r="S3133" s="273"/>
      <c r="T3133" s="273"/>
      <c r="U3133" s="274"/>
      <c r="V3133" s="263"/>
      <c r="W3133" s="188"/>
      <c r="X3133" s="188"/>
      <c r="Y3133" s="188"/>
      <c r="Z3133" s="188"/>
      <c r="AA3133" s="188"/>
      <c r="AB3133" s="188"/>
      <c r="AC3133" s="188"/>
      <c r="AD3133" s="188"/>
      <c r="AE3133" s="188"/>
      <c r="AF3133" s="188"/>
      <c r="AG3133" s="188"/>
      <c r="AH3133" s="188"/>
      <c r="AI3133" s="188"/>
    </row>
    <row r="3134">
      <c r="A3134" s="263"/>
      <c r="B3134" s="264"/>
      <c r="C3134" s="265"/>
      <c r="D3134" s="265"/>
      <c r="E3134" s="264"/>
      <c r="F3134" s="265"/>
      <c r="G3134" s="265"/>
      <c r="H3134" s="268"/>
      <c r="I3134" s="268"/>
      <c r="J3134" s="265"/>
      <c r="K3134" s="265"/>
      <c r="L3134" s="265"/>
      <c r="M3134" s="269"/>
      <c r="N3134" s="270"/>
      <c r="O3134" s="271"/>
      <c r="P3134" s="271"/>
      <c r="Q3134" s="272"/>
      <c r="R3134" s="273"/>
      <c r="S3134" s="273"/>
      <c r="T3134" s="273"/>
      <c r="U3134" s="274"/>
      <c r="V3134" s="263"/>
      <c r="W3134" s="188"/>
      <c r="X3134" s="188"/>
      <c r="Y3134" s="188"/>
      <c r="Z3134" s="188"/>
      <c r="AA3134" s="188"/>
      <c r="AB3134" s="188"/>
      <c r="AC3134" s="188"/>
      <c r="AD3134" s="188"/>
      <c r="AE3134" s="188"/>
      <c r="AF3134" s="188"/>
      <c r="AG3134" s="188"/>
      <c r="AH3134" s="188"/>
      <c r="AI3134" s="188"/>
    </row>
    <row r="3135">
      <c r="A3135" s="263"/>
      <c r="B3135" s="264"/>
      <c r="C3135" s="265"/>
      <c r="D3135" s="265"/>
      <c r="E3135" s="264"/>
      <c r="F3135" s="265"/>
      <c r="G3135" s="265"/>
      <c r="H3135" s="268"/>
      <c r="I3135" s="268"/>
      <c r="J3135" s="265"/>
      <c r="K3135" s="265"/>
      <c r="L3135" s="265"/>
      <c r="M3135" s="269"/>
      <c r="N3135" s="270"/>
      <c r="O3135" s="271"/>
      <c r="P3135" s="271"/>
      <c r="Q3135" s="272"/>
      <c r="R3135" s="273"/>
      <c r="S3135" s="273"/>
      <c r="T3135" s="273"/>
      <c r="U3135" s="274"/>
      <c r="V3135" s="263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</row>
    <row r="3136">
      <c r="A3136" s="263"/>
      <c r="B3136" s="264"/>
      <c r="C3136" s="265"/>
      <c r="D3136" s="265"/>
      <c r="E3136" s="264"/>
      <c r="F3136" s="265"/>
      <c r="G3136" s="265"/>
      <c r="H3136" s="268"/>
      <c r="I3136" s="268"/>
      <c r="J3136" s="265"/>
      <c r="K3136" s="265"/>
      <c r="L3136" s="265"/>
      <c r="M3136" s="269"/>
      <c r="N3136" s="270"/>
      <c r="O3136" s="271"/>
      <c r="P3136" s="271"/>
      <c r="Q3136" s="272"/>
      <c r="R3136" s="273"/>
      <c r="S3136" s="273"/>
      <c r="T3136" s="273"/>
      <c r="U3136" s="274"/>
      <c r="V3136" s="263"/>
      <c r="W3136" s="188"/>
      <c r="X3136" s="188"/>
      <c r="Y3136" s="188"/>
      <c r="Z3136" s="188"/>
      <c r="AA3136" s="188"/>
      <c r="AB3136" s="188"/>
      <c r="AC3136" s="188"/>
      <c r="AD3136" s="188"/>
      <c r="AE3136" s="188"/>
      <c r="AF3136" s="188"/>
      <c r="AG3136" s="188"/>
      <c r="AH3136" s="188"/>
      <c r="AI3136" s="188"/>
    </row>
    <row r="3137">
      <c r="A3137" s="263"/>
      <c r="B3137" s="264"/>
      <c r="C3137" s="265"/>
      <c r="D3137" s="265"/>
      <c r="E3137" s="264"/>
      <c r="F3137" s="265"/>
      <c r="G3137" s="265"/>
      <c r="H3137" s="268"/>
      <c r="I3137" s="268"/>
      <c r="J3137" s="265"/>
      <c r="K3137" s="265"/>
      <c r="L3137" s="265"/>
      <c r="M3137" s="269"/>
      <c r="N3137" s="270"/>
      <c r="O3137" s="271"/>
      <c r="P3137" s="271"/>
      <c r="Q3137" s="272"/>
      <c r="R3137" s="273"/>
      <c r="S3137" s="273"/>
      <c r="T3137" s="273"/>
      <c r="U3137" s="274"/>
      <c r="V3137" s="263"/>
      <c r="W3137" s="188"/>
      <c r="X3137" s="188"/>
      <c r="Y3137" s="188"/>
      <c r="Z3137" s="188"/>
      <c r="AA3137" s="188"/>
      <c r="AB3137" s="188"/>
      <c r="AC3137" s="188"/>
      <c r="AD3137" s="188"/>
      <c r="AE3137" s="188"/>
      <c r="AF3137" s="188"/>
      <c r="AG3137" s="188"/>
      <c r="AH3137" s="188"/>
      <c r="AI3137" s="188"/>
    </row>
    <row r="3138">
      <c r="A3138" s="263"/>
      <c r="B3138" s="264"/>
      <c r="C3138" s="265"/>
      <c r="D3138" s="265"/>
      <c r="E3138" s="264"/>
      <c r="F3138" s="265"/>
      <c r="G3138" s="265"/>
      <c r="H3138" s="268"/>
      <c r="I3138" s="268"/>
      <c r="J3138" s="265"/>
      <c r="K3138" s="265"/>
      <c r="L3138" s="265"/>
      <c r="M3138" s="269"/>
      <c r="N3138" s="270"/>
      <c r="O3138" s="271"/>
      <c r="P3138" s="271"/>
      <c r="Q3138" s="272"/>
      <c r="R3138" s="273"/>
      <c r="S3138" s="273"/>
      <c r="T3138" s="273"/>
      <c r="U3138" s="274"/>
      <c r="V3138" s="263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</row>
    <row r="3139">
      <c r="A3139" s="263"/>
      <c r="B3139" s="264"/>
      <c r="C3139" s="265"/>
      <c r="D3139" s="265"/>
      <c r="E3139" s="264"/>
      <c r="F3139" s="265"/>
      <c r="G3139" s="265"/>
      <c r="H3139" s="268"/>
      <c r="I3139" s="268"/>
      <c r="J3139" s="265"/>
      <c r="K3139" s="265"/>
      <c r="L3139" s="265"/>
      <c r="M3139" s="269"/>
      <c r="N3139" s="270"/>
      <c r="O3139" s="271"/>
      <c r="P3139" s="271"/>
      <c r="Q3139" s="272"/>
      <c r="R3139" s="273"/>
      <c r="S3139" s="273"/>
      <c r="T3139" s="273"/>
      <c r="U3139" s="274"/>
      <c r="V3139" s="263"/>
      <c r="W3139" s="35"/>
      <c r="X3139" s="35"/>
      <c r="Y3139" s="35"/>
      <c r="Z3139" s="35"/>
      <c r="AA3139" s="35"/>
      <c r="AB3139" s="35"/>
      <c r="AC3139" s="35"/>
      <c r="AD3139" s="35"/>
      <c r="AE3139" s="35"/>
      <c r="AF3139" s="35"/>
      <c r="AG3139" s="35"/>
      <c r="AH3139" s="35"/>
      <c r="AI3139" s="35"/>
    </row>
    <row r="3140">
      <c r="A3140" s="263"/>
      <c r="B3140" s="264"/>
      <c r="C3140" s="265"/>
      <c r="D3140" s="265"/>
      <c r="E3140" s="264"/>
      <c r="F3140" s="265"/>
      <c r="G3140" s="265"/>
      <c r="H3140" s="268"/>
      <c r="I3140" s="268"/>
      <c r="J3140" s="265"/>
      <c r="K3140" s="265"/>
      <c r="L3140" s="265"/>
      <c r="M3140" s="269"/>
      <c r="N3140" s="270"/>
      <c r="O3140" s="271"/>
      <c r="P3140" s="271"/>
      <c r="Q3140" s="272"/>
      <c r="R3140" s="273"/>
      <c r="S3140" s="273"/>
      <c r="T3140" s="273"/>
      <c r="U3140" s="274"/>
      <c r="V3140" s="263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</row>
    <row r="3141">
      <c r="A3141" s="263"/>
      <c r="B3141" s="264"/>
      <c r="C3141" s="265"/>
      <c r="D3141" s="265"/>
      <c r="E3141" s="264"/>
      <c r="F3141" s="265"/>
      <c r="G3141" s="265"/>
      <c r="H3141" s="268"/>
      <c r="I3141" s="268"/>
      <c r="J3141" s="265"/>
      <c r="K3141" s="265"/>
      <c r="L3141" s="265"/>
      <c r="M3141" s="269"/>
      <c r="N3141" s="270"/>
      <c r="O3141" s="271"/>
      <c r="P3141" s="271"/>
      <c r="Q3141" s="272"/>
      <c r="R3141" s="273"/>
      <c r="S3141" s="273"/>
      <c r="T3141" s="273"/>
      <c r="U3141" s="274"/>
      <c r="V3141" s="263"/>
      <c r="W3141" s="188"/>
      <c r="X3141" s="188"/>
      <c r="Y3141" s="188"/>
      <c r="Z3141" s="188"/>
      <c r="AA3141" s="188"/>
      <c r="AB3141" s="188"/>
      <c r="AC3141" s="188"/>
      <c r="AD3141" s="188"/>
      <c r="AE3141" s="188"/>
      <c r="AF3141" s="188"/>
      <c r="AG3141" s="188"/>
      <c r="AH3141" s="188"/>
      <c r="AI3141" s="188"/>
    </row>
    <row r="3142">
      <c r="A3142" s="263"/>
      <c r="B3142" s="264"/>
      <c r="C3142" s="265"/>
      <c r="D3142" s="265"/>
      <c r="E3142" s="264"/>
      <c r="F3142" s="265"/>
      <c r="G3142" s="265"/>
      <c r="H3142" s="268"/>
      <c r="I3142" s="268"/>
      <c r="J3142" s="265"/>
      <c r="K3142" s="265"/>
      <c r="L3142" s="265"/>
      <c r="M3142" s="269"/>
      <c r="N3142" s="270"/>
      <c r="O3142" s="271"/>
      <c r="P3142" s="271"/>
      <c r="Q3142" s="272"/>
      <c r="R3142" s="273"/>
      <c r="S3142" s="273"/>
      <c r="T3142" s="273"/>
      <c r="U3142" s="274"/>
      <c r="V3142" s="263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</row>
    <row r="3143">
      <c r="A3143" s="263"/>
      <c r="B3143" s="264"/>
      <c r="C3143" s="265"/>
      <c r="D3143" s="265"/>
      <c r="E3143" s="264"/>
      <c r="F3143" s="265"/>
      <c r="G3143" s="265"/>
      <c r="H3143" s="268"/>
      <c r="I3143" s="268"/>
      <c r="J3143" s="265"/>
      <c r="K3143" s="265"/>
      <c r="L3143" s="265"/>
      <c r="M3143" s="269"/>
      <c r="N3143" s="270"/>
      <c r="O3143" s="271"/>
      <c r="P3143" s="271"/>
      <c r="Q3143" s="272"/>
      <c r="R3143" s="273"/>
      <c r="S3143" s="273"/>
      <c r="T3143" s="273"/>
      <c r="U3143" s="274"/>
      <c r="V3143" s="263"/>
      <c r="W3143" s="35"/>
      <c r="X3143" s="35"/>
      <c r="Y3143" s="35"/>
      <c r="Z3143" s="35"/>
      <c r="AA3143" s="35"/>
      <c r="AB3143" s="35"/>
      <c r="AC3143" s="35"/>
      <c r="AD3143" s="35"/>
      <c r="AE3143" s="35"/>
      <c r="AF3143" s="35"/>
      <c r="AG3143" s="35"/>
      <c r="AH3143" s="35"/>
      <c r="AI3143" s="35"/>
    </row>
    <row r="3144">
      <c r="A3144" s="263"/>
      <c r="B3144" s="264"/>
      <c r="C3144" s="265"/>
      <c r="D3144" s="265"/>
      <c r="E3144" s="264"/>
      <c r="F3144" s="265"/>
      <c r="G3144" s="265"/>
      <c r="H3144" s="268"/>
      <c r="I3144" s="268"/>
      <c r="J3144" s="265"/>
      <c r="K3144" s="265"/>
      <c r="L3144" s="265"/>
      <c r="M3144" s="269"/>
      <c r="N3144" s="270"/>
      <c r="O3144" s="271"/>
      <c r="P3144" s="271"/>
      <c r="Q3144" s="272"/>
      <c r="R3144" s="273"/>
      <c r="S3144" s="273"/>
      <c r="T3144" s="273"/>
      <c r="U3144" s="274"/>
      <c r="V3144" s="263"/>
      <c r="W3144" s="188"/>
      <c r="X3144" s="188"/>
      <c r="Y3144" s="188"/>
      <c r="Z3144" s="188"/>
      <c r="AA3144" s="188"/>
      <c r="AB3144" s="188"/>
      <c r="AC3144" s="188"/>
      <c r="AD3144" s="188"/>
      <c r="AE3144" s="188"/>
      <c r="AF3144" s="188"/>
      <c r="AG3144" s="188"/>
      <c r="AH3144" s="188"/>
      <c r="AI3144" s="188"/>
    </row>
    <row r="3145">
      <c r="A3145" s="263"/>
      <c r="B3145" s="264"/>
      <c r="C3145" s="265"/>
      <c r="D3145" s="265"/>
      <c r="E3145" s="264"/>
      <c r="F3145" s="265"/>
      <c r="G3145" s="265"/>
      <c r="H3145" s="268"/>
      <c r="I3145" s="268"/>
      <c r="J3145" s="265"/>
      <c r="K3145" s="265"/>
      <c r="L3145" s="265"/>
      <c r="M3145" s="269"/>
      <c r="N3145" s="270"/>
      <c r="O3145" s="271"/>
      <c r="P3145" s="271"/>
      <c r="Q3145" s="272"/>
      <c r="R3145" s="273"/>
      <c r="S3145" s="273"/>
      <c r="T3145" s="273"/>
      <c r="U3145" s="274"/>
      <c r="V3145" s="263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</row>
    <row r="3146">
      <c r="A3146" s="263"/>
      <c r="B3146" s="264"/>
      <c r="C3146" s="265"/>
      <c r="D3146" s="265"/>
      <c r="E3146" s="264"/>
      <c r="F3146" s="265"/>
      <c r="G3146" s="265"/>
      <c r="H3146" s="268"/>
      <c r="I3146" s="268"/>
      <c r="J3146" s="265"/>
      <c r="K3146" s="265"/>
      <c r="L3146" s="265"/>
      <c r="M3146" s="269"/>
      <c r="N3146" s="270"/>
      <c r="O3146" s="271"/>
      <c r="P3146" s="271"/>
      <c r="Q3146" s="272"/>
      <c r="R3146" s="273"/>
      <c r="S3146" s="273"/>
      <c r="T3146" s="273"/>
      <c r="U3146" s="274"/>
      <c r="V3146" s="263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</row>
    <row r="3147">
      <c r="A3147" s="263"/>
      <c r="B3147" s="264"/>
      <c r="C3147" s="265"/>
      <c r="D3147" s="265"/>
      <c r="E3147" s="264"/>
      <c r="F3147" s="265"/>
      <c r="G3147" s="265"/>
      <c r="H3147" s="268"/>
      <c r="I3147" s="268"/>
      <c r="J3147" s="265"/>
      <c r="K3147" s="265"/>
      <c r="L3147" s="265"/>
      <c r="M3147" s="269"/>
      <c r="N3147" s="270"/>
      <c r="O3147" s="271"/>
      <c r="P3147" s="271"/>
      <c r="Q3147" s="272"/>
      <c r="R3147" s="273"/>
      <c r="S3147" s="273"/>
      <c r="T3147" s="273"/>
      <c r="U3147" s="274"/>
      <c r="V3147" s="263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</row>
    <row r="3148">
      <c r="A3148" s="263"/>
      <c r="B3148" s="264"/>
      <c r="C3148" s="265"/>
      <c r="D3148" s="265"/>
      <c r="E3148" s="264"/>
      <c r="F3148" s="265"/>
      <c r="G3148" s="265"/>
      <c r="H3148" s="268"/>
      <c r="I3148" s="268"/>
      <c r="J3148" s="265"/>
      <c r="K3148" s="265"/>
      <c r="L3148" s="265"/>
      <c r="M3148" s="269"/>
      <c r="N3148" s="270"/>
      <c r="O3148" s="271"/>
      <c r="P3148" s="271"/>
      <c r="Q3148" s="272"/>
      <c r="R3148" s="273"/>
      <c r="S3148" s="273"/>
      <c r="T3148" s="273"/>
      <c r="U3148" s="274"/>
      <c r="V3148" s="263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</row>
    <row r="3149">
      <c r="A3149" s="263"/>
      <c r="B3149" s="264"/>
      <c r="C3149" s="265"/>
      <c r="D3149" s="265"/>
      <c r="E3149" s="264"/>
      <c r="F3149" s="265"/>
      <c r="G3149" s="265"/>
      <c r="H3149" s="268"/>
      <c r="I3149" s="268"/>
      <c r="J3149" s="265"/>
      <c r="K3149" s="265"/>
      <c r="L3149" s="265"/>
      <c r="M3149" s="269"/>
      <c r="N3149" s="270"/>
      <c r="O3149" s="271"/>
      <c r="P3149" s="271"/>
      <c r="Q3149" s="272"/>
      <c r="R3149" s="273"/>
      <c r="S3149" s="273"/>
      <c r="T3149" s="273"/>
      <c r="U3149" s="274"/>
      <c r="V3149" s="263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</row>
    <row r="3150">
      <c r="A3150" s="263"/>
      <c r="B3150" s="264"/>
      <c r="C3150" s="265"/>
      <c r="D3150" s="265"/>
      <c r="E3150" s="264"/>
      <c r="F3150" s="265"/>
      <c r="G3150" s="265"/>
      <c r="H3150" s="268"/>
      <c r="I3150" s="268"/>
      <c r="J3150" s="265"/>
      <c r="K3150" s="265"/>
      <c r="L3150" s="265"/>
      <c r="M3150" s="269"/>
      <c r="N3150" s="270"/>
      <c r="O3150" s="271"/>
      <c r="P3150" s="271"/>
      <c r="Q3150" s="272"/>
      <c r="R3150" s="273"/>
      <c r="S3150" s="273"/>
      <c r="T3150" s="273"/>
      <c r="U3150" s="274"/>
      <c r="V3150" s="263"/>
      <c r="W3150" s="188"/>
      <c r="X3150" s="188"/>
      <c r="Y3150" s="188"/>
      <c r="Z3150" s="188"/>
      <c r="AA3150" s="188"/>
      <c r="AB3150" s="188"/>
      <c r="AC3150" s="188"/>
      <c r="AD3150" s="188"/>
      <c r="AE3150" s="188"/>
      <c r="AF3150" s="188"/>
      <c r="AG3150" s="188"/>
      <c r="AH3150" s="188"/>
      <c r="AI3150" s="188"/>
    </row>
    <row r="3151">
      <c r="A3151" s="263"/>
      <c r="B3151" s="264"/>
      <c r="C3151" s="265"/>
      <c r="D3151" s="265"/>
      <c r="E3151" s="264"/>
      <c r="F3151" s="265"/>
      <c r="G3151" s="265"/>
      <c r="H3151" s="268"/>
      <c r="I3151" s="268"/>
      <c r="J3151" s="265"/>
      <c r="K3151" s="265"/>
      <c r="L3151" s="265"/>
      <c r="M3151" s="269"/>
      <c r="N3151" s="270"/>
      <c r="O3151" s="271"/>
      <c r="P3151" s="271"/>
      <c r="Q3151" s="272"/>
      <c r="R3151" s="273"/>
      <c r="S3151" s="273"/>
      <c r="T3151" s="273"/>
      <c r="U3151" s="274"/>
      <c r="V3151" s="263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</row>
    <row r="3152">
      <c r="A3152" s="263"/>
      <c r="B3152" s="264"/>
      <c r="C3152" s="265"/>
      <c r="D3152" s="265"/>
      <c r="E3152" s="264"/>
      <c r="F3152" s="265"/>
      <c r="G3152" s="265"/>
      <c r="H3152" s="268"/>
      <c r="I3152" s="268"/>
      <c r="J3152" s="265"/>
      <c r="K3152" s="265"/>
      <c r="L3152" s="265"/>
      <c r="M3152" s="269"/>
      <c r="N3152" s="270"/>
      <c r="O3152" s="271"/>
      <c r="P3152" s="271"/>
      <c r="Q3152" s="272"/>
      <c r="R3152" s="273"/>
      <c r="S3152" s="273"/>
      <c r="T3152" s="273"/>
      <c r="U3152" s="274"/>
      <c r="V3152" s="263"/>
      <c r="W3152" s="35"/>
      <c r="X3152" s="35"/>
      <c r="Y3152" s="35"/>
      <c r="Z3152" s="35"/>
      <c r="AA3152" s="35"/>
      <c r="AB3152" s="35"/>
      <c r="AC3152" s="35"/>
      <c r="AD3152" s="35"/>
      <c r="AE3152" s="35"/>
      <c r="AF3152" s="35"/>
      <c r="AG3152" s="35"/>
      <c r="AH3152" s="35"/>
      <c r="AI3152" s="35"/>
    </row>
    <row r="3153">
      <c r="A3153" s="263"/>
      <c r="B3153" s="264"/>
      <c r="C3153" s="265"/>
      <c r="D3153" s="265"/>
      <c r="E3153" s="264"/>
      <c r="F3153" s="265"/>
      <c r="G3153" s="265"/>
      <c r="H3153" s="268"/>
      <c r="I3153" s="268"/>
      <c r="J3153" s="265"/>
      <c r="K3153" s="265"/>
      <c r="L3153" s="265"/>
      <c r="M3153" s="269"/>
      <c r="N3153" s="270"/>
      <c r="O3153" s="271"/>
      <c r="P3153" s="271"/>
      <c r="Q3153" s="272"/>
      <c r="R3153" s="273"/>
      <c r="S3153" s="273"/>
      <c r="T3153" s="273"/>
      <c r="U3153" s="274"/>
      <c r="V3153" s="263"/>
      <c r="W3153" s="188"/>
      <c r="X3153" s="188"/>
      <c r="Y3153" s="188"/>
      <c r="Z3153" s="188"/>
      <c r="AA3153" s="188"/>
      <c r="AB3153" s="188"/>
      <c r="AC3153" s="188"/>
      <c r="AD3153" s="188"/>
      <c r="AE3153" s="188"/>
      <c r="AF3153" s="188"/>
      <c r="AG3153" s="188"/>
      <c r="AH3153" s="188"/>
      <c r="AI3153" s="188"/>
    </row>
    <row r="3154">
      <c r="A3154" s="263"/>
      <c r="B3154" s="264"/>
      <c r="C3154" s="265"/>
      <c r="D3154" s="265"/>
      <c r="E3154" s="264"/>
      <c r="F3154" s="265"/>
      <c r="G3154" s="265"/>
      <c r="H3154" s="268"/>
      <c r="I3154" s="268"/>
      <c r="J3154" s="265"/>
      <c r="K3154" s="265"/>
      <c r="L3154" s="265"/>
      <c r="M3154" s="269"/>
      <c r="N3154" s="270"/>
      <c r="O3154" s="271"/>
      <c r="P3154" s="271"/>
      <c r="Q3154" s="272"/>
      <c r="R3154" s="273"/>
      <c r="S3154" s="273"/>
      <c r="T3154" s="273"/>
      <c r="U3154" s="274"/>
      <c r="V3154" s="263"/>
      <c r="W3154" s="188"/>
      <c r="X3154" s="188"/>
      <c r="Y3154" s="188"/>
      <c r="Z3154" s="188"/>
      <c r="AA3154" s="188"/>
      <c r="AB3154" s="188"/>
      <c r="AC3154" s="188"/>
      <c r="AD3154" s="188"/>
      <c r="AE3154" s="188"/>
      <c r="AF3154" s="188"/>
      <c r="AG3154" s="188"/>
      <c r="AH3154" s="188"/>
      <c r="AI3154" s="188"/>
    </row>
    <row r="3155">
      <c r="A3155" s="263"/>
      <c r="B3155" s="264"/>
      <c r="C3155" s="265"/>
      <c r="D3155" s="265"/>
      <c r="E3155" s="264"/>
      <c r="F3155" s="265"/>
      <c r="G3155" s="265"/>
      <c r="H3155" s="268"/>
      <c r="I3155" s="268"/>
      <c r="J3155" s="265"/>
      <c r="K3155" s="265"/>
      <c r="L3155" s="265"/>
      <c r="M3155" s="269"/>
      <c r="N3155" s="270"/>
      <c r="O3155" s="271"/>
      <c r="P3155" s="271"/>
      <c r="Q3155" s="272"/>
      <c r="R3155" s="273"/>
      <c r="S3155" s="273"/>
      <c r="T3155" s="273"/>
      <c r="U3155" s="274"/>
      <c r="V3155" s="263"/>
      <c r="W3155" s="188"/>
      <c r="X3155" s="188"/>
      <c r="Y3155" s="188"/>
      <c r="Z3155" s="188"/>
      <c r="AA3155" s="188"/>
      <c r="AB3155" s="188"/>
      <c r="AC3155" s="188"/>
      <c r="AD3155" s="188"/>
      <c r="AE3155" s="188"/>
      <c r="AF3155" s="188"/>
      <c r="AG3155" s="188"/>
      <c r="AH3155" s="188"/>
      <c r="AI3155" s="188"/>
    </row>
    <row r="3156">
      <c r="A3156" s="263"/>
      <c r="B3156" s="264"/>
      <c r="C3156" s="265"/>
      <c r="D3156" s="265"/>
      <c r="E3156" s="264"/>
      <c r="F3156" s="265"/>
      <c r="G3156" s="265"/>
      <c r="H3156" s="268"/>
      <c r="I3156" s="268"/>
      <c r="J3156" s="265"/>
      <c r="K3156" s="265"/>
      <c r="L3156" s="265"/>
      <c r="M3156" s="269"/>
      <c r="N3156" s="270"/>
      <c r="O3156" s="271"/>
      <c r="P3156" s="271"/>
      <c r="Q3156" s="272"/>
      <c r="R3156" s="273"/>
      <c r="S3156" s="273"/>
      <c r="T3156" s="273"/>
      <c r="U3156" s="274"/>
      <c r="V3156" s="263"/>
      <c r="W3156" s="188"/>
      <c r="X3156" s="188"/>
      <c r="Y3156" s="188"/>
      <c r="Z3156" s="188"/>
      <c r="AA3156" s="188"/>
      <c r="AB3156" s="188"/>
      <c r="AC3156" s="188"/>
      <c r="AD3156" s="188"/>
      <c r="AE3156" s="188"/>
      <c r="AF3156" s="188"/>
      <c r="AG3156" s="188"/>
      <c r="AH3156" s="188"/>
      <c r="AI3156" s="188"/>
    </row>
    <row r="3157">
      <c r="A3157" s="263"/>
      <c r="B3157" s="264"/>
      <c r="C3157" s="265"/>
      <c r="D3157" s="265"/>
      <c r="E3157" s="264"/>
      <c r="F3157" s="265"/>
      <c r="G3157" s="265"/>
      <c r="H3157" s="268"/>
      <c r="I3157" s="268"/>
      <c r="J3157" s="265"/>
      <c r="K3157" s="265"/>
      <c r="L3157" s="265"/>
      <c r="M3157" s="269"/>
      <c r="N3157" s="270"/>
      <c r="O3157" s="271"/>
      <c r="P3157" s="271"/>
      <c r="Q3157" s="272"/>
      <c r="R3157" s="273"/>
      <c r="S3157" s="273"/>
      <c r="T3157" s="273"/>
      <c r="U3157" s="274"/>
      <c r="V3157" s="263"/>
      <c r="W3157" s="35"/>
      <c r="X3157" s="35"/>
      <c r="Y3157" s="35"/>
      <c r="Z3157" s="35"/>
      <c r="AA3157" s="35"/>
      <c r="AB3157" s="35"/>
      <c r="AC3157" s="35"/>
      <c r="AD3157" s="35"/>
      <c r="AE3157" s="35"/>
      <c r="AF3157" s="35"/>
      <c r="AG3157" s="35"/>
      <c r="AH3157" s="35"/>
      <c r="AI3157" s="35"/>
    </row>
    <row r="3158">
      <c r="A3158" s="263"/>
      <c r="B3158" s="264"/>
      <c r="C3158" s="265"/>
      <c r="D3158" s="265"/>
      <c r="E3158" s="264"/>
      <c r="F3158" s="265"/>
      <c r="G3158" s="265"/>
      <c r="H3158" s="268"/>
      <c r="I3158" s="268"/>
      <c r="J3158" s="265"/>
      <c r="K3158" s="265"/>
      <c r="L3158" s="265"/>
      <c r="M3158" s="269"/>
      <c r="N3158" s="270"/>
      <c r="O3158" s="271"/>
      <c r="P3158" s="271"/>
      <c r="Q3158" s="272"/>
      <c r="R3158" s="273"/>
      <c r="S3158" s="273"/>
      <c r="T3158" s="273"/>
      <c r="U3158" s="274"/>
      <c r="V3158" s="263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</row>
    <row r="3159">
      <c r="A3159" s="263"/>
      <c r="B3159" s="264"/>
      <c r="C3159" s="265"/>
      <c r="D3159" s="265"/>
      <c r="E3159" s="264"/>
      <c r="F3159" s="265"/>
      <c r="G3159" s="265"/>
      <c r="H3159" s="268"/>
      <c r="I3159" s="268"/>
      <c r="J3159" s="265"/>
      <c r="K3159" s="265"/>
      <c r="L3159" s="265"/>
      <c r="M3159" s="269"/>
      <c r="N3159" s="270"/>
      <c r="O3159" s="271"/>
      <c r="P3159" s="271"/>
      <c r="Q3159" s="272"/>
      <c r="R3159" s="273"/>
      <c r="S3159" s="273"/>
      <c r="T3159" s="273"/>
      <c r="U3159" s="274"/>
      <c r="V3159" s="263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</row>
    <row r="3160">
      <c r="A3160" s="263"/>
      <c r="B3160" s="264"/>
      <c r="C3160" s="265"/>
      <c r="D3160" s="265"/>
      <c r="E3160" s="264"/>
      <c r="F3160" s="265"/>
      <c r="G3160" s="265"/>
      <c r="H3160" s="268"/>
      <c r="I3160" s="268"/>
      <c r="J3160" s="265"/>
      <c r="K3160" s="265"/>
      <c r="L3160" s="265"/>
      <c r="M3160" s="269"/>
      <c r="N3160" s="270"/>
      <c r="O3160" s="271"/>
      <c r="P3160" s="271"/>
      <c r="Q3160" s="272"/>
      <c r="R3160" s="273"/>
      <c r="S3160" s="273"/>
      <c r="T3160" s="273"/>
      <c r="U3160" s="274"/>
      <c r="V3160" s="263"/>
      <c r="W3160" s="188"/>
      <c r="X3160" s="188"/>
      <c r="Y3160" s="188"/>
      <c r="Z3160" s="188"/>
      <c r="AA3160" s="188"/>
      <c r="AB3160" s="188"/>
      <c r="AC3160" s="188"/>
      <c r="AD3160" s="188"/>
      <c r="AE3160" s="188"/>
      <c r="AF3160" s="188"/>
      <c r="AG3160" s="188"/>
      <c r="AH3160" s="188"/>
      <c r="AI3160" s="188"/>
    </row>
    <row r="3161">
      <c r="A3161" s="263"/>
      <c r="B3161" s="264"/>
      <c r="C3161" s="265"/>
      <c r="D3161" s="265"/>
      <c r="E3161" s="264"/>
      <c r="F3161" s="265"/>
      <c r="G3161" s="265"/>
      <c r="H3161" s="268"/>
      <c r="I3161" s="268"/>
      <c r="J3161" s="265"/>
      <c r="K3161" s="265"/>
      <c r="L3161" s="265"/>
      <c r="M3161" s="269"/>
      <c r="N3161" s="270"/>
      <c r="O3161" s="271"/>
      <c r="P3161" s="271"/>
      <c r="Q3161" s="272"/>
      <c r="R3161" s="273"/>
      <c r="S3161" s="273"/>
      <c r="T3161" s="273"/>
      <c r="U3161" s="274"/>
      <c r="V3161" s="263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</row>
    <row r="3162">
      <c r="A3162" s="263"/>
      <c r="B3162" s="264"/>
      <c r="C3162" s="265"/>
      <c r="D3162" s="265"/>
      <c r="E3162" s="264"/>
      <c r="F3162" s="265"/>
      <c r="G3162" s="265"/>
      <c r="H3162" s="268"/>
      <c r="I3162" s="268"/>
      <c r="J3162" s="265"/>
      <c r="K3162" s="265"/>
      <c r="L3162" s="265"/>
      <c r="M3162" s="269"/>
      <c r="N3162" s="270"/>
      <c r="O3162" s="271"/>
      <c r="P3162" s="271"/>
      <c r="Q3162" s="272"/>
      <c r="R3162" s="273"/>
      <c r="S3162" s="273"/>
      <c r="T3162" s="273"/>
      <c r="U3162" s="274"/>
      <c r="V3162" s="263"/>
      <c r="W3162" s="188"/>
      <c r="X3162" s="188"/>
      <c r="Y3162" s="188"/>
      <c r="Z3162" s="188"/>
      <c r="AA3162" s="188"/>
      <c r="AB3162" s="188"/>
      <c r="AC3162" s="188"/>
      <c r="AD3162" s="188"/>
      <c r="AE3162" s="188"/>
      <c r="AF3162" s="188"/>
      <c r="AG3162" s="188"/>
      <c r="AH3162" s="188"/>
      <c r="AI3162" s="188"/>
    </row>
    <row r="3163">
      <c r="A3163" s="263"/>
      <c r="B3163" s="264"/>
      <c r="C3163" s="265"/>
      <c r="D3163" s="265"/>
      <c r="E3163" s="264"/>
      <c r="F3163" s="265"/>
      <c r="G3163" s="265"/>
      <c r="H3163" s="268"/>
      <c r="I3163" s="268"/>
      <c r="J3163" s="265"/>
      <c r="K3163" s="265"/>
      <c r="L3163" s="265"/>
      <c r="M3163" s="269"/>
      <c r="N3163" s="270"/>
      <c r="O3163" s="271"/>
      <c r="P3163" s="271"/>
      <c r="Q3163" s="272"/>
      <c r="R3163" s="273"/>
      <c r="S3163" s="273"/>
      <c r="T3163" s="273"/>
      <c r="U3163" s="274"/>
      <c r="V3163" s="263"/>
      <c r="W3163" s="188"/>
      <c r="X3163" s="188"/>
      <c r="Y3163" s="188"/>
      <c r="Z3163" s="188"/>
      <c r="AA3163" s="188"/>
      <c r="AB3163" s="188"/>
      <c r="AC3163" s="188"/>
      <c r="AD3163" s="188"/>
      <c r="AE3163" s="188"/>
      <c r="AF3163" s="188"/>
      <c r="AG3163" s="188"/>
      <c r="AH3163" s="188"/>
      <c r="AI3163" s="188"/>
    </row>
    <row r="3164">
      <c r="A3164" s="263"/>
      <c r="B3164" s="264"/>
      <c r="C3164" s="265"/>
      <c r="D3164" s="265"/>
      <c r="E3164" s="264"/>
      <c r="F3164" s="265"/>
      <c r="G3164" s="265"/>
      <c r="H3164" s="268"/>
      <c r="I3164" s="268"/>
      <c r="J3164" s="265"/>
      <c r="K3164" s="265"/>
      <c r="L3164" s="265"/>
      <c r="M3164" s="269"/>
      <c r="N3164" s="270"/>
      <c r="O3164" s="271"/>
      <c r="P3164" s="271"/>
      <c r="Q3164" s="272"/>
      <c r="R3164" s="273"/>
      <c r="S3164" s="273"/>
      <c r="T3164" s="273"/>
      <c r="U3164" s="274"/>
      <c r="V3164" s="263"/>
      <c r="W3164" s="35"/>
      <c r="X3164" s="35"/>
      <c r="Y3164" s="35"/>
      <c r="Z3164" s="35"/>
      <c r="AA3164" s="35"/>
      <c r="AB3164" s="35"/>
      <c r="AC3164" s="35"/>
      <c r="AD3164" s="35"/>
      <c r="AE3164" s="35"/>
      <c r="AF3164" s="35"/>
      <c r="AG3164" s="35"/>
      <c r="AH3164" s="35"/>
      <c r="AI3164" s="35"/>
    </row>
    <row r="3165">
      <c r="A3165" s="263"/>
      <c r="B3165" s="264"/>
      <c r="C3165" s="265"/>
      <c r="D3165" s="265"/>
      <c r="E3165" s="264"/>
      <c r="F3165" s="265"/>
      <c r="G3165" s="265"/>
      <c r="H3165" s="268"/>
      <c r="I3165" s="268"/>
      <c r="J3165" s="265"/>
      <c r="K3165" s="265"/>
      <c r="L3165" s="265"/>
      <c r="M3165" s="269"/>
      <c r="N3165" s="270"/>
      <c r="O3165" s="271"/>
      <c r="P3165" s="271"/>
      <c r="Q3165" s="272"/>
      <c r="R3165" s="273"/>
      <c r="S3165" s="273"/>
      <c r="T3165" s="273"/>
      <c r="U3165" s="274"/>
      <c r="V3165" s="263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</row>
    <row r="3166">
      <c r="A3166" s="263"/>
      <c r="B3166" s="264"/>
      <c r="C3166" s="265"/>
      <c r="D3166" s="265"/>
      <c r="E3166" s="264"/>
      <c r="F3166" s="265"/>
      <c r="G3166" s="265"/>
      <c r="H3166" s="268"/>
      <c r="I3166" s="268"/>
      <c r="J3166" s="265"/>
      <c r="K3166" s="265"/>
      <c r="L3166" s="265"/>
      <c r="M3166" s="269"/>
      <c r="N3166" s="270"/>
      <c r="O3166" s="271"/>
      <c r="P3166" s="271"/>
      <c r="Q3166" s="272"/>
      <c r="R3166" s="273"/>
      <c r="S3166" s="273"/>
      <c r="T3166" s="273"/>
      <c r="U3166" s="274"/>
      <c r="V3166" s="263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</row>
    <row r="3167">
      <c r="A3167" s="263"/>
      <c r="B3167" s="264"/>
      <c r="C3167" s="265"/>
      <c r="D3167" s="265"/>
      <c r="E3167" s="264"/>
      <c r="F3167" s="265"/>
      <c r="G3167" s="265"/>
      <c r="H3167" s="268"/>
      <c r="I3167" s="268"/>
      <c r="J3167" s="265"/>
      <c r="K3167" s="265"/>
      <c r="L3167" s="265"/>
      <c r="M3167" s="269"/>
      <c r="N3167" s="270"/>
      <c r="O3167" s="271"/>
      <c r="P3167" s="271"/>
      <c r="Q3167" s="272"/>
      <c r="R3167" s="273"/>
      <c r="S3167" s="273"/>
      <c r="T3167" s="273"/>
      <c r="U3167" s="274"/>
      <c r="V3167" s="263"/>
      <c r="W3167" s="35"/>
      <c r="X3167" s="35"/>
      <c r="Y3167" s="35"/>
      <c r="Z3167" s="35"/>
      <c r="AA3167" s="35"/>
      <c r="AB3167" s="35"/>
      <c r="AC3167" s="35"/>
      <c r="AD3167" s="35"/>
      <c r="AE3167" s="35"/>
      <c r="AF3167" s="35"/>
      <c r="AG3167" s="35"/>
      <c r="AH3167" s="35"/>
      <c r="AI3167" s="35"/>
    </row>
    <row r="3168">
      <c r="A3168" s="263"/>
      <c r="B3168" s="264"/>
      <c r="C3168" s="265"/>
      <c r="D3168" s="265"/>
      <c r="E3168" s="264"/>
      <c r="F3168" s="265"/>
      <c r="G3168" s="265"/>
      <c r="H3168" s="268"/>
      <c r="I3168" s="268"/>
      <c r="J3168" s="265"/>
      <c r="K3168" s="265"/>
      <c r="L3168" s="265"/>
      <c r="M3168" s="269"/>
      <c r="N3168" s="270"/>
      <c r="O3168" s="271"/>
      <c r="P3168" s="271"/>
      <c r="Q3168" s="272"/>
      <c r="R3168" s="273"/>
      <c r="S3168" s="273"/>
      <c r="T3168" s="273"/>
      <c r="U3168" s="274"/>
      <c r="V3168" s="263"/>
      <c r="W3168" s="35"/>
      <c r="X3168" s="35"/>
      <c r="Y3168" s="35"/>
      <c r="Z3168" s="35"/>
      <c r="AA3168" s="35"/>
      <c r="AB3168" s="35"/>
      <c r="AC3168" s="35"/>
      <c r="AD3168" s="35"/>
      <c r="AE3168" s="35"/>
      <c r="AF3168" s="35"/>
      <c r="AG3168" s="35"/>
      <c r="AH3168" s="35"/>
      <c r="AI3168" s="35"/>
    </row>
    <row r="3169">
      <c r="A3169" s="263"/>
      <c r="B3169" s="264"/>
      <c r="C3169" s="265"/>
      <c r="D3169" s="265"/>
      <c r="E3169" s="264"/>
      <c r="F3169" s="265"/>
      <c r="G3169" s="265"/>
      <c r="H3169" s="268"/>
      <c r="I3169" s="268"/>
      <c r="J3169" s="265"/>
      <c r="K3169" s="265"/>
      <c r="L3169" s="265"/>
      <c r="M3169" s="269"/>
      <c r="N3169" s="270"/>
      <c r="O3169" s="271"/>
      <c r="P3169" s="271"/>
      <c r="Q3169" s="272"/>
      <c r="R3169" s="273"/>
      <c r="S3169" s="273"/>
      <c r="T3169" s="273"/>
      <c r="U3169" s="274"/>
      <c r="V3169" s="263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</row>
    <row r="3170">
      <c r="A3170" s="263"/>
      <c r="B3170" s="264"/>
      <c r="C3170" s="265"/>
      <c r="D3170" s="265"/>
      <c r="E3170" s="264"/>
      <c r="F3170" s="265"/>
      <c r="G3170" s="265"/>
      <c r="H3170" s="268"/>
      <c r="I3170" s="268"/>
      <c r="J3170" s="265"/>
      <c r="K3170" s="265"/>
      <c r="L3170" s="265"/>
      <c r="M3170" s="269"/>
      <c r="N3170" s="270"/>
      <c r="O3170" s="271"/>
      <c r="P3170" s="271"/>
      <c r="Q3170" s="272"/>
      <c r="R3170" s="273"/>
      <c r="S3170" s="273"/>
      <c r="T3170" s="273"/>
      <c r="U3170" s="274"/>
      <c r="V3170" s="263"/>
      <c r="W3170" s="35"/>
      <c r="X3170" s="35"/>
      <c r="Y3170" s="35"/>
      <c r="Z3170" s="35"/>
      <c r="AA3170" s="35"/>
      <c r="AB3170" s="35"/>
      <c r="AC3170" s="35"/>
      <c r="AD3170" s="35"/>
      <c r="AE3170" s="35"/>
      <c r="AF3170" s="35"/>
      <c r="AG3170" s="35"/>
      <c r="AH3170" s="35"/>
      <c r="AI3170" s="35"/>
    </row>
    <row r="3171">
      <c r="A3171" s="263"/>
      <c r="B3171" s="264"/>
      <c r="C3171" s="265"/>
      <c r="D3171" s="265"/>
      <c r="E3171" s="264"/>
      <c r="F3171" s="265"/>
      <c r="G3171" s="265"/>
      <c r="H3171" s="268"/>
      <c r="I3171" s="268"/>
      <c r="J3171" s="265"/>
      <c r="K3171" s="265"/>
      <c r="L3171" s="265"/>
      <c r="M3171" s="269"/>
      <c r="N3171" s="270"/>
      <c r="O3171" s="271"/>
      <c r="P3171" s="271"/>
      <c r="Q3171" s="272"/>
      <c r="R3171" s="273"/>
      <c r="S3171" s="273"/>
      <c r="T3171" s="273"/>
      <c r="U3171" s="274"/>
      <c r="V3171" s="263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</row>
    <row r="3172">
      <c r="A3172" s="263"/>
      <c r="B3172" s="264"/>
      <c r="C3172" s="265"/>
      <c r="D3172" s="265"/>
      <c r="E3172" s="264"/>
      <c r="F3172" s="265"/>
      <c r="G3172" s="265"/>
      <c r="H3172" s="268"/>
      <c r="I3172" s="268"/>
      <c r="J3172" s="265"/>
      <c r="K3172" s="265"/>
      <c r="L3172" s="265"/>
      <c r="M3172" s="269"/>
      <c r="N3172" s="270"/>
      <c r="O3172" s="271"/>
      <c r="P3172" s="271"/>
      <c r="Q3172" s="272"/>
      <c r="R3172" s="273"/>
      <c r="S3172" s="273"/>
      <c r="T3172" s="273"/>
      <c r="U3172" s="274"/>
      <c r="V3172" s="263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</row>
    <row r="3173">
      <c r="A3173" s="263"/>
      <c r="B3173" s="264"/>
      <c r="C3173" s="265"/>
      <c r="D3173" s="265"/>
      <c r="E3173" s="264"/>
      <c r="F3173" s="265"/>
      <c r="G3173" s="265"/>
      <c r="H3173" s="268"/>
      <c r="I3173" s="268"/>
      <c r="J3173" s="265"/>
      <c r="K3173" s="265"/>
      <c r="L3173" s="265"/>
      <c r="M3173" s="269"/>
      <c r="N3173" s="270"/>
      <c r="O3173" s="271"/>
      <c r="P3173" s="271"/>
      <c r="Q3173" s="272"/>
      <c r="R3173" s="273"/>
      <c r="S3173" s="273"/>
      <c r="T3173" s="273"/>
      <c r="U3173" s="274"/>
      <c r="V3173" s="263"/>
      <c r="W3173" s="35"/>
      <c r="X3173" s="35"/>
      <c r="Y3173" s="35"/>
      <c r="Z3173" s="35"/>
      <c r="AA3173" s="35"/>
      <c r="AB3173" s="35"/>
      <c r="AC3173" s="35"/>
      <c r="AD3173" s="35"/>
      <c r="AE3173" s="35"/>
      <c r="AF3173" s="35"/>
      <c r="AG3173" s="35"/>
      <c r="AH3173" s="35"/>
      <c r="AI3173" s="35"/>
    </row>
    <row r="3174">
      <c r="A3174" s="263"/>
      <c r="B3174" s="264"/>
      <c r="C3174" s="265"/>
      <c r="D3174" s="265"/>
      <c r="E3174" s="264"/>
      <c r="F3174" s="265"/>
      <c r="G3174" s="265"/>
      <c r="H3174" s="268"/>
      <c r="I3174" s="268"/>
      <c r="J3174" s="265"/>
      <c r="K3174" s="265"/>
      <c r="L3174" s="265"/>
      <c r="M3174" s="269"/>
      <c r="N3174" s="270"/>
      <c r="O3174" s="271"/>
      <c r="P3174" s="271"/>
      <c r="Q3174" s="272"/>
      <c r="R3174" s="273"/>
      <c r="S3174" s="273"/>
      <c r="T3174" s="273"/>
      <c r="U3174" s="274"/>
      <c r="V3174" s="263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</row>
    <row r="3175">
      <c r="A3175" s="263"/>
      <c r="B3175" s="264"/>
      <c r="C3175" s="265"/>
      <c r="D3175" s="265"/>
      <c r="E3175" s="264"/>
      <c r="F3175" s="265"/>
      <c r="G3175" s="265"/>
      <c r="H3175" s="268"/>
      <c r="I3175" s="268"/>
      <c r="J3175" s="265"/>
      <c r="K3175" s="265"/>
      <c r="L3175" s="265"/>
      <c r="M3175" s="269"/>
      <c r="N3175" s="270"/>
      <c r="O3175" s="271"/>
      <c r="P3175" s="271"/>
      <c r="Q3175" s="272"/>
      <c r="R3175" s="273"/>
      <c r="S3175" s="273"/>
      <c r="T3175" s="273"/>
      <c r="U3175" s="274"/>
      <c r="V3175" s="263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</row>
    <row r="3176">
      <c r="A3176" s="263"/>
      <c r="B3176" s="264"/>
      <c r="C3176" s="265"/>
      <c r="D3176" s="265"/>
      <c r="E3176" s="264"/>
      <c r="F3176" s="265"/>
      <c r="G3176" s="265"/>
      <c r="H3176" s="268"/>
      <c r="I3176" s="268"/>
      <c r="J3176" s="265"/>
      <c r="K3176" s="265"/>
      <c r="L3176" s="265"/>
      <c r="M3176" s="269"/>
      <c r="N3176" s="270"/>
      <c r="O3176" s="271"/>
      <c r="P3176" s="271"/>
      <c r="Q3176" s="272"/>
      <c r="R3176" s="273"/>
      <c r="S3176" s="273"/>
      <c r="T3176" s="273"/>
      <c r="U3176" s="274"/>
      <c r="V3176" s="263"/>
      <c r="W3176" s="35"/>
      <c r="X3176" s="35"/>
      <c r="Y3176" s="35"/>
      <c r="Z3176" s="35"/>
      <c r="AA3176" s="35"/>
      <c r="AB3176" s="35"/>
      <c r="AC3176" s="35"/>
      <c r="AD3176" s="35"/>
      <c r="AE3176" s="35"/>
      <c r="AF3176" s="35"/>
      <c r="AG3176" s="35"/>
      <c r="AH3176" s="35"/>
      <c r="AI3176" s="35"/>
    </row>
    <row r="3177">
      <c r="A3177" s="263"/>
      <c r="B3177" s="264"/>
      <c r="C3177" s="265"/>
      <c r="D3177" s="265"/>
      <c r="E3177" s="264"/>
      <c r="F3177" s="265"/>
      <c r="G3177" s="265"/>
      <c r="H3177" s="268"/>
      <c r="I3177" s="268"/>
      <c r="J3177" s="265"/>
      <c r="K3177" s="265"/>
      <c r="L3177" s="265"/>
      <c r="M3177" s="269"/>
      <c r="N3177" s="270"/>
      <c r="O3177" s="271"/>
      <c r="P3177" s="271"/>
      <c r="Q3177" s="272"/>
      <c r="R3177" s="273"/>
      <c r="S3177" s="273"/>
      <c r="T3177" s="273"/>
      <c r="U3177" s="274"/>
      <c r="V3177" s="263"/>
      <c r="W3177" s="35"/>
      <c r="X3177" s="35"/>
      <c r="Y3177" s="35"/>
      <c r="Z3177" s="35"/>
      <c r="AA3177" s="35"/>
      <c r="AB3177" s="35"/>
      <c r="AC3177" s="35"/>
      <c r="AD3177" s="35"/>
      <c r="AE3177" s="35"/>
      <c r="AF3177" s="35"/>
      <c r="AG3177" s="35"/>
      <c r="AH3177" s="35"/>
      <c r="AI3177" s="35"/>
    </row>
    <row r="3178">
      <c r="A3178" s="263"/>
      <c r="B3178" s="264"/>
      <c r="C3178" s="265"/>
      <c r="D3178" s="265"/>
      <c r="E3178" s="264"/>
      <c r="F3178" s="265"/>
      <c r="G3178" s="265"/>
      <c r="H3178" s="268"/>
      <c r="I3178" s="268"/>
      <c r="J3178" s="265"/>
      <c r="K3178" s="265"/>
      <c r="L3178" s="265"/>
      <c r="M3178" s="269"/>
      <c r="N3178" s="270"/>
      <c r="O3178" s="271"/>
      <c r="P3178" s="271"/>
      <c r="Q3178" s="272"/>
      <c r="R3178" s="273"/>
      <c r="S3178" s="273"/>
      <c r="T3178" s="273"/>
      <c r="U3178" s="274"/>
      <c r="V3178" s="263"/>
      <c r="W3178" s="35"/>
      <c r="X3178" s="35"/>
      <c r="Y3178" s="35"/>
      <c r="Z3178" s="35"/>
      <c r="AA3178" s="35"/>
      <c r="AB3178" s="35"/>
      <c r="AC3178" s="35"/>
      <c r="AD3178" s="35"/>
      <c r="AE3178" s="35"/>
      <c r="AF3178" s="35"/>
      <c r="AG3178" s="35"/>
      <c r="AH3178" s="35"/>
      <c r="AI3178" s="35"/>
    </row>
    <row r="3179">
      <c r="A3179" s="263"/>
      <c r="B3179" s="264"/>
      <c r="C3179" s="265"/>
      <c r="D3179" s="265"/>
      <c r="E3179" s="264"/>
      <c r="F3179" s="265"/>
      <c r="G3179" s="265"/>
      <c r="H3179" s="268"/>
      <c r="I3179" s="268"/>
      <c r="J3179" s="265"/>
      <c r="K3179" s="265"/>
      <c r="L3179" s="265"/>
      <c r="M3179" s="269"/>
      <c r="N3179" s="270"/>
      <c r="O3179" s="271"/>
      <c r="P3179" s="271"/>
      <c r="Q3179" s="272"/>
      <c r="R3179" s="273"/>
      <c r="S3179" s="273"/>
      <c r="T3179" s="273"/>
      <c r="U3179" s="274"/>
      <c r="V3179" s="263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</row>
    <row r="3180">
      <c r="A3180" s="263"/>
      <c r="B3180" s="264"/>
      <c r="C3180" s="265"/>
      <c r="D3180" s="265"/>
      <c r="E3180" s="264"/>
      <c r="F3180" s="265"/>
      <c r="G3180" s="265"/>
      <c r="H3180" s="268"/>
      <c r="I3180" s="268"/>
      <c r="J3180" s="265"/>
      <c r="K3180" s="265"/>
      <c r="L3180" s="265"/>
      <c r="M3180" s="269"/>
      <c r="N3180" s="270"/>
      <c r="O3180" s="271"/>
      <c r="P3180" s="271"/>
      <c r="Q3180" s="272"/>
      <c r="R3180" s="273"/>
      <c r="S3180" s="273"/>
      <c r="T3180" s="273"/>
      <c r="U3180" s="274"/>
      <c r="V3180" s="263"/>
      <c r="W3180" s="35"/>
      <c r="X3180" s="35"/>
      <c r="Y3180" s="35"/>
      <c r="Z3180" s="35"/>
      <c r="AA3180" s="35"/>
      <c r="AB3180" s="35"/>
      <c r="AC3180" s="35"/>
      <c r="AD3180" s="35"/>
      <c r="AE3180" s="35"/>
      <c r="AF3180" s="35"/>
      <c r="AG3180" s="35"/>
      <c r="AH3180" s="35"/>
      <c r="AI3180" s="35"/>
    </row>
    <row r="3181">
      <c r="A3181" s="263"/>
      <c r="B3181" s="264"/>
      <c r="C3181" s="265"/>
      <c r="D3181" s="265"/>
      <c r="E3181" s="264"/>
      <c r="F3181" s="265"/>
      <c r="G3181" s="265"/>
      <c r="H3181" s="268"/>
      <c r="I3181" s="268"/>
      <c r="J3181" s="265"/>
      <c r="K3181" s="265"/>
      <c r="L3181" s="265"/>
      <c r="M3181" s="269"/>
      <c r="N3181" s="270"/>
      <c r="O3181" s="271"/>
      <c r="P3181" s="271"/>
      <c r="Q3181" s="272"/>
      <c r="R3181" s="273"/>
      <c r="S3181" s="273"/>
      <c r="T3181" s="273"/>
      <c r="U3181" s="274"/>
      <c r="V3181" s="263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</row>
    <row r="3182">
      <c r="A3182" s="263"/>
      <c r="B3182" s="264"/>
      <c r="C3182" s="265"/>
      <c r="D3182" s="265"/>
      <c r="E3182" s="264"/>
      <c r="F3182" s="265"/>
      <c r="G3182" s="265"/>
      <c r="H3182" s="268"/>
      <c r="I3182" s="268"/>
      <c r="J3182" s="265"/>
      <c r="K3182" s="265"/>
      <c r="L3182" s="265"/>
      <c r="M3182" s="269"/>
      <c r="N3182" s="270"/>
      <c r="O3182" s="271"/>
      <c r="P3182" s="271"/>
      <c r="Q3182" s="272"/>
      <c r="R3182" s="273"/>
      <c r="S3182" s="273"/>
      <c r="T3182" s="273"/>
      <c r="U3182" s="274"/>
      <c r="V3182" s="263"/>
      <c r="W3182" s="35"/>
      <c r="X3182" s="35"/>
      <c r="Y3182" s="35"/>
      <c r="Z3182" s="35"/>
      <c r="AA3182" s="35"/>
      <c r="AB3182" s="35"/>
      <c r="AC3182" s="35"/>
      <c r="AD3182" s="35"/>
      <c r="AE3182" s="35"/>
      <c r="AF3182" s="35"/>
      <c r="AG3182" s="35"/>
      <c r="AH3182" s="35"/>
      <c r="AI3182" s="35"/>
    </row>
    <row r="3183">
      <c r="A3183" s="263"/>
      <c r="B3183" s="264"/>
      <c r="C3183" s="265"/>
      <c r="D3183" s="265"/>
      <c r="E3183" s="264"/>
      <c r="F3183" s="265"/>
      <c r="G3183" s="265"/>
      <c r="H3183" s="268"/>
      <c r="I3183" s="268"/>
      <c r="J3183" s="265"/>
      <c r="K3183" s="265"/>
      <c r="L3183" s="265"/>
      <c r="M3183" s="269"/>
      <c r="N3183" s="270"/>
      <c r="O3183" s="271"/>
      <c r="P3183" s="271"/>
      <c r="Q3183" s="272"/>
      <c r="R3183" s="273"/>
      <c r="S3183" s="273"/>
      <c r="T3183" s="273"/>
      <c r="U3183" s="274"/>
      <c r="V3183" s="263"/>
      <c r="W3183" s="188"/>
      <c r="X3183" s="188"/>
      <c r="Y3183" s="188"/>
      <c r="Z3183" s="188"/>
      <c r="AA3183" s="188"/>
      <c r="AB3183" s="188"/>
      <c r="AC3183" s="188"/>
      <c r="AD3183" s="188"/>
      <c r="AE3183" s="188"/>
      <c r="AF3183" s="188"/>
      <c r="AG3183" s="188"/>
      <c r="AH3183" s="188"/>
      <c r="AI3183" s="188"/>
    </row>
    <row r="3184">
      <c r="A3184" s="263"/>
      <c r="B3184" s="264"/>
      <c r="C3184" s="265"/>
      <c r="D3184" s="265"/>
      <c r="E3184" s="264"/>
      <c r="F3184" s="265"/>
      <c r="G3184" s="265"/>
      <c r="H3184" s="268"/>
      <c r="I3184" s="268"/>
      <c r="J3184" s="265"/>
      <c r="K3184" s="265"/>
      <c r="L3184" s="265"/>
      <c r="M3184" s="269"/>
      <c r="N3184" s="270"/>
      <c r="O3184" s="271"/>
      <c r="P3184" s="271"/>
      <c r="Q3184" s="272"/>
      <c r="R3184" s="273"/>
      <c r="S3184" s="273"/>
      <c r="T3184" s="273"/>
      <c r="U3184" s="274"/>
      <c r="V3184" s="263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</row>
    <row r="3185">
      <c r="A3185" s="263"/>
      <c r="B3185" s="264"/>
      <c r="C3185" s="265"/>
      <c r="D3185" s="265"/>
      <c r="E3185" s="264"/>
      <c r="F3185" s="265"/>
      <c r="G3185" s="265"/>
      <c r="H3185" s="268"/>
      <c r="I3185" s="268"/>
      <c r="J3185" s="265"/>
      <c r="K3185" s="265"/>
      <c r="L3185" s="265"/>
      <c r="M3185" s="269"/>
      <c r="N3185" s="270"/>
      <c r="O3185" s="271"/>
      <c r="P3185" s="271"/>
      <c r="Q3185" s="272"/>
      <c r="R3185" s="273"/>
      <c r="S3185" s="273"/>
      <c r="T3185" s="273"/>
      <c r="U3185" s="274"/>
      <c r="V3185" s="263"/>
      <c r="W3185" s="188"/>
      <c r="X3185" s="188"/>
      <c r="Y3185" s="188"/>
      <c r="Z3185" s="188"/>
      <c r="AA3185" s="188"/>
      <c r="AB3185" s="188"/>
      <c r="AC3185" s="188"/>
      <c r="AD3185" s="188"/>
      <c r="AE3185" s="188"/>
      <c r="AF3185" s="188"/>
      <c r="AG3185" s="188"/>
      <c r="AH3185" s="188"/>
      <c r="AI3185" s="188"/>
    </row>
    <row r="3186">
      <c r="A3186" s="263"/>
      <c r="B3186" s="264"/>
      <c r="C3186" s="265"/>
      <c r="D3186" s="265"/>
      <c r="E3186" s="264"/>
      <c r="F3186" s="265"/>
      <c r="G3186" s="265"/>
      <c r="H3186" s="268"/>
      <c r="I3186" s="268"/>
      <c r="J3186" s="265"/>
      <c r="K3186" s="265"/>
      <c r="L3186" s="265"/>
      <c r="M3186" s="269"/>
      <c r="N3186" s="270"/>
      <c r="O3186" s="271"/>
      <c r="P3186" s="271"/>
      <c r="Q3186" s="272"/>
      <c r="R3186" s="273"/>
      <c r="S3186" s="273"/>
      <c r="T3186" s="273"/>
      <c r="U3186" s="274"/>
      <c r="V3186" s="263"/>
      <c r="W3186" s="188"/>
      <c r="X3186" s="188"/>
      <c r="Y3186" s="188"/>
      <c r="Z3186" s="188"/>
      <c r="AA3186" s="188"/>
      <c r="AB3186" s="188"/>
      <c r="AC3186" s="188"/>
      <c r="AD3186" s="188"/>
      <c r="AE3186" s="188"/>
      <c r="AF3186" s="188"/>
      <c r="AG3186" s="188"/>
      <c r="AH3186" s="188"/>
      <c r="AI3186" s="188"/>
    </row>
    <row r="3187">
      <c r="A3187" s="263"/>
      <c r="B3187" s="264"/>
      <c r="C3187" s="265"/>
      <c r="D3187" s="265"/>
      <c r="E3187" s="264"/>
      <c r="F3187" s="265"/>
      <c r="G3187" s="265"/>
      <c r="H3187" s="268"/>
      <c r="I3187" s="268"/>
      <c r="J3187" s="265"/>
      <c r="K3187" s="265"/>
      <c r="L3187" s="265"/>
      <c r="M3187" s="269"/>
      <c r="N3187" s="270"/>
      <c r="O3187" s="271"/>
      <c r="P3187" s="271"/>
      <c r="Q3187" s="272"/>
      <c r="R3187" s="273"/>
      <c r="S3187" s="273"/>
      <c r="T3187" s="273"/>
      <c r="U3187" s="274"/>
      <c r="V3187" s="263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</row>
    <row r="3188">
      <c r="A3188" s="263"/>
      <c r="B3188" s="264"/>
      <c r="C3188" s="265"/>
      <c r="D3188" s="265"/>
      <c r="E3188" s="264"/>
      <c r="F3188" s="265"/>
      <c r="G3188" s="265"/>
      <c r="H3188" s="268"/>
      <c r="I3188" s="268"/>
      <c r="J3188" s="265"/>
      <c r="K3188" s="265"/>
      <c r="L3188" s="265"/>
      <c r="M3188" s="269"/>
      <c r="N3188" s="270"/>
      <c r="O3188" s="271"/>
      <c r="P3188" s="271"/>
      <c r="Q3188" s="272"/>
      <c r="R3188" s="273"/>
      <c r="S3188" s="273"/>
      <c r="T3188" s="273"/>
      <c r="U3188" s="274"/>
      <c r="V3188" s="263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</row>
    <row r="3189">
      <c r="A3189" s="263"/>
      <c r="B3189" s="264"/>
      <c r="C3189" s="265"/>
      <c r="D3189" s="265"/>
      <c r="E3189" s="264"/>
      <c r="F3189" s="265"/>
      <c r="G3189" s="265"/>
      <c r="H3189" s="268"/>
      <c r="I3189" s="268"/>
      <c r="J3189" s="265"/>
      <c r="K3189" s="265"/>
      <c r="L3189" s="265"/>
      <c r="M3189" s="269"/>
      <c r="N3189" s="270"/>
      <c r="O3189" s="271"/>
      <c r="P3189" s="271"/>
      <c r="Q3189" s="272"/>
      <c r="R3189" s="273"/>
      <c r="S3189" s="273"/>
      <c r="T3189" s="273"/>
      <c r="U3189" s="274"/>
      <c r="V3189" s="263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</row>
    <row r="3190">
      <c r="A3190" s="263"/>
      <c r="B3190" s="264"/>
      <c r="C3190" s="265"/>
      <c r="D3190" s="265"/>
      <c r="E3190" s="264"/>
      <c r="F3190" s="265"/>
      <c r="G3190" s="265"/>
      <c r="H3190" s="268"/>
      <c r="I3190" s="268"/>
      <c r="J3190" s="265"/>
      <c r="K3190" s="265"/>
      <c r="L3190" s="265"/>
      <c r="M3190" s="269"/>
      <c r="N3190" s="270"/>
      <c r="O3190" s="271"/>
      <c r="P3190" s="271"/>
      <c r="Q3190" s="272"/>
      <c r="R3190" s="273"/>
      <c r="S3190" s="273"/>
      <c r="T3190" s="273"/>
      <c r="U3190" s="274"/>
      <c r="V3190" s="263"/>
      <c r="W3190" s="35"/>
      <c r="X3190" s="35"/>
      <c r="Y3190" s="35"/>
      <c r="Z3190" s="35"/>
      <c r="AA3190" s="35"/>
      <c r="AB3190" s="35"/>
      <c r="AC3190" s="35"/>
      <c r="AD3190" s="35"/>
      <c r="AE3190" s="35"/>
      <c r="AF3190" s="35"/>
      <c r="AG3190" s="35"/>
      <c r="AH3190" s="35"/>
      <c r="AI3190" s="35"/>
    </row>
    <row r="3191">
      <c r="A3191" s="263"/>
      <c r="B3191" s="264"/>
      <c r="C3191" s="265"/>
      <c r="D3191" s="265"/>
      <c r="E3191" s="264"/>
      <c r="F3191" s="265"/>
      <c r="G3191" s="265"/>
      <c r="H3191" s="268"/>
      <c r="I3191" s="268"/>
      <c r="J3191" s="265"/>
      <c r="K3191" s="265"/>
      <c r="L3191" s="265"/>
      <c r="M3191" s="269"/>
      <c r="N3191" s="270"/>
      <c r="O3191" s="271"/>
      <c r="P3191" s="271"/>
      <c r="Q3191" s="272"/>
      <c r="R3191" s="273"/>
      <c r="S3191" s="273"/>
      <c r="T3191" s="273"/>
      <c r="U3191" s="274"/>
      <c r="V3191" s="263"/>
      <c r="W3191" s="35"/>
      <c r="X3191" s="35"/>
      <c r="Y3191" s="35"/>
      <c r="Z3191" s="35"/>
      <c r="AA3191" s="35"/>
      <c r="AB3191" s="35"/>
      <c r="AC3191" s="35"/>
      <c r="AD3191" s="35"/>
      <c r="AE3191" s="35"/>
      <c r="AF3191" s="35"/>
      <c r="AG3191" s="35"/>
      <c r="AH3191" s="35"/>
      <c r="AI3191" s="35"/>
    </row>
    <row r="3192">
      <c r="A3192" s="263"/>
      <c r="B3192" s="264"/>
      <c r="C3192" s="265"/>
      <c r="D3192" s="265"/>
      <c r="E3192" s="264"/>
      <c r="F3192" s="265"/>
      <c r="G3192" s="265"/>
      <c r="H3192" s="268"/>
      <c r="I3192" s="268"/>
      <c r="J3192" s="265"/>
      <c r="K3192" s="265"/>
      <c r="L3192" s="265"/>
      <c r="M3192" s="269"/>
      <c r="N3192" s="270"/>
      <c r="O3192" s="271"/>
      <c r="P3192" s="271"/>
      <c r="Q3192" s="272"/>
      <c r="R3192" s="273"/>
      <c r="S3192" s="273"/>
      <c r="T3192" s="273"/>
      <c r="U3192" s="274"/>
      <c r="V3192" s="263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</row>
    <row r="3193">
      <c r="A3193" s="263"/>
      <c r="B3193" s="264"/>
      <c r="C3193" s="265"/>
      <c r="D3193" s="265"/>
      <c r="E3193" s="264"/>
      <c r="F3193" s="265"/>
      <c r="G3193" s="265"/>
      <c r="H3193" s="268"/>
      <c r="I3193" s="268"/>
      <c r="J3193" s="265"/>
      <c r="K3193" s="265"/>
      <c r="L3193" s="265"/>
      <c r="M3193" s="269"/>
      <c r="N3193" s="270"/>
      <c r="O3193" s="271"/>
      <c r="P3193" s="271"/>
      <c r="Q3193" s="272"/>
      <c r="R3193" s="273"/>
      <c r="S3193" s="273"/>
      <c r="T3193" s="273"/>
      <c r="U3193" s="274"/>
      <c r="V3193" s="263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</row>
    <row r="3194">
      <c r="A3194" s="263"/>
      <c r="B3194" s="264"/>
      <c r="C3194" s="265"/>
      <c r="D3194" s="265"/>
      <c r="E3194" s="264"/>
      <c r="F3194" s="265"/>
      <c r="G3194" s="265"/>
      <c r="H3194" s="268"/>
      <c r="I3194" s="268"/>
      <c r="J3194" s="265"/>
      <c r="K3194" s="265"/>
      <c r="L3194" s="265"/>
      <c r="M3194" s="269"/>
      <c r="N3194" s="270"/>
      <c r="O3194" s="271"/>
      <c r="P3194" s="271"/>
      <c r="Q3194" s="272"/>
      <c r="R3194" s="273"/>
      <c r="S3194" s="273"/>
      <c r="T3194" s="273"/>
      <c r="U3194" s="274"/>
      <c r="V3194" s="263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</row>
    <row r="3195">
      <c r="A3195" s="263"/>
      <c r="B3195" s="264"/>
      <c r="C3195" s="265"/>
      <c r="D3195" s="265"/>
      <c r="E3195" s="264"/>
      <c r="F3195" s="265"/>
      <c r="G3195" s="265"/>
      <c r="H3195" s="268"/>
      <c r="I3195" s="268"/>
      <c r="J3195" s="265"/>
      <c r="K3195" s="265"/>
      <c r="L3195" s="265"/>
      <c r="M3195" s="269"/>
      <c r="N3195" s="270"/>
      <c r="O3195" s="271"/>
      <c r="P3195" s="271"/>
      <c r="Q3195" s="272"/>
      <c r="R3195" s="273"/>
      <c r="S3195" s="273"/>
      <c r="T3195" s="273"/>
      <c r="U3195" s="274"/>
      <c r="V3195" s="263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</row>
    <row r="3196">
      <c r="A3196" s="263"/>
      <c r="B3196" s="264"/>
      <c r="C3196" s="265"/>
      <c r="D3196" s="265"/>
      <c r="E3196" s="264"/>
      <c r="F3196" s="265"/>
      <c r="G3196" s="265"/>
      <c r="H3196" s="268"/>
      <c r="I3196" s="268"/>
      <c r="J3196" s="265"/>
      <c r="K3196" s="265"/>
      <c r="L3196" s="265"/>
      <c r="M3196" s="269"/>
      <c r="N3196" s="270"/>
      <c r="O3196" s="271"/>
      <c r="P3196" s="271"/>
      <c r="Q3196" s="272"/>
      <c r="R3196" s="273"/>
      <c r="S3196" s="273"/>
      <c r="T3196" s="273"/>
      <c r="U3196" s="274"/>
      <c r="V3196" s="263"/>
      <c r="W3196" s="188"/>
      <c r="X3196" s="188"/>
      <c r="Y3196" s="188"/>
      <c r="Z3196" s="188"/>
      <c r="AA3196" s="188"/>
      <c r="AB3196" s="188"/>
      <c r="AC3196" s="188"/>
      <c r="AD3196" s="188"/>
      <c r="AE3196" s="188"/>
      <c r="AF3196" s="188"/>
      <c r="AG3196" s="188"/>
      <c r="AH3196" s="188"/>
      <c r="AI3196" s="188"/>
    </row>
    <row r="3197">
      <c r="A3197" s="263"/>
      <c r="B3197" s="264"/>
      <c r="C3197" s="265"/>
      <c r="D3197" s="265"/>
      <c r="E3197" s="264"/>
      <c r="F3197" s="265"/>
      <c r="G3197" s="265"/>
      <c r="H3197" s="268"/>
      <c r="I3197" s="268"/>
      <c r="J3197" s="265"/>
      <c r="K3197" s="265"/>
      <c r="L3197" s="265"/>
      <c r="M3197" s="269"/>
      <c r="N3197" s="270"/>
      <c r="O3197" s="271"/>
      <c r="P3197" s="271"/>
      <c r="Q3197" s="272"/>
      <c r="R3197" s="273"/>
      <c r="S3197" s="273"/>
      <c r="T3197" s="273"/>
      <c r="U3197" s="274"/>
      <c r="V3197" s="263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</row>
    <row r="3198">
      <c r="A3198" s="263"/>
      <c r="B3198" s="264"/>
      <c r="C3198" s="265"/>
      <c r="D3198" s="265"/>
      <c r="E3198" s="264"/>
      <c r="F3198" s="265"/>
      <c r="G3198" s="265"/>
      <c r="H3198" s="268"/>
      <c r="I3198" s="268"/>
      <c r="J3198" s="265"/>
      <c r="K3198" s="265"/>
      <c r="L3198" s="265"/>
      <c r="M3198" s="269"/>
      <c r="N3198" s="270"/>
      <c r="O3198" s="271"/>
      <c r="P3198" s="271"/>
      <c r="Q3198" s="272"/>
      <c r="R3198" s="273"/>
      <c r="S3198" s="273"/>
      <c r="T3198" s="273"/>
      <c r="U3198" s="274"/>
      <c r="V3198" s="263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</row>
    <row r="3199">
      <c r="A3199" s="263"/>
      <c r="B3199" s="264"/>
      <c r="C3199" s="265"/>
      <c r="D3199" s="265"/>
      <c r="E3199" s="264"/>
      <c r="F3199" s="265"/>
      <c r="G3199" s="265"/>
      <c r="H3199" s="268"/>
      <c r="I3199" s="268"/>
      <c r="J3199" s="265"/>
      <c r="K3199" s="265"/>
      <c r="L3199" s="265"/>
      <c r="M3199" s="269"/>
      <c r="N3199" s="270"/>
      <c r="O3199" s="271"/>
      <c r="P3199" s="271"/>
      <c r="Q3199" s="272"/>
      <c r="R3199" s="273"/>
      <c r="S3199" s="273"/>
      <c r="T3199" s="273"/>
      <c r="U3199" s="274"/>
      <c r="V3199" s="263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</row>
    <row r="3200">
      <c r="A3200" s="263"/>
      <c r="B3200" s="264"/>
      <c r="C3200" s="265"/>
      <c r="D3200" s="265"/>
      <c r="E3200" s="264"/>
      <c r="F3200" s="265"/>
      <c r="G3200" s="265"/>
      <c r="H3200" s="268"/>
      <c r="I3200" s="268"/>
      <c r="J3200" s="265"/>
      <c r="K3200" s="265"/>
      <c r="L3200" s="265"/>
      <c r="M3200" s="269"/>
      <c r="N3200" s="270"/>
      <c r="O3200" s="271"/>
      <c r="P3200" s="271"/>
      <c r="Q3200" s="272"/>
      <c r="R3200" s="273"/>
      <c r="S3200" s="273"/>
      <c r="T3200" s="273"/>
      <c r="U3200" s="274"/>
      <c r="V3200" s="263"/>
      <c r="W3200" s="188"/>
      <c r="X3200" s="188"/>
      <c r="Y3200" s="188"/>
      <c r="Z3200" s="188"/>
      <c r="AA3200" s="188"/>
      <c r="AB3200" s="188"/>
      <c r="AC3200" s="188"/>
      <c r="AD3200" s="188"/>
      <c r="AE3200" s="188"/>
      <c r="AF3200" s="188"/>
      <c r="AG3200" s="188"/>
      <c r="AH3200" s="188"/>
      <c r="AI3200" s="188"/>
    </row>
    <row r="3201">
      <c r="A3201" s="263"/>
      <c r="B3201" s="264"/>
      <c r="C3201" s="265"/>
      <c r="D3201" s="265"/>
      <c r="E3201" s="264"/>
      <c r="F3201" s="265"/>
      <c r="G3201" s="265"/>
      <c r="H3201" s="268"/>
      <c r="I3201" s="268"/>
      <c r="J3201" s="265"/>
      <c r="K3201" s="265"/>
      <c r="L3201" s="265"/>
      <c r="M3201" s="269"/>
      <c r="N3201" s="270"/>
      <c r="O3201" s="271"/>
      <c r="P3201" s="271"/>
      <c r="Q3201" s="272"/>
      <c r="R3201" s="273"/>
      <c r="S3201" s="273"/>
      <c r="T3201" s="273"/>
      <c r="U3201" s="274"/>
      <c r="V3201" s="263"/>
      <c r="W3201" s="35"/>
      <c r="X3201" s="35"/>
      <c r="Y3201" s="35"/>
      <c r="Z3201" s="35"/>
      <c r="AA3201" s="35"/>
      <c r="AB3201" s="35"/>
      <c r="AC3201" s="35"/>
      <c r="AD3201" s="35"/>
      <c r="AE3201" s="35"/>
      <c r="AF3201" s="35"/>
      <c r="AG3201" s="35"/>
      <c r="AH3201" s="35"/>
      <c r="AI3201" s="35"/>
    </row>
    <row r="3202">
      <c r="A3202" s="263"/>
      <c r="B3202" s="264"/>
      <c r="C3202" s="265"/>
      <c r="D3202" s="265"/>
      <c r="E3202" s="264"/>
      <c r="F3202" s="265"/>
      <c r="G3202" s="265"/>
      <c r="H3202" s="268"/>
      <c r="I3202" s="268"/>
      <c r="J3202" s="265"/>
      <c r="K3202" s="265"/>
      <c r="L3202" s="265"/>
      <c r="M3202" s="269"/>
      <c r="N3202" s="270"/>
      <c r="O3202" s="271"/>
      <c r="P3202" s="271"/>
      <c r="Q3202" s="272"/>
      <c r="R3202" s="273"/>
      <c r="S3202" s="273"/>
      <c r="T3202" s="273"/>
      <c r="U3202" s="274"/>
      <c r="V3202" s="263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</row>
    <row r="3203">
      <c r="A3203" s="263"/>
      <c r="B3203" s="264"/>
      <c r="C3203" s="265"/>
      <c r="D3203" s="265"/>
      <c r="E3203" s="264"/>
      <c r="F3203" s="265"/>
      <c r="G3203" s="265"/>
      <c r="H3203" s="268"/>
      <c r="I3203" s="268"/>
      <c r="J3203" s="265"/>
      <c r="K3203" s="265"/>
      <c r="L3203" s="265"/>
      <c r="M3203" s="269"/>
      <c r="N3203" s="270"/>
      <c r="O3203" s="271"/>
      <c r="P3203" s="271"/>
      <c r="Q3203" s="272"/>
      <c r="R3203" s="273"/>
      <c r="S3203" s="273"/>
      <c r="T3203" s="273"/>
      <c r="U3203" s="274"/>
      <c r="V3203" s="263"/>
      <c r="W3203" s="35"/>
      <c r="X3203" s="35"/>
      <c r="Y3203" s="35"/>
      <c r="Z3203" s="35"/>
      <c r="AA3203" s="35"/>
      <c r="AB3203" s="35"/>
      <c r="AC3203" s="35"/>
      <c r="AD3203" s="35"/>
      <c r="AE3203" s="35"/>
      <c r="AF3203" s="35"/>
      <c r="AG3203" s="35"/>
      <c r="AH3203" s="35"/>
      <c r="AI3203" s="35"/>
    </row>
    <row r="3204">
      <c r="A3204" s="263"/>
      <c r="B3204" s="264"/>
      <c r="C3204" s="265"/>
      <c r="D3204" s="265"/>
      <c r="E3204" s="264"/>
      <c r="F3204" s="265"/>
      <c r="G3204" s="265"/>
      <c r="H3204" s="268"/>
      <c r="I3204" s="268"/>
      <c r="J3204" s="265"/>
      <c r="K3204" s="265"/>
      <c r="L3204" s="265"/>
      <c r="M3204" s="269"/>
      <c r="N3204" s="270"/>
      <c r="O3204" s="271"/>
      <c r="P3204" s="271"/>
      <c r="Q3204" s="272"/>
      <c r="R3204" s="273"/>
      <c r="S3204" s="273"/>
      <c r="T3204" s="273"/>
      <c r="U3204" s="274"/>
      <c r="V3204" s="263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</row>
    <row r="3205">
      <c r="A3205" s="263"/>
      <c r="B3205" s="264"/>
      <c r="C3205" s="265"/>
      <c r="D3205" s="265"/>
      <c r="E3205" s="264"/>
      <c r="F3205" s="265"/>
      <c r="G3205" s="265"/>
      <c r="H3205" s="268"/>
      <c r="I3205" s="268"/>
      <c r="J3205" s="265"/>
      <c r="K3205" s="265"/>
      <c r="L3205" s="265"/>
      <c r="M3205" s="269"/>
      <c r="N3205" s="270"/>
      <c r="O3205" s="271"/>
      <c r="P3205" s="271"/>
      <c r="Q3205" s="272"/>
      <c r="R3205" s="273"/>
      <c r="S3205" s="273"/>
      <c r="T3205" s="273"/>
      <c r="U3205" s="274"/>
      <c r="V3205" s="263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</row>
    <row r="3206">
      <c r="A3206" s="263"/>
      <c r="B3206" s="264"/>
      <c r="C3206" s="265"/>
      <c r="D3206" s="265"/>
      <c r="E3206" s="264"/>
      <c r="F3206" s="265"/>
      <c r="G3206" s="265"/>
      <c r="H3206" s="268"/>
      <c r="I3206" s="268"/>
      <c r="J3206" s="265"/>
      <c r="K3206" s="265"/>
      <c r="L3206" s="265"/>
      <c r="M3206" s="269"/>
      <c r="N3206" s="270"/>
      <c r="O3206" s="271"/>
      <c r="P3206" s="271"/>
      <c r="Q3206" s="272"/>
      <c r="R3206" s="273"/>
      <c r="S3206" s="273"/>
      <c r="T3206" s="273"/>
      <c r="U3206" s="274"/>
      <c r="V3206" s="263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</row>
    <row r="3207">
      <c r="A3207" s="263"/>
      <c r="B3207" s="264"/>
      <c r="C3207" s="265"/>
      <c r="D3207" s="265"/>
      <c r="E3207" s="264"/>
      <c r="F3207" s="265"/>
      <c r="G3207" s="265"/>
      <c r="H3207" s="268"/>
      <c r="I3207" s="268"/>
      <c r="J3207" s="265"/>
      <c r="K3207" s="265"/>
      <c r="L3207" s="265"/>
      <c r="M3207" s="269"/>
      <c r="N3207" s="270"/>
      <c r="O3207" s="271"/>
      <c r="P3207" s="271"/>
      <c r="Q3207" s="272"/>
      <c r="R3207" s="273"/>
      <c r="S3207" s="273"/>
      <c r="T3207" s="273"/>
      <c r="U3207" s="274"/>
      <c r="V3207" s="263"/>
      <c r="W3207" s="36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</row>
    <row r="3208">
      <c r="A3208" s="263"/>
      <c r="B3208" s="264"/>
      <c r="C3208" s="265"/>
      <c r="D3208" s="265"/>
      <c r="E3208" s="264"/>
      <c r="F3208" s="265"/>
      <c r="G3208" s="265"/>
      <c r="H3208" s="268"/>
      <c r="I3208" s="268"/>
      <c r="J3208" s="265"/>
      <c r="K3208" s="265"/>
      <c r="L3208" s="265"/>
      <c r="M3208" s="269"/>
      <c r="N3208" s="270"/>
      <c r="O3208" s="271"/>
      <c r="P3208" s="271"/>
      <c r="Q3208" s="272"/>
      <c r="R3208" s="273"/>
      <c r="S3208" s="273"/>
      <c r="T3208" s="273"/>
      <c r="U3208" s="274"/>
      <c r="V3208" s="263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</row>
    <row r="3209">
      <c r="A3209" s="263"/>
      <c r="B3209" s="264"/>
      <c r="C3209" s="265"/>
      <c r="D3209" s="265"/>
      <c r="E3209" s="264"/>
      <c r="F3209" s="265"/>
      <c r="G3209" s="265"/>
      <c r="H3209" s="268"/>
      <c r="I3209" s="268"/>
      <c r="J3209" s="265"/>
      <c r="K3209" s="265"/>
      <c r="L3209" s="265"/>
      <c r="M3209" s="269"/>
      <c r="N3209" s="270"/>
      <c r="O3209" s="271"/>
      <c r="P3209" s="271"/>
      <c r="Q3209" s="272"/>
      <c r="R3209" s="273"/>
      <c r="S3209" s="273"/>
      <c r="T3209" s="273"/>
      <c r="U3209" s="274"/>
      <c r="V3209" s="263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</row>
    <row r="3210">
      <c r="A3210" s="263"/>
      <c r="B3210" s="264"/>
      <c r="C3210" s="265"/>
      <c r="D3210" s="265"/>
      <c r="E3210" s="264"/>
      <c r="F3210" s="265"/>
      <c r="G3210" s="265"/>
      <c r="H3210" s="268"/>
      <c r="I3210" s="268"/>
      <c r="J3210" s="265"/>
      <c r="K3210" s="265"/>
      <c r="L3210" s="265"/>
      <c r="M3210" s="269"/>
      <c r="N3210" s="270"/>
      <c r="O3210" s="271"/>
      <c r="P3210" s="271"/>
      <c r="Q3210" s="272"/>
      <c r="R3210" s="273"/>
      <c r="S3210" s="273"/>
      <c r="T3210" s="273"/>
      <c r="U3210" s="274"/>
      <c r="V3210" s="263"/>
      <c r="W3210" s="35"/>
      <c r="X3210" s="35"/>
      <c r="Y3210" s="35"/>
      <c r="Z3210" s="35"/>
      <c r="AA3210" s="35"/>
      <c r="AB3210" s="35"/>
      <c r="AC3210" s="35"/>
      <c r="AD3210" s="35"/>
      <c r="AE3210" s="35"/>
      <c r="AF3210" s="35"/>
      <c r="AG3210" s="35"/>
      <c r="AH3210" s="35"/>
      <c r="AI3210" s="35"/>
    </row>
    <row r="3211">
      <c r="A3211" s="263"/>
      <c r="B3211" s="264"/>
      <c r="C3211" s="265"/>
      <c r="D3211" s="265"/>
      <c r="E3211" s="264"/>
      <c r="F3211" s="265"/>
      <c r="G3211" s="265"/>
      <c r="H3211" s="268"/>
      <c r="I3211" s="268"/>
      <c r="J3211" s="265"/>
      <c r="K3211" s="265"/>
      <c r="L3211" s="265"/>
      <c r="M3211" s="269"/>
      <c r="N3211" s="270"/>
      <c r="O3211" s="271"/>
      <c r="P3211" s="271"/>
      <c r="Q3211" s="272"/>
      <c r="R3211" s="273"/>
      <c r="S3211" s="273"/>
      <c r="T3211" s="273"/>
      <c r="U3211" s="274"/>
      <c r="V3211" s="263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</row>
    <row r="3212">
      <c r="A3212" s="263"/>
      <c r="B3212" s="264"/>
      <c r="C3212" s="265"/>
      <c r="D3212" s="265"/>
      <c r="E3212" s="264"/>
      <c r="F3212" s="265"/>
      <c r="G3212" s="265"/>
      <c r="H3212" s="268"/>
      <c r="I3212" s="268"/>
      <c r="J3212" s="265"/>
      <c r="K3212" s="265"/>
      <c r="L3212" s="265"/>
      <c r="M3212" s="269"/>
      <c r="N3212" s="270"/>
      <c r="O3212" s="271"/>
      <c r="P3212" s="271"/>
      <c r="Q3212" s="272"/>
      <c r="R3212" s="273"/>
      <c r="S3212" s="273"/>
      <c r="T3212" s="273"/>
      <c r="U3212" s="274"/>
      <c r="V3212" s="263"/>
      <c r="W3212" s="35"/>
      <c r="X3212" s="35"/>
      <c r="Y3212" s="35"/>
      <c r="Z3212" s="35"/>
      <c r="AA3212" s="35"/>
      <c r="AB3212" s="35"/>
      <c r="AC3212" s="35"/>
      <c r="AD3212" s="35"/>
      <c r="AE3212" s="35"/>
      <c r="AF3212" s="35"/>
      <c r="AG3212" s="35"/>
      <c r="AH3212" s="35"/>
      <c r="AI3212" s="35"/>
    </row>
    <row r="3213">
      <c r="A3213" s="263"/>
      <c r="B3213" s="264"/>
      <c r="C3213" s="265"/>
      <c r="D3213" s="265"/>
      <c r="E3213" s="264"/>
      <c r="F3213" s="265"/>
      <c r="G3213" s="265"/>
      <c r="H3213" s="268"/>
      <c r="I3213" s="268"/>
      <c r="J3213" s="265"/>
      <c r="K3213" s="265"/>
      <c r="L3213" s="265"/>
      <c r="M3213" s="269"/>
      <c r="N3213" s="270"/>
      <c r="O3213" s="271"/>
      <c r="P3213" s="271"/>
      <c r="Q3213" s="272"/>
      <c r="R3213" s="273"/>
      <c r="S3213" s="273"/>
      <c r="T3213" s="273"/>
      <c r="U3213" s="274"/>
      <c r="V3213" s="263"/>
      <c r="W3213" s="36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</row>
    <row r="3214">
      <c r="A3214" s="263"/>
      <c r="B3214" s="264"/>
      <c r="C3214" s="265"/>
      <c r="D3214" s="265"/>
      <c r="E3214" s="264"/>
      <c r="F3214" s="265"/>
      <c r="G3214" s="265"/>
      <c r="H3214" s="268"/>
      <c r="I3214" s="268"/>
      <c r="J3214" s="265"/>
      <c r="K3214" s="265"/>
      <c r="L3214" s="265"/>
      <c r="M3214" s="269"/>
      <c r="N3214" s="270"/>
      <c r="O3214" s="271"/>
      <c r="P3214" s="271"/>
      <c r="Q3214" s="272"/>
      <c r="R3214" s="273"/>
      <c r="S3214" s="273"/>
      <c r="T3214" s="273"/>
      <c r="U3214" s="274"/>
      <c r="V3214" s="263"/>
      <c r="W3214" s="35"/>
      <c r="X3214" s="35"/>
      <c r="Y3214" s="35"/>
      <c r="Z3214" s="35"/>
      <c r="AA3214" s="35"/>
      <c r="AB3214" s="35"/>
      <c r="AC3214" s="35"/>
      <c r="AD3214" s="35"/>
      <c r="AE3214" s="35"/>
      <c r="AF3214" s="35"/>
      <c r="AG3214" s="35"/>
      <c r="AH3214" s="35"/>
      <c r="AI3214" s="35"/>
    </row>
    <row r="3215">
      <c r="A3215" s="263"/>
      <c r="B3215" s="264"/>
      <c r="C3215" s="265"/>
      <c r="D3215" s="265"/>
      <c r="E3215" s="264"/>
      <c r="F3215" s="265"/>
      <c r="G3215" s="265"/>
      <c r="H3215" s="268"/>
      <c r="I3215" s="268"/>
      <c r="J3215" s="265"/>
      <c r="K3215" s="265"/>
      <c r="L3215" s="265"/>
      <c r="M3215" s="269"/>
      <c r="N3215" s="270"/>
      <c r="O3215" s="271"/>
      <c r="P3215" s="271"/>
      <c r="Q3215" s="272"/>
      <c r="R3215" s="273"/>
      <c r="S3215" s="273"/>
      <c r="T3215" s="273"/>
      <c r="U3215" s="274"/>
      <c r="V3215" s="263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</row>
    <row r="3216">
      <c r="A3216" s="263"/>
      <c r="B3216" s="264"/>
      <c r="C3216" s="265"/>
      <c r="D3216" s="265"/>
      <c r="E3216" s="264"/>
      <c r="F3216" s="265"/>
      <c r="G3216" s="265"/>
      <c r="H3216" s="268"/>
      <c r="I3216" s="268"/>
      <c r="J3216" s="265"/>
      <c r="K3216" s="265"/>
      <c r="L3216" s="265"/>
      <c r="M3216" s="269"/>
      <c r="N3216" s="270"/>
      <c r="O3216" s="271"/>
      <c r="P3216" s="271"/>
      <c r="Q3216" s="272"/>
      <c r="R3216" s="273"/>
      <c r="S3216" s="273"/>
      <c r="T3216" s="273"/>
      <c r="U3216" s="274"/>
      <c r="V3216" s="263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</row>
    <row r="3217">
      <c r="A3217" s="263"/>
      <c r="B3217" s="264"/>
      <c r="C3217" s="265"/>
      <c r="D3217" s="265"/>
      <c r="E3217" s="264"/>
      <c r="F3217" s="265"/>
      <c r="G3217" s="265"/>
      <c r="H3217" s="268"/>
      <c r="I3217" s="268"/>
      <c r="J3217" s="265"/>
      <c r="K3217" s="265"/>
      <c r="L3217" s="265"/>
      <c r="M3217" s="269"/>
      <c r="N3217" s="270"/>
      <c r="O3217" s="271"/>
      <c r="P3217" s="271"/>
      <c r="Q3217" s="272"/>
      <c r="R3217" s="273"/>
      <c r="S3217" s="273"/>
      <c r="T3217" s="273"/>
      <c r="U3217" s="274"/>
      <c r="V3217" s="263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</row>
    <row r="3218">
      <c r="A3218" s="263"/>
      <c r="B3218" s="264"/>
      <c r="C3218" s="265"/>
      <c r="D3218" s="265"/>
      <c r="E3218" s="264"/>
      <c r="F3218" s="265"/>
      <c r="G3218" s="265"/>
      <c r="H3218" s="268"/>
      <c r="I3218" s="268"/>
      <c r="J3218" s="265"/>
      <c r="K3218" s="265"/>
      <c r="L3218" s="265"/>
      <c r="M3218" s="269"/>
      <c r="N3218" s="270"/>
      <c r="O3218" s="271"/>
      <c r="P3218" s="271"/>
      <c r="Q3218" s="272"/>
      <c r="R3218" s="273"/>
      <c r="S3218" s="273"/>
      <c r="T3218" s="273"/>
      <c r="U3218" s="274"/>
      <c r="V3218" s="263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</row>
    <row r="3219">
      <c r="A3219" s="263"/>
      <c r="B3219" s="264"/>
      <c r="C3219" s="265"/>
      <c r="D3219" s="265"/>
      <c r="E3219" s="264"/>
      <c r="F3219" s="265"/>
      <c r="G3219" s="265"/>
      <c r="H3219" s="268"/>
      <c r="I3219" s="268"/>
      <c r="J3219" s="265"/>
      <c r="K3219" s="265"/>
      <c r="L3219" s="265"/>
      <c r="M3219" s="269"/>
      <c r="N3219" s="270"/>
      <c r="O3219" s="271"/>
      <c r="P3219" s="271"/>
      <c r="Q3219" s="272"/>
      <c r="R3219" s="273"/>
      <c r="S3219" s="273"/>
      <c r="T3219" s="273"/>
      <c r="U3219" s="274"/>
      <c r="V3219" s="263"/>
      <c r="W3219" s="35"/>
      <c r="X3219" s="35"/>
      <c r="Y3219" s="35"/>
      <c r="Z3219" s="35"/>
      <c r="AA3219" s="35"/>
      <c r="AB3219" s="35"/>
      <c r="AC3219" s="35"/>
      <c r="AD3219" s="35"/>
      <c r="AE3219" s="35"/>
      <c r="AF3219" s="35"/>
      <c r="AG3219" s="35"/>
      <c r="AH3219" s="35"/>
      <c r="AI3219" s="35"/>
    </row>
    <row r="3220">
      <c r="A3220" s="263"/>
      <c r="B3220" s="264"/>
      <c r="C3220" s="265"/>
      <c r="D3220" s="265"/>
      <c r="E3220" s="264"/>
      <c r="F3220" s="265"/>
      <c r="G3220" s="265"/>
      <c r="H3220" s="268"/>
      <c r="I3220" s="268"/>
      <c r="J3220" s="265"/>
      <c r="K3220" s="265"/>
      <c r="L3220" s="265"/>
      <c r="M3220" s="269"/>
      <c r="N3220" s="270"/>
      <c r="O3220" s="271"/>
      <c r="P3220" s="271"/>
      <c r="Q3220" s="272"/>
      <c r="R3220" s="273"/>
      <c r="S3220" s="273"/>
      <c r="T3220" s="273"/>
      <c r="U3220" s="274"/>
      <c r="V3220" s="263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</row>
    <row r="3221">
      <c r="A3221" s="263"/>
      <c r="B3221" s="264"/>
      <c r="C3221" s="265"/>
      <c r="D3221" s="265"/>
      <c r="E3221" s="264"/>
      <c r="F3221" s="265"/>
      <c r="G3221" s="265"/>
      <c r="H3221" s="268"/>
      <c r="I3221" s="268"/>
      <c r="J3221" s="265"/>
      <c r="K3221" s="265"/>
      <c r="L3221" s="265"/>
      <c r="M3221" s="269"/>
      <c r="N3221" s="270"/>
      <c r="O3221" s="271"/>
      <c r="P3221" s="271"/>
      <c r="Q3221" s="272"/>
      <c r="R3221" s="273"/>
      <c r="S3221" s="273"/>
      <c r="T3221" s="273"/>
      <c r="U3221" s="274"/>
      <c r="V3221" s="263"/>
      <c r="W3221" s="35"/>
      <c r="X3221" s="35"/>
      <c r="Y3221" s="35"/>
      <c r="Z3221" s="35"/>
      <c r="AA3221" s="35"/>
      <c r="AB3221" s="35"/>
      <c r="AC3221" s="35"/>
      <c r="AD3221" s="35"/>
      <c r="AE3221" s="35"/>
      <c r="AF3221" s="35"/>
      <c r="AG3221" s="35"/>
      <c r="AH3221" s="35"/>
      <c r="AI3221" s="35"/>
    </row>
    <row r="3222">
      <c r="A3222" s="263"/>
      <c r="B3222" s="264"/>
      <c r="C3222" s="265"/>
      <c r="D3222" s="265"/>
      <c r="E3222" s="264"/>
      <c r="F3222" s="265"/>
      <c r="G3222" s="265"/>
      <c r="H3222" s="268"/>
      <c r="I3222" s="268"/>
      <c r="J3222" s="265"/>
      <c r="K3222" s="265"/>
      <c r="L3222" s="265"/>
      <c r="M3222" s="269"/>
      <c r="N3222" s="270"/>
      <c r="O3222" s="271"/>
      <c r="P3222" s="271"/>
      <c r="Q3222" s="272"/>
      <c r="R3222" s="273"/>
      <c r="S3222" s="273"/>
      <c r="T3222" s="273"/>
      <c r="U3222" s="274"/>
      <c r="V3222" s="263"/>
      <c r="W3222" s="188"/>
      <c r="X3222" s="188"/>
      <c r="Y3222" s="188"/>
      <c r="Z3222" s="188"/>
      <c r="AA3222" s="188"/>
      <c r="AB3222" s="188"/>
      <c r="AC3222" s="188"/>
      <c r="AD3222" s="188"/>
      <c r="AE3222" s="188"/>
      <c r="AF3222" s="188"/>
      <c r="AG3222" s="188"/>
      <c r="AH3222" s="188"/>
      <c r="AI3222" s="188"/>
    </row>
    <row r="3223">
      <c r="A3223" s="263"/>
      <c r="B3223" s="264"/>
      <c r="C3223" s="265"/>
      <c r="D3223" s="265"/>
      <c r="E3223" s="264"/>
      <c r="F3223" s="265"/>
      <c r="G3223" s="265"/>
      <c r="H3223" s="268"/>
      <c r="I3223" s="268"/>
      <c r="J3223" s="265"/>
      <c r="K3223" s="265"/>
      <c r="L3223" s="265"/>
      <c r="M3223" s="269"/>
      <c r="N3223" s="270"/>
      <c r="O3223" s="271"/>
      <c r="P3223" s="271"/>
      <c r="Q3223" s="272"/>
      <c r="R3223" s="273"/>
      <c r="S3223" s="273"/>
      <c r="T3223" s="273"/>
      <c r="U3223" s="274"/>
      <c r="V3223" s="263"/>
      <c r="W3223" s="188"/>
      <c r="X3223" s="188"/>
      <c r="Y3223" s="188"/>
      <c r="Z3223" s="188"/>
      <c r="AA3223" s="188"/>
      <c r="AB3223" s="188"/>
      <c r="AC3223" s="188"/>
      <c r="AD3223" s="188"/>
      <c r="AE3223" s="188"/>
      <c r="AF3223" s="188"/>
      <c r="AG3223" s="188"/>
      <c r="AH3223" s="188"/>
      <c r="AI3223" s="188"/>
    </row>
    <row r="3224">
      <c r="A3224" s="263"/>
      <c r="B3224" s="264"/>
      <c r="C3224" s="265"/>
      <c r="D3224" s="265"/>
      <c r="E3224" s="264"/>
      <c r="F3224" s="265"/>
      <c r="G3224" s="265"/>
      <c r="H3224" s="268"/>
      <c r="I3224" s="268"/>
      <c r="J3224" s="265"/>
      <c r="K3224" s="265"/>
      <c r="L3224" s="265"/>
      <c r="M3224" s="269"/>
      <c r="N3224" s="270"/>
      <c r="O3224" s="271"/>
      <c r="P3224" s="271"/>
      <c r="Q3224" s="272"/>
      <c r="R3224" s="273"/>
      <c r="S3224" s="273"/>
      <c r="T3224" s="273"/>
      <c r="U3224" s="274"/>
      <c r="V3224" s="263"/>
      <c r="W3224" s="35"/>
      <c r="X3224" s="35"/>
      <c r="Y3224" s="35"/>
      <c r="Z3224" s="35"/>
      <c r="AA3224" s="35"/>
      <c r="AB3224" s="35"/>
      <c r="AC3224" s="35"/>
      <c r="AD3224" s="35"/>
      <c r="AE3224" s="35"/>
      <c r="AF3224" s="35"/>
      <c r="AG3224" s="35"/>
      <c r="AH3224" s="35"/>
      <c r="AI3224" s="35"/>
    </row>
    <row r="3225">
      <c r="A3225" s="263"/>
      <c r="B3225" s="264"/>
      <c r="C3225" s="265"/>
      <c r="D3225" s="265"/>
      <c r="E3225" s="264"/>
      <c r="F3225" s="265"/>
      <c r="G3225" s="265"/>
      <c r="H3225" s="268"/>
      <c r="I3225" s="268"/>
      <c r="J3225" s="265"/>
      <c r="K3225" s="265"/>
      <c r="L3225" s="265"/>
      <c r="M3225" s="269"/>
      <c r="N3225" s="270"/>
      <c r="O3225" s="271"/>
      <c r="P3225" s="271"/>
      <c r="Q3225" s="272"/>
      <c r="R3225" s="273"/>
      <c r="S3225" s="273"/>
      <c r="T3225" s="273"/>
      <c r="U3225" s="274"/>
      <c r="V3225" s="263"/>
      <c r="W3225" s="188"/>
      <c r="X3225" s="188"/>
      <c r="Y3225" s="188"/>
      <c r="Z3225" s="188"/>
      <c r="AA3225" s="188"/>
      <c r="AB3225" s="188"/>
      <c r="AC3225" s="188"/>
      <c r="AD3225" s="188"/>
      <c r="AE3225" s="188"/>
      <c r="AF3225" s="188"/>
      <c r="AG3225" s="188"/>
      <c r="AH3225" s="188"/>
      <c r="AI3225" s="188"/>
    </row>
    <row r="3226">
      <c r="A3226" s="263"/>
      <c r="B3226" s="264"/>
      <c r="C3226" s="265"/>
      <c r="D3226" s="265"/>
      <c r="E3226" s="264"/>
      <c r="F3226" s="265"/>
      <c r="G3226" s="265"/>
      <c r="H3226" s="268"/>
      <c r="I3226" s="268"/>
      <c r="J3226" s="265"/>
      <c r="K3226" s="265"/>
      <c r="L3226" s="265"/>
      <c r="M3226" s="269"/>
      <c r="N3226" s="270"/>
      <c r="O3226" s="271"/>
      <c r="P3226" s="271"/>
      <c r="Q3226" s="272"/>
      <c r="R3226" s="273"/>
      <c r="S3226" s="273"/>
      <c r="T3226" s="273"/>
      <c r="U3226" s="274"/>
      <c r="V3226" s="263"/>
      <c r="W3226" s="35"/>
      <c r="X3226" s="35"/>
      <c r="Y3226" s="35"/>
      <c r="Z3226" s="35"/>
      <c r="AA3226" s="35"/>
      <c r="AB3226" s="35"/>
      <c r="AC3226" s="35"/>
      <c r="AD3226" s="35"/>
      <c r="AE3226" s="35"/>
      <c r="AF3226" s="35"/>
      <c r="AG3226" s="35"/>
      <c r="AH3226" s="35"/>
      <c r="AI3226" s="35"/>
    </row>
    <row r="3227">
      <c r="A3227" s="263"/>
      <c r="B3227" s="264"/>
      <c r="C3227" s="265"/>
      <c r="D3227" s="265"/>
      <c r="E3227" s="264"/>
      <c r="F3227" s="265"/>
      <c r="G3227" s="265"/>
      <c r="H3227" s="268"/>
      <c r="I3227" s="268"/>
      <c r="J3227" s="265"/>
      <c r="K3227" s="265"/>
      <c r="L3227" s="265"/>
      <c r="M3227" s="269"/>
      <c r="N3227" s="270"/>
      <c r="O3227" s="271"/>
      <c r="P3227" s="271"/>
      <c r="Q3227" s="272"/>
      <c r="R3227" s="273"/>
      <c r="S3227" s="273"/>
      <c r="T3227" s="273"/>
      <c r="U3227" s="274"/>
      <c r="V3227" s="263"/>
      <c r="W3227" s="35"/>
      <c r="X3227" s="35"/>
      <c r="Y3227" s="35"/>
      <c r="Z3227" s="35"/>
      <c r="AA3227" s="35"/>
      <c r="AB3227" s="35"/>
      <c r="AC3227" s="35"/>
      <c r="AD3227" s="35"/>
      <c r="AE3227" s="35"/>
      <c r="AF3227" s="35"/>
      <c r="AG3227" s="35"/>
      <c r="AH3227" s="35"/>
      <c r="AI3227" s="35"/>
    </row>
    <row r="3228">
      <c r="A3228" s="263"/>
      <c r="B3228" s="264"/>
      <c r="C3228" s="265"/>
      <c r="D3228" s="265"/>
      <c r="E3228" s="264"/>
      <c r="F3228" s="265"/>
      <c r="G3228" s="265"/>
      <c r="H3228" s="268"/>
      <c r="I3228" s="268"/>
      <c r="J3228" s="265"/>
      <c r="K3228" s="265"/>
      <c r="L3228" s="265"/>
      <c r="M3228" s="269"/>
      <c r="N3228" s="270"/>
      <c r="O3228" s="271"/>
      <c r="P3228" s="271"/>
      <c r="Q3228" s="272"/>
      <c r="R3228" s="273"/>
      <c r="S3228" s="273"/>
      <c r="T3228" s="273"/>
      <c r="U3228" s="274"/>
      <c r="V3228" s="263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</row>
    <row r="3229">
      <c r="A3229" s="263"/>
      <c r="B3229" s="264"/>
      <c r="C3229" s="265"/>
      <c r="D3229" s="265"/>
      <c r="E3229" s="264"/>
      <c r="F3229" s="265"/>
      <c r="G3229" s="265"/>
      <c r="H3229" s="268"/>
      <c r="I3229" s="268"/>
      <c r="J3229" s="265"/>
      <c r="K3229" s="265"/>
      <c r="L3229" s="265"/>
      <c r="M3229" s="269"/>
      <c r="N3229" s="270"/>
      <c r="O3229" s="271"/>
      <c r="P3229" s="271"/>
      <c r="Q3229" s="272"/>
      <c r="R3229" s="273"/>
      <c r="S3229" s="273"/>
      <c r="T3229" s="273"/>
      <c r="U3229" s="274"/>
      <c r="V3229" s="263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</row>
    <row r="3230">
      <c r="A3230" s="263"/>
      <c r="B3230" s="264"/>
      <c r="C3230" s="265"/>
      <c r="D3230" s="265"/>
      <c r="E3230" s="264"/>
      <c r="F3230" s="265"/>
      <c r="G3230" s="265"/>
      <c r="H3230" s="268"/>
      <c r="I3230" s="268"/>
      <c r="J3230" s="265"/>
      <c r="K3230" s="265"/>
      <c r="L3230" s="265"/>
      <c r="M3230" s="269"/>
      <c r="N3230" s="270"/>
      <c r="O3230" s="271"/>
      <c r="P3230" s="271"/>
      <c r="Q3230" s="272"/>
      <c r="R3230" s="273"/>
      <c r="S3230" s="273"/>
      <c r="T3230" s="273"/>
      <c r="U3230" s="274"/>
      <c r="V3230" s="263"/>
      <c r="W3230" s="188"/>
      <c r="X3230" s="188"/>
      <c r="Y3230" s="188"/>
      <c r="Z3230" s="188"/>
      <c r="AA3230" s="188"/>
      <c r="AB3230" s="188"/>
      <c r="AC3230" s="188"/>
      <c r="AD3230" s="188"/>
      <c r="AE3230" s="188"/>
      <c r="AF3230" s="188"/>
      <c r="AG3230" s="188"/>
      <c r="AH3230" s="188"/>
      <c r="AI3230" s="188"/>
    </row>
    <row r="3231">
      <c r="A3231" s="263"/>
      <c r="B3231" s="264"/>
      <c r="C3231" s="265"/>
      <c r="D3231" s="265"/>
      <c r="E3231" s="264"/>
      <c r="F3231" s="265"/>
      <c r="G3231" s="265"/>
      <c r="H3231" s="268"/>
      <c r="I3231" s="268"/>
      <c r="J3231" s="265"/>
      <c r="K3231" s="265"/>
      <c r="L3231" s="265"/>
      <c r="M3231" s="269"/>
      <c r="N3231" s="270"/>
      <c r="O3231" s="271"/>
      <c r="P3231" s="271"/>
      <c r="Q3231" s="272"/>
      <c r="R3231" s="273"/>
      <c r="S3231" s="273"/>
      <c r="T3231" s="273"/>
      <c r="U3231" s="274"/>
      <c r="V3231" s="263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</row>
    <row r="3232">
      <c r="A3232" s="263"/>
      <c r="B3232" s="264"/>
      <c r="C3232" s="265"/>
      <c r="D3232" s="265"/>
      <c r="E3232" s="264"/>
      <c r="F3232" s="265"/>
      <c r="G3232" s="265"/>
      <c r="H3232" s="268"/>
      <c r="I3232" s="268"/>
      <c r="J3232" s="265"/>
      <c r="K3232" s="265"/>
      <c r="L3232" s="265"/>
      <c r="M3232" s="269"/>
      <c r="N3232" s="270"/>
      <c r="O3232" s="271"/>
      <c r="P3232" s="271"/>
      <c r="Q3232" s="272"/>
      <c r="R3232" s="273"/>
      <c r="S3232" s="273"/>
      <c r="T3232" s="273"/>
      <c r="U3232" s="274"/>
      <c r="V3232" s="263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</row>
    <row r="3233">
      <c r="A3233" s="263"/>
      <c r="B3233" s="264"/>
      <c r="C3233" s="265"/>
      <c r="D3233" s="265"/>
      <c r="E3233" s="264"/>
      <c r="F3233" s="265"/>
      <c r="G3233" s="265"/>
      <c r="H3233" s="268"/>
      <c r="I3233" s="268"/>
      <c r="J3233" s="265"/>
      <c r="K3233" s="265"/>
      <c r="L3233" s="265"/>
      <c r="M3233" s="269"/>
      <c r="N3233" s="270"/>
      <c r="O3233" s="271"/>
      <c r="P3233" s="271"/>
      <c r="Q3233" s="272"/>
      <c r="R3233" s="273"/>
      <c r="S3233" s="273"/>
      <c r="T3233" s="273"/>
      <c r="U3233" s="274"/>
      <c r="V3233" s="263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</row>
    <row r="3234">
      <c r="A3234" s="263"/>
      <c r="B3234" s="264"/>
      <c r="C3234" s="265"/>
      <c r="D3234" s="265"/>
      <c r="E3234" s="264"/>
      <c r="F3234" s="265"/>
      <c r="G3234" s="265"/>
      <c r="H3234" s="268"/>
      <c r="I3234" s="268"/>
      <c r="J3234" s="265"/>
      <c r="K3234" s="265"/>
      <c r="L3234" s="265"/>
      <c r="M3234" s="269"/>
      <c r="N3234" s="270"/>
      <c r="O3234" s="271"/>
      <c r="P3234" s="271"/>
      <c r="Q3234" s="272"/>
      <c r="R3234" s="273"/>
      <c r="S3234" s="273"/>
      <c r="T3234" s="273"/>
      <c r="U3234" s="274"/>
      <c r="V3234" s="263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</row>
    <row r="3235">
      <c r="A3235" s="263"/>
      <c r="B3235" s="264"/>
      <c r="C3235" s="265"/>
      <c r="D3235" s="265"/>
      <c r="E3235" s="264"/>
      <c r="F3235" s="265"/>
      <c r="G3235" s="265"/>
      <c r="H3235" s="268"/>
      <c r="I3235" s="268"/>
      <c r="J3235" s="265"/>
      <c r="K3235" s="265"/>
      <c r="L3235" s="265"/>
      <c r="M3235" s="269"/>
      <c r="N3235" s="270"/>
      <c r="O3235" s="271"/>
      <c r="P3235" s="271"/>
      <c r="Q3235" s="272"/>
      <c r="R3235" s="273"/>
      <c r="S3235" s="273"/>
      <c r="T3235" s="273"/>
      <c r="U3235" s="274"/>
      <c r="V3235" s="263"/>
      <c r="W3235" s="188"/>
      <c r="X3235" s="188"/>
      <c r="Y3235" s="188"/>
      <c r="Z3235" s="188"/>
      <c r="AA3235" s="188"/>
      <c r="AB3235" s="188"/>
      <c r="AC3235" s="188"/>
      <c r="AD3235" s="188"/>
      <c r="AE3235" s="188"/>
      <c r="AF3235" s="188"/>
      <c r="AG3235" s="188"/>
      <c r="AH3235" s="188"/>
      <c r="AI3235" s="188"/>
    </row>
    <row r="3236">
      <c r="A3236" s="263"/>
      <c r="B3236" s="264"/>
      <c r="C3236" s="265"/>
      <c r="D3236" s="265"/>
      <c r="E3236" s="264"/>
      <c r="F3236" s="265"/>
      <c r="G3236" s="265"/>
      <c r="H3236" s="268"/>
      <c r="I3236" s="268"/>
      <c r="J3236" s="265"/>
      <c r="K3236" s="265"/>
      <c r="L3236" s="265"/>
      <c r="M3236" s="269"/>
      <c r="N3236" s="270"/>
      <c r="O3236" s="271"/>
      <c r="P3236" s="271"/>
      <c r="Q3236" s="272"/>
      <c r="R3236" s="273"/>
      <c r="S3236" s="273"/>
      <c r="T3236" s="273"/>
      <c r="U3236" s="274"/>
      <c r="V3236" s="263"/>
      <c r="W3236" s="188"/>
      <c r="X3236" s="188"/>
      <c r="Y3236" s="188"/>
      <c r="Z3236" s="188"/>
      <c r="AA3236" s="188"/>
      <c r="AB3236" s="188"/>
      <c r="AC3236" s="188"/>
      <c r="AD3236" s="188"/>
      <c r="AE3236" s="188"/>
      <c r="AF3236" s="188"/>
      <c r="AG3236" s="188"/>
      <c r="AH3236" s="188"/>
      <c r="AI3236" s="188"/>
    </row>
    <row r="3237">
      <c r="A3237" s="263"/>
      <c r="B3237" s="264"/>
      <c r="C3237" s="265"/>
      <c r="D3237" s="265"/>
      <c r="E3237" s="264"/>
      <c r="F3237" s="265"/>
      <c r="G3237" s="265"/>
      <c r="H3237" s="268"/>
      <c r="I3237" s="268"/>
      <c r="J3237" s="265"/>
      <c r="K3237" s="265"/>
      <c r="L3237" s="265"/>
      <c r="M3237" s="269"/>
      <c r="N3237" s="270"/>
      <c r="O3237" s="271"/>
      <c r="P3237" s="271"/>
      <c r="Q3237" s="272"/>
      <c r="R3237" s="273"/>
      <c r="S3237" s="273"/>
      <c r="T3237" s="273"/>
      <c r="U3237" s="274"/>
      <c r="V3237" s="263"/>
      <c r="W3237" s="188"/>
      <c r="X3237" s="188"/>
      <c r="Y3237" s="188"/>
      <c r="Z3237" s="188"/>
      <c r="AA3237" s="188"/>
      <c r="AB3237" s="188"/>
      <c r="AC3237" s="188"/>
      <c r="AD3237" s="188"/>
      <c r="AE3237" s="188"/>
      <c r="AF3237" s="188"/>
      <c r="AG3237" s="188"/>
      <c r="AH3237" s="188"/>
      <c r="AI3237" s="188"/>
    </row>
    <row r="3238">
      <c r="A3238" s="263"/>
      <c r="B3238" s="264"/>
      <c r="C3238" s="265"/>
      <c r="D3238" s="265"/>
      <c r="E3238" s="264"/>
      <c r="F3238" s="265"/>
      <c r="G3238" s="265"/>
      <c r="H3238" s="268"/>
      <c r="I3238" s="268"/>
      <c r="J3238" s="265"/>
      <c r="K3238" s="265"/>
      <c r="L3238" s="265"/>
      <c r="M3238" s="269"/>
      <c r="N3238" s="270"/>
      <c r="O3238" s="271"/>
      <c r="P3238" s="271"/>
      <c r="Q3238" s="272"/>
      <c r="R3238" s="273"/>
      <c r="S3238" s="273"/>
      <c r="T3238" s="273"/>
      <c r="U3238" s="274"/>
      <c r="V3238" s="263"/>
      <c r="W3238" s="188"/>
      <c r="X3238" s="188"/>
      <c r="Y3238" s="188"/>
      <c r="Z3238" s="188"/>
      <c r="AA3238" s="188"/>
      <c r="AB3238" s="188"/>
      <c r="AC3238" s="188"/>
      <c r="AD3238" s="188"/>
      <c r="AE3238" s="188"/>
      <c r="AF3238" s="188"/>
      <c r="AG3238" s="188"/>
      <c r="AH3238" s="188"/>
      <c r="AI3238" s="188"/>
    </row>
    <row r="3239">
      <c r="A3239" s="263"/>
      <c r="B3239" s="264"/>
      <c r="C3239" s="265"/>
      <c r="D3239" s="265"/>
      <c r="E3239" s="264"/>
      <c r="F3239" s="265"/>
      <c r="G3239" s="265"/>
      <c r="H3239" s="268"/>
      <c r="I3239" s="268"/>
      <c r="J3239" s="265"/>
      <c r="K3239" s="265"/>
      <c r="L3239" s="265"/>
      <c r="M3239" s="269"/>
      <c r="N3239" s="270"/>
      <c r="O3239" s="271"/>
      <c r="P3239" s="271"/>
      <c r="Q3239" s="272"/>
      <c r="R3239" s="273"/>
      <c r="S3239" s="273"/>
      <c r="T3239" s="273"/>
      <c r="U3239" s="274"/>
      <c r="V3239" s="263"/>
      <c r="W3239" s="188"/>
      <c r="X3239" s="188"/>
      <c r="Y3239" s="188"/>
      <c r="Z3239" s="188"/>
      <c r="AA3239" s="188"/>
      <c r="AB3239" s="188"/>
      <c r="AC3239" s="188"/>
      <c r="AD3239" s="188"/>
      <c r="AE3239" s="188"/>
      <c r="AF3239" s="188"/>
      <c r="AG3239" s="188"/>
      <c r="AH3239" s="188"/>
      <c r="AI3239" s="188"/>
    </row>
    <row r="3240">
      <c r="A3240" s="263"/>
      <c r="B3240" s="264"/>
      <c r="C3240" s="265"/>
      <c r="D3240" s="265"/>
      <c r="E3240" s="264"/>
      <c r="F3240" s="265"/>
      <c r="G3240" s="265"/>
      <c r="H3240" s="268"/>
      <c r="I3240" s="268"/>
      <c r="J3240" s="265"/>
      <c r="K3240" s="265"/>
      <c r="L3240" s="265"/>
      <c r="M3240" s="269"/>
      <c r="N3240" s="270"/>
      <c r="O3240" s="271"/>
      <c r="P3240" s="271"/>
      <c r="Q3240" s="272"/>
      <c r="R3240" s="273"/>
      <c r="S3240" s="273"/>
      <c r="T3240" s="273"/>
      <c r="U3240" s="274"/>
      <c r="V3240" s="263"/>
      <c r="W3240" s="35"/>
      <c r="X3240" s="35"/>
      <c r="Y3240" s="35"/>
      <c r="Z3240" s="35"/>
      <c r="AA3240" s="35"/>
      <c r="AB3240" s="35"/>
      <c r="AC3240" s="35"/>
      <c r="AD3240" s="35"/>
      <c r="AE3240" s="35"/>
      <c r="AF3240" s="35"/>
      <c r="AG3240" s="35"/>
      <c r="AH3240" s="35"/>
      <c r="AI3240" s="35"/>
    </row>
    <row r="3241">
      <c r="A3241" s="263"/>
      <c r="B3241" s="264"/>
      <c r="C3241" s="265"/>
      <c r="D3241" s="265"/>
      <c r="E3241" s="264"/>
      <c r="F3241" s="265"/>
      <c r="G3241" s="265"/>
      <c r="H3241" s="268"/>
      <c r="I3241" s="268"/>
      <c r="J3241" s="265"/>
      <c r="K3241" s="265"/>
      <c r="L3241" s="265"/>
      <c r="M3241" s="269"/>
      <c r="N3241" s="270"/>
      <c r="O3241" s="271"/>
      <c r="P3241" s="271"/>
      <c r="Q3241" s="272"/>
      <c r="R3241" s="273"/>
      <c r="S3241" s="273"/>
      <c r="T3241" s="273"/>
      <c r="U3241" s="274"/>
      <c r="V3241" s="263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</row>
    <row r="3242">
      <c r="A3242" s="263"/>
      <c r="B3242" s="264"/>
      <c r="C3242" s="265"/>
      <c r="D3242" s="265"/>
      <c r="E3242" s="264"/>
      <c r="F3242" s="265"/>
      <c r="G3242" s="265"/>
      <c r="H3242" s="268"/>
      <c r="I3242" s="268"/>
      <c r="J3242" s="265"/>
      <c r="K3242" s="265"/>
      <c r="L3242" s="265"/>
      <c r="M3242" s="269"/>
      <c r="N3242" s="270"/>
      <c r="O3242" s="271"/>
      <c r="P3242" s="271"/>
      <c r="Q3242" s="272"/>
      <c r="R3242" s="273"/>
      <c r="S3242" s="273"/>
      <c r="T3242" s="273"/>
      <c r="U3242" s="274"/>
      <c r="V3242" s="263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</row>
    <row r="3243">
      <c r="A3243" s="263"/>
      <c r="B3243" s="264"/>
      <c r="C3243" s="265"/>
      <c r="D3243" s="265"/>
      <c r="E3243" s="264"/>
      <c r="F3243" s="265"/>
      <c r="G3243" s="265"/>
      <c r="H3243" s="268"/>
      <c r="I3243" s="268"/>
      <c r="J3243" s="265"/>
      <c r="K3243" s="265"/>
      <c r="L3243" s="265"/>
      <c r="M3243" s="269"/>
      <c r="N3243" s="270"/>
      <c r="O3243" s="271"/>
      <c r="P3243" s="271"/>
      <c r="Q3243" s="272"/>
      <c r="R3243" s="273"/>
      <c r="S3243" s="273"/>
      <c r="T3243" s="273"/>
      <c r="U3243" s="274"/>
      <c r="V3243" s="263"/>
      <c r="W3243" s="188"/>
      <c r="X3243" s="188"/>
      <c r="Y3243" s="188"/>
      <c r="Z3243" s="188"/>
      <c r="AA3243" s="188"/>
      <c r="AB3243" s="188"/>
      <c r="AC3243" s="188"/>
      <c r="AD3243" s="188"/>
      <c r="AE3243" s="188"/>
      <c r="AF3243" s="188"/>
      <c r="AG3243" s="188"/>
      <c r="AH3243" s="188"/>
      <c r="AI3243" s="188"/>
    </row>
    <row r="3244">
      <c r="A3244" s="263"/>
      <c r="B3244" s="264"/>
      <c r="C3244" s="265"/>
      <c r="D3244" s="265"/>
      <c r="E3244" s="264"/>
      <c r="F3244" s="265"/>
      <c r="G3244" s="265"/>
      <c r="H3244" s="268"/>
      <c r="I3244" s="268"/>
      <c r="J3244" s="265"/>
      <c r="K3244" s="265"/>
      <c r="L3244" s="265"/>
      <c r="M3244" s="269"/>
      <c r="N3244" s="270"/>
      <c r="O3244" s="271"/>
      <c r="P3244" s="271"/>
      <c r="Q3244" s="272"/>
      <c r="R3244" s="273"/>
      <c r="S3244" s="273"/>
      <c r="T3244" s="273"/>
      <c r="U3244" s="274"/>
      <c r="V3244" s="263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</row>
    <row r="3245">
      <c r="A3245" s="263"/>
      <c r="B3245" s="264"/>
      <c r="C3245" s="265"/>
      <c r="D3245" s="265"/>
      <c r="E3245" s="264"/>
      <c r="F3245" s="265"/>
      <c r="G3245" s="265"/>
      <c r="H3245" s="268"/>
      <c r="I3245" s="268"/>
      <c r="J3245" s="265"/>
      <c r="K3245" s="265"/>
      <c r="L3245" s="265"/>
      <c r="M3245" s="269"/>
      <c r="N3245" s="270"/>
      <c r="O3245" s="271"/>
      <c r="P3245" s="271"/>
      <c r="Q3245" s="272"/>
      <c r="R3245" s="273"/>
      <c r="S3245" s="273"/>
      <c r="T3245" s="273"/>
      <c r="U3245" s="274"/>
      <c r="V3245" s="263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</row>
    <row r="3246">
      <c r="A3246" s="263"/>
      <c r="B3246" s="264"/>
      <c r="C3246" s="265"/>
      <c r="D3246" s="265"/>
      <c r="E3246" s="264"/>
      <c r="F3246" s="265"/>
      <c r="G3246" s="265"/>
      <c r="H3246" s="268"/>
      <c r="I3246" s="268"/>
      <c r="J3246" s="265"/>
      <c r="K3246" s="265"/>
      <c r="L3246" s="265"/>
      <c r="M3246" s="269"/>
      <c r="N3246" s="270"/>
      <c r="O3246" s="271"/>
      <c r="P3246" s="271"/>
      <c r="Q3246" s="272"/>
      <c r="R3246" s="273"/>
      <c r="S3246" s="273"/>
      <c r="T3246" s="273"/>
      <c r="U3246" s="274"/>
      <c r="V3246" s="263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</row>
    <row r="3247">
      <c r="A3247" s="263"/>
      <c r="B3247" s="264"/>
      <c r="C3247" s="265"/>
      <c r="D3247" s="265"/>
      <c r="E3247" s="264"/>
      <c r="F3247" s="265"/>
      <c r="G3247" s="265"/>
      <c r="H3247" s="268"/>
      <c r="I3247" s="268"/>
      <c r="J3247" s="265"/>
      <c r="K3247" s="265"/>
      <c r="L3247" s="265"/>
      <c r="M3247" s="269"/>
      <c r="N3247" s="270"/>
      <c r="O3247" s="271"/>
      <c r="P3247" s="271"/>
      <c r="Q3247" s="272"/>
      <c r="R3247" s="273"/>
      <c r="S3247" s="273"/>
      <c r="T3247" s="273"/>
      <c r="U3247" s="274"/>
      <c r="V3247" s="263"/>
      <c r="W3247" s="188"/>
      <c r="X3247" s="188"/>
      <c r="Y3247" s="188"/>
      <c r="Z3247" s="188"/>
      <c r="AA3247" s="188"/>
      <c r="AB3247" s="188"/>
      <c r="AC3247" s="188"/>
      <c r="AD3247" s="188"/>
      <c r="AE3247" s="188"/>
      <c r="AF3247" s="188"/>
      <c r="AG3247" s="188"/>
      <c r="AH3247" s="188"/>
      <c r="AI3247" s="188"/>
    </row>
    <row r="3248">
      <c r="A3248" s="263"/>
      <c r="B3248" s="264"/>
      <c r="C3248" s="265"/>
      <c r="D3248" s="265"/>
      <c r="E3248" s="264"/>
      <c r="F3248" s="265"/>
      <c r="G3248" s="265"/>
      <c r="H3248" s="268"/>
      <c r="I3248" s="268"/>
      <c r="J3248" s="265"/>
      <c r="K3248" s="265"/>
      <c r="L3248" s="265"/>
      <c r="M3248" s="269"/>
      <c r="N3248" s="270"/>
      <c r="O3248" s="271"/>
      <c r="P3248" s="271"/>
      <c r="Q3248" s="272"/>
      <c r="R3248" s="273"/>
      <c r="S3248" s="273"/>
      <c r="T3248" s="273"/>
      <c r="U3248" s="274"/>
      <c r="V3248" s="263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</row>
    <row r="3249">
      <c r="A3249" s="263"/>
      <c r="B3249" s="264"/>
      <c r="C3249" s="265"/>
      <c r="D3249" s="265"/>
      <c r="E3249" s="264"/>
      <c r="F3249" s="265"/>
      <c r="G3249" s="265"/>
      <c r="H3249" s="268"/>
      <c r="I3249" s="268"/>
      <c r="J3249" s="265"/>
      <c r="K3249" s="265"/>
      <c r="L3249" s="265"/>
      <c r="M3249" s="269"/>
      <c r="N3249" s="270"/>
      <c r="O3249" s="271"/>
      <c r="P3249" s="271"/>
      <c r="Q3249" s="272"/>
      <c r="R3249" s="273"/>
      <c r="S3249" s="273"/>
      <c r="T3249" s="273"/>
      <c r="U3249" s="274"/>
      <c r="V3249" s="263"/>
      <c r="W3249" s="35"/>
      <c r="X3249" s="35"/>
      <c r="Y3249" s="35"/>
      <c r="Z3249" s="35"/>
      <c r="AA3249" s="35"/>
      <c r="AB3249" s="35"/>
      <c r="AC3249" s="35"/>
      <c r="AD3249" s="35"/>
      <c r="AE3249" s="35"/>
      <c r="AF3249" s="35"/>
      <c r="AG3249" s="35"/>
      <c r="AH3249" s="35"/>
      <c r="AI3249" s="35"/>
    </row>
    <row r="3250">
      <c r="A3250" s="263"/>
      <c r="B3250" s="264"/>
      <c r="C3250" s="265"/>
      <c r="D3250" s="265"/>
      <c r="E3250" s="264"/>
      <c r="F3250" s="265"/>
      <c r="G3250" s="265"/>
      <c r="H3250" s="268"/>
      <c r="I3250" s="268"/>
      <c r="J3250" s="265"/>
      <c r="K3250" s="265"/>
      <c r="L3250" s="265"/>
      <c r="M3250" s="269"/>
      <c r="N3250" s="270"/>
      <c r="O3250" s="271"/>
      <c r="P3250" s="271"/>
      <c r="Q3250" s="272"/>
      <c r="R3250" s="273"/>
      <c r="S3250" s="273"/>
      <c r="T3250" s="273"/>
      <c r="U3250" s="274"/>
      <c r="V3250" s="263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</row>
    <row r="3251">
      <c r="A3251" s="263"/>
      <c r="B3251" s="264"/>
      <c r="C3251" s="265"/>
      <c r="D3251" s="265"/>
      <c r="E3251" s="264"/>
      <c r="F3251" s="265"/>
      <c r="G3251" s="265"/>
      <c r="H3251" s="268"/>
      <c r="I3251" s="268"/>
      <c r="J3251" s="265"/>
      <c r="K3251" s="265"/>
      <c r="L3251" s="265"/>
      <c r="M3251" s="269"/>
      <c r="N3251" s="270"/>
      <c r="O3251" s="271"/>
      <c r="P3251" s="271"/>
      <c r="Q3251" s="272"/>
      <c r="R3251" s="273"/>
      <c r="S3251" s="273"/>
      <c r="T3251" s="273"/>
      <c r="U3251" s="274"/>
      <c r="V3251" s="263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</row>
    <row r="3252">
      <c r="A3252" s="263"/>
      <c r="B3252" s="264"/>
      <c r="C3252" s="265"/>
      <c r="D3252" s="265"/>
      <c r="E3252" s="264"/>
      <c r="F3252" s="265"/>
      <c r="G3252" s="265"/>
      <c r="H3252" s="268"/>
      <c r="I3252" s="268"/>
      <c r="J3252" s="265"/>
      <c r="K3252" s="265"/>
      <c r="L3252" s="265"/>
      <c r="M3252" s="269"/>
      <c r="N3252" s="270"/>
      <c r="O3252" s="271"/>
      <c r="P3252" s="271"/>
      <c r="Q3252" s="272"/>
      <c r="R3252" s="273"/>
      <c r="S3252" s="273"/>
      <c r="T3252" s="273"/>
      <c r="U3252" s="274"/>
      <c r="V3252" s="263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</row>
    <row r="3253">
      <c r="A3253" s="263"/>
      <c r="B3253" s="264"/>
      <c r="C3253" s="265"/>
      <c r="D3253" s="265"/>
      <c r="E3253" s="264"/>
      <c r="F3253" s="265"/>
      <c r="G3253" s="265"/>
      <c r="H3253" s="268"/>
      <c r="I3253" s="268"/>
      <c r="J3253" s="265"/>
      <c r="K3253" s="265"/>
      <c r="L3253" s="265"/>
      <c r="M3253" s="269"/>
      <c r="N3253" s="270"/>
      <c r="O3253" s="271"/>
      <c r="P3253" s="271"/>
      <c r="Q3253" s="272"/>
      <c r="R3253" s="273"/>
      <c r="S3253" s="273"/>
      <c r="T3253" s="273"/>
      <c r="U3253" s="274"/>
      <c r="V3253" s="263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</row>
    <row r="3254">
      <c r="A3254" s="263"/>
      <c r="B3254" s="264"/>
      <c r="C3254" s="265"/>
      <c r="D3254" s="265"/>
      <c r="E3254" s="264"/>
      <c r="F3254" s="265"/>
      <c r="G3254" s="265"/>
      <c r="H3254" s="268"/>
      <c r="I3254" s="268"/>
      <c r="J3254" s="265"/>
      <c r="K3254" s="265"/>
      <c r="L3254" s="265"/>
      <c r="M3254" s="269"/>
      <c r="N3254" s="270"/>
      <c r="O3254" s="271"/>
      <c r="P3254" s="271"/>
      <c r="Q3254" s="272"/>
      <c r="R3254" s="273"/>
      <c r="S3254" s="273"/>
      <c r="T3254" s="273"/>
      <c r="U3254" s="274"/>
      <c r="V3254" s="263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</row>
    <row r="3255">
      <c r="A3255" s="263"/>
      <c r="B3255" s="264"/>
      <c r="C3255" s="265"/>
      <c r="D3255" s="265"/>
      <c r="E3255" s="264"/>
      <c r="F3255" s="265"/>
      <c r="G3255" s="265"/>
      <c r="H3255" s="268"/>
      <c r="I3255" s="268"/>
      <c r="J3255" s="265"/>
      <c r="K3255" s="265"/>
      <c r="L3255" s="265"/>
      <c r="M3255" s="269"/>
      <c r="N3255" s="270"/>
      <c r="O3255" s="271"/>
      <c r="P3255" s="271"/>
      <c r="Q3255" s="272"/>
      <c r="R3255" s="273"/>
      <c r="S3255" s="273"/>
      <c r="T3255" s="273"/>
      <c r="U3255" s="274"/>
      <c r="V3255" s="263"/>
      <c r="W3255" s="188"/>
      <c r="X3255" s="188"/>
      <c r="Y3255" s="188"/>
      <c r="Z3255" s="188"/>
      <c r="AA3255" s="188"/>
      <c r="AB3255" s="188"/>
      <c r="AC3255" s="188"/>
      <c r="AD3255" s="188"/>
      <c r="AE3255" s="188"/>
      <c r="AF3255" s="188"/>
      <c r="AG3255" s="188"/>
      <c r="AH3255" s="188"/>
      <c r="AI3255" s="188"/>
    </row>
    <row r="3256">
      <c r="A3256" s="263"/>
      <c r="B3256" s="264"/>
      <c r="C3256" s="265"/>
      <c r="D3256" s="265"/>
      <c r="E3256" s="264"/>
      <c r="F3256" s="265"/>
      <c r="G3256" s="265"/>
      <c r="H3256" s="268"/>
      <c r="I3256" s="268"/>
      <c r="J3256" s="265"/>
      <c r="K3256" s="265"/>
      <c r="L3256" s="265"/>
      <c r="M3256" s="269"/>
      <c r="N3256" s="270"/>
      <c r="O3256" s="271"/>
      <c r="P3256" s="271"/>
      <c r="Q3256" s="272"/>
      <c r="R3256" s="273"/>
      <c r="S3256" s="273"/>
      <c r="T3256" s="273"/>
      <c r="U3256" s="274"/>
      <c r="V3256" s="263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</row>
    <row r="3257">
      <c r="A3257" s="263"/>
      <c r="B3257" s="264"/>
      <c r="C3257" s="265"/>
      <c r="D3257" s="265"/>
      <c r="E3257" s="264"/>
      <c r="F3257" s="265"/>
      <c r="G3257" s="265"/>
      <c r="H3257" s="268"/>
      <c r="I3257" s="268"/>
      <c r="J3257" s="265"/>
      <c r="K3257" s="265"/>
      <c r="L3257" s="265"/>
      <c r="M3257" s="269"/>
      <c r="N3257" s="270"/>
      <c r="O3257" s="271"/>
      <c r="P3257" s="271"/>
      <c r="Q3257" s="272"/>
      <c r="R3257" s="273"/>
      <c r="S3257" s="273"/>
      <c r="T3257" s="273"/>
      <c r="U3257" s="274"/>
      <c r="V3257" s="263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</row>
    <row r="3258">
      <c r="A3258" s="263"/>
      <c r="B3258" s="264"/>
      <c r="C3258" s="265"/>
      <c r="D3258" s="265"/>
      <c r="E3258" s="264"/>
      <c r="F3258" s="265"/>
      <c r="G3258" s="265"/>
      <c r="H3258" s="268"/>
      <c r="I3258" s="268"/>
      <c r="J3258" s="265"/>
      <c r="K3258" s="265"/>
      <c r="L3258" s="265"/>
      <c r="M3258" s="269"/>
      <c r="N3258" s="270"/>
      <c r="O3258" s="271"/>
      <c r="P3258" s="271"/>
      <c r="Q3258" s="272"/>
      <c r="R3258" s="273"/>
      <c r="S3258" s="273"/>
      <c r="T3258" s="273"/>
      <c r="U3258" s="274"/>
      <c r="V3258" s="263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</row>
    <row r="3259">
      <c r="A3259" s="263"/>
      <c r="B3259" s="264"/>
      <c r="C3259" s="265"/>
      <c r="D3259" s="265"/>
      <c r="E3259" s="264"/>
      <c r="F3259" s="265"/>
      <c r="G3259" s="265"/>
      <c r="H3259" s="268"/>
      <c r="I3259" s="268"/>
      <c r="J3259" s="265"/>
      <c r="K3259" s="265"/>
      <c r="L3259" s="265"/>
      <c r="M3259" s="269"/>
      <c r="N3259" s="270"/>
      <c r="O3259" s="271"/>
      <c r="P3259" s="271"/>
      <c r="Q3259" s="272"/>
      <c r="R3259" s="273"/>
      <c r="S3259" s="273"/>
      <c r="T3259" s="273"/>
      <c r="U3259" s="274"/>
      <c r="V3259" s="263"/>
      <c r="W3259" s="35"/>
      <c r="X3259" s="35"/>
      <c r="Y3259" s="35"/>
      <c r="Z3259" s="35"/>
      <c r="AA3259" s="35"/>
      <c r="AB3259" s="35"/>
      <c r="AC3259" s="35"/>
      <c r="AD3259" s="35"/>
      <c r="AE3259" s="35"/>
      <c r="AF3259" s="35"/>
      <c r="AG3259" s="35"/>
      <c r="AH3259" s="35"/>
      <c r="AI3259" s="35"/>
    </row>
    <row r="3260">
      <c r="A3260" s="263"/>
      <c r="B3260" s="264"/>
      <c r="C3260" s="265"/>
      <c r="D3260" s="265"/>
      <c r="E3260" s="264"/>
      <c r="F3260" s="265"/>
      <c r="G3260" s="265"/>
      <c r="H3260" s="268"/>
      <c r="I3260" s="268"/>
      <c r="J3260" s="265"/>
      <c r="K3260" s="265"/>
      <c r="L3260" s="265"/>
      <c r="M3260" s="269"/>
      <c r="N3260" s="270"/>
      <c r="O3260" s="271"/>
      <c r="P3260" s="271"/>
      <c r="Q3260" s="272"/>
      <c r="R3260" s="273"/>
      <c r="S3260" s="273"/>
      <c r="T3260" s="273"/>
      <c r="U3260" s="274"/>
      <c r="V3260" s="263"/>
      <c r="W3260" s="35"/>
      <c r="X3260" s="35"/>
      <c r="Y3260" s="35"/>
      <c r="Z3260" s="35"/>
      <c r="AA3260" s="35"/>
      <c r="AB3260" s="35"/>
      <c r="AC3260" s="35"/>
      <c r="AD3260" s="35"/>
      <c r="AE3260" s="35"/>
      <c r="AF3260" s="35"/>
      <c r="AG3260" s="35"/>
      <c r="AH3260" s="35"/>
      <c r="AI3260" s="35"/>
    </row>
    <row r="3261">
      <c r="A3261" s="263"/>
      <c r="B3261" s="264"/>
      <c r="C3261" s="265"/>
      <c r="D3261" s="265"/>
      <c r="E3261" s="264"/>
      <c r="F3261" s="265"/>
      <c r="G3261" s="265"/>
      <c r="H3261" s="268"/>
      <c r="I3261" s="268"/>
      <c r="J3261" s="265"/>
      <c r="K3261" s="265"/>
      <c r="L3261" s="265"/>
      <c r="M3261" s="269"/>
      <c r="N3261" s="270"/>
      <c r="O3261" s="271"/>
      <c r="P3261" s="271"/>
      <c r="Q3261" s="272"/>
      <c r="R3261" s="273"/>
      <c r="S3261" s="273"/>
      <c r="T3261" s="273"/>
      <c r="U3261" s="274"/>
      <c r="V3261" s="263"/>
      <c r="W3261" s="35"/>
      <c r="X3261" s="35"/>
      <c r="Y3261" s="35"/>
      <c r="Z3261" s="35"/>
      <c r="AA3261" s="35"/>
      <c r="AB3261" s="35"/>
      <c r="AC3261" s="35"/>
      <c r="AD3261" s="35"/>
      <c r="AE3261" s="35"/>
      <c r="AF3261" s="35"/>
      <c r="AG3261" s="35"/>
      <c r="AH3261" s="35"/>
      <c r="AI3261" s="35"/>
    </row>
    <row r="3262">
      <c r="A3262" s="263"/>
      <c r="B3262" s="264"/>
      <c r="C3262" s="265"/>
      <c r="D3262" s="265"/>
      <c r="E3262" s="264"/>
      <c r="F3262" s="265"/>
      <c r="G3262" s="265"/>
      <c r="H3262" s="268"/>
      <c r="I3262" s="268"/>
      <c r="J3262" s="265"/>
      <c r="K3262" s="265"/>
      <c r="L3262" s="265"/>
      <c r="M3262" s="269"/>
      <c r="N3262" s="270"/>
      <c r="O3262" s="271"/>
      <c r="P3262" s="271"/>
      <c r="Q3262" s="272"/>
      <c r="R3262" s="273"/>
      <c r="S3262" s="273"/>
      <c r="T3262" s="273"/>
      <c r="U3262" s="274"/>
      <c r="V3262" s="263"/>
      <c r="W3262" s="188"/>
      <c r="X3262" s="188"/>
      <c r="Y3262" s="188"/>
      <c r="Z3262" s="188"/>
      <c r="AA3262" s="188"/>
      <c r="AB3262" s="188"/>
      <c r="AC3262" s="188"/>
      <c r="AD3262" s="188"/>
      <c r="AE3262" s="188"/>
      <c r="AF3262" s="188"/>
      <c r="AG3262" s="188"/>
      <c r="AH3262" s="188"/>
      <c r="AI3262" s="188"/>
    </row>
    <row r="3263">
      <c r="A3263" s="263"/>
      <c r="B3263" s="264"/>
      <c r="C3263" s="265"/>
      <c r="D3263" s="265"/>
      <c r="E3263" s="264"/>
      <c r="F3263" s="265"/>
      <c r="G3263" s="265"/>
      <c r="H3263" s="268"/>
      <c r="I3263" s="268"/>
      <c r="J3263" s="265"/>
      <c r="K3263" s="265"/>
      <c r="L3263" s="265"/>
      <c r="M3263" s="269"/>
      <c r="N3263" s="270"/>
      <c r="O3263" s="271"/>
      <c r="P3263" s="271"/>
      <c r="Q3263" s="272"/>
      <c r="R3263" s="273"/>
      <c r="S3263" s="273"/>
      <c r="T3263" s="273"/>
      <c r="U3263" s="274"/>
      <c r="V3263" s="263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</row>
    <row r="3264">
      <c r="A3264" s="263"/>
      <c r="B3264" s="264"/>
      <c r="C3264" s="265"/>
      <c r="D3264" s="265"/>
      <c r="E3264" s="264"/>
      <c r="F3264" s="265"/>
      <c r="G3264" s="265"/>
      <c r="H3264" s="268"/>
      <c r="I3264" s="268"/>
      <c r="J3264" s="265"/>
      <c r="K3264" s="265"/>
      <c r="L3264" s="265"/>
      <c r="M3264" s="269"/>
      <c r="N3264" s="270"/>
      <c r="O3264" s="271"/>
      <c r="P3264" s="271"/>
      <c r="Q3264" s="272"/>
      <c r="R3264" s="273"/>
      <c r="S3264" s="273"/>
      <c r="T3264" s="273"/>
      <c r="U3264" s="274"/>
      <c r="V3264" s="263"/>
      <c r="W3264" s="35"/>
      <c r="X3264" s="35"/>
      <c r="Y3264" s="35"/>
      <c r="Z3264" s="35"/>
      <c r="AA3264" s="35"/>
      <c r="AB3264" s="35"/>
      <c r="AC3264" s="35"/>
      <c r="AD3264" s="35"/>
      <c r="AE3264" s="35"/>
      <c r="AF3264" s="35"/>
      <c r="AG3264" s="35"/>
      <c r="AH3264" s="35"/>
      <c r="AI3264" s="35"/>
    </row>
    <row r="3265">
      <c r="A3265" s="263"/>
      <c r="B3265" s="264"/>
      <c r="C3265" s="265"/>
      <c r="D3265" s="265"/>
      <c r="E3265" s="264"/>
      <c r="F3265" s="265"/>
      <c r="G3265" s="265"/>
      <c r="H3265" s="268"/>
      <c r="I3265" s="268"/>
      <c r="J3265" s="265"/>
      <c r="K3265" s="265"/>
      <c r="L3265" s="265"/>
      <c r="M3265" s="269"/>
      <c r="N3265" s="270"/>
      <c r="O3265" s="271"/>
      <c r="P3265" s="271"/>
      <c r="Q3265" s="272"/>
      <c r="R3265" s="273"/>
      <c r="S3265" s="273"/>
      <c r="T3265" s="273"/>
      <c r="U3265" s="274"/>
      <c r="V3265" s="263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</row>
    <row r="3266">
      <c r="A3266" s="263"/>
      <c r="B3266" s="264"/>
      <c r="C3266" s="265"/>
      <c r="D3266" s="265"/>
      <c r="E3266" s="264"/>
      <c r="F3266" s="265"/>
      <c r="G3266" s="265"/>
      <c r="H3266" s="268"/>
      <c r="I3266" s="268"/>
      <c r="J3266" s="265"/>
      <c r="K3266" s="265"/>
      <c r="L3266" s="265"/>
      <c r="M3266" s="269"/>
      <c r="N3266" s="270"/>
      <c r="O3266" s="271"/>
      <c r="P3266" s="271"/>
      <c r="Q3266" s="272"/>
      <c r="R3266" s="273"/>
      <c r="S3266" s="273"/>
      <c r="T3266" s="273"/>
      <c r="U3266" s="274"/>
      <c r="V3266" s="263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</row>
    <row r="3267">
      <c r="A3267" s="263"/>
      <c r="B3267" s="264"/>
      <c r="C3267" s="265"/>
      <c r="D3267" s="265"/>
      <c r="E3267" s="264"/>
      <c r="F3267" s="265"/>
      <c r="G3267" s="265"/>
      <c r="H3267" s="268"/>
      <c r="I3267" s="268"/>
      <c r="J3267" s="265"/>
      <c r="K3267" s="265"/>
      <c r="L3267" s="265"/>
      <c r="M3267" s="269"/>
      <c r="N3267" s="270"/>
      <c r="O3267" s="271"/>
      <c r="P3267" s="271"/>
      <c r="Q3267" s="272"/>
      <c r="R3267" s="273"/>
      <c r="S3267" s="273"/>
      <c r="T3267" s="273"/>
      <c r="U3267" s="274"/>
      <c r="V3267" s="263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</row>
    <row r="3268">
      <c r="A3268" s="263"/>
      <c r="B3268" s="264"/>
      <c r="C3268" s="265"/>
      <c r="D3268" s="265"/>
      <c r="E3268" s="264"/>
      <c r="F3268" s="265"/>
      <c r="G3268" s="265"/>
      <c r="H3268" s="268"/>
      <c r="I3268" s="268"/>
      <c r="J3268" s="265"/>
      <c r="K3268" s="265"/>
      <c r="L3268" s="265"/>
      <c r="M3268" s="269"/>
      <c r="N3268" s="270"/>
      <c r="O3268" s="271"/>
      <c r="P3268" s="271"/>
      <c r="Q3268" s="272"/>
      <c r="R3268" s="273"/>
      <c r="S3268" s="273"/>
      <c r="T3268" s="273"/>
      <c r="U3268" s="274"/>
      <c r="V3268" s="263"/>
      <c r="W3268" s="188"/>
      <c r="X3268" s="188"/>
      <c r="Y3268" s="188"/>
      <c r="Z3268" s="188"/>
      <c r="AA3268" s="188"/>
      <c r="AB3268" s="188"/>
      <c r="AC3268" s="188"/>
      <c r="AD3268" s="188"/>
      <c r="AE3268" s="188"/>
      <c r="AF3268" s="188"/>
      <c r="AG3268" s="188"/>
      <c r="AH3268" s="188"/>
      <c r="AI3268" s="188"/>
    </row>
    <row r="3269">
      <c r="A3269" s="263"/>
      <c r="B3269" s="264"/>
      <c r="C3269" s="265"/>
      <c r="D3269" s="265"/>
      <c r="E3269" s="264"/>
      <c r="F3269" s="265"/>
      <c r="G3269" s="265"/>
      <c r="H3269" s="268"/>
      <c r="I3269" s="268"/>
      <c r="J3269" s="265"/>
      <c r="K3269" s="265"/>
      <c r="L3269" s="265"/>
      <c r="M3269" s="269"/>
      <c r="N3269" s="270"/>
      <c r="O3269" s="271"/>
      <c r="P3269" s="271"/>
      <c r="Q3269" s="272"/>
      <c r="R3269" s="273"/>
      <c r="S3269" s="273"/>
      <c r="T3269" s="273"/>
      <c r="U3269" s="274"/>
      <c r="V3269" s="263"/>
      <c r="W3269" s="35"/>
      <c r="X3269" s="35"/>
      <c r="Y3269" s="35"/>
      <c r="Z3269" s="35"/>
      <c r="AA3269" s="35"/>
      <c r="AB3269" s="35"/>
      <c r="AC3269" s="35"/>
      <c r="AD3269" s="35"/>
      <c r="AE3269" s="35"/>
      <c r="AF3269" s="35"/>
      <c r="AG3269" s="35"/>
      <c r="AH3269" s="35"/>
      <c r="AI3269" s="35"/>
    </row>
    <row r="3270">
      <c r="A3270" s="263"/>
      <c r="B3270" s="264"/>
      <c r="C3270" s="265"/>
      <c r="D3270" s="265"/>
      <c r="E3270" s="264"/>
      <c r="F3270" s="265"/>
      <c r="G3270" s="265"/>
      <c r="H3270" s="268"/>
      <c r="I3270" s="268"/>
      <c r="J3270" s="265"/>
      <c r="K3270" s="265"/>
      <c r="L3270" s="265"/>
      <c r="M3270" s="269"/>
      <c r="N3270" s="270"/>
      <c r="O3270" s="271"/>
      <c r="P3270" s="271"/>
      <c r="Q3270" s="272"/>
      <c r="R3270" s="273"/>
      <c r="S3270" s="273"/>
      <c r="T3270" s="273"/>
      <c r="U3270" s="274"/>
      <c r="V3270" s="263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</row>
    <row r="3271">
      <c r="A3271" s="263"/>
      <c r="B3271" s="264"/>
      <c r="C3271" s="265"/>
      <c r="D3271" s="265"/>
      <c r="E3271" s="264"/>
      <c r="F3271" s="265"/>
      <c r="G3271" s="265"/>
      <c r="H3271" s="268"/>
      <c r="I3271" s="268"/>
      <c r="J3271" s="265"/>
      <c r="K3271" s="265"/>
      <c r="L3271" s="265"/>
      <c r="M3271" s="269"/>
      <c r="N3271" s="270"/>
      <c r="O3271" s="271"/>
      <c r="P3271" s="271"/>
      <c r="Q3271" s="272"/>
      <c r="R3271" s="273"/>
      <c r="S3271" s="273"/>
      <c r="T3271" s="273"/>
      <c r="U3271" s="274"/>
      <c r="V3271" s="263"/>
      <c r="W3271" s="35"/>
      <c r="X3271" s="35"/>
      <c r="Y3271" s="35"/>
      <c r="Z3271" s="35"/>
      <c r="AA3271" s="35"/>
      <c r="AB3271" s="35"/>
      <c r="AC3271" s="35"/>
      <c r="AD3271" s="35"/>
      <c r="AE3271" s="35"/>
      <c r="AF3271" s="35"/>
      <c r="AG3271" s="35"/>
      <c r="AH3271" s="35"/>
      <c r="AI3271" s="35"/>
    </row>
    <row r="3272">
      <c r="A3272" s="263"/>
      <c r="B3272" s="264"/>
      <c r="C3272" s="265"/>
      <c r="D3272" s="265"/>
      <c r="E3272" s="264"/>
      <c r="F3272" s="265"/>
      <c r="G3272" s="265"/>
      <c r="H3272" s="268"/>
      <c r="I3272" s="268"/>
      <c r="J3272" s="265"/>
      <c r="K3272" s="265"/>
      <c r="L3272" s="265"/>
      <c r="M3272" s="269"/>
      <c r="N3272" s="270"/>
      <c r="O3272" s="271"/>
      <c r="P3272" s="271"/>
      <c r="Q3272" s="272"/>
      <c r="R3272" s="273"/>
      <c r="S3272" s="273"/>
      <c r="T3272" s="273"/>
      <c r="U3272" s="274"/>
      <c r="V3272" s="263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</row>
    <row r="3273">
      <c r="A3273" s="263"/>
      <c r="B3273" s="264"/>
      <c r="C3273" s="265"/>
      <c r="D3273" s="265"/>
      <c r="E3273" s="264"/>
      <c r="F3273" s="265"/>
      <c r="G3273" s="265"/>
      <c r="H3273" s="268"/>
      <c r="I3273" s="268"/>
      <c r="J3273" s="265"/>
      <c r="K3273" s="265"/>
      <c r="L3273" s="265"/>
      <c r="M3273" s="269"/>
      <c r="N3273" s="270"/>
      <c r="O3273" s="271"/>
      <c r="P3273" s="271"/>
      <c r="Q3273" s="272"/>
      <c r="R3273" s="273"/>
      <c r="S3273" s="273"/>
      <c r="T3273" s="273"/>
      <c r="U3273" s="274"/>
      <c r="V3273" s="263"/>
      <c r="W3273" s="35"/>
      <c r="X3273" s="35"/>
      <c r="Y3273" s="35"/>
      <c r="Z3273" s="35"/>
      <c r="AA3273" s="35"/>
      <c r="AB3273" s="35"/>
      <c r="AC3273" s="35"/>
      <c r="AD3273" s="35"/>
      <c r="AE3273" s="35"/>
      <c r="AF3273" s="35"/>
      <c r="AG3273" s="35"/>
      <c r="AH3273" s="35"/>
      <c r="AI3273" s="35"/>
    </row>
    <row r="3274">
      <c r="A3274" s="263"/>
      <c r="B3274" s="264"/>
      <c r="C3274" s="265"/>
      <c r="D3274" s="265"/>
      <c r="E3274" s="264"/>
      <c r="F3274" s="265"/>
      <c r="G3274" s="265"/>
      <c r="H3274" s="268"/>
      <c r="I3274" s="268"/>
      <c r="J3274" s="265"/>
      <c r="K3274" s="265"/>
      <c r="L3274" s="265"/>
      <c r="M3274" s="269"/>
      <c r="N3274" s="270"/>
      <c r="O3274" s="271"/>
      <c r="P3274" s="271"/>
      <c r="Q3274" s="272"/>
      <c r="R3274" s="273"/>
      <c r="S3274" s="273"/>
      <c r="T3274" s="273"/>
      <c r="U3274" s="274"/>
      <c r="V3274" s="263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</row>
    <row r="3275">
      <c r="A3275" s="263"/>
      <c r="B3275" s="264"/>
      <c r="C3275" s="265"/>
      <c r="D3275" s="265"/>
      <c r="E3275" s="264"/>
      <c r="F3275" s="265"/>
      <c r="G3275" s="265"/>
      <c r="H3275" s="268"/>
      <c r="I3275" s="268"/>
      <c r="J3275" s="265"/>
      <c r="K3275" s="265"/>
      <c r="L3275" s="265"/>
      <c r="M3275" s="269"/>
      <c r="N3275" s="270"/>
      <c r="O3275" s="271"/>
      <c r="P3275" s="271"/>
      <c r="Q3275" s="272"/>
      <c r="R3275" s="273"/>
      <c r="S3275" s="273"/>
      <c r="T3275" s="273"/>
      <c r="U3275" s="274"/>
      <c r="V3275" s="263"/>
      <c r="W3275" s="188"/>
      <c r="X3275" s="188"/>
      <c r="Y3275" s="188"/>
      <c r="Z3275" s="188"/>
      <c r="AA3275" s="188"/>
      <c r="AB3275" s="188"/>
      <c r="AC3275" s="188"/>
      <c r="AD3275" s="188"/>
      <c r="AE3275" s="188"/>
      <c r="AF3275" s="188"/>
      <c r="AG3275" s="188"/>
      <c r="AH3275" s="188"/>
      <c r="AI3275" s="188"/>
    </row>
    <row r="3276">
      <c r="A3276" s="263"/>
      <c r="B3276" s="264"/>
      <c r="C3276" s="265"/>
      <c r="D3276" s="265"/>
      <c r="E3276" s="264"/>
      <c r="F3276" s="265"/>
      <c r="G3276" s="265"/>
      <c r="H3276" s="268"/>
      <c r="I3276" s="268"/>
      <c r="J3276" s="265"/>
      <c r="K3276" s="265"/>
      <c r="L3276" s="265"/>
      <c r="M3276" s="269"/>
      <c r="N3276" s="270"/>
      <c r="O3276" s="271"/>
      <c r="P3276" s="271"/>
      <c r="Q3276" s="272"/>
      <c r="R3276" s="273"/>
      <c r="S3276" s="273"/>
      <c r="T3276" s="273"/>
      <c r="U3276" s="274"/>
      <c r="V3276" s="263"/>
      <c r="W3276" s="188"/>
      <c r="X3276" s="188"/>
      <c r="Y3276" s="188"/>
      <c r="Z3276" s="188"/>
      <c r="AA3276" s="188"/>
      <c r="AB3276" s="188"/>
      <c r="AC3276" s="188"/>
      <c r="AD3276" s="188"/>
      <c r="AE3276" s="188"/>
      <c r="AF3276" s="188"/>
      <c r="AG3276" s="188"/>
      <c r="AH3276" s="188"/>
      <c r="AI3276" s="188"/>
    </row>
    <row r="3277">
      <c r="A3277" s="263"/>
      <c r="B3277" s="264"/>
      <c r="C3277" s="265"/>
      <c r="D3277" s="265"/>
      <c r="E3277" s="264"/>
      <c r="F3277" s="265"/>
      <c r="G3277" s="265"/>
      <c r="H3277" s="268"/>
      <c r="I3277" s="268"/>
      <c r="J3277" s="265"/>
      <c r="K3277" s="265"/>
      <c r="L3277" s="265"/>
      <c r="M3277" s="269"/>
      <c r="N3277" s="270"/>
      <c r="O3277" s="271"/>
      <c r="P3277" s="271"/>
      <c r="Q3277" s="272"/>
      <c r="R3277" s="273"/>
      <c r="S3277" s="273"/>
      <c r="T3277" s="273"/>
      <c r="U3277" s="274"/>
      <c r="V3277" s="263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</row>
    <row r="3278">
      <c r="A3278" s="263"/>
      <c r="B3278" s="264"/>
      <c r="C3278" s="265"/>
      <c r="D3278" s="265"/>
      <c r="E3278" s="264"/>
      <c r="F3278" s="265"/>
      <c r="G3278" s="265"/>
      <c r="H3278" s="268"/>
      <c r="I3278" s="268"/>
      <c r="J3278" s="265"/>
      <c r="K3278" s="265"/>
      <c r="L3278" s="265"/>
      <c r="M3278" s="269"/>
      <c r="N3278" s="270"/>
      <c r="O3278" s="271"/>
      <c r="P3278" s="271"/>
      <c r="Q3278" s="272"/>
      <c r="R3278" s="273"/>
      <c r="S3278" s="273"/>
      <c r="T3278" s="273"/>
      <c r="U3278" s="274"/>
      <c r="V3278" s="263"/>
      <c r="W3278" s="188"/>
      <c r="X3278" s="188"/>
      <c r="Y3278" s="188"/>
      <c r="Z3278" s="188"/>
      <c r="AA3278" s="188"/>
      <c r="AB3278" s="188"/>
      <c r="AC3278" s="188"/>
      <c r="AD3278" s="188"/>
      <c r="AE3278" s="188"/>
      <c r="AF3278" s="188"/>
      <c r="AG3278" s="188"/>
      <c r="AH3278" s="188"/>
      <c r="AI3278" s="188"/>
    </row>
    <row r="3279">
      <c r="A3279" s="263"/>
      <c r="B3279" s="264"/>
      <c r="C3279" s="265"/>
      <c r="D3279" s="265"/>
      <c r="E3279" s="264"/>
      <c r="F3279" s="265"/>
      <c r="G3279" s="265"/>
      <c r="H3279" s="268"/>
      <c r="I3279" s="268"/>
      <c r="J3279" s="265"/>
      <c r="K3279" s="265"/>
      <c r="L3279" s="265"/>
      <c r="M3279" s="269"/>
      <c r="N3279" s="270"/>
      <c r="O3279" s="271"/>
      <c r="P3279" s="271"/>
      <c r="Q3279" s="272"/>
      <c r="R3279" s="273"/>
      <c r="S3279" s="273"/>
      <c r="T3279" s="273"/>
      <c r="U3279" s="274"/>
      <c r="V3279" s="263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</row>
    <row r="3280">
      <c r="A3280" s="263"/>
      <c r="B3280" s="264"/>
      <c r="C3280" s="265"/>
      <c r="D3280" s="265"/>
      <c r="E3280" s="264"/>
      <c r="F3280" s="265"/>
      <c r="G3280" s="265"/>
      <c r="H3280" s="268"/>
      <c r="I3280" s="268"/>
      <c r="J3280" s="265"/>
      <c r="K3280" s="265"/>
      <c r="L3280" s="265"/>
      <c r="M3280" s="269"/>
      <c r="N3280" s="270"/>
      <c r="O3280" s="271"/>
      <c r="P3280" s="271"/>
      <c r="Q3280" s="272"/>
      <c r="R3280" s="273"/>
      <c r="S3280" s="273"/>
      <c r="T3280" s="273"/>
      <c r="U3280" s="274"/>
      <c r="V3280" s="263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</row>
    <row r="3281">
      <c r="A3281" s="263"/>
      <c r="B3281" s="264"/>
      <c r="C3281" s="265"/>
      <c r="D3281" s="265"/>
      <c r="E3281" s="264"/>
      <c r="F3281" s="265"/>
      <c r="G3281" s="265"/>
      <c r="H3281" s="268"/>
      <c r="I3281" s="268"/>
      <c r="J3281" s="265"/>
      <c r="K3281" s="265"/>
      <c r="L3281" s="265"/>
      <c r="M3281" s="269"/>
      <c r="N3281" s="270"/>
      <c r="O3281" s="271"/>
      <c r="P3281" s="271"/>
      <c r="Q3281" s="272"/>
      <c r="R3281" s="273"/>
      <c r="S3281" s="273"/>
      <c r="T3281" s="273"/>
      <c r="U3281" s="274"/>
      <c r="V3281" s="263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</row>
    <row r="3282">
      <c r="A3282" s="263"/>
      <c r="B3282" s="264"/>
      <c r="C3282" s="265"/>
      <c r="D3282" s="265"/>
      <c r="E3282" s="264"/>
      <c r="F3282" s="265"/>
      <c r="G3282" s="265"/>
      <c r="H3282" s="268"/>
      <c r="I3282" s="268"/>
      <c r="J3282" s="265"/>
      <c r="K3282" s="265"/>
      <c r="L3282" s="265"/>
      <c r="M3282" s="269"/>
      <c r="N3282" s="270"/>
      <c r="O3282" s="271"/>
      <c r="P3282" s="271"/>
      <c r="Q3282" s="272"/>
      <c r="R3282" s="273"/>
      <c r="S3282" s="273"/>
      <c r="T3282" s="273"/>
      <c r="U3282" s="274"/>
      <c r="V3282" s="263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</row>
    <row r="3283">
      <c r="A3283" s="263"/>
      <c r="B3283" s="264"/>
      <c r="C3283" s="265"/>
      <c r="D3283" s="265"/>
      <c r="E3283" s="264"/>
      <c r="F3283" s="265"/>
      <c r="G3283" s="265"/>
      <c r="H3283" s="268"/>
      <c r="I3283" s="268"/>
      <c r="J3283" s="265"/>
      <c r="K3283" s="265"/>
      <c r="L3283" s="265"/>
      <c r="M3283" s="269"/>
      <c r="N3283" s="270"/>
      <c r="O3283" s="271"/>
      <c r="P3283" s="271"/>
      <c r="Q3283" s="272"/>
      <c r="R3283" s="273"/>
      <c r="S3283" s="273"/>
      <c r="T3283" s="273"/>
      <c r="U3283" s="274"/>
      <c r="V3283" s="263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</row>
    <row r="3284">
      <c r="A3284" s="263"/>
      <c r="B3284" s="264"/>
      <c r="C3284" s="265"/>
      <c r="D3284" s="265"/>
      <c r="E3284" s="264"/>
      <c r="F3284" s="265"/>
      <c r="G3284" s="265"/>
      <c r="H3284" s="268"/>
      <c r="I3284" s="268"/>
      <c r="J3284" s="265"/>
      <c r="K3284" s="265"/>
      <c r="L3284" s="265"/>
      <c r="M3284" s="269"/>
      <c r="N3284" s="270"/>
      <c r="O3284" s="271"/>
      <c r="P3284" s="271"/>
      <c r="Q3284" s="272"/>
      <c r="R3284" s="273"/>
      <c r="S3284" s="273"/>
      <c r="T3284" s="273"/>
      <c r="U3284" s="274"/>
      <c r="V3284" s="263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</row>
    <row r="3285">
      <c r="A3285" s="263"/>
      <c r="B3285" s="264"/>
      <c r="C3285" s="265"/>
      <c r="D3285" s="265"/>
      <c r="E3285" s="264"/>
      <c r="F3285" s="265"/>
      <c r="G3285" s="265"/>
      <c r="H3285" s="268"/>
      <c r="I3285" s="268"/>
      <c r="J3285" s="265"/>
      <c r="K3285" s="265"/>
      <c r="L3285" s="265"/>
      <c r="M3285" s="269"/>
      <c r="N3285" s="270"/>
      <c r="O3285" s="271"/>
      <c r="P3285" s="271"/>
      <c r="Q3285" s="272"/>
      <c r="R3285" s="273"/>
      <c r="S3285" s="273"/>
      <c r="T3285" s="273"/>
      <c r="U3285" s="274"/>
      <c r="V3285" s="263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</row>
    <row r="3286">
      <c r="A3286" s="263"/>
      <c r="B3286" s="264"/>
      <c r="C3286" s="265"/>
      <c r="D3286" s="265"/>
      <c r="E3286" s="264"/>
      <c r="F3286" s="265"/>
      <c r="G3286" s="265"/>
      <c r="H3286" s="268"/>
      <c r="I3286" s="268"/>
      <c r="J3286" s="265"/>
      <c r="K3286" s="265"/>
      <c r="L3286" s="265"/>
      <c r="M3286" s="269"/>
      <c r="N3286" s="270"/>
      <c r="O3286" s="271"/>
      <c r="P3286" s="271"/>
      <c r="Q3286" s="272"/>
      <c r="R3286" s="273"/>
      <c r="S3286" s="273"/>
      <c r="T3286" s="273"/>
      <c r="U3286" s="274"/>
      <c r="V3286" s="263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</row>
    <row r="3287">
      <c r="A3287" s="263"/>
      <c r="B3287" s="264"/>
      <c r="C3287" s="265"/>
      <c r="D3287" s="265"/>
      <c r="E3287" s="264"/>
      <c r="F3287" s="265"/>
      <c r="G3287" s="265"/>
      <c r="H3287" s="268"/>
      <c r="I3287" s="268"/>
      <c r="J3287" s="265"/>
      <c r="K3287" s="265"/>
      <c r="L3287" s="265"/>
      <c r="M3287" s="269"/>
      <c r="N3287" s="270"/>
      <c r="O3287" s="271"/>
      <c r="P3287" s="271"/>
      <c r="Q3287" s="272"/>
      <c r="R3287" s="273"/>
      <c r="S3287" s="273"/>
      <c r="T3287" s="273"/>
      <c r="U3287" s="274"/>
      <c r="V3287" s="263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</row>
    <row r="3288">
      <c r="A3288" s="263"/>
      <c r="B3288" s="264"/>
      <c r="C3288" s="265"/>
      <c r="D3288" s="265"/>
      <c r="E3288" s="264"/>
      <c r="F3288" s="265"/>
      <c r="G3288" s="265"/>
      <c r="H3288" s="268"/>
      <c r="I3288" s="268"/>
      <c r="J3288" s="265"/>
      <c r="K3288" s="265"/>
      <c r="L3288" s="265"/>
      <c r="M3288" s="269"/>
      <c r="N3288" s="270"/>
      <c r="O3288" s="271"/>
      <c r="P3288" s="271"/>
      <c r="Q3288" s="272"/>
      <c r="R3288" s="273"/>
      <c r="S3288" s="273"/>
      <c r="T3288" s="273"/>
      <c r="U3288" s="274"/>
      <c r="V3288" s="263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</row>
    <row r="3289">
      <c r="A3289" s="263"/>
      <c r="B3289" s="264"/>
      <c r="C3289" s="265"/>
      <c r="D3289" s="265"/>
      <c r="E3289" s="264"/>
      <c r="F3289" s="265"/>
      <c r="G3289" s="265"/>
      <c r="H3289" s="268"/>
      <c r="I3289" s="268"/>
      <c r="J3289" s="265"/>
      <c r="K3289" s="265"/>
      <c r="L3289" s="265"/>
      <c r="M3289" s="269"/>
      <c r="N3289" s="270"/>
      <c r="O3289" s="271"/>
      <c r="P3289" s="271"/>
      <c r="Q3289" s="272"/>
      <c r="R3289" s="273"/>
      <c r="S3289" s="273"/>
      <c r="T3289" s="273"/>
      <c r="U3289" s="274"/>
      <c r="V3289" s="263"/>
      <c r="W3289" s="35"/>
      <c r="X3289" s="35"/>
      <c r="Y3289" s="35"/>
      <c r="Z3289" s="35"/>
      <c r="AA3289" s="35"/>
      <c r="AB3289" s="35"/>
      <c r="AC3289" s="35"/>
      <c r="AD3289" s="35"/>
      <c r="AE3289" s="35"/>
      <c r="AF3289" s="35"/>
      <c r="AG3289" s="35"/>
      <c r="AH3289" s="35"/>
      <c r="AI3289" s="35"/>
    </row>
    <row r="3290">
      <c r="A3290" s="263"/>
      <c r="B3290" s="264"/>
      <c r="C3290" s="265"/>
      <c r="D3290" s="265"/>
      <c r="E3290" s="264"/>
      <c r="F3290" s="265"/>
      <c r="G3290" s="265"/>
      <c r="H3290" s="268"/>
      <c r="I3290" s="268"/>
      <c r="J3290" s="265"/>
      <c r="K3290" s="265"/>
      <c r="L3290" s="265"/>
      <c r="M3290" s="269"/>
      <c r="N3290" s="270"/>
      <c r="O3290" s="271"/>
      <c r="P3290" s="271"/>
      <c r="Q3290" s="272"/>
      <c r="R3290" s="273"/>
      <c r="S3290" s="273"/>
      <c r="T3290" s="273"/>
      <c r="U3290" s="274"/>
      <c r="V3290" s="263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</row>
    <row r="3291">
      <c r="A3291" s="263"/>
      <c r="B3291" s="264"/>
      <c r="C3291" s="265"/>
      <c r="D3291" s="265"/>
      <c r="E3291" s="264"/>
      <c r="F3291" s="265"/>
      <c r="G3291" s="265"/>
      <c r="H3291" s="268"/>
      <c r="I3291" s="268"/>
      <c r="J3291" s="265"/>
      <c r="K3291" s="265"/>
      <c r="L3291" s="265"/>
      <c r="M3291" s="269"/>
      <c r="N3291" s="270"/>
      <c r="O3291" s="271"/>
      <c r="P3291" s="271"/>
      <c r="Q3291" s="272"/>
      <c r="R3291" s="273"/>
      <c r="S3291" s="273"/>
      <c r="T3291" s="273"/>
      <c r="U3291" s="274"/>
      <c r="V3291" s="263"/>
      <c r="W3291" s="35"/>
      <c r="X3291" s="35"/>
      <c r="Y3291" s="35"/>
      <c r="Z3291" s="35"/>
      <c r="AA3291" s="35"/>
      <c r="AB3291" s="35"/>
      <c r="AC3291" s="35"/>
      <c r="AD3291" s="35"/>
      <c r="AE3291" s="35"/>
      <c r="AF3291" s="35"/>
      <c r="AG3291" s="35"/>
      <c r="AH3291" s="35"/>
      <c r="AI3291" s="35"/>
    </row>
    <row r="3292">
      <c r="A3292" s="263"/>
      <c r="B3292" s="264"/>
      <c r="C3292" s="265"/>
      <c r="D3292" s="265"/>
      <c r="E3292" s="264"/>
      <c r="F3292" s="265"/>
      <c r="G3292" s="265"/>
      <c r="H3292" s="268"/>
      <c r="I3292" s="268"/>
      <c r="J3292" s="265"/>
      <c r="K3292" s="265"/>
      <c r="L3292" s="265"/>
      <c r="M3292" s="269"/>
      <c r="N3292" s="270"/>
      <c r="O3292" s="271"/>
      <c r="P3292" s="271"/>
      <c r="Q3292" s="272"/>
      <c r="R3292" s="273"/>
      <c r="S3292" s="273"/>
      <c r="T3292" s="273"/>
      <c r="U3292" s="274"/>
      <c r="V3292" s="263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</row>
    <row r="3293">
      <c r="A3293" s="263"/>
      <c r="B3293" s="264"/>
      <c r="C3293" s="265"/>
      <c r="D3293" s="265"/>
      <c r="E3293" s="264"/>
      <c r="F3293" s="265"/>
      <c r="G3293" s="265"/>
      <c r="H3293" s="268"/>
      <c r="I3293" s="268"/>
      <c r="J3293" s="265"/>
      <c r="K3293" s="265"/>
      <c r="L3293" s="265"/>
      <c r="M3293" s="269"/>
      <c r="N3293" s="270"/>
      <c r="O3293" s="271"/>
      <c r="P3293" s="271"/>
      <c r="Q3293" s="272"/>
      <c r="R3293" s="273"/>
      <c r="S3293" s="273"/>
      <c r="T3293" s="273"/>
      <c r="U3293" s="274"/>
      <c r="V3293" s="263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</row>
    <row r="3294">
      <c r="A3294" s="263"/>
      <c r="B3294" s="264"/>
      <c r="C3294" s="265"/>
      <c r="D3294" s="265"/>
      <c r="E3294" s="264"/>
      <c r="F3294" s="265"/>
      <c r="G3294" s="265"/>
      <c r="H3294" s="268"/>
      <c r="I3294" s="268"/>
      <c r="J3294" s="265"/>
      <c r="K3294" s="265"/>
      <c r="L3294" s="265"/>
      <c r="M3294" s="269"/>
      <c r="N3294" s="270"/>
      <c r="O3294" s="271"/>
      <c r="P3294" s="271"/>
      <c r="Q3294" s="272"/>
      <c r="R3294" s="273"/>
      <c r="S3294" s="273"/>
      <c r="T3294" s="273"/>
      <c r="U3294" s="274"/>
      <c r="V3294" s="263"/>
      <c r="W3294" s="35"/>
      <c r="X3294" s="35"/>
      <c r="Y3294" s="35"/>
      <c r="Z3294" s="35"/>
      <c r="AA3294" s="35"/>
      <c r="AB3294" s="35"/>
      <c r="AC3294" s="35"/>
      <c r="AD3294" s="35"/>
      <c r="AE3294" s="35"/>
      <c r="AF3294" s="35"/>
      <c r="AG3294" s="35"/>
      <c r="AH3294" s="35"/>
      <c r="AI3294" s="35"/>
    </row>
    <row r="3295">
      <c r="A3295" s="263"/>
      <c r="B3295" s="264"/>
      <c r="C3295" s="265"/>
      <c r="D3295" s="265"/>
      <c r="E3295" s="264"/>
      <c r="F3295" s="265"/>
      <c r="G3295" s="265"/>
      <c r="H3295" s="268"/>
      <c r="I3295" s="268"/>
      <c r="J3295" s="265"/>
      <c r="K3295" s="265"/>
      <c r="L3295" s="265"/>
      <c r="M3295" s="269"/>
      <c r="N3295" s="270"/>
      <c r="O3295" s="271"/>
      <c r="P3295" s="271"/>
      <c r="Q3295" s="272"/>
      <c r="R3295" s="273"/>
      <c r="S3295" s="273"/>
      <c r="T3295" s="273"/>
      <c r="U3295" s="274"/>
      <c r="V3295" s="263"/>
      <c r="W3295" s="188"/>
      <c r="X3295" s="188"/>
      <c r="Y3295" s="188"/>
      <c r="Z3295" s="188"/>
      <c r="AA3295" s="188"/>
      <c r="AB3295" s="188"/>
      <c r="AC3295" s="188"/>
      <c r="AD3295" s="188"/>
      <c r="AE3295" s="188"/>
      <c r="AF3295" s="188"/>
      <c r="AG3295" s="188"/>
      <c r="AH3295" s="188"/>
      <c r="AI3295" s="188"/>
    </row>
    <row r="3296">
      <c r="A3296" s="263"/>
      <c r="B3296" s="264"/>
      <c r="C3296" s="265"/>
      <c r="D3296" s="265"/>
      <c r="E3296" s="264"/>
      <c r="F3296" s="265"/>
      <c r="G3296" s="265"/>
      <c r="H3296" s="268"/>
      <c r="I3296" s="268"/>
      <c r="J3296" s="265"/>
      <c r="K3296" s="265"/>
      <c r="L3296" s="265"/>
      <c r="M3296" s="269"/>
      <c r="N3296" s="270"/>
      <c r="O3296" s="271"/>
      <c r="P3296" s="271"/>
      <c r="Q3296" s="272"/>
      <c r="R3296" s="273"/>
      <c r="S3296" s="273"/>
      <c r="T3296" s="273"/>
      <c r="U3296" s="274"/>
      <c r="V3296" s="263"/>
      <c r="W3296" s="35"/>
      <c r="X3296" s="35"/>
      <c r="Y3296" s="35"/>
      <c r="Z3296" s="35"/>
      <c r="AA3296" s="35"/>
      <c r="AB3296" s="35"/>
      <c r="AC3296" s="35"/>
      <c r="AD3296" s="35"/>
      <c r="AE3296" s="35"/>
      <c r="AF3296" s="35"/>
      <c r="AG3296" s="35"/>
      <c r="AH3296" s="35"/>
      <c r="AI3296" s="35"/>
    </row>
    <row r="3297">
      <c r="A3297" s="263"/>
      <c r="B3297" s="264"/>
      <c r="C3297" s="265"/>
      <c r="D3297" s="265"/>
      <c r="E3297" s="264"/>
      <c r="F3297" s="265"/>
      <c r="G3297" s="265"/>
      <c r="H3297" s="268"/>
      <c r="I3297" s="268"/>
      <c r="J3297" s="265"/>
      <c r="K3297" s="265"/>
      <c r="L3297" s="265"/>
      <c r="M3297" s="269"/>
      <c r="N3297" s="270"/>
      <c r="O3297" s="271"/>
      <c r="P3297" s="271"/>
      <c r="Q3297" s="272"/>
      <c r="R3297" s="273"/>
      <c r="S3297" s="273"/>
      <c r="T3297" s="273"/>
      <c r="U3297" s="274"/>
      <c r="V3297" s="263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</row>
    <row r="3298">
      <c r="A3298" s="263"/>
      <c r="B3298" s="264"/>
      <c r="C3298" s="265"/>
      <c r="D3298" s="265"/>
      <c r="E3298" s="264"/>
      <c r="F3298" s="265"/>
      <c r="G3298" s="265"/>
      <c r="H3298" s="268"/>
      <c r="I3298" s="268"/>
      <c r="J3298" s="265"/>
      <c r="K3298" s="265"/>
      <c r="L3298" s="265"/>
      <c r="M3298" s="269"/>
      <c r="N3298" s="270"/>
      <c r="O3298" s="271"/>
      <c r="P3298" s="271"/>
      <c r="Q3298" s="272"/>
      <c r="R3298" s="273"/>
      <c r="S3298" s="273"/>
      <c r="T3298" s="273"/>
      <c r="U3298" s="274"/>
      <c r="V3298" s="263"/>
      <c r="W3298" s="35"/>
      <c r="X3298" s="35"/>
      <c r="Y3298" s="35"/>
      <c r="Z3298" s="35"/>
      <c r="AA3298" s="35"/>
      <c r="AB3298" s="35"/>
      <c r="AC3298" s="35"/>
      <c r="AD3298" s="35"/>
      <c r="AE3298" s="35"/>
      <c r="AF3298" s="35"/>
      <c r="AG3298" s="35"/>
      <c r="AH3298" s="35"/>
      <c r="AI3298" s="35"/>
    </row>
    <row r="3299">
      <c r="A3299" s="263"/>
      <c r="B3299" s="264"/>
      <c r="C3299" s="265"/>
      <c r="D3299" s="265"/>
      <c r="E3299" s="264"/>
      <c r="F3299" s="265"/>
      <c r="G3299" s="265"/>
      <c r="H3299" s="268"/>
      <c r="I3299" s="268"/>
      <c r="J3299" s="265"/>
      <c r="K3299" s="265"/>
      <c r="L3299" s="265"/>
      <c r="M3299" s="269"/>
      <c r="N3299" s="270"/>
      <c r="O3299" s="271"/>
      <c r="P3299" s="271"/>
      <c r="Q3299" s="272"/>
      <c r="R3299" s="273"/>
      <c r="S3299" s="273"/>
      <c r="T3299" s="273"/>
      <c r="U3299" s="274"/>
      <c r="V3299" s="263"/>
      <c r="W3299" s="35"/>
      <c r="X3299" s="35"/>
      <c r="Y3299" s="35"/>
      <c r="Z3299" s="35"/>
      <c r="AA3299" s="35"/>
      <c r="AB3299" s="35"/>
      <c r="AC3299" s="35"/>
      <c r="AD3299" s="35"/>
      <c r="AE3299" s="35"/>
      <c r="AF3299" s="35"/>
      <c r="AG3299" s="35"/>
      <c r="AH3299" s="35"/>
      <c r="AI3299" s="35"/>
    </row>
    <row r="3300">
      <c r="A3300" s="263"/>
      <c r="B3300" s="264"/>
      <c r="C3300" s="265"/>
      <c r="D3300" s="265"/>
      <c r="E3300" s="264"/>
      <c r="F3300" s="265"/>
      <c r="G3300" s="265"/>
      <c r="H3300" s="268"/>
      <c r="I3300" s="268"/>
      <c r="J3300" s="265"/>
      <c r="K3300" s="265"/>
      <c r="L3300" s="265"/>
      <c r="M3300" s="269"/>
      <c r="N3300" s="270"/>
      <c r="O3300" s="271"/>
      <c r="P3300" s="271"/>
      <c r="Q3300" s="272"/>
      <c r="R3300" s="273"/>
      <c r="S3300" s="273"/>
      <c r="T3300" s="273"/>
      <c r="U3300" s="274"/>
      <c r="V3300" s="263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</row>
    <row r="3301">
      <c r="A3301" s="263"/>
      <c r="B3301" s="264"/>
      <c r="C3301" s="265"/>
      <c r="D3301" s="265"/>
      <c r="E3301" s="264"/>
      <c r="F3301" s="265"/>
      <c r="G3301" s="265"/>
      <c r="H3301" s="268"/>
      <c r="I3301" s="268"/>
      <c r="J3301" s="265"/>
      <c r="K3301" s="265"/>
      <c r="L3301" s="265"/>
      <c r="M3301" s="269"/>
      <c r="N3301" s="270"/>
      <c r="O3301" s="271"/>
      <c r="P3301" s="271"/>
      <c r="Q3301" s="272"/>
      <c r="R3301" s="273"/>
      <c r="S3301" s="273"/>
      <c r="T3301" s="273"/>
      <c r="U3301" s="274"/>
      <c r="V3301" s="263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</row>
    <row r="3302">
      <c r="A3302" s="263"/>
      <c r="B3302" s="264"/>
      <c r="C3302" s="265"/>
      <c r="D3302" s="265"/>
      <c r="E3302" s="264"/>
      <c r="F3302" s="265"/>
      <c r="G3302" s="265"/>
      <c r="H3302" s="268"/>
      <c r="I3302" s="268"/>
      <c r="J3302" s="265"/>
      <c r="K3302" s="265"/>
      <c r="L3302" s="265"/>
      <c r="M3302" s="269"/>
      <c r="N3302" s="270"/>
      <c r="O3302" s="271"/>
      <c r="P3302" s="271"/>
      <c r="Q3302" s="272"/>
      <c r="R3302" s="273"/>
      <c r="S3302" s="273"/>
      <c r="T3302" s="273"/>
      <c r="U3302" s="274"/>
      <c r="V3302" s="263"/>
      <c r="W3302" s="35"/>
      <c r="X3302" s="35"/>
      <c r="Y3302" s="35"/>
      <c r="Z3302" s="35"/>
      <c r="AA3302" s="35"/>
      <c r="AB3302" s="35"/>
      <c r="AC3302" s="35"/>
      <c r="AD3302" s="35"/>
      <c r="AE3302" s="35"/>
      <c r="AF3302" s="35"/>
      <c r="AG3302" s="35"/>
      <c r="AH3302" s="35"/>
      <c r="AI3302" s="35"/>
    </row>
    <row r="3303">
      <c r="A3303" s="263"/>
      <c r="B3303" s="264"/>
      <c r="C3303" s="265"/>
      <c r="D3303" s="265"/>
      <c r="E3303" s="264"/>
      <c r="F3303" s="265"/>
      <c r="G3303" s="265"/>
      <c r="H3303" s="268"/>
      <c r="I3303" s="268"/>
      <c r="J3303" s="265"/>
      <c r="K3303" s="265"/>
      <c r="L3303" s="265"/>
      <c r="M3303" s="269"/>
      <c r="N3303" s="270"/>
      <c r="O3303" s="271"/>
      <c r="P3303" s="271"/>
      <c r="Q3303" s="272"/>
      <c r="R3303" s="273"/>
      <c r="S3303" s="273"/>
      <c r="T3303" s="273"/>
      <c r="U3303" s="274"/>
      <c r="V3303" s="263"/>
      <c r="W3303" s="35"/>
      <c r="X3303" s="35"/>
      <c r="Y3303" s="35"/>
      <c r="Z3303" s="35"/>
      <c r="AA3303" s="35"/>
      <c r="AB3303" s="35"/>
      <c r="AC3303" s="35"/>
      <c r="AD3303" s="35"/>
      <c r="AE3303" s="35"/>
      <c r="AF3303" s="35"/>
      <c r="AG3303" s="35"/>
      <c r="AH3303" s="35"/>
      <c r="AI3303" s="35"/>
    </row>
    <row r="3304">
      <c r="A3304" s="263"/>
      <c r="B3304" s="264"/>
      <c r="C3304" s="265"/>
      <c r="D3304" s="265"/>
      <c r="E3304" s="264"/>
      <c r="F3304" s="265"/>
      <c r="G3304" s="265"/>
      <c r="H3304" s="268"/>
      <c r="I3304" s="268"/>
      <c r="J3304" s="265"/>
      <c r="K3304" s="265"/>
      <c r="L3304" s="265"/>
      <c r="M3304" s="269"/>
      <c r="N3304" s="270"/>
      <c r="O3304" s="271"/>
      <c r="P3304" s="271"/>
      <c r="Q3304" s="272"/>
      <c r="R3304" s="273"/>
      <c r="S3304" s="273"/>
      <c r="T3304" s="273"/>
      <c r="U3304" s="274"/>
      <c r="V3304" s="263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</row>
    <row r="3305">
      <c r="A3305" s="263"/>
      <c r="B3305" s="264"/>
      <c r="C3305" s="265"/>
      <c r="D3305" s="265"/>
      <c r="E3305" s="264"/>
      <c r="F3305" s="265"/>
      <c r="G3305" s="265"/>
      <c r="H3305" s="268"/>
      <c r="I3305" s="268"/>
      <c r="J3305" s="265"/>
      <c r="K3305" s="265"/>
      <c r="L3305" s="265"/>
      <c r="M3305" s="269"/>
      <c r="N3305" s="270"/>
      <c r="O3305" s="271"/>
      <c r="P3305" s="271"/>
      <c r="Q3305" s="272"/>
      <c r="R3305" s="273"/>
      <c r="S3305" s="273"/>
      <c r="T3305" s="273"/>
      <c r="U3305" s="274"/>
      <c r="V3305" s="263"/>
      <c r="W3305" s="35"/>
      <c r="X3305" s="35"/>
      <c r="Y3305" s="35"/>
      <c r="Z3305" s="35"/>
      <c r="AA3305" s="35"/>
      <c r="AB3305" s="35"/>
      <c r="AC3305" s="35"/>
      <c r="AD3305" s="35"/>
      <c r="AE3305" s="35"/>
      <c r="AF3305" s="35"/>
      <c r="AG3305" s="35"/>
      <c r="AH3305" s="35"/>
      <c r="AI3305" s="35"/>
    </row>
    <row r="3306">
      <c r="A3306" s="263"/>
      <c r="B3306" s="264"/>
      <c r="C3306" s="265"/>
      <c r="D3306" s="265"/>
      <c r="E3306" s="264"/>
      <c r="F3306" s="265"/>
      <c r="G3306" s="265"/>
      <c r="H3306" s="268"/>
      <c r="I3306" s="268"/>
      <c r="J3306" s="265"/>
      <c r="K3306" s="265"/>
      <c r="L3306" s="265"/>
      <c r="M3306" s="269"/>
      <c r="N3306" s="270"/>
      <c r="O3306" s="271"/>
      <c r="P3306" s="271"/>
      <c r="Q3306" s="272"/>
      <c r="R3306" s="273"/>
      <c r="S3306" s="273"/>
      <c r="T3306" s="273"/>
      <c r="U3306" s="274"/>
      <c r="V3306" s="263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</row>
    <row r="3307">
      <c r="A3307" s="263"/>
      <c r="B3307" s="264"/>
      <c r="C3307" s="265"/>
      <c r="D3307" s="265"/>
      <c r="E3307" s="264"/>
      <c r="F3307" s="265"/>
      <c r="G3307" s="265"/>
      <c r="H3307" s="268"/>
      <c r="I3307" s="268"/>
      <c r="J3307" s="265"/>
      <c r="K3307" s="265"/>
      <c r="L3307" s="265"/>
      <c r="M3307" s="269"/>
      <c r="N3307" s="270"/>
      <c r="O3307" s="271"/>
      <c r="P3307" s="271"/>
      <c r="Q3307" s="272"/>
      <c r="R3307" s="273"/>
      <c r="S3307" s="273"/>
      <c r="T3307" s="273"/>
      <c r="U3307" s="274"/>
      <c r="V3307" s="263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</row>
    <row r="3308">
      <c r="A3308" s="263"/>
      <c r="B3308" s="264"/>
      <c r="C3308" s="265"/>
      <c r="D3308" s="265"/>
      <c r="E3308" s="264"/>
      <c r="F3308" s="265"/>
      <c r="G3308" s="265"/>
      <c r="H3308" s="268"/>
      <c r="I3308" s="268"/>
      <c r="J3308" s="265"/>
      <c r="K3308" s="265"/>
      <c r="L3308" s="265"/>
      <c r="M3308" s="269"/>
      <c r="N3308" s="270"/>
      <c r="O3308" s="271"/>
      <c r="P3308" s="271"/>
      <c r="Q3308" s="272"/>
      <c r="R3308" s="273"/>
      <c r="S3308" s="273"/>
      <c r="T3308" s="273"/>
      <c r="U3308" s="274"/>
      <c r="V3308" s="263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</row>
    <row r="3309">
      <c r="A3309" s="263"/>
      <c r="B3309" s="264"/>
      <c r="C3309" s="265"/>
      <c r="D3309" s="265"/>
      <c r="E3309" s="264"/>
      <c r="F3309" s="265"/>
      <c r="G3309" s="265"/>
      <c r="H3309" s="268"/>
      <c r="I3309" s="268"/>
      <c r="J3309" s="265"/>
      <c r="K3309" s="265"/>
      <c r="L3309" s="265"/>
      <c r="M3309" s="269"/>
      <c r="N3309" s="270"/>
      <c r="O3309" s="271"/>
      <c r="P3309" s="271"/>
      <c r="Q3309" s="272"/>
      <c r="R3309" s="273"/>
      <c r="S3309" s="273"/>
      <c r="T3309" s="273"/>
      <c r="U3309" s="274"/>
      <c r="V3309" s="263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</row>
    <row r="3310">
      <c r="A3310" s="263"/>
      <c r="B3310" s="264"/>
      <c r="C3310" s="265"/>
      <c r="D3310" s="265"/>
      <c r="E3310" s="264"/>
      <c r="F3310" s="265"/>
      <c r="G3310" s="265"/>
      <c r="H3310" s="268"/>
      <c r="I3310" s="268"/>
      <c r="J3310" s="265"/>
      <c r="K3310" s="265"/>
      <c r="L3310" s="265"/>
      <c r="M3310" s="269"/>
      <c r="N3310" s="270"/>
      <c r="O3310" s="271"/>
      <c r="P3310" s="271"/>
      <c r="Q3310" s="272"/>
      <c r="R3310" s="273"/>
      <c r="S3310" s="273"/>
      <c r="T3310" s="273"/>
      <c r="U3310" s="274"/>
      <c r="V3310" s="263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</row>
    <row r="3311">
      <c r="A3311" s="263"/>
      <c r="B3311" s="264"/>
      <c r="C3311" s="265"/>
      <c r="D3311" s="265"/>
      <c r="E3311" s="264"/>
      <c r="F3311" s="265"/>
      <c r="G3311" s="265"/>
      <c r="H3311" s="268"/>
      <c r="I3311" s="268"/>
      <c r="J3311" s="265"/>
      <c r="K3311" s="265"/>
      <c r="L3311" s="265"/>
      <c r="M3311" s="269"/>
      <c r="N3311" s="270"/>
      <c r="O3311" s="271"/>
      <c r="P3311" s="271"/>
      <c r="Q3311" s="272"/>
      <c r="R3311" s="273"/>
      <c r="S3311" s="273"/>
      <c r="T3311" s="273"/>
      <c r="U3311" s="274"/>
      <c r="V3311" s="263"/>
      <c r="W3311" s="35"/>
      <c r="X3311" s="35"/>
      <c r="Y3311" s="35"/>
      <c r="Z3311" s="35"/>
      <c r="AA3311" s="35"/>
      <c r="AB3311" s="35"/>
      <c r="AC3311" s="35"/>
      <c r="AD3311" s="35"/>
      <c r="AE3311" s="35"/>
      <c r="AF3311" s="35"/>
      <c r="AG3311" s="35"/>
      <c r="AH3311" s="35"/>
      <c r="AI3311" s="35"/>
    </row>
    <row r="3312">
      <c r="A3312" s="263"/>
      <c r="B3312" s="264"/>
      <c r="C3312" s="265"/>
      <c r="D3312" s="265"/>
      <c r="E3312" s="264"/>
      <c r="F3312" s="265"/>
      <c r="G3312" s="265"/>
      <c r="H3312" s="268"/>
      <c r="I3312" s="268"/>
      <c r="J3312" s="265"/>
      <c r="K3312" s="265"/>
      <c r="L3312" s="265"/>
      <c r="M3312" s="269"/>
      <c r="N3312" s="270"/>
      <c r="O3312" s="271"/>
      <c r="P3312" s="271"/>
      <c r="Q3312" s="272"/>
      <c r="R3312" s="273"/>
      <c r="S3312" s="273"/>
      <c r="T3312" s="273"/>
      <c r="U3312" s="274"/>
      <c r="V3312" s="263"/>
      <c r="W3312" s="35"/>
      <c r="X3312" s="35"/>
      <c r="Y3312" s="35"/>
      <c r="Z3312" s="35"/>
      <c r="AA3312" s="35"/>
      <c r="AB3312" s="35"/>
      <c r="AC3312" s="35"/>
      <c r="AD3312" s="35"/>
      <c r="AE3312" s="35"/>
      <c r="AF3312" s="35"/>
      <c r="AG3312" s="35"/>
      <c r="AH3312" s="35"/>
      <c r="AI3312" s="35"/>
    </row>
    <row r="3313">
      <c r="A3313" s="263"/>
      <c r="B3313" s="264"/>
      <c r="C3313" s="265"/>
      <c r="D3313" s="265"/>
      <c r="E3313" s="264"/>
      <c r="F3313" s="265"/>
      <c r="G3313" s="265"/>
      <c r="H3313" s="268"/>
      <c r="I3313" s="268"/>
      <c r="J3313" s="265"/>
      <c r="K3313" s="265"/>
      <c r="L3313" s="265"/>
      <c r="M3313" s="269"/>
      <c r="N3313" s="270"/>
      <c r="O3313" s="271"/>
      <c r="P3313" s="271"/>
      <c r="Q3313" s="272"/>
      <c r="R3313" s="273"/>
      <c r="S3313" s="273"/>
      <c r="T3313" s="273"/>
      <c r="U3313" s="274"/>
      <c r="V3313" s="263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</row>
    <row r="3314">
      <c r="A3314" s="263"/>
      <c r="B3314" s="264"/>
      <c r="C3314" s="265"/>
      <c r="D3314" s="265"/>
      <c r="E3314" s="264"/>
      <c r="F3314" s="265"/>
      <c r="G3314" s="265"/>
      <c r="H3314" s="268"/>
      <c r="I3314" s="268"/>
      <c r="J3314" s="265"/>
      <c r="K3314" s="265"/>
      <c r="L3314" s="265"/>
      <c r="M3314" s="269"/>
      <c r="N3314" s="270"/>
      <c r="O3314" s="271"/>
      <c r="P3314" s="271"/>
      <c r="Q3314" s="272"/>
      <c r="R3314" s="273"/>
      <c r="S3314" s="273"/>
      <c r="T3314" s="273"/>
      <c r="U3314" s="274"/>
      <c r="V3314" s="263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</row>
    <row r="3315">
      <c r="A3315" s="263"/>
      <c r="B3315" s="264"/>
      <c r="C3315" s="265"/>
      <c r="D3315" s="265"/>
      <c r="E3315" s="264"/>
      <c r="F3315" s="265"/>
      <c r="G3315" s="265"/>
      <c r="H3315" s="268"/>
      <c r="I3315" s="268"/>
      <c r="J3315" s="265"/>
      <c r="K3315" s="265"/>
      <c r="L3315" s="265"/>
      <c r="M3315" s="269"/>
      <c r="N3315" s="270"/>
      <c r="O3315" s="271"/>
      <c r="P3315" s="271"/>
      <c r="Q3315" s="272"/>
      <c r="R3315" s="273"/>
      <c r="S3315" s="273"/>
      <c r="T3315" s="273"/>
      <c r="U3315" s="274"/>
      <c r="V3315" s="263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</row>
    <row r="3316">
      <c r="A3316" s="263"/>
      <c r="B3316" s="264"/>
      <c r="C3316" s="265"/>
      <c r="D3316" s="265"/>
      <c r="E3316" s="264"/>
      <c r="F3316" s="265"/>
      <c r="G3316" s="265"/>
      <c r="H3316" s="268"/>
      <c r="I3316" s="268"/>
      <c r="J3316" s="265"/>
      <c r="K3316" s="265"/>
      <c r="L3316" s="265"/>
      <c r="M3316" s="269"/>
      <c r="N3316" s="270"/>
      <c r="O3316" s="271"/>
      <c r="P3316" s="271"/>
      <c r="Q3316" s="272"/>
      <c r="R3316" s="273"/>
      <c r="S3316" s="273"/>
      <c r="T3316" s="273"/>
      <c r="U3316" s="274"/>
      <c r="V3316" s="263"/>
      <c r="W3316" s="188"/>
      <c r="X3316" s="188"/>
      <c r="Y3316" s="188"/>
      <c r="Z3316" s="188"/>
      <c r="AA3316" s="188"/>
      <c r="AB3316" s="188"/>
      <c r="AC3316" s="188"/>
      <c r="AD3316" s="188"/>
      <c r="AE3316" s="188"/>
      <c r="AF3316" s="188"/>
      <c r="AG3316" s="188"/>
      <c r="AH3316" s="188"/>
      <c r="AI3316" s="188"/>
    </row>
    <row r="3317">
      <c r="A3317" s="263"/>
      <c r="B3317" s="264"/>
      <c r="C3317" s="265"/>
      <c r="D3317" s="265"/>
      <c r="E3317" s="264"/>
      <c r="F3317" s="265"/>
      <c r="G3317" s="265"/>
      <c r="H3317" s="268"/>
      <c r="I3317" s="268"/>
      <c r="J3317" s="265"/>
      <c r="K3317" s="265"/>
      <c r="L3317" s="265"/>
      <c r="M3317" s="269"/>
      <c r="N3317" s="270"/>
      <c r="O3317" s="271"/>
      <c r="P3317" s="271"/>
      <c r="Q3317" s="272"/>
      <c r="R3317" s="273"/>
      <c r="S3317" s="273"/>
      <c r="T3317" s="273"/>
      <c r="U3317" s="274"/>
      <c r="V3317" s="263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</row>
    <row r="3318">
      <c r="A3318" s="263"/>
      <c r="B3318" s="264"/>
      <c r="C3318" s="265"/>
      <c r="D3318" s="265"/>
      <c r="E3318" s="264"/>
      <c r="F3318" s="265"/>
      <c r="G3318" s="265"/>
      <c r="H3318" s="268"/>
      <c r="I3318" s="268"/>
      <c r="J3318" s="265"/>
      <c r="K3318" s="265"/>
      <c r="L3318" s="265"/>
      <c r="M3318" s="269"/>
      <c r="N3318" s="270"/>
      <c r="O3318" s="271"/>
      <c r="P3318" s="271"/>
      <c r="Q3318" s="272"/>
      <c r="R3318" s="273"/>
      <c r="S3318" s="273"/>
      <c r="T3318" s="273"/>
      <c r="U3318" s="274"/>
      <c r="V3318" s="263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</row>
    <row r="3319">
      <c r="A3319" s="263"/>
      <c r="B3319" s="264"/>
      <c r="C3319" s="265"/>
      <c r="D3319" s="265"/>
      <c r="E3319" s="264"/>
      <c r="F3319" s="265"/>
      <c r="G3319" s="265"/>
      <c r="H3319" s="268"/>
      <c r="I3319" s="268"/>
      <c r="J3319" s="265"/>
      <c r="K3319" s="265"/>
      <c r="L3319" s="265"/>
      <c r="M3319" s="269"/>
      <c r="N3319" s="270"/>
      <c r="O3319" s="271"/>
      <c r="P3319" s="271"/>
      <c r="Q3319" s="272"/>
      <c r="R3319" s="273"/>
      <c r="S3319" s="273"/>
      <c r="T3319" s="273"/>
      <c r="U3319" s="274"/>
      <c r="V3319" s="263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</row>
    <row r="3320">
      <c r="A3320" s="263"/>
      <c r="B3320" s="264"/>
      <c r="C3320" s="265"/>
      <c r="D3320" s="265"/>
      <c r="E3320" s="264"/>
      <c r="F3320" s="265"/>
      <c r="G3320" s="265"/>
      <c r="H3320" s="268"/>
      <c r="I3320" s="268"/>
      <c r="J3320" s="265"/>
      <c r="K3320" s="265"/>
      <c r="L3320" s="265"/>
      <c r="M3320" s="269"/>
      <c r="N3320" s="270"/>
      <c r="O3320" s="271"/>
      <c r="P3320" s="271"/>
      <c r="Q3320" s="272"/>
      <c r="R3320" s="273"/>
      <c r="S3320" s="273"/>
      <c r="T3320" s="273"/>
      <c r="U3320" s="274"/>
      <c r="V3320" s="263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</row>
    <row r="3321">
      <c r="A3321" s="263"/>
      <c r="B3321" s="264"/>
      <c r="C3321" s="265"/>
      <c r="D3321" s="265"/>
      <c r="E3321" s="264"/>
      <c r="F3321" s="265"/>
      <c r="G3321" s="265"/>
      <c r="H3321" s="268"/>
      <c r="I3321" s="268"/>
      <c r="J3321" s="265"/>
      <c r="K3321" s="265"/>
      <c r="L3321" s="265"/>
      <c r="M3321" s="269"/>
      <c r="N3321" s="270"/>
      <c r="O3321" s="271"/>
      <c r="P3321" s="271"/>
      <c r="Q3321" s="272"/>
      <c r="R3321" s="273"/>
      <c r="S3321" s="273"/>
      <c r="T3321" s="273"/>
      <c r="U3321" s="274"/>
      <c r="V3321" s="263"/>
      <c r="W3321" s="188"/>
      <c r="X3321" s="188"/>
      <c r="Y3321" s="188"/>
      <c r="Z3321" s="188"/>
      <c r="AA3321" s="188"/>
      <c r="AB3321" s="188"/>
      <c r="AC3321" s="188"/>
      <c r="AD3321" s="188"/>
      <c r="AE3321" s="188"/>
      <c r="AF3321" s="188"/>
      <c r="AG3321" s="188"/>
      <c r="AH3321" s="188"/>
      <c r="AI3321" s="188"/>
    </row>
    <row r="3322">
      <c r="A3322" s="263"/>
      <c r="B3322" s="264"/>
      <c r="C3322" s="265"/>
      <c r="D3322" s="265"/>
      <c r="E3322" s="264"/>
      <c r="F3322" s="265"/>
      <c r="G3322" s="265"/>
      <c r="H3322" s="268"/>
      <c r="I3322" s="268"/>
      <c r="J3322" s="265"/>
      <c r="K3322" s="265"/>
      <c r="L3322" s="265"/>
      <c r="M3322" s="269"/>
      <c r="N3322" s="270"/>
      <c r="O3322" s="271"/>
      <c r="P3322" s="271"/>
      <c r="Q3322" s="272"/>
      <c r="R3322" s="273"/>
      <c r="S3322" s="273"/>
      <c r="T3322" s="273"/>
      <c r="U3322" s="274"/>
      <c r="V3322" s="263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</row>
    <row r="3323">
      <c r="A3323" s="263"/>
      <c r="B3323" s="264"/>
      <c r="C3323" s="265"/>
      <c r="D3323" s="265"/>
      <c r="E3323" s="264"/>
      <c r="F3323" s="265"/>
      <c r="G3323" s="265"/>
      <c r="H3323" s="268"/>
      <c r="I3323" s="268"/>
      <c r="J3323" s="265"/>
      <c r="K3323" s="265"/>
      <c r="L3323" s="265"/>
      <c r="M3323" s="269"/>
      <c r="N3323" s="270"/>
      <c r="O3323" s="271"/>
      <c r="P3323" s="271"/>
      <c r="Q3323" s="272"/>
      <c r="R3323" s="273"/>
      <c r="S3323" s="273"/>
      <c r="T3323" s="273"/>
      <c r="U3323" s="274"/>
      <c r="V3323" s="263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</row>
    <row r="3324">
      <c r="A3324" s="263"/>
      <c r="B3324" s="264"/>
      <c r="C3324" s="265"/>
      <c r="D3324" s="265"/>
      <c r="E3324" s="264"/>
      <c r="F3324" s="265"/>
      <c r="G3324" s="265"/>
      <c r="H3324" s="268"/>
      <c r="I3324" s="268"/>
      <c r="J3324" s="265"/>
      <c r="K3324" s="265"/>
      <c r="L3324" s="265"/>
      <c r="M3324" s="269"/>
      <c r="N3324" s="270"/>
      <c r="O3324" s="271"/>
      <c r="P3324" s="271"/>
      <c r="Q3324" s="272"/>
      <c r="R3324" s="273"/>
      <c r="S3324" s="273"/>
      <c r="T3324" s="273"/>
      <c r="U3324" s="274"/>
      <c r="V3324" s="263"/>
      <c r="W3324" s="188"/>
      <c r="X3324" s="188"/>
      <c r="Y3324" s="188"/>
      <c r="Z3324" s="188"/>
      <c r="AA3324" s="188"/>
      <c r="AB3324" s="188"/>
      <c r="AC3324" s="188"/>
      <c r="AD3324" s="188"/>
      <c r="AE3324" s="188"/>
      <c r="AF3324" s="188"/>
      <c r="AG3324" s="188"/>
      <c r="AH3324" s="188"/>
      <c r="AI3324" s="188"/>
    </row>
    <row r="3325">
      <c r="A3325" s="263"/>
      <c r="B3325" s="264"/>
      <c r="C3325" s="265"/>
      <c r="D3325" s="265"/>
      <c r="E3325" s="264"/>
      <c r="F3325" s="265"/>
      <c r="G3325" s="265"/>
      <c r="H3325" s="268"/>
      <c r="I3325" s="268"/>
      <c r="J3325" s="265"/>
      <c r="K3325" s="265"/>
      <c r="L3325" s="265"/>
      <c r="M3325" s="269"/>
      <c r="N3325" s="270"/>
      <c r="O3325" s="271"/>
      <c r="P3325" s="271"/>
      <c r="Q3325" s="272"/>
      <c r="R3325" s="273"/>
      <c r="S3325" s="273"/>
      <c r="T3325" s="273"/>
      <c r="U3325" s="274"/>
      <c r="V3325" s="263"/>
      <c r="W3325" s="35"/>
      <c r="X3325" s="35"/>
      <c r="Y3325" s="35"/>
      <c r="Z3325" s="35"/>
      <c r="AA3325" s="35"/>
      <c r="AB3325" s="35"/>
      <c r="AC3325" s="35"/>
      <c r="AD3325" s="35"/>
      <c r="AE3325" s="35"/>
      <c r="AF3325" s="35"/>
      <c r="AG3325" s="35"/>
      <c r="AH3325" s="35"/>
      <c r="AI3325" s="35"/>
    </row>
    <row r="3326">
      <c r="A3326" s="263"/>
      <c r="B3326" s="264"/>
      <c r="C3326" s="265"/>
      <c r="D3326" s="265"/>
      <c r="E3326" s="264"/>
      <c r="F3326" s="265"/>
      <c r="G3326" s="265"/>
      <c r="H3326" s="268"/>
      <c r="I3326" s="268"/>
      <c r="J3326" s="265"/>
      <c r="K3326" s="265"/>
      <c r="L3326" s="265"/>
      <c r="M3326" s="269"/>
      <c r="N3326" s="270"/>
      <c r="O3326" s="271"/>
      <c r="P3326" s="271"/>
      <c r="Q3326" s="272"/>
      <c r="R3326" s="273"/>
      <c r="S3326" s="273"/>
      <c r="T3326" s="273"/>
      <c r="U3326" s="274"/>
      <c r="V3326" s="263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</row>
    <row r="3327">
      <c r="A3327" s="263"/>
      <c r="B3327" s="264"/>
      <c r="C3327" s="265"/>
      <c r="D3327" s="265"/>
      <c r="E3327" s="264"/>
      <c r="F3327" s="265"/>
      <c r="G3327" s="265"/>
      <c r="H3327" s="268"/>
      <c r="I3327" s="268"/>
      <c r="J3327" s="265"/>
      <c r="K3327" s="265"/>
      <c r="L3327" s="265"/>
      <c r="M3327" s="269"/>
      <c r="N3327" s="270"/>
      <c r="O3327" s="271"/>
      <c r="P3327" s="271"/>
      <c r="Q3327" s="272"/>
      <c r="R3327" s="273"/>
      <c r="S3327" s="273"/>
      <c r="T3327" s="273"/>
      <c r="U3327" s="274"/>
      <c r="V3327" s="263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</row>
    <row r="3328">
      <c r="A3328" s="263"/>
      <c r="B3328" s="264"/>
      <c r="C3328" s="265"/>
      <c r="D3328" s="265"/>
      <c r="E3328" s="264"/>
      <c r="F3328" s="265"/>
      <c r="G3328" s="265"/>
      <c r="H3328" s="268"/>
      <c r="I3328" s="268"/>
      <c r="J3328" s="265"/>
      <c r="K3328" s="265"/>
      <c r="L3328" s="265"/>
      <c r="M3328" s="269"/>
      <c r="N3328" s="270"/>
      <c r="O3328" s="271"/>
      <c r="P3328" s="271"/>
      <c r="Q3328" s="272"/>
      <c r="R3328" s="273"/>
      <c r="S3328" s="273"/>
      <c r="T3328" s="273"/>
      <c r="U3328" s="274"/>
      <c r="V3328" s="263"/>
      <c r="W3328" s="188"/>
      <c r="X3328" s="188"/>
      <c r="Y3328" s="188"/>
      <c r="Z3328" s="188"/>
      <c r="AA3328" s="188"/>
      <c r="AB3328" s="188"/>
      <c r="AC3328" s="188"/>
      <c r="AD3328" s="188"/>
      <c r="AE3328" s="188"/>
      <c r="AF3328" s="188"/>
      <c r="AG3328" s="188"/>
      <c r="AH3328" s="188"/>
      <c r="AI3328" s="188"/>
    </row>
    <row r="3329">
      <c r="A3329" s="263"/>
      <c r="B3329" s="264"/>
      <c r="C3329" s="265"/>
      <c r="D3329" s="265"/>
      <c r="E3329" s="264"/>
      <c r="F3329" s="265"/>
      <c r="G3329" s="265"/>
      <c r="H3329" s="268"/>
      <c r="I3329" s="268"/>
      <c r="J3329" s="265"/>
      <c r="K3329" s="265"/>
      <c r="L3329" s="265"/>
      <c r="M3329" s="269"/>
      <c r="N3329" s="270"/>
      <c r="O3329" s="271"/>
      <c r="P3329" s="271"/>
      <c r="Q3329" s="272"/>
      <c r="R3329" s="273"/>
      <c r="S3329" s="273"/>
      <c r="T3329" s="273"/>
      <c r="U3329" s="274"/>
      <c r="V3329" s="263"/>
      <c r="W3329" s="35"/>
      <c r="X3329" s="35"/>
      <c r="Y3329" s="35"/>
      <c r="Z3329" s="35"/>
      <c r="AA3329" s="35"/>
      <c r="AB3329" s="35"/>
      <c r="AC3329" s="35"/>
      <c r="AD3329" s="35"/>
      <c r="AE3329" s="35"/>
      <c r="AF3329" s="35"/>
      <c r="AG3329" s="35"/>
      <c r="AH3329" s="35"/>
      <c r="AI3329" s="35"/>
    </row>
    <row r="3330">
      <c r="A3330" s="263"/>
      <c r="B3330" s="264"/>
      <c r="C3330" s="265"/>
      <c r="D3330" s="265"/>
      <c r="E3330" s="264"/>
      <c r="F3330" s="265"/>
      <c r="G3330" s="265"/>
      <c r="H3330" s="268"/>
      <c r="I3330" s="268"/>
      <c r="J3330" s="265"/>
      <c r="K3330" s="265"/>
      <c r="L3330" s="265"/>
      <c r="M3330" s="269"/>
      <c r="N3330" s="270"/>
      <c r="O3330" s="271"/>
      <c r="P3330" s="271"/>
      <c r="Q3330" s="272"/>
      <c r="R3330" s="273"/>
      <c r="S3330" s="273"/>
      <c r="T3330" s="273"/>
      <c r="U3330" s="274"/>
      <c r="V3330" s="263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</row>
    <row r="3331">
      <c r="A3331" s="263"/>
      <c r="B3331" s="264"/>
      <c r="C3331" s="265"/>
      <c r="D3331" s="265"/>
      <c r="E3331" s="264"/>
      <c r="F3331" s="265"/>
      <c r="G3331" s="265"/>
      <c r="H3331" s="268"/>
      <c r="I3331" s="268"/>
      <c r="J3331" s="265"/>
      <c r="K3331" s="265"/>
      <c r="L3331" s="265"/>
      <c r="M3331" s="269"/>
      <c r="N3331" s="270"/>
      <c r="O3331" s="271"/>
      <c r="P3331" s="271"/>
      <c r="Q3331" s="272"/>
      <c r="R3331" s="273"/>
      <c r="S3331" s="273"/>
      <c r="T3331" s="273"/>
      <c r="U3331" s="274"/>
      <c r="V3331" s="263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</row>
    <row r="3332">
      <c r="A3332" s="263"/>
      <c r="B3332" s="264"/>
      <c r="C3332" s="265"/>
      <c r="D3332" s="265"/>
      <c r="E3332" s="264"/>
      <c r="F3332" s="265"/>
      <c r="G3332" s="265"/>
      <c r="H3332" s="268"/>
      <c r="I3332" s="268"/>
      <c r="J3332" s="265"/>
      <c r="K3332" s="265"/>
      <c r="L3332" s="265"/>
      <c r="M3332" s="269"/>
      <c r="N3332" s="270"/>
      <c r="O3332" s="271"/>
      <c r="P3332" s="271"/>
      <c r="Q3332" s="272"/>
      <c r="R3332" s="273"/>
      <c r="S3332" s="273"/>
      <c r="T3332" s="273"/>
      <c r="U3332" s="274"/>
      <c r="V3332" s="263"/>
      <c r="W3332" s="188"/>
      <c r="X3332" s="188"/>
      <c r="Y3332" s="188"/>
      <c r="Z3332" s="188"/>
      <c r="AA3332" s="188"/>
      <c r="AB3332" s="188"/>
      <c r="AC3332" s="188"/>
      <c r="AD3332" s="188"/>
      <c r="AE3332" s="188"/>
      <c r="AF3332" s="188"/>
      <c r="AG3332" s="188"/>
      <c r="AH3332" s="188"/>
      <c r="AI3332" s="188"/>
    </row>
    <row r="3333">
      <c r="A3333" s="263"/>
      <c r="B3333" s="264"/>
      <c r="C3333" s="265"/>
      <c r="D3333" s="265"/>
      <c r="E3333" s="264"/>
      <c r="F3333" s="265"/>
      <c r="G3333" s="265"/>
      <c r="H3333" s="268"/>
      <c r="I3333" s="268"/>
      <c r="J3333" s="265"/>
      <c r="K3333" s="265"/>
      <c r="L3333" s="265"/>
      <c r="M3333" s="269"/>
      <c r="N3333" s="270"/>
      <c r="O3333" s="271"/>
      <c r="P3333" s="271"/>
      <c r="Q3333" s="272"/>
      <c r="R3333" s="273"/>
      <c r="S3333" s="273"/>
      <c r="T3333" s="273"/>
      <c r="U3333" s="274"/>
      <c r="V3333" s="263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</row>
    <row r="3334">
      <c r="A3334" s="263"/>
      <c r="B3334" s="264"/>
      <c r="C3334" s="265"/>
      <c r="D3334" s="265"/>
      <c r="E3334" s="264"/>
      <c r="F3334" s="265"/>
      <c r="G3334" s="265"/>
      <c r="H3334" s="268"/>
      <c r="I3334" s="268"/>
      <c r="J3334" s="265"/>
      <c r="K3334" s="265"/>
      <c r="L3334" s="265"/>
      <c r="M3334" s="269"/>
      <c r="N3334" s="270"/>
      <c r="O3334" s="271"/>
      <c r="P3334" s="271"/>
      <c r="Q3334" s="272"/>
      <c r="R3334" s="273"/>
      <c r="S3334" s="273"/>
      <c r="T3334" s="273"/>
      <c r="U3334" s="274"/>
      <c r="V3334" s="263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</row>
    <row r="3335">
      <c r="A3335" s="263"/>
      <c r="B3335" s="264"/>
      <c r="C3335" s="265"/>
      <c r="D3335" s="265"/>
      <c r="E3335" s="264"/>
      <c r="F3335" s="265"/>
      <c r="G3335" s="265"/>
      <c r="H3335" s="268"/>
      <c r="I3335" s="268"/>
      <c r="J3335" s="265"/>
      <c r="K3335" s="265"/>
      <c r="L3335" s="265"/>
      <c r="M3335" s="269"/>
      <c r="N3335" s="270"/>
      <c r="O3335" s="271"/>
      <c r="P3335" s="271"/>
      <c r="Q3335" s="272"/>
      <c r="R3335" s="273"/>
      <c r="S3335" s="273"/>
      <c r="T3335" s="273"/>
      <c r="U3335" s="274"/>
      <c r="V3335" s="263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</row>
    <row r="3336">
      <c r="A3336" s="263"/>
      <c r="B3336" s="264"/>
      <c r="C3336" s="265"/>
      <c r="D3336" s="265"/>
      <c r="E3336" s="264"/>
      <c r="F3336" s="265"/>
      <c r="G3336" s="265"/>
      <c r="H3336" s="268"/>
      <c r="I3336" s="268"/>
      <c r="J3336" s="265"/>
      <c r="K3336" s="265"/>
      <c r="L3336" s="265"/>
      <c r="M3336" s="269"/>
      <c r="N3336" s="270"/>
      <c r="O3336" s="271"/>
      <c r="P3336" s="271"/>
      <c r="Q3336" s="272"/>
      <c r="R3336" s="273"/>
      <c r="S3336" s="273"/>
      <c r="T3336" s="273"/>
      <c r="U3336" s="274"/>
      <c r="V3336" s="263"/>
      <c r="W3336" s="35"/>
      <c r="X3336" s="35"/>
      <c r="Y3336" s="35"/>
      <c r="Z3336" s="35"/>
      <c r="AA3336" s="35"/>
      <c r="AB3336" s="35"/>
      <c r="AC3336" s="35"/>
      <c r="AD3336" s="35"/>
      <c r="AE3336" s="35"/>
      <c r="AF3336" s="35"/>
      <c r="AG3336" s="35"/>
      <c r="AH3336" s="35"/>
      <c r="AI3336" s="35"/>
    </row>
    <row r="3337">
      <c r="A3337" s="263"/>
      <c r="B3337" s="264"/>
      <c r="C3337" s="265"/>
      <c r="D3337" s="265"/>
      <c r="E3337" s="264"/>
      <c r="F3337" s="265"/>
      <c r="G3337" s="265"/>
      <c r="H3337" s="268"/>
      <c r="I3337" s="268"/>
      <c r="J3337" s="265"/>
      <c r="K3337" s="265"/>
      <c r="L3337" s="265"/>
      <c r="M3337" s="269"/>
      <c r="N3337" s="270"/>
      <c r="O3337" s="271"/>
      <c r="P3337" s="271"/>
      <c r="Q3337" s="272"/>
      <c r="R3337" s="273"/>
      <c r="S3337" s="273"/>
      <c r="T3337" s="273"/>
      <c r="U3337" s="274"/>
      <c r="V3337" s="263"/>
      <c r="W3337" s="35"/>
      <c r="X3337" s="35"/>
      <c r="Y3337" s="35"/>
      <c r="Z3337" s="35"/>
      <c r="AA3337" s="35"/>
      <c r="AB3337" s="35"/>
      <c r="AC3337" s="35"/>
      <c r="AD3337" s="35"/>
      <c r="AE3337" s="35"/>
      <c r="AF3337" s="35"/>
      <c r="AG3337" s="35"/>
      <c r="AH3337" s="35"/>
      <c r="AI3337" s="35"/>
    </row>
    <row r="3338">
      <c r="A3338" s="263"/>
      <c r="B3338" s="264"/>
      <c r="C3338" s="265"/>
      <c r="D3338" s="265"/>
      <c r="E3338" s="264"/>
      <c r="F3338" s="265"/>
      <c r="G3338" s="265"/>
      <c r="H3338" s="268"/>
      <c r="I3338" s="268"/>
      <c r="J3338" s="265"/>
      <c r="K3338" s="265"/>
      <c r="L3338" s="265"/>
      <c r="M3338" s="269"/>
      <c r="N3338" s="270"/>
      <c r="O3338" s="271"/>
      <c r="P3338" s="271"/>
      <c r="Q3338" s="272"/>
      <c r="R3338" s="273"/>
      <c r="S3338" s="273"/>
      <c r="T3338" s="273"/>
      <c r="U3338" s="274"/>
      <c r="V3338" s="263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</row>
    <row r="3339">
      <c r="A3339" s="263"/>
      <c r="B3339" s="264"/>
      <c r="C3339" s="265"/>
      <c r="D3339" s="265"/>
      <c r="E3339" s="264"/>
      <c r="F3339" s="265"/>
      <c r="G3339" s="265"/>
      <c r="H3339" s="268"/>
      <c r="I3339" s="268"/>
      <c r="J3339" s="265"/>
      <c r="K3339" s="265"/>
      <c r="L3339" s="265"/>
      <c r="M3339" s="269"/>
      <c r="N3339" s="270"/>
      <c r="O3339" s="271"/>
      <c r="P3339" s="271"/>
      <c r="Q3339" s="272"/>
      <c r="R3339" s="273"/>
      <c r="S3339" s="273"/>
      <c r="T3339" s="273"/>
      <c r="U3339" s="274"/>
      <c r="V3339" s="263"/>
      <c r="W3339" s="35"/>
      <c r="X3339" s="35"/>
      <c r="Y3339" s="35"/>
      <c r="Z3339" s="35"/>
      <c r="AA3339" s="35"/>
      <c r="AB3339" s="35"/>
      <c r="AC3339" s="35"/>
      <c r="AD3339" s="35"/>
      <c r="AE3339" s="35"/>
      <c r="AF3339" s="35"/>
      <c r="AG3339" s="35"/>
      <c r="AH3339" s="35"/>
      <c r="AI3339" s="35"/>
    </row>
    <row r="3340">
      <c r="A3340" s="263"/>
      <c r="B3340" s="264"/>
      <c r="C3340" s="265"/>
      <c r="D3340" s="265"/>
      <c r="E3340" s="264"/>
      <c r="F3340" s="265"/>
      <c r="G3340" s="265"/>
      <c r="H3340" s="268"/>
      <c r="I3340" s="268"/>
      <c r="J3340" s="265"/>
      <c r="K3340" s="265"/>
      <c r="L3340" s="265"/>
      <c r="M3340" s="269"/>
      <c r="N3340" s="270"/>
      <c r="O3340" s="271"/>
      <c r="P3340" s="271"/>
      <c r="Q3340" s="272"/>
      <c r="R3340" s="273"/>
      <c r="S3340" s="273"/>
      <c r="T3340" s="273"/>
      <c r="U3340" s="274"/>
      <c r="V3340" s="263"/>
      <c r="W3340" s="35"/>
      <c r="X3340" s="35"/>
      <c r="Y3340" s="35"/>
      <c r="Z3340" s="35"/>
      <c r="AA3340" s="35"/>
      <c r="AB3340" s="35"/>
      <c r="AC3340" s="35"/>
      <c r="AD3340" s="35"/>
      <c r="AE3340" s="35"/>
      <c r="AF3340" s="35"/>
      <c r="AG3340" s="35"/>
      <c r="AH3340" s="35"/>
      <c r="AI3340" s="35"/>
    </row>
    <row r="3341">
      <c r="A3341" s="263"/>
      <c r="B3341" s="264"/>
      <c r="C3341" s="265"/>
      <c r="D3341" s="265"/>
      <c r="E3341" s="264"/>
      <c r="F3341" s="265"/>
      <c r="G3341" s="265"/>
      <c r="H3341" s="268"/>
      <c r="I3341" s="268"/>
      <c r="J3341" s="265"/>
      <c r="K3341" s="265"/>
      <c r="L3341" s="265"/>
      <c r="M3341" s="269"/>
      <c r="N3341" s="270"/>
      <c r="O3341" s="271"/>
      <c r="P3341" s="271"/>
      <c r="Q3341" s="272"/>
      <c r="R3341" s="273"/>
      <c r="S3341" s="273"/>
      <c r="T3341" s="273"/>
      <c r="U3341" s="274"/>
      <c r="V3341" s="263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</row>
    <row r="3342">
      <c r="A3342" s="263"/>
      <c r="B3342" s="264"/>
      <c r="C3342" s="265"/>
      <c r="D3342" s="265"/>
      <c r="E3342" s="264"/>
      <c r="F3342" s="265"/>
      <c r="G3342" s="265"/>
      <c r="H3342" s="268"/>
      <c r="I3342" s="268"/>
      <c r="J3342" s="265"/>
      <c r="K3342" s="265"/>
      <c r="L3342" s="265"/>
      <c r="M3342" s="269"/>
      <c r="N3342" s="270"/>
      <c r="O3342" s="271"/>
      <c r="P3342" s="271"/>
      <c r="Q3342" s="272"/>
      <c r="R3342" s="273"/>
      <c r="S3342" s="273"/>
      <c r="T3342" s="273"/>
      <c r="U3342" s="274"/>
      <c r="V3342" s="263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</row>
    <row r="3343">
      <c r="A3343" s="263"/>
      <c r="B3343" s="264"/>
      <c r="C3343" s="265"/>
      <c r="D3343" s="265"/>
      <c r="E3343" s="264"/>
      <c r="F3343" s="265"/>
      <c r="G3343" s="265"/>
      <c r="H3343" s="268"/>
      <c r="I3343" s="268"/>
      <c r="J3343" s="265"/>
      <c r="K3343" s="265"/>
      <c r="L3343" s="265"/>
      <c r="M3343" s="269"/>
      <c r="N3343" s="270"/>
      <c r="O3343" s="271"/>
      <c r="P3343" s="271"/>
      <c r="Q3343" s="272"/>
      <c r="R3343" s="273"/>
      <c r="S3343" s="273"/>
      <c r="T3343" s="273"/>
      <c r="U3343" s="274"/>
      <c r="V3343" s="263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</row>
    <row r="3344">
      <c r="A3344" s="263"/>
      <c r="B3344" s="264"/>
      <c r="C3344" s="265"/>
      <c r="D3344" s="265"/>
      <c r="E3344" s="264"/>
      <c r="F3344" s="265"/>
      <c r="G3344" s="265"/>
      <c r="H3344" s="268"/>
      <c r="I3344" s="268"/>
      <c r="J3344" s="265"/>
      <c r="K3344" s="265"/>
      <c r="L3344" s="265"/>
      <c r="M3344" s="269"/>
      <c r="N3344" s="270"/>
      <c r="O3344" s="271"/>
      <c r="P3344" s="271"/>
      <c r="Q3344" s="272"/>
      <c r="R3344" s="273"/>
      <c r="S3344" s="273"/>
      <c r="T3344" s="273"/>
      <c r="U3344" s="274"/>
      <c r="V3344" s="263"/>
      <c r="W3344" s="188"/>
      <c r="X3344" s="188"/>
      <c r="Y3344" s="188"/>
      <c r="Z3344" s="188"/>
      <c r="AA3344" s="188"/>
      <c r="AB3344" s="188"/>
      <c r="AC3344" s="188"/>
      <c r="AD3344" s="188"/>
      <c r="AE3344" s="188"/>
      <c r="AF3344" s="188"/>
      <c r="AG3344" s="188"/>
      <c r="AH3344" s="188"/>
      <c r="AI3344" s="188"/>
    </row>
    <row r="3345">
      <c r="A3345" s="263"/>
      <c r="B3345" s="264"/>
      <c r="C3345" s="265"/>
      <c r="D3345" s="265"/>
      <c r="E3345" s="264"/>
      <c r="F3345" s="265"/>
      <c r="G3345" s="265"/>
      <c r="H3345" s="268"/>
      <c r="I3345" s="268"/>
      <c r="J3345" s="265"/>
      <c r="K3345" s="265"/>
      <c r="L3345" s="265"/>
      <c r="M3345" s="269"/>
      <c r="N3345" s="270"/>
      <c r="O3345" s="271"/>
      <c r="P3345" s="271"/>
      <c r="Q3345" s="272"/>
      <c r="R3345" s="273"/>
      <c r="S3345" s="273"/>
      <c r="T3345" s="273"/>
      <c r="U3345" s="274"/>
      <c r="V3345" s="263"/>
      <c r="W3345" s="188"/>
      <c r="X3345" s="188"/>
      <c r="Y3345" s="188"/>
      <c r="Z3345" s="188"/>
      <c r="AA3345" s="188"/>
      <c r="AB3345" s="188"/>
      <c r="AC3345" s="188"/>
      <c r="AD3345" s="188"/>
      <c r="AE3345" s="188"/>
      <c r="AF3345" s="188"/>
      <c r="AG3345" s="188"/>
      <c r="AH3345" s="188"/>
      <c r="AI3345" s="188"/>
    </row>
    <row r="3346">
      <c r="A3346" s="263"/>
      <c r="B3346" s="264"/>
      <c r="C3346" s="265"/>
      <c r="D3346" s="265"/>
      <c r="E3346" s="264"/>
      <c r="F3346" s="265"/>
      <c r="G3346" s="265"/>
      <c r="H3346" s="268"/>
      <c r="I3346" s="268"/>
      <c r="J3346" s="265"/>
      <c r="K3346" s="265"/>
      <c r="L3346" s="265"/>
      <c r="M3346" s="269"/>
      <c r="N3346" s="270"/>
      <c r="O3346" s="271"/>
      <c r="P3346" s="271"/>
      <c r="Q3346" s="272"/>
      <c r="R3346" s="273"/>
      <c r="S3346" s="273"/>
      <c r="T3346" s="273"/>
      <c r="U3346" s="274"/>
      <c r="V3346" s="263"/>
      <c r="W3346" s="35"/>
      <c r="X3346" s="35"/>
      <c r="Y3346" s="35"/>
      <c r="Z3346" s="35"/>
      <c r="AA3346" s="35"/>
      <c r="AB3346" s="35"/>
      <c r="AC3346" s="35"/>
      <c r="AD3346" s="35"/>
      <c r="AE3346" s="35"/>
      <c r="AF3346" s="35"/>
      <c r="AG3346" s="35"/>
      <c r="AH3346" s="35"/>
      <c r="AI3346" s="35"/>
    </row>
    <row r="3347">
      <c r="A3347" s="263"/>
      <c r="B3347" s="264"/>
      <c r="C3347" s="265"/>
      <c r="D3347" s="265"/>
      <c r="E3347" s="264"/>
      <c r="F3347" s="265"/>
      <c r="G3347" s="265"/>
      <c r="H3347" s="268"/>
      <c r="I3347" s="268"/>
      <c r="J3347" s="265"/>
      <c r="K3347" s="265"/>
      <c r="L3347" s="265"/>
      <c r="M3347" s="269"/>
      <c r="N3347" s="270"/>
      <c r="O3347" s="271"/>
      <c r="P3347" s="271"/>
      <c r="Q3347" s="272"/>
      <c r="R3347" s="273"/>
      <c r="S3347" s="273"/>
      <c r="T3347" s="273"/>
      <c r="U3347" s="274"/>
      <c r="V3347" s="263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</row>
    <row r="3348">
      <c r="A3348" s="263"/>
      <c r="B3348" s="264"/>
      <c r="C3348" s="265"/>
      <c r="D3348" s="265"/>
      <c r="E3348" s="264"/>
      <c r="F3348" s="265"/>
      <c r="G3348" s="265"/>
      <c r="H3348" s="268"/>
      <c r="I3348" s="268"/>
      <c r="J3348" s="265"/>
      <c r="K3348" s="265"/>
      <c r="L3348" s="265"/>
      <c r="M3348" s="269"/>
      <c r="N3348" s="270"/>
      <c r="O3348" s="271"/>
      <c r="P3348" s="271"/>
      <c r="Q3348" s="272"/>
      <c r="R3348" s="273"/>
      <c r="S3348" s="273"/>
      <c r="T3348" s="273"/>
      <c r="U3348" s="274"/>
      <c r="V3348" s="263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</row>
    <row r="3349">
      <c r="A3349" s="263"/>
      <c r="B3349" s="264"/>
      <c r="C3349" s="265"/>
      <c r="D3349" s="265"/>
      <c r="E3349" s="264"/>
      <c r="F3349" s="265"/>
      <c r="G3349" s="265"/>
      <c r="H3349" s="268"/>
      <c r="I3349" s="268"/>
      <c r="J3349" s="265"/>
      <c r="K3349" s="265"/>
      <c r="L3349" s="265"/>
      <c r="M3349" s="269"/>
      <c r="N3349" s="270"/>
      <c r="O3349" s="271"/>
      <c r="P3349" s="271"/>
      <c r="Q3349" s="272"/>
      <c r="R3349" s="273"/>
      <c r="S3349" s="273"/>
      <c r="T3349" s="273"/>
      <c r="U3349" s="274"/>
      <c r="V3349" s="263"/>
      <c r="W3349" s="188"/>
      <c r="X3349" s="188"/>
      <c r="Y3349" s="188"/>
      <c r="Z3349" s="188"/>
      <c r="AA3349" s="188"/>
      <c r="AB3349" s="188"/>
      <c r="AC3349" s="188"/>
      <c r="AD3349" s="188"/>
      <c r="AE3349" s="188"/>
      <c r="AF3349" s="188"/>
      <c r="AG3349" s="188"/>
      <c r="AH3349" s="188"/>
      <c r="AI3349" s="188"/>
    </row>
    <row r="3350">
      <c r="A3350" s="263"/>
      <c r="B3350" s="264"/>
      <c r="C3350" s="265"/>
      <c r="D3350" s="265"/>
      <c r="E3350" s="264"/>
      <c r="F3350" s="265"/>
      <c r="G3350" s="265"/>
      <c r="H3350" s="268"/>
      <c r="I3350" s="268"/>
      <c r="J3350" s="265"/>
      <c r="K3350" s="265"/>
      <c r="L3350" s="265"/>
      <c r="M3350" s="269"/>
      <c r="N3350" s="270"/>
      <c r="O3350" s="271"/>
      <c r="P3350" s="271"/>
      <c r="Q3350" s="272"/>
      <c r="R3350" s="273"/>
      <c r="S3350" s="273"/>
      <c r="T3350" s="273"/>
      <c r="U3350" s="274"/>
      <c r="V3350" s="263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</row>
    <row r="3351">
      <c r="A3351" s="263"/>
      <c r="B3351" s="264"/>
      <c r="C3351" s="265"/>
      <c r="D3351" s="265"/>
      <c r="E3351" s="264"/>
      <c r="F3351" s="265"/>
      <c r="G3351" s="265"/>
      <c r="H3351" s="268"/>
      <c r="I3351" s="268"/>
      <c r="J3351" s="265"/>
      <c r="K3351" s="265"/>
      <c r="L3351" s="265"/>
      <c r="M3351" s="269"/>
      <c r="N3351" s="270"/>
      <c r="O3351" s="271"/>
      <c r="P3351" s="271"/>
      <c r="Q3351" s="272"/>
      <c r="R3351" s="273"/>
      <c r="S3351" s="273"/>
      <c r="T3351" s="273"/>
      <c r="U3351" s="274"/>
      <c r="V3351" s="263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</row>
    <row r="3352">
      <c r="A3352" s="263"/>
      <c r="B3352" s="264"/>
      <c r="C3352" s="265"/>
      <c r="D3352" s="265"/>
      <c r="E3352" s="264"/>
      <c r="F3352" s="265"/>
      <c r="G3352" s="265"/>
      <c r="H3352" s="268"/>
      <c r="I3352" s="268"/>
      <c r="J3352" s="265"/>
      <c r="K3352" s="265"/>
      <c r="L3352" s="265"/>
      <c r="M3352" s="269"/>
      <c r="N3352" s="270"/>
      <c r="O3352" s="271"/>
      <c r="P3352" s="271"/>
      <c r="Q3352" s="272"/>
      <c r="R3352" s="273"/>
      <c r="S3352" s="273"/>
      <c r="T3352" s="273"/>
      <c r="U3352" s="274"/>
      <c r="V3352" s="263"/>
      <c r="W3352" s="35"/>
      <c r="X3352" s="35"/>
      <c r="Y3352" s="35"/>
      <c r="Z3352" s="35"/>
      <c r="AA3352" s="35"/>
      <c r="AB3352" s="35"/>
      <c r="AC3352" s="35"/>
      <c r="AD3352" s="35"/>
      <c r="AE3352" s="35"/>
      <c r="AF3352" s="35"/>
      <c r="AG3352" s="35"/>
      <c r="AH3352" s="35"/>
      <c r="AI3352" s="35"/>
    </row>
    <row r="3353">
      <c r="A3353" s="263"/>
      <c r="B3353" s="264"/>
      <c r="C3353" s="265"/>
      <c r="D3353" s="265"/>
      <c r="E3353" s="264"/>
      <c r="F3353" s="265"/>
      <c r="G3353" s="265"/>
      <c r="H3353" s="268"/>
      <c r="I3353" s="268"/>
      <c r="J3353" s="265"/>
      <c r="K3353" s="265"/>
      <c r="L3353" s="265"/>
      <c r="M3353" s="269"/>
      <c r="N3353" s="270"/>
      <c r="O3353" s="271"/>
      <c r="P3353" s="271"/>
      <c r="Q3353" s="272"/>
      <c r="R3353" s="273"/>
      <c r="S3353" s="273"/>
      <c r="T3353" s="273"/>
      <c r="U3353" s="274"/>
      <c r="V3353" s="263"/>
      <c r="W3353" s="35"/>
      <c r="X3353" s="35"/>
      <c r="Y3353" s="35"/>
      <c r="Z3353" s="35"/>
      <c r="AA3353" s="35"/>
      <c r="AB3353" s="35"/>
      <c r="AC3353" s="35"/>
      <c r="AD3353" s="35"/>
      <c r="AE3353" s="35"/>
      <c r="AF3353" s="35"/>
      <c r="AG3353" s="35"/>
      <c r="AH3353" s="35"/>
      <c r="AI3353" s="35"/>
    </row>
    <row r="3354">
      <c r="A3354" s="263"/>
      <c r="B3354" s="264"/>
      <c r="C3354" s="265"/>
      <c r="D3354" s="265"/>
      <c r="E3354" s="264"/>
      <c r="F3354" s="265"/>
      <c r="G3354" s="265"/>
      <c r="H3354" s="268"/>
      <c r="I3354" s="268"/>
      <c r="J3354" s="265"/>
      <c r="K3354" s="265"/>
      <c r="L3354" s="265"/>
      <c r="M3354" s="269"/>
      <c r="N3354" s="270"/>
      <c r="O3354" s="271"/>
      <c r="P3354" s="271"/>
      <c r="Q3354" s="272"/>
      <c r="R3354" s="273"/>
      <c r="S3354" s="273"/>
      <c r="T3354" s="273"/>
      <c r="U3354" s="274"/>
      <c r="V3354" s="263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</row>
    <row r="3355">
      <c r="A3355" s="263"/>
      <c r="B3355" s="264"/>
      <c r="C3355" s="265"/>
      <c r="D3355" s="265"/>
      <c r="E3355" s="264"/>
      <c r="F3355" s="265"/>
      <c r="G3355" s="265"/>
      <c r="H3355" s="268"/>
      <c r="I3355" s="268"/>
      <c r="J3355" s="265"/>
      <c r="K3355" s="265"/>
      <c r="L3355" s="265"/>
      <c r="M3355" s="269"/>
      <c r="N3355" s="270"/>
      <c r="O3355" s="271"/>
      <c r="P3355" s="271"/>
      <c r="Q3355" s="272"/>
      <c r="R3355" s="273"/>
      <c r="S3355" s="273"/>
      <c r="T3355" s="273"/>
      <c r="U3355" s="274"/>
      <c r="V3355" s="263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</row>
    <row r="3356">
      <c r="A3356" s="263"/>
      <c r="B3356" s="264"/>
      <c r="C3356" s="265"/>
      <c r="D3356" s="265"/>
      <c r="E3356" s="264"/>
      <c r="F3356" s="265"/>
      <c r="G3356" s="265"/>
      <c r="H3356" s="268"/>
      <c r="I3356" s="268"/>
      <c r="J3356" s="265"/>
      <c r="K3356" s="265"/>
      <c r="L3356" s="265"/>
      <c r="M3356" s="269"/>
      <c r="N3356" s="270"/>
      <c r="O3356" s="271"/>
      <c r="P3356" s="271"/>
      <c r="Q3356" s="272"/>
      <c r="R3356" s="273"/>
      <c r="S3356" s="273"/>
      <c r="T3356" s="273"/>
      <c r="U3356" s="274"/>
      <c r="V3356" s="263"/>
      <c r="W3356" s="188"/>
      <c r="X3356" s="188"/>
      <c r="Y3356" s="188"/>
      <c r="Z3356" s="188"/>
      <c r="AA3356" s="188"/>
      <c r="AB3356" s="188"/>
      <c r="AC3356" s="188"/>
      <c r="AD3356" s="188"/>
      <c r="AE3356" s="188"/>
      <c r="AF3356" s="188"/>
      <c r="AG3356" s="188"/>
      <c r="AH3356" s="188"/>
      <c r="AI3356" s="188"/>
    </row>
    <row r="3357">
      <c r="A3357" s="263"/>
      <c r="B3357" s="264"/>
      <c r="C3357" s="265"/>
      <c r="D3357" s="265"/>
      <c r="E3357" s="264"/>
      <c r="F3357" s="265"/>
      <c r="G3357" s="265"/>
      <c r="H3357" s="268"/>
      <c r="I3357" s="268"/>
      <c r="J3357" s="265"/>
      <c r="K3357" s="265"/>
      <c r="L3357" s="265"/>
      <c r="M3357" s="269"/>
      <c r="N3357" s="270"/>
      <c r="O3357" s="271"/>
      <c r="P3357" s="271"/>
      <c r="Q3357" s="272"/>
      <c r="R3357" s="273"/>
      <c r="S3357" s="273"/>
      <c r="T3357" s="273"/>
      <c r="U3357" s="274"/>
      <c r="V3357" s="263"/>
      <c r="W3357" s="35"/>
      <c r="X3357" s="35"/>
      <c r="Y3357" s="35"/>
      <c r="Z3357" s="35"/>
      <c r="AA3357" s="35"/>
      <c r="AB3357" s="35"/>
      <c r="AC3357" s="35"/>
      <c r="AD3357" s="35"/>
      <c r="AE3357" s="35"/>
      <c r="AF3357" s="35"/>
      <c r="AG3357" s="35"/>
      <c r="AH3357" s="35"/>
      <c r="AI3357" s="35"/>
    </row>
    <row r="3358">
      <c r="A3358" s="263"/>
      <c r="B3358" s="264"/>
      <c r="C3358" s="265"/>
      <c r="D3358" s="265"/>
      <c r="E3358" s="264"/>
      <c r="F3358" s="265"/>
      <c r="G3358" s="265"/>
      <c r="H3358" s="268"/>
      <c r="I3358" s="268"/>
      <c r="J3358" s="265"/>
      <c r="K3358" s="265"/>
      <c r="L3358" s="265"/>
      <c r="M3358" s="269"/>
      <c r="N3358" s="270"/>
      <c r="O3358" s="271"/>
      <c r="P3358" s="271"/>
      <c r="Q3358" s="272"/>
      <c r="R3358" s="273"/>
      <c r="S3358" s="273"/>
      <c r="T3358" s="273"/>
      <c r="U3358" s="274"/>
      <c r="V3358" s="263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</row>
    <row r="3359">
      <c r="A3359" s="263"/>
      <c r="B3359" s="264"/>
      <c r="C3359" s="265"/>
      <c r="D3359" s="265"/>
      <c r="E3359" s="264"/>
      <c r="F3359" s="265"/>
      <c r="G3359" s="265"/>
      <c r="H3359" s="268"/>
      <c r="I3359" s="268"/>
      <c r="J3359" s="265"/>
      <c r="K3359" s="265"/>
      <c r="L3359" s="265"/>
      <c r="M3359" s="269"/>
      <c r="N3359" s="270"/>
      <c r="O3359" s="271"/>
      <c r="P3359" s="271"/>
      <c r="Q3359" s="272"/>
      <c r="R3359" s="273"/>
      <c r="S3359" s="273"/>
      <c r="T3359" s="273"/>
      <c r="U3359" s="274"/>
      <c r="V3359" s="263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</row>
    <row r="3360">
      <c r="A3360" s="263"/>
      <c r="B3360" s="264"/>
      <c r="C3360" s="265"/>
      <c r="D3360" s="265"/>
      <c r="E3360" s="264"/>
      <c r="F3360" s="265"/>
      <c r="G3360" s="265"/>
      <c r="H3360" s="268"/>
      <c r="I3360" s="268"/>
      <c r="J3360" s="265"/>
      <c r="K3360" s="265"/>
      <c r="L3360" s="265"/>
      <c r="M3360" s="269"/>
      <c r="N3360" s="270"/>
      <c r="O3360" s="271"/>
      <c r="P3360" s="271"/>
      <c r="Q3360" s="272"/>
      <c r="R3360" s="273"/>
      <c r="S3360" s="273"/>
      <c r="T3360" s="273"/>
      <c r="U3360" s="274"/>
      <c r="V3360" s="263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</row>
    <row r="3361">
      <c r="A3361" s="263"/>
      <c r="B3361" s="264"/>
      <c r="C3361" s="265"/>
      <c r="D3361" s="265"/>
      <c r="E3361" s="264"/>
      <c r="F3361" s="265"/>
      <c r="G3361" s="265"/>
      <c r="H3361" s="268"/>
      <c r="I3361" s="268"/>
      <c r="J3361" s="265"/>
      <c r="K3361" s="265"/>
      <c r="L3361" s="265"/>
      <c r="M3361" s="269"/>
      <c r="N3361" s="270"/>
      <c r="O3361" s="271"/>
      <c r="P3361" s="271"/>
      <c r="Q3361" s="272"/>
      <c r="R3361" s="273"/>
      <c r="S3361" s="273"/>
      <c r="T3361" s="273"/>
      <c r="U3361" s="274"/>
      <c r="V3361" s="263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</row>
    <row r="3362">
      <c r="A3362" s="263"/>
      <c r="B3362" s="264"/>
      <c r="C3362" s="265"/>
      <c r="D3362" s="265"/>
      <c r="E3362" s="264"/>
      <c r="F3362" s="265"/>
      <c r="G3362" s="265"/>
      <c r="H3362" s="268"/>
      <c r="I3362" s="268"/>
      <c r="J3362" s="265"/>
      <c r="K3362" s="265"/>
      <c r="L3362" s="265"/>
      <c r="M3362" s="269"/>
      <c r="N3362" s="270"/>
      <c r="O3362" s="271"/>
      <c r="P3362" s="271"/>
      <c r="Q3362" s="272"/>
      <c r="R3362" s="273"/>
      <c r="S3362" s="273"/>
      <c r="T3362" s="273"/>
      <c r="U3362" s="274"/>
      <c r="V3362" s="263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</row>
    <row r="3363">
      <c r="A3363" s="263"/>
      <c r="B3363" s="264"/>
      <c r="C3363" s="265"/>
      <c r="D3363" s="265"/>
      <c r="E3363" s="264"/>
      <c r="F3363" s="265"/>
      <c r="G3363" s="265"/>
      <c r="H3363" s="268"/>
      <c r="I3363" s="268"/>
      <c r="J3363" s="265"/>
      <c r="K3363" s="265"/>
      <c r="L3363" s="265"/>
      <c r="M3363" s="269"/>
      <c r="N3363" s="270"/>
      <c r="O3363" s="271"/>
      <c r="P3363" s="271"/>
      <c r="Q3363" s="272"/>
      <c r="R3363" s="273"/>
      <c r="S3363" s="273"/>
      <c r="T3363" s="273"/>
      <c r="U3363" s="274"/>
      <c r="V3363" s="263"/>
      <c r="W3363" s="35"/>
      <c r="X3363" s="35"/>
      <c r="Y3363" s="35"/>
      <c r="Z3363" s="35"/>
      <c r="AA3363" s="35"/>
      <c r="AB3363" s="35"/>
      <c r="AC3363" s="35"/>
      <c r="AD3363" s="35"/>
      <c r="AE3363" s="35"/>
      <c r="AF3363" s="35"/>
      <c r="AG3363" s="35"/>
      <c r="AH3363" s="35"/>
      <c r="AI3363" s="35"/>
    </row>
    <row r="3364">
      <c r="A3364" s="263"/>
      <c r="B3364" s="264"/>
      <c r="C3364" s="265"/>
      <c r="D3364" s="265"/>
      <c r="E3364" s="264"/>
      <c r="F3364" s="265"/>
      <c r="G3364" s="265"/>
      <c r="H3364" s="268"/>
      <c r="I3364" s="268"/>
      <c r="J3364" s="265"/>
      <c r="K3364" s="265"/>
      <c r="L3364" s="265"/>
      <c r="M3364" s="269"/>
      <c r="N3364" s="270"/>
      <c r="O3364" s="271"/>
      <c r="P3364" s="271"/>
      <c r="Q3364" s="272"/>
      <c r="R3364" s="273"/>
      <c r="S3364" s="273"/>
      <c r="T3364" s="273"/>
      <c r="U3364" s="274"/>
      <c r="V3364" s="263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</row>
    <row r="3365">
      <c r="A3365" s="263"/>
      <c r="B3365" s="264"/>
      <c r="C3365" s="265"/>
      <c r="D3365" s="265"/>
      <c r="E3365" s="264"/>
      <c r="F3365" s="265"/>
      <c r="G3365" s="265"/>
      <c r="H3365" s="268"/>
      <c r="I3365" s="268"/>
      <c r="J3365" s="265"/>
      <c r="K3365" s="265"/>
      <c r="L3365" s="265"/>
      <c r="M3365" s="269"/>
      <c r="N3365" s="270"/>
      <c r="O3365" s="271"/>
      <c r="P3365" s="271"/>
      <c r="Q3365" s="272"/>
      <c r="R3365" s="273"/>
      <c r="S3365" s="273"/>
      <c r="T3365" s="273"/>
      <c r="U3365" s="274"/>
      <c r="V3365" s="263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</row>
    <row r="3366">
      <c r="A3366" s="263"/>
      <c r="B3366" s="264"/>
      <c r="C3366" s="265"/>
      <c r="D3366" s="265"/>
      <c r="E3366" s="264"/>
      <c r="F3366" s="265"/>
      <c r="G3366" s="265"/>
      <c r="H3366" s="268"/>
      <c r="I3366" s="268"/>
      <c r="J3366" s="265"/>
      <c r="K3366" s="265"/>
      <c r="L3366" s="265"/>
      <c r="M3366" s="269"/>
      <c r="N3366" s="270"/>
      <c r="O3366" s="271"/>
      <c r="P3366" s="271"/>
      <c r="Q3366" s="272"/>
      <c r="R3366" s="273"/>
      <c r="S3366" s="273"/>
      <c r="T3366" s="273"/>
      <c r="U3366" s="274"/>
      <c r="V3366" s="263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</row>
    <row r="3367">
      <c r="A3367" s="263"/>
      <c r="B3367" s="264"/>
      <c r="C3367" s="265"/>
      <c r="D3367" s="265"/>
      <c r="E3367" s="264"/>
      <c r="F3367" s="265"/>
      <c r="G3367" s="265"/>
      <c r="H3367" s="268"/>
      <c r="I3367" s="268"/>
      <c r="J3367" s="265"/>
      <c r="K3367" s="265"/>
      <c r="L3367" s="265"/>
      <c r="M3367" s="269"/>
      <c r="N3367" s="270"/>
      <c r="O3367" s="271"/>
      <c r="P3367" s="271"/>
      <c r="Q3367" s="272"/>
      <c r="R3367" s="273"/>
      <c r="S3367" s="273"/>
      <c r="T3367" s="273"/>
      <c r="U3367" s="274"/>
      <c r="V3367" s="263"/>
      <c r="W3367" s="188"/>
      <c r="X3367" s="188"/>
      <c r="Y3367" s="188"/>
      <c r="Z3367" s="188"/>
      <c r="AA3367" s="188"/>
      <c r="AB3367" s="188"/>
      <c r="AC3367" s="188"/>
      <c r="AD3367" s="188"/>
      <c r="AE3367" s="188"/>
      <c r="AF3367" s="188"/>
      <c r="AG3367" s="188"/>
      <c r="AH3367" s="188"/>
      <c r="AI3367" s="188"/>
    </row>
    <row r="3368">
      <c r="A3368" s="263"/>
      <c r="B3368" s="264"/>
      <c r="C3368" s="265"/>
      <c r="D3368" s="265"/>
      <c r="E3368" s="264"/>
      <c r="F3368" s="265"/>
      <c r="G3368" s="265"/>
      <c r="H3368" s="268"/>
      <c r="I3368" s="268"/>
      <c r="J3368" s="265"/>
      <c r="K3368" s="265"/>
      <c r="L3368" s="265"/>
      <c r="M3368" s="269"/>
      <c r="N3368" s="270"/>
      <c r="O3368" s="271"/>
      <c r="P3368" s="271"/>
      <c r="Q3368" s="272"/>
      <c r="R3368" s="273"/>
      <c r="S3368" s="273"/>
      <c r="T3368" s="273"/>
      <c r="U3368" s="274"/>
      <c r="V3368" s="263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</row>
    <row r="3369">
      <c r="A3369" s="263"/>
      <c r="B3369" s="264"/>
      <c r="C3369" s="265"/>
      <c r="D3369" s="265"/>
      <c r="E3369" s="264"/>
      <c r="F3369" s="265"/>
      <c r="G3369" s="265"/>
      <c r="H3369" s="268"/>
      <c r="I3369" s="268"/>
      <c r="J3369" s="265"/>
      <c r="K3369" s="265"/>
      <c r="L3369" s="265"/>
      <c r="M3369" s="269"/>
      <c r="N3369" s="270"/>
      <c r="O3369" s="271"/>
      <c r="P3369" s="271"/>
      <c r="Q3369" s="272"/>
      <c r="R3369" s="273"/>
      <c r="S3369" s="273"/>
      <c r="T3369" s="273"/>
      <c r="U3369" s="274"/>
      <c r="V3369" s="263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</row>
    <row r="3370">
      <c r="A3370" s="263"/>
      <c r="B3370" s="264"/>
      <c r="C3370" s="265"/>
      <c r="D3370" s="265"/>
      <c r="E3370" s="264"/>
      <c r="F3370" s="265"/>
      <c r="G3370" s="265"/>
      <c r="H3370" s="268"/>
      <c r="I3370" s="268"/>
      <c r="J3370" s="265"/>
      <c r="K3370" s="265"/>
      <c r="L3370" s="265"/>
      <c r="M3370" s="269"/>
      <c r="N3370" s="270"/>
      <c r="O3370" s="271"/>
      <c r="P3370" s="271"/>
      <c r="Q3370" s="272"/>
      <c r="R3370" s="273"/>
      <c r="S3370" s="273"/>
      <c r="T3370" s="273"/>
      <c r="U3370" s="274"/>
      <c r="V3370" s="263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</row>
    <row r="3371">
      <c r="A3371" s="263"/>
      <c r="B3371" s="264"/>
      <c r="C3371" s="265"/>
      <c r="D3371" s="265"/>
      <c r="E3371" s="264"/>
      <c r="F3371" s="265"/>
      <c r="G3371" s="265"/>
      <c r="H3371" s="268"/>
      <c r="I3371" s="268"/>
      <c r="J3371" s="265"/>
      <c r="K3371" s="265"/>
      <c r="L3371" s="265"/>
      <c r="M3371" s="269"/>
      <c r="N3371" s="270"/>
      <c r="O3371" s="271"/>
      <c r="P3371" s="271"/>
      <c r="Q3371" s="272"/>
      <c r="R3371" s="273"/>
      <c r="S3371" s="273"/>
      <c r="T3371" s="273"/>
      <c r="U3371" s="274"/>
      <c r="V3371" s="263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</row>
    <row r="3372">
      <c r="A3372" s="263"/>
      <c r="B3372" s="264"/>
      <c r="C3372" s="265"/>
      <c r="D3372" s="265"/>
      <c r="E3372" s="264"/>
      <c r="F3372" s="265"/>
      <c r="G3372" s="265"/>
      <c r="H3372" s="268"/>
      <c r="I3372" s="268"/>
      <c r="J3372" s="265"/>
      <c r="K3372" s="265"/>
      <c r="L3372" s="265"/>
      <c r="M3372" s="269"/>
      <c r="N3372" s="270"/>
      <c r="O3372" s="271"/>
      <c r="P3372" s="271"/>
      <c r="Q3372" s="272"/>
      <c r="R3372" s="273"/>
      <c r="S3372" s="273"/>
      <c r="T3372" s="273"/>
      <c r="U3372" s="274"/>
      <c r="V3372" s="263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</row>
    <row r="3373">
      <c r="A3373" s="263"/>
      <c r="B3373" s="264"/>
      <c r="C3373" s="265"/>
      <c r="D3373" s="265"/>
      <c r="E3373" s="264"/>
      <c r="F3373" s="265"/>
      <c r="G3373" s="265"/>
      <c r="H3373" s="268"/>
      <c r="I3373" s="268"/>
      <c r="J3373" s="265"/>
      <c r="K3373" s="265"/>
      <c r="L3373" s="265"/>
      <c r="M3373" s="269"/>
      <c r="N3373" s="270"/>
      <c r="O3373" s="271"/>
      <c r="P3373" s="271"/>
      <c r="Q3373" s="272"/>
      <c r="R3373" s="273"/>
      <c r="S3373" s="273"/>
      <c r="T3373" s="273"/>
      <c r="U3373" s="274"/>
      <c r="V3373" s="263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</row>
    <row r="3374">
      <c r="A3374" s="263"/>
      <c r="B3374" s="264"/>
      <c r="C3374" s="265"/>
      <c r="D3374" s="265"/>
      <c r="E3374" s="264"/>
      <c r="F3374" s="265"/>
      <c r="G3374" s="265"/>
      <c r="H3374" s="268"/>
      <c r="I3374" s="268"/>
      <c r="J3374" s="265"/>
      <c r="K3374" s="265"/>
      <c r="L3374" s="265"/>
      <c r="M3374" s="269"/>
      <c r="N3374" s="270"/>
      <c r="O3374" s="271"/>
      <c r="P3374" s="271"/>
      <c r="Q3374" s="272"/>
      <c r="R3374" s="273"/>
      <c r="S3374" s="273"/>
      <c r="T3374" s="273"/>
      <c r="U3374" s="274"/>
      <c r="V3374" s="263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</row>
    <row r="3375">
      <c r="A3375" s="263"/>
      <c r="B3375" s="264"/>
      <c r="C3375" s="265"/>
      <c r="D3375" s="265"/>
      <c r="E3375" s="264"/>
      <c r="F3375" s="265"/>
      <c r="G3375" s="265"/>
      <c r="H3375" s="268"/>
      <c r="I3375" s="268"/>
      <c r="J3375" s="265"/>
      <c r="K3375" s="265"/>
      <c r="L3375" s="265"/>
      <c r="M3375" s="269"/>
      <c r="N3375" s="270"/>
      <c r="O3375" s="271"/>
      <c r="P3375" s="271"/>
      <c r="Q3375" s="272"/>
      <c r="R3375" s="273"/>
      <c r="S3375" s="273"/>
      <c r="T3375" s="273"/>
      <c r="U3375" s="274"/>
      <c r="V3375" s="263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</row>
    <row r="3376">
      <c r="A3376" s="263"/>
      <c r="B3376" s="264"/>
      <c r="C3376" s="265"/>
      <c r="D3376" s="265"/>
      <c r="E3376" s="264"/>
      <c r="F3376" s="265"/>
      <c r="G3376" s="265"/>
      <c r="H3376" s="268"/>
      <c r="I3376" s="268"/>
      <c r="J3376" s="265"/>
      <c r="K3376" s="265"/>
      <c r="L3376" s="265"/>
      <c r="M3376" s="269"/>
      <c r="N3376" s="270"/>
      <c r="O3376" s="271"/>
      <c r="P3376" s="271"/>
      <c r="Q3376" s="272"/>
      <c r="R3376" s="273"/>
      <c r="S3376" s="273"/>
      <c r="T3376" s="273"/>
      <c r="U3376" s="274"/>
      <c r="V3376" s="263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</row>
    <row r="3377">
      <c r="A3377" s="263"/>
      <c r="B3377" s="264"/>
      <c r="C3377" s="265"/>
      <c r="D3377" s="265"/>
      <c r="E3377" s="264"/>
      <c r="F3377" s="265"/>
      <c r="G3377" s="265"/>
      <c r="H3377" s="268"/>
      <c r="I3377" s="268"/>
      <c r="J3377" s="265"/>
      <c r="K3377" s="265"/>
      <c r="L3377" s="265"/>
      <c r="M3377" s="269"/>
      <c r="N3377" s="270"/>
      <c r="O3377" s="271"/>
      <c r="P3377" s="271"/>
      <c r="Q3377" s="272"/>
      <c r="R3377" s="273"/>
      <c r="S3377" s="273"/>
      <c r="T3377" s="273"/>
      <c r="U3377" s="274"/>
      <c r="V3377" s="263"/>
      <c r="W3377" s="188"/>
      <c r="X3377" s="188"/>
      <c r="Y3377" s="188"/>
      <c r="Z3377" s="188"/>
      <c r="AA3377" s="188"/>
      <c r="AB3377" s="188"/>
      <c r="AC3377" s="188"/>
      <c r="AD3377" s="188"/>
      <c r="AE3377" s="188"/>
      <c r="AF3377" s="188"/>
      <c r="AG3377" s="188"/>
      <c r="AH3377" s="188"/>
      <c r="AI3377" s="188"/>
    </row>
    <row r="3378">
      <c r="A3378" s="263"/>
      <c r="B3378" s="264"/>
      <c r="C3378" s="265"/>
      <c r="D3378" s="265"/>
      <c r="E3378" s="264"/>
      <c r="F3378" s="265"/>
      <c r="G3378" s="265"/>
      <c r="H3378" s="268"/>
      <c r="I3378" s="268"/>
      <c r="J3378" s="265"/>
      <c r="K3378" s="265"/>
      <c r="L3378" s="265"/>
      <c r="M3378" s="269"/>
      <c r="N3378" s="270"/>
      <c r="O3378" s="271"/>
      <c r="P3378" s="271"/>
      <c r="Q3378" s="272"/>
      <c r="R3378" s="273"/>
      <c r="S3378" s="273"/>
      <c r="T3378" s="273"/>
      <c r="U3378" s="274"/>
      <c r="V3378" s="263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</row>
    <row r="3379">
      <c r="A3379" s="263"/>
      <c r="B3379" s="264"/>
      <c r="C3379" s="265"/>
      <c r="D3379" s="265"/>
      <c r="E3379" s="264"/>
      <c r="F3379" s="265"/>
      <c r="G3379" s="265"/>
      <c r="H3379" s="268"/>
      <c r="I3379" s="268"/>
      <c r="J3379" s="265"/>
      <c r="K3379" s="265"/>
      <c r="L3379" s="265"/>
      <c r="M3379" s="269"/>
      <c r="N3379" s="270"/>
      <c r="O3379" s="271"/>
      <c r="P3379" s="271"/>
      <c r="Q3379" s="272"/>
      <c r="R3379" s="273"/>
      <c r="S3379" s="273"/>
      <c r="T3379" s="273"/>
      <c r="U3379" s="274"/>
      <c r="V3379" s="263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</row>
    <row r="3380">
      <c r="A3380" s="263"/>
      <c r="B3380" s="264"/>
      <c r="C3380" s="265"/>
      <c r="D3380" s="265"/>
      <c r="E3380" s="264"/>
      <c r="F3380" s="265"/>
      <c r="G3380" s="265"/>
      <c r="H3380" s="268"/>
      <c r="I3380" s="268"/>
      <c r="J3380" s="265"/>
      <c r="K3380" s="265"/>
      <c r="L3380" s="265"/>
      <c r="M3380" s="269"/>
      <c r="N3380" s="270"/>
      <c r="O3380" s="271"/>
      <c r="P3380" s="271"/>
      <c r="Q3380" s="272"/>
      <c r="R3380" s="273"/>
      <c r="S3380" s="273"/>
      <c r="T3380" s="273"/>
      <c r="U3380" s="274"/>
      <c r="V3380" s="263"/>
      <c r="W3380" s="35"/>
      <c r="X3380" s="35"/>
      <c r="Y3380" s="35"/>
      <c r="Z3380" s="35"/>
      <c r="AA3380" s="35"/>
      <c r="AB3380" s="35"/>
      <c r="AC3380" s="35"/>
      <c r="AD3380" s="35"/>
      <c r="AE3380" s="35"/>
      <c r="AF3380" s="35"/>
      <c r="AG3380" s="35"/>
      <c r="AH3380" s="35"/>
      <c r="AI3380" s="35"/>
    </row>
    <row r="3381">
      <c r="A3381" s="263"/>
      <c r="B3381" s="264"/>
      <c r="C3381" s="265"/>
      <c r="D3381" s="265"/>
      <c r="E3381" s="264"/>
      <c r="F3381" s="265"/>
      <c r="G3381" s="265"/>
      <c r="H3381" s="268"/>
      <c r="I3381" s="268"/>
      <c r="J3381" s="265"/>
      <c r="K3381" s="265"/>
      <c r="L3381" s="265"/>
      <c r="M3381" s="269"/>
      <c r="N3381" s="270"/>
      <c r="O3381" s="271"/>
      <c r="P3381" s="271"/>
      <c r="Q3381" s="272"/>
      <c r="R3381" s="273"/>
      <c r="S3381" s="273"/>
      <c r="T3381" s="273"/>
      <c r="U3381" s="274"/>
      <c r="V3381" s="263"/>
      <c r="W3381" s="188"/>
      <c r="X3381" s="188"/>
      <c r="Y3381" s="188"/>
      <c r="Z3381" s="188"/>
      <c r="AA3381" s="188"/>
      <c r="AB3381" s="188"/>
      <c r="AC3381" s="188"/>
      <c r="AD3381" s="188"/>
      <c r="AE3381" s="188"/>
      <c r="AF3381" s="188"/>
      <c r="AG3381" s="188"/>
      <c r="AH3381" s="188"/>
      <c r="AI3381" s="188"/>
    </row>
    <row r="3382">
      <c r="A3382" s="263"/>
      <c r="B3382" s="264"/>
      <c r="C3382" s="265"/>
      <c r="D3382" s="265"/>
      <c r="E3382" s="264"/>
      <c r="F3382" s="265"/>
      <c r="G3382" s="265"/>
      <c r="H3382" s="268"/>
      <c r="I3382" s="268"/>
      <c r="J3382" s="265"/>
      <c r="K3382" s="265"/>
      <c r="L3382" s="265"/>
      <c r="M3382" s="269"/>
      <c r="N3382" s="270"/>
      <c r="O3382" s="271"/>
      <c r="P3382" s="271"/>
      <c r="Q3382" s="272"/>
      <c r="R3382" s="273"/>
      <c r="S3382" s="273"/>
      <c r="T3382" s="273"/>
      <c r="U3382" s="274"/>
      <c r="V3382" s="263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</row>
    <row r="3383">
      <c r="A3383" s="263"/>
      <c r="B3383" s="264"/>
      <c r="C3383" s="265"/>
      <c r="D3383" s="265"/>
      <c r="E3383" s="264"/>
      <c r="F3383" s="265"/>
      <c r="G3383" s="265"/>
      <c r="H3383" s="268"/>
      <c r="I3383" s="268"/>
      <c r="J3383" s="265"/>
      <c r="K3383" s="265"/>
      <c r="L3383" s="265"/>
      <c r="M3383" s="269"/>
      <c r="N3383" s="270"/>
      <c r="O3383" s="271"/>
      <c r="P3383" s="271"/>
      <c r="Q3383" s="272"/>
      <c r="R3383" s="273"/>
      <c r="S3383" s="273"/>
      <c r="T3383" s="273"/>
      <c r="U3383" s="274"/>
      <c r="V3383" s="263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</row>
    <row r="3384">
      <c r="A3384" s="263"/>
      <c r="B3384" s="264"/>
      <c r="C3384" s="265"/>
      <c r="D3384" s="265"/>
      <c r="E3384" s="264"/>
      <c r="F3384" s="265"/>
      <c r="G3384" s="265"/>
      <c r="H3384" s="268"/>
      <c r="I3384" s="268"/>
      <c r="J3384" s="265"/>
      <c r="K3384" s="265"/>
      <c r="L3384" s="265"/>
      <c r="M3384" s="269"/>
      <c r="N3384" s="270"/>
      <c r="O3384" s="271"/>
      <c r="P3384" s="271"/>
      <c r="Q3384" s="272"/>
      <c r="R3384" s="273"/>
      <c r="S3384" s="273"/>
      <c r="T3384" s="273"/>
      <c r="U3384" s="274"/>
      <c r="V3384" s="263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</row>
    <row r="3385">
      <c r="A3385" s="263"/>
      <c r="B3385" s="264"/>
      <c r="C3385" s="265"/>
      <c r="D3385" s="265"/>
      <c r="E3385" s="264"/>
      <c r="F3385" s="265"/>
      <c r="G3385" s="265"/>
      <c r="H3385" s="268"/>
      <c r="I3385" s="268"/>
      <c r="J3385" s="265"/>
      <c r="K3385" s="265"/>
      <c r="L3385" s="265"/>
      <c r="M3385" s="269"/>
      <c r="N3385" s="270"/>
      <c r="O3385" s="271"/>
      <c r="P3385" s="271"/>
      <c r="Q3385" s="272"/>
      <c r="R3385" s="273"/>
      <c r="S3385" s="273"/>
      <c r="T3385" s="273"/>
      <c r="U3385" s="274"/>
      <c r="V3385" s="263"/>
      <c r="W3385" s="35"/>
      <c r="X3385" s="35"/>
      <c r="Y3385" s="35"/>
      <c r="Z3385" s="35"/>
      <c r="AA3385" s="35"/>
      <c r="AB3385" s="35"/>
      <c r="AC3385" s="35"/>
      <c r="AD3385" s="35"/>
      <c r="AE3385" s="35"/>
      <c r="AF3385" s="35"/>
      <c r="AG3385" s="35"/>
      <c r="AH3385" s="35"/>
      <c r="AI3385" s="35"/>
    </row>
    <row r="3386">
      <c r="A3386" s="263"/>
      <c r="B3386" s="264"/>
      <c r="C3386" s="265"/>
      <c r="D3386" s="265"/>
      <c r="E3386" s="264"/>
      <c r="F3386" s="265"/>
      <c r="G3386" s="265"/>
      <c r="H3386" s="268"/>
      <c r="I3386" s="268"/>
      <c r="J3386" s="265"/>
      <c r="K3386" s="265"/>
      <c r="L3386" s="265"/>
      <c r="M3386" s="269"/>
      <c r="N3386" s="270"/>
      <c r="O3386" s="271"/>
      <c r="P3386" s="271"/>
      <c r="Q3386" s="272"/>
      <c r="R3386" s="273"/>
      <c r="S3386" s="273"/>
      <c r="T3386" s="273"/>
      <c r="U3386" s="274"/>
      <c r="V3386" s="263"/>
      <c r="W3386" s="188"/>
      <c r="X3386" s="188"/>
      <c r="Y3386" s="188"/>
      <c r="Z3386" s="188"/>
      <c r="AA3386" s="188"/>
      <c r="AB3386" s="188"/>
      <c r="AC3386" s="188"/>
      <c r="AD3386" s="188"/>
      <c r="AE3386" s="188"/>
      <c r="AF3386" s="188"/>
      <c r="AG3386" s="188"/>
      <c r="AH3386" s="188"/>
      <c r="AI3386" s="188"/>
    </row>
    <row r="3387">
      <c r="A3387" s="263"/>
      <c r="B3387" s="264"/>
      <c r="C3387" s="265"/>
      <c r="D3387" s="265"/>
      <c r="E3387" s="264"/>
      <c r="F3387" s="265"/>
      <c r="G3387" s="265"/>
      <c r="H3387" s="268"/>
      <c r="I3387" s="268"/>
      <c r="J3387" s="265"/>
      <c r="K3387" s="265"/>
      <c r="L3387" s="265"/>
      <c r="M3387" s="269"/>
      <c r="N3387" s="270"/>
      <c r="O3387" s="271"/>
      <c r="P3387" s="271"/>
      <c r="Q3387" s="272"/>
      <c r="R3387" s="273"/>
      <c r="S3387" s="273"/>
      <c r="T3387" s="273"/>
      <c r="U3387" s="274"/>
      <c r="V3387" s="263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</row>
    <row r="3388">
      <c r="A3388" s="263"/>
      <c r="B3388" s="264"/>
      <c r="C3388" s="265"/>
      <c r="D3388" s="265"/>
      <c r="E3388" s="264"/>
      <c r="F3388" s="265"/>
      <c r="G3388" s="265"/>
      <c r="H3388" s="268"/>
      <c r="I3388" s="268"/>
      <c r="J3388" s="265"/>
      <c r="K3388" s="265"/>
      <c r="L3388" s="265"/>
      <c r="M3388" s="269"/>
      <c r="N3388" s="270"/>
      <c r="O3388" s="271"/>
      <c r="P3388" s="271"/>
      <c r="Q3388" s="272"/>
      <c r="R3388" s="273"/>
      <c r="S3388" s="273"/>
      <c r="T3388" s="273"/>
      <c r="U3388" s="274"/>
      <c r="V3388" s="263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</row>
    <row r="3389">
      <c r="A3389" s="263"/>
      <c r="B3389" s="264"/>
      <c r="C3389" s="265"/>
      <c r="D3389" s="265"/>
      <c r="E3389" s="264"/>
      <c r="F3389" s="265"/>
      <c r="G3389" s="265"/>
      <c r="H3389" s="268"/>
      <c r="I3389" s="268"/>
      <c r="J3389" s="265"/>
      <c r="K3389" s="265"/>
      <c r="L3389" s="265"/>
      <c r="M3389" s="269"/>
      <c r="N3389" s="270"/>
      <c r="O3389" s="271"/>
      <c r="P3389" s="271"/>
      <c r="Q3389" s="272"/>
      <c r="R3389" s="273"/>
      <c r="S3389" s="273"/>
      <c r="T3389" s="273"/>
      <c r="U3389" s="274"/>
      <c r="V3389" s="263"/>
      <c r="W3389" s="35"/>
      <c r="X3389" s="35"/>
      <c r="Y3389" s="35"/>
      <c r="Z3389" s="35"/>
      <c r="AA3389" s="35"/>
      <c r="AB3389" s="35"/>
      <c r="AC3389" s="35"/>
      <c r="AD3389" s="35"/>
      <c r="AE3389" s="35"/>
      <c r="AF3389" s="35"/>
      <c r="AG3389" s="35"/>
      <c r="AH3389" s="35"/>
      <c r="AI3389" s="35"/>
    </row>
    <row r="3390">
      <c r="A3390" s="263"/>
      <c r="B3390" s="264"/>
      <c r="C3390" s="265"/>
      <c r="D3390" s="265"/>
      <c r="E3390" s="264"/>
      <c r="F3390" s="265"/>
      <c r="G3390" s="265"/>
      <c r="H3390" s="268"/>
      <c r="I3390" s="268"/>
      <c r="J3390" s="265"/>
      <c r="K3390" s="265"/>
      <c r="L3390" s="265"/>
      <c r="M3390" s="269"/>
      <c r="N3390" s="270"/>
      <c r="O3390" s="271"/>
      <c r="P3390" s="271"/>
      <c r="Q3390" s="272"/>
      <c r="R3390" s="273"/>
      <c r="S3390" s="273"/>
      <c r="T3390" s="273"/>
      <c r="U3390" s="274"/>
      <c r="V3390" s="263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</row>
    <row r="3391">
      <c r="A3391" s="263"/>
      <c r="B3391" s="264"/>
      <c r="C3391" s="265"/>
      <c r="D3391" s="265"/>
      <c r="E3391" s="264"/>
      <c r="F3391" s="265"/>
      <c r="G3391" s="265"/>
      <c r="H3391" s="268"/>
      <c r="I3391" s="268"/>
      <c r="J3391" s="265"/>
      <c r="K3391" s="265"/>
      <c r="L3391" s="265"/>
      <c r="M3391" s="269"/>
      <c r="N3391" s="270"/>
      <c r="O3391" s="271"/>
      <c r="P3391" s="271"/>
      <c r="Q3391" s="272"/>
      <c r="R3391" s="273"/>
      <c r="S3391" s="273"/>
      <c r="T3391" s="273"/>
      <c r="U3391" s="274"/>
      <c r="V3391" s="263"/>
      <c r="W3391" s="35"/>
      <c r="X3391" s="35"/>
      <c r="Y3391" s="35"/>
      <c r="Z3391" s="35"/>
      <c r="AA3391" s="35"/>
      <c r="AB3391" s="35"/>
      <c r="AC3391" s="35"/>
      <c r="AD3391" s="35"/>
      <c r="AE3391" s="35"/>
      <c r="AF3391" s="35"/>
      <c r="AG3391" s="35"/>
      <c r="AH3391" s="35"/>
      <c r="AI3391" s="35"/>
    </row>
    <row r="3392">
      <c r="A3392" s="263"/>
      <c r="B3392" s="264"/>
      <c r="C3392" s="265"/>
      <c r="D3392" s="265"/>
      <c r="E3392" s="264"/>
      <c r="F3392" s="265"/>
      <c r="G3392" s="265"/>
      <c r="H3392" s="268"/>
      <c r="I3392" s="268"/>
      <c r="J3392" s="265"/>
      <c r="K3392" s="265"/>
      <c r="L3392" s="265"/>
      <c r="M3392" s="269"/>
      <c r="N3392" s="270"/>
      <c r="O3392" s="271"/>
      <c r="P3392" s="271"/>
      <c r="Q3392" s="272"/>
      <c r="R3392" s="273"/>
      <c r="S3392" s="273"/>
      <c r="T3392" s="273"/>
      <c r="U3392" s="274"/>
      <c r="V3392" s="263"/>
      <c r="W3392" s="188"/>
      <c r="X3392" s="188"/>
      <c r="Y3392" s="188"/>
      <c r="Z3392" s="188"/>
      <c r="AA3392" s="188"/>
      <c r="AB3392" s="188"/>
      <c r="AC3392" s="188"/>
      <c r="AD3392" s="188"/>
      <c r="AE3392" s="188"/>
      <c r="AF3392" s="188"/>
      <c r="AG3392" s="188"/>
      <c r="AH3392" s="188"/>
      <c r="AI3392" s="188"/>
    </row>
    <row r="3393">
      <c r="A3393" s="263"/>
      <c r="B3393" s="264"/>
      <c r="C3393" s="265"/>
      <c r="D3393" s="265"/>
      <c r="E3393" s="264"/>
      <c r="F3393" s="265"/>
      <c r="G3393" s="265"/>
      <c r="H3393" s="268"/>
      <c r="I3393" s="268"/>
      <c r="J3393" s="265"/>
      <c r="K3393" s="265"/>
      <c r="L3393" s="265"/>
      <c r="M3393" s="269"/>
      <c r="N3393" s="270"/>
      <c r="O3393" s="271"/>
      <c r="P3393" s="271"/>
      <c r="Q3393" s="272"/>
      <c r="R3393" s="273"/>
      <c r="S3393" s="273"/>
      <c r="T3393" s="273"/>
      <c r="U3393" s="274"/>
      <c r="V3393" s="263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</row>
    <row r="3394">
      <c r="A3394" s="263"/>
      <c r="B3394" s="264"/>
      <c r="C3394" s="265"/>
      <c r="D3394" s="265"/>
      <c r="E3394" s="264"/>
      <c r="F3394" s="265"/>
      <c r="G3394" s="265"/>
      <c r="H3394" s="268"/>
      <c r="I3394" s="268"/>
      <c r="J3394" s="265"/>
      <c r="K3394" s="265"/>
      <c r="L3394" s="265"/>
      <c r="M3394" s="269"/>
      <c r="N3394" s="270"/>
      <c r="O3394" s="271"/>
      <c r="P3394" s="271"/>
      <c r="Q3394" s="272"/>
      <c r="R3394" s="273"/>
      <c r="S3394" s="273"/>
      <c r="T3394" s="273"/>
      <c r="U3394" s="274"/>
      <c r="V3394" s="263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</row>
    <row r="3395">
      <c r="A3395" s="263"/>
      <c r="B3395" s="264"/>
      <c r="C3395" s="265"/>
      <c r="D3395" s="265"/>
      <c r="E3395" s="264"/>
      <c r="F3395" s="265"/>
      <c r="G3395" s="265"/>
      <c r="H3395" s="268"/>
      <c r="I3395" s="268"/>
      <c r="J3395" s="265"/>
      <c r="K3395" s="265"/>
      <c r="L3395" s="265"/>
      <c r="M3395" s="269"/>
      <c r="N3395" s="270"/>
      <c r="O3395" s="271"/>
      <c r="P3395" s="271"/>
      <c r="Q3395" s="272"/>
      <c r="R3395" s="273"/>
      <c r="S3395" s="273"/>
      <c r="T3395" s="273"/>
      <c r="U3395" s="274"/>
      <c r="V3395" s="263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</row>
    <row r="3396">
      <c r="A3396" s="263"/>
      <c r="B3396" s="264"/>
      <c r="C3396" s="265"/>
      <c r="D3396" s="265"/>
      <c r="E3396" s="264"/>
      <c r="F3396" s="265"/>
      <c r="G3396" s="265"/>
      <c r="H3396" s="268"/>
      <c r="I3396" s="268"/>
      <c r="J3396" s="265"/>
      <c r="K3396" s="265"/>
      <c r="L3396" s="265"/>
      <c r="M3396" s="269"/>
      <c r="N3396" s="270"/>
      <c r="O3396" s="271"/>
      <c r="P3396" s="271"/>
      <c r="Q3396" s="272"/>
      <c r="R3396" s="273"/>
      <c r="S3396" s="273"/>
      <c r="T3396" s="273"/>
      <c r="U3396" s="274"/>
      <c r="V3396" s="263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</row>
    <row r="3397">
      <c r="A3397" s="263"/>
      <c r="B3397" s="264"/>
      <c r="C3397" s="265"/>
      <c r="D3397" s="265"/>
      <c r="E3397" s="264"/>
      <c r="F3397" s="265"/>
      <c r="G3397" s="265"/>
      <c r="H3397" s="268"/>
      <c r="I3397" s="268"/>
      <c r="J3397" s="265"/>
      <c r="K3397" s="265"/>
      <c r="L3397" s="265"/>
      <c r="M3397" s="269"/>
      <c r="N3397" s="270"/>
      <c r="O3397" s="271"/>
      <c r="P3397" s="271"/>
      <c r="Q3397" s="272"/>
      <c r="R3397" s="273"/>
      <c r="S3397" s="273"/>
      <c r="T3397" s="273"/>
      <c r="U3397" s="274"/>
      <c r="V3397" s="263"/>
      <c r="W3397" s="188"/>
      <c r="X3397" s="188"/>
      <c r="Y3397" s="188"/>
      <c r="Z3397" s="188"/>
      <c r="AA3397" s="188"/>
      <c r="AB3397" s="188"/>
      <c r="AC3397" s="188"/>
      <c r="AD3397" s="188"/>
      <c r="AE3397" s="188"/>
      <c r="AF3397" s="188"/>
      <c r="AG3397" s="188"/>
      <c r="AH3397" s="188"/>
      <c r="AI3397" s="188"/>
    </row>
    <row r="3398">
      <c r="A3398" s="263"/>
      <c r="B3398" s="264"/>
      <c r="C3398" s="265"/>
      <c r="D3398" s="265"/>
      <c r="E3398" s="264"/>
      <c r="F3398" s="265"/>
      <c r="G3398" s="265"/>
      <c r="H3398" s="268"/>
      <c r="I3398" s="268"/>
      <c r="J3398" s="265"/>
      <c r="K3398" s="265"/>
      <c r="L3398" s="265"/>
      <c r="M3398" s="269"/>
      <c r="N3398" s="270"/>
      <c r="O3398" s="271"/>
      <c r="P3398" s="271"/>
      <c r="Q3398" s="272"/>
      <c r="R3398" s="273"/>
      <c r="S3398" s="273"/>
      <c r="T3398" s="273"/>
      <c r="U3398" s="274"/>
      <c r="V3398" s="263"/>
      <c r="W3398" s="35"/>
      <c r="X3398" s="35"/>
      <c r="Y3398" s="35"/>
      <c r="Z3398" s="35"/>
      <c r="AA3398" s="35"/>
      <c r="AB3398" s="35"/>
      <c r="AC3398" s="35"/>
      <c r="AD3398" s="35"/>
      <c r="AE3398" s="35"/>
      <c r="AF3398" s="35"/>
      <c r="AG3398" s="35"/>
      <c r="AH3398" s="35"/>
      <c r="AI3398" s="35"/>
    </row>
    <row r="3399">
      <c r="A3399" s="263"/>
      <c r="B3399" s="264"/>
      <c r="C3399" s="265"/>
      <c r="D3399" s="265"/>
      <c r="E3399" s="264"/>
      <c r="F3399" s="265"/>
      <c r="G3399" s="265"/>
      <c r="H3399" s="268"/>
      <c r="I3399" s="268"/>
      <c r="J3399" s="265"/>
      <c r="K3399" s="265"/>
      <c r="L3399" s="265"/>
      <c r="M3399" s="269"/>
      <c r="N3399" s="270"/>
      <c r="O3399" s="271"/>
      <c r="P3399" s="271"/>
      <c r="Q3399" s="272"/>
      <c r="R3399" s="273"/>
      <c r="S3399" s="273"/>
      <c r="T3399" s="273"/>
      <c r="U3399" s="274"/>
      <c r="V3399" s="263"/>
      <c r="W3399" s="35"/>
      <c r="X3399" s="35"/>
      <c r="Y3399" s="35"/>
      <c r="Z3399" s="35"/>
      <c r="AA3399" s="35"/>
      <c r="AB3399" s="35"/>
      <c r="AC3399" s="35"/>
      <c r="AD3399" s="35"/>
      <c r="AE3399" s="35"/>
      <c r="AF3399" s="35"/>
      <c r="AG3399" s="35"/>
      <c r="AH3399" s="35"/>
      <c r="AI3399" s="35"/>
    </row>
    <row r="3400">
      <c r="A3400" s="263"/>
      <c r="B3400" s="264"/>
      <c r="C3400" s="265"/>
      <c r="D3400" s="265"/>
      <c r="E3400" s="264"/>
      <c r="F3400" s="265"/>
      <c r="G3400" s="265"/>
      <c r="H3400" s="268"/>
      <c r="I3400" s="268"/>
      <c r="J3400" s="265"/>
      <c r="K3400" s="265"/>
      <c r="L3400" s="265"/>
      <c r="M3400" s="269"/>
      <c r="N3400" s="270"/>
      <c r="O3400" s="271"/>
      <c r="P3400" s="271"/>
      <c r="Q3400" s="272"/>
      <c r="R3400" s="273"/>
      <c r="S3400" s="273"/>
      <c r="T3400" s="273"/>
      <c r="U3400" s="274"/>
      <c r="V3400" s="263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</row>
    <row r="3401">
      <c r="A3401" s="263"/>
      <c r="B3401" s="264"/>
      <c r="C3401" s="265"/>
      <c r="D3401" s="265"/>
      <c r="E3401" s="264"/>
      <c r="F3401" s="265"/>
      <c r="G3401" s="265"/>
      <c r="H3401" s="268"/>
      <c r="I3401" s="268"/>
      <c r="J3401" s="265"/>
      <c r="K3401" s="265"/>
      <c r="L3401" s="265"/>
      <c r="M3401" s="269"/>
      <c r="N3401" s="270"/>
      <c r="O3401" s="271"/>
      <c r="P3401" s="271"/>
      <c r="Q3401" s="272"/>
      <c r="R3401" s="273"/>
      <c r="S3401" s="273"/>
      <c r="T3401" s="273"/>
      <c r="U3401" s="274"/>
      <c r="V3401" s="263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</row>
    <row r="3402">
      <c r="A3402" s="263"/>
      <c r="B3402" s="264"/>
      <c r="C3402" s="265"/>
      <c r="D3402" s="265"/>
      <c r="E3402" s="264"/>
      <c r="F3402" s="265"/>
      <c r="G3402" s="265"/>
      <c r="H3402" s="268"/>
      <c r="I3402" s="268"/>
      <c r="J3402" s="265"/>
      <c r="K3402" s="265"/>
      <c r="L3402" s="265"/>
      <c r="M3402" s="269"/>
      <c r="N3402" s="270"/>
      <c r="O3402" s="271"/>
      <c r="P3402" s="271"/>
      <c r="Q3402" s="272"/>
      <c r="R3402" s="273"/>
      <c r="S3402" s="273"/>
      <c r="T3402" s="273"/>
      <c r="U3402" s="274"/>
      <c r="V3402" s="263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</row>
    <row r="3403">
      <c r="A3403" s="263"/>
      <c r="B3403" s="264"/>
      <c r="C3403" s="265"/>
      <c r="D3403" s="265"/>
      <c r="E3403" s="264"/>
      <c r="F3403" s="265"/>
      <c r="G3403" s="265"/>
      <c r="H3403" s="268"/>
      <c r="I3403" s="268"/>
      <c r="J3403" s="265"/>
      <c r="K3403" s="265"/>
      <c r="L3403" s="265"/>
      <c r="M3403" s="269"/>
      <c r="N3403" s="270"/>
      <c r="O3403" s="271"/>
      <c r="P3403" s="271"/>
      <c r="Q3403" s="272"/>
      <c r="R3403" s="273"/>
      <c r="S3403" s="273"/>
      <c r="T3403" s="273"/>
      <c r="U3403" s="274"/>
      <c r="V3403" s="263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</row>
    <row r="3404">
      <c r="A3404" s="263"/>
      <c r="B3404" s="264"/>
      <c r="C3404" s="265"/>
      <c r="D3404" s="265"/>
      <c r="E3404" s="264"/>
      <c r="F3404" s="265"/>
      <c r="G3404" s="265"/>
      <c r="H3404" s="268"/>
      <c r="I3404" s="268"/>
      <c r="J3404" s="265"/>
      <c r="K3404" s="265"/>
      <c r="L3404" s="265"/>
      <c r="M3404" s="269"/>
      <c r="N3404" s="270"/>
      <c r="O3404" s="271"/>
      <c r="P3404" s="271"/>
      <c r="Q3404" s="272"/>
      <c r="R3404" s="273"/>
      <c r="S3404" s="273"/>
      <c r="T3404" s="273"/>
      <c r="U3404" s="274"/>
      <c r="V3404" s="263"/>
      <c r="W3404" s="188"/>
      <c r="X3404" s="188"/>
      <c r="Y3404" s="188"/>
      <c r="Z3404" s="188"/>
      <c r="AA3404" s="188"/>
      <c r="AB3404" s="188"/>
      <c r="AC3404" s="188"/>
      <c r="AD3404" s="188"/>
      <c r="AE3404" s="188"/>
      <c r="AF3404" s="188"/>
      <c r="AG3404" s="188"/>
      <c r="AH3404" s="188"/>
      <c r="AI3404" s="188"/>
    </row>
    <row r="3405">
      <c r="A3405" s="263"/>
      <c r="B3405" s="264"/>
      <c r="C3405" s="265"/>
      <c r="D3405" s="265"/>
      <c r="E3405" s="264"/>
      <c r="F3405" s="265"/>
      <c r="G3405" s="265"/>
      <c r="H3405" s="268"/>
      <c r="I3405" s="268"/>
      <c r="J3405" s="265"/>
      <c r="K3405" s="265"/>
      <c r="L3405" s="265"/>
      <c r="M3405" s="269"/>
      <c r="N3405" s="270"/>
      <c r="O3405" s="271"/>
      <c r="P3405" s="271"/>
      <c r="Q3405" s="272"/>
      <c r="R3405" s="273"/>
      <c r="S3405" s="273"/>
      <c r="T3405" s="273"/>
      <c r="U3405" s="274"/>
      <c r="V3405" s="263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</row>
    <row r="3406">
      <c r="A3406" s="263"/>
      <c r="B3406" s="264"/>
      <c r="C3406" s="265"/>
      <c r="D3406" s="265"/>
      <c r="E3406" s="264"/>
      <c r="F3406" s="265"/>
      <c r="G3406" s="265"/>
      <c r="H3406" s="268"/>
      <c r="I3406" s="268"/>
      <c r="J3406" s="265"/>
      <c r="K3406" s="265"/>
      <c r="L3406" s="265"/>
      <c r="M3406" s="269"/>
      <c r="N3406" s="270"/>
      <c r="O3406" s="271"/>
      <c r="P3406" s="271"/>
      <c r="Q3406" s="272"/>
      <c r="R3406" s="273"/>
      <c r="S3406" s="273"/>
      <c r="T3406" s="273"/>
      <c r="U3406" s="274"/>
      <c r="V3406" s="263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</row>
    <row r="3407">
      <c r="A3407" s="263"/>
      <c r="B3407" s="264"/>
      <c r="C3407" s="265"/>
      <c r="D3407" s="265"/>
      <c r="E3407" s="264"/>
      <c r="F3407" s="265"/>
      <c r="G3407" s="265"/>
      <c r="H3407" s="268"/>
      <c r="I3407" s="268"/>
      <c r="J3407" s="265"/>
      <c r="K3407" s="265"/>
      <c r="L3407" s="265"/>
      <c r="M3407" s="269"/>
      <c r="N3407" s="270"/>
      <c r="O3407" s="271"/>
      <c r="P3407" s="271"/>
      <c r="Q3407" s="272"/>
      <c r="R3407" s="273"/>
      <c r="S3407" s="273"/>
      <c r="T3407" s="273"/>
      <c r="U3407" s="274"/>
      <c r="V3407" s="263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</row>
    <row r="3408">
      <c r="A3408" s="263"/>
      <c r="B3408" s="264"/>
      <c r="C3408" s="265"/>
      <c r="D3408" s="265"/>
      <c r="E3408" s="264"/>
      <c r="F3408" s="265"/>
      <c r="G3408" s="265"/>
      <c r="H3408" s="268"/>
      <c r="I3408" s="268"/>
      <c r="J3408" s="265"/>
      <c r="K3408" s="265"/>
      <c r="L3408" s="265"/>
      <c r="M3408" s="269"/>
      <c r="N3408" s="270"/>
      <c r="O3408" s="271"/>
      <c r="P3408" s="271"/>
      <c r="Q3408" s="272"/>
      <c r="R3408" s="273"/>
      <c r="S3408" s="273"/>
      <c r="T3408" s="273"/>
      <c r="U3408" s="274"/>
      <c r="V3408" s="263"/>
      <c r="W3408" s="188"/>
      <c r="X3408" s="188"/>
      <c r="Y3408" s="188"/>
      <c r="Z3408" s="188"/>
      <c r="AA3408" s="188"/>
      <c r="AB3408" s="188"/>
      <c r="AC3408" s="188"/>
      <c r="AD3408" s="188"/>
      <c r="AE3408" s="188"/>
      <c r="AF3408" s="188"/>
      <c r="AG3408" s="188"/>
      <c r="AH3408" s="188"/>
      <c r="AI3408" s="188"/>
    </row>
    <row r="3409">
      <c r="A3409" s="263"/>
      <c r="B3409" s="264"/>
      <c r="C3409" s="265"/>
      <c r="D3409" s="265"/>
      <c r="E3409" s="264"/>
      <c r="F3409" s="265"/>
      <c r="G3409" s="265"/>
      <c r="H3409" s="268"/>
      <c r="I3409" s="268"/>
      <c r="J3409" s="265"/>
      <c r="K3409" s="265"/>
      <c r="L3409" s="265"/>
      <c r="M3409" s="269"/>
      <c r="N3409" s="270"/>
      <c r="O3409" s="271"/>
      <c r="P3409" s="271"/>
      <c r="Q3409" s="272"/>
      <c r="R3409" s="273"/>
      <c r="S3409" s="273"/>
      <c r="T3409" s="273"/>
      <c r="U3409" s="274"/>
      <c r="V3409" s="263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</row>
    <row r="3410">
      <c r="A3410" s="263"/>
      <c r="B3410" s="264"/>
      <c r="C3410" s="265"/>
      <c r="D3410" s="265"/>
      <c r="E3410" s="264"/>
      <c r="F3410" s="265"/>
      <c r="G3410" s="265"/>
      <c r="H3410" s="268"/>
      <c r="I3410" s="268"/>
      <c r="J3410" s="265"/>
      <c r="K3410" s="265"/>
      <c r="L3410" s="265"/>
      <c r="M3410" s="269"/>
      <c r="N3410" s="270"/>
      <c r="O3410" s="271"/>
      <c r="P3410" s="271"/>
      <c r="Q3410" s="272"/>
      <c r="R3410" s="273"/>
      <c r="S3410" s="273"/>
      <c r="T3410" s="273"/>
      <c r="U3410" s="274"/>
      <c r="V3410" s="263"/>
      <c r="W3410" s="188"/>
      <c r="X3410" s="188"/>
      <c r="Y3410" s="188"/>
      <c r="Z3410" s="188"/>
      <c r="AA3410" s="188"/>
      <c r="AB3410" s="188"/>
      <c r="AC3410" s="188"/>
      <c r="AD3410" s="188"/>
      <c r="AE3410" s="188"/>
      <c r="AF3410" s="188"/>
      <c r="AG3410" s="188"/>
      <c r="AH3410" s="188"/>
      <c r="AI3410" s="188"/>
    </row>
    <row r="3411">
      <c r="A3411" s="263"/>
      <c r="B3411" s="264"/>
      <c r="C3411" s="265"/>
      <c r="D3411" s="265"/>
      <c r="E3411" s="264"/>
      <c r="F3411" s="265"/>
      <c r="G3411" s="265"/>
      <c r="H3411" s="268"/>
      <c r="I3411" s="268"/>
      <c r="J3411" s="265"/>
      <c r="K3411" s="265"/>
      <c r="L3411" s="265"/>
      <c r="M3411" s="269"/>
      <c r="N3411" s="270"/>
      <c r="O3411" s="271"/>
      <c r="P3411" s="271"/>
      <c r="Q3411" s="272"/>
      <c r="R3411" s="273"/>
      <c r="S3411" s="273"/>
      <c r="T3411" s="273"/>
      <c r="U3411" s="274"/>
      <c r="V3411" s="263"/>
      <c r="W3411" s="35"/>
      <c r="X3411" s="35"/>
      <c r="Y3411" s="35"/>
      <c r="Z3411" s="35"/>
      <c r="AA3411" s="35"/>
      <c r="AB3411" s="35"/>
      <c r="AC3411" s="35"/>
      <c r="AD3411" s="35"/>
      <c r="AE3411" s="35"/>
      <c r="AF3411" s="35"/>
      <c r="AG3411" s="35"/>
      <c r="AH3411" s="35"/>
      <c r="AI3411" s="35"/>
    </row>
    <row r="3412">
      <c r="A3412" s="263"/>
      <c r="B3412" s="264"/>
      <c r="C3412" s="265"/>
      <c r="D3412" s="265"/>
      <c r="E3412" s="264"/>
      <c r="F3412" s="265"/>
      <c r="G3412" s="265"/>
      <c r="H3412" s="268"/>
      <c r="I3412" s="268"/>
      <c r="J3412" s="265"/>
      <c r="K3412" s="265"/>
      <c r="L3412" s="265"/>
      <c r="M3412" s="269"/>
      <c r="N3412" s="270"/>
      <c r="O3412" s="271"/>
      <c r="P3412" s="271"/>
      <c r="Q3412" s="272"/>
      <c r="R3412" s="273"/>
      <c r="S3412" s="273"/>
      <c r="T3412" s="273"/>
      <c r="U3412" s="274"/>
      <c r="V3412" s="263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</row>
    <row r="3413">
      <c r="A3413" s="263"/>
      <c r="B3413" s="264"/>
      <c r="C3413" s="265"/>
      <c r="D3413" s="265"/>
      <c r="E3413" s="264"/>
      <c r="F3413" s="265"/>
      <c r="G3413" s="265"/>
      <c r="H3413" s="268"/>
      <c r="I3413" s="268"/>
      <c r="J3413" s="265"/>
      <c r="K3413" s="265"/>
      <c r="L3413" s="265"/>
      <c r="M3413" s="269"/>
      <c r="N3413" s="270"/>
      <c r="O3413" s="271"/>
      <c r="P3413" s="271"/>
      <c r="Q3413" s="272"/>
      <c r="R3413" s="273"/>
      <c r="S3413" s="273"/>
      <c r="T3413" s="273"/>
      <c r="U3413" s="274"/>
      <c r="V3413" s="263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</row>
    <row r="3414">
      <c r="A3414" s="263"/>
      <c r="B3414" s="264"/>
      <c r="C3414" s="265"/>
      <c r="D3414" s="265"/>
      <c r="E3414" s="264"/>
      <c r="F3414" s="265"/>
      <c r="G3414" s="265"/>
      <c r="H3414" s="268"/>
      <c r="I3414" s="268"/>
      <c r="J3414" s="265"/>
      <c r="K3414" s="265"/>
      <c r="L3414" s="265"/>
      <c r="M3414" s="269"/>
      <c r="N3414" s="270"/>
      <c r="O3414" s="271"/>
      <c r="P3414" s="271"/>
      <c r="Q3414" s="272"/>
      <c r="R3414" s="273"/>
      <c r="S3414" s="273"/>
      <c r="T3414" s="273"/>
      <c r="U3414" s="274"/>
      <c r="V3414" s="263"/>
      <c r="W3414" s="188"/>
      <c r="X3414" s="188"/>
      <c r="Y3414" s="188"/>
      <c r="Z3414" s="188"/>
      <c r="AA3414" s="188"/>
      <c r="AB3414" s="188"/>
      <c r="AC3414" s="188"/>
      <c r="AD3414" s="188"/>
      <c r="AE3414" s="188"/>
      <c r="AF3414" s="188"/>
      <c r="AG3414" s="188"/>
      <c r="AH3414" s="188"/>
      <c r="AI3414" s="188"/>
    </row>
    <row r="3415">
      <c r="A3415" s="263"/>
      <c r="B3415" s="264"/>
      <c r="C3415" s="265"/>
      <c r="D3415" s="265"/>
      <c r="E3415" s="264"/>
      <c r="F3415" s="265"/>
      <c r="G3415" s="265"/>
      <c r="H3415" s="268"/>
      <c r="I3415" s="268"/>
      <c r="J3415" s="265"/>
      <c r="K3415" s="265"/>
      <c r="L3415" s="265"/>
      <c r="M3415" s="269"/>
      <c r="N3415" s="270"/>
      <c r="O3415" s="271"/>
      <c r="P3415" s="271"/>
      <c r="Q3415" s="272"/>
      <c r="R3415" s="273"/>
      <c r="S3415" s="273"/>
      <c r="T3415" s="273"/>
      <c r="U3415" s="274"/>
      <c r="V3415" s="263"/>
      <c r="W3415" s="188"/>
      <c r="X3415" s="188"/>
      <c r="Y3415" s="188"/>
      <c r="Z3415" s="188"/>
      <c r="AA3415" s="188"/>
      <c r="AB3415" s="188"/>
      <c r="AC3415" s="188"/>
      <c r="AD3415" s="188"/>
      <c r="AE3415" s="188"/>
      <c r="AF3415" s="188"/>
      <c r="AG3415" s="188"/>
      <c r="AH3415" s="188"/>
      <c r="AI3415" s="188"/>
    </row>
    <row r="3416">
      <c r="A3416" s="263"/>
      <c r="B3416" s="264"/>
      <c r="C3416" s="265"/>
      <c r="D3416" s="265"/>
      <c r="E3416" s="264"/>
      <c r="F3416" s="265"/>
      <c r="G3416" s="265"/>
      <c r="H3416" s="268"/>
      <c r="I3416" s="268"/>
      <c r="J3416" s="265"/>
      <c r="K3416" s="265"/>
      <c r="L3416" s="265"/>
      <c r="M3416" s="269"/>
      <c r="N3416" s="270"/>
      <c r="O3416" s="271"/>
      <c r="P3416" s="271"/>
      <c r="Q3416" s="272"/>
      <c r="R3416" s="273"/>
      <c r="S3416" s="273"/>
      <c r="T3416" s="273"/>
      <c r="U3416" s="274"/>
      <c r="V3416" s="263"/>
      <c r="W3416" s="188"/>
      <c r="X3416" s="188"/>
      <c r="Y3416" s="188"/>
      <c r="Z3416" s="188"/>
      <c r="AA3416" s="188"/>
      <c r="AB3416" s="188"/>
      <c r="AC3416" s="188"/>
      <c r="AD3416" s="188"/>
      <c r="AE3416" s="188"/>
      <c r="AF3416" s="188"/>
      <c r="AG3416" s="188"/>
      <c r="AH3416" s="188"/>
      <c r="AI3416" s="188"/>
    </row>
    <row r="3417">
      <c r="A3417" s="263"/>
      <c r="B3417" s="264"/>
      <c r="C3417" s="265"/>
      <c r="D3417" s="265"/>
      <c r="E3417" s="264"/>
      <c r="F3417" s="265"/>
      <c r="G3417" s="265"/>
      <c r="H3417" s="268"/>
      <c r="I3417" s="268"/>
      <c r="J3417" s="265"/>
      <c r="K3417" s="265"/>
      <c r="L3417" s="265"/>
      <c r="M3417" s="269"/>
      <c r="N3417" s="270"/>
      <c r="O3417" s="271"/>
      <c r="P3417" s="271"/>
      <c r="Q3417" s="272"/>
      <c r="R3417" s="273"/>
      <c r="S3417" s="273"/>
      <c r="T3417" s="273"/>
      <c r="U3417" s="274"/>
      <c r="V3417" s="263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</row>
    <row r="3418">
      <c r="A3418" s="263"/>
      <c r="B3418" s="264"/>
      <c r="C3418" s="265"/>
      <c r="D3418" s="265"/>
      <c r="E3418" s="264"/>
      <c r="F3418" s="265"/>
      <c r="G3418" s="265"/>
      <c r="H3418" s="268"/>
      <c r="I3418" s="268"/>
      <c r="J3418" s="265"/>
      <c r="K3418" s="265"/>
      <c r="L3418" s="265"/>
      <c r="M3418" s="269"/>
      <c r="N3418" s="270"/>
      <c r="O3418" s="271"/>
      <c r="P3418" s="271"/>
      <c r="Q3418" s="272"/>
      <c r="R3418" s="273"/>
      <c r="S3418" s="273"/>
      <c r="T3418" s="273"/>
      <c r="U3418" s="274"/>
      <c r="V3418" s="263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</row>
    <row r="3419">
      <c r="A3419" s="263"/>
      <c r="B3419" s="264"/>
      <c r="C3419" s="265"/>
      <c r="D3419" s="265"/>
      <c r="E3419" s="264"/>
      <c r="F3419" s="265"/>
      <c r="G3419" s="265"/>
      <c r="H3419" s="268"/>
      <c r="I3419" s="268"/>
      <c r="J3419" s="265"/>
      <c r="K3419" s="265"/>
      <c r="L3419" s="265"/>
      <c r="M3419" s="269"/>
      <c r="N3419" s="270"/>
      <c r="O3419" s="271"/>
      <c r="P3419" s="271"/>
      <c r="Q3419" s="272"/>
      <c r="R3419" s="273"/>
      <c r="S3419" s="273"/>
      <c r="T3419" s="273"/>
      <c r="U3419" s="274"/>
      <c r="V3419" s="263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</row>
    <row r="3420">
      <c r="A3420" s="263"/>
      <c r="B3420" s="264"/>
      <c r="C3420" s="265"/>
      <c r="D3420" s="265"/>
      <c r="E3420" s="264"/>
      <c r="F3420" s="265"/>
      <c r="G3420" s="265"/>
      <c r="H3420" s="268"/>
      <c r="I3420" s="268"/>
      <c r="J3420" s="265"/>
      <c r="K3420" s="265"/>
      <c r="L3420" s="265"/>
      <c r="M3420" s="269"/>
      <c r="N3420" s="270"/>
      <c r="O3420" s="271"/>
      <c r="P3420" s="271"/>
      <c r="Q3420" s="272"/>
      <c r="R3420" s="273"/>
      <c r="S3420" s="273"/>
      <c r="T3420" s="273"/>
      <c r="U3420" s="274"/>
      <c r="V3420" s="263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</row>
    <row r="3421">
      <c r="A3421" s="263"/>
      <c r="B3421" s="264"/>
      <c r="C3421" s="265"/>
      <c r="D3421" s="265"/>
      <c r="E3421" s="264"/>
      <c r="F3421" s="265"/>
      <c r="G3421" s="265"/>
      <c r="H3421" s="268"/>
      <c r="I3421" s="268"/>
      <c r="J3421" s="265"/>
      <c r="K3421" s="265"/>
      <c r="L3421" s="265"/>
      <c r="M3421" s="269"/>
      <c r="N3421" s="270"/>
      <c r="O3421" s="271"/>
      <c r="P3421" s="271"/>
      <c r="Q3421" s="272"/>
      <c r="R3421" s="273"/>
      <c r="S3421" s="273"/>
      <c r="T3421" s="273"/>
      <c r="U3421" s="274"/>
      <c r="V3421" s="263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</row>
    <row r="3422">
      <c r="A3422" s="263"/>
      <c r="B3422" s="264"/>
      <c r="C3422" s="265"/>
      <c r="D3422" s="265"/>
      <c r="E3422" s="264"/>
      <c r="F3422" s="265"/>
      <c r="G3422" s="265"/>
      <c r="H3422" s="268"/>
      <c r="I3422" s="268"/>
      <c r="J3422" s="265"/>
      <c r="K3422" s="265"/>
      <c r="L3422" s="265"/>
      <c r="M3422" s="269"/>
      <c r="N3422" s="270"/>
      <c r="O3422" s="271"/>
      <c r="P3422" s="271"/>
      <c r="Q3422" s="272"/>
      <c r="R3422" s="273"/>
      <c r="S3422" s="273"/>
      <c r="T3422" s="273"/>
      <c r="U3422" s="274"/>
      <c r="V3422" s="263"/>
      <c r="W3422" s="188"/>
      <c r="X3422" s="188"/>
      <c r="Y3422" s="188"/>
      <c r="Z3422" s="188"/>
      <c r="AA3422" s="188"/>
      <c r="AB3422" s="188"/>
      <c r="AC3422" s="188"/>
      <c r="AD3422" s="188"/>
      <c r="AE3422" s="188"/>
      <c r="AF3422" s="188"/>
      <c r="AG3422" s="188"/>
      <c r="AH3422" s="188"/>
      <c r="AI3422" s="188"/>
    </row>
    <row r="3423">
      <c r="A3423" s="263"/>
      <c r="B3423" s="264"/>
      <c r="C3423" s="265"/>
      <c r="D3423" s="265"/>
      <c r="E3423" s="264"/>
      <c r="F3423" s="265"/>
      <c r="G3423" s="265"/>
      <c r="H3423" s="268"/>
      <c r="I3423" s="268"/>
      <c r="J3423" s="265"/>
      <c r="K3423" s="265"/>
      <c r="L3423" s="265"/>
      <c r="M3423" s="269"/>
      <c r="N3423" s="270"/>
      <c r="O3423" s="271"/>
      <c r="P3423" s="271"/>
      <c r="Q3423" s="272"/>
      <c r="R3423" s="273"/>
      <c r="S3423" s="273"/>
      <c r="T3423" s="273"/>
      <c r="U3423" s="274"/>
      <c r="V3423" s="263"/>
      <c r="W3423" s="188"/>
      <c r="X3423" s="188"/>
      <c r="Y3423" s="188"/>
      <c r="Z3423" s="188"/>
      <c r="AA3423" s="188"/>
      <c r="AB3423" s="188"/>
      <c r="AC3423" s="188"/>
      <c r="AD3423" s="188"/>
      <c r="AE3423" s="188"/>
      <c r="AF3423" s="188"/>
      <c r="AG3423" s="188"/>
      <c r="AH3423" s="188"/>
      <c r="AI3423" s="188"/>
    </row>
    <row r="3424">
      <c r="A3424" s="263"/>
      <c r="B3424" s="264"/>
      <c r="C3424" s="265"/>
      <c r="D3424" s="265"/>
      <c r="E3424" s="264"/>
      <c r="F3424" s="265"/>
      <c r="G3424" s="265"/>
      <c r="H3424" s="268"/>
      <c r="I3424" s="268"/>
      <c r="J3424" s="265"/>
      <c r="K3424" s="265"/>
      <c r="L3424" s="265"/>
      <c r="M3424" s="269"/>
      <c r="N3424" s="270"/>
      <c r="O3424" s="271"/>
      <c r="P3424" s="271"/>
      <c r="Q3424" s="272"/>
      <c r="R3424" s="273"/>
      <c r="S3424" s="273"/>
      <c r="T3424" s="273"/>
      <c r="U3424" s="274"/>
      <c r="V3424" s="263"/>
      <c r="W3424" s="188"/>
      <c r="X3424" s="188"/>
      <c r="Y3424" s="188"/>
      <c r="Z3424" s="188"/>
      <c r="AA3424" s="188"/>
      <c r="AB3424" s="188"/>
      <c r="AC3424" s="188"/>
      <c r="AD3424" s="188"/>
      <c r="AE3424" s="188"/>
      <c r="AF3424" s="188"/>
      <c r="AG3424" s="188"/>
      <c r="AH3424" s="188"/>
      <c r="AI3424" s="188"/>
    </row>
    <row r="3425">
      <c r="A3425" s="263"/>
      <c r="B3425" s="264"/>
      <c r="C3425" s="265"/>
      <c r="D3425" s="265"/>
      <c r="E3425" s="264"/>
      <c r="F3425" s="265"/>
      <c r="G3425" s="265"/>
      <c r="H3425" s="268"/>
      <c r="I3425" s="268"/>
      <c r="J3425" s="265"/>
      <c r="K3425" s="265"/>
      <c r="L3425" s="265"/>
      <c r="M3425" s="269"/>
      <c r="N3425" s="270"/>
      <c r="O3425" s="271"/>
      <c r="P3425" s="271"/>
      <c r="Q3425" s="272"/>
      <c r="R3425" s="273"/>
      <c r="S3425" s="273"/>
      <c r="T3425" s="273"/>
      <c r="U3425" s="274"/>
      <c r="V3425" s="263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</row>
    <row r="3426">
      <c r="A3426" s="263"/>
      <c r="B3426" s="264"/>
      <c r="C3426" s="265"/>
      <c r="D3426" s="265"/>
      <c r="E3426" s="264"/>
      <c r="F3426" s="265"/>
      <c r="G3426" s="265"/>
      <c r="H3426" s="268"/>
      <c r="I3426" s="268"/>
      <c r="J3426" s="265"/>
      <c r="K3426" s="265"/>
      <c r="L3426" s="265"/>
      <c r="M3426" s="269"/>
      <c r="N3426" s="270"/>
      <c r="O3426" s="271"/>
      <c r="P3426" s="271"/>
      <c r="Q3426" s="272"/>
      <c r="R3426" s="273"/>
      <c r="S3426" s="273"/>
      <c r="T3426" s="273"/>
      <c r="U3426" s="274"/>
      <c r="V3426" s="263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</row>
    <row r="3427">
      <c r="A3427" s="263"/>
      <c r="B3427" s="264"/>
      <c r="C3427" s="265"/>
      <c r="D3427" s="265"/>
      <c r="E3427" s="264"/>
      <c r="F3427" s="265"/>
      <c r="G3427" s="265"/>
      <c r="H3427" s="268"/>
      <c r="I3427" s="268"/>
      <c r="J3427" s="265"/>
      <c r="K3427" s="265"/>
      <c r="L3427" s="265"/>
      <c r="M3427" s="269"/>
      <c r="N3427" s="270"/>
      <c r="O3427" s="271"/>
      <c r="P3427" s="271"/>
      <c r="Q3427" s="272"/>
      <c r="R3427" s="273"/>
      <c r="S3427" s="273"/>
      <c r="T3427" s="273"/>
      <c r="U3427" s="274"/>
      <c r="V3427" s="263"/>
      <c r="W3427" s="35"/>
      <c r="X3427" s="35"/>
      <c r="Y3427" s="35"/>
      <c r="Z3427" s="35"/>
      <c r="AA3427" s="35"/>
      <c r="AB3427" s="35"/>
      <c r="AC3427" s="35"/>
      <c r="AD3427" s="35"/>
      <c r="AE3427" s="35"/>
      <c r="AF3427" s="35"/>
      <c r="AG3427" s="35"/>
      <c r="AH3427" s="35"/>
      <c r="AI3427" s="35"/>
    </row>
    <row r="3428">
      <c r="A3428" s="263"/>
      <c r="B3428" s="264"/>
      <c r="C3428" s="265"/>
      <c r="D3428" s="265"/>
      <c r="E3428" s="264"/>
      <c r="F3428" s="265"/>
      <c r="G3428" s="265"/>
      <c r="H3428" s="268"/>
      <c r="I3428" s="268"/>
      <c r="J3428" s="265"/>
      <c r="K3428" s="265"/>
      <c r="L3428" s="265"/>
      <c r="M3428" s="269"/>
      <c r="N3428" s="270"/>
      <c r="O3428" s="271"/>
      <c r="P3428" s="271"/>
      <c r="Q3428" s="272"/>
      <c r="R3428" s="273"/>
      <c r="S3428" s="273"/>
      <c r="T3428" s="273"/>
      <c r="U3428" s="274"/>
      <c r="V3428" s="263"/>
      <c r="W3428" s="188"/>
      <c r="X3428" s="188"/>
      <c r="Y3428" s="188"/>
      <c r="Z3428" s="188"/>
      <c r="AA3428" s="188"/>
      <c r="AB3428" s="188"/>
      <c r="AC3428" s="188"/>
      <c r="AD3428" s="188"/>
      <c r="AE3428" s="188"/>
      <c r="AF3428" s="188"/>
      <c r="AG3428" s="188"/>
      <c r="AH3428" s="188"/>
      <c r="AI3428" s="188"/>
    </row>
    <row r="3429">
      <c r="A3429" s="263"/>
      <c r="B3429" s="264"/>
      <c r="C3429" s="265"/>
      <c r="D3429" s="265"/>
      <c r="E3429" s="264"/>
      <c r="F3429" s="265"/>
      <c r="G3429" s="265"/>
      <c r="H3429" s="268"/>
      <c r="I3429" s="268"/>
      <c r="J3429" s="265"/>
      <c r="K3429" s="265"/>
      <c r="L3429" s="265"/>
      <c r="M3429" s="269"/>
      <c r="N3429" s="270"/>
      <c r="O3429" s="271"/>
      <c r="P3429" s="271"/>
      <c r="Q3429" s="272"/>
      <c r="R3429" s="273"/>
      <c r="S3429" s="273"/>
      <c r="T3429" s="273"/>
      <c r="U3429" s="274"/>
      <c r="V3429" s="263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</row>
    <row r="3430">
      <c r="A3430" s="263"/>
      <c r="B3430" s="264"/>
      <c r="C3430" s="265"/>
      <c r="D3430" s="265"/>
      <c r="E3430" s="264"/>
      <c r="F3430" s="265"/>
      <c r="G3430" s="265"/>
      <c r="H3430" s="268"/>
      <c r="I3430" s="268"/>
      <c r="J3430" s="265"/>
      <c r="K3430" s="265"/>
      <c r="L3430" s="265"/>
      <c r="M3430" s="269"/>
      <c r="N3430" s="270"/>
      <c r="O3430" s="271"/>
      <c r="P3430" s="271"/>
      <c r="Q3430" s="272"/>
      <c r="R3430" s="273"/>
      <c r="S3430" s="273"/>
      <c r="T3430" s="273"/>
      <c r="U3430" s="274"/>
      <c r="V3430" s="263"/>
      <c r="W3430" s="188"/>
      <c r="X3430" s="188"/>
      <c r="Y3430" s="188"/>
      <c r="Z3430" s="188"/>
      <c r="AA3430" s="188"/>
      <c r="AB3430" s="188"/>
      <c r="AC3430" s="188"/>
      <c r="AD3430" s="188"/>
      <c r="AE3430" s="188"/>
      <c r="AF3430" s="188"/>
      <c r="AG3430" s="188"/>
      <c r="AH3430" s="188"/>
      <c r="AI3430" s="188"/>
    </row>
    <row r="3431">
      <c r="A3431" s="263"/>
      <c r="B3431" s="264"/>
      <c r="C3431" s="265"/>
      <c r="D3431" s="265"/>
      <c r="E3431" s="264"/>
      <c r="F3431" s="265"/>
      <c r="G3431" s="265"/>
      <c r="H3431" s="268"/>
      <c r="I3431" s="268"/>
      <c r="J3431" s="265"/>
      <c r="K3431" s="265"/>
      <c r="L3431" s="265"/>
      <c r="M3431" s="269"/>
      <c r="N3431" s="270"/>
      <c r="O3431" s="271"/>
      <c r="P3431" s="271"/>
      <c r="Q3431" s="272"/>
      <c r="R3431" s="273"/>
      <c r="S3431" s="273"/>
      <c r="T3431" s="273"/>
      <c r="U3431" s="274"/>
      <c r="V3431" s="263"/>
      <c r="W3431" s="35"/>
      <c r="X3431" s="35"/>
      <c r="Y3431" s="35"/>
      <c r="Z3431" s="35"/>
      <c r="AA3431" s="35"/>
      <c r="AB3431" s="35"/>
      <c r="AC3431" s="35"/>
      <c r="AD3431" s="35"/>
      <c r="AE3431" s="35"/>
      <c r="AF3431" s="35"/>
      <c r="AG3431" s="35"/>
      <c r="AH3431" s="35"/>
      <c r="AI3431" s="35"/>
    </row>
    <row r="3432">
      <c r="A3432" s="263"/>
      <c r="B3432" s="264"/>
      <c r="C3432" s="265"/>
      <c r="D3432" s="265"/>
      <c r="E3432" s="264"/>
      <c r="F3432" s="265"/>
      <c r="G3432" s="265"/>
      <c r="H3432" s="268"/>
      <c r="I3432" s="268"/>
      <c r="J3432" s="265"/>
      <c r="K3432" s="265"/>
      <c r="L3432" s="265"/>
      <c r="M3432" s="269"/>
      <c r="N3432" s="270"/>
      <c r="O3432" s="271"/>
      <c r="P3432" s="271"/>
      <c r="Q3432" s="272"/>
      <c r="R3432" s="273"/>
      <c r="S3432" s="273"/>
      <c r="T3432" s="273"/>
      <c r="U3432" s="274"/>
      <c r="V3432" s="263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</row>
    <row r="3433">
      <c r="A3433" s="263"/>
      <c r="B3433" s="264"/>
      <c r="C3433" s="265"/>
      <c r="D3433" s="265"/>
      <c r="E3433" s="264"/>
      <c r="F3433" s="265"/>
      <c r="G3433" s="265"/>
      <c r="H3433" s="268"/>
      <c r="I3433" s="268"/>
      <c r="J3433" s="265"/>
      <c r="K3433" s="265"/>
      <c r="L3433" s="265"/>
      <c r="M3433" s="269"/>
      <c r="N3433" s="270"/>
      <c r="O3433" s="271"/>
      <c r="P3433" s="271"/>
      <c r="Q3433" s="272"/>
      <c r="R3433" s="273"/>
      <c r="S3433" s="273"/>
      <c r="T3433" s="273"/>
      <c r="U3433" s="274"/>
      <c r="V3433" s="263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</row>
    <row r="3434">
      <c r="A3434" s="263"/>
      <c r="B3434" s="264"/>
      <c r="C3434" s="265"/>
      <c r="D3434" s="265"/>
      <c r="E3434" s="264"/>
      <c r="F3434" s="265"/>
      <c r="G3434" s="265"/>
      <c r="H3434" s="268"/>
      <c r="I3434" s="268"/>
      <c r="J3434" s="265"/>
      <c r="K3434" s="265"/>
      <c r="L3434" s="265"/>
      <c r="M3434" s="269"/>
      <c r="N3434" s="270"/>
      <c r="O3434" s="271"/>
      <c r="P3434" s="271"/>
      <c r="Q3434" s="272"/>
      <c r="R3434" s="273"/>
      <c r="S3434" s="273"/>
      <c r="T3434" s="273"/>
      <c r="U3434" s="274"/>
      <c r="V3434" s="263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</row>
    <row r="3435">
      <c r="A3435" s="263"/>
      <c r="B3435" s="264"/>
      <c r="C3435" s="265"/>
      <c r="D3435" s="265"/>
      <c r="E3435" s="264"/>
      <c r="F3435" s="265"/>
      <c r="G3435" s="265"/>
      <c r="H3435" s="268"/>
      <c r="I3435" s="268"/>
      <c r="J3435" s="265"/>
      <c r="K3435" s="265"/>
      <c r="L3435" s="265"/>
      <c r="M3435" s="269"/>
      <c r="N3435" s="270"/>
      <c r="O3435" s="271"/>
      <c r="P3435" s="271"/>
      <c r="Q3435" s="272"/>
      <c r="R3435" s="273"/>
      <c r="S3435" s="273"/>
      <c r="T3435" s="273"/>
      <c r="U3435" s="274"/>
      <c r="V3435" s="263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</row>
    <row r="3436">
      <c r="A3436" s="263"/>
      <c r="B3436" s="264"/>
      <c r="C3436" s="265"/>
      <c r="D3436" s="265"/>
      <c r="E3436" s="264"/>
      <c r="F3436" s="265"/>
      <c r="G3436" s="265"/>
      <c r="H3436" s="268"/>
      <c r="I3436" s="268"/>
      <c r="J3436" s="265"/>
      <c r="K3436" s="265"/>
      <c r="L3436" s="265"/>
      <c r="M3436" s="269"/>
      <c r="N3436" s="270"/>
      <c r="O3436" s="271"/>
      <c r="P3436" s="271"/>
      <c r="Q3436" s="272"/>
      <c r="R3436" s="273"/>
      <c r="S3436" s="273"/>
      <c r="T3436" s="273"/>
      <c r="U3436" s="274"/>
      <c r="V3436" s="263"/>
      <c r="W3436" s="35"/>
      <c r="X3436" s="35"/>
      <c r="Y3436" s="35"/>
      <c r="Z3436" s="35"/>
      <c r="AA3436" s="35"/>
      <c r="AB3436" s="35"/>
      <c r="AC3436" s="35"/>
      <c r="AD3436" s="35"/>
      <c r="AE3436" s="35"/>
      <c r="AF3436" s="35"/>
      <c r="AG3436" s="35"/>
      <c r="AH3436" s="35"/>
      <c r="AI3436" s="35"/>
    </row>
    <row r="3437">
      <c r="A3437" s="263"/>
      <c r="B3437" s="264"/>
      <c r="C3437" s="265"/>
      <c r="D3437" s="265"/>
      <c r="E3437" s="264"/>
      <c r="F3437" s="265"/>
      <c r="G3437" s="265"/>
      <c r="H3437" s="268"/>
      <c r="I3437" s="268"/>
      <c r="J3437" s="265"/>
      <c r="K3437" s="265"/>
      <c r="L3437" s="265"/>
      <c r="M3437" s="269"/>
      <c r="N3437" s="270"/>
      <c r="O3437" s="271"/>
      <c r="P3437" s="271"/>
      <c r="Q3437" s="272"/>
      <c r="R3437" s="273"/>
      <c r="S3437" s="273"/>
      <c r="T3437" s="273"/>
      <c r="U3437" s="274"/>
      <c r="V3437" s="263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</row>
    <row r="3438">
      <c r="A3438" s="263"/>
      <c r="B3438" s="264"/>
      <c r="C3438" s="265"/>
      <c r="D3438" s="265"/>
      <c r="E3438" s="264"/>
      <c r="F3438" s="265"/>
      <c r="G3438" s="265"/>
      <c r="H3438" s="268"/>
      <c r="I3438" s="268"/>
      <c r="J3438" s="265"/>
      <c r="K3438" s="265"/>
      <c r="L3438" s="265"/>
      <c r="M3438" s="269"/>
      <c r="N3438" s="270"/>
      <c r="O3438" s="271"/>
      <c r="P3438" s="271"/>
      <c r="Q3438" s="272"/>
      <c r="R3438" s="273"/>
      <c r="S3438" s="273"/>
      <c r="T3438" s="273"/>
      <c r="U3438" s="274"/>
      <c r="V3438" s="263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</row>
    <row r="3439">
      <c r="A3439" s="263"/>
      <c r="B3439" s="264"/>
      <c r="C3439" s="265"/>
      <c r="D3439" s="265"/>
      <c r="E3439" s="264"/>
      <c r="F3439" s="265"/>
      <c r="G3439" s="265"/>
      <c r="H3439" s="268"/>
      <c r="I3439" s="268"/>
      <c r="J3439" s="265"/>
      <c r="K3439" s="265"/>
      <c r="L3439" s="265"/>
      <c r="M3439" s="269"/>
      <c r="N3439" s="270"/>
      <c r="O3439" s="271"/>
      <c r="P3439" s="271"/>
      <c r="Q3439" s="272"/>
      <c r="R3439" s="273"/>
      <c r="S3439" s="273"/>
      <c r="T3439" s="273"/>
      <c r="U3439" s="274"/>
      <c r="V3439" s="263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</row>
    <row r="3440">
      <c r="A3440" s="263"/>
      <c r="B3440" s="264"/>
      <c r="C3440" s="265"/>
      <c r="D3440" s="265"/>
      <c r="E3440" s="264"/>
      <c r="F3440" s="265"/>
      <c r="G3440" s="265"/>
      <c r="H3440" s="268"/>
      <c r="I3440" s="268"/>
      <c r="J3440" s="265"/>
      <c r="K3440" s="265"/>
      <c r="L3440" s="265"/>
      <c r="M3440" s="269"/>
      <c r="N3440" s="270"/>
      <c r="O3440" s="271"/>
      <c r="P3440" s="271"/>
      <c r="Q3440" s="272"/>
      <c r="R3440" s="273"/>
      <c r="S3440" s="273"/>
      <c r="T3440" s="273"/>
      <c r="U3440" s="274"/>
      <c r="V3440" s="263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</row>
    <row r="3441">
      <c r="A3441" s="263"/>
      <c r="B3441" s="264"/>
      <c r="C3441" s="265"/>
      <c r="D3441" s="265"/>
      <c r="E3441" s="264"/>
      <c r="F3441" s="265"/>
      <c r="G3441" s="265"/>
      <c r="H3441" s="268"/>
      <c r="I3441" s="268"/>
      <c r="J3441" s="265"/>
      <c r="K3441" s="265"/>
      <c r="L3441" s="265"/>
      <c r="M3441" s="269"/>
      <c r="N3441" s="270"/>
      <c r="O3441" s="271"/>
      <c r="P3441" s="271"/>
      <c r="Q3441" s="272"/>
      <c r="R3441" s="273"/>
      <c r="S3441" s="273"/>
      <c r="T3441" s="273"/>
      <c r="U3441" s="274"/>
      <c r="V3441" s="263"/>
      <c r="W3441" s="35"/>
      <c r="X3441" s="35"/>
      <c r="Y3441" s="35"/>
      <c r="Z3441" s="35"/>
      <c r="AA3441" s="35"/>
      <c r="AB3441" s="35"/>
      <c r="AC3441" s="35"/>
      <c r="AD3441" s="35"/>
      <c r="AE3441" s="35"/>
      <c r="AF3441" s="35"/>
      <c r="AG3441" s="35"/>
      <c r="AH3441" s="35"/>
      <c r="AI3441" s="35"/>
    </row>
    <row r="3442">
      <c r="A3442" s="263"/>
      <c r="B3442" s="264"/>
      <c r="C3442" s="265"/>
      <c r="D3442" s="265"/>
      <c r="E3442" s="264"/>
      <c r="F3442" s="265"/>
      <c r="G3442" s="265"/>
      <c r="H3442" s="268"/>
      <c r="I3442" s="268"/>
      <c r="J3442" s="265"/>
      <c r="K3442" s="265"/>
      <c r="L3442" s="265"/>
      <c r="M3442" s="269"/>
      <c r="N3442" s="270"/>
      <c r="O3442" s="271"/>
      <c r="P3442" s="271"/>
      <c r="Q3442" s="272"/>
      <c r="R3442" s="273"/>
      <c r="S3442" s="273"/>
      <c r="T3442" s="273"/>
      <c r="U3442" s="274"/>
      <c r="V3442" s="263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</row>
    <row r="3443">
      <c r="A3443" s="263"/>
      <c r="B3443" s="264"/>
      <c r="C3443" s="265"/>
      <c r="D3443" s="265"/>
      <c r="E3443" s="264"/>
      <c r="F3443" s="265"/>
      <c r="G3443" s="265"/>
      <c r="H3443" s="268"/>
      <c r="I3443" s="268"/>
      <c r="J3443" s="265"/>
      <c r="K3443" s="265"/>
      <c r="L3443" s="265"/>
      <c r="M3443" s="269"/>
      <c r="N3443" s="270"/>
      <c r="O3443" s="271"/>
      <c r="P3443" s="271"/>
      <c r="Q3443" s="272"/>
      <c r="R3443" s="273"/>
      <c r="S3443" s="273"/>
      <c r="T3443" s="273"/>
      <c r="U3443" s="274"/>
      <c r="V3443" s="263"/>
      <c r="W3443" s="188"/>
      <c r="X3443" s="188"/>
      <c r="Y3443" s="188"/>
      <c r="Z3443" s="188"/>
      <c r="AA3443" s="188"/>
      <c r="AB3443" s="188"/>
      <c r="AC3443" s="188"/>
      <c r="AD3443" s="188"/>
      <c r="AE3443" s="188"/>
      <c r="AF3443" s="188"/>
      <c r="AG3443" s="188"/>
      <c r="AH3443" s="188"/>
      <c r="AI3443" s="188"/>
    </row>
    <row r="3444">
      <c r="A3444" s="263"/>
      <c r="B3444" s="264"/>
      <c r="C3444" s="265"/>
      <c r="D3444" s="265"/>
      <c r="E3444" s="264"/>
      <c r="F3444" s="265"/>
      <c r="G3444" s="265"/>
      <c r="H3444" s="268"/>
      <c r="I3444" s="268"/>
      <c r="J3444" s="265"/>
      <c r="K3444" s="265"/>
      <c r="L3444" s="265"/>
      <c r="M3444" s="269"/>
      <c r="N3444" s="270"/>
      <c r="O3444" s="271"/>
      <c r="P3444" s="271"/>
      <c r="Q3444" s="272"/>
      <c r="R3444" s="273"/>
      <c r="S3444" s="273"/>
      <c r="T3444" s="273"/>
      <c r="U3444" s="274"/>
      <c r="V3444" s="263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</row>
    <row r="3445">
      <c r="A3445" s="263"/>
      <c r="B3445" s="264"/>
      <c r="C3445" s="265"/>
      <c r="D3445" s="265"/>
      <c r="E3445" s="264"/>
      <c r="F3445" s="265"/>
      <c r="G3445" s="265"/>
      <c r="H3445" s="268"/>
      <c r="I3445" s="268"/>
      <c r="J3445" s="265"/>
      <c r="K3445" s="265"/>
      <c r="L3445" s="265"/>
      <c r="M3445" s="269"/>
      <c r="N3445" s="270"/>
      <c r="O3445" s="271"/>
      <c r="P3445" s="271"/>
      <c r="Q3445" s="272"/>
      <c r="R3445" s="273"/>
      <c r="S3445" s="273"/>
      <c r="T3445" s="273"/>
      <c r="U3445" s="274"/>
      <c r="V3445" s="263"/>
      <c r="W3445" s="188"/>
      <c r="X3445" s="188"/>
      <c r="Y3445" s="188"/>
      <c r="Z3445" s="188"/>
      <c r="AA3445" s="188"/>
      <c r="AB3445" s="188"/>
      <c r="AC3445" s="188"/>
      <c r="AD3445" s="188"/>
      <c r="AE3445" s="188"/>
      <c r="AF3445" s="188"/>
      <c r="AG3445" s="188"/>
      <c r="AH3445" s="188"/>
      <c r="AI3445" s="188"/>
    </row>
    <row r="3446">
      <c r="A3446" s="263"/>
      <c r="B3446" s="264"/>
      <c r="C3446" s="265"/>
      <c r="D3446" s="265"/>
      <c r="E3446" s="264"/>
      <c r="F3446" s="265"/>
      <c r="G3446" s="265"/>
      <c r="H3446" s="268"/>
      <c r="I3446" s="268"/>
      <c r="J3446" s="265"/>
      <c r="K3446" s="265"/>
      <c r="L3446" s="265"/>
      <c r="M3446" s="269"/>
      <c r="N3446" s="270"/>
      <c r="O3446" s="271"/>
      <c r="P3446" s="271"/>
      <c r="Q3446" s="272"/>
      <c r="R3446" s="273"/>
      <c r="S3446" s="273"/>
      <c r="T3446" s="273"/>
      <c r="U3446" s="274"/>
      <c r="V3446" s="263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</row>
    <row r="3447">
      <c r="A3447" s="263"/>
      <c r="B3447" s="264"/>
      <c r="C3447" s="265"/>
      <c r="D3447" s="265"/>
      <c r="E3447" s="264"/>
      <c r="F3447" s="265"/>
      <c r="G3447" s="265"/>
      <c r="H3447" s="268"/>
      <c r="I3447" s="268"/>
      <c r="J3447" s="265"/>
      <c r="K3447" s="265"/>
      <c r="L3447" s="265"/>
      <c r="M3447" s="269"/>
      <c r="N3447" s="270"/>
      <c r="O3447" s="271"/>
      <c r="P3447" s="271"/>
      <c r="Q3447" s="272"/>
      <c r="R3447" s="273"/>
      <c r="S3447" s="273"/>
      <c r="T3447" s="273"/>
      <c r="U3447" s="274"/>
      <c r="V3447" s="263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</row>
    <row r="3448">
      <c r="A3448" s="263"/>
      <c r="B3448" s="264"/>
      <c r="C3448" s="265"/>
      <c r="D3448" s="265"/>
      <c r="E3448" s="264"/>
      <c r="F3448" s="265"/>
      <c r="G3448" s="265"/>
      <c r="H3448" s="268"/>
      <c r="I3448" s="268"/>
      <c r="J3448" s="265"/>
      <c r="K3448" s="265"/>
      <c r="L3448" s="265"/>
      <c r="M3448" s="269"/>
      <c r="N3448" s="270"/>
      <c r="O3448" s="271"/>
      <c r="P3448" s="271"/>
      <c r="Q3448" s="272"/>
      <c r="R3448" s="273"/>
      <c r="S3448" s="273"/>
      <c r="T3448" s="273"/>
      <c r="U3448" s="274"/>
      <c r="V3448" s="263"/>
      <c r="W3448" s="35"/>
      <c r="X3448" s="35"/>
      <c r="Y3448" s="35"/>
      <c r="Z3448" s="35"/>
      <c r="AA3448" s="35"/>
      <c r="AB3448" s="35"/>
      <c r="AC3448" s="35"/>
      <c r="AD3448" s="35"/>
      <c r="AE3448" s="35"/>
      <c r="AF3448" s="35"/>
      <c r="AG3448" s="35"/>
      <c r="AH3448" s="35"/>
      <c r="AI3448" s="35"/>
    </row>
    <row r="3449">
      <c r="A3449" s="263"/>
      <c r="B3449" s="264"/>
      <c r="C3449" s="265"/>
      <c r="D3449" s="265"/>
      <c r="E3449" s="264"/>
      <c r="F3449" s="265"/>
      <c r="G3449" s="265"/>
      <c r="H3449" s="268"/>
      <c r="I3449" s="268"/>
      <c r="J3449" s="265"/>
      <c r="K3449" s="265"/>
      <c r="L3449" s="265"/>
      <c r="M3449" s="269"/>
      <c r="N3449" s="270"/>
      <c r="O3449" s="271"/>
      <c r="P3449" s="271"/>
      <c r="Q3449" s="272"/>
      <c r="R3449" s="273"/>
      <c r="S3449" s="273"/>
      <c r="T3449" s="273"/>
      <c r="U3449" s="274"/>
      <c r="V3449" s="263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</row>
    <row r="3450">
      <c r="A3450" s="263"/>
      <c r="B3450" s="264"/>
      <c r="C3450" s="265"/>
      <c r="D3450" s="265"/>
      <c r="E3450" s="264"/>
      <c r="F3450" s="265"/>
      <c r="G3450" s="265"/>
      <c r="H3450" s="268"/>
      <c r="I3450" s="268"/>
      <c r="J3450" s="265"/>
      <c r="K3450" s="265"/>
      <c r="L3450" s="265"/>
      <c r="M3450" s="269"/>
      <c r="N3450" s="270"/>
      <c r="O3450" s="271"/>
      <c r="P3450" s="271"/>
      <c r="Q3450" s="272"/>
      <c r="R3450" s="273"/>
      <c r="S3450" s="273"/>
      <c r="T3450" s="273"/>
      <c r="U3450" s="274"/>
      <c r="V3450" s="263"/>
      <c r="W3450" s="188"/>
      <c r="X3450" s="188"/>
      <c r="Y3450" s="188"/>
      <c r="Z3450" s="188"/>
      <c r="AA3450" s="188"/>
      <c r="AB3450" s="188"/>
      <c r="AC3450" s="188"/>
      <c r="AD3450" s="188"/>
      <c r="AE3450" s="188"/>
      <c r="AF3450" s="188"/>
      <c r="AG3450" s="188"/>
      <c r="AH3450" s="188"/>
      <c r="AI3450" s="188"/>
    </row>
    <row r="3451">
      <c r="A3451" s="263"/>
      <c r="B3451" s="264"/>
      <c r="C3451" s="265"/>
      <c r="D3451" s="265"/>
      <c r="E3451" s="264"/>
      <c r="F3451" s="265"/>
      <c r="G3451" s="265"/>
      <c r="H3451" s="268"/>
      <c r="I3451" s="268"/>
      <c r="J3451" s="265"/>
      <c r="K3451" s="265"/>
      <c r="L3451" s="265"/>
      <c r="M3451" s="269"/>
      <c r="N3451" s="270"/>
      <c r="O3451" s="271"/>
      <c r="P3451" s="271"/>
      <c r="Q3451" s="272"/>
      <c r="R3451" s="273"/>
      <c r="S3451" s="273"/>
      <c r="T3451" s="273"/>
      <c r="U3451" s="274"/>
      <c r="V3451" s="263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</row>
    <row r="3452">
      <c r="A3452" s="263"/>
      <c r="B3452" s="264"/>
      <c r="C3452" s="265"/>
      <c r="D3452" s="265"/>
      <c r="E3452" s="264"/>
      <c r="F3452" s="265"/>
      <c r="G3452" s="265"/>
      <c r="H3452" s="268"/>
      <c r="I3452" s="268"/>
      <c r="J3452" s="265"/>
      <c r="K3452" s="265"/>
      <c r="L3452" s="265"/>
      <c r="M3452" s="269"/>
      <c r="N3452" s="270"/>
      <c r="O3452" s="271"/>
      <c r="P3452" s="271"/>
      <c r="Q3452" s="272"/>
      <c r="R3452" s="273"/>
      <c r="S3452" s="273"/>
      <c r="T3452" s="273"/>
      <c r="U3452" s="274"/>
      <c r="V3452" s="263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</row>
    <row r="3453">
      <c r="A3453" s="263"/>
      <c r="B3453" s="264"/>
      <c r="C3453" s="265"/>
      <c r="D3453" s="265"/>
      <c r="E3453" s="264"/>
      <c r="F3453" s="265"/>
      <c r="G3453" s="265"/>
      <c r="H3453" s="268"/>
      <c r="I3453" s="268"/>
      <c r="J3453" s="265"/>
      <c r="K3453" s="265"/>
      <c r="L3453" s="265"/>
      <c r="M3453" s="269"/>
      <c r="N3453" s="270"/>
      <c r="O3453" s="271"/>
      <c r="P3453" s="271"/>
      <c r="Q3453" s="272"/>
      <c r="R3453" s="273"/>
      <c r="S3453" s="273"/>
      <c r="T3453" s="273"/>
      <c r="U3453" s="274"/>
      <c r="V3453" s="263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</row>
    <row r="3454">
      <c r="A3454" s="263"/>
      <c r="B3454" s="264"/>
      <c r="C3454" s="265"/>
      <c r="D3454" s="265"/>
      <c r="E3454" s="264"/>
      <c r="F3454" s="265"/>
      <c r="G3454" s="265"/>
      <c r="H3454" s="268"/>
      <c r="I3454" s="268"/>
      <c r="J3454" s="265"/>
      <c r="K3454" s="265"/>
      <c r="L3454" s="265"/>
      <c r="M3454" s="269"/>
      <c r="N3454" s="270"/>
      <c r="O3454" s="271"/>
      <c r="P3454" s="271"/>
      <c r="Q3454" s="272"/>
      <c r="R3454" s="273"/>
      <c r="S3454" s="273"/>
      <c r="T3454" s="273"/>
      <c r="U3454" s="274"/>
      <c r="V3454" s="263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</row>
    <row r="3455">
      <c r="A3455" s="263"/>
      <c r="B3455" s="264"/>
      <c r="C3455" s="265"/>
      <c r="D3455" s="265"/>
      <c r="E3455" s="264"/>
      <c r="F3455" s="265"/>
      <c r="G3455" s="265"/>
      <c r="H3455" s="268"/>
      <c r="I3455" s="268"/>
      <c r="J3455" s="265"/>
      <c r="K3455" s="265"/>
      <c r="L3455" s="265"/>
      <c r="M3455" s="269"/>
      <c r="N3455" s="270"/>
      <c r="O3455" s="271"/>
      <c r="P3455" s="271"/>
      <c r="Q3455" s="272"/>
      <c r="R3455" s="273"/>
      <c r="S3455" s="273"/>
      <c r="T3455" s="273"/>
      <c r="U3455" s="274"/>
      <c r="V3455" s="263"/>
      <c r="W3455" s="35"/>
      <c r="X3455" s="35"/>
      <c r="Y3455" s="35"/>
      <c r="Z3455" s="35"/>
      <c r="AA3455" s="35"/>
      <c r="AB3455" s="35"/>
      <c r="AC3455" s="35"/>
      <c r="AD3455" s="35"/>
      <c r="AE3455" s="35"/>
      <c r="AF3455" s="35"/>
      <c r="AG3455" s="35"/>
      <c r="AH3455" s="35"/>
      <c r="AI3455" s="35"/>
    </row>
    <row r="3456">
      <c r="A3456" s="263"/>
      <c r="B3456" s="264"/>
      <c r="C3456" s="265"/>
      <c r="D3456" s="265"/>
      <c r="E3456" s="264"/>
      <c r="F3456" s="265"/>
      <c r="G3456" s="265"/>
      <c r="H3456" s="268"/>
      <c r="I3456" s="268"/>
      <c r="J3456" s="265"/>
      <c r="K3456" s="265"/>
      <c r="L3456" s="265"/>
      <c r="M3456" s="269"/>
      <c r="N3456" s="270"/>
      <c r="O3456" s="271"/>
      <c r="P3456" s="271"/>
      <c r="Q3456" s="272"/>
      <c r="R3456" s="273"/>
      <c r="S3456" s="273"/>
      <c r="T3456" s="273"/>
      <c r="U3456" s="274"/>
      <c r="V3456" s="263"/>
      <c r="W3456" s="188"/>
      <c r="X3456" s="188"/>
      <c r="Y3456" s="188"/>
      <c r="Z3456" s="188"/>
      <c r="AA3456" s="188"/>
      <c r="AB3456" s="188"/>
      <c r="AC3456" s="188"/>
      <c r="AD3456" s="188"/>
      <c r="AE3456" s="188"/>
      <c r="AF3456" s="188"/>
      <c r="AG3456" s="188"/>
      <c r="AH3456" s="188"/>
      <c r="AI3456" s="188"/>
    </row>
    <row r="3457">
      <c r="A3457" s="263"/>
      <c r="B3457" s="264"/>
      <c r="C3457" s="265"/>
      <c r="D3457" s="265"/>
      <c r="E3457" s="264"/>
      <c r="F3457" s="265"/>
      <c r="G3457" s="265"/>
      <c r="H3457" s="268"/>
      <c r="I3457" s="268"/>
      <c r="J3457" s="265"/>
      <c r="K3457" s="265"/>
      <c r="L3457" s="265"/>
      <c r="M3457" s="269"/>
      <c r="N3457" s="270"/>
      <c r="O3457" s="271"/>
      <c r="P3457" s="271"/>
      <c r="Q3457" s="272"/>
      <c r="R3457" s="273"/>
      <c r="S3457" s="273"/>
      <c r="T3457" s="273"/>
      <c r="U3457" s="274"/>
      <c r="V3457" s="263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</row>
    <row r="3458">
      <c r="A3458" s="263"/>
      <c r="B3458" s="264"/>
      <c r="C3458" s="265"/>
      <c r="D3458" s="265"/>
      <c r="E3458" s="264"/>
      <c r="F3458" s="265"/>
      <c r="G3458" s="265"/>
      <c r="H3458" s="268"/>
      <c r="I3458" s="268"/>
      <c r="J3458" s="265"/>
      <c r="K3458" s="265"/>
      <c r="L3458" s="265"/>
      <c r="M3458" s="269"/>
      <c r="N3458" s="270"/>
      <c r="O3458" s="271"/>
      <c r="P3458" s="271"/>
      <c r="Q3458" s="272"/>
      <c r="R3458" s="273"/>
      <c r="S3458" s="273"/>
      <c r="T3458" s="273"/>
      <c r="U3458" s="274"/>
      <c r="V3458" s="263"/>
      <c r="W3458" s="188"/>
      <c r="X3458" s="188"/>
      <c r="Y3458" s="188"/>
      <c r="Z3458" s="188"/>
      <c r="AA3458" s="188"/>
      <c r="AB3458" s="188"/>
      <c r="AC3458" s="188"/>
      <c r="AD3458" s="188"/>
      <c r="AE3458" s="188"/>
      <c r="AF3458" s="188"/>
      <c r="AG3458" s="188"/>
      <c r="AH3458" s="188"/>
      <c r="AI3458" s="188"/>
    </row>
    <row r="3459">
      <c r="A3459" s="263"/>
      <c r="B3459" s="264"/>
      <c r="C3459" s="265"/>
      <c r="D3459" s="265"/>
      <c r="E3459" s="264"/>
      <c r="F3459" s="265"/>
      <c r="G3459" s="265"/>
      <c r="H3459" s="268"/>
      <c r="I3459" s="268"/>
      <c r="J3459" s="265"/>
      <c r="K3459" s="265"/>
      <c r="L3459" s="265"/>
      <c r="M3459" s="269"/>
      <c r="N3459" s="270"/>
      <c r="O3459" s="271"/>
      <c r="P3459" s="271"/>
      <c r="Q3459" s="272"/>
      <c r="R3459" s="273"/>
      <c r="S3459" s="273"/>
      <c r="T3459" s="273"/>
      <c r="U3459" s="274"/>
      <c r="V3459" s="263"/>
      <c r="W3459" s="35"/>
      <c r="X3459" s="35"/>
      <c r="Y3459" s="35"/>
      <c r="Z3459" s="35"/>
      <c r="AA3459" s="35"/>
      <c r="AB3459" s="35"/>
      <c r="AC3459" s="35"/>
      <c r="AD3459" s="35"/>
      <c r="AE3459" s="35"/>
      <c r="AF3459" s="35"/>
      <c r="AG3459" s="35"/>
      <c r="AH3459" s="35"/>
      <c r="AI3459" s="35"/>
    </row>
    <row r="3460">
      <c r="A3460" s="263"/>
      <c r="B3460" s="264"/>
      <c r="C3460" s="265"/>
      <c r="D3460" s="265"/>
      <c r="E3460" s="264"/>
      <c r="F3460" s="265"/>
      <c r="G3460" s="265"/>
      <c r="H3460" s="268"/>
      <c r="I3460" s="268"/>
      <c r="J3460" s="265"/>
      <c r="K3460" s="265"/>
      <c r="L3460" s="265"/>
      <c r="M3460" s="269"/>
      <c r="N3460" s="270"/>
      <c r="O3460" s="271"/>
      <c r="P3460" s="271"/>
      <c r="Q3460" s="272"/>
      <c r="R3460" s="273"/>
      <c r="S3460" s="273"/>
      <c r="T3460" s="273"/>
      <c r="U3460" s="274"/>
      <c r="V3460" s="263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</row>
    <row r="3461">
      <c r="A3461" s="263"/>
      <c r="B3461" s="264"/>
      <c r="C3461" s="265"/>
      <c r="D3461" s="265"/>
      <c r="E3461" s="264"/>
      <c r="F3461" s="265"/>
      <c r="G3461" s="265"/>
      <c r="H3461" s="268"/>
      <c r="I3461" s="268"/>
      <c r="J3461" s="265"/>
      <c r="K3461" s="265"/>
      <c r="L3461" s="265"/>
      <c r="M3461" s="269"/>
      <c r="N3461" s="270"/>
      <c r="O3461" s="271"/>
      <c r="P3461" s="271"/>
      <c r="Q3461" s="272"/>
      <c r="R3461" s="273"/>
      <c r="S3461" s="273"/>
      <c r="T3461" s="273"/>
      <c r="U3461" s="274"/>
      <c r="V3461" s="263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</row>
    <row r="3462">
      <c r="A3462" s="263"/>
      <c r="B3462" s="264"/>
      <c r="C3462" s="265"/>
      <c r="D3462" s="265"/>
      <c r="E3462" s="264"/>
      <c r="F3462" s="265"/>
      <c r="G3462" s="265"/>
      <c r="H3462" s="268"/>
      <c r="I3462" s="268"/>
      <c r="J3462" s="265"/>
      <c r="K3462" s="265"/>
      <c r="L3462" s="265"/>
      <c r="M3462" s="269"/>
      <c r="N3462" s="270"/>
      <c r="O3462" s="271"/>
      <c r="P3462" s="271"/>
      <c r="Q3462" s="272"/>
      <c r="R3462" s="273"/>
      <c r="S3462" s="273"/>
      <c r="T3462" s="273"/>
      <c r="U3462" s="274"/>
      <c r="V3462" s="263"/>
      <c r="W3462" s="35"/>
      <c r="X3462" s="35"/>
      <c r="Y3462" s="35"/>
      <c r="Z3462" s="35"/>
      <c r="AA3462" s="35"/>
      <c r="AB3462" s="35"/>
      <c r="AC3462" s="35"/>
      <c r="AD3462" s="35"/>
      <c r="AE3462" s="35"/>
      <c r="AF3462" s="35"/>
      <c r="AG3462" s="35"/>
      <c r="AH3462" s="35"/>
      <c r="AI3462" s="35"/>
    </row>
    <row r="3463">
      <c r="A3463" s="263"/>
      <c r="B3463" s="264"/>
      <c r="C3463" s="265"/>
      <c r="D3463" s="265"/>
      <c r="E3463" s="264"/>
      <c r="F3463" s="265"/>
      <c r="G3463" s="265"/>
      <c r="H3463" s="268"/>
      <c r="I3463" s="268"/>
      <c r="J3463" s="265"/>
      <c r="K3463" s="265"/>
      <c r="L3463" s="265"/>
      <c r="M3463" s="269"/>
      <c r="N3463" s="270"/>
      <c r="O3463" s="271"/>
      <c r="P3463" s="271"/>
      <c r="Q3463" s="272"/>
      <c r="R3463" s="273"/>
      <c r="S3463" s="273"/>
      <c r="T3463" s="273"/>
      <c r="U3463" s="274"/>
      <c r="V3463" s="263"/>
      <c r="W3463" s="35"/>
      <c r="X3463" s="35"/>
      <c r="Y3463" s="35"/>
      <c r="Z3463" s="35"/>
      <c r="AA3463" s="35"/>
      <c r="AB3463" s="35"/>
      <c r="AC3463" s="35"/>
      <c r="AD3463" s="35"/>
      <c r="AE3463" s="35"/>
      <c r="AF3463" s="35"/>
      <c r="AG3463" s="35"/>
      <c r="AH3463" s="35"/>
      <c r="AI3463" s="35"/>
    </row>
    <row r="3464">
      <c r="A3464" s="263"/>
      <c r="B3464" s="264"/>
      <c r="C3464" s="265"/>
      <c r="D3464" s="265"/>
      <c r="E3464" s="264"/>
      <c r="F3464" s="265"/>
      <c r="G3464" s="265"/>
      <c r="H3464" s="268"/>
      <c r="I3464" s="268"/>
      <c r="J3464" s="265"/>
      <c r="K3464" s="265"/>
      <c r="L3464" s="265"/>
      <c r="M3464" s="269"/>
      <c r="N3464" s="270"/>
      <c r="O3464" s="271"/>
      <c r="P3464" s="271"/>
      <c r="Q3464" s="272"/>
      <c r="R3464" s="273"/>
      <c r="S3464" s="273"/>
      <c r="T3464" s="273"/>
      <c r="U3464" s="274"/>
      <c r="V3464" s="263"/>
      <c r="W3464" s="188"/>
      <c r="X3464" s="188"/>
      <c r="Y3464" s="188"/>
      <c r="Z3464" s="188"/>
      <c r="AA3464" s="188"/>
      <c r="AB3464" s="188"/>
      <c r="AC3464" s="188"/>
      <c r="AD3464" s="188"/>
      <c r="AE3464" s="188"/>
      <c r="AF3464" s="188"/>
      <c r="AG3464" s="188"/>
      <c r="AH3464" s="188"/>
      <c r="AI3464" s="188"/>
    </row>
    <row r="3465">
      <c r="A3465" s="263"/>
      <c r="B3465" s="264"/>
      <c r="C3465" s="265"/>
      <c r="D3465" s="265"/>
      <c r="E3465" s="264"/>
      <c r="F3465" s="265"/>
      <c r="G3465" s="265"/>
      <c r="H3465" s="268"/>
      <c r="I3465" s="268"/>
      <c r="J3465" s="265"/>
      <c r="K3465" s="265"/>
      <c r="L3465" s="265"/>
      <c r="M3465" s="269"/>
      <c r="N3465" s="270"/>
      <c r="O3465" s="271"/>
      <c r="P3465" s="271"/>
      <c r="Q3465" s="272"/>
      <c r="R3465" s="273"/>
      <c r="S3465" s="273"/>
      <c r="T3465" s="273"/>
      <c r="U3465" s="274"/>
      <c r="V3465" s="263"/>
      <c r="W3465" s="188"/>
      <c r="X3465" s="188"/>
      <c r="Y3465" s="188"/>
      <c r="Z3465" s="188"/>
      <c r="AA3465" s="188"/>
      <c r="AB3465" s="188"/>
      <c r="AC3465" s="188"/>
      <c r="AD3465" s="188"/>
      <c r="AE3465" s="188"/>
      <c r="AF3465" s="188"/>
      <c r="AG3465" s="188"/>
      <c r="AH3465" s="188"/>
      <c r="AI3465" s="188"/>
    </row>
    <row r="3466">
      <c r="A3466" s="263"/>
      <c r="B3466" s="264"/>
      <c r="C3466" s="265"/>
      <c r="D3466" s="265"/>
      <c r="E3466" s="264"/>
      <c r="F3466" s="265"/>
      <c r="G3466" s="265"/>
      <c r="H3466" s="268"/>
      <c r="I3466" s="268"/>
      <c r="J3466" s="265"/>
      <c r="K3466" s="265"/>
      <c r="L3466" s="265"/>
      <c r="M3466" s="269"/>
      <c r="N3466" s="270"/>
      <c r="O3466" s="271"/>
      <c r="P3466" s="271"/>
      <c r="Q3466" s="272"/>
      <c r="R3466" s="273"/>
      <c r="S3466" s="273"/>
      <c r="T3466" s="273"/>
      <c r="U3466" s="274"/>
      <c r="V3466" s="263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</row>
    <row r="3467">
      <c r="A3467" s="263"/>
      <c r="B3467" s="264"/>
      <c r="C3467" s="265"/>
      <c r="D3467" s="265"/>
      <c r="E3467" s="264"/>
      <c r="F3467" s="265"/>
      <c r="G3467" s="265"/>
      <c r="H3467" s="268"/>
      <c r="I3467" s="268"/>
      <c r="J3467" s="265"/>
      <c r="K3467" s="265"/>
      <c r="L3467" s="265"/>
      <c r="M3467" s="269"/>
      <c r="N3467" s="270"/>
      <c r="O3467" s="271"/>
      <c r="P3467" s="271"/>
      <c r="Q3467" s="272"/>
      <c r="R3467" s="273"/>
      <c r="S3467" s="273"/>
      <c r="T3467" s="273"/>
      <c r="U3467" s="274"/>
      <c r="V3467" s="263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</row>
    <row r="3468">
      <c r="A3468" s="263"/>
      <c r="B3468" s="264"/>
      <c r="C3468" s="265"/>
      <c r="D3468" s="265"/>
      <c r="E3468" s="264"/>
      <c r="F3468" s="265"/>
      <c r="G3468" s="265"/>
      <c r="H3468" s="268"/>
      <c r="I3468" s="268"/>
      <c r="J3468" s="265"/>
      <c r="K3468" s="265"/>
      <c r="L3468" s="265"/>
      <c r="M3468" s="269"/>
      <c r="N3468" s="270"/>
      <c r="O3468" s="271"/>
      <c r="P3468" s="271"/>
      <c r="Q3468" s="272"/>
      <c r="R3468" s="273"/>
      <c r="S3468" s="273"/>
      <c r="T3468" s="273"/>
      <c r="U3468" s="274"/>
      <c r="V3468" s="263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</row>
    <row r="3469">
      <c r="A3469" s="263"/>
      <c r="B3469" s="264"/>
      <c r="C3469" s="265"/>
      <c r="D3469" s="265"/>
      <c r="E3469" s="264"/>
      <c r="F3469" s="265"/>
      <c r="G3469" s="265"/>
      <c r="H3469" s="268"/>
      <c r="I3469" s="268"/>
      <c r="J3469" s="265"/>
      <c r="K3469" s="265"/>
      <c r="L3469" s="265"/>
      <c r="M3469" s="269"/>
      <c r="N3469" s="270"/>
      <c r="O3469" s="271"/>
      <c r="P3469" s="271"/>
      <c r="Q3469" s="272"/>
      <c r="R3469" s="273"/>
      <c r="S3469" s="273"/>
      <c r="T3469" s="273"/>
      <c r="U3469" s="274"/>
      <c r="V3469" s="263"/>
      <c r="W3469" s="188"/>
      <c r="X3469" s="188"/>
      <c r="Y3469" s="188"/>
      <c r="Z3469" s="188"/>
      <c r="AA3469" s="188"/>
      <c r="AB3469" s="188"/>
      <c r="AC3469" s="188"/>
      <c r="AD3469" s="188"/>
      <c r="AE3469" s="188"/>
      <c r="AF3469" s="188"/>
      <c r="AG3469" s="188"/>
      <c r="AH3469" s="188"/>
      <c r="AI3469" s="188"/>
    </row>
    <row r="3470">
      <c r="A3470" s="263"/>
      <c r="B3470" s="264"/>
      <c r="C3470" s="265"/>
      <c r="D3470" s="265"/>
      <c r="E3470" s="264"/>
      <c r="F3470" s="265"/>
      <c r="G3470" s="265"/>
      <c r="H3470" s="268"/>
      <c r="I3470" s="268"/>
      <c r="J3470" s="265"/>
      <c r="K3470" s="265"/>
      <c r="L3470" s="265"/>
      <c r="M3470" s="269"/>
      <c r="N3470" s="270"/>
      <c r="O3470" s="271"/>
      <c r="P3470" s="271"/>
      <c r="Q3470" s="272"/>
      <c r="R3470" s="273"/>
      <c r="S3470" s="273"/>
      <c r="T3470" s="273"/>
      <c r="U3470" s="274"/>
      <c r="V3470" s="263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</row>
    <row r="3471">
      <c r="A3471" s="263"/>
      <c r="B3471" s="264"/>
      <c r="C3471" s="265"/>
      <c r="D3471" s="265"/>
      <c r="E3471" s="264"/>
      <c r="F3471" s="265"/>
      <c r="G3471" s="265"/>
      <c r="H3471" s="268"/>
      <c r="I3471" s="268"/>
      <c r="J3471" s="265"/>
      <c r="K3471" s="265"/>
      <c r="L3471" s="265"/>
      <c r="M3471" s="269"/>
      <c r="N3471" s="270"/>
      <c r="O3471" s="271"/>
      <c r="P3471" s="271"/>
      <c r="Q3471" s="272"/>
      <c r="R3471" s="273"/>
      <c r="S3471" s="273"/>
      <c r="T3471" s="273"/>
      <c r="U3471" s="274"/>
      <c r="V3471" s="263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</row>
    <row r="3472">
      <c r="A3472" s="263"/>
      <c r="B3472" s="264"/>
      <c r="C3472" s="265"/>
      <c r="D3472" s="265"/>
      <c r="E3472" s="264"/>
      <c r="F3472" s="265"/>
      <c r="G3472" s="265"/>
      <c r="H3472" s="268"/>
      <c r="I3472" s="268"/>
      <c r="J3472" s="265"/>
      <c r="K3472" s="265"/>
      <c r="L3472" s="265"/>
      <c r="M3472" s="269"/>
      <c r="N3472" s="270"/>
      <c r="O3472" s="271"/>
      <c r="P3472" s="271"/>
      <c r="Q3472" s="272"/>
      <c r="R3472" s="273"/>
      <c r="S3472" s="273"/>
      <c r="T3472" s="273"/>
      <c r="U3472" s="274"/>
      <c r="V3472" s="263"/>
      <c r="W3472" s="188"/>
      <c r="X3472" s="188"/>
      <c r="Y3472" s="188"/>
      <c r="Z3472" s="188"/>
      <c r="AA3472" s="188"/>
      <c r="AB3472" s="188"/>
      <c r="AC3472" s="188"/>
      <c r="AD3472" s="188"/>
      <c r="AE3472" s="188"/>
      <c r="AF3472" s="188"/>
      <c r="AG3472" s="188"/>
      <c r="AH3472" s="188"/>
      <c r="AI3472" s="188"/>
    </row>
    <row r="3473">
      <c r="A3473" s="263"/>
      <c r="B3473" s="264"/>
      <c r="C3473" s="265"/>
      <c r="D3473" s="265"/>
      <c r="E3473" s="264"/>
      <c r="F3473" s="265"/>
      <c r="G3473" s="265"/>
      <c r="H3473" s="268"/>
      <c r="I3473" s="268"/>
      <c r="J3473" s="265"/>
      <c r="K3473" s="265"/>
      <c r="L3473" s="265"/>
      <c r="M3473" s="269"/>
      <c r="N3473" s="270"/>
      <c r="O3473" s="271"/>
      <c r="P3473" s="271"/>
      <c r="Q3473" s="272"/>
      <c r="R3473" s="273"/>
      <c r="S3473" s="273"/>
      <c r="T3473" s="273"/>
      <c r="U3473" s="274"/>
      <c r="V3473" s="263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</row>
    <row r="3474">
      <c r="A3474" s="263"/>
      <c r="B3474" s="264"/>
      <c r="C3474" s="265"/>
      <c r="D3474" s="265"/>
      <c r="E3474" s="264"/>
      <c r="F3474" s="265"/>
      <c r="G3474" s="265"/>
      <c r="H3474" s="268"/>
      <c r="I3474" s="268"/>
      <c r="J3474" s="265"/>
      <c r="K3474" s="265"/>
      <c r="L3474" s="265"/>
      <c r="M3474" s="269"/>
      <c r="N3474" s="270"/>
      <c r="O3474" s="271"/>
      <c r="P3474" s="271"/>
      <c r="Q3474" s="272"/>
      <c r="R3474" s="273"/>
      <c r="S3474" s="273"/>
      <c r="T3474" s="273"/>
      <c r="U3474" s="274"/>
      <c r="V3474" s="263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</row>
    <row r="3475">
      <c r="A3475" s="263"/>
      <c r="B3475" s="264"/>
      <c r="C3475" s="265"/>
      <c r="D3475" s="265"/>
      <c r="E3475" s="264"/>
      <c r="F3475" s="265"/>
      <c r="G3475" s="265"/>
      <c r="H3475" s="268"/>
      <c r="I3475" s="268"/>
      <c r="J3475" s="265"/>
      <c r="K3475" s="265"/>
      <c r="L3475" s="265"/>
      <c r="M3475" s="269"/>
      <c r="N3475" s="270"/>
      <c r="O3475" s="271"/>
      <c r="P3475" s="271"/>
      <c r="Q3475" s="272"/>
      <c r="R3475" s="273"/>
      <c r="S3475" s="273"/>
      <c r="T3475" s="273"/>
      <c r="U3475" s="274"/>
      <c r="V3475" s="263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</row>
    <row r="3476">
      <c r="A3476" s="263"/>
      <c r="B3476" s="264"/>
      <c r="C3476" s="265"/>
      <c r="D3476" s="265"/>
      <c r="E3476" s="264"/>
      <c r="F3476" s="265"/>
      <c r="G3476" s="265"/>
      <c r="H3476" s="268"/>
      <c r="I3476" s="268"/>
      <c r="J3476" s="265"/>
      <c r="K3476" s="265"/>
      <c r="L3476" s="265"/>
      <c r="M3476" s="269"/>
      <c r="N3476" s="270"/>
      <c r="O3476" s="271"/>
      <c r="P3476" s="271"/>
      <c r="Q3476" s="272"/>
      <c r="R3476" s="273"/>
      <c r="S3476" s="273"/>
      <c r="T3476" s="273"/>
      <c r="U3476" s="274"/>
      <c r="V3476" s="263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</row>
    <row r="3477">
      <c r="A3477" s="263"/>
      <c r="B3477" s="264"/>
      <c r="C3477" s="265"/>
      <c r="D3477" s="265"/>
      <c r="E3477" s="264"/>
      <c r="F3477" s="265"/>
      <c r="G3477" s="265"/>
      <c r="H3477" s="268"/>
      <c r="I3477" s="268"/>
      <c r="J3477" s="265"/>
      <c r="K3477" s="265"/>
      <c r="L3477" s="265"/>
      <c r="M3477" s="269"/>
      <c r="N3477" s="270"/>
      <c r="O3477" s="271"/>
      <c r="P3477" s="271"/>
      <c r="Q3477" s="272"/>
      <c r="R3477" s="273"/>
      <c r="S3477" s="273"/>
      <c r="T3477" s="273"/>
      <c r="U3477" s="274"/>
      <c r="V3477" s="263"/>
      <c r="W3477" s="35"/>
      <c r="X3477" s="35"/>
      <c r="Y3477" s="35"/>
      <c r="Z3477" s="35"/>
      <c r="AA3477" s="35"/>
      <c r="AB3477" s="35"/>
      <c r="AC3477" s="35"/>
      <c r="AD3477" s="35"/>
      <c r="AE3477" s="35"/>
      <c r="AF3477" s="35"/>
      <c r="AG3477" s="35"/>
      <c r="AH3477" s="35"/>
      <c r="AI3477" s="35"/>
    </row>
    <row r="3478">
      <c r="A3478" s="263"/>
      <c r="B3478" s="264"/>
      <c r="C3478" s="265"/>
      <c r="D3478" s="265"/>
      <c r="E3478" s="264"/>
      <c r="F3478" s="265"/>
      <c r="G3478" s="265"/>
      <c r="H3478" s="268"/>
      <c r="I3478" s="268"/>
      <c r="J3478" s="265"/>
      <c r="K3478" s="265"/>
      <c r="L3478" s="265"/>
      <c r="M3478" s="269"/>
      <c r="N3478" s="270"/>
      <c r="O3478" s="271"/>
      <c r="P3478" s="271"/>
      <c r="Q3478" s="272"/>
      <c r="R3478" s="273"/>
      <c r="S3478" s="273"/>
      <c r="T3478" s="273"/>
      <c r="U3478" s="274"/>
      <c r="V3478" s="263"/>
      <c r="W3478" s="188"/>
      <c r="X3478" s="188"/>
      <c r="Y3478" s="188"/>
      <c r="Z3478" s="188"/>
      <c r="AA3478" s="188"/>
      <c r="AB3478" s="188"/>
      <c r="AC3478" s="188"/>
      <c r="AD3478" s="188"/>
      <c r="AE3478" s="188"/>
      <c r="AF3478" s="188"/>
      <c r="AG3478" s="188"/>
      <c r="AH3478" s="188"/>
      <c r="AI3478" s="188"/>
    </row>
    <row r="3479">
      <c r="A3479" s="263"/>
      <c r="B3479" s="264"/>
      <c r="C3479" s="265"/>
      <c r="D3479" s="265"/>
      <c r="E3479" s="264"/>
      <c r="F3479" s="265"/>
      <c r="G3479" s="265"/>
      <c r="H3479" s="268"/>
      <c r="I3479" s="268"/>
      <c r="J3479" s="265"/>
      <c r="K3479" s="265"/>
      <c r="L3479" s="265"/>
      <c r="M3479" s="269"/>
      <c r="N3479" s="270"/>
      <c r="O3479" s="271"/>
      <c r="P3479" s="271"/>
      <c r="Q3479" s="272"/>
      <c r="R3479" s="273"/>
      <c r="S3479" s="273"/>
      <c r="T3479" s="273"/>
      <c r="U3479" s="274"/>
      <c r="V3479" s="263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</row>
    <row r="3480">
      <c r="A3480" s="263"/>
      <c r="B3480" s="264"/>
      <c r="C3480" s="265"/>
      <c r="D3480" s="265"/>
      <c r="E3480" s="264"/>
      <c r="F3480" s="265"/>
      <c r="G3480" s="265"/>
      <c r="H3480" s="268"/>
      <c r="I3480" s="268"/>
      <c r="J3480" s="265"/>
      <c r="K3480" s="265"/>
      <c r="L3480" s="265"/>
      <c r="M3480" s="269"/>
      <c r="N3480" s="270"/>
      <c r="O3480" s="271"/>
      <c r="P3480" s="271"/>
      <c r="Q3480" s="272"/>
      <c r="R3480" s="273"/>
      <c r="S3480" s="273"/>
      <c r="T3480" s="273"/>
      <c r="U3480" s="274"/>
      <c r="V3480" s="263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</row>
    <row r="3481">
      <c r="A3481" s="263"/>
      <c r="B3481" s="264"/>
      <c r="C3481" s="265"/>
      <c r="D3481" s="265"/>
      <c r="E3481" s="264"/>
      <c r="F3481" s="265"/>
      <c r="G3481" s="265"/>
      <c r="H3481" s="268"/>
      <c r="I3481" s="268"/>
      <c r="J3481" s="265"/>
      <c r="K3481" s="265"/>
      <c r="L3481" s="265"/>
      <c r="M3481" s="269"/>
      <c r="N3481" s="270"/>
      <c r="O3481" s="271"/>
      <c r="P3481" s="271"/>
      <c r="Q3481" s="272"/>
      <c r="R3481" s="273"/>
      <c r="S3481" s="273"/>
      <c r="T3481" s="273"/>
      <c r="U3481" s="274"/>
      <c r="V3481" s="263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</row>
    <row r="3482">
      <c r="A3482" s="263"/>
      <c r="B3482" s="264"/>
      <c r="C3482" s="265"/>
      <c r="D3482" s="265"/>
      <c r="E3482" s="264"/>
      <c r="F3482" s="265"/>
      <c r="G3482" s="265"/>
      <c r="H3482" s="268"/>
      <c r="I3482" s="268"/>
      <c r="J3482" s="265"/>
      <c r="K3482" s="265"/>
      <c r="L3482" s="265"/>
      <c r="M3482" s="269"/>
      <c r="N3482" s="270"/>
      <c r="O3482" s="271"/>
      <c r="P3482" s="271"/>
      <c r="Q3482" s="272"/>
      <c r="R3482" s="273"/>
      <c r="S3482" s="273"/>
      <c r="T3482" s="273"/>
      <c r="U3482" s="274"/>
      <c r="V3482" s="263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</row>
    <row r="3483">
      <c r="A3483" s="263"/>
      <c r="B3483" s="264"/>
      <c r="C3483" s="265"/>
      <c r="D3483" s="265"/>
      <c r="E3483" s="264"/>
      <c r="F3483" s="265"/>
      <c r="G3483" s="265"/>
      <c r="H3483" s="268"/>
      <c r="I3483" s="268"/>
      <c r="J3483" s="265"/>
      <c r="K3483" s="265"/>
      <c r="L3483" s="265"/>
      <c r="M3483" s="269"/>
      <c r="N3483" s="270"/>
      <c r="O3483" s="271"/>
      <c r="P3483" s="271"/>
      <c r="Q3483" s="272"/>
      <c r="R3483" s="273"/>
      <c r="S3483" s="273"/>
      <c r="T3483" s="273"/>
      <c r="U3483" s="274"/>
      <c r="V3483" s="263"/>
      <c r="W3483" s="188"/>
      <c r="X3483" s="188"/>
      <c r="Y3483" s="188"/>
      <c r="Z3483" s="188"/>
      <c r="AA3483" s="188"/>
      <c r="AB3483" s="188"/>
      <c r="AC3483" s="188"/>
      <c r="AD3483" s="188"/>
      <c r="AE3483" s="188"/>
      <c r="AF3483" s="188"/>
      <c r="AG3483" s="188"/>
      <c r="AH3483" s="188"/>
      <c r="AI3483" s="188"/>
    </row>
    <row r="3484">
      <c r="A3484" s="263"/>
      <c r="B3484" s="264"/>
      <c r="C3484" s="265"/>
      <c r="D3484" s="265"/>
      <c r="E3484" s="264"/>
      <c r="F3484" s="265"/>
      <c r="G3484" s="265"/>
      <c r="H3484" s="268"/>
      <c r="I3484" s="268"/>
      <c r="J3484" s="265"/>
      <c r="K3484" s="265"/>
      <c r="L3484" s="265"/>
      <c r="M3484" s="269"/>
      <c r="N3484" s="270"/>
      <c r="O3484" s="271"/>
      <c r="P3484" s="271"/>
      <c r="Q3484" s="272"/>
      <c r="R3484" s="273"/>
      <c r="S3484" s="273"/>
      <c r="T3484" s="273"/>
      <c r="U3484" s="274"/>
      <c r="V3484" s="263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</row>
    <row r="3485">
      <c r="A3485" s="263"/>
      <c r="B3485" s="264"/>
      <c r="C3485" s="265"/>
      <c r="D3485" s="265"/>
      <c r="E3485" s="264"/>
      <c r="F3485" s="265"/>
      <c r="G3485" s="265"/>
      <c r="H3485" s="268"/>
      <c r="I3485" s="268"/>
      <c r="J3485" s="265"/>
      <c r="K3485" s="265"/>
      <c r="L3485" s="265"/>
      <c r="M3485" s="269"/>
      <c r="N3485" s="270"/>
      <c r="O3485" s="271"/>
      <c r="P3485" s="271"/>
      <c r="Q3485" s="272"/>
      <c r="R3485" s="273"/>
      <c r="S3485" s="273"/>
      <c r="T3485" s="273"/>
      <c r="U3485" s="274"/>
      <c r="V3485" s="263"/>
      <c r="W3485" s="188"/>
      <c r="X3485" s="188"/>
      <c r="Y3485" s="188"/>
      <c r="Z3485" s="188"/>
      <c r="AA3485" s="188"/>
      <c r="AB3485" s="188"/>
      <c r="AC3485" s="188"/>
      <c r="AD3485" s="188"/>
      <c r="AE3485" s="188"/>
      <c r="AF3485" s="188"/>
      <c r="AG3485" s="188"/>
      <c r="AH3485" s="188"/>
      <c r="AI3485" s="188"/>
    </row>
    <row r="3486">
      <c r="A3486" s="263"/>
      <c r="B3486" s="264"/>
      <c r="C3486" s="265"/>
      <c r="D3486" s="265"/>
      <c r="E3486" s="264"/>
      <c r="F3486" s="265"/>
      <c r="G3486" s="265"/>
      <c r="H3486" s="268"/>
      <c r="I3486" s="268"/>
      <c r="J3486" s="265"/>
      <c r="K3486" s="265"/>
      <c r="L3486" s="265"/>
      <c r="M3486" s="269"/>
      <c r="N3486" s="270"/>
      <c r="O3486" s="271"/>
      <c r="P3486" s="271"/>
      <c r="Q3486" s="272"/>
      <c r="R3486" s="273"/>
      <c r="S3486" s="273"/>
      <c r="T3486" s="273"/>
      <c r="U3486" s="274"/>
      <c r="V3486" s="263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</row>
    <row r="3487">
      <c r="A3487" s="263"/>
      <c r="B3487" s="264"/>
      <c r="C3487" s="265"/>
      <c r="D3487" s="265"/>
      <c r="E3487" s="264"/>
      <c r="F3487" s="265"/>
      <c r="G3487" s="265"/>
      <c r="H3487" s="268"/>
      <c r="I3487" s="268"/>
      <c r="J3487" s="265"/>
      <c r="K3487" s="265"/>
      <c r="L3487" s="265"/>
      <c r="M3487" s="269"/>
      <c r="N3487" s="270"/>
      <c r="O3487" s="271"/>
      <c r="P3487" s="271"/>
      <c r="Q3487" s="272"/>
      <c r="R3487" s="273"/>
      <c r="S3487" s="273"/>
      <c r="T3487" s="273"/>
      <c r="U3487" s="274"/>
      <c r="V3487" s="263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</row>
    <row r="3488">
      <c r="A3488" s="263"/>
      <c r="B3488" s="264"/>
      <c r="C3488" s="265"/>
      <c r="D3488" s="265"/>
      <c r="E3488" s="264"/>
      <c r="F3488" s="265"/>
      <c r="G3488" s="265"/>
      <c r="H3488" s="268"/>
      <c r="I3488" s="268"/>
      <c r="J3488" s="265"/>
      <c r="K3488" s="265"/>
      <c r="L3488" s="265"/>
      <c r="M3488" s="269"/>
      <c r="N3488" s="270"/>
      <c r="O3488" s="271"/>
      <c r="P3488" s="271"/>
      <c r="Q3488" s="272"/>
      <c r="R3488" s="273"/>
      <c r="S3488" s="273"/>
      <c r="T3488" s="273"/>
      <c r="U3488" s="274"/>
      <c r="V3488" s="263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</row>
    <row r="3489">
      <c r="A3489" s="263"/>
      <c r="B3489" s="264"/>
      <c r="C3489" s="265"/>
      <c r="D3489" s="265"/>
      <c r="E3489" s="264"/>
      <c r="F3489" s="265"/>
      <c r="G3489" s="265"/>
      <c r="H3489" s="268"/>
      <c r="I3489" s="268"/>
      <c r="J3489" s="265"/>
      <c r="K3489" s="265"/>
      <c r="L3489" s="265"/>
      <c r="M3489" s="269"/>
      <c r="N3489" s="270"/>
      <c r="O3489" s="271"/>
      <c r="P3489" s="271"/>
      <c r="Q3489" s="272"/>
      <c r="R3489" s="273"/>
      <c r="S3489" s="273"/>
      <c r="T3489" s="273"/>
      <c r="U3489" s="274"/>
      <c r="V3489" s="263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</row>
    <row r="3490">
      <c r="A3490" s="263"/>
      <c r="B3490" s="264"/>
      <c r="C3490" s="265"/>
      <c r="D3490" s="265"/>
      <c r="E3490" s="264"/>
      <c r="F3490" s="265"/>
      <c r="G3490" s="265"/>
      <c r="H3490" s="268"/>
      <c r="I3490" s="268"/>
      <c r="J3490" s="265"/>
      <c r="K3490" s="265"/>
      <c r="L3490" s="265"/>
      <c r="M3490" s="269"/>
      <c r="N3490" s="270"/>
      <c r="O3490" s="271"/>
      <c r="P3490" s="271"/>
      <c r="Q3490" s="272"/>
      <c r="R3490" s="273"/>
      <c r="S3490" s="273"/>
      <c r="T3490" s="273"/>
      <c r="U3490" s="274"/>
      <c r="V3490" s="263"/>
      <c r="W3490" s="188"/>
      <c r="X3490" s="188"/>
      <c r="Y3490" s="188"/>
      <c r="Z3490" s="188"/>
      <c r="AA3490" s="188"/>
      <c r="AB3490" s="188"/>
      <c r="AC3490" s="188"/>
      <c r="AD3490" s="188"/>
      <c r="AE3490" s="188"/>
      <c r="AF3490" s="188"/>
      <c r="AG3490" s="188"/>
      <c r="AH3490" s="188"/>
      <c r="AI3490" s="188"/>
    </row>
    <row r="3491">
      <c r="A3491" s="263"/>
      <c r="B3491" s="264"/>
      <c r="C3491" s="265"/>
      <c r="D3491" s="265"/>
      <c r="E3491" s="264"/>
      <c r="F3491" s="265"/>
      <c r="G3491" s="265"/>
      <c r="H3491" s="268"/>
      <c r="I3491" s="268"/>
      <c r="J3491" s="265"/>
      <c r="K3491" s="265"/>
      <c r="L3491" s="265"/>
      <c r="M3491" s="269"/>
      <c r="N3491" s="270"/>
      <c r="O3491" s="271"/>
      <c r="P3491" s="271"/>
      <c r="Q3491" s="272"/>
      <c r="R3491" s="273"/>
      <c r="S3491" s="273"/>
      <c r="T3491" s="273"/>
      <c r="U3491" s="274"/>
      <c r="V3491" s="263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</row>
    <row r="3492">
      <c r="A3492" s="263"/>
      <c r="B3492" s="264"/>
      <c r="C3492" s="265"/>
      <c r="D3492" s="265"/>
      <c r="E3492" s="264"/>
      <c r="F3492" s="265"/>
      <c r="G3492" s="265"/>
      <c r="H3492" s="268"/>
      <c r="I3492" s="268"/>
      <c r="J3492" s="265"/>
      <c r="K3492" s="265"/>
      <c r="L3492" s="265"/>
      <c r="M3492" s="269"/>
      <c r="N3492" s="270"/>
      <c r="O3492" s="271"/>
      <c r="P3492" s="271"/>
      <c r="Q3492" s="272"/>
      <c r="R3492" s="273"/>
      <c r="S3492" s="273"/>
      <c r="T3492" s="273"/>
      <c r="U3492" s="274"/>
      <c r="V3492" s="263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</row>
    <row r="3493">
      <c r="A3493" s="263"/>
      <c r="B3493" s="264"/>
      <c r="C3493" s="265"/>
      <c r="D3493" s="265"/>
      <c r="E3493" s="264"/>
      <c r="F3493" s="265"/>
      <c r="G3493" s="265"/>
      <c r="H3493" s="268"/>
      <c r="I3493" s="268"/>
      <c r="J3493" s="265"/>
      <c r="K3493" s="265"/>
      <c r="L3493" s="265"/>
      <c r="M3493" s="269"/>
      <c r="N3493" s="270"/>
      <c r="O3493" s="271"/>
      <c r="P3493" s="271"/>
      <c r="Q3493" s="272"/>
      <c r="R3493" s="273"/>
      <c r="S3493" s="273"/>
      <c r="T3493" s="273"/>
      <c r="U3493" s="274"/>
      <c r="V3493" s="263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</row>
    <row r="3494">
      <c r="A3494" s="263"/>
      <c r="B3494" s="264"/>
      <c r="C3494" s="265"/>
      <c r="D3494" s="265"/>
      <c r="E3494" s="264"/>
      <c r="F3494" s="265"/>
      <c r="G3494" s="265"/>
      <c r="H3494" s="268"/>
      <c r="I3494" s="268"/>
      <c r="J3494" s="265"/>
      <c r="K3494" s="265"/>
      <c r="L3494" s="265"/>
      <c r="M3494" s="269"/>
      <c r="N3494" s="270"/>
      <c r="O3494" s="271"/>
      <c r="P3494" s="271"/>
      <c r="Q3494" s="272"/>
      <c r="R3494" s="273"/>
      <c r="S3494" s="273"/>
      <c r="T3494" s="273"/>
      <c r="U3494" s="274"/>
      <c r="V3494" s="263"/>
      <c r="W3494" s="188"/>
      <c r="X3494" s="188"/>
      <c r="Y3494" s="188"/>
      <c r="Z3494" s="188"/>
      <c r="AA3494" s="188"/>
      <c r="AB3494" s="188"/>
      <c r="AC3494" s="188"/>
      <c r="AD3494" s="188"/>
      <c r="AE3494" s="188"/>
      <c r="AF3494" s="188"/>
      <c r="AG3494" s="188"/>
      <c r="AH3494" s="188"/>
      <c r="AI3494" s="188"/>
    </row>
    <row r="3495">
      <c r="A3495" s="263"/>
      <c r="B3495" s="264"/>
      <c r="C3495" s="265"/>
      <c r="D3495" s="265"/>
      <c r="E3495" s="264"/>
      <c r="F3495" s="265"/>
      <c r="G3495" s="265"/>
      <c r="H3495" s="268"/>
      <c r="I3495" s="268"/>
      <c r="J3495" s="265"/>
      <c r="K3495" s="265"/>
      <c r="L3495" s="265"/>
      <c r="M3495" s="269"/>
      <c r="N3495" s="270"/>
      <c r="O3495" s="271"/>
      <c r="P3495" s="271"/>
      <c r="Q3495" s="272"/>
      <c r="R3495" s="273"/>
      <c r="S3495" s="273"/>
      <c r="T3495" s="273"/>
      <c r="U3495" s="274"/>
      <c r="V3495" s="263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</row>
    <row r="3496">
      <c r="A3496" s="263"/>
      <c r="B3496" s="264"/>
      <c r="C3496" s="265"/>
      <c r="D3496" s="265"/>
      <c r="E3496" s="264"/>
      <c r="F3496" s="265"/>
      <c r="G3496" s="265"/>
      <c r="H3496" s="268"/>
      <c r="I3496" s="268"/>
      <c r="J3496" s="265"/>
      <c r="K3496" s="265"/>
      <c r="L3496" s="265"/>
      <c r="M3496" s="269"/>
      <c r="N3496" s="270"/>
      <c r="O3496" s="271"/>
      <c r="P3496" s="271"/>
      <c r="Q3496" s="272"/>
      <c r="R3496" s="273"/>
      <c r="S3496" s="273"/>
      <c r="T3496" s="273"/>
      <c r="U3496" s="274"/>
      <c r="V3496" s="263"/>
      <c r="W3496" s="35"/>
      <c r="X3496" s="35"/>
      <c r="Y3496" s="35"/>
      <c r="Z3496" s="35"/>
      <c r="AA3496" s="35"/>
      <c r="AB3496" s="35"/>
      <c r="AC3496" s="35"/>
      <c r="AD3496" s="35"/>
      <c r="AE3496" s="35"/>
      <c r="AF3496" s="35"/>
      <c r="AG3496" s="35"/>
      <c r="AH3496" s="35"/>
      <c r="AI3496" s="35"/>
    </row>
    <row r="3497">
      <c r="A3497" s="263"/>
      <c r="B3497" s="264"/>
      <c r="C3497" s="265"/>
      <c r="D3497" s="265"/>
      <c r="E3497" s="264"/>
      <c r="F3497" s="265"/>
      <c r="G3497" s="265"/>
      <c r="H3497" s="268"/>
      <c r="I3497" s="268"/>
      <c r="J3497" s="265"/>
      <c r="K3497" s="265"/>
      <c r="L3497" s="265"/>
      <c r="M3497" s="269"/>
      <c r="N3497" s="270"/>
      <c r="O3497" s="271"/>
      <c r="P3497" s="271"/>
      <c r="Q3497" s="272"/>
      <c r="R3497" s="273"/>
      <c r="S3497" s="273"/>
      <c r="T3497" s="273"/>
      <c r="U3497" s="274"/>
      <c r="V3497" s="263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</row>
    <row r="3498">
      <c r="A3498" s="263"/>
      <c r="B3498" s="264"/>
      <c r="C3498" s="265"/>
      <c r="D3498" s="265"/>
      <c r="E3498" s="264"/>
      <c r="F3498" s="265"/>
      <c r="G3498" s="265"/>
      <c r="H3498" s="268"/>
      <c r="I3498" s="268"/>
      <c r="J3498" s="265"/>
      <c r="K3498" s="265"/>
      <c r="L3498" s="265"/>
      <c r="M3498" s="269"/>
      <c r="N3498" s="270"/>
      <c r="O3498" s="271"/>
      <c r="P3498" s="271"/>
      <c r="Q3498" s="272"/>
      <c r="R3498" s="273"/>
      <c r="S3498" s="273"/>
      <c r="T3498" s="273"/>
      <c r="U3498" s="274"/>
      <c r="V3498" s="263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</row>
    <row r="3499">
      <c r="A3499" s="263"/>
      <c r="B3499" s="264"/>
      <c r="C3499" s="265"/>
      <c r="D3499" s="265"/>
      <c r="E3499" s="264"/>
      <c r="F3499" s="265"/>
      <c r="G3499" s="265"/>
      <c r="H3499" s="268"/>
      <c r="I3499" s="268"/>
      <c r="J3499" s="265"/>
      <c r="K3499" s="265"/>
      <c r="L3499" s="265"/>
      <c r="M3499" s="269"/>
      <c r="N3499" s="270"/>
      <c r="O3499" s="271"/>
      <c r="P3499" s="271"/>
      <c r="Q3499" s="272"/>
      <c r="R3499" s="273"/>
      <c r="S3499" s="273"/>
      <c r="T3499" s="273"/>
      <c r="U3499" s="274"/>
      <c r="V3499" s="263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</row>
    <row r="3500">
      <c r="A3500" s="263"/>
      <c r="B3500" s="264"/>
      <c r="C3500" s="265"/>
      <c r="D3500" s="265"/>
      <c r="E3500" s="264"/>
      <c r="F3500" s="265"/>
      <c r="G3500" s="265"/>
      <c r="H3500" s="268"/>
      <c r="I3500" s="268"/>
      <c r="J3500" s="265"/>
      <c r="K3500" s="265"/>
      <c r="L3500" s="265"/>
      <c r="M3500" s="269"/>
      <c r="N3500" s="270"/>
      <c r="O3500" s="271"/>
      <c r="P3500" s="271"/>
      <c r="Q3500" s="272"/>
      <c r="R3500" s="273"/>
      <c r="S3500" s="273"/>
      <c r="T3500" s="273"/>
      <c r="U3500" s="274"/>
      <c r="V3500" s="263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</row>
    <row r="3501">
      <c r="A3501" s="263"/>
      <c r="B3501" s="264"/>
      <c r="C3501" s="265"/>
      <c r="D3501" s="265"/>
      <c r="E3501" s="264"/>
      <c r="F3501" s="265"/>
      <c r="G3501" s="265"/>
      <c r="H3501" s="268"/>
      <c r="I3501" s="268"/>
      <c r="J3501" s="265"/>
      <c r="K3501" s="265"/>
      <c r="L3501" s="265"/>
      <c r="M3501" s="269"/>
      <c r="N3501" s="270"/>
      <c r="O3501" s="271"/>
      <c r="P3501" s="271"/>
      <c r="Q3501" s="272"/>
      <c r="R3501" s="273"/>
      <c r="S3501" s="273"/>
      <c r="T3501" s="273"/>
      <c r="U3501" s="274"/>
      <c r="V3501" s="263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</row>
    <row r="3502">
      <c r="A3502" s="263"/>
      <c r="B3502" s="264"/>
      <c r="C3502" s="265"/>
      <c r="D3502" s="265"/>
      <c r="E3502" s="264"/>
      <c r="F3502" s="265"/>
      <c r="G3502" s="265"/>
      <c r="H3502" s="268"/>
      <c r="I3502" s="268"/>
      <c r="J3502" s="265"/>
      <c r="K3502" s="265"/>
      <c r="L3502" s="265"/>
      <c r="M3502" s="269"/>
      <c r="N3502" s="270"/>
      <c r="O3502" s="271"/>
      <c r="P3502" s="271"/>
      <c r="Q3502" s="272"/>
      <c r="R3502" s="273"/>
      <c r="S3502" s="273"/>
      <c r="T3502" s="273"/>
      <c r="U3502" s="274"/>
      <c r="V3502" s="263"/>
      <c r="W3502" s="188"/>
      <c r="X3502" s="188"/>
      <c r="Y3502" s="188"/>
      <c r="Z3502" s="188"/>
      <c r="AA3502" s="188"/>
      <c r="AB3502" s="188"/>
      <c r="AC3502" s="188"/>
      <c r="AD3502" s="188"/>
      <c r="AE3502" s="188"/>
      <c r="AF3502" s="188"/>
      <c r="AG3502" s="188"/>
      <c r="AH3502" s="188"/>
      <c r="AI3502" s="188"/>
    </row>
    <row r="3503">
      <c r="A3503" s="263"/>
      <c r="B3503" s="264"/>
      <c r="C3503" s="265"/>
      <c r="D3503" s="265"/>
      <c r="E3503" s="264"/>
      <c r="F3503" s="265"/>
      <c r="G3503" s="265"/>
      <c r="H3503" s="268"/>
      <c r="I3503" s="268"/>
      <c r="J3503" s="265"/>
      <c r="K3503" s="265"/>
      <c r="L3503" s="265"/>
      <c r="M3503" s="269"/>
      <c r="N3503" s="270"/>
      <c r="O3503" s="271"/>
      <c r="P3503" s="271"/>
      <c r="Q3503" s="272"/>
      <c r="R3503" s="273"/>
      <c r="S3503" s="273"/>
      <c r="T3503" s="273"/>
      <c r="U3503" s="274"/>
      <c r="V3503" s="263"/>
      <c r="W3503" s="188"/>
      <c r="X3503" s="188"/>
      <c r="Y3503" s="188"/>
      <c r="Z3503" s="188"/>
      <c r="AA3503" s="188"/>
      <c r="AB3503" s="188"/>
      <c r="AC3503" s="188"/>
      <c r="AD3503" s="188"/>
      <c r="AE3503" s="188"/>
      <c r="AF3503" s="188"/>
      <c r="AG3503" s="188"/>
      <c r="AH3503" s="188"/>
      <c r="AI3503" s="188"/>
    </row>
    <row r="3504">
      <c r="A3504" s="263"/>
      <c r="B3504" s="264"/>
      <c r="C3504" s="265"/>
      <c r="D3504" s="265"/>
      <c r="E3504" s="264"/>
      <c r="F3504" s="265"/>
      <c r="G3504" s="265"/>
      <c r="H3504" s="268"/>
      <c r="I3504" s="268"/>
      <c r="J3504" s="265"/>
      <c r="K3504" s="265"/>
      <c r="L3504" s="265"/>
      <c r="M3504" s="269"/>
      <c r="N3504" s="270"/>
      <c r="O3504" s="271"/>
      <c r="P3504" s="271"/>
      <c r="Q3504" s="272"/>
      <c r="R3504" s="273"/>
      <c r="S3504" s="273"/>
      <c r="T3504" s="273"/>
      <c r="U3504" s="274"/>
      <c r="V3504" s="263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</row>
    <row r="3505">
      <c r="A3505" s="263"/>
      <c r="B3505" s="264"/>
      <c r="C3505" s="265"/>
      <c r="D3505" s="265"/>
      <c r="E3505" s="264"/>
      <c r="F3505" s="265"/>
      <c r="G3505" s="265"/>
      <c r="H3505" s="268"/>
      <c r="I3505" s="268"/>
      <c r="J3505" s="265"/>
      <c r="K3505" s="265"/>
      <c r="L3505" s="265"/>
      <c r="M3505" s="269"/>
      <c r="N3505" s="270"/>
      <c r="O3505" s="271"/>
      <c r="P3505" s="271"/>
      <c r="Q3505" s="272"/>
      <c r="R3505" s="273"/>
      <c r="S3505" s="273"/>
      <c r="T3505" s="273"/>
      <c r="U3505" s="274"/>
      <c r="V3505" s="263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</row>
    <row r="3506">
      <c r="A3506" s="263"/>
      <c r="B3506" s="264"/>
      <c r="C3506" s="265"/>
      <c r="D3506" s="265"/>
      <c r="E3506" s="264"/>
      <c r="F3506" s="265"/>
      <c r="G3506" s="265"/>
      <c r="H3506" s="268"/>
      <c r="I3506" s="268"/>
      <c r="J3506" s="265"/>
      <c r="K3506" s="265"/>
      <c r="L3506" s="265"/>
      <c r="M3506" s="269"/>
      <c r="N3506" s="270"/>
      <c r="O3506" s="271"/>
      <c r="P3506" s="271"/>
      <c r="Q3506" s="272"/>
      <c r="R3506" s="273"/>
      <c r="S3506" s="273"/>
      <c r="T3506" s="273"/>
      <c r="U3506" s="274"/>
      <c r="V3506" s="263"/>
      <c r="W3506" s="35"/>
      <c r="X3506" s="35"/>
      <c r="Y3506" s="35"/>
      <c r="Z3506" s="35"/>
      <c r="AA3506" s="35"/>
      <c r="AB3506" s="35"/>
      <c r="AC3506" s="35"/>
      <c r="AD3506" s="35"/>
      <c r="AE3506" s="35"/>
      <c r="AF3506" s="35"/>
      <c r="AG3506" s="35"/>
      <c r="AH3506" s="35"/>
      <c r="AI3506" s="35"/>
    </row>
    <row r="3507">
      <c r="A3507" s="263"/>
      <c r="B3507" s="264"/>
      <c r="C3507" s="265"/>
      <c r="D3507" s="265"/>
      <c r="E3507" s="264"/>
      <c r="F3507" s="265"/>
      <c r="G3507" s="265"/>
      <c r="H3507" s="268"/>
      <c r="I3507" s="268"/>
      <c r="J3507" s="265"/>
      <c r="K3507" s="265"/>
      <c r="L3507" s="265"/>
      <c r="M3507" s="269"/>
      <c r="N3507" s="270"/>
      <c r="O3507" s="271"/>
      <c r="P3507" s="271"/>
      <c r="Q3507" s="272"/>
      <c r="R3507" s="273"/>
      <c r="S3507" s="273"/>
      <c r="T3507" s="273"/>
      <c r="U3507" s="274"/>
      <c r="V3507" s="263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</row>
    <row r="3508">
      <c r="A3508" s="263"/>
      <c r="B3508" s="264"/>
      <c r="C3508" s="265"/>
      <c r="D3508" s="265"/>
      <c r="E3508" s="264"/>
      <c r="F3508" s="265"/>
      <c r="G3508" s="265"/>
      <c r="H3508" s="268"/>
      <c r="I3508" s="268"/>
      <c r="J3508" s="265"/>
      <c r="K3508" s="265"/>
      <c r="L3508" s="265"/>
      <c r="M3508" s="269"/>
      <c r="N3508" s="270"/>
      <c r="O3508" s="271"/>
      <c r="P3508" s="271"/>
      <c r="Q3508" s="272"/>
      <c r="R3508" s="273"/>
      <c r="S3508" s="273"/>
      <c r="T3508" s="273"/>
      <c r="U3508" s="274"/>
      <c r="V3508" s="263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</row>
    <row r="3509">
      <c r="A3509" s="263"/>
      <c r="B3509" s="264"/>
      <c r="C3509" s="265"/>
      <c r="D3509" s="265"/>
      <c r="E3509" s="264"/>
      <c r="F3509" s="265"/>
      <c r="G3509" s="265"/>
      <c r="H3509" s="268"/>
      <c r="I3509" s="268"/>
      <c r="J3509" s="265"/>
      <c r="K3509" s="265"/>
      <c r="L3509" s="265"/>
      <c r="M3509" s="269"/>
      <c r="N3509" s="270"/>
      <c r="O3509" s="271"/>
      <c r="P3509" s="271"/>
      <c r="Q3509" s="272"/>
      <c r="R3509" s="273"/>
      <c r="S3509" s="273"/>
      <c r="T3509" s="273"/>
      <c r="U3509" s="274"/>
      <c r="V3509" s="263"/>
      <c r="W3509" s="35"/>
      <c r="X3509" s="35"/>
      <c r="Y3509" s="35"/>
      <c r="Z3509" s="35"/>
      <c r="AA3509" s="35"/>
      <c r="AB3509" s="35"/>
      <c r="AC3509" s="35"/>
      <c r="AD3509" s="35"/>
      <c r="AE3509" s="35"/>
      <c r="AF3509" s="35"/>
      <c r="AG3509" s="35"/>
      <c r="AH3509" s="35"/>
      <c r="AI3509" s="35"/>
    </row>
    <row r="3510">
      <c r="A3510" s="263"/>
      <c r="B3510" s="264"/>
      <c r="C3510" s="265"/>
      <c r="D3510" s="265"/>
      <c r="E3510" s="264"/>
      <c r="F3510" s="265"/>
      <c r="G3510" s="265"/>
      <c r="H3510" s="268"/>
      <c r="I3510" s="268"/>
      <c r="J3510" s="265"/>
      <c r="K3510" s="265"/>
      <c r="L3510" s="265"/>
      <c r="M3510" s="269"/>
      <c r="N3510" s="270"/>
      <c r="O3510" s="271"/>
      <c r="P3510" s="271"/>
      <c r="Q3510" s="272"/>
      <c r="R3510" s="273"/>
      <c r="S3510" s="273"/>
      <c r="T3510" s="273"/>
      <c r="U3510" s="274"/>
      <c r="V3510" s="263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</row>
    <row r="3511">
      <c r="A3511" s="263"/>
      <c r="B3511" s="264"/>
      <c r="C3511" s="265"/>
      <c r="D3511" s="265"/>
      <c r="E3511" s="264"/>
      <c r="F3511" s="265"/>
      <c r="G3511" s="265"/>
      <c r="H3511" s="268"/>
      <c r="I3511" s="268"/>
      <c r="J3511" s="265"/>
      <c r="K3511" s="265"/>
      <c r="L3511" s="265"/>
      <c r="M3511" s="269"/>
      <c r="N3511" s="270"/>
      <c r="O3511" s="271"/>
      <c r="P3511" s="271"/>
      <c r="Q3511" s="272"/>
      <c r="R3511" s="273"/>
      <c r="S3511" s="273"/>
      <c r="T3511" s="273"/>
      <c r="U3511" s="274"/>
      <c r="V3511" s="263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</row>
    <row r="3512">
      <c r="A3512" s="263"/>
      <c r="B3512" s="264"/>
      <c r="C3512" s="265"/>
      <c r="D3512" s="265"/>
      <c r="E3512" s="264"/>
      <c r="F3512" s="265"/>
      <c r="G3512" s="265"/>
      <c r="H3512" s="268"/>
      <c r="I3512" s="268"/>
      <c r="J3512" s="265"/>
      <c r="K3512" s="265"/>
      <c r="L3512" s="265"/>
      <c r="M3512" s="269"/>
      <c r="N3512" s="270"/>
      <c r="O3512" s="271"/>
      <c r="P3512" s="271"/>
      <c r="Q3512" s="272"/>
      <c r="R3512" s="273"/>
      <c r="S3512" s="273"/>
      <c r="T3512" s="273"/>
      <c r="U3512" s="274"/>
      <c r="V3512" s="263"/>
      <c r="W3512" s="35"/>
      <c r="X3512" s="35"/>
      <c r="Y3512" s="35"/>
      <c r="Z3512" s="35"/>
      <c r="AA3512" s="35"/>
      <c r="AB3512" s="35"/>
      <c r="AC3512" s="35"/>
      <c r="AD3512" s="35"/>
      <c r="AE3512" s="35"/>
      <c r="AF3512" s="35"/>
      <c r="AG3512" s="35"/>
      <c r="AH3512" s="35"/>
      <c r="AI3512" s="35"/>
    </row>
    <row r="3513">
      <c r="A3513" s="263"/>
      <c r="B3513" s="264"/>
      <c r="C3513" s="265"/>
      <c r="D3513" s="265"/>
      <c r="E3513" s="264"/>
      <c r="F3513" s="265"/>
      <c r="G3513" s="265"/>
      <c r="H3513" s="268"/>
      <c r="I3513" s="268"/>
      <c r="J3513" s="265"/>
      <c r="K3513" s="265"/>
      <c r="L3513" s="265"/>
      <c r="M3513" s="269"/>
      <c r="N3513" s="270"/>
      <c r="O3513" s="271"/>
      <c r="P3513" s="271"/>
      <c r="Q3513" s="272"/>
      <c r="R3513" s="273"/>
      <c r="S3513" s="273"/>
      <c r="T3513" s="273"/>
      <c r="U3513" s="274"/>
      <c r="V3513" s="263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</row>
    <row r="3514">
      <c r="A3514" s="263"/>
      <c r="B3514" s="264"/>
      <c r="C3514" s="265"/>
      <c r="D3514" s="265"/>
      <c r="E3514" s="264"/>
      <c r="F3514" s="265"/>
      <c r="G3514" s="265"/>
      <c r="H3514" s="268"/>
      <c r="I3514" s="268"/>
      <c r="J3514" s="265"/>
      <c r="K3514" s="265"/>
      <c r="L3514" s="265"/>
      <c r="M3514" s="269"/>
      <c r="N3514" s="270"/>
      <c r="O3514" s="271"/>
      <c r="P3514" s="271"/>
      <c r="Q3514" s="272"/>
      <c r="R3514" s="273"/>
      <c r="S3514" s="273"/>
      <c r="T3514" s="273"/>
      <c r="U3514" s="274"/>
      <c r="V3514" s="263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</row>
    <row r="3515">
      <c r="A3515" s="263"/>
      <c r="B3515" s="264"/>
      <c r="C3515" s="265"/>
      <c r="D3515" s="265"/>
      <c r="E3515" s="264"/>
      <c r="F3515" s="265"/>
      <c r="G3515" s="265"/>
      <c r="H3515" s="268"/>
      <c r="I3515" s="268"/>
      <c r="J3515" s="265"/>
      <c r="K3515" s="265"/>
      <c r="L3515" s="265"/>
      <c r="M3515" s="269"/>
      <c r="N3515" s="270"/>
      <c r="O3515" s="271"/>
      <c r="P3515" s="271"/>
      <c r="Q3515" s="272"/>
      <c r="R3515" s="273"/>
      <c r="S3515" s="273"/>
      <c r="T3515" s="273"/>
      <c r="U3515" s="274"/>
      <c r="V3515" s="263"/>
      <c r="W3515" s="35"/>
      <c r="X3515" s="35"/>
      <c r="Y3515" s="35"/>
      <c r="Z3515" s="35"/>
      <c r="AA3515" s="35"/>
      <c r="AB3515" s="35"/>
      <c r="AC3515" s="35"/>
      <c r="AD3515" s="35"/>
      <c r="AE3515" s="35"/>
      <c r="AF3515" s="35"/>
      <c r="AG3515" s="35"/>
      <c r="AH3515" s="35"/>
      <c r="AI3515" s="35"/>
    </row>
    <row r="3516">
      <c r="A3516" s="263"/>
      <c r="B3516" s="264"/>
      <c r="C3516" s="265"/>
      <c r="D3516" s="265"/>
      <c r="E3516" s="264"/>
      <c r="F3516" s="265"/>
      <c r="G3516" s="265"/>
      <c r="H3516" s="268"/>
      <c r="I3516" s="268"/>
      <c r="J3516" s="265"/>
      <c r="K3516" s="265"/>
      <c r="L3516" s="265"/>
      <c r="M3516" s="269"/>
      <c r="N3516" s="270"/>
      <c r="O3516" s="271"/>
      <c r="P3516" s="271"/>
      <c r="Q3516" s="272"/>
      <c r="R3516" s="273"/>
      <c r="S3516" s="273"/>
      <c r="T3516" s="273"/>
      <c r="U3516" s="274"/>
      <c r="V3516" s="263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</row>
    <row r="3517">
      <c r="A3517" s="263"/>
      <c r="B3517" s="264"/>
      <c r="C3517" s="265"/>
      <c r="D3517" s="265"/>
      <c r="E3517" s="264"/>
      <c r="F3517" s="265"/>
      <c r="G3517" s="265"/>
      <c r="H3517" s="268"/>
      <c r="I3517" s="268"/>
      <c r="J3517" s="265"/>
      <c r="K3517" s="265"/>
      <c r="L3517" s="265"/>
      <c r="M3517" s="269"/>
      <c r="N3517" s="270"/>
      <c r="O3517" s="271"/>
      <c r="P3517" s="271"/>
      <c r="Q3517" s="272"/>
      <c r="R3517" s="273"/>
      <c r="S3517" s="273"/>
      <c r="T3517" s="273"/>
      <c r="U3517" s="274"/>
      <c r="V3517" s="263"/>
      <c r="W3517" s="36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</row>
    <row r="3518">
      <c r="A3518" s="263"/>
      <c r="B3518" s="264"/>
      <c r="C3518" s="265"/>
      <c r="D3518" s="265"/>
      <c r="E3518" s="264"/>
      <c r="F3518" s="265"/>
      <c r="G3518" s="265"/>
      <c r="H3518" s="268"/>
      <c r="I3518" s="268"/>
      <c r="J3518" s="265"/>
      <c r="K3518" s="265"/>
      <c r="L3518" s="265"/>
      <c r="M3518" s="269"/>
      <c r="N3518" s="270"/>
      <c r="O3518" s="271"/>
      <c r="P3518" s="271"/>
      <c r="Q3518" s="272"/>
      <c r="R3518" s="273"/>
      <c r="S3518" s="273"/>
      <c r="T3518" s="273"/>
      <c r="U3518" s="274"/>
      <c r="V3518" s="263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</row>
    <row r="3519">
      <c r="A3519" s="263"/>
      <c r="B3519" s="264"/>
      <c r="C3519" s="265"/>
      <c r="D3519" s="265"/>
      <c r="E3519" s="264"/>
      <c r="F3519" s="265"/>
      <c r="G3519" s="265"/>
      <c r="H3519" s="268"/>
      <c r="I3519" s="268"/>
      <c r="J3519" s="265"/>
      <c r="K3519" s="265"/>
      <c r="L3519" s="265"/>
      <c r="M3519" s="269"/>
      <c r="N3519" s="270"/>
      <c r="O3519" s="271"/>
      <c r="P3519" s="271"/>
      <c r="Q3519" s="272"/>
      <c r="R3519" s="273"/>
      <c r="S3519" s="273"/>
      <c r="T3519" s="273"/>
      <c r="U3519" s="274"/>
      <c r="V3519" s="263"/>
      <c r="W3519" s="188"/>
      <c r="X3519" s="188"/>
      <c r="Y3519" s="188"/>
      <c r="Z3519" s="188"/>
      <c r="AA3519" s="188"/>
      <c r="AB3519" s="188"/>
      <c r="AC3519" s="188"/>
      <c r="AD3519" s="188"/>
      <c r="AE3519" s="188"/>
      <c r="AF3519" s="188"/>
      <c r="AG3519" s="188"/>
      <c r="AH3519" s="188"/>
      <c r="AI3519" s="188"/>
    </row>
    <row r="3520">
      <c r="A3520" s="263"/>
      <c r="B3520" s="264"/>
      <c r="C3520" s="265"/>
      <c r="D3520" s="265"/>
      <c r="E3520" s="264"/>
      <c r="F3520" s="265"/>
      <c r="G3520" s="265"/>
      <c r="H3520" s="268"/>
      <c r="I3520" s="268"/>
      <c r="J3520" s="265"/>
      <c r="K3520" s="265"/>
      <c r="L3520" s="265"/>
      <c r="M3520" s="269"/>
      <c r="N3520" s="270"/>
      <c r="O3520" s="271"/>
      <c r="P3520" s="271"/>
      <c r="Q3520" s="272"/>
      <c r="R3520" s="273"/>
      <c r="S3520" s="273"/>
      <c r="T3520" s="273"/>
      <c r="U3520" s="274"/>
      <c r="V3520" s="263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</row>
    <row r="3521">
      <c r="A3521" s="263"/>
      <c r="B3521" s="264"/>
      <c r="C3521" s="265"/>
      <c r="D3521" s="265"/>
      <c r="E3521" s="264"/>
      <c r="F3521" s="265"/>
      <c r="G3521" s="265"/>
      <c r="H3521" s="268"/>
      <c r="I3521" s="268"/>
      <c r="J3521" s="265"/>
      <c r="K3521" s="265"/>
      <c r="L3521" s="265"/>
      <c r="M3521" s="269"/>
      <c r="N3521" s="270"/>
      <c r="O3521" s="271"/>
      <c r="P3521" s="271"/>
      <c r="Q3521" s="272"/>
      <c r="R3521" s="273"/>
      <c r="S3521" s="273"/>
      <c r="T3521" s="273"/>
      <c r="U3521" s="274"/>
      <c r="V3521" s="263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</row>
    <row r="3522">
      <c r="A3522" s="263"/>
      <c r="B3522" s="264"/>
      <c r="C3522" s="265"/>
      <c r="D3522" s="265"/>
      <c r="E3522" s="264"/>
      <c r="F3522" s="265"/>
      <c r="G3522" s="265"/>
      <c r="H3522" s="268"/>
      <c r="I3522" s="268"/>
      <c r="J3522" s="265"/>
      <c r="K3522" s="265"/>
      <c r="L3522" s="265"/>
      <c r="M3522" s="269"/>
      <c r="N3522" s="270"/>
      <c r="O3522" s="271"/>
      <c r="P3522" s="271"/>
      <c r="Q3522" s="272"/>
      <c r="R3522" s="273"/>
      <c r="S3522" s="273"/>
      <c r="T3522" s="273"/>
      <c r="U3522" s="274"/>
      <c r="V3522" s="263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</row>
    <row r="3523">
      <c r="A3523" s="263"/>
      <c r="B3523" s="264"/>
      <c r="C3523" s="265"/>
      <c r="D3523" s="265"/>
      <c r="E3523" s="264"/>
      <c r="F3523" s="265"/>
      <c r="G3523" s="265"/>
      <c r="H3523" s="268"/>
      <c r="I3523" s="268"/>
      <c r="J3523" s="265"/>
      <c r="K3523" s="265"/>
      <c r="L3523" s="265"/>
      <c r="M3523" s="269"/>
      <c r="N3523" s="270"/>
      <c r="O3523" s="271"/>
      <c r="P3523" s="271"/>
      <c r="Q3523" s="272"/>
      <c r="R3523" s="273"/>
      <c r="S3523" s="273"/>
      <c r="T3523" s="273"/>
      <c r="U3523" s="274"/>
      <c r="V3523" s="263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</row>
    <row r="3524">
      <c r="A3524" s="263"/>
      <c r="B3524" s="264"/>
      <c r="C3524" s="265"/>
      <c r="D3524" s="265"/>
      <c r="E3524" s="264"/>
      <c r="F3524" s="265"/>
      <c r="G3524" s="265"/>
      <c r="H3524" s="268"/>
      <c r="I3524" s="268"/>
      <c r="J3524" s="265"/>
      <c r="K3524" s="265"/>
      <c r="L3524" s="265"/>
      <c r="M3524" s="269"/>
      <c r="N3524" s="270"/>
      <c r="O3524" s="271"/>
      <c r="P3524" s="271"/>
      <c r="Q3524" s="272"/>
      <c r="R3524" s="273"/>
      <c r="S3524" s="273"/>
      <c r="T3524" s="273"/>
      <c r="U3524" s="274"/>
      <c r="V3524" s="263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</row>
    <row r="3525">
      <c r="A3525" s="263"/>
      <c r="B3525" s="264"/>
      <c r="C3525" s="265"/>
      <c r="D3525" s="265"/>
      <c r="E3525" s="264"/>
      <c r="F3525" s="265"/>
      <c r="G3525" s="265"/>
      <c r="H3525" s="268"/>
      <c r="I3525" s="268"/>
      <c r="J3525" s="265"/>
      <c r="K3525" s="265"/>
      <c r="L3525" s="265"/>
      <c r="M3525" s="269"/>
      <c r="N3525" s="270"/>
      <c r="O3525" s="271"/>
      <c r="P3525" s="271"/>
      <c r="Q3525" s="272"/>
      <c r="R3525" s="273"/>
      <c r="S3525" s="273"/>
      <c r="T3525" s="273"/>
      <c r="U3525" s="274"/>
      <c r="V3525" s="263"/>
      <c r="W3525" s="35"/>
      <c r="X3525" s="35"/>
      <c r="Y3525" s="35"/>
      <c r="Z3525" s="35"/>
      <c r="AA3525" s="35"/>
      <c r="AB3525" s="35"/>
      <c r="AC3525" s="35"/>
      <c r="AD3525" s="35"/>
      <c r="AE3525" s="35"/>
      <c r="AF3525" s="35"/>
      <c r="AG3525" s="35"/>
      <c r="AH3525" s="35"/>
      <c r="AI3525" s="35"/>
    </row>
    <row r="3526">
      <c r="A3526" s="263"/>
      <c r="B3526" s="264"/>
      <c r="C3526" s="265"/>
      <c r="D3526" s="265"/>
      <c r="E3526" s="264"/>
      <c r="F3526" s="265"/>
      <c r="G3526" s="265"/>
      <c r="H3526" s="268"/>
      <c r="I3526" s="268"/>
      <c r="J3526" s="265"/>
      <c r="K3526" s="265"/>
      <c r="L3526" s="265"/>
      <c r="M3526" s="269"/>
      <c r="N3526" s="270"/>
      <c r="O3526" s="271"/>
      <c r="P3526" s="271"/>
      <c r="Q3526" s="272"/>
      <c r="R3526" s="273"/>
      <c r="S3526" s="273"/>
      <c r="T3526" s="273"/>
      <c r="U3526" s="274"/>
      <c r="V3526" s="263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</row>
    <row r="3527">
      <c r="A3527" s="263"/>
      <c r="B3527" s="264"/>
      <c r="C3527" s="265"/>
      <c r="D3527" s="265"/>
      <c r="E3527" s="264"/>
      <c r="F3527" s="265"/>
      <c r="G3527" s="265"/>
      <c r="H3527" s="268"/>
      <c r="I3527" s="268"/>
      <c r="J3527" s="265"/>
      <c r="K3527" s="265"/>
      <c r="L3527" s="265"/>
      <c r="M3527" s="269"/>
      <c r="N3527" s="270"/>
      <c r="O3527" s="271"/>
      <c r="P3527" s="271"/>
      <c r="Q3527" s="272"/>
      <c r="R3527" s="273"/>
      <c r="S3527" s="273"/>
      <c r="T3527" s="273"/>
      <c r="U3527" s="274"/>
      <c r="V3527" s="263"/>
      <c r="W3527" s="188"/>
      <c r="X3527" s="188"/>
      <c r="Y3527" s="188"/>
      <c r="Z3527" s="188"/>
      <c r="AA3527" s="188"/>
      <c r="AB3527" s="188"/>
      <c r="AC3527" s="188"/>
      <c r="AD3527" s="188"/>
      <c r="AE3527" s="188"/>
      <c r="AF3527" s="188"/>
      <c r="AG3527" s="188"/>
      <c r="AH3527" s="188"/>
      <c r="AI3527" s="188"/>
    </row>
    <row r="3528">
      <c r="A3528" s="263"/>
      <c r="B3528" s="264"/>
      <c r="C3528" s="265"/>
      <c r="D3528" s="265"/>
      <c r="E3528" s="264"/>
      <c r="F3528" s="265"/>
      <c r="G3528" s="265"/>
      <c r="H3528" s="268"/>
      <c r="I3528" s="268"/>
      <c r="J3528" s="265"/>
      <c r="K3528" s="265"/>
      <c r="L3528" s="265"/>
      <c r="M3528" s="269"/>
      <c r="N3528" s="270"/>
      <c r="O3528" s="271"/>
      <c r="P3528" s="271"/>
      <c r="Q3528" s="272"/>
      <c r="R3528" s="273"/>
      <c r="S3528" s="273"/>
      <c r="T3528" s="273"/>
      <c r="U3528" s="274"/>
      <c r="V3528" s="263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</row>
    <row r="3529">
      <c r="A3529" s="263"/>
      <c r="B3529" s="264"/>
      <c r="C3529" s="265"/>
      <c r="D3529" s="265"/>
      <c r="E3529" s="264"/>
      <c r="F3529" s="265"/>
      <c r="G3529" s="265"/>
      <c r="H3529" s="268"/>
      <c r="I3529" s="268"/>
      <c r="J3529" s="265"/>
      <c r="K3529" s="265"/>
      <c r="L3529" s="265"/>
      <c r="M3529" s="269"/>
      <c r="N3529" s="270"/>
      <c r="O3529" s="271"/>
      <c r="P3529" s="271"/>
      <c r="Q3529" s="272"/>
      <c r="R3529" s="273"/>
      <c r="S3529" s="273"/>
      <c r="T3529" s="273"/>
      <c r="U3529" s="274"/>
      <c r="V3529" s="263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</row>
    <row r="3530">
      <c r="A3530" s="263"/>
      <c r="B3530" s="264"/>
      <c r="C3530" s="265"/>
      <c r="D3530" s="265"/>
      <c r="E3530" s="264"/>
      <c r="F3530" s="265"/>
      <c r="G3530" s="265"/>
      <c r="H3530" s="268"/>
      <c r="I3530" s="268"/>
      <c r="J3530" s="265"/>
      <c r="K3530" s="265"/>
      <c r="L3530" s="265"/>
      <c r="M3530" s="269"/>
      <c r="N3530" s="270"/>
      <c r="O3530" s="271"/>
      <c r="P3530" s="271"/>
      <c r="Q3530" s="272"/>
      <c r="R3530" s="273"/>
      <c r="S3530" s="273"/>
      <c r="T3530" s="273"/>
      <c r="U3530" s="274"/>
      <c r="V3530" s="263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</row>
    <row r="3531">
      <c r="A3531" s="263"/>
      <c r="B3531" s="264"/>
      <c r="C3531" s="265"/>
      <c r="D3531" s="265"/>
      <c r="E3531" s="264"/>
      <c r="F3531" s="265"/>
      <c r="G3531" s="265"/>
      <c r="H3531" s="268"/>
      <c r="I3531" s="268"/>
      <c r="J3531" s="265"/>
      <c r="K3531" s="265"/>
      <c r="L3531" s="265"/>
      <c r="M3531" s="269"/>
      <c r="N3531" s="270"/>
      <c r="O3531" s="271"/>
      <c r="P3531" s="271"/>
      <c r="Q3531" s="272"/>
      <c r="R3531" s="273"/>
      <c r="S3531" s="273"/>
      <c r="T3531" s="273"/>
      <c r="U3531" s="274"/>
      <c r="V3531" s="263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</row>
    <row r="3532">
      <c r="A3532" s="280"/>
      <c r="B3532" s="264"/>
      <c r="C3532" s="265"/>
      <c r="D3532" s="265"/>
      <c r="E3532" s="264"/>
      <c r="F3532" s="265"/>
      <c r="G3532" s="265"/>
      <c r="H3532" s="268"/>
      <c r="I3532" s="268"/>
      <c r="J3532" s="265"/>
      <c r="K3532" s="265"/>
      <c r="L3532" s="265"/>
      <c r="M3532" s="269"/>
      <c r="N3532" s="270"/>
      <c r="O3532" s="271"/>
      <c r="P3532" s="271"/>
      <c r="Q3532" s="272"/>
      <c r="R3532" s="273"/>
      <c r="S3532" s="273"/>
      <c r="T3532" s="273"/>
      <c r="U3532" s="274"/>
      <c r="V3532" s="28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</row>
    <row r="3533">
      <c r="A3533" s="280"/>
      <c r="B3533" s="264"/>
      <c r="C3533" s="265"/>
      <c r="D3533" s="265"/>
      <c r="E3533" s="264"/>
      <c r="F3533" s="265"/>
      <c r="G3533" s="265"/>
      <c r="H3533" s="268"/>
      <c r="I3533" s="268"/>
      <c r="J3533" s="265"/>
      <c r="K3533" s="265"/>
      <c r="L3533" s="265"/>
      <c r="M3533" s="269"/>
      <c r="N3533" s="270"/>
      <c r="O3533" s="271"/>
      <c r="P3533" s="271"/>
      <c r="Q3533" s="272"/>
      <c r="R3533" s="273"/>
      <c r="S3533" s="273"/>
      <c r="T3533" s="273"/>
      <c r="U3533" s="274"/>
      <c r="V3533" s="28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</row>
    <row r="3534">
      <c r="A3534" s="280"/>
      <c r="B3534" s="264"/>
      <c r="C3534" s="265"/>
      <c r="D3534" s="265"/>
      <c r="E3534" s="264"/>
      <c r="F3534" s="265"/>
      <c r="G3534" s="265"/>
      <c r="H3534" s="268"/>
      <c r="I3534" s="268"/>
      <c r="J3534" s="265"/>
      <c r="K3534" s="265"/>
      <c r="L3534" s="265"/>
      <c r="M3534" s="269"/>
      <c r="N3534" s="270"/>
      <c r="O3534" s="271"/>
      <c r="P3534" s="271"/>
      <c r="Q3534" s="272"/>
      <c r="R3534" s="273"/>
      <c r="S3534" s="273"/>
      <c r="T3534" s="273"/>
      <c r="U3534" s="274"/>
      <c r="V3534" s="284"/>
      <c r="W3534" s="188"/>
      <c r="X3534" s="188"/>
      <c r="Y3534" s="188"/>
      <c r="Z3534" s="188"/>
      <c r="AA3534" s="188"/>
      <c r="AB3534" s="188"/>
      <c r="AC3534" s="188"/>
      <c r="AD3534" s="188"/>
      <c r="AE3534" s="188"/>
      <c r="AF3534" s="188"/>
      <c r="AG3534" s="188"/>
      <c r="AH3534" s="188"/>
      <c r="AI3534" s="188"/>
    </row>
    <row r="3535">
      <c r="A3535" s="276"/>
      <c r="B3535" s="252"/>
      <c r="C3535" s="253"/>
      <c r="D3535" s="253"/>
      <c r="E3535" s="252"/>
      <c r="F3535" s="253"/>
      <c r="G3535" s="253"/>
      <c r="H3535" s="256"/>
      <c r="I3535" s="256"/>
      <c r="J3535" s="265"/>
      <c r="K3535" s="253"/>
      <c r="L3535" s="253"/>
      <c r="M3535" s="275"/>
      <c r="N3535" s="258"/>
      <c r="O3535" s="259"/>
      <c r="P3535" s="259"/>
      <c r="Q3535" s="262"/>
      <c r="R3535" s="260"/>
      <c r="S3535" s="260"/>
      <c r="T3535" s="260"/>
      <c r="U3535" s="261"/>
      <c r="V3535" s="279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</row>
    <row r="3536">
      <c r="A3536" s="276"/>
      <c r="B3536" s="252"/>
      <c r="C3536" s="253"/>
      <c r="D3536" s="253"/>
      <c r="E3536" s="252"/>
      <c r="F3536" s="253"/>
      <c r="G3536" s="253"/>
      <c r="H3536" s="256"/>
      <c r="I3536" s="256"/>
      <c r="J3536" s="265"/>
      <c r="K3536" s="253"/>
      <c r="L3536" s="253"/>
      <c r="M3536" s="275"/>
      <c r="N3536" s="258"/>
      <c r="O3536" s="259"/>
      <c r="P3536" s="259"/>
      <c r="Q3536" s="262"/>
      <c r="R3536" s="260"/>
      <c r="S3536" s="260"/>
      <c r="T3536" s="260"/>
      <c r="U3536" s="261"/>
      <c r="V3536" s="279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</row>
    <row r="3537">
      <c r="A3537" s="280"/>
      <c r="B3537" s="264"/>
      <c r="C3537" s="265"/>
      <c r="D3537" s="265"/>
      <c r="E3537" s="264"/>
      <c r="F3537" s="265"/>
      <c r="G3537" s="265"/>
      <c r="H3537" s="268"/>
      <c r="I3537" s="268"/>
      <c r="J3537" s="265"/>
      <c r="K3537" s="265"/>
      <c r="L3537" s="265"/>
      <c r="M3537" s="269"/>
      <c r="N3537" s="270"/>
      <c r="O3537" s="271"/>
      <c r="P3537" s="271"/>
      <c r="Q3537" s="272"/>
      <c r="R3537" s="273"/>
      <c r="S3537" s="273"/>
      <c r="T3537" s="273"/>
      <c r="U3537" s="274"/>
      <c r="V3537" s="28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</row>
    <row r="3538">
      <c r="A3538" s="276"/>
      <c r="B3538" s="252"/>
      <c r="C3538" s="253"/>
      <c r="D3538" s="253"/>
      <c r="E3538" s="252"/>
      <c r="F3538" s="253"/>
      <c r="G3538" s="253"/>
      <c r="H3538" s="256"/>
      <c r="I3538" s="256"/>
      <c r="J3538" s="265"/>
      <c r="K3538" s="253"/>
      <c r="L3538" s="253"/>
      <c r="M3538" s="275"/>
      <c r="N3538" s="258"/>
      <c r="O3538" s="259"/>
      <c r="P3538" s="259"/>
      <c r="Q3538" s="262"/>
      <c r="R3538" s="260"/>
      <c r="S3538" s="260"/>
      <c r="T3538" s="260"/>
      <c r="U3538" s="261"/>
      <c r="V3538" s="279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</row>
    <row r="3539">
      <c r="A3539" s="263"/>
      <c r="B3539" s="264"/>
      <c r="C3539" s="265"/>
      <c r="D3539" s="265"/>
      <c r="E3539" s="264"/>
      <c r="F3539" s="265"/>
      <c r="G3539" s="265"/>
      <c r="H3539" s="268"/>
      <c r="I3539" s="268"/>
      <c r="J3539" s="265"/>
      <c r="K3539" s="265"/>
      <c r="L3539" s="265"/>
      <c r="M3539" s="269"/>
      <c r="N3539" s="270"/>
      <c r="O3539" s="271"/>
      <c r="P3539" s="271"/>
      <c r="Q3539" s="272"/>
      <c r="R3539" s="273"/>
      <c r="S3539" s="273"/>
      <c r="T3539" s="273"/>
      <c r="U3539" s="274"/>
      <c r="V3539" s="263"/>
      <c r="W3539" s="35"/>
      <c r="X3539" s="35"/>
      <c r="Y3539" s="35"/>
      <c r="Z3539" s="35"/>
      <c r="AA3539" s="35"/>
      <c r="AB3539" s="35"/>
      <c r="AC3539" s="35"/>
      <c r="AD3539" s="35"/>
      <c r="AE3539" s="35"/>
      <c r="AF3539" s="35"/>
      <c r="AG3539" s="35"/>
      <c r="AH3539" s="35"/>
      <c r="AI3539" s="35"/>
    </row>
    <row r="3540">
      <c r="A3540" s="280"/>
      <c r="B3540" s="264"/>
      <c r="C3540" s="265"/>
      <c r="D3540" s="265"/>
      <c r="E3540" s="264"/>
      <c r="F3540" s="265"/>
      <c r="G3540" s="265"/>
      <c r="H3540" s="268"/>
      <c r="I3540" s="268"/>
      <c r="J3540" s="253"/>
      <c r="K3540" s="265"/>
      <c r="L3540" s="265"/>
      <c r="M3540" s="269"/>
      <c r="N3540" s="270"/>
      <c r="O3540" s="271"/>
      <c r="P3540" s="271"/>
      <c r="Q3540" s="272"/>
      <c r="R3540" s="273"/>
      <c r="S3540" s="273"/>
      <c r="T3540" s="273"/>
      <c r="U3540" s="274"/>
      <c r="V3540" s="284"/>
      <c r="W3540" s="188"/>
      <c r="X3540" s="188"/>
      <c r="Y3540" s="188"/>
      <c r="Z3540" s="188"/>
      <c r="AA3540" s="188"/>
      <c r="AB3540" s="188"/>
      <c r="AC3540" s="188"/>
      <c r="AD3540" s="188"/>
      <c r="AE3540" s="188"/>
      <c r="AF3540" s="188"/>
      <c r="AG3540" s="188"/>
      <c r="AH3540" s="188"/>
      <c r="AI3540" s="188"/>
    </row>
    <row r="3541">
      <c r="A3541" s="280"/>
      <c r="B3541" s="264"/>
      <c r="C3541" s="265"/>
      <c r="D3541" s="265"/>
      <c r="E3541" s="264"/>
      <c r="F3541" s="265"/>
      <c r="G3541" s="265"/>
      <c r="H3541" s="268"/>
      <c r="I3541" s="268"/>
      <c r="J3541" s="253"/>
      <c r="K3541" s="265"/>
      <c r="L3541" s="265"/>
      <c r="M3541" s="269"/>
      <c r="N3541" s="270"/>
      <c r="O3541" s="271"/>
      <c r="P3541" s="271"/>
      <c r="Q3541" s="272"/>
      <c r="R3541" s="273"/>
      <c r="S3541" s="273"/>
      <c r="T3541" s="273"/>
      <c r="U3541" s="274"/>
      <c r="V3541" s="284"/>
      <c r="W3541" s="188"/>
      <c r="X3541" s="188"/>
      <c r="Y3541" s="188"/>
      <c r="Z3541" s="188"/>
      <c r="AA3541" s="188"/>
      <c r="AB3541" s="188"/>
      <c r="AC3541" s="188"/>
      <c r="AD3541" s="188"/>
      <c r="AE3541" s="188"/>
      <c r="AF3541" s="188"/>
      <c r="AG3541" s="188"/>
      <c r="AH3541" s="188"/>
      <c r="AI3541" s="188"/>
    </row>
    <row r="3542">
      <c r="A3542" s="280"/>
      <c r="B3542" s="264"/>
      <c r="C3542" s="265"/>
      <c r="D3542" s="265"/>
      <c r="E3542" s="264"/>
      <c r="F3542" s="265"/>
      <c r="G3542" s="265"/>
      <c r="H3542" s="268"/>
      <c r="I3542" s="268"/>
      <c r="J3542" s="265"/>
      <c r="K3542" s="265"/>
      <c r="L3542" s="265"/>
      <c r="M3542" s="269"/>
      <c r="N3542" s="270"/>
      <c r="O3542" s="271"/>
      <c r="P3542" s="271"/>
      <c r="Q3542" s="272"/>
      <c r="R3542" s="273"/>
      <c r="S3542" s="273"/>
      <c r="T3542" s="273"/>
      <c r="U3542" s="274"/>
      <c r="V3542" s="28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</row>
    <row r="3543">
      <c r="A3543" s="280"/>
      <c r="B3543" s="264"/>
      <c r="C3543" s="265"/>
      <c r="D3543" s="265"/>
      <c r="E3543" s="264"/>
      <c r="F3543" s="265"/>
      <c r="G3543" s="265"/>
      <c r="H3543" s="268"/>
      <c r="I3543" s="268"/>
      <c r="J3543" s="253"/>
      <c r="K3543" s="265"/>
      <c r="L3543" s="265"/>
      <c r="M3543" s="269"/>
      <c r="N3543" s="270"/>
      <c r="O3543" s="271"/>
      <c r="P3543" s="271"/>
      <c r="Q3543" s="272"/>
      <c r="R3543" s="273"/>
      <c r="S3543" s="273"/>
      <c r="T3543" s="273"/>
      <c r="U3543" s="274"/>
      <c r="V3543" s="28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</row>
    <row r="3544">
      <c r="A3544" s="280"/>
      <c r="B3544" s="264"/>
      <c r="C3544" s="265"/>
      <c r="D3544" s="265"/>
      <c r="E3544" s="264"/>
      <c r="F3544" s="265"/>
      <c r="G3544" s="265"/>
      <c r="H3544" s="268"/>
      <c r="I3544" s="268"/>
      <c r="J3544" s="265"/>
      <c r="K3544" s="265"/>
      <c r="L3544" s="265"/>
      <c r="M3544" s="269"/>
      <c r="N3544" s="270"/>
      <c r="O3544" s="271"/>
      <c r="P3544" s="271"/>
      <c r="Q3544" s="272"/>
      <c r="R3544" s="273"/>
      <c r="S3544" s="273"/>
      <c r="T3544" s="273"/>
      <c r="U3544" s="274"/>
      <c r="V3544" s="28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</row>
    <row r="3545">
      <c r="A3545" s="280"/>
      <c r="B3545" s="264"/>
      <c r="C3545" s="265"/>
      <c r="D3545" s="265"/>
      <c r="E3545" s="264"/>
      <c r="F3545" s="265"/>
      <c r="G3545" s="265"/>
      <c r="H3545" s="268"/>
      <c r="I3545" s="268"/>
      <c r="J3545" s="265"/>
      <c r="K3545" s="265"/>
      <c r="L3545" s="265"/>
      <c r="M3545" s="269"/>
      <c r="N3545" s="270"/>
      <c r="O3545" s="271"/>
      <c r="P3545" s="271"/>
      <c r="Q3545" s="272"/>
      <c r="R3545" s="273"/>
      <c r="S3545" s="273"/>
      <c r="T3545" s="273"/>
      <c r="U3545" s="274"/>
      <c r="V3545" s="28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</row>
    <row r="3546">
      <c r="A3546" s="280"/>
      <c r="B3546" s="264"/>
      <c r="C3546" s="265"/>
      <c r="D3546" s="265"/>
      <c r="E3546" s="264"/>
      <c r="F3546" s="265"/>
      <c r="G3546" s="265"/>
      <c r="H3546" s="268"/>
      <c r="I3546" s="268"/>
      <c r="J3546" s="265"/>
      <c r="K3546" s="265"/>
      <c r="L3546" s="265"/>
      <c r="M3546" s="269"/>
      <c r="N3546" s="270"/>
      <c r="O3546" s="271"/>
      <c r="P3546" s="271"/>
      <c r="Q3546" s="272"/>
      <c r="R3546" s="273"/>
      <c r="S3546" s="273"/>
      <c r="T3546" s="273"/>
      <c r="U3546" s="274"/>
      <c r="V3546" s="28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</row>
    <row r="3547">
      <c r="A3547" s="280"/>
      <c r="B3547" s="264"/>
      <c r="C3547" s="265"/>
      <c r="D3547" s="265"/>
      <c r="E3547" s="264"/>
      <c r="F3547" s="265"/>
      <c r="G3547" s="265"/>
      <c r="H3547" s="268"/>
      <c r="I3547" s="268"/>
      <c r="J3547" s="265"/>
      <c r="K3547" s="265"/>
      <c r="L3547" s="265"/>
      <c r="M3547" s="269"/>
      <c r="N3547" s="270"/>
      <c r="O3547" s="271"/>
      <c r="P3547" s="271"/>
      <c r="Q3547" s="272"/>
      <c r="R3547" s="273"/>
      <c r="S3547" s="273"/>
      <c r="T3547" s="273"/>
      <c r="U3547" s="274"/>
      <c r="V3547" s="284"/>
      <c r="W3547" s="188"/>
      <c r="X3547" s="188"/>
      <c r="Y3547" s="188"/>
      <c r="Z3547" s="188"/>
      <c r="AA3547" s="188"/>
      <c r="AB3547" s="188"/>
      <c r="AC3547" s="188"/>
      <c r="AD3547" s="188"/>
      <c r="AE3547" s="188"/>
      <c r="AF3547" s="188"/>
      <c r="AG3547" s="188"/>
      <c r="AH3547" s="188"/>
      <c r="AI3547" s="188"/>
    </row>
    <row r="3548">
      <c r="A3548" s="280"/>
      <c r="B3548" s="264"/>
      <c r="C3548" s="265"/>
      <c r="D3548" s="265"/>
      <c r="E3548" s="264"/>
      <c r="F3548" s="265"/>
      <c r="G3548" s="265"/>
      <c r="H3548" s="268"/>
      <c r="I3548" s="268"/>
      <c r="J3548" s="265"/>
      <c r="K3548" s="265"/>
      <c r="L3548" s="265"/>
      <c r="M3548" s="269"/>
      <c r="N3548" s="270"/>
      <c r="O3548" s="271"/>
      <c r="P3548" s="271"/>
      <c r="Q3548" s="272"/>
      <c r="R3548" s="273"/>
      <c r="S3548" s="273"/>
      <c r="T3548" s="273"/>
      <c r="U3548" s="274"/>
      <c r="V3548" s="28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</row>
    <row r="3549">
      <c r="A3549" s="276"/>
      <c r="B3549" s="252"/>
      <c r="C3549" s="253"/>
      <c r="D3549" s="253"/>
      <c r="E3549" s="252"/>
      <c r="F3549" s="253"/>
      <c r="G3549" s="253"/>
      <c r="H3549" s="256"/>
      <c r="I3549" s="256"/>
      <c r="J3549" s="265"/>
      <c r="K3549" s="253"/>
      <c r="L3549" s="253"/>
      <c r="M3549" s="252"/>
      <c r="N3549" s="258"/>
      <c r="O3549" s="259"/>
      <c r="P3549" s="259"/>
      <c r="Q3549" s="262"/>
      <c r="R3549" s="260"/>
      <c r="S3549" s="260"/>
      <c r="T3549" s="260"/>
      <c r="U3549" s="261"/>
      <c r="V3549" s="279"/>
      <c r="W3549" s="35"/>
      <c r="X3549" s="35"/>
      <c r="Y3549" s="35"/>
      <c r="Z3549" s="35"/>
      <c r="AA3549" s="35"/>
      <c r="AB3549" s="35"/>
      <c r="AC3549" s="35"/>
      <c r="AD3549" s="35"/>
      <c r="AE3549" s="35"/>
      <c r="AF3549" s="35"/>
      <c r="AG3549" s="35"/>
      <c r="AH3549" s="35"/>
      <c r="AI3549" s="35"/>
    </row>
    <row r="3550">
      <c r="A3550" s="280"/>
      <c r="B3550" s="264"/>
      <c r="C3550" s="265"/>
      <c r="D3550" s="265"/>
      <c r="E3550" s="264"/>
      <c r="F3550" s="265"/>
      <c r="G3550" s="265"/>
      <c r="H3550" s="268"/>
      <c r="I3550" s="268"/>
      <c r="J3550" s="265"/>
      <c r="K3550" s="265"/>
      <c r="L3550" s="265"/>
      <c r="M3550" s="269"/>
      <c r="N3550" s="270"/>
      <c r="O3550" s="271"/>
      <c r="P3550" s="271"/>
      <c r="Q3550" s="272"/>
      <c r="R3550" s="273"/>
      <c r="S3550" s="273"/>
      <c r="T3550" s="273"/>
      <c r="U3550" s="274"/>
      <c r="V3550" s="28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</row>
    <row r="3551">
      <c r="A3551" s="276"/>
      <c r="B3551" s="252"/>
      <c r="C3551" s="253"/>
      <c r="D3551" s="253"/>
      <c r="E3551" s="252"/>
      <c r="F3551" s="253"/>
      <c r="G3551" s="253"/>
      <c r="H3551" s="256"/>
      <c r="I3551" s="256"/>
      <c r="J3551" s="265"/>
      <c r="K3551" s="253"/>
      <c r="L3551" s="253"/>
      <c r="M3551" s="252"/>
      <c r="N3551" s="258"/>
      <c r="O3551" s="259"/>
      <c r="P3551" s="259"/>
      <c r="Q3551" s="262"/>
      <c r="R3551" s="260"/>
      <c r="S3551" s="260"/>
      <c r="T3551" s="260"/>
      <c r="U3551" s="261"/>
      <c r="V3551" s="279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</row>
    <row r="3552">
      <c r="A3552" s="280"/>
      <c r="B3552" s="264"/>
      <c r="C3552" s="265"/>
      <c r="D3552" s="265"/>
      <c r="E3552" s="264"/>
      <c r="F3552" s="265"/>
      <c r="G3552" s="265"/>
      <c r="H3552" s="268"/>
      <c r="I3552" s="268"/>
      <c r="J3552" s="265"/>
      <c r="K3552" s="265"/>
      <c r="L3552" s="265"/>
      <c r="M3552" s="269"/>
      <c r="N3552" s="270"/>
      <c r="O3552" s="271"/>
      <c r="P3552" s="271"/>
      <c r="Q3552" s="272"/>
      <c r="R3552" s="273"/>
      <c r="S3552" s="273"/>
      <c r="T3552" s="273"/>
      <c r="U3552" s="274"/>
      <c r="V3552" s="284"/>
      <c r="W3552" s="35"/>
      <c r="X3552" s="35"/>
      <c r="Y3552" s="35"/>
      <c r="Z3552" s="35"/>
      <c r="AA3552" s="35"/>
      <c r="AB3552" s="35"/>
      <c r="AC3552" s="35"/>
      <c r="AD3552" s="35"/>
      <c r="AE3552" s="35"/>
      <c r="AF3552" s="35"/>
      <c r="AG3552" s="35"/>
      <c r="AH3552" s="35"/>
      <c r="AI3552" s="35"/>
    </row>
    <row r="3553">
      <c r="A3553" s="280"/>
      <c r="B3553" s="264"/>
      <c r="C3553" s="265"/>
      <c r="D3553" s="265"/>
      <c r="E3553" s="264"/>
      <c r="F3553" s="265"/>
      <c r="G3553" s="265"/>
      <c r="H3553" s="268"/>
      <c r="I3553" s="268"/>
      <c r="J3553" s="265"/>
      <c r="K3553" s="265"/>
      <c r="L3553" s="265"/>
      <c r="M3553" s="269"/>
      <c r="N3553" s="270"/>
      <c r="O3553" s="271"/>
      <c r="P3553" s="271"/>
      <c r="Q3553" s="272"/>
      <c r="R3553" s="273"/>
      <c r="S3553" s="273"/>
      <c r="T3553" s="273"/>
      <c r="U3553" s="274"/>
      <c r="V3553" s="284"/>
      <c r="W3553" s="35"/>
      <c r="X3553" s="35"/>
      <c r="Y3553" s="35"/>
      <c r="Z3553" s="35"/>
      <c r="AA3553" s="35"/>
      <c r="AB3553" s="35"/>
      <c r="AC3553" s="35"/>
      <c r="AD3553" s="35"/>
      <c r="AE3553" s="35"/>
      <c r="AF3553" s="35"/>
      <c r="AG3553" s="35"/>
      <c r="AH3553" s="35"/>
      <c r="AI3553" s="35"/>
    </row>
    <row r="3554">
      <c r="A3554" s="280"/>
      <c r="B3554" s="264"/>
      <c r="C3554" s="265"/>
      <c r="D3554" s="265"/>
      <c r="E3554" s="264"/>
      <c r="F3554" s="265"/>
      <c r="G3554" s="265"/>
      <c r="H3554" s="268"/>
      <c r="I3554" s="268"/>
      <c r="J3554" s="253"/>
      <c r="K3554" s="265"/>
      <c r="L3554" s="265"/>
      <c r="M3554" s="269"/>
      <c r="N3554" s="270"/>
      <c r="O3554" s="271"/>
      <c r="P3554" s="271"/>
      <c r="Q3554" s="272"/>
      <c r="R3554" s="273"/>
      <c r="S3554" s="273"/>
      <c r="T3554" s="273"/>
      <c r="U3554" s="274"/>
      <c r="V3554" s="284"/>
      <c r="W3554" s="35"/>
      <c r="X3554" s="35"/>
      <c r="Y3554" s="35"/>
      <c r="Z3554" s="35"/>
      <c r="AA3554" s="35"/>
      <c r="AB3554" s="35"/>
      <c r="AC3554" s="35"/>
      <c r="AD3554" s="35"/>
      <c r="AE3554" s="35"/>
      <c r="AF3554" s="35"/>
      <c r="AG3554" s="35"/>
      <c r="AH3554" s="35"/>
      <c r="AI3554" s="35"/>
    </row>
    <row r="3555">
      <c r="A3555" s="280"/>
      <c r="B3555" s="264"/>
      <c r="C3555" s="265"/>
      <c r="D3555" s="265"/>
      <c r="E3555" s="264"/>
      <c r="F3555" s="265"/>
      <c r="G3555" s="265"/>
      <c r="H3555" s="268"/>
      <c r="I3555" s="268"/>
      <c r="J3555" s="265"/>
      <c r="K3555" s="265"/>
      <c r="L3555" s="265"/>
      <c r="M3555" s="269"/>
      <c r="N3555" s="270"/>
      <c r="O3555" s="271"/>
      <c r="P3555" s="271"/>
      <c r="Q3555" s="272"/>
      <c r="R3555" s="273"/>
      <c r="S3555" s="273"/>
      <c r="T3555" s="273"/>
      <c r="U3555" s="274"/>
      <c r="V3555" s="284"/>
      <c r="W3555" s="188"/>
      <c r="X3555" s="188"/>
      <c r="Y3555" s="188"/>
      <c r="Z3555" s="188"/>
      <c r="AA3555" s="188"/>
      <c r="AB3555" s="188"/>
      <c r="AC3555" s="188"/>
      <c r="AD3555" s="188"/>
      <c r="AE3555" s="188"/>
      <c r="AF3555" s="188"/>
      <c r="AG3555" s="188"/>
      <c r="AH3555" s="188"/>
      <c r="AI3555" s="188"/>
    </row>
    <row r="3556">
      <c r="A3556" s="280"/>
      <c r="B3556" s="264"/>
      <c r="C3556" s="265"/>
      <c r="D3556" s="265"/>
      <c r="E3556" s="264"/>
      <c r="F3556" s="265"/>
      <c r="G3556" s="265"/>
      <c r="H3556" s="268"/>
      <c r="I3556" s="268"/>
      <c r="J3556" s="253"/>
      <c r="K3556" s="265"/>
      <c r="L3556" s="265"/>
      <c r="M3556" s="269"/>
      <c r="N3556" s="270"/>
      <c r="O3556" s="271"/>
      <c r="P3556" s="271"/>
      <c r="Q3556" s="272"/>
      <c r="R3556" s="273"/>
      <c r="S3556" s="273"/>
      <c r="T3556" s="260"/>
      <c r="U3556" s="261"/>
      <c r="V3556" s="279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</row>
    <row r="3557">
      <c r="A3557" s="280"/>
      <c r="B3557" s="264"/>
      <c r="C3557" s="265"/>
      <c r="D3557" s="265"/>
      <c r="E3557" s="264"/>
      <c r="F3557" s="265"/>
      <c r="G3557" s="265"/>
      <c r="H3557" s="268"/>
      <c r="I3557" s="268"/>
      <c r="J3557" s="265"/>
      <c r="K3557" s="265"/>
      <c r="L3557" s="265"/>
      <c r="M3557" s="269"/>
      <c r="N3557" s="270"/>
      <c r="O3557" s="271"/>
      <c r="P3557" s="271"/>
      <c r="Q3557" s="272"/>
      <c r="R3557" s="273"/>
      <c r="S3557" s="273"/>
      <c r="T3557" s="273"/>
      <c r="U3557" s="274"/>
      <c r="V3557" s="284"/>
      <c r="W3557" s="35"/>
      <c r="X3557" s="35"/>
      <c r="Y3557" s="35"/>
      <c r="Z3557" s="35"/>
      <c r="AA3557" s="35"/>
      <c r="AB3557" s="35"/>
      <c r="AC3557" s="35"/>
      <c r="AD3557" s="35"/>
      <c r="AE3557" s="35"/>
      <c r="AF3557" s="35"/>
      <c r="AG3557" s="35"/>
      <c r="AH3557" s="35"/>
      <c r="AI3557" s="35"/>
    </row>
    <row r="3558">
      <c r="A3558" s="280"/>
      <c r="B3558" s="264"/>
      <c r="C3558" s="265"/>
      <c r="D3558" s="265"/>
      <c r="E3558" s="264"/>
      <c r="F3558" s="265"/>
      <c r="G3558" s="265"/>
      <c r="H3558" s="268"/>
      <c r="I3558" s="268"/>
      <c r="J3558" s="265"/>
      <c r="K3558" s="265"/>
      <c r="L3558" s="265"/>
      <c r="M3558" s="269"/>
      <c r="N3558" s="270"/>
      <c r="O3558" s="271"/>
      <c r="P3558" s="271"/>
      <c r="Q3558" s="272"/>
      <c r="R3558" s="273"/>
      <c r="S3558" s="273"/>
      <c r="T3558" s="273"/>
      <c r="U3558" s="274"/>
      <c r="V3558" s="284"/>
      <c r="W3558" s="35"/>
      <c r="X3558" s="35"/>
      <c r="Y3558" s="35"/>
      <c r="Z3558" s="35"/>
      <c r="AA3558" s="35"/>
      <c r="AB3558" s="35"/>
      <c r="AC3558" s="35"/>
      <c r="AD3558" s="35"/>
      <c r="AE3558" s="35"/>
      <c r="AF3558" s="35"/>
      <c r="AG3558" s="35"/>
      <c r="AH3558" s="35"/>
      <c r="AI3558" s="35"/>
    </row>
    <row r="3559">
      <c r="A3559" s="280"/>
      <c r="B3559" s="264"/>
      <c r="C3559" s="265"/>
      <c r="D3559" s="265"/>
      <c r="E3559" s="264"/>
      <c r="F3559" s="265"/>
      <c r="G3559" s="265"/>
      <c r="H3559" s="268"/>
      <c r="I3559" s="268"/>
      <c r="J3559" s="265"/>
      <c r="K3559" s="265"/>
      <c r="L3559" s="265"/>
      <c r="M3559" s="269"/>
      <c r="N3559" s="270"/>
      <c r="O3559" s="271"/>
      <c r="P3559" s="271"/>
      <c r="Q3559" s="272"/>
      <c r="R3559" s="273"/>
      <c r="S3559" s="273"/>
      <c r="T3559" s="273"/>
      <c r="U3559" s="274"/>
      <c r="V3559" s="284"/>
      <c r="W3559" s="35"/>
      <c r="X3559" s="35"/>
      <c r="Y3559" s="35"/>
      <c r="Z3559" s="35"/>
      <c r="AA3559" s="35"/>
      <c r="AB3559" s="35"/>
      <c r="AC3559" s="35"/>
      <c r="AD3559" s="35"/>
      <c r="AE3559" s="35"/>
      <c r="AF3559" s="35"/>
      <c r="AG3559" s="35"/>
      <c r="AH3559" s="35"/>
      <c r="AI3559" s="35"/>
    </row>
    <row r="3560">
      <c r="A3560" s="280"/>
      <c r="B3560" s="264"/>
      <c r="C3560" s="265"/>
      <c r="D3560" s="265"/>
      <c r="E3560" s="264"/>
      <c r="F3560" s="265"/>
      <c r="G3560" s="265"/>
      <c r="H3560" s="268"/>
      <c r="I3560" s="268"/>
      <c r="J3560" s="265"/>
      <c r="K3560" s="265"/>
      <c r="L3560" s="265"/>
      <c r="M3560" s="269"/>
      <c r="N3560" s="270"/>
      <c r="O3560" s="271"/>
      <c r="P3560" s="271"/>
      <c r="Q3560" s="272"/>
      <c r="R3560" s="273"/>
      <c r="S3560" s="273"/>
      <c r="T3560" s="273"/>
      <c r="U3560" s="274"/>
      <c r="V3560" s="28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</row>
    <row r="3561">
      <c r="A3561" s="280"/>
      <c r="B3561" s="264"/>
      <c r="C3561" s="265"/>
      <c r="D3561" s="265"/>
      <c r="E3561" s="264"/>
      <c r="F3561" s="265"/>
      <c r="G3561" s="265"/>
      <c r="H3561" s="268"/>
      <c r="I3561" s="268"/>
      <c r="J3561" s="265"/>
      <c r="K3561" s="265"/>
      <c r="L3561" s="265"/>
      <c r="M3561" s="269"/>
      <c r="N3561" s="270"/>
      <c r="O3561" s="271"/>
      <c r="P3561" s="271"/>
      <c r="Q3561" s="272"/>
      <c r="R3561" s="273"/>
      <c r="S3561" s="273"/>
      <c r="T3561" s="273"/>
      <c r="U3561" s="274"/>
      <c r="V3561" s="28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</row>
    <row r="3562">
      <c r="A3562" s="280"/>
      <c r="B3562" s="264"/>
      <c r="C3562" s="265"/>
      <c r="D3562" s="265"/>
      <c r="E3562" s="264"/>
      <c r="F3562" s="265"/>
      <c r="G3562" s="265"/>
      <c r="H3562" s="268"/>
      <c r="I3562" s="268"/>
      <c r="J3562" s="265"/>
      <c r="K3562" s="265"/>
      <c r="L3562" s="265"/>
      <c r="M3562" s="269"/>
      <c r="N3562" s="270"/>
      <c r="O3562" s="271"/>
      <c r="P3562" s="271"/>
      <c r="Q3562" s="272"/>
      <c r="R3562" s="273"/>
      <c r="S3562" s="273"/>
      <c r="T3562" s="273"/>
      <c r="U3562" s="274"/>
      <c r="V3562" s="28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</row>
    <row r="3563">
      <c r="A3563" s="280"/>
      <c r="B3563" s="264"/>
      <c r="C3563" s="265"/>
      <c r="D3563" s="265"/>
      <c r="E3563" s="264"/>
      <c r="F3563" s="265"/>
      <c r="G3563" s="265"/>
      <c r="H3563" s="268"/>
      <c r="I3563" s="268"/>
      <c r="J3563" s="265"/>
      <c r="K3563" s="265"/>
      <c r="L3563" s="265"/>
      <c r="M3563" s="269"/>
      <c r="N3563" s="270"/>
      <c r="O3563" s="271"/>
      <c r="P3563" s="271"/>
      <c r="Q3563" s="272"/>
      <c r="R3563" s="273"/>
      <c r="S3563" s="273"/>
      <c r="T3563" s="273"/>
      <c r="U3563" s="274"/>
      <c r="V3563" s="28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</row>
    <row r="3564">
      <c r="A3564" s="280"/>
      <c r="B3564" s="264"/>
      <c r="C3564" s="265"/>
      <c r="D3564" s="265"/>
      <c r="E3564" s="264"/>
      <c r="F3564" s="265"/>
      <c r="G3564" s="265"/>
      <c r="H3564" s="268"/>
      <c r="I3564" s="268"/>
      <c r="J3564" s="265"/>
      <c r="K3564" s="265"/>
      <c r="L3564" s="265"/>
      <c r="M3564" s="269"/>
      <c r="N3564" s="270"/>
      <c r="O3564" s="271"/>
      <c r="P3564" s="271"/>
      <c r="Q3564" s="272"/>
      <c r="R3564" s="273"/>
      <c r="S3564" s="273"/>
      <c r="T3564" s="273"/>
      <c r="U3564" s="274"/>
      <c r="V3564" s="284"/>
      <c r="W3564" s="35"/>
      <c r="X3564" s="35"/>
      <c r="Y3564" s="35"/>
      <c r="Z3564" s="35"/>
      <c r="AA3564" s="35"/>
      <c r="AB3564" s="35"/>
      <c r="AC3564" s="35"/>
      <c r="AD3564" s="35"/>
      <c r="AE3564" s="35"/>
      <c r="AF3564" s="35"/>
      <c r="AG3564" s="35"/>
      <c r="AH3564" s="35"/>
      <c r="AI3564" s="35"/>
    </row>
    <row r="3565">
      <c r="A3565" s="280"/>
      <c r="B3565" s="264"/>
      <c r="C3565" s="265"/>
      <c r="D3565" s="265"/>
      <c r="E3565" s="264"/>
      <c r="F3565" s="265"/>
      <c r="G3565" s="265"/>
      <c r="H3565" s="268"/>
      <c r="I3565" s="268"/>
      <c r="J3565" s="265"/>
      <c r="K3565" s="265"/>
      <c r="L3565" s="265"/>
      <c r="M3565" s="269"/>
      <c r="N3565" s="270"/>
      <c r="O3565" s="271"/>
      <c r="P3565" s="271"/>
      <c r="Q3565" s="272"/>
      <c r="R3565" s="273"/>
      <c r="S3565" s="273"/>
      <c r="T3565" s="273"/>
      <c r="U3565" s="274"/>
      <c r="V3565" s="284"/>
      <c r="W3565" s="35"/>
      <c r="X3565" s="35"/>
      <c r="Y3565" s="35"/>
      <c r="Z3565" s="35"/>
      <c r="AA3565" s="35"/>
      <c r="AB3565" s="35"/>
      <c r="AC3565" s="35"/>
      <c r="AD3565" s="35"/>
      <c r="AE3565" s="35"/>
      <c r="AF3565" s="35"/>
      <c r="AG3565" s="35"/>
      <c r="AH3565" s="35"/>
      <c r="AI3565" s="35"/>
    </row>
    <row r="3566">
      <c r="A3566" s="280"/>
      <c r="B3566" s="264"/>
      <c r="C3566" s="265"/>
      <c r="D3566" s="265"/>
      <c r="E3566" s="264"/>
      <c r="F3566" s="265"/>
      <c r="G3566" s="265"/>
      <c r="H3566" s="268"/>
      <c r="I3566" s="268"/>
      <c r="J3566" s="265"/>
      <c r="K3566" s="265"/>
      <c r="L3566" s="265"/>
      <c r="M3566" s="269"/>
      <c r="N3566" s="270"/>
      <c r="O3566" s="271"/>
      <c r="P3566" s="271"/>
      <c r="Q3566" s="272"/>
      <c r="R3566" s="273"/>
      <c r="S3566" s="273"/>
      <c r="T3566" s="273"/>
      <c r="U3566" s="274"/>
      <c r="V3566" s="28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</row>
    <row r="3567">
      <c r="A3567" s="280"/>
      <c r="B3567" s="264"/>
      <c r="C3567" s="265"/>
      <c r="D3567" s="265"/>
      <c r="E3567" s="264"/>
      <c r="F3567" s="265"/>
      <c r="G3567" s="265"/>
      <c r="H3567" s="268"/>
      <c r="I3567" s="268"/>
      <c r="J3567" s="265"/>
      <c r="K3567" s="265"/>
      <c r="L3567" s="265"/>
      <c r="M3567" s="269"/>
      <c r="N3567" s="270"/>
      <c r="O3567" s="271"/>
      <c r="P3567" s="271"/>
      <c r="Q3567" s="272"/>
      <c r="R3567" s="273"/>
      <c r="S3567" s="273"/>
      <c r="T3567" s="273"/>
      <c r="U3567" s="274"/>
      <c r="V3567" s="28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</row>
    <row r="3568">
      <c r="A3568" s="280"/>
      <c r="B3568" s="264"/>
      <c r="C3568" s="265"/>
      <c r="D3568" s="265"/>
      <c r="E3568" s="264"/>
      <c r="F3568" s="265"/>
      <c r="G3568" s="265"/>
      <c r="H3568" s="268"/>
      <c r="I3568" s="268"/>
      <c r="J3568" s="265"/>
      <c r="K3568" s="265"/>
      <c r="L3568" s="265"/>
      <c r="M3568" s="269"/>
      <c r="N3568" s="270"/>
      <c r="O3568" s="271"/>
      <c r="P3568" s="271"/>
      <c r="Q3568" s="272"/>
      <c r="R3568" s="273"/>
      <c r="S3568" s="273"/>
      <c r="T3568" s="273"/>
      <c r="U3568" s="274"/>
      <c r="V3568" s="28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</row>
    <row r="3569">
      <c r="A3569" s="280"/>
      <c r="B3569" s="264"/>
      <c r="C3569" s="265"/>
      <c r="D3569" s="265"/>
      <c r="E3569" s="264"/>
      <c r="F3569" s="265"/>
      <c r="G3569" s="265"/>
      <c r="H3569" s="268"/>
      <c r="I3569" s="268"/>
      <c r="J3569" s="265"/>
      <c r="K3569" s="265"/>
      <c r="L3569" s="265"/>
      <c r="M3569" s="269"/>
      <c r="N3569" s="270"/>
      <c r="O3569" s="271"/>
      <c r="P3569" s="271"/>
      <c r="Q3569" s="272"/>
      <c r="R3569" s="273"/>
      <c r="S3569" s="273"/>
      <c r="T3569" s="273"/>
      <c r="U3569" s="274"/>
      <c r="V3569" s="28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</row>
    <row r="3570">
      <c r="A3570" s="280"/>
      <c r="B3570" s="264"/>
      <c r="C3570" s="265"/>
      <c r="D3570" s="265"/>
      <c r="E3570" s="264"/>
      <c r="F3570" s="265"/>
      <c r="G3570" s="265"/>
      <c r="H3570" s="268"/>
      <c r="I3570" s="268"/>
      <c r="J3570" s="265"/>
      <c r="K3570" s="265"/>
      <c r="L3570" s="265"/>
      <c r="M3570" s="269"/>
      <c r="N3570" s="270"/>
      <c r="O3570" s="271"/>
      <c r="P3570" s="271"/>
      <c r="Q3570" s="272"/>
      <c r="R3570" s="273"/>
      <c r="S3570" s="273"/>
      <c r="T3570" s="273"/>
      <c r="U3570" s="274"/>
      <c r="V3570" s="28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</row>
    <row r="3571">
      <c r="A3571" s="280"/>
      <c r="B3571" s="264"/>
      <c r="C3571" s="265"/>
      <c r="D3571" s="265"/>
      <c r="E3571" s="264"/>
      <c r="F3571" s="265"/>
      <c r="G3571" s="265"/>
      <c r="H3571" s="268"/>
      <c r="I3571" s="268"/>
      <c r="J3571" s="265"/>
      <c r="K3571" s="265"/>
      <c r="L3571" s="265"/>
      <c r="M3571" s="269"/>
      <c r="N3571" s="270"/>
      <c r="O3571" s="271"/>
      <c r="P3571" s="271"/>
      <c r="Q3571" s="272"/>
      <c r="R3571" s="273"/>
      <c r="S3571" s="273"/>
      <c r="T3571" s="273"/>
      <c r="U3571" s="274"/>
      <c r="V3571" s="284"/>
      <c r="W3571" s="35"/>
      <c r="X3571" s="35"/>
      <c r="Y3571" s="35"/>
      <c r="Z3571" s="35"/>
      <c r="AA3571" s="35"/>
      <c r="AB3571" s="35"/>
      <c r="AC3571" s="35"/>
      <c r="AD3571" s="35"/>
      <c r="AE3571" s="35"/>
      <c r="AF3571" s="35"/>
      <c r="AG3571" s="35"/>
      <c r="AH3571" s="35"/>
      <c r="AI3571" s="35"/>
    </row>
    <row r="3572">
      <c r="A3572" s="280"/>
      <c r="B3572" s="264"/>
      <c r="C3572" s="265"/>
      <c r="D3572" s="265"/>
      <c r="E3572" s="264"/>
      <c r="F3572" s="265"/>
      <c r="G3572" s="265"/>
      <c r="H3572" s="268"/>
      <c r="I3572" s="268"/>
      <c r="J3572" s="265"/>
      <c r="K3572" s="265"/>
      <c r="L3572" s="265"/>
      <c r="M3572" s="269"/>
      <c r="N3572" s="270"/>
      <c r="O3572" s="271"/>
      <c r="P3572" s="271"/>
      <c r="Q3572" s="272"/>
      <c r="R3572" s="273"/>
      <c r="S3572" s="273"/>
      <c r="T3572" s="273"/>
      <c r="U3572" s="274"/>
      <c r="V3572" s="28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</row>
    <row r="3573">
      <c r="A3573" s="280"/>
      <c r="B3573" s="264"/>
      <c r="C3573" s="265"/>
      <c r="D3573" s="265"/>
      <c r="E3573" s="264"/>
      <c r="F3573" s="265"/>
      <c r="G3573" s="265"/>
      <c r="H3573" s="268"/>
      <c r="I3573" s="268"/>
      <c r="J3573" s="265"/>
      <c r="K3573" s="265"/>
      <c r="L3573" s="265"/>
      <c r="M3573" s="269"/>
      <c r="N3573" s="270"/>
      <c r="O3573" s="271"/>
      <c r="P3573" s="271"/>
      <c r="Q3573" s="272"/>
      <c r="R3573" s="273"/>
      <c r="S3573" s="273"/>
      <c r="T3573" s="273"/>
      <c r="U3573" s="274"/>
      <c r="V3573" s="28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</row>
    <row r="3574">
      <c r="A3574" s="280"/>
      <c r="B3574" s="264"/>
      <c r="C3574" s="265"/>
      <c r="D3574" s="265"/>
      <c r="E3574" s="264"/>
      <c r="F3574" s="265"/>
      <c r="G3574" s="265"/>
      <c r="H3574" s="268"/>
      <c r="I3574" s="268"/>
      <c r="J3574" s="265"/>
      <c r="K3574" s="265"/>
      <c r="L3574" s="265"/>
      <c r="M3574" s="269"/>
      <c r="N3574" s="270"/>
      <c r="O3574" s="271"/>
      <c r="P3574" s="271"/>
      <c r="Q3574" s="272"/>
      <c r="R3574" s="273"/>
      <c r="S3574" s="273"/>
      <c r="T3574" s="273"/>
      <c r="U3574" s="274"/>
      <c r="V3574" s="28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</row>
    <row r="3575">
      <c r="A3575" s="280"/>
      <c r="B3575" s="264"/>
      <c r="C3575" s="265"/>
      <c r="D3575" s="265"/>
      <c r="E3575" s="264"/>
      <c r="F3575" s="265"/>
      <c r="G3575" s="265"/>
      <c r="H3575" s="268"/>
      <c r="I3575" s="268"/>
      <c r="J3575" s="265"/>
      <c r="K3575" s="265"/>
      <c r="L3575" s="265"/>
      <c r="M3575" s="269"/>
      <c r="N3575" s="270"/>
      <c r="O3575" s="271"/>
      <c r="P3575" s="271"/>
      <c r="Q3575" s="272"/>
      <c r="R3575" s="273"/>
      <c r="S3575" s="273"/>
      <c r="T3575" s="273"/>
      <c r="U3575" s="274"/>
      <c r="V3575" s="28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</row>
    <row r="3576">
      <c r="A3576" s="280"/>
      <c r="B3576" s="264"/>
      <c r="C3576" s="265"/>
      <c r="D3576" s="265"/>
      <c r="E3576" s="264"/>
      <c r="F3576" s="265"/>
      <c r="G3576" s="265"/>
      <c r="H3576" s="268"/>
      <c r="I3576" s="268"/>
      <c r="J3576" s="265"/>
      <c r="K3576" s="265"/>
      <c r="L3576" s="265"/>
      <c r="M3576" s="269"/>
      <c r="N3576" s="270"/>
      <c r="O3576" s="271"/>
      <c r="P3576" s="271"/>
      <c r="Q3576" s="272"/>
      <c r="R3576" s="273"/>
      <c r="S3576" s="273"/>
      <c r="T3576" s="273"/>
      <c r="U3576" s="274"/>
      <c r="V3576" s="284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</row>
    <row r="3577">
      <c r="A3577" s="280"/>
      <c r="B3577" s="264"/>
      <c r="C3577" s="265"/>
      <c r="D3577" s="265"/>
      <c r="E3577" s="264"/>
      <c r="F3577" s="265"/>
      <c r="G3577" s="265"/>
      <c r="H3577" s="268"/>
      <c r="I3577" s="268"/>
      <c r="J3577" s="265"/>
      <c r="K3577" s="265"/>
      <c r="L3577" s="265"/>
      <c r="M3577" s="269"/>
      <c r="N3577" s="270"/>
      <c r="O3577" s="271"/>
      <c r="P3577" s="271"/>
      <c r="Q3577" s="272"/>
      <c r="R3577" s="273"/>
      <c r="S3577" s="273"/>
      <c r="T3577" s="273"/>
      <c r="U3577" s="274"/>
      <c r="V3577" s="28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</row>
    <row r="3578">
      <c r="A3578" s="280"/>
      <c r="B3578" s="264"/>
      <c r="C3578" s="265"/>
      <c r="D3578" s="265"/>
      <c r="E3578" s="264"/>
      <c r="F3578" s="265"/>
      <c r="G3578" s="265"/>
      <c r="H3578" s="268"/>
      <c r="I3578" s="268"/>
      <c r="J3578" s="265"/>
      <c r="K3578" s="265"/>
      <c r="L3578" s="265"/>
      <c r="M3578" s="269"/>
      <c r="N3578" s="270"/>
      <c r="O3578" s="271"/>
      <c r="P3578" s="271"/>
      <c r="Q3578" s="272"/>
      <c r="R3578" s="273"/>
      <c r="S3578" s="273"/>
      <c r="T3578" s="273"/>
      <c r="U3578" s="274"/>
      <c r="V3578" s="284"/>
      <c r="W3578" s="35"/>
      <c r="X3578" s="35"/>
      <c r="Y3578" s="35"/>
      <c r="Z3578" s="35"/>
      <c r="AA3578" s="35"/>
      <c r="AB3578" s="35"/>
      <c r="AC3578" s="35"/>
      <c r="AD3578" s="35"/>
      <c r="AE3578" s="35"/>
      <c r="AF3578" s="35"/>
      <c r="AG3578" s="35"/>
      <c r="AH3578" s="35"/>
      <c r="AI3578" s="35"/>
    </row>
    <row r="3579">
      <c r="A3579" s="280"/>
      <c r="B3579" s="264"/>
      <c r="C3579" s="265"/>
      <c r="D3579" s="265"/>
      <c r="E3579" s="264"/>
      <c r="F3579" s="265"/>
      <c r="G3579" s="265"/>
      <c r="H3579" s="268"/>
      <c r="I3579" s="268"/>
      <c r="J3579" s="265"/>
      <c r="K3579" s="265"/>
      <c r="L3579" s="265"/>
      <c r="M3579" s="269"/>
      <c r="N3579" s="270"/>
      <c r="O3579" s="271"/>
      <c r="P3579" s="271"/>
      <c r="Q3579" s="272"/>
      <c r="R3579" s="273"/>
      <c r="S3579" s="273"/>
      <c r="T3579" s="273"/>
      <c r="U3579" s="274"/>
      <c r="V3579" s="28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</row>
    <row r="3580">
      <c r="A3580" s="280"/>
      <c r="B3580" s="264"/>
      <c r="C3580" s="265"/>
      <c r="D3580" s="265"/>
      <c r="E3580" s="264"/>
      <c r="F3580" s="265"/>
      <c r="G3580" s="265"/>
      <c r="H3580" s="268"/>
      <c r="I3580" s="268"/>
      <c r="J3580" s="265"/>
      <c r="K3580" s="265"/>
      <c r="L3580" s="265"/>
      <c r="M3580" s="269"/>
      <c r="N3580" s="270"/>
      <c r="O3580" s="271"/>
      <c r="P3580" s="271"/>
      <c r="Q3580" s="272"/>
      <c r="R3580" s="273"/>
      <c r="S3580" s="273"/>
      <c r="T3580" s="273"/>
      <c r="U3580" s="274"/>
      <c r="V3580" s="28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</row>
    <row r="3581">
      <c r="A3581" s="280"/>
      <c r="B3581" s="264"/>
      <c r="C3581" s="265"/>
      <c r="D3581" s="265"/>
      <c r="E3581" s="264"/>
      <c r="F3581" s="265"/>
      <c r="G3581" s="265"/>
      <c r="H3581" s="268"/>
      <c r="I3581" s="268"/>
      <c r="J3581" s="265"/>
      <c r="K3581" s="265"/>
      <c r="L3581" s="265"/>
      <c r="M3581" s="269"/>
      <c r="N3581" s="270"/>
      <c r="O3581" s="271"/>
      <c r="P3581" s="271"/>
      <c r="Q3581" s="272"/>
      <c r="R3581" s="273"/>
      <c r="S3581" s="273"/>
      <c r="T3581" s="273"/>
      <c r="U3581" s="274"/>
      <c r="V3581" s="28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</row>
    <row r="3582">
      <c r="A3582" s="280"/>
      <c r="B3582" s="264"/>
      <c r="C3582" s="265"/>
      <c r="D3582" s="265"/>
      <c r="E3582" s="264"/>
      <c r="F3582" s="265"/>
      <c r="G3582" s="265"/>
      <c r="H3582" s="268"/>
      <c r="I3582" s="268"/>
      <c r="J3582" s="265"/>
      <c r="K3582" s="265"/>
      <c r="L3582" s="265"/>
      <c r="M3582" s="269"/>
      <c r="N3582" s="270"/>
      <c r="O3582" s="271"/>
      <c r="P3582" s="271"/>
      <c r="Q3582" s="272"/>
      <c r="R3582" s="273"/>
      <c r="S3582" s="273"/>
      <c r="T3582" s="273"/>
      <c r="U3582" s="274"/>
      <c r="V3582" s="284"/>
      <c r="W3582" s="35"/>
      <c r="X3582" s="35"/>
      <c r="Y3582" s="35"/>
      <c r="Z3582" s="35"/>
      <c r="AA3582" s="35"/>
      <c r="AB3582" s="35"/>
      <c r="AC3582" s="35"/>
      <c r="AD3582" s="35"/>
      <c r="AE3582" s="35"/>
      <c r="AF3582" s="35"/>
      <c r="AG3582" s="35"/>
      <c r="AH3582" s="35"/>
      <c r="AI3582" s="35"/>
    </row>
    <row r="3583">
      <c r="A3583" s="280"/>
      <c r="B3583" s="264"/>
      <c r="C3583" s="265"/>
      <c r="D3583" s="265"/>
      <c r="E3583" s="264"/>
      <c r="F3583" s="265"/>
      <c r="G3583" s="265"/>
      <c r="H3583" s="268"/>
      <c r="I3583" s="268"/>
      <c r="J3583" s="265"/>
      <c r="K3583" s="265"/>
      <c r="L3583" s="265"/>
      <c r="M3583" s="269"/>
      <c r="N3583" s="270"/>
      <c r="O3583" s="271"/>
      <c r="P3583" s="271"/>
      <c r="Q3583" s="272"/>
      <c r="R3583" s="273"/>
      <c r="S3583" s="273"/>
      <c r="T3583" s="273"/>
      <c r="U3583" s="274"/>
      <c r="V3583" s="284"/>
      <c r="W3583" s="188"/>
      <c r="X3583" s="188"/>
      <c r="Y3583" s="188"/>
      <c r="Z3583" s="188"/>
      <c r="AA3583" s="188"/>
      <c r="AB3583" s="188"/>
      <c r="AC3583" s="188"/>
      <c r="AD3583" s="188"/>
      <c r="AE3583" s="188"/>
      <c r="AF3583" s="188"/>
      <c r="AG3583" s="188"/>
      <c r="AH3583" s="188"/>
      <c r="AI3583" s="188"/>
    </row>
    <row r="3584">
      <c r="A3584" s="280"/>
      <c r="B3584" s="264"/>
      <c r="C3584" s="265"/>
      <c r="D3584" s="265"/>
      <c r="E3584" s="264"/>
      <c r="F3584" s="265"/>
      <c r="G3584" s="265"/>
      <c r="H3584" s="268"/>
      <c r="I3584" s="268"/>
      <c r="J3584" s="265"/>
      <c r="K3584" s="265"/>
      <c r="L3584" s="265"/>
      <c r="M3584" s="269"/>
      <c r="N3584" s="270"/>
      <c r="O3584" s="271"/>
      <c r="P3584" s="271"/>
      <c r="Q3584" s="272"/>
      <c r="R3584" s="273"/>
      <c r="S3584" s="273"/>
      <c r="T3584" s="273"/>
      <c r="U3584" s="274"/>
      <c r="V3584" s="28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</row>
    <row r="3585">
      <c r="A3585" s="280"/>
      <c r="B3585" s="264"/>
      <c r="C3585" s="265"/>
      <c r="D3585" s="265"/>
      <c r="E3585" s="264"/>
      <c r="F3585" s="265"/>
      <c r="G3585" s="265"/>
      <c r="H3585" s="268"/>
      <c r="I3585" s="268"/>
      <c r="J3585" s="265"/>
      <c r="K3585" s="265"/>
      <c r="L3585" s="265"/>
      <c r="M3585" s="269"/>
      <c r="N3585" s="270"/>
      <c r="O3585" s="271"/>
      <c r="P3585" s="271"/>
      <c r="Q3585" s="272"/>
      <c r="R3585" s="273"/>
      <c r="S3585" s="273"/>
      <c r="T3585" s="273"/>
      <c r="U3585" s="274"/>
      <c r="V3585" s="28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</row>
    <row r="3586">
      <c r="A3586" s="280"/>
      <c r="B3586" s="264"/>
      <c r="C3586" s="265"/>
      <c r="D3586" s="265"/>
      <c r="E3586" s="264"/>
      <c r="F3586" s="265"/>
      <c r="G3586" s="265"/>
      <c r="H3586" s="268"/>
      <c r="I3586" s="268"/>
      <c r="J3586" s="265"/>
      <c r="K3586" s="265"/>
      <c r="L3586" s="265"/>
      <c r="M3586" s="269"/>
      <c r="N3586" s="270"/>
      <c r="O3586" s="271"/>
      <c r="P3586" s="271"/>
      <c r="Q3586" s="272"/>
      <c r="R3586" s="273"/>
      <c r="S3586" s="273"/>
      <c r="T3586" s="273"/>
      <c r="U3586" s="274"/>
      <c r="V3586" s="28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</row>
    <row r="3587">
      <c r="A3587" s="280"/>
      <c r="B3587" s="264"/>
      <c r="C3587" s="265"/>
      <c r="D3587" s="265"/>
      <c r="E3587" s="264"/>
      <c r="F3587" s="265"/>
      <c r="G3587" s="265"/>
      <c r="H3587" s="268"/>
      <c r="I3587" s="268"/>
      <c r="J3587" s="265"/>
      <c r="K3587" s="265"/>
      <c r="L3587" s="265"/>
      <c r="M3587" s="269"/>
      <c r="N3587" s="270"/>
      <c r="O3587" s="271"/>
      <c r="P3587" s="271"/>
      <c r="Q3587" s="272"/>
      <c r="R3587" s="273"/>
      <c r="S3587" s="273"/>
      <c r="T3587" s="273"/>
      <c r="U3587" s="274"/>
      <c r="V3587" s="284"/>
      <c r="W3587" s="35"/>
      <c r="X3587" s="35"/>
      <c r="Y3587" s="35"/>
      <c r="Z3587" s="35"/>
      <c r="AA3587" s="35"/>
      <c r="AB3587" s="35"/>
      <c r="AC3587" s="35"/>
      <c r="AD3587" s="35"/>
      <c r="AE3587" s="35"/>
      <c r="AF3587" s="35"/>
      <c r="AG3587" s="35"/>
      <c r="AH3587" s="35"/>
      <c r="AI3587" s="35"/>
    </row>
    <row r="3588">
      <c r="A3588" s="280"/>
      <c r="B3588" s="264"/>
      <c r="C3588" s="265"/>
      <c r="D3588" s="265"/>
      <c r="E3588" s="264"/>
      <c r="F3588" s="265"/>
      <c r="G3588" s="265"/>
      <c r="H3588" s="268"/>
      <c r="I3588" s="268"/>
      <c r="J3588" s="265"/>
      <c r="K3588" s="265"/>
      <c r="L3588" s="265"/>
      <c r="M3588" s="269"/>
      <c r="N3588" s="270"/>
      <c r="O3588" s="271"/>
      <c r="P3588" s="271"/>
      <c r="Q3588" s="272"/>
      <c r="R3588" s="273"/>
      <c r="S3588" s="273"/>
      <c r="T3588" s="273"/>
      <c r="U3588" s="274"/>
      <c r="V3588" s="28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</row>
    <row r="3589">
      <c r="A3589" s="280"/>
      <c r="B3589" s="264"/>
      <c r="C3589" s="265"/>
      <c r="D3589" s="265"/>
      <c r="E3589" s="264"/>
      <c r="F3589" s="265"/>
      <c r="G3589" s="265"/>
      <c r="H3589" s="268"/>
      <c r="I3589" s="268"/>
      <c r="J3589" s="265"/>
      <c r="K3589" s="265"/>
      <c r="L3589" s="265"/>
      <c r="M3589" s="269"/>
      <c r="N3589" s="270"/>
      <c r="O3589" s="271"/>
      <c r="P3589" s="271"/>
      <c r="Q3589" s="272"/>
      <c r="R3589" s="273"/>
      <c r="S3589" s="273"/>
      <c r="T3589" s="273"/>
      <c r="U3589" s="274"/>
      <c r="V3589" s="28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</row>
    <row r="3590">
      <c r="A3590" s="280"/>
      <c r="B3590" s="264"/>
      <c r="C3590" s="265"/>
      <c r="D3590" s="265"/>
      <c r="E3590" s="264"/>
      <c r="F3590" s="265"/>
      <c r="G3590" s="265"/>
      <c r="H3590" s="268"/>
      <c r="I3590" s="268"/>
      <c r="J3590" s="265"/>
      <c r="K3590" s="265"/>
      <c r="L3590" s="265"/>
      <c r="M3590" s="269"/>
      <c r="N3590" s="270"/>
      <c r="O3590" s="271"/>
      <c r="P3590" s="271"/>
      <c r="Q3590" s="272"/>
      <c r="R3590" s="273"/>
      <c r="S3590" s="273"/>
      <c r="T3590" s="273"/>
      <c r="U3590" s="274"/>
      <c r="V3590" s="284"/>
      <c r="W3590" s="188"/>
      <c r="X3590" s="188"/>
      <c r="Y3590" s="188"/>
      <c r="Z3590" s="188"/>
      <c r="AA3590" s="188"/>
      <c r="AB3590" s="188"/>
      <c r="AC3590" s="188"/>
      <c r="AD3590" s="188"/>
      <c r="AE3590" s="188"/>
      <c r="AF3590" s="188"/>
      <c r="AG3590" s="188"/>
      <c r="AH3590" s="188"/>
      <c r="AI3590" s="188"/>
    </row>
    <row r="3591">
      <c r="A3591" s="280"/>
      <c r="B3591" s="264"/>
      <c r="C3591" s="265"/>
      <c r="D3591" s="265"/>
      <c r="E3591" s="264"/>
      <c r="F3591" s="265"/>
      <c r="G3591" s="265"/>
      <c r="H3591" s="268"/>
      <c r="I3591" s="268"/>
      <c r="J3591" s="265"/>
      <c r="K3591" s="265"/>
      <c r="L3591" s="265"/>
      <c r="M3591" s="269"/>
      <c r="N3591" s="270"/>
      <c r="O3591" s="271"/>
      <c r="P3591" s="271"/>
      <c r="Q3591" s="272"/>
      <c r="R3591" s="273"/>
      <c r="S3591" s="273"/>
      <c r="T3591" s="273"/>
      <c r="U3591" s="274"/>
      <c r="V3591" s="28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</row>
    <row r="3592">
      <c r="A3592" s="280"/>
      <c r="B3592" s="264"/>
      <c r="C3592" s="265"/>
      <c r="D3592" s="265"/>
      <c r="E3592" s="264"/>
      <c r="F3592" s="265"/>
      <c r="G3592" s="265"/>
      <c r="H3592" s="268"/>
      <c r="I3592" s="268"/>
      <c r="J3592" s="265"/>
      <c r="K3592" s="265"/>
      <c r="L3592" s="265"/>
      <c r="M3592" s="269"/>
      <c r="N3592" s="270"/>
      <c r="O3592" s="271"/>
      <c r="P3592" s="271"/>
      <c r="Q3592" s="272"/>
      <c r="R3592" s="273"/>
      <c r="S3592" s="273"/>
      <c r="T3592" s="273"/>
      <c r="U3592" s="274"/>
      <c r="V3592" s="28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</row>
    <row r="3593">
      <c r="A3593" s="280"/>
      <c r="B3593" s="264"/>
      <c r="C3593" s="265"/>
      <c r="D3593" s="265"/>
      <c r="E3593" s="264"/>
      <c r="F3593" s="265"/>
      <c r="G3593" s="265"/>
      <c r="H3593" s="268"/>
      <c r="I3593" s="268"/>
      <c r="J3593" s="265"/>
      <c r="K3593" s="265"/>
      <c r="L3593" s="265"/>
      <c r="M3593" s="269"/>
      <c r="N3593" s="270"/>
      <c r="O3593" s="271"/>
      <c r="P3593" s="271"/>
      <c r="Q3593" s="272"/>
      <c r="R3593" s="273"/>
      <c r="S3593" s="273"/>
      <c r="T3593" s="273"/>
      <c r="U3593" s="274"/>
      <c r="V3593" s="28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</row>
    <row r="3594">
      <c r="A3594" s="280"/>
      <c r="B3594" s="264"/>
      <c r="C3594" s="265"/>
      <c r="D3594" s="265"/>
      <c r="E3594" s="264"/>
      <c r="F3594" s="265"/>
      <c r="G3594" s="265"/>
      <c r="H3594" s="268"/>
      <c r="I3594" s="268"/>
      <c r="J3594" s="265"/>
      <c r="K3594" s="265"/>
      <c r="L3594" s="265"/>
      <c r="M3594" s="269"/>
      <c r="N3594" s="270"/>
      <c r="O3594" s="271"/>
      <c r="P3594" s="271"/>
      <c r="Q3594" s="272"/>
      <c r="R3594" s="273"/>
      <c r="S3594" s="273"/>
      <c r="T3594" s="273"/>
      <c r="U3594" s="274"/>
      <c r="V3594" s="284"/>
      <c r="W3594" s="35"/>
      <c r="X3594" s="35"/>
      <c r="Y3594" s="35"/>
      <c r="Z3594" s="35"/>
      <c r="AA3594" s="35"/>
      <c r="AB3594" s="35"/>
      <c r="AC3594" s="35"/>
      <c r="AD3594" s="35"/>
      <c r="AE3594" s="35"/>
      <c r="AF3594" s="35"/>
      <c r="AG3594" s="35"/>
      <c r="AH3594" s="35"/>
      <c r="AI3594" s="35"/>
    </row>
    <row r="3595">
      <c r="A3595" s="280"/>
      <c r="B3595" s="264"/>
      <c r="C3595" s="265"/>
      <c r="D3595" s="265"/>
      <c r="E3595" s="264"/>
      <c r="F3595" s="265"/>
      <c r="G3595" s="265"/>
      <c r="H3595" s="268"/>
      <c r="I3595" s="268"/>
      <c r="J3595" s="265"/>
      <c r="K3595" s="265"/>
      <c r="L3595" s="265"/>
      <c r="M3595" s="269"/>
      <c r="N3595" s="270"/>
      <c r="O3595" s="271"/>
      <c r="P3595" s="271"/>
      <c r="Q3595" s="272"/>
      <c r="R3595" s="273"/>
      <c r="S3595" s="273"/>
      <c r="T3595" s="273"/>
      <c r="U3595" s="274"/>
      <c r="V3595" s="28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</row>
    <row r="3596">
      <c r="A3596" s="280"/>
      <c r="B3596" s="264"/>
      <c r="C3596" s="265"/>
      <c r="D3596" s="265"/>
      <c r="E3596" s="264"/>
      <c r="F3596" s="265"/>
      <c r="G3596" s="265"/>
      <c r="H3596" s="268"/>
      <c r="I3596" s="268"/>
      <c r="J3596" s="265"/>
      <c r="K3596" s="265"/>
      <c r="L3596" s="265"/>
      <c r="M3596" s="269"/>
      <c r="N3596" s="270"/>
      <c r="O3596" s="271"/>
      <c r="P3596" s="271"/>
      <c r="Q3596" s="272"/>
      <c r="R3596" s="273"/>
      <c r="S3596" s="273"/>
      <c r="T3596" s="273"/>
      <c r="U3596" s="274"/>
      <c r="V3596" s="28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</row>
    <row r="3597">
      <c r="A3597" s="280"/>
      <c r="B3597" s="264"/>
      <c r="C3597" s="265"/>
      <c r="D3597" s="265"/>
      <c r="E3597" s="264"/>
      <c r="F3597" s="265"/>
      <c r="G3597" s="265"/>
      <c r="H3597" s="268"/>
      <c r="I3597" s="268"/>
      <c r="J3597" s="265"/>
      <c r="K3597" s="265"/>
      <c r="L3597" s="265"/>
      <c r="M3597" s="269"/>
      <c r="N3597" s="270"/>
      <c r="O3597" s="271"/>
      <c r="P3597" s="271"/>
      <c r="Q3597" s="272"/>
      <c r="R3597" s="273"/>
      <c r="S3597" s="273"/>
      <c r="T3597" s="273"/>
      <c r="U3597" s="274"/>
      <c r="V3597" s="284"/>
      <c r="W3597" s="35"/>
      <c r="X3597" s="35"/>
      <c r="Y3597" s="35"/>
      <c r="Z3597" s="35"/>
      <c r="AA3597" s="35"/>
      <c r="AB3597" s="35"/>
      <c r="AC3597" s="35"/>
      <c r="AD3597" s="35"/>
      <c r="AE3597" s="35"/>
      <c r="AF3597" s="35"/>
      <c r="AG3597" s="35"/>
      <c r="AH3597" s="35"/>
      <c r="AI3597" s="35"/>
    </row>
    <row r="3598">
      <c r="A3598" s="280"/>
      <c r="B3598" s="264"/>
      <c r="C3598" s="265"/>
      <c r="D3598" s="265"/>
      <c r="E3598" s="264"/>
      <c r="F3598" s="265"/>
      <c r="G3598" s="265"/>
      <c r="H3598" s="268"/>
      <c r="I3598" s="268"/>
      <c r="J3598" s="265"/>
      <c r="K3598" s="265"/>
      <c r="L3598" s="265"/>
      <c r="M3598" s="269"/>
      <c r="N3598" s="270"/>
      <c r="O3598" s="271"/>
      <c r="P3598" s="271"/>
      <c r="Q3598" s="272"/>
      <c r="R3598" s="273"/>
      <c r="S3598" s="273"/>
      <c r="T3598" s="273"/>
      <c r="U3598" s="274"/>
      <c r="V3598" s="28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</row>
    <row r="3599">
      <c r="A3599" s="280"/>
      <c r="B3599" s="264"/>
      <c r="C3599" s="265"/>
      <c r="D3599" s="265"/>
      <c r="E3599" s="264"/>
      <c r="F3599" s="265"/>
      <c r="G3599" s="265"/>
      <c r="H3599" s="268"/>
      <c r="I3599" s="268"/>
      <c r="J3599" s="265"/>
      <c r="K3599" s="265"/>
      <c r="L3599" s="265"/>
      <c r="M3599" s="269"/>
      <c r="N3599" s="270"/>
      <c r="O3599" s="271"/>
      <c r="P3599" s="271"/>
      <c r="Q3599" s="272"/>
      <c r="R3599" s="273"/>
      <c r="S3599" s="273"/>
      <c r="T3599" s="273"/>
      <c r="U3599" s="274"/>
      <c r="V3599" s="284"/>
      <c r="W3599" s="36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</row>
    <row r="3600">
      <c r="A3600" s="280"/>
      <c r="B3600" s="264"/>
      <c r="C3600" s="265"/>
      <c r="D3600" s="265"/>
      <c r="E3600" s="264"/>
      <c r="F3600" s="265"/>
      <c r="G3600" s="265"/>
      <c r="H3600" s="268"/>
      <c r="I3600" s="268"/>
      <c r="J3600" s="265"/>
      <c r="K3600" s="265"/>
      <c r="L3600" s="265"/>
      <c r="M3600" s="269"/>
      <c r="N3600" s="270"/>
      <c r="O3600" s="271"/>
      <c r="P3600" s="271"/>
      <c r="Q3600" s="272"/>
      <c r="R3600" s="273"/>
      <c r="S3600" s="273"/>
      <c r="T3600" s="273"/>
      <c r="U3600" s="274"/>
      <c r="V3600" s="28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</row>
    <row r="3601">
      <c r="A3601" s="280"/>
      <c r="B3601" s="264"/>
      <c r="C3601" s="265"/>
      <c r="D3601" s="265"/>
      <c r="E3601" s="264"/>
      <c r="F3601" s="265"/>
      <c r="G3601" s="265"/>
      <c r="H3601" s="268"/>
      <c r="I3601" s="268"/>
      <c r="J3601" s="265"/>
      <c r="K3601" s="265"/>
      <c r="L3601" s="265"/>
      <c r="M3601" s="269"/>
      <c r="N3601" s="270"/>
      <c r="O3601" s="271"/>
      <c r="P3601" s="271"/>
      <c r="Q3601" s="272"/>
      <c r="R3601" s="273"/>
      <c r="S3601" s="273"/>
      <c r="T3601" s="273"/>
      <c r="U3601" s="274"/>
      <c r="V3601" s="28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</row>
    <row r="3602">
      <c r="A3602" s="280"/>
      <c r="B3602" s="264"/>
      <c r="C3602" s="265"/>
      <c r="D3602" s="265"/>
      <c r="E3602" s="264"/>
      <c r="F3602" s="265"/>
      <c r="G3602" s="265"/>
      <c r="H3602" s="268"/>
      <c r="I3602" s="268"/>
      <c r="J3602" s="265"/>
      <c r="K3602" s="265"/>
      <c r="L3602" s="265"/>
      <c r="M3602" s="269"/>
      <c r="N3602" s="270"/>
      <c r="O3602" s="271"/>
      <c r="P3602" s="271"/>
      <c r="Q3602" s="272"/>
      <c r="R3602" s="273"/>
      <c r="S3602" s="273"/>
      <c r="T3602" s="273"/>
      <c r="U3602" s="274"/>
      <c r="V3602" s="28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</row>
    <row r="3603">
      <c r="A3603" s="280"/>
      <c r="B3603" s="264"/>
      <c r="C3603" s="265"/>
      <c r="D3603" s="265"/>
      <c r="E3603" s="264"/>
      <c r="F3603" s="265"/>
      <c r="G3603" s="265"/>
      <c r="H3603" s="268"/>
      <c r="I3603" s="268"/>
      <c r="J3603" s="265"/>
      <c r="K3603" s="265"/>
      <c r="L3603" s="265"/>
      <c r="M3603" s="269"/>
      <c r="N3603" s="270"/>
      <c r="O3603" s="271"/>
      <c r="P3603" s="271"/>
      <c r="Q3603" s="272"/>
      <c r="R3603" s="273"/>
      <c r="S3603" s="273"/>
      <c r="T3603" s="273"/>
      <c r="U3603" s="274"/>
      <c r="V3603" s="28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</row>
    <row r="3604">
      <c r="A3604" s="280"/>
      <c r="B3604" s="264"/>
      <c r="C3604" s="265"/>
      <c r="D3604" s="265"/>
      <c r="E3604" s="264"/>
      <c r="F3604" s="265"/>
      <c r="G3604" s="265"/>
      <c r="H3604" s="268"/>
      <c r="I3604" s="268"/>
      <c r="J3604" s="265"/>
      <c r="K3604" s="265"/>
      <c r="L3604" s="265"/>
      <c r="M3604" s="269"/>
      <c r="N3604" s="270"/>
      <c r="O3604" s="271"/>
      <c r="P3604" s="271"/>
      <c r="Q3604" s="272"/>
      <c r="R3604" s="273"/>
      <c r="S3604" s="273"/>
      <c r="T3604" s="273"/>
      <c r="U3604" s="274"/>
      <c r="V3604" s="28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</row>
    <row r="3605">
      <c r="A3605" s="280"/>
      <c r="B3605" s="264"/>
      <c r="C3605" s="265"/>
      <c r="D3605" s="265"/>
      <c r="E3605" s="264"/>
      <c r="F3605" s="265"/>
      <c r="G3605" s="265"/>
      <c r="H3605" s="268"/>
      <c r="I3605" s="268"/>
      <c r="J3605" s="265"/>
      <c r="K3605" s="265"/>
      <c r="L3605" s="265"/>
      <c r="M3605" s="269"/>
      <c r="N3605" s="270"/>
      <c r="O3605" s="271"/>
      <c r="P3605" s="271"/>
      <c r="Q3605" s="272"/>
      <c r="R3605" s="273"/>
      <c r="S3605" s="273"/>
      <c r="T3605" s="273"/>
      <c r="U3605" s="274"/>
      <c r="V3605" s="284"/>
      <c r="W3605" s="35"/>
      <c r="X3605" s="35"/>
      <c r="Y3605" s="35"/>
      <c r="Z3605" s="35"/>
      <c r="AA3605" s="35"/>
      <c r="AB3605" s="35"/>
      <c r="AC3605" s="35"/>
      <c r="AD3605" s="35"/>
      <c r="AE3605" s="35"/>
      <c r="AF3605" s="35"/>
      <c r="AG3605" s="35"/>
      <c r="AH3605" s="35"/>
      <c r="AI3605" s="35"/>
    </row>
    <row r="3606">
      <c r="A3606" s="280"/>
      <c r="B3606" s="264"/>
      <c r="C3606" s="265"/>
      <c r="D3606" s="265"/>
      <c r="E3606" s="264"/>
      <c r="F3606" s="265"/>
      <c r="G3606" s="265"/>
      <c r="H3606" s="268"/>
      <c r="I3606" s="268"/>
      <c r="J3606" s="265"/>
      <c r="K3606" s="265"/>
      <c r="L3606" s="265"/>
      <c r="M3606" s="269"/>
      <c r="N3606" s="270"/>
      <c r="O3606" s="271"/>
      <c r="P3606" s="271"/>
      <c r="Q3606" s="272"/>
      <c r="R3606" s="273"/>
      <c r="S3606" s="273"/>
      <c r="T3606" s="273"/>
      <c r="U3606" s="274"/>
      <c r="V3606" s="284"/>
      <c r="W3606" s="188"/>
      <c r="X3606" s="188"/>
      <c r="Y3606" s="188"/>
      <c r="Z3606" s="188"/>
      <c r="AA3606" s="188"/>
      <c r="AB3606" s="188"/>
      <c r="AC3606" s="188"/>
      <c r="AD3606" s="188"/>
      <c r="AE3606" s="188"/>
      <c r="AF3606" s="188"/>
      <c r="AG3606" s="188"/>
      <c r="AH3606" s="188"/>
      <c r="AI3606" s="188"/>
    </row>
    <row r="3607">
      <c r="A3607" s="280"/>
      <c r="B3607" s="264"/>
      <c r="C3607" s="265"/>
      <c r="D3607" s="265"/>
      <c r="E3607" s="264"/>
      <c r="F3607" s="265"/>
      <c r="G3607" s="265"/>
      <c r="H3607" s="268"/>
      <c r="I3607" s="268"/>
      <c r="J3607" s="265"/>
      <c r="K3607" s="265"/>
      <c r="L3607" s="265"/>
      <c r="M3607" s="269"/>
      <c r="N3607" s="270"/>
      <c r="O3607" s="271"/>
      <c r="P3607" s="271"/>
      <c r="Q3607" s="272"/>
      <c r="R3607" s="273"/>
      <c r="S3607" s="273"/>
      <c r="T3607" s="273"/>
      <c r="U3607" s="274"/>
      <c r="V3607" s="284"/>
      <c r="W3607" s="35"/>
      <c r="X3607" s="35"/>
      <c r="Y3607" s="35"/>
      <c r="Z3607" s="35"/>
      <c r="AA3607" s="35"/>
      <c r="AB3607" s="35"/>
      <c r="AC3607" s="35"/>
      <c r="AD3607" s="35"/>
      <c r="AE3607" s="35"/>
      <c r="AF3607" s="35"/>
      <c r="AG3607" s="35"/>
      <c r="AH3607" s="35"/>
      <c r="AI3607" s="35"/>
    </row>
    <row r="3608">
      <c r="A3608" s="280"/>
      <c r="B3608" s="264"/>
      <c r="C3608" s="265"/>
      <c r="D3608" s="265"/>
      <c r="E3608" s="264"/>
      <c r="F3608" s="265"/>
      <c r="G3608" s="265"/>
      <c r="H3608" s="268"/>
      <c r="I3608" s="268"/>
      <c r="J3608" s="265"/>
      <c r="K3608" s="265"/>
      <c r="L3608" s="265"/>
      <c r="M3608" s="269"/>
      <c r="N3608" s="270"/>
      <c r="O3608" s="271"/>
      <c r="P3608" s="271"/>
      <c r="Q3608" s="272"/>
      <c r="R3608" s="273"/>
      <c r="S3608" s="273"/>
      <c r="T3608" s="273"/>
      <c r="U3608" s="274"/>
      <c r="V3608" s="28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</row>
    <row r="3609">
      <c r="A3609" s="280"/>
      <c r="B3609" s="264"/>
      <c r="C3609" s="265"/>
      <c r="D3609" s="265"/>
      <c r="E3609" s="264"/>
      <c r="F3609" s="265"/>
      <c r="G3609" s="265"/>
      <c r="H3609" s="268"/>
      <c r="I3609" s="268"/>
      <c r="J3609" s="265"/>
      <c r="K3609" s="265"/>
      <c r="L3609" s="265"/>
      <c r="M3609" s="269"/>
      <c r="N3609" s="270"/>
      <c r="O3609" s="271"/>
      <c r="P3609" s="271"/>
      <c r="Q3609" s="272"/>
      <c r="R3609" s="273"/>
      <c r="S3609" s="273"/>
      <c r="T3609" s="273"/>
      <c r="U3609" s="274"/>
      <c r="V3609" s="28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</row>
    <row r="3610">
      <c r="A3610" s="280"/>
      <c r="B3610" s="264"/>
      <c r="C3610" s="265"/>
      <c r="D3610" s="265"/>
      <c r="E3610" s="264"/>
      <c r="F3610" s="265"/>
      <c r="G3610" s="265"/>
      <c r="H3610" s="268"/>
      <c r="I3610" s="268"/>
      <c r="J3610" s="265"/>
      <c r="K3610" s="265"/>
      <c r="L3610" s="265"/>
      <c r="M3610" s="269"/>
      <c r="N3610" s="270"/>
      <c r="O3610" s="271"/>
      <c r="P3610" s="271"/>
      <c r="Q3610" s="272"/>
      <c r="R3610" s="273"/>
      <c r="S3610" s="273"/>
      <c r="T3610" s="273"/>
      <c r="U3610" s="274"/>
      <c r="V3610" s="28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</row>
    <row r="3611">
      <c r="A3611" s="280"/>
      <c r="B3611" s="264"/>
      <c r="C3611" s="265"/>
      <c r="D3611" s="265"/>
      <c r="E3611" s="264"/>
      <c r="F3611" s="265"/>
      <c r="G3611" s="265"/>
      <c r="H3611" s="268"/>
      <c r="I3611" s="268"/>
      <c r="J3611" s="265"/>
      <c r="K3611" s="265"/>
      <c r="L3611" s="265"/>
      <c r="M3611" s="269"/>
      <c r="N3611" s="270"/>
      <c r="O3611" s="271"/>
      <c r="P3611" s="271"/>
      <c r="Q3611" s="272"/>
      <c r="R3611" s="273"/>
      <c r="S3611" s="273"/>
      <c r="T3611" s="273"/>
      <c r="U3611" s="274"/>
      <c r="V3611" s="28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</row>
    <row r="3612">
      <c r="A3612" s="280"/>
      <c r="B3612" s="264"/>
      <c r="C3612" s="265"/>
      <c r="D3612" s="265"/>
      <c r="E3612" s="264"/>
      <c r="F3612" s="265"/>
      <c r="G3612" s="265"/>
      <c r="H3612" s="268"/>
      <c r="I3612" s="268"/>
      <c r="J3612" s="265"/>
      <c r="K3612" s="265"/>
      <c r="L3612" s="265"/>
      <c r="M3612" s="269"/>
      <c r="N3612" s="270"/>
      <c r="O3612" s="271"/>
      <c r="P3612" s="271"/>
      <c r="Q3612" s="272"/>
      <c r="R3612" s="273"/>
      <c r="S3612" s="273"/>
      <c r="T3612" s="273"/>
      <c r="U3612" s="274"/>
      <c r="V3612" s="28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</row>
    <row r="3613">
      <c r="A3613" s="280"/>
      <c r="B3613" s="264"/>
      <c r="C3613" s="265"/>
      <c r="D3613" s="265"/>
      <c r="E3613" s="264"/>
      <c r="F3613" s="265"/>
      <c r="G3613" s="265"/>
      <c r="H3613" s="268"/>
      <c r="I3613" s="268"/>
      <c r="J3613" s="265"/>
      <c r="K3613" s="265"/>
      <c r="L3613" s="265"/>
      <c r="M3613" s="269"/>
      <c r="N3613" s="270"/>
      <c r="O3613" s="271"/>
      <c r="P3613" s="271"/>
      <c r="Q3613" s="272"/>
      <c r="R3613" s="273"/>
      <c r="S3613" s="273"/>
      <c r="T3613" s="273"/>
      <c r="U3613" s="274"/>
      <c r="V3613" s="284"/>
      <c r="W3613" s="188"/>
      <c r="X3613" s="188"/>
      <c r="Y3613" s="188"/>
      <c r="Z3613" s="188"/>
      <c r="AA3613" s="188"/>
      <c r="AB3613" s="188"/>
      <c r="AC3613" s="188"/>
      <c r="AD3613" s="188"/>
      <c r="AE3613" s="188"/>
      <c r="AF3613" s="188"/>
      <c r="AG3613" s="188"/>
      <c r="AH3613" s="188"/>
      <c r="AI3613" s="188"/>
    </row>
    <row r="3614">
      <c r="A3614" s="280"/>
      <c r="B3614" s="264"/>
      <c r="C3614" s="265"/>
      <c r="D3614" s="265"/>
      <c r="E3614" s="264"/>
      <c r="F3614" s="265"/>
      <c r="G3614" s="265"/>
      <c r="H3614" s="268"/>
      <c r="I3614" s="268"/>
      <c r="J3614" s="265"/>
      <c r="K3614" s="265"/>
      <c r="L3614" s="265"/>
      <c r="M3614" s="269"/>
      <c r="N3614" s="270"/>
      <c r="O3614" s="271"/>
      <c r="P3614" s="271"/>
      <c r="Q3614" s="272"/>
      <c r="R3614" s="273"/>
      <c r="S3614" s="273"/>
      <c r="T3614" s="273"/>
      <c r="U3614" s="274"/>
      <c r="V3614" s="28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</row>
    <row r="3615">
      <c r="A3615" s="280"/>
      <c r="B3615" s="264"/>
      <c r="C3615" s="265"/>
      <c r="D3615" s="265"/>
      <c r="E3615" s="264"/>
      <c r="F3615" s="265"/>
      <c r="G3615" s="265"/>
      <c r="H3615" s="268"/>
      <c r="I3615" s="268"/>
      <c r="J3615" s="265"/>
      <c r="K3615" s="265"/>
      <c r="L3615" s="265"/>
      <c r="M3615" s="269"/>
      <c r="N3615" s="270"/>
      <c r="O3615" s="271"/>
      <c r="P3615" s="271"/>
      <c r="Q3615" s="272"/>
      <c r="R3615" s="273"/>
      <c r="S3615" s="273"/>
      <c r="T3615" s="273"/>
      <c r="U3615" s="274"/>
      <c r="V3615" s="28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</row>
    <row r="3616">
      <c r="A3616" s="280"/>
      <c r="B3616" s="264"/>
      <c r="C3616" s="265"/>
      <c r="D3616" s="265"/>
      <c r="E3616" s="264"/>
      <c r="F3616" s="265"/>
      <c r="G3616" s="265"/>
      <c r="H3616" s="268"/>
      <c r="I3616" s="268"/>
      <c r="J3616" s="265"/>
      <c r="K3616" s="265"/>
      <c r="L3616" s="265"/>
      <c r="M3616" s="269"/>
      <c r="N3616" s="270"/>
      <c r="O3616" s="271"/>
      <c r="P3616" s="271"/>
      <c r="Q3616" s="272"/>
      <c r="R3616" s="273"/>
      <c r="S3616" s="273"/>
      <c r="T3616" s="260"/>
      <c r="U3616" s="261"/>
      <c r="V3616" s="279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</row>
    <row r="3617">
      <c r="A3617" s="280"/>
      <c r="B3617" s="264"/>
      <c r="C3617" s="265"/>
      <c r="D3617" s="265"/>
      <c r="E3617" s="264"/>
      <c r="F3617" s="265"/>
      <c r="G3617" s="265"/>
      <c r="H3617" s="268"/>
      <c r="I3617" s="268"/>
      <c r="J3617" s="265"/>
      <c r="K3617" s="265"/>
      <c r="L3617" s="265"/>
      <c r="M3617" s="269"/>
      <c r="N3617" s="270"/>
      <c r="O3617" s="271"/>
      <c r="P3617" s="271"/>
      <c r="Q3617" s="272"/>
      <c r="R3617" s="273"/>
      <c r="S3617" s="273"/>
      <c r="T3617" s="273"/>
      <c r="U3617" s="274"/>
      <c r="V3617" s="28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</row>
    <row r="3618">
      <c r="A3618" s="280"/>
      <c r="B3618" s="264"/>
      <c r="C3618" s="265"/>
      <c r="D3618" s="265"/>
      <c r="E3618" s="264"/>
      <c r="F3618" s="265"/>
      <c r="G3618" s="265"/>
      <c r="H3618" s="268"/>
      <c r="I3618" s="268"/>
      <c r="J3618" s="265"/>
      <c r="K3618" s="265"/>
      <c r="L3618" s="265"/>
      <c r="M3618" s="269"/>
      <c r="N3618" s="270"/>
      <c r="O3618" s="271"/>
      <c r="P3618" s="271"/>
      <c r="Q3618" s="272"/>
      <c r="R3618" s="273"/>
      <c r="S3618" s="273"/>
      <c r="T3618" s="273"/>
      <c r="U3618" s="274"/>
      <c r="V3618" s="284"/>
      <c r="W3618" s="35"/>
      <c r="X3618" s="35"/>
      <c r="Y3618" s="35"/>
      <c r="Z3618" s="35"/>
      <c r="AA3618" s="35"/>
      <c r="AB3618" s="35"/>
      <c r="AC3618" s="35"/>
      <c r="AD3618" s="35"/>
      <c r="AE3618" s="35"/>
      <c r="AF3618" s="35"/>
      <c r="AG3618" s="35"/>
      <c r="AH3618" s="35"/>
      <c r="AI3618" s="35"/>
    </row>
    <row r="3619">
      <c r="A3619" s="280"/>
      <c r="B3619" s="264"/>
      <c r="C3619" s="265"/>
      <c r="D3619" s="265"/>
      <c r="E3619" s="264"/>
      <c r="F3619" s="265"/>
      <c r="G3619" s="265"/>
      <c r="H3619" s="268"/>
      <c r="I3619" s="268"/>
      <c r="J3619" s="265"/>
      <c r="K3619" s="265"/>
      <c r="L3619" s="265"/>
      <c r="M3619" s="269"/>
      <c r="N3619" s="270"/>
      <c r="O3619" s="271"/>
      <c r="P3619" s="271"/>
      <c r="Q3619" s="272"/>
      <c r="R3619" s="273"/>
      <c r="S3619" s="273"/>
      <c r="T3619" s="273"/>
      <c r="U3619" s="274"/>
      <c r="V3619" s="28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</row>
    <row r="3620">
      <c r="A3620" s="280"/>
      <c r="B3620" s="264"/>
      <c r="C3620" s="265"/>
      <c r="D3620" s="265"/>
      <c r="E3620" s="264"/>
      <c r="F3620" s="265"/>
      <c r="G3620" s="265"/>
      <c r="H3620" s="268"/>
      <c r="I3620" s="268"/>
      <c r="J3620" s="265"/>
      <c r="K3620" s="265"/>
      <c r="L3620" s="265"/>
      <c r="M3620" s="269"/>
      <c r="N3620" s="270"/>
      <c r="O3620" s="271"/>
      <c r="P3620" s="271"/>
      <c r="Q3620" s="272"/>
      <c r="R3620" s="273"/>
      <c r="S3620" s="273"/>
      <c r="T3620" s="273"/>
      <c r="U3620" s="274"/>
      <c r="V3620" s="28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</row>
    <row r="3621">
      <c r="A3621" s="280"/>
      <c r="B3621" s="264"/>
      <c r="C3621" s="265"/>
      <c r="D3621" s="265"/>
      <c r="E3621" s="264"/>
      <c r="F3621" s="265"/>
      <c r="G3621" s="265"/>
      <c r="H3621" s="268"/>
      <c r="I3621" s="268"/>
      <c r="J3621" s="265"/>
      <c r="K3621" s="265"/>
      <c r="L3621" s="265"/>
      <c r="M3621" s="269"/>
      <c r="N3621" s="270"/>
      <c r="O3621" s="271"/>
      <c r="P3621" s="271"/>
      <c r="Q3621" s="272"/>
      <c r="R3621" s="273"/>
      <c r="S3621" s="273"/>
      <c r="T3621" s="273"/>
      <c r="U3621" s="274"/>
      <c r="V3621" s="284"/>
      <c r="W3621" s="188"/>
      <c r="X3621" s="188"/>
      <c r="Y3621" s="188"/>
      <c r="Z3621" s="188"/>
      <c r="AA3621" s="188"/>
      <c r="AB3621" s="188"/>
      <c r="AC3621" s="188"/>
      <c r="AD3621" s="188"/>
      <c r="AE3621" s="188"/>
      <c r="AF3621" s="188"/>
      <c r="AG3621" s="188"/>
      <c r="AH3621" s="188"/>
      <c r="AI3621" s="188"/>
    </row>
    <row r="3622">
      <c r="A3622" s="280"/>
      <c r="B3622" s="264"/>
      <c r="C3622" s="265"/>
      <c r="D3622" s="265"/>
      <c r="E3622" s="264"/>
      <c r="F3622" s="265"/>
      <c r="G3622" s="265"/>
      <c r="H3622" s="268"/>
      <c r="I3622" s="268"/>
      <c r="J3622" s="265"/>
      <c r="K3622" s="265"/>
      <c r="L3622" s="265"/>
      <c r="M3622" s="269"/>
      <c r="N3622" s="270"/>
      <c r="O3622" s="271"/>
      <c r="P3622" s="271"/>
      <c r="Q3622" s="272"/>
      <c r="R3622" s="273"/>
      <c r="S3622" s="273"/>
      <c r="T3622" s="273"/>
      <c r="U3622" s="274"/>
      <c r="V3622" s="28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</row>
    <row r="3623">
      <c r="A3623" s="280"/>
      <c r="B3623" s="264"/>
      <c r="C3623" s="265"/>
      <c r="D3623" s="265"/>
      <c r="E3623" s="264"/>
      <c r="F3623" s="265"/>
      <c r="G3623" s="265"/>
      <c r="H3623" s="268"/>
      <c r="I3623" s="268"/>
      <c r="J3623" s="265"/>
      <c r="K3623" s="265"/>
      <c r="L3623" s="265"/>
      <c r="M3623" s="269"/>
      <c r="N3623" s="270"/>
      <c r="O3623" s="271"/>
      <c r="P3623" s="271"/>
      <c r="Q3623" s="272"/>
      <c r="R3623" s="273"/>
      <c r="S3623" s="273"/>
      <c r="T3623" s="273"/>
      <c r="U3623" s="274"/>
      <c r="V3623" s="284"/>
      <c r="W3623" s="35"/>
      <c r="X3623" s="35"/>
      <c r="Y3623" s="35"/>
      <c r="Z3623" s="35"/>
      <c r="AA3623" s="35"/>
      <c r="AB3623" s="35"/>
      <c r="AC3623" s="35"/>
      <c r="AD3623" s="35"/>
      <c r="AE3623" s="35"/>
      <c r="AF3623" s="35"/>
      <c r="AG3623" s="35"/>
      <c r="AH3623" s="35"/>
      <c r="AI3623" s="35"/>
    </row>
    <row r="3624">
      <c r="A3624" s="280"/>
      <c r="B3624" s="264"/>
      <c r="C3624" s="265"/>
      <c r="D3624" s="265"/>
      <c r="E3624" s="264"/>
      <c r="F3624" s="265"/>
      <c r="G3624" s="265"/>
      <c r="H3624" s="268"/>
      <c r="I3624" s="268"/>
      <c r="J3624" s="265"/>
      <c r="K3624" s="265"/>
      <c r="L3624" s="265"/>
      <c r="M3624" s="269"/>
      <c r="N3624" s="270"/>
      <c r="O3624" s="271"/>
      <c r="P3624" s="271"/>
      <c r="Q3624" s="272"/>
      <c r="R3624" s="273"/>
      <c r="S3624" s="273"/>
      <c r="T3624" s="273"/>
      <c r="U3624" s="274"/>
      <c r="V3624" s="28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</row>
    <row r="3625">
      <c r="A3625" s="280"/>
      <c r="B3625" s="264"/>
      <c r="C3625" s="265"/>
      <c r="D3625" s="265"/>
      <c r="E3625" s="264"/>
      <c r="F3625" s="265"/>
      <c r="G3625" s="265"/>
      <c r="H3625" s="268"/>
      <c r="I3625" s="268"/>
      <c r="J3625" s="265"/>
      <c r="K3625" s="265"/>
      <c r="L3625" s="265"/>
      <c r="M3625" s="269"/>
      <c r="N3625" s="270"/>
      <c r="O3625" s="271"/>
      <c r="P3625" s="271"/>
      <c r="Q3625" s="272"/>
      <c r="R3625" s="273"/>
      <c r="S3625" s="273"/>
      <c r="T3625" s="273"/>
      <c r="U3625" s="274"/>
      <c r="V3625" s="284"/>
      <c r="W3625" s="188"/>
      <c r="X3625" s="188"/>
      <c r="Y3625" s="188"/>
      <c r="Z3625" s="188"/>
      <c r="AA3625" s="188"/>
      <c r="AB3625" s="188"/>
      <c r="AC3625" s="188"/>
      <c r="AD3625" s="188"/>
      <c r="AE3625" s="188"/>
      <c r="AF3625" s="188"/>
      <c r="AG3625" s="188"/>
      <c r="AH3625" s="188"/>
      <c r="AI3625" s="188"/>
    </row>
    <row r="3626">
      <c r="A3626" s="280"/>
      <c r="B3626" s="264"/>
      <c r="C3626" s="265"/>
      <c r="D3626" s="265"/>
      <c r="E3626" s="264"/>
      <c r="F3626" s="265"/>
      <c r="G3626" s="265"/>
      <c r="H3626" s="268"/>
      <c r="I3626" s="268"/>
      <c r="J3626" s="265"/>
      <c r="K3626" s="265"/>
      <c r="L3626" s="265"/>
      <c r="M3626" s="269"/>
      <c r="N3626" s="270"/>
      <c r="O3626" s="271"/>
      <c r="P3626" s="271"/>
      <c r="Q3626" s="272"/>
      <c r="R3626" s="273"/>
      <c r="S3626" s="273"/>
      <c r="T3626" s="273"/>
      <c r="U3626" s="274"/>
      <c r="V3626" s="28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</row>
    <row r="3627">
      <c r="A3627" s="280"/>
      <c r="B3627" s="264"/>
      <c r="C3627" s="265"/>
      <c r="D3627" s="265"/>
      <c r="E3627" s="264"/>
      <c r="F3627" s="265"/>
      <c r="G3627" s="265"/>
      <c r="H3627" s="268"/>
      <c r="I3627" s="268"/>
      <c r="J3627" s="265"/>
      <c r="K3627" s="265"/>
      <c r="L3627" s="265"/>
      <c r="M3627" s="269"/>
      <c r="N3627" s="270"/>
      <c r="O3627" s="271"/>
      <c r="P3627" s="271"/>
      <c r="Q3627" s="272"/>
      <c r="R3627" s="273"/>
      <c r="S3627" s="273"/>
      <c r="T3627" s="273"/>
      <c r="U3627" s="274"/>
      <c r="V3627" s="28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</row>
    <row r="3628">
      <c r="A3628" s="280"/>
      <c r="B3628" s="264"/>
      <c r="C3628" s="265"/>
      <c r="D3628" s="265"/>
      <c r="E3628" s="264"/>
      <c r="F3628" s="265"/>
      <c r="G3628" s="265"/>
      <c r="H3628" s="268"/>
      <c r="I3628" s="268"/>
      <c r="J3628" s="265"/>
      <c r="K3628" s="265"/>
      <c r="L3628" s="265"/>
      <c r="M3628" s="269"/>
      <c r="N3628" s="270"/>
      <c r="O3628" s="271"/>
      <c r="P3628" s="271"/>
      <c r="Q3628" s="272"/>
      <c r="R3628" s="273"/>
      <c r="S3628" s="273"/>
      <c r="T3628" s="273"/>
      <c r="U3628" s="274"/>
      <c r="V3628" s="28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</row>
    <row r="3629">
      <c r="A3629" s="280"/>
      <c r="B3629" s="264"/>
      <c r="C3629" s="265"/>
      <c r="D3629" s="265"/>
      <c r="E3629" s="264"/>
      <c r="F3629" s="265"/>
      <c r="G3629" s="265"/>
      <c r="H3629" s="268"/>
      <c r="I3629" s="268"/>
      <c r="J3629" s="265"/>
      <c r="K3629" s="265"/>
      <c r="L3629" s="265"/>
      <c r="M3629" s="269"/>
      <c r="N3629" s="270"/>
      <c r="O3629" s="271"/>
      <c r="P3629" s="271"/>
      <c r="Q3629" s="272"/>
      <c r="R3629" s="273"/>
      <c r="S3629" s="273"/>
      <c r="T3629" s="273"/>
      <c r="U3629" s="274"/>
      <c r="V3629" s="28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</row>
    <row r="3630">
      <c r="A3630" s="280"/>
      <c r="B3630" s="264"/>
      <c r="C3630" s="265"/>
      <c r="D3630" s="265"/>
      <c r="E3630" s="264"/>
      <c r="F3630" s="265"/>
      <c r="G3630" s="265"/>
      <c r="H3630" s="268"/>
      <c r="I3630" s="268"/>
      <c r="J3630" s="265"/>
      <c r="K3630" s="265"/>
      <c r="L3630" s="265"/>
      <c r="M3630" s="269"/>
      <c r="N3630" s="270"/>
      <c r="O3630" s="271"/>
      <c r="P3630" s="271"/>
      <c r="Q3630" s="272"/>
      <c r="R3630" s="273"/>
      <c r="S3630" s="273"/>
      <c r="T3630" s="273"/>
      <c r="U3630" s="274"/>
      <c r="V3630" s="28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</row>
    <row r="3631">
      <c r="A3631" s="280"/>
      <c r="B3631" s="264"/>
      <c r="C3631" s="265"/>
      <c r="D3631" s="265"/>
      <c r="E3631" s="264"/>
      <c r="F3631" s="265"/>
      <c r="G3631" s="265"/>
      <c r="H3631" s="268"/>
      <c r="I3631" s="268"/>
      <c r="J3631" s="265"/>
      <c r="K3631" s="265"/>
      <c r="L3631" s="265"/>
      <c r="M3631" s="269"/>
      <c r="N3631" s="270"/>
      <c r="O3631" s="271"/>
      <c r="P3631" s="271"/>
      <c r="Q3631" s="272"/>
      <c r="R3631" s="273"/>
      <c r="S3631" s="273"/>
      <c r="T3631" s="273"/>
      <c r="U3631" s="274"/>
      <c r="V3631" s="28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</row>
    <row r="3632">
      <c r="A3632" s="280"/>
      <c r="B3632" s="264"/>
      <c r="C3632" s="265"/>
      <c r="D3632" s="265"/>
      <c r="E3632" s="264"/>
      <c r="F3632" s="265"/>
      <c r="G3632" s="265"/>
      <c r="H3632" s="268"/>
      <c r="I3632" s="268"/>
      <c r="J3632" s="265"/>
      <c r="K3632" s="265"/>
      <c r="L3632" s="265"/>
      <c r="M3632" s="269"/>
      <c r="N3632" s="270"/>
      <c r="O3632" s="271"/>
      <c r="P3632" s="271"/>
      <c r="Q3632" s="272"/>
      <c r="R3632" s="273"/>
      <c r="S3632" s="273"/>
      <c r="T3632" s="273"/>
      <c r="U3632" s="274"/>
      <c r="V3632" s="28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</row>
    <row r="3633">
      <c r="A3633" s="280"/>
      <c r="B3633" s="264"/>
      <c r="C3633" s="265"/>
      <c r="D3633" s="265"/>
      <c r="E3633" s="264"/>
      <c r="F3633" s="265"/>
      <c r="G3633" s="265"/>
      <c r="H3633" s="268"/>
      <c r="I3633" s="268"/>
      <c r="J3633" s="265"/>
      <c r="K3633" s="265"/>
      <c r="L3633" s="265"/>
      <c r="M3633" s="269"/>
      <c r="N3633" s="270"/>
      <c r="O3633" s="271"/>
      <c r="P3633" s="271"/>
      <c r="Q3633" s="272"/>
      <c r="R3633" s="273"/>
      <c r="S3633" s="273"/>
      <c r="T3633" s="273"/>
      <c r="U3633" s="274"/>
      <c r="V3633" s="28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</row>
    <row r="3634">
      <c r="A3634" s="280"/>
      <c r="B3634" s="264"/>
      <c r="C3634" s="265"/>
      <c r="D3634" s="265"/>
      <c r="E3634" s="264"/>
      <c r="F3634" s="265"/>
      <c r="G3634" s="265"/>
      <c r="H3634" s="268"/>
      <c r="I3634" s="268"/>
      <c r="J3634" s="265"/>
      <c r="K3634" s="265"/>
      <c r="L3634" s="265"/>
      <c r="M3634" s="269"/>
      <c r="N3634" s="270"/>
      <c r="O3634" s="271"/>
      <c r="P3634" s="271"/>
      <c r="Q3634" s="272"/>
      <c r="R3634" s="273"/>
      <c r="S3634" s="273"/>
      <c r="T3634" s="273"/>
      <c r="U3634" s="274"/>
      <c r="V3634" s="28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</row>
    <row r="3635">
      <c r="A3635" s="280"/>
      <c r="B3635" s="264"/>
      <c r="C3635" s="265"/>
      <c r="D3635" s="265"/>
      <c r="E3635" s="264"/>
      <c r="F3635" s="265"/>
      <c r="G3635" s="265"/>
      <c r="H3635" s="268"/>
      <c r="I3635" s="268"/>
      <c r="J3635" s="265"/>
      <c r="K3635" s="265"/>
      <c r="L3635" s="265"/>
      <c r="M3635" s="269"/>
      <c r="N3635" s="270"/>
      <c r="O3635" s="271"/>
      <c r="P3635" s="271"/>
      <c r="Q3635" s="272"/>
      <c r="R3635" s="273"/>
      <c r="S3635" s="273"/>
      <c r="T3635" s="273"/>
      <c r="U3635" s="274"/>
      <c r="V3635" s="284"/>
      <c r="W3635" s="188"/>
      <c r="X3635" s="188"/>
      <c r="Y3635" s="188"/>
      <c r="Z3635" s="188"/>
      <c r="AA3635" s="188"/>
      <c r="AB3635" s="188"/>
      <c r="AC3635" s="188"/>
      <c r="AD3635" s="188"/>
      <c r="AE3635" s="188"/>
      <c r="AF3635" s="188"/>
      <c r="AG3635" s="188"/>
      <c r="AH3635" s="188"/>
      <c r="AI3635" s="188"/>
    </row>
    <row r="3636">
      <c r="A3636" s="280"/>
      <c r="B3636" s="264"/>
      <c r="C3636" s="265"/>
      <c r="D3636" s="265"/>
      <c r="E3636" s="264"/>
      <c r="F3636" s="265"/>
      <c r="G3636" s="265"/>
      <c r="H3636" s="268"/>
      <c r="I3636" s="268"/>
      <c r="J3636" s="265"/>
      <c r="K3636" s="265"/>
      <c r="L3636" s="265"/>
      <c r="M3636" s="269"/>
      <c r="N3636" s="270"/>
      <c r="O3636" s="271"/>
      <c r="P3636" s="271"/>
      <c r="Q3636" s="272"/>
      <c r="R3636" s="273"/>
      <c r="S3636" s="273"/>
      <c r="T3636" s="273"/>
      <c r="U3636" s="274"/>
      <c r="V3636" s="28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</row>
    <row r="3637">
      <c r="A3637" s="280"/>
      <c r="B3637" s="264"/>
      <c r="C3637" s="265"/>
      <c r="D3637" s="265"/>
      <c r="E3637" s="264"/>
      <c r="F3637" s="265"/>
      <c r="G3637" s="265"/>
      <c r="H3637" s="268"/>
      <c r="I3637" s="268"/>
      <c r="J3637" s="265"/>
      <c r="K3637" s="265"/>
      <c r="L3637" s="265"/>
      <c r="M3637" s="269"/>
      <c r="N3637" s="270"/>
      <c r="O3637" s="271"/>
      <c r="P3637" s="271"/>
      <c r="Q3637" s="272"/>
      <c r="R3637" s="273"/>
      <c r="S3637" s="273"/>
      <c r="T3637" s="273"/>
      <c r="U3637" s="274"/>
      <c r="V3637" s="28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</row>
    <row r="3638">
      <c r="A3638" s="280"/>
      <c r="B3638" s="264"/>
      <c r="C3638" s="265"/>
      <c r="D3638" s="265"/>
      <c r="E3638" s="264"/>
      <c r="F3638" s="265"/>
      <c r="G3638" s="265"/>
      <c r="H3638" s="268"/>
      <c r="I3638" s="268"/>
      <c r="J3638" s="265"/>
      <c r="K3638" s="265"/>
      <c r="L3638" s="265"/>
      <c r="M3638" s="269"/>
      <c r="N3638" s="270"/>
      <c r="O3638" s="271"/>
      <c r="P3638" s="271"/>
      <c r="Q3638" s="272"/>
      <c r="R3638" s="273"/>
      <c r="S3638" s="273"/>
      <c r="T3638" s="273"/>
      <c r="U3638" s="274"/>
      <c r="V3638" s="28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</row>
    <row r="3639">
      <c r="A3639" s="280"/>
      <c r="B3639" s="264"/>
      <c r="C3639" s="265"/>
      <c r="D3639" s="265"/>
      <c r="E3639" s="264"/>
      <c r="F3639" s="265"/>
      <c r="G3639" s="265"/>
      <c r="H3639" s="268"/>
      <c r="I3639" s="268"/>
      <c r="J3639" s="265"/>
      <c r="K3639" s="265"/>
      <c r="L3639" s="265"/>
      <c r="M3639" s="269"/>
      <c r="N3639" s="270"/>
      <c r="O3639" s="271"/>
      <c r="P3639" s="271"/>
      <c r="Q3639" s="272"/>
      <c r="R3639" s="273"/>
      <c r="S3639" s="273"/>
      <c r="T3639" s="273"/>
      <c r="U3639" s="274"/>
      <c r="V3639" s="28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</row>
    <row r="3640">
      <c r="A3640" s="280"/>
      <c r="B3640" s="264"/>
      <c r="C3640" s="265"/>
      <c r="D3640" s="265"/>
      <c r="E3640" s="264"/>
      <c r="F3640" s="265"/>
      <c r="G3640" s="265"/>
      <c r="H3640" s="268"/>
      <c r="I3640" s="268"/>
      <c r="J3640" s="265"/>
      <c r="K3640" s="265"/>
      <c r="L3640" s="265"/>
      <c r="M3640" s="269"/>
      <c r="N3640" s="270"/>
      <c r="O3640" s="271"/>
      <c r="P3640" s="271"/>
      <c r="Q3640" s="272"/>
      <c r="R3640" s="273"/>
      <c r="S3640" s="273"/>
      <c r="T3640" s="273"/>
      <c r="U3640" s="274"/>
      <c r="V3640" s="28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</row>
    <row r="3641">
      <c r="A3641" s="280"/>
      <c r="B3641" s="264"/>
      <c r="C3641" s="265"/>
      <c r="D3641" s="265"/>
      <c r="E3641" s="264"/>
      <c r="F3641" s="265"/>
      <c r="G3641" s="265"/>
      <c r="H3641" s="268"/>
      <c r="I3641" s="268"/>
      <c r="J3641" s="265"/>
      <c r="K3641" s="265"/>
      <c r="L3641" s="265"/>
      <c r="M3641" s="269"/>
      <c r="N3641" s="270"/>
      <c r="O3641" s="271"/>
      <c r="P3641" s="271"/>
      <c r="Q3641" s="272"/>
      <c r="R3641" s="273"/>
      <c r="S3641" s="273"/>
      <c r="T3641" s="273"/>
      <c r="U3641" s="274"/>
      <c r="V3641" s="28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</row>
    <row r="3642">
      <c r="A3642" s="280"/>
      <c r="B3642" s="264"/>
      <c r="C3642" s="265"/>
      <c r="D3642" s="265"/>
      <c r="E3642" s="264"/>
      <c r="F3642" s="265"/>
      <c r="G3642" s="265"/>
      <c r="H3642" s="268"/>
      <c r="I3642" s="268"/>
      <c r="J3642" s="265"/>
      <c r="K3642" s="265"/>
      <c r="L3642" s="265"/>
      <c r="M3642" s="269"/>
      <c r="N3642" s="270"/>
      <c r="O3642" s="271"/>
      <c r="P3642" s="271"/>
      <c r="Q3642" s="272"/>
      <c r="R3642" s="273"/>
      <c r="S3642" s="273"/>
      <c r="T3642" s="273"/>
      <c r="U3642" s="274"/>
      <c r="V3642" s="28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</row>
    <row r="3643">
      <c r="A3643" s="280"/>
      <c r="B3643" s="264"/>
      <c r="C3643" s="265"/>
      <c r="D3643" s="265"/>
      <c r="E3643" s="264"/>
      <c r="F3643" s="265"/>
      <c r="G3643" s="265"/>
      <c r="H3643" s="268"/>
      <c r="I3643" s="268"/>
      <c r="J3643" s="265"/>
      <c r="K3643" s="265"/>
      <c r="L3643" s="265"/>
      <c r="M3643" s="269"/>
      <c r="N3643" s="270"/>
      <c r="O3643" s="271"/>
      <c r="P3643" s="271"/>
      <c r="Q3643" s="272"/>
      <c r="R3643" s="273"/>
      <c r="S3643" s="273"/>
      <c r="T3643" s="273"/>
      <c r="U3643" s="274"/>
      <c r="V3643" s="28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</row>
    <row r="3644">
      <c r="A3644" s="280"/>
      <c r="B3644" s="264"/>
      <c r="C3644" s="265"/>
      <c r="D3644" s="265"/>
      <c r="E3644" s="264"/>
      <c r="F3644" s="265"/>
      <c r="G3644" s="265"/>
      <c r="H3644" s="268"/>
      <c r="I3644" s="268"/>
      <c r="J3644" s="265"/>
      <c r="K3644" s="265"/>
      <c r="L3644" s="265"/>
      <c r="M3644" s="269"/>
      <c r="N3644" s="270"/>
      <c r="O3644" s="271"/>
      <c r="P3644" s="271"/>
      <c r="Q3644" s="272"/>
      <c r="R3644" s="273"/>
      <c r="S3644" s="273"/>
      <c r="T3644" s="273"/>
      <c r="U3644" s="274"/>
      <c r="V3644" s="28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</row>
    <row r="3645">
      <c r="A3645" s="280"/>
      <c r="B3645" s="264"/>
      <c r="C3645" s="265"/>
      <c r="D3645" s="265"/>
      <c r="E3645" s="264"/>
      <c r="F3645" s="265"/>
      <c r="G3645" s="265"/>
      <c r="H3645" s="268"/>
      <c r="I3645" s="268"/>
      <c r="J3645" s="265"/>
      <c r="K3645" s="265"/>
      <c r="L3645" s="265"/>
      <c r="M3645" s="269"/>
      <c r="N3645" s="270"/>
      <c r="O3645" s="271"/>
      <c r="P3645" s="271"/>
      <c r="Q3645" s="272"/>
      <c r="R3645" s="273"/>
      <c r="S3645" s="273"/>
      <c r="T3645" s="273"/>
      <c r="U3645" s="274"/>
      <c r="V3645" s="28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</row>
    <row r="3646">
      <c r="A3646" s="280"/>
      <c r="B3646" s="264"/>
      <c r="C3646" s="265"/>
      <c r="D3646" s="265"/>
      <c r="E3646" s="264"/>
      <c r="F3646" s="265"/>
      <c r="G3646" s="265"/>
      <c r="H3646" s="268"/>
      <c r="I3646" s="268"/>
      <c r="J3646" s="265"/>
      <c r="K3646" s="265"/>
      <c r="L3646" s="265"/>
      <c r="M3646" s="269"/>
      <c r="N3646" s="270"/>
      <c r="O3646" s="271"/>
      <c r="P3646" s="271"/>
      <c r="Q3646" s="272"/>
      <c r="R3646" s="273"/>
      <c r="S3646" s="273"/>
      <c r="T3646" s="273"/>
      <c r="U3646" s="274"/>
      <c r="V3646" s="28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</row>
    <row r="3647">
      <c r="A3647" s="280"/>
      <c r="B3647" s="264"/>
      <c r="C3647" s="265"/>
      <c r="D3647" s="265"/>
      <c r="E3647" s="264"/>
      <c r="F3647" s="265"/>
      <c r="G3647" s="265"/>
      <c r="H3647" s="268"/>
      <c r="I3647" s="268"/>
      <c r="J3647" s="265"/>
      <c r="K3647" s="265"/>
      <c r="L3647" s="265"/>
      <c r="M3647" s="269"/>
      <c r="N3647" s="270"/>
      <c r="O3647" s="271"/>
      <c r="P3647" s="271"/>
      <c r="Q3647" s="272"/>
      <c r="R3647" s="273"/>
      <c r="S3647" s="273"/>
      <c r="T3647" s="273"/>
      <c r="U3647" s="274"/>
      <c r="V3647" s="284"/>
      <c r="W3647" s="188"/>
      <c r="X3647" s="188"/>
      <c r="Y3647" s="188"/>
      <c r="Z3647" s="188"/>
      <c r="AA3647" s="188"/>
      <c r="AB3647" s="188"/>
      <c r="AC3647" s="188"/>
      <c r="AD3647" s="188"/>
      <c r="AE3647" s="188"/>
      <c r="AF3647" s="188"/>
      <c r="AG3647" s="188"/>
      <c r="AH3647" s="188"/>
      <c r="AI3647" s="188"/>
    </row>
    <row r="3648">
      <c r="A3648" s="280"/>
      <c r="B3648" s="264"/>
      <c r="C3648" s="265"/>
      <c r="D3648" s="265"/>
      <c r="E3648" s="264"/>
      <c r="F3648" s="265"/>
      <c r="G3648" s="265"/>
      <c r="H3648" s="268"/>
      <c r="I3648" s="268"/>
      <c r="J3648" s="265"/>
      <c r="K3648" s="265"/>
      <c r="L3648" s="265"/>
      <c r="M3648" s="269"/>
      <c r="N3648" s="270"/>
      <c r="O3648" s="271"/>
      <c r="P3648" s="271"/>
      <c r="Q3648" s="272"/>
      <c r="R3648" s="273"/>
      <c r="S3648" s="273"/>
      <c r="T3648" s="273"/>
      <c r="U3648" s="274"/>
      <c r="V3648" s="284"/>
      <c r="W3648" s="35"/>
      <c r="X3648" s="35"/>
      <c r="Y3648" s="35"/>
      <c r="Z3648" s="35"/>
      <c r="AA3648" s="35"/>
      <c r="AB3648" s="35"/>
      <c r="AC3648" s="35"/>
      <c r="AD3648" s="35"/>
      <c r="AE3648" s="35"/>
      <c r="AF3648" s="35"/>
      <c r="AG3648" s="35"/>
      <c r="AH3648" s="35"/>
      <c r="AI3648" s="35"/>
    </row>
    <row r="3649">
      <c r="A3649" s="280"/>
      <c r="B3649" s="264"/>
      <c r="C3649" s="265"/>
      <c r="D3649" s="265"/>
      <c r="E3649" s="264"/>
      <c r="F3649" s="265"/>
      <c r="G3649" s="265"/>
      <c r="H3649" s="268"/>
      <c r="I3649" s="268"/>
      <c r="J3649" s="265"/>
      <c r="K3649" s="265"/>
      <c r="L3649" s="265"/>
      <c r="M3649" s="269"/>
      <c r="N3649" s="270"/>
      <c r="O3649" s="271"/>
      <c r="P3649" s="271"/>
      <c r="Q3649" s="272"/>
      <c r="R3649" s="273"/>
      <c r="S3649" s="273"/>
      <c r="T3649" s="273"/>
      <c r="U3649" s="274"/>
      <c r="V3649" s="28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</row>
    <row r="3650">
      <c r="A3650" s="280"/>
      <c r="B3650" s="264"/>
      <c r="C3650" s="265"/>
      <c r="D3650" s="265"/>
      <c r="E3650" s="264"/>
      <c r="F3650" s="265"/>
      <c r="G3650" s="265"/>
      <c r="H3650" s="268"/>
      <c r="I3650" s="268"/>
      <c r="J3650" s="265"/>
      <c r="K3650" s="265"/>
      <c r="L3650" s="265"/>
      <c r="M3650" s="269"/>
      <c r="N3650" s="270"/>
      <c r="O3650" s="271"/>
      <c r="P3650" s="271"/>
      <c r="Q3650" s="272"/>
      <c r="R3650" s="273"/>
      <c r="S3650" s="273"/>
      <c r="T3650" s="260"/>
      <c r="U3650" s="261"/>
      <c r="V3650" s="279"/>
      <c r="W3650" s="188"/>
      <c r="X3650" s="188"/>
      <c r="Y3650" s="188"/>
      <c r="Z3650" s="188"/>
      <c r="AA3650" s="188"/>
      <c r="AB3650" s="188"/>
      <c r="AC3650" s="188"/>
      <c r="AD3650" s="188"/>
      <c r="AE3650" s="188"/>
      <c r="AF3650" s="188"/>
      <c r="AG3650" s="188"/>
      <c r="AH3650" s="188"/>
      <c r="AI3650" s="188"/>
    </row>
    <row r="3651">
      <c r="A3651" s="280"/>
      <c r="B3651" s="264"/>
      <c r="C3651" s="265"/>
      <c r="D3651" s="265"/>
      <c r="E3651" s="264"/>
      <c r="F3651" s="265"/>
      <c r="G3651" s="265"/>
      <c r="H3651" s="268"/>
      <c r="I3651" s="268"/>
      <c r="J3651" s="265"/>
      <c r="K3651" s="265"/>
      <c r="L3651" s="265"/>
      <c r="M3651" s="269"/>
      <c r="N3651" s="270"/>
      <c r="O3651" s="271"/>
      <c r="P3651" s="271"/>
      <c r="Q3651" s="272"/>
      <c r="R3651" s="273"/>
      <c r="S3651" s="273"/>
      <c r="T3651" s="273"/>
      <c r="U3651" s="274"/>
      <c r="V3651" s="284"/>
      <c r="W3651" s="35"/>
      <c r="X3651" s="35"/>
      <c r="Y3651" s="35"/>
      <c r="Z3651" s="35"/>
      <c r="AA3651" s="35"/>
      <c r="AB3651" s="35"/>
      <c r="AC3651" s="35"/>
      <c r="AD3651" s="35"/>
      <c r="AE3651" s="35"/>
      <c r="AF3651" s="35"/>
      <c r="AG3651" s="35"/>
      <c r="AH3651" s="35"/>
      <c r="AI3651" s="35"/>
    </row>
    <row r="3652">
      <c r="A3652" s="280"/>
      <c r="B3652" s="264"/>
      <c r="C3652" s="265"/>
      <c r="D3652" s="265"/>
      <c r="E3652" s="264"/>
      <c r="F3652" s="265"/>
      <c r="G3652" s="265"/>
      <c r="H3652" s="268"/>
      <c r="I3652" s="268"/>
      <c r="J3652" s="265"/>
      <c r="K3652" s="265"/>
      <c r="L3652" s="265"/>
      <c r="M3652" s="269"/>
      <c r="N3652" s="270"/>
      <c r="O3652" s="271"/>
      <c r="P3652" s="271"/>
      <c r="Q3652" s="272"/>
      <c r="R3652" s="273"/>
      <c r="S3652" s="273"/>
      <c r="T3652" s="273"/>
      <c r="U3652" s="274"/>
      <c r="V3652" s="284"/>
      <c r="W3652" s="35"/>
      <c r="X3652" s="35"/>
      <c r="Y3652" s="35"/>
      <c r="Z3652" s="35"/>
      <c r="AA3652" s="35"/>
      <c r="AB3652" s="35"/>
      <c r="AC3652" s="35"/>
      <c r="AD3652" s="35"/>
      <c r="AE3652" s="35"/>
      <c r="AF3652" s="35"/>
      <c r="AG3652" s="35"/>
      <c r="AH3652" s="35"/>
      <c r="AI3652" s="35"/>
    </row>
    <row r="3653">
      <c r="A3653" s="280"/>
      <c r="B3653" s="264"/>
      <c r="C3653" s="265"/>
      <c r="D3653" s="265"/>
      <c r="E3653" s="264"/>
      <c r="F3653" s="265"/>
      <c r="G3653" s="265"/>
      <c r="H3653" s="268"/>
      <c r="I3653" s="268"/>
      <c r="J3653" s="265"/>
      <c r="K3653" s="265"/>
      <c r="L3653" s="265"/>
      <c r="M3653" s="269"/>
      <c r="N3653" s="270"/>
      <c r="O3653" s="271"/>
      <c r="P3653" s="271"/>
      <c r="Q3653" s="272"/>
      <c r="R3653" s="273"/>
      <c r="S3653" s="273"/>
      <c r="T3653" s="273"/>
      <c r="U3653" s="274"/>
      <c r="V3653" s="284"/>
      <c r="W3653" s="188"/>
      <c r="X3653" s="188"/>
      <c r="Y3653" s="188"/>
      <c r="Z3653" s="188"/>
      <c r="AA3653" s="188"/>
      <c r="AB3653" s="188"/>
      <c r="AC3653" s="188"/>
      <c r="AD3653" s="188"/>
      <c r="AE3653" s="188"/>
      <c r="AF3653" s="188"/>
      <c r="AG3653" s="188"/>
      <c r="AH3653" s="188"/>
      <c r="AI3653" s="188"/>
    </row>
    <row r="3654">
      <c r="A3654" s="280"/>
      <c r="B3654" s="264"/>
      <c r="C3654" s="265"/>
      <c r="D3654" s="265"/>
      <c r="E3654" s="264"/>
      <c r="F3654" s="265"/>
      <c r="G3654" s="265"/>
      <c r="H3654" s="268"/>
      <c r="I3654" s="268"/>
      <c r="J3654" s="265"/>
      <c r="K3654" s="265"/>
      <c r="L3654" s="265"/>
      <c r="M3654" s="269"/>
      <c r="N3654" s="270"/>
      <c r="O3654" s="271"/>
      <c r="P3654" s="271"/>
      <c r="Q3654" s="272"/>
      <c r="R3654" s="273"/>
      <c r="S3654" s="273"/>
      <c r="T3654" s="273"/>
      <c r="U3654" s="274"/>
      <c r="V3654" s="28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</row>
    <row r="3655">
      <c r="A3655" s="280"/>
      <c r="B3655" s="264"/>
      <c r="C3655" s="265"/>
      <c r="D3655" s="265"/>
      <c r="E3655" s="264"/>
      <c r="F3655" s="265"/>
      <c r="G3655" s="265"/>
      <c r="H3655" s="268"/>
      <c r="I3655" s="268"/>
      <c r="J3655" s="265"/>
      <c r="K3655" s="265"/>
      <c r="L3655" s="265"/>
      <c r="M3655" s="269"/>
      <c r="N3655" s="270"/>
      <c r="O3655" s="271"/>
      <c r="P3655" s="271"/>
      <c r="Q3655" s="272"/>
      <c r="R3655" s="273"/>
      <c r="S3655" s="273"/>
      <c r="T3655" s="273"/>
      <c r="U3655" s="274"/>
      <c r="V3655" s="28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</row>
    <row r="3656">
      <c r="A3656" s="280"/>
      <c r="B3656" s="264"/>
      <c r="C3656" s="265"/>
      <c r="D3656" s="265"/>
      <c r="E3656" s="264"/>
      <c r="F3656" s="265"/>
      <c r="G3656" s="265"/>
      <c r="H3656" s="268"/>
      <c r="I3656" s="268"/>
      <c r="J3656" s="265"/>
      <c r="K3656" s="265"/>
      <c r="L3656" s="265"/>
      <c r="M3656" s="269"/>
      <c r="N3656" s="270"/>
      <c r="O3656" s="271"/>
      <c r="P3656" s="271"/>
      <c r="Q3656" s="272"/>
      <c r="R3656" s="273"/>
      <c r="S3656" s="273"/>
      <c r="T3656" s="273"/>
      <c r="U3656" s="274"/>
      <c r="V3656" s="28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</row>
    <row r="3657">
      <c r="A3657" s="280"/>
      <c r="B3657" s="264"/>
      <c r="C3657" s="265"/>
      <c r="D3657" s="265"/>
      <c r="E3657" s="264"/>
      <c r="F3657" s="265"/>
      <c r="G3657" s="265"/>
      <c r="H3657" s="268"/>
      <c r="I3657" s="268"/>
      <c r="J3657" s="265"/>
      <c r="K3657" s="265"/>
      <c r="L3657" s="265"/>
      <c r="M3657" s="269"/>
      <c r="N3657" s="270"/>
      <c r="O3657" s="271"/>
      <c r="P3657" s="271"/>
      <c r="Q3657" s="272"/>
      <c r="R3657" s="273"/>
      <c r="S3657" s="273"/>
      <c r="T3657" s="273"/>
      <c r="U3657" s="274"/>
      <c r="V3657" s="28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</row>
    <row r="3658">
      <c r="A3658" s="280"/>
      <c r="B3658" s="264"/>
      <c r="C3658" s="265"/>
      <c r="D3658" s="265"/>
      <c r="E3658" s="264"/>
      <c r="F3658" s="265"/>
      <c r="G3658" s="265"/>
      <c r="H3658" s="268"/>
      <c r="I3658" s="268"/>
      <c r="J3658" s="265"/>
      <c r="K3658" s="265"/>
      <c r="L3658" s="265"/>
      <c r="M3658" s="269"/>
      <c r="N3658" s="270"/>
      <c r="O3658" s="271"/>
      <c r="P3658" s="271"/>
      <c r="Q3658" s="272"/>
      <c r="R3658" s="273"/>
      <c r="S3658" s="273"/>
      <c r="T3658" s="273"/>
      <c r="U3658" s="274"/>
      <c r="V3658" s="28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</row>
    <row r="3659">
      <c r="A3659" s="280"/>
      <c r="B3659" s="264"/>
      <c r="C3659" s="265"/>
      <c r="D3659" s="265"/>
      <c r="E3659" s="264"/>
      <c r="F3659" s="265"/>
      <c r="G3659" s="265"/>
      <c r="H3659" s="268"/>
      <c r="I3659" s="268"/>
      <c r="J3659" s="265"/>
      <c r="K3659" s="265"/>
      <c r="L3659" s="265"/>
      <c r="M3659" s="269"/>
      <c r="N3659" s="270"/>
      <c r="O3659" s="271"/>
      <c r="P3659" s="271"/>
      <c r="Q3659" s="272"/>
      <c r="R3659" s="273"/>
      <c r="S3659" s="273"/>
      <c r="T3659" s="273"/>
      <c r="U3659" s="274"/>
      <c r="V3659" s="28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</row>
    <row r="3660">
      <c r="A3660" s="280"/>
      <c r="B3660" s="264"/>
      <c r="C3660" s="265"/>
      <c r="D3660" s="265"/>
      <c r="E3660" s="264"/>
      <c r="F3660" s="265"/>
      <c r="G3660" s="265"/>
      <c r="H3660" s="268"/>
      <c r="I3660" s="268"/>
      <c r="J3660" s="265"/>
      <c r="K3660" s="265"/>
      <c r="L3660" s="265"/>
      <c r="M3660" s="269"/>
      <c r="N3660" s="270"/>
      <c r="O3660" s="271"/>
      <c r="P3660" s="271"/>
      <c r="Q3660" s="272"/>
      <c r="R3660" s="273"/>
      <c r="S3660" s="273"/>
      <c r="T3660" s="273"/>
      <c r="U3660" s="274"/>
      <c r="V3660" s="28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</row>
    <row r="3661">
      <c r="A3661" s="280"/>
      <c r="B3661" s="264"/>
      <c r="C3661" s="265"/>
      <c r="D3661" s="265"/>
      <c r="E3661" s="264"/>
      <c r="F3661" s="265"/>
      <c r="G3661" s="265"/>
      <c r="H3661" s="268"/>
      <c r="I3661" s="268"/>
      <c r="J3661" s="265"/>
      <c r="K3661" s="265"/>
      <c r="L3661" s="265"/>
      <c r="M3661" s="269"/>
      <c r="N3661" s="270"/>
      <c r="O3661" s="271"/>
      <c r="P3661" s="271"/>
      <c r="Q3661" s="272"/>
      <c r="R3661" s="273"/>
      <c r="S3661" s="273"/>
      <c r="T3661" s="273"/>
      <c r="U3661" s="274"/>
      <c r="V3661" s="284"/>
      <c r="W3661" s="188"/>
      <c r="X3661" s="188"/>
      <c r="Y3661" s="188"/>
      <c r="Z3661" s="188"/>
      <c r="AA3661" s="188"/>
      <c r="AB3661" s="188"/>
      <c r="AC3661" s="188"/>
      <c r="AD3661" s="188"/>
      <c r="AE3661" s="188"/>
      <c r="AF3661" s="188"/>
      <c r="AG3661" s="188"/>
      <c r="AH3661" s="188"/>
      <c r="AI3661" s="188"/>
    </row>
    <row r="3662">
      <c r="A3662" s="280"/>
      <c r="B3662" s="264"/>
      <c r="C3662" s="265"/>
      <c r="D3662" s="265"/>
      <c r="E3662" s="264"/>
      <c r="F3662" s="265"/>
      <c r="G3662" s="265"/>
      <c r="H3662" s="268"/>
      <c r="I3662" s="268"/>
      <c r="J3662" s="265"/>
      <c r="K3662" s="265"/>
      <c r="L3662" s="265"/>
      <c r="M3662" s="269"/>
      <c r="N3662" s="270"/>
      <c r="O3662" s="271"/>
      <c r="P3662" s="271"/>
      <c r="Q3662" s="272"/>
      <c r="R3662" s="273"/>
      <c r="S3662" s="273"/>
      <c r="T3662" s="273"/>
      <c r="U3662" s="274"/>
      <c r="V3662" s="28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</row>
    <row r="3663">
      <c r="A3663" s="280"/>
      <c r="B3663" s="264"/>
      <c r="C3663" s="265"/>
      <c r="D3663" s="265"/>
      <c r="E3663" s="264"/>
      <c r="F3663" s="265"/>
      <c r="G3663" s="265"/>
      <c r="H3663" s="268"/>
      <c r="I3663" s="268"/>
      <c r="J3663" s="265"/>
      <c r="K3663" s="265"/>
      <c r="L3663" s="265"/>
      <c r="M3663" s="269"/>
      <c r="N3663" s="270"/>
      <c r="O3663" s="271"/>
      <c r="P3663" s="271"/>
      <c r="Q3663" s="272"/>
      <c r="R3663" s="273"/>
      <c r="S3663" s="273"/>
      <c r="T3663" s="273"/>
      <c r="U3663" s="274"/>
      <c r="V3663" s="28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</row>
    <row r="3664">
      <c r="A3664" s="280"/>
      <c r="B3664" s="264"/>
      <c r="C3664" s="265"/>
      <c r="D3664" s="265"/>
      <c r="E3664" s="264"/>
      <c r="F3664" s="265"/>
      <c r="G3664" s="265"/>
      <c r="H3664" s="268"/>
      <c r="I3664" s="268"/>
      <c r="J3664" s="265"/>
      <c r="K3664" s="265"/>
      <c r="L3664" s="265"/>
      <c r="M3664" s="269"/>
      <c r="N3664" s="270"/>
      <c r="O3664" s="271"/>
      <c r="P3664" s="271"/>
      <c r="Q3664" s="272"/>
      <c r="R3664" s="273"/>
      <c r="S3664" s="273"/>
      <c r="T3664" s="273"/>
      <c r="U3664" s="274"/>
      <c r="V3664" s="284"/>
      <c r="W3664" s="35"/>
      <c r="X3664" s="35"/>
      <c r="Y3664" s="35"/>
      <c r="Z3664" s="35"/>
      <c r="AA3664" s="35"/>
      <c r="AB3664" s="35"/>
      <c r="AC3664" s="35"/>
      <c r="AD3664" s="35"/>
      <c r="AE3664" s="35"/>
      <c r="AF3664" s="35"/>
      <c r="AG3664" s="35"/>
      <c r="AH3664" s="35"/>
      <c r="AI3664" s="35"/>
    </row>
    <row r="3665">
      <c r="A3665" s="280"/>
      <c r="B3665" s="264"/>
      <c r="C3665" s="265"/>
      <c r="D3665" s="265"/>
      <c r="E3665" s="264"/>
      <c r="F3665" s="265"/>
      <c r="G3665" s="265"/>
      <c r="H3665" s="268"/>
      <c r="I3665" s="268"/>
      <c r="J3665" s="265"/>
      <c r="K3665" s="265"/>
      <c r="L3665" s="265"/>
      <c r="M3665" s="269"/>
      <c r="N3665" s="270"/>
      <c r="O3665" s="271"/>
      <c r="P3665" s="271"/>
      <c r="Q3665" s="272"/>
      <c r="R3665" s="273"/>
      <c r="S3665" s="273"/>
      <c r="T3665" s="273"/>
      <c r="U3665" s="274"/>
      <c r="V3665" s="28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</row>
    <row r="3666">
      <c r="A3666" s="280"/>
      <c r="B3666" s="264"/>
      <c r="C3666" s="265"/>
      <c r="D3666" s="265"/>
      <c r="E3666" s="264"/>
      <c r="F3666" s="265"/>
      <c r="G3666" s="265"/>
      <c r="H3666" s="268"/>
      <c r="I3666" s="268"/>
      <c r="J3666" s="265"/>
      <c r="K3666" s="265"/>
      <c r="L3666" s="265"/>
      <c r="M3666" s="269"/>
      <c r="N3666" s="270"/>
      <c r="O3666" s="271"/>
      <c r="P3666" s="271"/>
      <c r="Q3666" s="272"/>
      <c r="R3666" s="273"/>
      <c r="S3666" s="273"/>
      <c r="T3666" s="273"/>
      <c r="U3666" s="274"/>
      <c r="V3666" s="28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</row>
    <row r="3667">
      <c r="A3667" s="280"/>
      <c r="B3667" s="264"/>
      <c r="C3667" s="265"/>
      <c r="D3667" s="265"/>
      <c r="E3667" s="264"/>
      <c r="F3667" s="265"/>
      <c r="G3667" s="265"/>
      <c r="H3667" s="268"/>
      <c r="I3667" s="268"/>
      <c r="J3667" s="265"/>
      <c r="K3667" s="265"/>
      <c r="L3667" s="265"/>
      <c r="M3667" s="269"/>
      <c r="N3667" s="270"/>
      <c r="O3667" s="271"/>
      <c r="P3667" s="271"/>
      <c r="Q3667" s="272"/>
      <c r="R3667" s="273"/>
      <c r="S3667" s="273"/>
      <c r="T3667" s="273"/>
      <c r="U3667" s="274"/>
      <c r="V3667" s="284"/>
      <c r="W3667" s="188"/>
      <c r="X3667" s="188"/>
      <c r="Y3667" s="188"/>
      <c r="Z3667" s="188"/>
      <c r="AA3667" s="188"/>
      <c r="AB3667" s="188"/>
      <c r="AC3667" s="188"/>
      <c r="AD3667" s="188"/>
      <c r="AE3667" s="188"/>
      <c r="AF3667" s="188"/>
      <c r="AG3667" s="188"/>
      <c r="AH3667" s="188"/>
      <c r="AI3667" s="188"/>
    </row>
    <row r="3668">
      <c r="A3668" s="280"/>
      <c r="B3668" s="264"/>
      <c r="C3668" s="265"/>
      <c r="D3668" s="265"/>
      <c r="E3668" s="264"/>
      <c r="F3668" s="265"/>
      <c r="G3668" s="265"/>
      <c r="H3668" s="268"/>
      <c r="I3668" s="268"/>
      <c r="J3668" s="265"/>
      <c r="K3668" s="265"/>
      <c r="L3668" s="265"/>
      <c r="M3668" s="269"/>
      <c r="N3668" s="270"/>
      <c r="O3668" s="271"/>
      <c r="P3668" s="271"/>
      <c r="Q3668" s="272"/>
      <c r="R3668" s="273"/>
      <c r="S3668" s="273"/>
      <c r="T3668" s="273"/>
      <c r="U3668" s="274"/>
      <c r="V3668" s="28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</row>
    <row r="3669">
      <c r="A3669" s="280"/>
      <c r="B3669" s="264"/>
      <c r="C3669" s="265"/>
      <c r="D3669" s="265"/>
      <c r="E3669" s="264"/>
      <c r="F3669" s="265"/>
      <c r="G3669" s="265"/>
      <c r="H3669" s="268"/>
      <c r="I3669" s="268"/>
      <c r="J3669" s="265"/>
      <c r="K3669" s="265"/>
      <c r="L3669" s="265"/>
      <c r="M3669" s="269"/>
      <c r="N3669" s="270"/>
      <c r="O3669" s="271"/>
      <c r="P3669" s="271"/>
      <c r="Q3669" s="272"/>
      <c r="R3669" s="273"/>
      <c r="S3669" s="273"/>
      <c r="T3669" s="273"/>
      <c r="U3669" s="274"/>
      <c r="V3669" s="284"/>
      <c r="W3669" s="188"/>
      <c r="X3669" s="188"/>
      <c r="Y3669" s="188"/>
      <c r="Z3669" s="188"/>
      <c r="AA3669" s="188"/>
      <c r="AB3669" s="188"/>
      <c r="AC3669" s="188"/>
      <c r="AD3669" s="188"/>
      <c r="AE3669" s="188"/>
      <c r="AF3669" s="188"/>
      <c r="AG3669" s="188"/>
      <c r="AH3669" s="188"/>
      <c r="AI3669" s="188"/>
    </row>
    <row r="3670">
      <c r="A3670" s="280"/>
      <c r="B3670" s="264"/>
      <c r="C3670" s="265"/>
      <c r="D3670" s="265"/>
      <c r="E3670" s="264"/>
      <c r="F3670" s="265"/>
      <c r="G3670" s="265"/>
      <c r="H3670" s="268"/>
      <c r="I3670" s="268"/>
      <c r="J3670" s="265"/>
      <c r="K3670" s="265"/>
      <c r="L3670" s="265"/>
      <c r="M3670" s="269"/>
      <c r="N3670" s="270"/>
      <c r="O3670" s="271"/>
      <c r="P3670" s="271"/>
      <c r="Q3670" s="272"/>
      <c r="R3670" s="273"/>
      <c r="S3670" s="273"/>
      <c r="T3670" s="273"/>
      <c r="U3670" s="274"/>
      <c r="V3670" s="284"/>
      <c r="W3670" s="35"/>
      <c r="X3670" s="35"/>
      <c r="Y3670" s="35"/>
      <c r="Z3670" s="35"/>
      <c r="AA3670" s="35"/>
      <c r="AB3670" s="35"/>
      <c r="AC3670" s="35"/>
      <c r="AD3670" s="35"/>
      <c r="AE3670" s="35"/>
      <c r="AF3670" s="35"/>
      <c r="AG3670" s="35"/>
      <c r="AH3670" s="35"/>
      <c r="AI3670" s="35"/>
    </row>
    <row r="3671">
      <c r="A3671" s="280"/>
      <c r="B3671" s="264"/>
      <c r="C3671" s="265"/>
      <c r="D3671" s="265"/>
      <c r="E3671" s="264"/>
      <c r="F3671" s="265"/>
      <c r="G3671" s="265"/>
      <c r="H3671" s="268"/>
      <c r="I3671" s="268"/>
      <c r="J3671" s="265"/>
      <c r="K3671" s="265"/>
      <c r="L3671" s="265"/>
      <c r="M3671" s="269"/>
      <c r="N3671" s="270"/>
      <c r="O3671" s="271"/>
      <c r="P3671" s="271"/>
      <c r="Q3671" s="272"/>
      <c r="R3671" s="273"/>
      <c r="S3671" s="273"/>
      <c r="T3671" s="273"/>
      <c r="U3671" s="274"/>
      <c r="V3671" s="28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</row>
    <row r="3672">
      <c r="A3672" s="280"/>
      <c r="B3672" s="264"/>
      <c r="C3672" s="265"/>
      <c r="D3672" s="265"/>
      <c r="E3672" s="264"/>
      <c r="F3672" s="265"/>
      <c r="G3672" s="265"/>
      <c r="H3672" s="268"/>
      <c r="I3672" s="268"/>
      <c r="J3672" s="265"/>
      <c r="K3672" s="265"/>
      <c r="L3672" s="265"/>
      <c r="M3672" s="269"/>
      <c r="N3672" s="270"/>
      <c r="O3672" s="271"/>
      <c r="P3672" s="271"/>
      <c r="Q3672" s="272"/>
      <c r="R3672" s="273"/>
      <c r="S3672" s="273"/>
      <c r="T3672" s="273"/>
      <c r="U3672" s="274"/>
      <c r="V3672" s="284"/>
      <c r="W3672" s="35"/>
      <c r="X3672" s="35"/>
      <c r="Y3672" s="35"/>
      <c r="Z3672" s="35"/>
      <c r="AA3672" s="35"/>
      <c r="AB3672" s="35"/>
      <c r="AC3672" s="35"/>
      <c r="AD3672" s="35"/>
      <c r="AE3672" s="35"/>
      <c r="AF3672" s="35"/>
      <c r="AG3672" s="35"/>
      <c r="AH3672" s="35"/>
      <c r="AI3672" s="35"/>
    </row>
    <row r="3673">
      <c r="A3673" s="280"/>
      <c r="B3673" s="264"/>
      <c r="C3673" s="265"/>
      <c r="D3673" s="265"/>
      <c r="E3673" s="264"/>
      <c r="F3673" s="265"/>
      <c r="G3673" s="265"/>
      <c r="H3673" s="268"/>
      <c r="I3673" s="268"/>
      <c r="J3673" s="265"/>
      <c r="K3673" s="265"/>
      <c r="L3673" s="265"/>
      <c r="M3673" s="269"/>
      <c r="N3673" s="270"/>
      <c r="O3673" s="271"/>
      <c r="P3673" s="271"/>
      <c r="Q3673" s="272"/>
      <c r="R3673" s="273"/>
      <c r="S3673" s="273"/>
      <c r="T3673" s="273"/>
      <c r="U3673" s="274"/>
      <c r="V3673" s="28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</row>
    <row r="3674">
      <c r="A3674" s="280"/>
      <c r="B3674" s="264"/>
      <c r="C3674" s="265"/>
      <c r="D3674" s="265"/>
      <c r="E3674" s="264"/>
      <c r="F3674" s="265"/>
      <c r="G3674" s="265"/>
      <c r="H3674" s="268"/>
      <c r="I3674" s="268"/>
      <c r="J3674" s="265"/>
      <c r="K3674" s="265"/>
      <c r="L3674" s="265"/>
      <c r="M3674" s="269"/>
      <c r="N3674" s="270"/>
      <c r="O3674" s="271"/>
      <c r="P3674" s="271"/>
      <c r="Q3674" s="272"/>
      <c r="R3674" s="273"/>
      <c r="S3674" s="273"/>
      <c r="T3674" s="273"/>
      <c r="U3674" s="274"/>
      <c r="V3674" s="284"/>
      <c r="W3674" s="35"/>
      <c r="X3674" s="35"/>
      <c r="Y3674" s="35"/>
      <c r="Z3674" s="35"/>
      <c r="AA3674" s="35"/>
      <c r="AB3674" s="35"/>
      <c r="AC3674" s="35"/>
      <c r="AD3674" s="35"/>
      <c r="AE3674" s="35"/>
      <c r="AF3674" s="35"/>
      <c r="AG3674" s="35"/>
      <c r="AH3674" s="35"/>
      <c r="AI3674" s="35"/>
    </row>
    <row r="3675">
      <c r="A3675" s="280"/>
      <c r="B3675" s="264"/>
      <c r="C3675" s="265"/>
      <c r="D3675" s="265"/>
      <c r="E3675" s="264"/>
      <c r="F3675" s="265"/>
      <c r="G3675" s="265"/>
      <c r="H3675" s="268"/>
      <c r="I3675" s="268"/>
      <c r="J3675" s="265"/>
      <c r="K3675" s="265"/>
      <c r="L3675" s="265"/>
      <c r="M3675" s="269"/>
      <c r="N3675" s="270"/>
      <c r="O3675" s="271"/>
      <c r="P3675" s="271"/>
      <c r="Q3675" s="272"/>
      <c r="R3675" s="273"/>
      <c r="S3675" s="273"/>
      <c r="T3675" s="273"/>
      <c r="U3675" s="274"/>
      <c r="V3675" s="284"/>
      <c r="W3675" s="35"/>
      <c r="X3675" s="35"/>
      <c r="Y3675" s="35"/>
      <c r="Z3675" s="35"/>
      <c r="AA3675" s="35"/>
      <c r="AB3675" s="35"/>
      <c r="AC3675" s="35"/>
      <c r="AD3675" s="35"/>
      <c r="AE3675" s="35"/>
      <c r="AF3675" s="35"/>
      <c r="AG3675" s="35"/>
      <c r="AH3675" s="35"/>
      <c r="AI3675" s="35"/>
    </row>
    <row r="3676">
      <c r="A3676" s="280"/>
      <c r="B3676" s="264"/>
      <c r="C3676" s="265"/>
      <c r="D3676" s="265"/>
      <c r="E3676" s="264"/>
      <c r="F3676" s="265"/>
      <c r="G3676" s="265"/>
      <c r="H3676" s="268"/>
      <c r="I3676" s="268"/>
      <c r="J3676" s="265"/>
      <c r="K3676" s="265"/>
      <c r="L3676" s="265"/>
      <c r="M3676" s="269"/>
      <c r="N3676" s="270"/>
      <c r="O3676" s="271"/>
      <c r="P3676" s="271"/>
      <c r="Q3676" s="272"/>
      <c r="R3676" s="273"/>
      <c r="S3676" s="273"/>
      <c r="T3676" s="273"/>
      <c r="U3676" s="274"/>
      <c r="V3676" s="284"/>
      <c r="W3676" s="35"/>
      <c r="X3676" s="35"/>
      <c r="Y3676" s="35"/>
      <c r="Z3676" s="35"/>
      <c r="AA3676" s="35"/>
      <c r="AB3676" s="35"/>
      <c r="AC3676" s="35"/>
      <c r="AD3676" s="35"/>
      <c r="AE3676" s="35"/>
      <c r="AF3676" s="35"/>
      <c r="AG3676" s="35"/>
      <c r="AH3676" s="35"/>
      <c r="AI3676" s="35"/>
    </row>
    <row r="3677">
      <c r="A3677" s="280"/>
      <c r="B3677" s="264"/>
      <c r="C3677" s="265"/>
      <c r="D3677" s="265"/>
      <c r="E3677" s="264"/>
      <c r="F3677" s="265"/>
      <c r="G3677" s="265"/>
      <c r="H3677" s="268"/>
      <c r="I3677" s="268"/>
      <c r="J3677" s="265"/>
      <c r="K3677" s="265"/>
      <c r="L3677" s="265"/>
      <c r="M3677" s="269"/>
      <c r="N3677" s="270"/>
      <c r="O3677" s="271"/>
      <c r="P3677" s="271"/>
      <c r="Q3677" s="272"/>
      <c r="R3677" s="273"/>
      <c r="S3677" s="273"/>
      <c r="T3677" s="273"/>
      <c r="U3677" s="274"/>
      <c r="V3677" s="284"/>
      <c r="W3677" s="35"/>
      <c r="X3677" s="35"/>
      <c r="Y3677" s="35"/>
      <c r="Z3677" s="35"/>
      <c r="AA3677" s="35"/>
      <c r="AB3677" s="35"/>
      <c r="AC3677" s="35"/>
      <c r="AD3677" s="35"/>
      <c r="AE3677" s="35"/>
      <c r="AF3677" s="35"/>
      <c r="AG3677" s="35"/>
      <c r="AH3677" s="35"/>
      <c r="AI3677" s="35"/>
    </row>
    <row r="3678">
      <c r="A3678" s="280"/>
      <c r="B3678" s="264"/>
      <c r="C3678" s="265"/>
      <c r="D3678" s="265"/>
      <c r="E3678" s="264"/>
      <c r="F3678" s="265"/>
      <c r="G3678" s="265"/>
      <c r="H3678" s="268"/>
      <c r="I3678" s="268"/>
      <c r="J3678" s="265"/>
      <c r="K3678" s="265"/>
      <c r="L3678" s="265"/>
      <c r="M3678" s="269"/>
      <c r="N3678" s="270"/>
      <c r="O3678" s="271"/>
      <c r="P3678" s="271"/>
      <c r="Q3678" s="272"/>
      <c r="R3678" s="273"/>
      <c r="S3678" s="273"/>
      <c r="T3678" s="273"/>
      <c r="U3678" s="274"/>
      <c r="V3678" s="284"/>
      <c r="W3678" s="35"/>
      <c r="X3678" s="35"/>
      <c r="Y3678" s="35"/>
      <c r="Z3678" s="35"/>
      <c r="AA3678" s="35"/>
      <c r="AB3678" s="35"/>
      <c r="AC3678" s="35"/>
      <c r="AD3678" s="35"/>
      <c r="AE3678" s="35"/>
      <c r="AF3678" s="35"/>
      <c r="AG3678" s="35"/>
      <c r="AH3678" s="35"/>
      <c r="AI3678" s="35"/>
    </row>
    <row r="3679">
      <c r="A3679" s="280"/>
      <c r="B3679" s="264"/>
      <c r="C3679" s="265"/>
      <c r="D3679" s="265"/>
      <c r="E3679" s="264"/>
      <c r="F3679" s="265"/>
      <c r="G3679" s="265"/>
      <c r="H3679" s="268"/>
      <c r="I3679" s="268"/>
      <c r="J3679" s="265"/>
      <c r="K3679" s="265"/>
      <c r="L3679" s="265"/>
      <c r="M3679" s="269"/>
      <c r="N3679" s="270"/>
      <c r="O3679" s="271"/>
      <c r="P3679" s="271"/>
      <c r="Q3679" s="272"/>
      <c r="R3679" s="273"/>
      <c r="S3679" s="273"/>
      <c r="T3679" s="273"/>
      <c r="U3679" s="274"/>
      <c r="V3679" s="284"/>
      <c r="W3679" s="35"/>
      <c r="X3679" s="35"/>
      <c r="Y3679" s="35"/>
      <c r="Z3679" s="35"/>
      <c r="AA3679" s="35"/>
      <c r="AB3679" s="35"/>
      <c r="AC3679" s="35"/>
      <c r="AD3679" s="35"/>
      <c r="AE3679" s="35"/>
      <c r="AF3679" s="35"/>
      <c r="AG3679" s="35"/>
      <c r="AH3679" s="35"/>
      <c r="AI3679" s="35"/>
    </row>
    <row r="3680">
      <c r="A3680" s="280"/>
      <c r="B3680" s="264"/>
      <c r="C3680" s="265"/>
      <c r="D3680" s="265"/>
      <c r="E3680" s="264"/>
      <c r="F3680" s="265"/>
      <c r="G3680" s="265"/>
      <c r="H3680" s="268"/>
      <c r="I3680" s="268"/>
      <c r="J3680" s="265"/>
      <c r="K3680" s="265"/>
      <c r="L3680" s="265"/>
      <c r="M3680" s="269"/>
      <c r="N3680" s="270"/>
      <c r="O3680" s="271"/>
      <c r="P3680" s="271"/>
      <c r="Q3680" s="272"/>
      <c r="R3680" s="273"/>
      <c r="S3680" s="273"/>
      <c r="T3680" s="273"/>
      <c r="U3680" s="274"/>
      <c r="V3680" s="284"/>
      <c r="W3680" s="35"/>
      <c r="X3680" s="35"/>
      <c r="Y3680" s="35"/>
      <c r="Z3680" s="35"/>
      <c r="AA3680" s="35"/>
      <c r="AB3680" s="35"/>
      <c r="AC3680" s="35"/>
      <c r="AD3680" s="35"/>
      <c r="AE3680" s="35"/>
      <c r="AF3680" s="35"/>
      <c r="AG3680" s="35"/>
      <c r="AH3680" s="35"/>
      <c r="AI3680" s="35"/>
    </row>
    <row r="3681">
      <c r="A3681" s="280"/>
      <c r="B3681" s="264"/>
      <c r="C3681" s="265"/>
      <c r="D3681" s="265"/>
      <c r="E3681" s="264"/>
      <c r="F3681" s="265"/>
      <c r="G3681" s="265"/>
      <c r="H3681" s="268"/>
      <c r="I3681" s="268"/>
      <c r="J3681" s="265"/>
      <c r="K3681" s="265"/>
      <c r="L3681" s="265"/>
      <c r="M3681" s="269"/>
      <c r="N3681" s="270"/>
      <c r="O3681" s="271"/>
      <c r="P3681" s="271"/>
      <c r="Q3681" s="272"/>
      <c r="R3681" s="273"/>
      <c r="S3681" s="273"/>
      <c r="T3681" s="273"/>
      <c r="U3681" s="274"/>
      <c r="V3681" s="284"/>
      <c r="W3681" s="35"/>
      <c r="X3681" s="35"/>
      <c r="Y3681" s="35"/>
      <c r="Z3681" s="35"/>
      <c r="AA3681" s="35"/>
      <c r="AB3681" s="35"/>
      <c r="AC3681" s="35"/>
      <c r="AD3681" s="35"/>
      <c r="AE3681" s="35"/>
      <c r="AF3681" s="35"/>
      <c r="AG3681" s="35"/>
      <c r="AH3681" s="35"/>
      <c r="AI3681" s="35"/>
    </row>
    <row r="3682">
      <c r="A3682" s="280"/>
      <c r="B3682" s="264"/>
      <c r="C3682" s="265"/>
      <c r="D3682" s="265"/>
      <c r="E3682" s="264"/>
      <c r="F3682" s="265"/>
      <c r="G3682" s="265"/>
      <c r="H3682" s="268"/>
      <c r="I3682" s="268"/>
      <c r="J3682" s="265"/>
      <c r="K3682" s="265"/>
      <c r="L3682" s="265"/>
      <c r="M3682" s="269"/>
      <c r="N3682" s="270"/>
      <c r="O3682" s="271"/>
      <c r="P3682" s="271"/>
      <c r="Q3682" s="272"/>
      <c r="R3682" s="273"/>
      <c r="S3682" s="273"/>
      <c r="T3682" s="273"/>
      <c r="U3682" s="274"/>
      <c r="V3682" s="284"/>
      <c r="W3682" s="35"/>
      <c r="X3682" s="35"/>
      <c r="Y3682" s="35"/>
      <c r="Z3682" s="35"/>
      <c r="AA3682" s="35"/>
      <c r="AB3682" s="35"/>
      <c r="AC3682" s="35"/>
      <c r="AD3682" s="35"/>
      <c r="AE3682" s="35"/>
      <c r="AF3682" s="35"/>
      <c r="AG3682" s="35"/>
      <c r="AH3682" s="35"/>
      <c r="AI3682" s="35"/>
    </row>
    <row r="3683">
      <c r="A3683" s="280"/>
      <c r="B3683" s="264"/>
      <c r="C3683" s="265"/>
      <c r="D3683" s="265"/>
      <c r="E3683" s="264"/>
      <c r="F3683" s="265"/>
      <c r="G3683" s="265"/>
      <c r="H3683" s="268"/>
      <c r="I3683" s="268"/>
      <c r="J3683" s="265"/>
      <c r="K3683" s="265"/>
      <c r="L3683" s="265"/>
      <c r="M3683" s="269"/>
      <c r="N3683" s="270"/>
      <c r="O3683" s="271"/>
      <c r="P3683" s="271"/>
      <c r="Q3683" s="272"/>
      <c r="R3683" s="273"/>
      <c r="S3683" s="273"/>
      <c r="T3683" s="273"/>
      <c r="U3683" s="274"/>
      <c r="V3683" s="284"/>
      <c r="W3683" s="35"/>
      <c r="X3683" s="35"/>
      <c r="Y3683" s="35"/>
      <c r="Z3683" s="35"/>
      <c r="AA3683" s="35"/>
      <c r="AB3683" s="35"/>
      <c r="AC3683" s="35"/>
      <c r="AD3683" s="35"/>
      <c r="AE3683" s="35"/>
      <c r="AF3683" s="35"/>
      <c r="AG3683" s="35"/>
      <c r="AH3683" s="35"/>
      <c r="AI3683" s="35"/>
    </row>
    <row r="3684">
      <c r="A3684" s="280"/>
      <c r="B3684" s="264"/>
      <c r="C3684" s="265"/>
      <c r="D3684" s="265"/>
      <c r="E3684" s="264"/>
      <c r="F3684" s="265"/>
      <c r="G3684" s="265"/>
      <c r="H3684" s="268"/>
      <c r="I3684" s="268"/>
      <c r="J3684" s="265"/>
      <c r="K3684" s="265"/>
      <c r="L3684" s="265"/>
      <c r="M3684" s="269"/>
      <c r="N3684" s="270"/>
      <c r="O3684" s="271"/>
      <c r="P3684" s="271"/>
      <c r="Q3684" s="272"/>
      <c r="R3684" s="273"/>
      <c r="S3684" s="273"/>
      <c r="T3684" s="273"/>
      <c r="U3684" s="274"/>
      <c r="V3684" s="284"/>
      <c r="W3684" s="35"/>
      <c r="X3684" s="35"/>
      <c r="Y3684" s="35"/>
      <c r="Z3684" s="35"/>
      <c r="AA3684" s="35"/>
      <c r="AB3684" s="35"/>
      <c r="AC3684" s="35"/>
      <c r="AD3684" s="35"/>
      <c r="AE3684" s="35"/>
      <c r="AF3684" s="35"/>
      <c r="AG3684" s="35"/>
      <c r="AH3684" s="35"/>
      <c r="AI3684" s="35"/>
    </row>
    <row r="3685">
      <c r="A3685" s="280"/>
      <c r="B3685" s="264"/>
      <c r="C3685" s="265"/>
      <c r="D3685" s="265"/>
      <c r="E3685" s="264"/>
      <c r="F3685" s="265"/>
      <c r="G3685" s="265"/>
      <c r="H3685" s="268"/>
      <c r="I3685" s="268"/>
      <c r="J3685" s="265"/>
      <c r="K3685" s="265"/>
      <c r="L3685" s="265"/>
      <c r="M3685" s="269"/>
      <c r="N3685" s="270"/>
      <c r="O3685" s="271"/>
      <c r="P3685" s="271"/>
      <c r="Q3685" s="272"/>
      <c r="R3685" s="273"/>
      <c r="S3685" s="273"/>
      <c r="T3685" s="273"/>
      <c r="U3685" s="274"/>
      <c r="V3685" s="284"/>
      <c r="W3685" s="35"/>
      <c r="X3685" s="35"/>
      <c r="Y3685" s="35"/>
      <c r="Z3685" s="35"/>
      <c r="AA3685" s="35"/>
      <c r="AB3685" s="35"/>
      <c r="AC3685" s="35"/>
      <c r="AD3685" s="35"/>
      <c r="AE3685" s="35"/>
      <c r="AF3685" s="35"/>
      <c r="AG3685" s="35"/>
      <c r="AH3685" s="35"/>
      <c r="AI3685" s="35"/>
    </row>
    <row r="3686">
      <c r="A3686" s="280"/>
      <c r="B3686" s="264"/>
      <c r="C3686" s="265"/>
      <c r="D3686" s="265"/>
      <c r="E3686" s="264"/>
      <c r="F3686" s="265"/>
      <c r="G3686" s="265"/>
      <c r="H3686" s="268"/>
      <c r="I3686" s="268"/>
      <c r="J3686" s="265"/>
      <c r="K3686" s="265"/>
      <c r="L3686" s="265"/>
      <c r="M3686" s="269"/>
      <c r="N3686" s="270"/>
      <c r="O3686" s="271"/>
      <c r="P3686" s="271"/>
      <c r="Q3686" s="272"/>
      <c r="R3686" s="273"/>
      <c r="S3686" s="273"/>
      <c r="T3686" s="273"/>
      <c r="U3686" s="274"/>
      <c r="V3686" s="284"/>
      <c r="W3686" s="35"/>
      <c r="X3686" s="35"/>
      <c r="Y3686" s="35"/>
      <c r="Z3686" s="35"/>
      <c r="AA3686" s="35"/>
      <c r="AB3686" s="35"/>
      <c r="AC3686" s="35"/>
      <c r="AD3686" s="35"/>
      <c r="AE3686" s="35"/>
      <c r="AF3686" s="35"/>
      <c r="AG3686" s="35"/>
      <c r="AH3686" s="35"/>
      <c r="AI3686" s="35"/>
    </row>
    <row r="3687">
      <c r="A3687" s="280"/>
      <c r="B3687" s="264"/>
      <c r="C3687" s="265"/>
      <c r="D3687" s="265"/>
      <c r="E3687" s="264"/>
      <c r="F3687" s="265"/>
      <c r="G3687" s="265"/>
      <c r="H3687" s="268"/>
      <c r="I3687" s="268"/>
      <c r="J3687" s="265"/>
      <c r="K3687" s="265"/>
      <c r="L3687" s="265"/>
      <c r="M3687" s="269"/>
      <c r="N3687" s="270"/>
      <c r="O3687" s="271"/>
      <c r="P3687" s="271"/>
      <c r="Q3687" s="272"/>
      <c r="R3687" s="273"/>
      <c r="S3687" s="273"/>
      <c r="T3687" s="273"/>
      <c r="U3687" s="274"/>
      <c r="V3687" s="284"/>
      <c r="W3687" s="35"/>
      <c r="X3687" s="35"/>
      <c r="Y3687" s="35"/>
      <c r="Z3687" s="35"/>
      <c r="AA3687" s="35"/>
      <c r="AB3687" s="35"/>
      <c r="AC3687" s="35"/>
      <c r="AD3687" s="35"/>
      <c r="AE3687" s="35"/>
      <c r="AF3687" s="35"/>
      <c r="AG3687" s="35"/>
      <c r="AH3687" s="35"/>
      <c r="AI3687" s="35"/>
    </row>
    <row r="3688">
      <c r="A3688" s="280"/>
      <c r="B3688" s="264"/>
      <c r="C3688" s="265"/>
      <c r="D3688" s="265"/>
      <c r="E3688" s="264"/>
      <c r="F3688" s="265"/>
      <c r="G3688" s="265"/>
      <c r="H3688" s="268"/>
      <c r="I3688" s="268"/>
      <c r="J3688" s="265"/>
      <c r="K3688" s="265"/>
      <c r="L3688" s="265"/>
      <c r="M3688" s="269"/>
      <c r="N3688" s="270"/>
      <c r="O3688" s="271"/>
      <c r="P3688" s="271"/>
      <c r="Q3688" s="272"/>
      <c r="R3688" s="273"/>
      <c r="S3688" s="273"/>
      <c r="T3688" s="273"/>
      <c r="U3688" s="274"/>
      <c r="V3688" s="284"/>
      <c r="W3688" s="35"/>
      <c r="X3688" s="35"/>
      <c r="Y3688" s="35"/>
      <c r="Z3688" s="35"/>
      <c r="AA3688" s="35"/>
      <c r="AB3688" s="35"/>
      <c r="AC3688" s="35"/>
      <c r="AD3688" s="35"/>
      <c r="AE3688" s="35"/>
      <c r="AF3688" s="35"/>
      <c r="AG3688" s="35"/>
      <c r="AH3688" s="35"/>
      <c r="AI3688" s="35"/>
    </row>
    <row r="3689">
      <c r="A3689" s="280"/>
      <c r="B3689" s="264"/>
      <c r="C3689" s="265"/>
      <c r="D3689" s="265"/>
      <c r="E3689" s="264"/>
      <c r="F3689" s="265"/>
      <c r="G3689" s="265"/>
      <c r="H3689" s="268"/>
      <c r="I3689" s="268"/>
      <c r="J3689" s="265"/>
      <c r="K3689" s="265"/>
      <c r="L3689" s="265"/>
      <c r="M3689" s="269"/>
      <c r="N3689" s="270"/>
      <c r="O3689" s="271"/>
      <c r="P3689" s="271"/>
      <c r="Q3689" s="272"/>
      <c r="R3689" s="273"/>
      <c r="S3689" s="273"/>
      <c r="T3689" s="273"/>
      <c r="U3689" s="274"/>
      <c r="V3689" s="284"/>
      <c r="W3689" s="35"/>
      <c r="X3689" s="35"/>
      <c r="Y3689" s="35"/>
      <c r="Z3689" s="35"/>
      <c r="AA3689" s="35"/>
      <c r="AB3689" s="35"/>
      <c r="AC3689" s="35"/>
      <c r="AD3689" s="35"/>
      <c r="AE3689" s="35"/>
      <c r="AF3689" s="35"/>
      <c r="AG3689" s="35"/>
      <c r="AH3689" s="35"/>
      <c r="AI3689" s="35"/>
    </row>
    <row r="3690">
      <c r="A3690" s="280"/>
      <c r="B3690" s="264"/>
      <c r="C3690" s="265"/>
      <c r="D3690" s="265"/>
      <c r="E3690" s="264"/>
      <c r="F3690" s="265"/>
      <c r="G3690" s="265"/>
      <c r="H3690" s="268"/>
      <c r="I3690" s="268"/>
      <c r="J3690" s="265"/>
      <c r="K3690" s="265"/>
      <c r="L3690" s="265"/>
      <c r="M3690" s="269"/>
      <c r="N3690" s="270"/>
      <c r="O3690" s="271"/>
      <c r="P3690" s="271"/>
      <c r="Q3690" s="272"/>
      <c r="R3690" s="273"/>
      <c r="S3690" s="273"/>
      <c r="T3690" s="273"/>
      <c r="U3690" s="274"/>
      <c r="V3690" s="284"/>
      <c r="W3690" s="35"/>
      <c r="X3690" s="35"/>
      <c r="Y3690" s="35"/>
      <c r="Z3690" s="35"/>
      <c r="AA3690" s="35"/>
      <c r="AB3690" s="35"/>
      <c r="AC3690" s="35"/>
      <c r="AD3690" s="35"/>
      <c r="AE3690" s="35"/>
      <c r="AF3690" s="35"/>
      <c r="AG3690" s="35"/>
      <c r="AH3690" s="35"/>
      <c r="AI3690" s="35"/>
    </row>
    <row r="3691">
      <c r="A3691" s="280"/>
      <c r="B3691" s="264"/>
      <c r="C3691" s="265"/>
      <c r="D3691" s="265"/>
      <c r="E3691" s="264"/>
      <c r="F3691" s="265"/>
      <c r="G3691" s="265"/>
      <c r="H3691" s="268"/>
      <c r="I3691" s="268"/>
      <c r="J3691" s="265"/>
      <c r="K3691" s="265"/>
      <c r="L3691" s="265"/>
      <c r="M3691" s="269"/>
      <c r="N3691" s="270"/>
      <c r="O3691" s="271"/>
      <c r="P3691" s="271"/>
      <c r="Q3691" s="272"/>
      <c r="R3691" s="273"/>
      <c r="S3691" s="273"/>
      <c r="T3691" s="273"/>
      <c r="U3691" s="274"/>
      <c r="V3691" s="284"/>
      <c r="W3691" s="35"/>
      <c r="X3691" s="35"/>
      <c r="Y3691" s="35"/>
      <c r="Z3691" s="35"/>
      <c r="AA3691" s="35"/>
      <c r="AB3691" s="35"/>
      <c r="AC3691" s="35"/>
      <c r="AD3691" s="35"/>
      <c r="AE3691" s="35"/>
      <c r="AF3691" s="35"/>
      <c r="AG3691" s="35"/>
      <c r="AH3691" s="35"/>
      <c r="AI3691" s="35"/>
    </row>
    <row r="3692">
      <c r="A3692" s="280"/>
      <c r="B3692" s="264"/>
      <c r="C3692" s="265"/>
      <c r="D3692" s="265"/>
      <c r="E3692" s="264"/>
      <c r="F3692" s="265"/>
      <c r="G3692" s="265"/>
      <c r="H3692" s="268"/>
      <c r="I3692" s="268"/>
      <c r="J3692" s="265"/>
      <c r="K3692" s="265"/>
      <c r="L3692" s="265"/>
      <c r="M3692" s="269"/>
      <c r="N3692" s="270"/>
      <c r="O3692" s="271"/>
      <c r="P3692" s="271"/>
      <c r="Q3692" s="272"/>
      <c r="R3692" s="273"/>
      <c r="S3692" s="273"/>
      <c r="T3692" s="273"/>
      <c r="U3692" s="274"/>
      <c r="V3692" s="284"/>
      <c r="W3692" s="35"/>
      <c r="X3692" s="35"/>
      <c r="Y3692" s="35"/>
      <c r="Z3692" s="35"/>
      <c r="AA3692" s="35"/>
      <c r="AB3692" s="35"/>
      <c r="AC3692" s="35"/>
      <c r="AD3692" s="35"/>
      <c r="AE3692" s="35"/>
      <c r="AF3692" s="35"/>
      <c r="AG3692" s="35"/>
      <c r="AH3692" s="35"/>
      <c r="AI3692" s="35"/>
    </row>
    <row r="3693">
      <c r="A3693" s="280"/>
      <c r="B3693" s="264"/>
      <c r="C3693" s="265"/>
      <c r="D3693" s="265"/>
      <c r="E3693" s="264"/>
      <c r="F3693" s="265"/>
      <c r="G3693" s="265"/>
      <c r="H3693" s="268"/>
      <c r="I3693" s="268"/>
      <c r="J3693" s="265"/>
      <c r="K3693" s="265"/>
      <c r="L3693" s="265"/>
      <c r="M3693" s="269"/>
      <c r="N3693" s="270"/>
      <c r="O3693" s="271"/>
      <c r="P3693" s="271"/>
      <c r="Q3693" s="272"/>
      <c r="R3693" s="273"/>
      <c r="S3693" s="273"/>
      <c r="T3693" s="273"/>
      <c r="U3693" s="274"/>
      <c r="V3693" s="284"/>
      <c r="W3693" s="35"/>
      <c r="X3693" s="35"/>
      <c r="Y3693" s="35"/>
      <c r="Z3693" s="35"/>
      <c r="AA3693" s="35"/>
      <c r="AB3693" s="35"/>
      <c r="AC3693" s="35"/>
      <c r="AD3693" s="35"/>
      <c r="AE3693" s="35"/>
      <c r="AF3693" s="35"/>
      <c r="AG3693" s="35"/>
      <c r="AH3693" s="35"/>
      <c r="AI3693" s="35"/>
    </row>
    <row r="3694">
      <c r="A3694" s="276"/>
      <c r="B3694" s="252"/>
      <c r="C3694" s="253"/>
      <c r="D3694" s="253"/>
      <c r="E3694" s="252"/>
      <c r="F3694" s="253"/>
      <c r="G3694" s="253"/>
      <c r="H3694" s="256"/>
      <c r="I3694" s="256"/>
      <c r="J3694" s="265"/>
      <c r="K3694" s="253"/>
      <c r="L3694" s="253"/>
      <c r="M3694" s="275"/>
      <c r="N3694" s="258"/>
      <c r="O3694" s="259"/>
      <c r="P3694" s="259"/>
      <c r="Q3694" s="262"/>
      <c r="R3694" s="260"/>
      <c r="S3694" s="260"/>
      <c r="T3694" s="260"/>
      <c r="U3694" s="261"/>
      <c r="V3694" s="279"/>
      <c r="W3694" s="35"/>
      <c r="X3694" s="35"/>
      <c r="Y3694" s="35"/>
      <c r="Z3694" s="35"/>
      <c r="AA3694" s="35"/>
      <c r="AB3694" s="35"/>
      <c r="AC3694" s="35"/>
      <c r="AD3694" s="35"/>
      <c r="AE3694" s="35"/>
      <c r="AF3694" s="35"/>
      <c r="AG3694" s="35"/>
      <c r="AH3694" s="35"/>
      <c r="AI3694" s="35"/>
    </row>
    <row r="3695">
      <c r="A3695" s="276"/>
      <c r="B3695" s="252"/>
      <c r="C3695" s="253"/>
      <c r="D3695" s="253"/>
      <c r="E3695" s="252"/>
      <c r="F3695" s="253"/>
      <c r="G3695" s="253"/>
      <c r="H3695" s="256"/>
      <c r="I3695" s="256"/>
      <c r="J3695" s="265"/>
      <c r="K3695" s="253"/>
      <c r="L3695" s="253"/>
      <c r="M3695" s="275"/>
      <c r="N3695" s="258"/>
      <c r="O3695" s="259"/>
      <c r="P3695" s="259"/>
      <c r="Q3695" s="262"/>
      <c r="R3695" s="260"/>
      <c r="S3695" s="260"/>
      <c r="T3695" s="260"/>
      <c r="U3695" s="261"/>
      <c r="V3695" s="279"/>
      <c r="W3695" s="35"/>
      <c r="X3695" s="35"/>
      <c r="Y3695" s="35"/>
      <c r="Z3695" s="35"/>
      <c r="AA3695" s="35"/>
      <c r="AB3695" s="35"/>
      <c r="AC3695" s="35"/>
      <c r="AD3695" s="35"/>
      <c r="AE3695" s="35"/>
      <c r="AF3695" s="35"/>
      <c r="AG3695" s="35"/>
      <c r="AH3695" s="35"/>
      <c r="AI3695" s="35"/>
    </row>
    <row r="3696">
      <c r="A3696" s="276"/>
      <c r="B3696" s="252"/>
      <c r="C3696" s="253"/>
      <c r="D3696" s="253"/>
      <c r="E3696" s="252"/>
      <c r="F3696" s="253"/>
      <c r="G3696" s="253"/>
      <c r="H3696" s="256"/>
      <c r="I3696" s="256"/>
      <c r="J3696" s="265"/>
      <c r="K3696" s="253"/>
      <c r="L3696" s="253"/>
      <c r="M3696" s="275"/>
      <c r="N3696" s="258"/>
      <c r="O3696" s="259"/>
      <c r="P3696" s="259"/>
      <c r="Q3696" s="262"/>
      <c r="R3696" s="260"/>
      <c r="S3696" s="260"/>
      <c r="T3696" s="260"/>
      <c r="U3696" s="261"/>
      <c r="V3696" s="279"/>
      <c r="W3696" s="35"/>
      <c r="X3696" s="35"/>
      <c r="Y3696" s="35"/>
      <c r="Z3696" s="35"/>
      <c r="AA3696" s="35"/>
      <c r="AB3696" s="35"/>
      <c r="AC3696" s="35"/>
      <c r="AD3696" s="35"/>
      <c r="AE3696" s="35"/>
      <c r="AF3696" s="35"/>
      <c r="AG3696" s="35"/>
      <c r="AH3696" s="35"/>
      <c r="AI3696" s="35"/>
    </row>
    <row r="3697">
      <c r="A3697" s="276"/>
      <c r="B3697" s="252"/>
      <c r="C3697" s="253"/>
      <c r="D3697" s="253"/>
      <c r="E3697" s="252"/>
      <c r="F3697" s="253"/>
      <c r="G3697" s="253"/>
      <c r="H3697" s="256"/>
      <c r="I3697" s="256"/>
      <c r="J3697" s="265"/>
      <c r="K3697" s="253"/>
      <c r="L3697" s="253"/>
      <c r="M3697" s="252"/>
      <c r="N3697" s="258"/>
      <c r="O3697" s="259"/>
      <c r="P3697" s="259"/>
      <c r="Q3697" s="257"/>
      <c r="R3697" s="260"/>
      <c r="S3697" s="260"/>
      <c r="T3697" s="260"/>
      <c r="U3697" s="261"/>
      <c r="V3697" s="279"/>
      <c r="W3697" s="35"/>
      <c r="X3697" s="35"/>
      <c r="Y3697" s="35"/>
      <c r="Z3697" s="35"/>
      <c r="AA3697" s="35"/>
      <c r="AB3697" s="35"/>
      <c r="AC3697" s="35"/>
      <c r="AD3697" s="35"/>
      <c r="AE3697" s="35"/>
      <c r="AF3697" s="35"/>
      <c r="AG3697" s="35"/>
      <c r="AH3697" s="35"/>
      <c r="AI3697" s="35"/>
    </row>
    <row r="3698">
      <c r="A3698" s="276"/>
      <c r="B3698" s="252"/>
      <c r="C3698" s="253"/>
      <c r="D3698" s="253"/>
      <c r="E3698" s="252"/>
      <c r="F3698" s="253"/>
      <c r="G3698" s="253"/>
      <c r="H3698" s="256"/>
      <c r="I3698" s="256"/>
      <c r="J3698" s="265"/>
      <c r="K3698" s="253"/>
      <c r="L3698" s="253"/>
      <c r="M3698" s="252"/>
      <c r="N3698" s="258"/>
      <c r="O3698" s="259"/>
      <c r="P3698" s="259"/>
      <c r="Q3698" s="257"/>
      <c r="R3698" s="260"/>
      <c r="S3698" s="260"/>
      <c r="T3698" s="260"/>
      <c r="U3698" s="261"/>
      <c r="V3698" s="279"/>
      <c r="W3698" s="35"/>
      <c r="X3698" s="35"/>
      <c r="Y3698" s="35"/>
      <c r="Z3698" s="35"/>
      <c r="AA3698" s="35"/>
      <c r="AB3698" s="35"/>
      <c r="AC3698" s="35"/>
      <c r="AD3698" s="35"/>
      <c r="AE3698" s="35"/>
      <c r="AF3698" s="35"/>
      <c r="AG3698" s="35"/>
      <c r="AH3698" s="35"/>
      <c r="AI3698" s="35"/>
    </row>
    <row r="3699">
      <c r="A3699" s="276"/>
      <c r="B3699" s="252"/>
      <c r="C3699" s="253"/>
      <c r="D3699" s="253"/>
      <c r="E3699" s="252"/>
      <c r="F3699" s="253"/>
      <c r="G3699" s="253"/>
      <c r="H3699" s="256"/>
      <c r="I3699" s="256"/>
      <c r="J3699" s="253"/>
      <c r="K3699" s="253"/>
      <c r="L3699" s="253"/>
      <c r="M3699" s="252"/>
      <c r="N3699" s="258"/>
      <c r="O3699" s="259"/>
      <c r="P3699" s="259"/>
      <c r="Q3699" s="257"/>
      <c r="R3699" s="260"/>
      <c r="S3699" s="260"/>
      <c r="T3699" s="260"/>
      <c r="U3699" s="261"/>
      <c r="V3699" s="279"/>
      <c r="W3699" s="35"/>
      <c r="X3699" s="35"/>
      <c r="Y3699" s="35"/>
      <c r="Z3699" s="35"/>
      <c r="AA3699" s="35"/>
      <c r="AB3699" s="35"/>
      <c r="AC3699" s="35"/>
      <c r="AD3699" s="35"/>
      <c r="AE3699" s="35"/>
      <c r="AF3699" s="35"/>
      <c r="AG3699" s="35"/>
      <c r="AH3699" s="35"/>
      <c r="AI3699" s="35"/>
    </row>
    <row r="3700">
      <c r="A3700" s="276"/>
      <c r="B3700" s="252"/>
      <c r="C3700" s="253"/>
      <c r="D3700" s="253"/>
      <c r="E3700" s="252"/>
      <c r="F3700" s="253"/>
      <c r="G3700" s="253"/>
      <c r="H3700" s="256"/>
      <c r="I3700" s="256"/>
      <c r="J3700" s="253"/>
      <c r="K3700" s="253"/>
      <c r="L3700" s="253"/>
      <c r="M3700" s="252"/>
      <c r="N3700" s="258"/>
      <c r="O3700" s="259"/>
      <c r="P3700" s="259"/>
      <c r="Q3700" s="257"/>
      <c r="R3700" s="260"/>
      <c r="S3700" s="260"/>
      <c r="T3700" s="260"/>
      <c r="U3700" s="261"/>
      <c r="V3700" s="279"/>
      <c r="W3700" s="35"/>
      <c r="X3700" s="35"/>
      <c r="Y3700" s="35"/>
      <c r="Z3700" s="35"/>
      <c r="AA3700" s="35"/>
      <c r="AB3700" s="35"/>
      <c r="AC3700" s="35"/>
      <c r="AD3700" s="35"/>
      <c r="AE3700" s="35"/>
      <c r="AF3700" s="35"/>
      <c r="AG3700" s="35"/>
      <c r="AH3700" s="35"/>
      <c r="AI3700" s="35"/>
    </row>
    <row r="3701">
      <c r="A3701" s="276"/>
      <c r="B3701" s="252"/>
      <c r="C3701" s="253"/>
      <c r="D3701" s="253"/>
      <c r="E3701" s="252"/>
      <c r="F3701" s="253"/>
      <c r="G3701" s="253"/>
      <c r="H3701" s="256"/>
      <c r="I3701" s="256"/>
      <c r="J3701" s="253"/>
      <c r="K3701" s="253"/>
      <c r="L3701" s="253"/>
      <c r="M3701" s="252"/>
      <c r="N3701" s="258"/>
      <c r="O3701" s="259"/>
      <c r="P3701" s="259"/>
      <c r="Q3701" s="257"/>
      <c r="R3701" s="260"/>
      <c r="S3701" s="260"/>
      <c r="T3701" s="260"/>
      <c r="U3701" s="261"/>
      <c r="V3701" s="279"/>
      <c r="W3701" s="35"/>
      <c r="X3701" s="35"/>
      <c r="Y3701" s="35"/>
      <c r="Z3701" s="35"/>
      <c r="AA3701" s="35"/>
      <c r="AB3701" s="35"/>
      <c r="AC3701" s="35"/>
      <c r="AD3701" s="35"/>
      <c r="AE3701" s="35"/>
      <c r="AF3701" s="35"/>
      <c r="AG3701" s="35"/>
      <c r="AH3701" s="35"/>
      <c r="AI3701" s="35"/>
    </row>
    <row r="3702">
      <c r="A3702" s="276"/>
      <c r="B3702" s="252"/>
      <c r="C3702" s="253"/>
      <c r="D3702" s="253"/>
      <c r="E3702" s="252"/>
      <c r="F3702" s="253"/>
      <c r="G3702" s="253"/>
      <c r="H3702" s="256"/>
      <c r="I3702" s="256"/>
      <c r="J3702" s="253"/>
      <c r="K3702" s="253"/>
      <c r="L3702" s="253"/>
      <c r="M3702" s="252"/>
      <c r="N3702" s="258"/>
      <c r="O3702" s="259"/>
      <c r="P3702" s="259"/>
      <c r="Q3702" s="257"/>
      <c r="R3702" s="260"/>
      <c r="S3702" s="260"/>
      <c r="T3702" s="260"/>
      <c r="U3702" s="261"/>
      <c r="V3702" s="279"/>
      <c r="W3702" s="35"/>
      <c r="X3702" s="35"/>
      <c r="Y3702" s="35"/>
      <c r="Z3702" s="35"/>
      <c r="AA3702" s="35"/>
      <c r="AB3702" s="35"/>
      <c r="AC3702" s="35"/>
      <c r="AD3702" s="35"/>
      <c r="AE3702" s="35"/>
      <c r="AF3702" s="35"/>
      <c r="AG3702" s="35"/>
      <c r="AH3702" s="35"/>
      <c r="AI3702" s="35"/>
    </row>
    <row r="3703">
      <c r="A3703" s="276"/>
      <c r="B3703" s="252"/>
      <c r="C3703" s="253"/>
      <c r="D3703" s="253"/>
      <c r="E3703" s="252"/>
      <c r="F3703" s="253"/>
      <c r="G3703" s="253"/>
      <c r="H3703" s="256"/>
      <c r="I3703" s="256"/>
      <c r="J3703" s="253"/>
      <c r="K3703" s="253"/>
      <c r="L3703" s="253"/>
      <c r="M3703" s="252"/>
      <c r="N3703" s="258"/>
      <c r="O3703" s="259"/>
      <c r="P3703" s="259"/>
      <c r="Q3703" s="257"/>
      <c r="R3703" s="260"/>
      <c r="S3703" s="260"/>
      <c r="T3703" s="260"/>
      <c r="U3703" s="261"/>
      <c r="V3703" s="279"/>
      <c r="W3703" s="35"/>
      <c r="X3703" s="35"/>
      <c r="Y3703" s="35"/>
      <c r="Z3703" s="35"/>
      <c r="AA3703" s="35"/>
      <c r="AB3703" s="35"/>
      <c r="AC3703" s="35"/>
      <c r="AD3703" s="35"/>
      <c r="AE3703" s="35"/>
      <c r="AF3703" s="35"/>
      <c r="AG3703" s="35"/>
      <c r="AH3703" s="35"/>
      <c r="AI3703" s="35"/>
    </row>
    <row r="3704">
      <c r="A3704" s="276"/>
      <c r="B3704" s="252"/>
      <c r="C3704" s="253"/>
      <c r="D3704" s="253"/>
      <c r="E3704" s="252"/>
      <c r="F3704" s="253"/>
      <c r="G3704" s="253"/>
      <c r="H3704" s="256"/>
      <c r="I3704" s="256"/>
      <c r="J3704" s="253"/>
      <c r="K3704" s="253"/>
      <c r="L3704" s="253"/>
      <c r="M3704" s="252"/>
      <c r="N3704" s="258"/>
      <c r="O3704" s="259"/>
      <c r="P3704" s="259"/>
      <c r="Q3704" s="257"/>
      <c r="R3704" s="260"/>
      <c r="S3704" s="260"/>
      <c r="T3704" s="260"/>
      <c r="U3704" s="261"/>
      <c r="V3704" s="279"/>
      <c r="W3704" s="35"/>
      <c r="X3704" s="35"/>
      <c r="Y3704" s="35"/>
      <c r="Z3704" s="35"/>
      <c r="AA3704" s="35"/>
      <c r="AB3704" s="35"/>
      <c r="AC3704" s="35"/>
      <c r="AD3704" s="35"/>
      <c r="AE3704" s="35"/>
      <c r="AF3704" s="35"/>
      <c r="AG3704" s="35"/>
      <c r="AH3704" s="35"/>
      <c r="AI3704" s="35"/>
    </row>
    <row r="3705">
      <c r="A3705" s="276"/>
      <c r="B3705" s="252"/>
      <c r="C3705" s="253"/>
      <c r="D3705" s="253"/>
      <c r="E3705" s="252"/>
      <c r="F3705" s="253"/>
      <c r="G3705" s="253"/>
      <c r="H3705" s="256"/>
      <c r="I3705" s="256"/>
      <c r="J3705" s="253"/>
      <c r="K3705" s="253"/>
      <c r="L3705" s="253"/>
      <c r="M3705" s="252"/>
      <c r="N3705" s="258"/>
      <c r="O3705" s="259"/>
      <c r="P3705" s="259"/>
      <c r="Q3705" s="257"/>
      <c r="R3705" s="260"/>
      <c r="S3705" s="260"/>
      <c r="T3705" s="260"/>
      <c r="U3705" s="261"/>
      <c r="V3705" s="279"/>
      <c r="W3705" s="35"/>
      <c r="X3705" s="35"/>
      <c r="Y3705" s="35"/>
      <c r="Z3705" s="35"/>
      <c r="AA3705" s="35"/>
      <c r="AB3705" s="35"/>
      <c r="AC3705" s="35"/>
      <c r="AD3705" s="35"/>
      <c r="AE3705" s="35"/>
      <c r="AF3705" s="35"/>
      <c r="AG3705" s="35"/>
      <c r="AH3705" s="35"/>
      <c r="AI3705" s="35"/>
    </row>
    <row r="3706">
      <c r="A3706" s="276"/>
      <c r="B3706" s="252"/>
      <c r="C3706" s="253"/>
      <c r="D3706" s="253"/>
      <c r="E3706" s="252"/>
      <c r="F3706" s="253"/>
      <c r="G3706" s="253"/>
      <c r="H3706" s="256"/>
      <c r="I3706" s="256"/>
      <c r="J3706" s="253"/>
      <c r="K3706" s="253"/>
      <c r="L3706" s="253"/>
      <c r="M3706" s="252"/>
      <c r="N3706" s="258"/>
      <c r="O3706" s="259"/>
      <c r="P3706" s="259"/>
      <c r="Q3706" s="257"/>
      <c r="R3706" s="260"/>
      <c r="S3706" s="260"/>
      <c r="T3706" s="260"/>
      <c r="U3706" s="261"/>
      <c r="V3706" s="279"/>
      <c r="W3706" s="35"/>
      <c r="X3706" s="35"/>
      <c r="Y3706" s="35"/>
      <c r="Z3706" s="35"/>
      <c r="AA3706" s="35"/>
      <c r="AB3706" s="35"/>
      <c r="AC3706" s="35"/>
      <c r="AD3706" s="35"/>
      <c r="AE3706" s="35"/>
      <c r="AF3706" s="35"/>
      <c r="AG3706" s="35"/>
      <c r="AH3706" s="35"/>
      <c r="AI3706" s="35"/>
    </row>
    <row r="3707">
      <c r="A3707" s="276"/>
      <c r="B3707" s="252"/>
      <c r="C3707" s="253"/>
      <c r="D3707" s="253"/>
      <c r="E3707" s="252"/>
      <c r="F3707" s="253"/>
      <c r="G3707" s="253"/>
      <c r="H3707" s="256"/>
      <c r="I3707" s="256"/>
      <c r="J3707" s="253"/>
      <c r="K3707" s="253"/>
      <c r="L3707" s="253"/>
      <c r="M3707" s="252"/>
      <c r="N3707" s="258"/>
      <c r="O3707" s="259"/>
      <c r="P3707" s="259"/>
      <c r="Q3707" s="257"/>
      <c r="R3707" s="260"/>
      <c r="S3707" s="260"/>
      <c r="T3707" s="260"/>
      <c r="U3707" s="261"/>
      <c r="V3707" s="279"/>
      <c r="W3707" s="35"/>
      <c r="X3707" s="35"/>
      <c r="Y3707" s="35"/>
      <c r="Z3707" s="35"/>
      <c r="AA3707" s="35"/>
      <c r="AB3707" s="35"/>
      <c r="AC3707" s="35"/>
      <c r="AD3707" s="35"/>
      <c r="AE3707" s="35"/>
      <c r="AF3707" s="35"/>
      <c r="AG3707" s="35"/>
      <c r="AH3707" s="35"/>
      <c r="AI3707" s="35"/>
    </row>
    <row r="3708">
      <c r="A3708" s="276"/>
      <c r="B3708" s="252"/>
      <c r="C3708" s="253"/>
      <c r="D3708" s="253"/>
      <c r="E3708" s="252"/>
      <c r="F3708" s="253"/>
      <c r="G3708" s="253"/>
      <c r="H3708" s="256"/>
      <c r="I3708" s="256"/>
      <c r="J3708" s="253"/>
      <c r="K3708" s="253"/>
      <c r="L3708" s="253"/>
      <c r="M3708" s="252"/>
      <c r="N3708" s="258"/>
      <c r="O3708" s="259"/>
      <c r="P3708" s="259"/>
      <c r="Q3708" s="257"/>
      <c r="R3708" s="260"/>
      <c r="S3708" s="260"/>
      <c r="T3708" s="260"/>
      <c r="U3708" s="261"/>
      <c r="V3708" s="279"/>
      <c r="W3708" s="35"/>
      <c r="X3708" s="35"/>
      <c r="Y3708" s="35"/>
      <c r="Z3708" s="35"/>
      <c r="AA3708" s="35"/>
      <c r="AB3708" s="35"/>
      <c r="AC3708" s="35"/>
      <c r="AD3708" s="35"/>
      <c r="AE3708" s="35"/>
      <c r="AF3708" s="35"/>
      <c r="AG3708" s="35"/>
      <c r="AH3708" s="35"/>
      <c r="AI3708" s="35"/>
    </row>
    <row r="3709">
      <c r="A3709" s="276"/>
      <c r="B3709" s="252"/>
      <c r="C3709" s="253"/>
      <c r="D3709" s="253"/>
      <c r="E3709" s="252"/>
      <c r="F3709" s="253"/>
      <c r="G3709" s="253"/>
      <c r="H3709" s="256"/>
      <c r="I3709" s="256"/>
      <c r="J3709" s="253"/>
      <c r="K3709" s="253"/>
      <c r="L3709" s="253"/>
      <c r="M3709" s="252"/>
      <c r="N3709" s="258"/>
      <c r="O3709" s="259"/>
      <c r="P3709" s="259"/>
      <c r="Q3709" s="257"/>
      <c r="R3709" s="260"/>
      <c r="S3709" s="260"/>
      <c r="T3709" s="260"/>
      <c r="U3709" s="261"/>
      <c r="V3709" s="279"/>
      <c r="W3709" s="35"/>
      <c r="X3709" s="35"/>
      <c r="Y3709" s="35"/>
      <c r="Z3709" s="35"/>
      <c r="AA3709" s="35"/>
      <c r="AB3709" s="35"/>
      <c r="AC3709" s="35"/>
      <c r="AD3709" s="35"/>
      <c r="AE3709" s="35"/>
      <c r="AF3709" s="35"/>
      <c r="AG3709" s="35"/>
      <c r="AH3709" s="35"/>
      <c r="AI3709" s="35"/>
    </row>
    <row r="3710">
      <c r="A3710" s="276"/>
      <c r="B3710" s="252"/>
      <c r="C3710" s="253"/>
      <c r="D3710" s="253"/>
      <c r="E3710" s="252"/>
      <c r="F3710" s="253"/>
      <c r="G3710" s="253"/>
      <c r="H3710" s="256"/>
      <c r="I3710" s="256"/>
      <c r="J3710" s="253"/>
      <c r="K3710" s="253"/>
      <c r="L3710" s="253"/>
      <c r="M3710" s="252"/>
      <c r="N3710" s="258"/>
      <c r="O3710" s="259"/>
      <c r="P3710" s="259"/>
      <c r="Q3710" s="257"/>
      <c r="R3710" s="260"/>
      <c r="S3710" s="260"/>
      <c r="T3710" s="260"/>
      <c r="U3710" s="261"/>
      <c r="V3710" s="279"/>
      <c r="W3710" s="35"/>
      <c r="X3710" s="35"/>
      <c r="Y3710" s="35"/>
      <c r="Z3710" s="35"/>
      <c r="AA3710" s="35"/>
      <c r="AB3710" s="35"/>
      <c r="AC3710" s="35"/>
      <c r="AD3710" s="35"/>
      <c r="AE3710" s="35"/>
      <c r="AF3710" s="35"/>
      <c r="AG3710" s="35"/>
      <c r="AH3710" s="35"/>
      <c r="AI3710" s="35"/>
    </row>
    <row r="3711">
      <c r="A3711" s="276"/>
      <c r="B3711" s="252"/>
      <c r="C3711" s="253"/>
      <c r="D3711" s="253"/>
      <c r="E3711" s="252"/>
      <c r="F3711" s="253"/>
      <c r="G3711" s="253"/>
      <c r="H3711" s="256"/>
      <c r="I3711" s="256"/>
      <c r="J3711" s="253"/>
      <c r="K3711" s="253"/>
      <c r="L3711" s="253"/>
      <c r="M3711" s="252"/>
      <c r="N3711" s="258"/>
      <c r="O3711" s="259"/>
      <c r="P3711" s="259"/>
      <c r="Q3711" s="257"/>
      <c r="R3711" s="260"/>
      <c r="S3711" s="260"/>
      <c r="T3711" s="260"/>
      <c r="U3711" s="261"/>
      <c r="V3711" s="279"/>
      <c r="W3711" s="35"/>
      <c r="X3711" s="35"/>
      <c r="Y3711" s="35"/>
      <c r="Z3711" s="35"/>
      <c r="AA3711" s="35"/>
      <c r="AB3711" s="35"/>
      <c r="AC3711" s="35"/>
      <c r="AD3711" s="35"/>
      <c r="AE3711" s="35"/>
      <c r="AF3711" s="35"/>
      <c r="AG3711" s="35"/>
      <c r="AH3711" s="35"/>
      <c r="AI3711" s="35"/>
    </row>
    <row r="3712">
      <c r="A3712" s="276"/>
      <c r="B3712" s="252"/>
      <c r="C3712" s="253"/>
      <c r="D3712" s="253"/>
      <c r="E3712" s="252"/>
      <c r="F3712" s="253"/>
      <c r="G3712" s="253"/>
      <c r="H3712" s="256"/>
      <c r="I3712" s="256"/>
      <c r="J3712" s="253"/>
      <c r="K3712" s="253"/>
      <c r="L3712" s="253"/>
      <c r="M3712" s="252"/>
      <c r="N3712" s="258"/>
      <c r="O3712" s="259"/>
      <c r="P3712" s="259"/>
      <c r="Q3712" s="257"/>
      <c r="R3712" s="260"/>
      <c r="S3712" s="260"/>
      <c r="T3712" s="260"/>
      <c r="U3712" s="261"/>
      <c r="V3712" s="279"/>
      <c r="W3712" s="35"/>
      <c r="X3712" s="35"/>
      <c r="Y3712" s="35"/>
      <c r="Z3712" s="35"/>
      <c r="AA3712" s="35"/>
      <c r="AB3712" s="35"/>
      <c r="AC3712" s="35"/>
      <c r="AD3712" s="35"/>
      <c r="AE3712" s="35"/>
      <c r="AF3712" s="35"/>
      <c r="AG3712" s="35"/>
      <c r="AH3712" s="35"/>
      <c r="AI3712" s="35"/>
    </row>
    <row r="3713">
      <c r="A3713" s="276"/>
      <c r="B3713" s="252"/>
      <c r="C3713" s="253"/>
      <c r="D3713" s="253"/>
      <c r="E3713" s="252"/>
      <c r="F3713" s="253"/>
      <c r="G3713" s="253"/>
      <c r="H3713" s="256"/>
      <c r="I3713" s="256"/>
      <c r="J3713" s="253"/>
      <c r="K3713" s="253"/>
      <c r="L3713" s="253"/>
      <c r="M3713" s="252"/>
      <c r="N3713" s="258"/>
      <c r="O3713" s="259"/>
      <c r="P3713" s="259"/>
      <c r="Q3713" s="257"/>
      <c r="R3713" s="260"/>
      <c r="S3713" s="260"/>
      <c r="T3713" s="260"/>
      <c r="U3713" s="261"/>
      <c r="V3713" s="279"/>
      <c r="W3713" s="35"/>
      <c r="X3713" s="35"/>
      <c r="Y3713" s="35"/>
      <c r="Z3713" s="35"/>
      <c r="AA3713" s="35"/>
      <c r="AB3713" s="35"/>
      <c r="AC3713" s="35"/>
      <c r="AD3713" s="35"/>
      <c r="AE3713" s="35"/>
      <c r="AF3713" s="35"/>
      <c r="AG3713" s="35"/>
      <c r="AH3713" s="35"/>
      <c r="AI3713" s="35"/>
    </row>
    <row r="3714">
      <c r="A3714" s="276"/>
      <c r="B3714" s="252"/>
      <c r="C3714" s="253"/>
      <c r="D3714" s="253"/>
      <c r="E3714" s="252"/>
      <c r="F3714" s="253"/>
      <c r="G3714" s="253"/>
      <c r="H3714" s="256"/>
      <c r="I3714" s="256"/>
      <c r="J3714" s="253"/>
      <c r="K3714" s="253"/>
      <c r="L3714" s="253"/>
      <c r="M3714" s="252"/>
      <c r="N3714" s="258"/>
      <c r="O3714" s="259"/>
      <c r="P3714" s="259"/>
      <c r="Q3714" s="257"/>
      <c r="R3714" s="260"/>
      <c r="S3714" s="260"/>
      <c r="T3714" s="260"/>
      <c r="U3714" s="261"/>
      <c r="V3714" s="279"/>
      <c r="W3714" s="35"/>
      <c r="X3714" s="35"/>
      <c r="Y3714" s="35"/>
      <c r="Z3714" s="35"/>
      <c r="AA3714" s="35"/>
      <c r="AB3714" s="35"/>
      <c r="AC3714" s="35"/>
      <c r="AD3714" s="35"/>
      <c r="AE3714" s="35"/>
      <c r="AF3714" s="35"/>
      <c r="AG3714" s="35"/>
      <c r="AH3714" s="35"/>
      <c r="AI3714" s="35"/>
    </row>
    <row r="3715">
      <c r="A3715" s="276"/>
      <c r="B3715" s="252"/>
      <c r="C3715" s="253"/>
      <c r="D3715" s="253"/>
      <c r="E3715" s="252"/>
      <c r="F3715" s="253"/>
      <c r="G3715" s="253"/>
      <c r="H3715" s="256"/>
      <c r="I3715" s="256"/>
      <c r="J3715" s="253"/>
      <c r="K3715" s="253"/>
      <c r="L3715" s="253"/>
      <c r="M3715" s="252"/>
      <c r="N3715" s="258"/>
      <c r="O3715" s="259"/>
      <c r="P3715" s="259"/>
      <c r="Q3715" s="257"/>
      <c r="R3715" s="260"/>
      <c r="S3715" s="260"/>
      <c r="T3715" s="260"/>
      <c r="U3715" s="261"/>
      <c r="V3715" s="279"/>
      <c r="W3715" s="35"/>
      <c r="X3715" s="35"/>
      <c r="Y3715" s="35"/>
      <c r="Z3715" s="35"/>
      <c r="AA3715" s="35"/>
      <c r="AB3715" s="35"/>
      <c r="AC3715" s="35"/>
      <c r="AD3715" s="35"/>
      <c r="AE3715" s="35"/>
      <c r="AF3715" s="35"/>
      <c r="AG3715" s="35"/>
      <c r="AH3715" s="35"/>
      <c r="AI3715" s="35"/>
    </row>
    <row r="3716">
      <c r="A3716" s="276"/>
      <c r="B3716" s="252"/>
      <c r="C3716" s="253"/>
      <c r="D3716" s="253"/>
      <c r="E3716" s="252"/>
      <c r="F3716" s="253"/>
      <c r="G3716" s="253"/>
      <c r="H3716" s="256"/>
      <c r="I3716" s="256"/>
      <c r="J3716" s="253"/>
      <c r="K3716" s="253"/>
      <c r="L3716" s="253"/>
      <c r="M3716" s="252"/>
      <c r="N3716" s="258"/>
      <c r="O3716" s="259"/>
      <c r="P3716" s="259"/>
      <c r="Q3716" s="257"/>
      <c r="R3716" s="260"/>
      <c r="S3716" s="260"/>
      <c r="T3716" s="260"/>
      <c r="U3716" s="261"/>
      <c r="V3716" s="279"/>
      <c r="W3716" s="35"/>
      <c r="X3716" s="35"/>
      <c r="Y3716" s="35"/>
      <c r="Z3716" s="35"/>
      <c r="AA3716" s="35"/>
      <c r="AB3716" s="35"/>
      <c r="AC3716" s="35"/>
      <c r="AD3716" s="35"/>
      <c r="AE3716" s="35"/>
      <c r="AF3716" s="35"/>
      <c r="AG3716" s="35"/>
      <c r="AH3716" s="35"/>
      <c r="AI3716" s="35"/>
    </row>
    <row r="3717">
      <c r="A3717" s="276"/>
      <c r="B3717" s="252"/>
      <c r="C3717" s="253"/>
      <c r="D3717" s="253"/>
      <c r="E3717" s="252"/>
      <c r="F3717" s="253"/>
      <c r="G3717" s="253"/>
      <c r="H3717" s="256"/>
      <c r="I3717" s="256"/>
      <c r="J3717" s="253"/>
      <c r="K3717" s="253"/>
      <c r="L3717" s="253"/>
      <c r="M3717" s="252"/>
      <c r="N3717" s="258"/>
      <c r="O3717" s="259"/>
      <c r="P3717" s="259"/>
      <c r="Q3717" s="257"/>
      <c r="R3717" s="260"/>
      <c r="S3717" s="260"/>
      <c r="T3717" s="260"/>
      <c r="U3717" s="261"/>
      <c r="V3717" s="279"/>
      <c r="W3717" s="35"/>
      <c r="X3717" s="35"/>
      <c r="Y3717" s="35"/>
      <c r="Z3717" s="35"/>
      <c r="AA3717" s="35"/>
      <c r="AB3717" s="35"/>
      <c r="AC3717" s="35"/>
      <c r="AD3717" s="35"/>
      <c r="AE3717" s="35"/>
      <c r="AF3717" s="35"/>
      <c r="AG3717" s="35"/>
      <c r="AH3717" s="35"/>
      <c r="AI3717" s="35"/>
    </row>
    <row r="3718">
      <c r="A3718" s="276"/>
      <c r="B3718" s="252"/>
      <c r="C3718" s="253"/>
      <c r="D3718" s="253"/>
      <c r="E3718" s="252"/>
      <c r="F3718" s="253"/>
      <c r="G3718" s="253"/>
      <c r="H3718" s="256"/>
      <c r="I3718" s="256"/>
      <c r="J3718" s="253"/>
      <c r="K3718" s="253"/>
      <c r="L3718" s="253"/>
      <c r="M3718" s="252"/>
      <c r="N3718" s="258"/>
      <c r="O3718" s="259"/>
      <c r="P3718" s="259"/>
      <c r="Q3718" s="257"/>
      <c r="R3718" s="260"/>
      <c r="S3718" s="260"/>
      <c r="T3718" s="260"/>
      <c r="U3718" s="261"/>
      <c r="V3718" s="279"/>
      <c r="W3718" s="35"/>
      <c r="X3718" s="35"/>
      <c r="Y3718" s="35"/>
      <c r="Z3718" s="35"/>
      <c r="AA3718" s="35"/>
      <c r="AB3718" s="35"/>
      <c r="AC3718" s="35"/>
      <c r="AD3718" s="35"/>
      <c r="AE3718" s="35"/>
      <c r="AF3718" s="35"/>
      <c r="AG3718" s="35"/>
      <c r="AH3718" s="35"/>
      <c r="AI3718" s="35"/>
    </row>
    <row r="3719">
      <c r="A3719" s="276"/>
      <c r="B3719" s="252"/>
      <c r="C3719" s="253"/>
      <c r="D3719" s="253"/>
      <c r="E3719" s="252"/>
      <c r="F3719" s="253"/>
      <c r="G3719" s="253"/>
      <c r="H3719" s="256"/>
      <c r="I3719" s="256"/>
      <c r="J3719" s="253"/>
      <c r="K3719" s="253"/>
      <c r="L3719" s="253"/>
      <c r="M3719" s="252"/>
      <c r="N3719" s="258"/>
      <c r="O3719" s="259"/>
      <c r="P3719" s="259"/>
      <c r="Q3719" s="257"/>
      <c r="R3719" s="260"/>
      <c r="S3719" s="260"/>
      <c r="T3719" s="260"/>
      <c r="U3719" s="261"/>
      <c r="V3719" s="279"/>
      <c r="W3719" s="35"/>
      <c r="X3719" s="35"/>
      <c r="Y3719" s="35"/>
      <c r="Z3719" s="35"/>
      <c r="AA3719" s="35"/>
      <c r="AB3719" s="35"/>
      <c r="AC3719" s="35"/>
      <c r="AD3719" s="35"/>
      <c r="AE3719" s="35"/>
      <c r="AF3719" s="35"/>
      <c r="AG3719" s="35"/>
      <c r="AH3719" s="35"/>
      <c r="AI3719" s="35"/>
    </row>
    <row r="3720">
      <c r="A3720" s="276"/>
      <c r="B3720" s="252"/>
      <c r="C3720" s="253"/>
      <c r="D3720" s="253"/>
      <c r="E3720" s="252"/>
      <c r="F3720" s="253"/>
      <c r="G3720" s="253"/>
      <c r="H3720" s="256"/>
      <c r="I3720" s="256"/>
      <c r="J3720" s="253"/>
      <c r="K3720" s="253"/>
      <c r="L3720" s="253"/>
      <c r="M3720" s="252"/>
      <c r="N3720" s="258"/>
      <c r="O3720" s="259"/>
      <c r="P3720" s="259"/>
      <c r="Q3720" s="257"/>
      <c r="R3720" s="260"/>
      <c r="S3720" s="260"/>
      <c r="T3720" s="260"/>
      <c r="U3720" s="261"/>
      <c r="V3720" s="279"/>
      <c r="W3720" s="35"/>
      <c r="X3720" s="35"/>
      <c r="Y3720" s="35"/>
      <c r="Z3720" s="35"/>
      <c r="AA3720" s="35"/>
      <c r="AB3720" s="35"/>
      <c r="AC3720" s="35"/>
      <c r="AD3720" s="35"/>
      <c r="AE3720" s="35"/>
      <c r="AF3720" s="35"/>
      <c r="AG3720" s="35"/>
      <c r="AH3720" s="35"/>
      <c r="AI3720" s="35"/>
    </row>
    <row r="3721">
      <c r="A3721" s="276"/>
      <c r="B3721" s="252"/>
      <c r="C3721" s="253"/>
      <c r="D3721" s="253"/>
      <c r="E3721" s="252"/>
      <c r="F3721" s="253"/>
      <c r="G3721" s="253"/>
      <c r="H3721" s="256"/>
      <c r="I3721" s="256"/>
      <c r="J3721" s="253"/>
      <c r="K3721" s="253"/>
      <c r="L3721" s="253"/>
      <c r="M3721" s="252"/>
      <c r="N3721" s="258"/>
      <c r="O3721" s="259"/>
      <c r="P3721" s="259"/>
      <c r="Q3721" s="257"/>
      <c r="R3721" s="260"/>
      <c r="S3721" s="260"/>
      <c r="T3721" s="260"/>
      <c r="U3721" s="261"/>
      <c r="V3721" s="279"/>
      <c r="W3721" s="35"/>
      <c r="X3721" s="35"/>
      <c r="Y3721" s="35"/>
      <c r="Z3721" s="35"/>
      <c r="AA3721" s="35"/>
      <c r="AB3721" s="35"/>
      <c r="AC3721" s="35"/>
      <c r="AD3721" s="35"/>
      <c r="AE3721" s="35"/>
      <c r="AF3721" s="35"/>
      <c r="AG3721" s="35"/>
      <c r="AH3721" s="35"/>
      <c r="AI3721" s="35"/>
    </row>
    <row r="3722">
      <c r="A3722" s="276"/>
      <c r="B3722" s="252"/>
      <c r="C3722" s="253"/>
      <c r="D3722" s="253"/>
      <c r="E3722" s="252"/>
      <c r="F3722" s="253"/>
      <c r="G3722" s="253"/>
      <c r="H3722" s="256"/>
      <c r="I3722" s="256"/>
      <c r="J3722" s="253"/>
      <c r="K3722" s="253"/>
      <c r="L3722" s="253"/>
      <c r="M3722" s="252"/>
      <c r="N3722" s="258"/>
      <c r="O3722" s="259"/>
      <c r="P3722" s="259"/>
      <c r="Q3722" s="257"/>
      <c r="R3722" s="260"/>
      <c r="S3722" s="260"/>
      <c r="T3722" s="260"/>
      <c r="U3722" s="261"/>
      <c r="V3722" s="279"/>
      <c r="W3722" s="35"/>
      <c r="X3722" s="35"/>
      <c r="Y3722" s="35"/>
      <c r="Z3722" s="35"/>
      <c r="AA3722" s="35"/>
      <c r="AB3722" s="35"/>
      <c r="AC3722" s="35"/>
      <c r="AD3722" s="35"/>
      <c r="AE3722" s="35"/>
      <c r="AF3722" s="35"/>
      <c r="AG3722" s="35"/>
      <c r="AH3722" s="35"/>
      <c r="AI3722" s="35"/>
    </row>
    <row r="3723">
      <c r="A3723" s="276"/>
      <c r="B3723" s="252"/>
      <c r="C3723" s="253"/>
      <c r="D3723" s="253"/>
      <c r="E3723" s="252"/>
      <c r="F3723" s="253"/>
      <c r="G3723" s="253"/>
      <c r="H3723" s="256"/>
      <c r="I3723" s="256"/>
      <c r="J3723" s="253"/>
      <c r="K3723" s="253"/>
      <c r="L3723" s="253"/>
      <c r="M3723" s="252"/>
      <c r="N3723" s="258"/>
      <c r="O3723" s="259"/>
      <c r="P3723" s="259"/>
      <c r="Q3723" s="257"/>
      <c r="R3723" s="260"/>
      <c r="S3723" s="260"/>
      <c r="T3723" s="260"/>
      <c r="U3723" s="261"/>
      <c r="V3723" s="279"/>
      <c r="W3723" s="35"/>
      <c r="X3723" s="35"/>
      <c r="Y3723" s="35"/>
      <c r="Z3723" s="35"/>
      <c r="AA3723" s="35"/>
      <c r="AB3723" s="35"/>
      <c r="AC3723" s="35"/>
      <c r="AD3723" s="35"/>
      <c r="AE3723" s="35"/>
      <c r="AF3723" s="35"/>
      <c r="AG3723" s="35"/>
      <c r="AH3723" s="35"/>
      <c r="AI3723" s="35"/>
    </row>
    <row r="3724">
      <c r="A3724" s="276"/>
      <c r="B3724" s="252"/>
      <c r="C3724" s="253"/>
      <c r="D3724" s="253"/>
      <c r="E3724" s="252"/>
      <c r="F3724" s="253"/>
      <c r="G3724" s="253"/>
      <c r="H3724" s="256"/>
      <c r="I3724" s="256"/>
      <c r="J3724" s="253"/>
      <c r="K3724" s="253"/>
      <c r="L3724" s="253"/>
      <c r="M3724" s="252"/>
      <c r="N3724" s="258"/>
      <c r="O3724" s="259"/>
      <c r="P3724" s="259"/>
      <c r="Q3724" s="257"/>
      <c r="R3724" s="260"/>
      <c r="S3724" s="260"/>
      <c r="T3724" s="260"/>
      <c r="U3724" s="261"/>
      <c r="V3724" s="279"/>
      <c r="W3724" s="35"/>
      <c r="X3724" s="35"/>
      <c r="Y3724" s="35"/>
      <c r="Z3724" s="35"/>
      <c r="AA3724" s="35"/>
      <c r="AB3724" s="35"/>
      <c r="AC3724" s="35"/>
      <c r="AD3724" s="35"/>
      <c r="AE3724" s="35"/>
      <c r="AF3724" s="35"/>
      <c r="AG3724" s="35"/>
      <c r="AH3724" s="35"/>
      <c r="AI3724" s="35"/>
    </row>
    <row r="3725">
      <c r="A3725" s="276"/>
      <c r="B3725" s="252"/>
      <c r="C3725" s="253"/>
      <c r="D3725" s="253"/>
      <c r="E3725" s="252"/>
      <c r="F3725" s="253"/>
      <c r="G3725" s="253"/>
      <c r="H3725" s="256"/>
      <c r="I3725" s="256"/>
      <c r="J3725" s="253"/>
      <c r="K3725" s="253"/>
      <c r="L3725" s="253"/>
      <c r="M3725" s="252"/>
      <c r="N3725" s="258"/>
      <c r="O3725" s="259"/>
      <c r="P3725" s="259"/>
      <c r="Q3725" s="257"/>
      <c r="R3725" s="260"/>
      <c r="S3725" s="260"/>
      <c r="T3725" s="260"/>
      <c r="U3725" s="261"/>
      <c r="V3725" s="279"/>
      <c r="W3725" s="35"/>
      <c r="X3725" s="35"/>
      <c r="Y3725" s="35"/>
      <c r="Z3725" s="35"/>
      <c r="AA3725" s="35"/>
      <c r="AB3725" s="35"/>
      <c r="AC3725" s="35"/>
      <c r="AD3725" s="35"/>
      <c r="AE3725" s="35"/>
      <c r="AF3725" s="35"/>
      <c r="AG3725" s="35"/>
      <c r="AH3725" s="35"/>
      <c r="AI3725" s="35"/>
    </row>
    <row r="3726">
      <c r="A3726" s="276"/>
      <c r="B3726" s="252"/>
      <c r="C3726" s="253"/>
      <c r="D3726" s="253"/>
      <c r="E3726" s="252"/>
      <c r="F3726" s="253"/>
      <c r="G3726" s="253"/>
      <c r="H3726" s="256"/>
      <c r="I3726" s="256"/>
      <c r="J3726" s="253"/>
      <c r="K3726" s="253"/>
      <c r="L3726" s="253"/>
      <c r="M3726" s="252"/>
      <c r="N3726" s="258"/>
      <c r="O3726" s="259"/>
      <c r="P3726" s="259"/>
      <c r="Q3726" s="257"/>
      <c r="R3726" s="260"/>
      <c r="S3726" s="260"/>
      <c r="T3726" s="260"/>
      <c r="U3726" s="261"/>
      <c r="V3726" s="279"/>
      <c r="W3726" s="35"/>
      <c r="X3726" s="35"/>
      <c r="Y3726" s="35"/>
      <c r="Z3726" s="35"/>
      <c r="AA3726" s="35"/>
      <c r="AB3726" s="35"/>
      <c r="AC3726" s="35"/>
      <c r="AD3726" s="35"/>
      <c r="AE3726" s="35"/>
      <c r="AF3726" s="35"/>
      <c r="AG3726" s="35"/>
      <c r="AH3726" s="35"/>
      <c r="AI3726" s="35"/>
    </row>
    <row r="3727">
      <c r="A3727" s="276"/>
      <c r="B3727" s="252"/>
      <c r="C3727" s="253"/>
      <c r="D3727" s="253"/>
      <c r="E3727" s="252"/>
      <c r="F3727" s="253"/>
      <c r="G3727" s="253"/>
      <c r="H3727" s="256"/>
      <c r="I3727" s="256"/>
      <c r="J3727" s="253"/>
      <c r="K3727" s="253"/>
      <c r="L3727" s="253"/>
      <c r="M3727" s="252"/>
      <c r="N3727" s="258"/>
      <c r="O3727" s="259"/>
      <c r="P3727" s="259"/>
      <c r="Q3727" s="257"/>
      <c r="R3727" s="260"/>
      <c r="S3727" s="260"/>
      <c r="T3727" s="260"/>
      <c r="U3727" s="261"/>
      <c r="V3727" s="279"/>
      <c r="W3727" s="35"/>
      <c r="X3727" s="35"/>
      <c r="Y3727" s="35"/>
      <c r="Z3727" s="35"/>
      <c r="AA3727" s="35"/>
      <c r="AB3727" s="35"/>
      <c r="AC3727" s="35"/>
      <c r="AD3727" s="35"/>
      <c r="AE3727" s="35"/>
      <c r="AF3727" s="35"/>
      <c r="AG3727" s="35"/>
      <c r="AH3727" s="35"/>
      <c r="AI3727" s="35"/>
    </row>
    <row r="3728">
      <c r="A3728" s="276"/>
      <c r="B3728" s="252"/>
      <c r="C3728" s="253"/>
      <c r="D3728" s="253"/>
      <c r="E3728" s="252"/>
      <c r="F3728" s="253"/>
      <c r="G3728" s="253"/>
      <c r="H3728" s="256"/>
      <c r="I3728" s="256"/>
      <c r="J3728" s="253"/>
      <c r="K3728" s="253"/>
      <c r="L3728" s="253"/>
      <c r="M3728" s="252"/>
      <c r="N3728" s="258"/>
      <c r="O3728" s="259"/>
      <c r="P3728" s="259"/>
      <c r="Q3728" s="257"/>
      <c r="R3728" s="260"/>
      <c r="S3728" s="260"/>
      <c r="T3728" s="260"/>
      <c r="U3728" s="261"/>
      <c r="V3728" s="279"/>
      <c r="W3728" s="35"/>
      <c r="X3728" s="35"/>
      <c r="Y3728" s="35"/>
      <c r="Z3728" s="35"/>
      <c r="AA3728" s="35"/>
      <c r="AB3728" s="35"/>
      <c r="AC3728" s="35"/>
      <c r="AD3728" s="35"/>
      <c r="AE3728" s="35"/>
      <c r="AF3728" s="35"/>
      <c r="AG3728" s="35"/>
      <c r="AH3728" s="35"/>
      <c r="AI3728" s="35"/>
    </row>
    <row r="3729">
      <c r="A3729" s="276"/>
      <c r="B3729" s="252"/>
      <c r="C3729" s="253"/>
      <c r="D3729" s="253"/>
      <c r="E3729" s="252"/>
      <c r="F3729" s="253"/>
      <c r="G3729" s="253"/>
      <c r="H3729" s="256"/>
      <c r="I3729" s="256"/>
      <c r="J3729" s="253"/>
      <c r="K3729" s="253"/>
      <c r="L3729" s="253"/>
      <c r="M3729" s="252"/>
      <c r="N3729" s="258"/>
      <c r="O3729" s="259"/>
      <c r="P3729" s="259"/>
      <c r="Q3729" s="257"/>
      <c r="R3729" s="260"/>
      <c r="S3729" s="260"/>
      <c r="T3729" s="260"/>
      <c r="U3729" s="261"/>
      <c r="V3729" s="279"/>
      <c r="W3729" s="35"/>
      <c r="X3729" s="35"/>
      <c r="Y3729" s="35"/>
      <c r="Z3729" s="35"/>
      <c r="AA3729" s="35"/>
      <c r="AB3729" s="35"/>
      <c r="AC3729" s="35"/>
      <c r="AD3729" s="35"/>
      <c r="AE3729" s="35"/>
      <c r="AF3729" s="35"/>
      <c r="AG3729" s="35"/>
      <c r="AH3729" s="35"/>
      <c r="AI3729" s="35"/>
    </row>
    <row r="3730">
      <c r="A3730" s="276"/>
      <c r="B3730" s="252"/>
      <c r="C3730" s="253"/>
      <c r="D3730" s="253"/>
      <c r="E3730" s="252"/>
      <c r="F3730" s="253"/>
      <c r="G3730" s="253"/>
      <c r="H3730" s="256"/>
      <c r="I3730" s="256"/>
      <c r="J3730" s="253"/>
      <c r="K3730" s="253"/>
      <c r="L3730" s="253"/>
      <c r="M3730" s="252"/>
      <c r="N3730" s="258"/>
      <c r="O3730" s="259"/>
      <c r="P3730" s="259"/>
      <c r="Q3730" s="257"/>
      <c r="R3730" s="260"/>
      <c r="S3730" s="260"/>
      <c r="T3730" s="260"/>
      <c r="U3730" s="261"/>
      <c r="V3730" s="279"/>
      <c r="W3730" s="35"/>
      <c r="X3730" s="35"/>
      <c r="Y3730" s="35"/>
      <c r="Z3730" s="35"/>
      <c r="AA3730" s="35"/>
      <c r="AB3730" s="35"/>
      <c r="AC3730" s="35"/>
      <c r="AD3730" s="35"/>
      <c r="AE3730" s="35"/>
      <c r="AF3730" s="35"/>
      <c r="AG3730" s="35"/>
      <c r="AH3730" s="35"/>
      <c r="AI3730" s="35"/>
    </row>
    <row r="3731">
      <c r="A3731" s="276"/>
      <c r="B3731" s="252"/>
      <c r="C3731" s="253"/>
      <c r="D3731" s="253"/>
      <c r="E3731" s="252"/>
      <c r="F3731" s="253"/>
      <c r="G3731" s="253"/>
      <c r="H3731" s="256"/>
      <c r="I3731" s="256"/>
      <c r="J3731" s="253"/>
      <c r="K3731" s="253"/>
      <c r="L3731" s="253"/>
      <c r="M3731" s="252"/>
      <c r="N3731" s="258"/>
      <c r="O3731" s="259"/>
      <c r="P3731" s="259"/>
      <c r="Q3731" s="257"/>
      <c r="R3731" s="260"/>
      <c r="S3731" s="260"/>
      <c r="T3731" s="260"/>
      <c r="U3731" s="261"/>
      <c r="V3731" s="279"/>
      <c r="W3731" s="35"/>
      <c r="X3731" s="35"/>
      <c r="Y3731" s="35"/>
      <c r="Z3731" s="35"/>
      <c r="AA3731" s="35"/>
      <c r="AB3731" s="35"/>
      <c r="AC3731" s="35"/>
      <c r="AD3731" s="35"/>
      <c r="AE3731" s="35"/>
      <c r="AF3731" s="35"/>
      <c r="AG3731" s="35"/>
      <c r="AH3731" s="35"/>
      <c r="AI3731" s="35"/>
    </row>
    <row r="3732">
      <c r="A3732" s="276"/>
      <c r="B3732" s="252"/>
      <c r="C3732" s="253"/>
      <c r="D3732" s="253"/>
      <c r="E3732" s="252"/>
      <c r="F3732" s="253"/>
      <c r="G3732" s="253"/>
      <c r="H3732" s="256"/>
      <c r="I3732" s="256"/>
      <c r="J3732" s="253"/>
      <c r="K3732" s="253"/>
      <c r="L3732" s="253"/>
      <c r="M3732" s="252"/>
      <c r="N3732" s="258"/>
      <c r="O3732" s="259"/>
      <c r="P3732" s="259"/>
      <c r="Q3732" s="257"/>
      <c r="R3732" s="260"/>
      <c r="S3732" s="260"/>
      <c r="T3732" s="260"/>
      <c r="U3732" s="261"/>
      <c r="V3732" s="279"/>
      <c r="W3732" s="35"/>
      <c r="X3732" s="35"/>
      <c r="Y3732" s="35"/>
      <c r="Z3732" s="35"/>
      <c r="AA3732" s="35"/>
      <c r="AB3732" s="35"/>
      <c r="AC3732" s="35"/>
      <c r="AD3732" s="35"/>
      <c r="AE3732" s="35"/>
      <c r="AF3732" s="35"/>
      <c r="AG3732" s="35"/>
      <c r="AH3732" s="35"/>
      <c r="AI3732" s="35"/>
    </row>
    <row r="3733">
      <c r="A3733" s="276"/>
      <c r="B3733" s="252"/>
      <c r="C3733" s="253"/>
      <c r="D3733" s="253"/>
      <c r="E3733" s="252"/>
      <c r="F3733" s="253"/>
      <c r="G3733" s="253"/>
      <c r="H3733" s="256"/>
      <c r="I3733" s="256"/>
      <c r="J3733" s="253"/>
      <c r="K3733" s="253"/>
      <c r="L3733" s="253"/>
      <c r="M3733" s="252"/>
      <c r="N3733" s="258"/>
      <c r="O3733" s="259"/>
      <c r="P3733" s="259"/>
      <c r="Q3733" s="257"/>
      <c r="R3733" s="260"/>
      <c r="S3733" s="260"/>
      <c r="T3733" s="260"/>
      <c r="U3733" s="261"/>
      <c r="V3733" s="279"/>
      <c r="W3733" s="35"/>
      <c r="X3733" s="35"/>
      <c r="Y3733" s="35"/>
      <c r="Z3733" s="35"/>
      <c r="AA3733" s="35"/>
      <c r="AB3733" s="35"/>
      <c r="AC3733" s="35"/>
      <c r="AD3733" s="35"/>
      <c r="AE3733" s="35"/>
      <c r="AF3733" s="35"/>
      <c r="AG3733" s="35"/>
      <c r="AH3733" s="35"/>
      <c r="AI3733" s="35"/>
    </row>
    <row r="3734">
      <c r="A3734" s="276"/>
      <c r="B3734" s="252"/>
      <c r="C3734" s="253"/>
      <c r="D3734" s="253"/>
      <c r="E3734" s="252"/>
      <c r="F3734" s="253"/>
      <c r="G3734" s="253"/>
      <c r="H3734" s="256"/>
      <c r="I3734" s="256"/>
      <c r="J3734" s="253"/>
      <c r="K3734" s="253"/>
      <c r="L3734" s="253"/>
      <c r="M3734" s="252"/>
      <c r="N3734" s="258"/>
      <c r="O3734" s="259"/>
      <c r="P3734" s="259"/>
      <c r="Q3734" s="257"/>
      <c r="R3734" s="260"/>
      <c r="S3734" s="260"/>
      <c r="T3734" s="260"/>
      <c r="U3734" s="261"/>
      <c r="V3734" s="279"/>
      <c r="W3734" s="35"/>
      <c r="X3734" s="35"/>
      <c r="Y3734" s="35"/>
      <c r="Z3734" s="35"/>
      <c r="AA3734" s="35"/>
      <c r="AB3734" s="35"/>
      <c r="AC3734" s="35"/>
      <c r="AD3734" s="35"/>
      <c r="AE3734" s="35"/>
      <c r="AF3734" s="35"/>
      <c r="AG3734" s="35"/>
      <c r="AH3734" s="35"/>
      <c r="AI3734" s="35"/>
    </row>
    <row r="3735">
      <c r="A3735" s="276"/>
      <c r="B3735" s="252"/>
      <c r="C3735" s="253"/>
      <c r="D3735" s="253"/>
      <c r="E3735" s="252"/>
      <c r="F3735" s="253"/>
      <c r="G3735" s="253"/>
      <c r="H3735" s="256"/>
      <c r="I3735" s="256"/>
      <c r="J3735" s="253"/>
      <c r="K3735" s="253"/>
      <c r="L3735" s="253"/>
      <c r="M3735" s="252"/>
      <c r="N3735" s="258"/>
      <c r="O3735" s="259"/>
      <c r="P3735" s="259"/>
      <c r="Q3735" s="257"/>
      <c r="R3735" s="260"/>
      <c r="S3735" s="260"/>
      <c r="T3735" s="260"/>
      <c r="U3735" s="261"/>
      <c r="V3735" s="279"/>
      <c r="W3735" s="35"/>
      <c r="X3735" s="35"/>
      <c r="Y3735" s="35"/>
      <c r="Z3735" s="35"/>
      <c r="AA3735" s="35"/>
      <c r="AB3735" s="35"/>
      <c r="AC3735" s="35"/>
      <c r="AD3735" s="35"/>
      <c r="AE3735" s="35"/>
      <c r="AF3735" s="35"/>
      <c r="AG3735" s="35"/>
      <c r="AH3735" s="35"/>
      <c r="AI3735" s="35"/>
    </row>
    <row r="3736">
      <c r="A3736" s="276"/>
      <c r="B3736" s="252"/>
      <c r="C3736" s="253"/>
      <c r="D3736" s="253"/>
      <c r="E3736" s="252"/>
      <c r="F3736" s="253"/>
      <c r="G3736" s="253"/>
      <c r="H3736" s="256"/>
      <c r="I3736" s="256"/>
      <c r="J3736" s="253"/>
      <c r="K3736" s="253"/>
      <c r="L3736" s="253"/>
      <c r="M3736" s="252"/>
      <c r="N3736" s="258"/>
      <c r="O3736" s="259"/>
      <c r="P3736" s="259"/>
      <c r="Q3736" s="257"/>
      <c r="R3736" s="260"/>
      <c r="S3736" s="260"/>
      <c r="T3736" s="260"/>
      <c r="U3736" s="261"/>
      <c r="V3736" s="279"/>
      <c r="W3736" s="35"/>
      <c r="X3736" s="35"/>
      <c r="Y3736" s="35"/>
      <c r="Z3736" s="35"/>
      <c r="AA3736" s="35"/>
      <c r="AB3736" s="35"/>
      <c r="AC3736" s="35"/>
      <c r="AD3736" s="35"/>
      <c r="AE3736" s="35"/>
      <c r="AF3736" s="35"/>
      <c r="AG3736" s="35"/>
      <c r="AH3736" s="35"/>
      <c r="AI3736" s="35"/>
    </row>
    <row r="3737">
      <c r="A3737" s="276"/>
      <c r="B3737" s="252"/>
      <c r="C3737" s="253"/>
      <c r="D3737" s="253"/>
      <c r="E3737" s="252"/>
      <c r="F3737" s="253"/>
      <c r="G3737" s="253"/>
      <c r="H3737" s="256"/>
      <c r="I3737" s="256"/>
      <c r="J3737" s="253"/>
      <c r="K3737" s="253"/>
      <c r="L3737" s="253"/>
      <c r="M3737" s="252"/>
      <c r="N3737" s="258"/>
      <c r="O3737" s="259"/>
      <c r="P3737" s="259"/>
      <c r="Q3737" s="257"/>
      <c r="R3737" s="260"/>
      <c r="S3737" s="260"/>
      <c r="T3737" s="260"/>
      <c r="U3737" s="261"/>
      <c r="V3737" s="279"/>
      <c r="W3737" s="35"/>
      <c r="X3737" s="35"/>
      <c r="Y3737" s="35"/>
      <c r="Z3737" s="35"/>
      <c r="AA3737" s="35"/>
      <c r="AB3737" s="35"/>
      <c r="AC3737" s="35"/>
      <c r="AD3737" s="35"/>
      <c r="AE3737" s="35"/>
      <c r="AF3737" s="35"/>
      <c r="AG3737" s="35"/>
      <c r="AH3737" s="35"/>
      <c r="AI3737" s="35"/>
    </row>
    <row r="3738">
      <c r="A3738" s="276"/>
      <c r="B3738" s="252"/>
      <c r="C3738" s="253"/>
      <c r="D3738" s="253"/>
      <c r="E3738" s="252"/>
      <c r="F3738" s="253"/>
      <c r="G3738" s="253"/>
      <c r="H3738" s="256"/>
      <c r="I3738" s="256"/>
      <c r="J3738" s="253"/>
      <c r="K3738" s="253"/>
      <c r="L3738" s="253"/>
      <c r="M3738" s="252"/>
      <c r="N3738" s="258"/>
      <c r="O3738" s="259"/>
      <c r="P3738" s="259"/>
      <c r="Q3738" s="257"/>
      <c r="R3738" s="260"/>
      <c r="S3738" s="260"/>
      <c r="T3738" s="260"/>
      <c r="U3738" s="261"/>
      <c r="V3738" s="279"/>
      <c r="W3738" s="35"/>
      <c r="X3738" s="35"/>
      <c r="Y3738" s="35"/>
      <c r="Z3738" s="35"/>
      <c r="AA3738" s="35"/>
      <c r="AB3738" s="35"/>
      <c r="AC3738" s="35"/>
      <c r="AD3738" s="35"/>
      <c r="AE3738" s="35"/>
      <c r="AF3738" s="35"/>
      <c r="AG3738" s="35"/>
      <c r="AH3738" s="35"/>
      <c r="AI3738" s="35"/>
    </row>
    <row r="3739">
      <c r="A3739" s="276"/>
      <c r="B3739" s="252"/>
      <c r="C3739" s="253"/>
      <c r="D3739" s="253"/>
      <c r="E3739" s="252"/>
      <c r="F3739" s="253"/>
      <c r="G3739" s="253"/>
      <c r="H3739" s="256"/>
      <c r="I3739" s="256"/>
      <c r="J3739" s="253"/>
      <c r="K3739" s="253"/>
      <c r="L3739" s="253"/>
      <c r="M3739" s="252"/>
      <c r="N3739" s="258"/>
      <c r="O3739" s="259"/>
      <c r="P3739" s="259"/>
      <c r="Q3739" s="257"/>
      <c r="R3739" s="260"/>
      <c r="S3739" s="260"/>
      <c r="T3739" s="260"/>
      <c r="U3739" s="261"/>
      <c r="V3739" s="279"/>
      <c r="W3739" s="35"/>
      <c r="X3739" s="35"/>
      <c r="Y3739" s="35"/>
      <c r="Z3739" s="35"/>
      <c r="AA3739" s="35"/>
      <c r="AB3739" s="35"/>
      <c r="AC3739" s="35"/>
      <c r="AD3739" s="35"/>
      <c r="AE3739" s="35"/>
      <c r="AF3739" s="35"/>
      <c r="AG3739" s="35"/>
      <c r="AH3739" s="35"/>
      <c r="AI3739" s="35"/>
    </row>
    <row r="3740">
      <c r="A3740" s="276"/>
      <c r="B3740" s="252"/>
      <c r="C3740" s="253"/>
      <c r="D3740" s="253"/>
      <c r="E3740" s="252"/>
      <c r="F3740" s="253"/>
      <c r="G3740" s="253"/>
      <c r="H3740" s="256"/>
      <c r="I3740" s="256"/>
      <c r="J3740" s="253"/>
      <c r="K3740" s="253"/>
      <c r="L3740" s="253"/>
      <c r="M3740" s="252"/>
      <c r="N3740" s="258"/>
      <c r="O3740" s="259"/>
      <c r="P3740" s="259"/>
      <c r="Q3740" s="257"/>
      <c r="R3740" s="260"/>
      <c r="S3740" s="260"/>
      <c r="T3740" s="260"/>
      <c r="U3740" s="261"/>
      <c r="V3740" s="279"/>
      <c r="W3740" s="35"/>
      <c r="X3740" s="35"/>
      <c r="Y3740" s="35"/>
      <c r="Z3740" s="35"/>
      <c r="AA3740" s="35"/>
      <c r="AB3740" s="35"/>
      <c r="AC3740" s="35"/>
      <c r="AD3740" s="35"/>
      <c r="AE3740" s="35"/>
      <c r="AF3740" s="35"/>
      <c r="AG3740" s="35"/>
      <c r="AH3740" s="35"/>
      <c r="AI3740" s="35"/>
    </row>
    <row r="3741">
      <c r="A3741" s="276"/>
      <c r="B3741" s="252"/>
      <c r="C3741" s="253"/>
      <c r="D3741" s="253"/>
      <c r="E3741" s="252"/>
      <c r="F3741" s="253"/>
      <c r="G3741" s="253"/>
      <c r="H3741" s="256"/>
      <c r="I3741" s="256"/>
      <c r="J3741" s="253"/>
      <c r="K3741" s="253"/>
      <c r="L3741" s="253"/>
      <c r="M3741" s="252"/>
      <c r="N3741" s="258"/>
      <c r="O3741" s="259"/>
      <c r="P3741" s="259"/>
      <c r="Q3741" s="257"/>
      <c r="R3741" s="260"/>
      <c r="S3741" s="260"/>
      <c r="T3741" s="260"/>
      <c r="U3741" s="261"/>
      <c r="V3741" s="279"/>
      <c r="W3741" s="35"/>
      <c r="X3741" s="35"/>
      <c r="Y3741" s="35"/>
      <c r="Z3741" s="35"/>
      <c r="AA3741" s="35"/>
      <c r="AB3741" s="35"/>
      <c r="AC3741" s="35"/>
      <c r="AD3741" s="35"/>
      <c r="AE3741" s="35"/>
      <c r="AF3741" s="35"/>
      <c r="AG3741" s="35"/>
      <c r="AH3741" s="35"/>
      <c r="AI3741" s="35"/>
    </row>
    <row r="3742">
      <c r="A3742" s="276"/>
      <c r="B3742" s="252"/>
      <c r="C3742" s="253"/>
      <c r="D3742" s="253"/>
      <c r="E3742" s="252"/>
      <c r="F3742" s="253"/>
      <c r="G3742" s="253"/>
      <c r="H3742" s="256"/>
      <c r="I3742" s="256"/>
      <c r="J3742" s="253"/>
      <c r="K3742" s="253"/>
      <c r="L3742" s="253"/>
      <c r="M3742" s="252"/>
      <c r="N3742" s="258"/>
      <c r="O3742" s="259"/>
      <c r="P3742" s="259"/>
      <c r="Q3742" s="257"/>
      <c r="R3742" s="260"/>
      <c r="S3742" s="260"/>
      <c r="T3742" s="260"/>
      <c r="U3742" s="261"/>
      <c r="V3742" s="279"/>
      <c r="W3742" s="35"/>
      <c r="X3742" s="35"/>
      <c r="Y3742" s="35"/>
      <c r="Z3742" s="35"/>
      <c r="AA3742" s="35"/>
      <c r="AB3742" s="35"/>
      <c r="AC3742" s="35"/>
      <c r="AD3742" s="35"/>
      <c r="AE3742" s="35"/>
      <c r="AF3742" s="35"/>
      <c r="AG3742" s="35"/>
      <c r="AH3742" s="35"/>
      <c r="AI3742" s="35"/>
    </row>
    <row r="3743">
      <c r="A3743" s="276"/>
      <c r="B3743" s="252"/>
      <c r="C3743" s="253"/>
      <c r="D3743" s="253"/>
      <c r="E3743" s="252"/>
      <c r="F3743" s="253"/>
      <c r="G3743" s="253"/>
      <c r="H3743" s="256"/>
      <c r="I3743" s="256"/>
      <c r="J3743" s="253"/>
      <c r="K3743" s="253"/>
      <c r="L3743" s="253"/>
      <c r="M3743" s="252"/>
      <c r="N3743" s="258"/>
      <c r="O3743" s="259"/>
      <c r="P3743" s="259"/>
      <c r="Q3743" s="257"/>
      <c r="R3743" s="260"/>
      <c r="S3743" s="260"/>
      <c r="T3743" s="260"/>
      <c r="U3743" s="261"/>
      <c r="V3743" s="279"/>
      <c r="W3743" s="35"/>
      <c r="X3743" s="35"/>
      <c r="Y3743" s="35"/>
      <c r="Z3743" s="35"/>
      <c r="AA3743" s="35"/>
      <c r="AB3743" s="35"/>
      <c r="AC3743" s="35"/>
      <c r="AD3743" s="35"/>
      <c r="AE3743" s="35"/>
      <c r="AF3743" s="35"/>
      <c r="AG3743" s="35"/>
      <c r="AH3743" s="35"/>
      <c r="AI3743" s="35"/>
    </row>
    <row r="3744">
      <c r="A3744" s="276"/>
      <c r="B3744" s="252"/>
      <c r="C3744" s="253"/>
      <c r="D3744" s="253"/>
      <c r="E3744" s="252"/>
      <c r="F3744" s="253"/>
      <c r="G3744" s="253"/>
      <c r="H3744" s="256"/>
      <c r="I3744" s="256"/>
      <c r="J3744" s="253"/>
      <c r="K3744" s="253"/>
      <c r="L3744" s="253"/>
      <c r="M3744" s="252"/>
      <c r="N3744" s="258"/>
      <c r="O3744" s="259"/>
      <c r="P3744" s="259"/>
      <c r="Q3744" s="257"/>
      <c r="R3744" s="260"/>
      <c r="S3744" s="260"/>
      <c r="T3744" s="260"/>
      <c r="U3744" s="261"/>
      <c r="V3744" s="279"/>
      <c r="W3744" s="35"/>
      <c r="X3744" s="35"/>
      <c r="Y3744" s="35"/>
      <c r="Z3744" s="35"/>
      <c r="AA3744" s="35"/>
      <c r="AB3744" s="35"/>
      <c r="AC3744" s="35"/>
      <c r="AD3744" s="35"/>
      <c r="AE3744" s="35"/>
      <c r="AF3744" s="35"/>
      <c r="AG3744" s="35"/>
      <c r="AH3744" s="35"/>
      <c r="AI3744" s="35"/>
    </row>
    <row r="3745">
      <c r="A3745" s="276"/>
      <c r="B3745" s="252"/>
      <c r="C3745" s="253"/>
      <c r="D3745" s="253"/>
      <c r="E3745" s="252"/>
      <c r="F3745" s="253"/>
      <c r="G3745" s="253"/>
      <c r="H3745" s="256"/>
      <c r="I3745" s="256"/>
      <c r="J3745" s="253"/>
      <c r="K3745" s="253"/>
      <c r="L3745" s="253"/>
      <c r="M3745" s="252"/>
      <c r="N3745" s="258"/>
      <c r="O3745" s="259"/>
      <c r="P3745" s="259"/>
      <c r="Q3745" s="257"/>
      <c r="R3745" s="260"/>
      <c r="S3745" s="260"/>
      <c r="T3745" s="260"/>
      <c r="U3745" s="261"/>
      <c r="V3745" s="279"/>
      <c r="W3745" s="35"/>
      <c r="X3745" s="35"/>
      <c r="Y3745" s="35"/>
      <c r="Z3745" s="35"/>
      <c r="AA3745" s="35"/>
      <c r="AB3745" s="35"/>
      <c r="AC3745" s="35"/>
      <c r="AD3745" s="35"/>
      <c r="AE3745" s="35"/>
      <c r="AF3745" s="35"/>
      <c r="AG3745" s="35"/>
      <c r="AH3745" s="35"/>
      <c r="AI3745" s="35"/>
    </row>
    <row r="3746">
      <c r="A3746" s="276"/>
      <c r="B3746" s="252"/>
      <c r="C3746" s="253"/>
      <c r="D3746" s="253"/>
      <c r="E3746" s="252"/>
      <c r="F3746" s="253"/>
      <c r="G3746" s="253"/>
      <c r="H3746" s="256"/>
      <c r="I3746" s="256"/>
      <c r="J3746" s="253"/>
      <c r="K3746" s="253"/>
      <c r="L3746" s="253"/>
      <c r="M3746" s="252"/>
      <c r="N3746" s="258"/>
      <c r="O3746" s="259"/>
      <c r="P3746" s="259"/>
      <c r="Q3746" s="257"/>
      <c r="R3746" s="260"/>
      <c r="S3746" s="260"/>
      <c r="T3746" s="260"/>
      <c r="U3746" s="261"/>
      <c r="V3746" s="279"/>
      <c r="W3746" s="35"/>
      <c r="X3746" s="35"/>
      <c r="Y3746" s="35"/>
      <c r="Z3746" s="35"/>
      <c r="AA3746" s="35"/>
      <c r="AB3746" s="35"/>
      <c r="AC3746" s="35"/>
      <c r="AD3746" s="35"/>
      <c r="AE3746" s="35"/>
      <c r="AF3746" s="35"/>
      <c r="AG3746" s="35"/>
      <c r="AH3746" s="35"/>
      <c r="AI3746" s="35"/>
    </row>
    <row r="3747">
      <c r="A3747" s="276"/>
      <c r="B3747" s="252"/>
      <c r="C3747" s="253"/>
      <c r="D3747" s="253"/>
      <c r="E3747" s="252"/>
      <c r="F3747" s="253"/>
      <c r="G3747" s="253"/>
      <c r="H3747" s="256"/>
      <c r="I3747" s="256"/>
      <c r="J3747" s="253"/>
      <c r="K3747" s="253"/>
      <c r="L3747" s="253"/>
      <c r="M3747" s="252"/>
      <c r="N3747" s="258"/>
      <c r="O3747" s="259"/>
      <c r="P3747" s="259"/>
      <c r="Q3747" s="257"/>
      <c r="R3747" s="260"/>
      <c r="S3747" s="260"/>
      <c r="T3747" s="260"/>
      <c r="U3747" s="261"/>
      <c r="V3747" s="279"/>
      <c r="W3747" s="35"/>
      <c r="X3747" s="35"/>
      <c r="Y3747" s="35"/>
      <c r="Z3747" s="35"/>
      <c r="AA3747" s="35"/>
      <c r="AB3747" s="35"/>
      <c r="AC3747" s="35"/>
      <c r="AD3747" s="35"/>
      <c r="AE3747" s="35"/>
      <c r="AF3747" s="35"/>
      <c r="AG3747" s="35"/>
      <c r="AH3747" s="35"/>
      <c r="AI3747" s="35"/>
    </row>
    <row r="3748">
      <c r="A3748" s="276"/>
      <c r="B3748" s="252"/>
      <c r="C3748" s="253"/>
      <c r="D3748" s="253"/>
      <c r="E3748" s="252"/>
      <c r="F3748" s="253"/>
      <c r="G3748" s="253"/>
      <c r="H3748" s="256"/>
      <c r="I3748" s="256"/>
      <c r="J3748" s="253"/>
      <c r="K3748" s="253"/>
      <c r="L3748" s="253"/>
      <c r="M3748" s="252"/>
      <c r="N3748" s="258"/>
      <c r="O3748" s="259"/>
      <c r="P3748" s="259"/>
      <c r="Q3748" s="257"/>
      <c r="R3748" s="260"/>
      <c r="S3748" s="260"/>
      <c r="T3748" s="260"/>
      <c r="U3748" s="261"/>
      <c r="V3748" s="279"/>
      <c r="W3748" s="35"/>
      <c r="X3748" s="35"/>
      <c r="Y3748" s="35"/>
      <c r="Z3748" s="35"/>
      <c r="AA3748" s="35"/>
      <c r="AB3748" s="35"/>
      <c r="AC3748" s="35"/>
      <c r="AD3748" s="35"/>
      <c r="AE3748" s="35"/>
      <c r="AF3748" s="35"/>
      <c r="AG3748" s="35"/>
      <c r="AH3748" s="35"/>
      <c r="AI3748" s="35"/>
    </row>
    <row r="3749">
      <c r="A3749" s="276"/>
      <c r="B3749" s="252"/>
      <c r="C3749" s="253"/>
      <c r="D3749" s="253"/>
      <c r="E3749" s="252"/>
      <c r="F3749" s="253"/>
      <c r="G3749" s="253"/>
      <c r="H3749" s="256"/>
      <c r="I3749" s="256"/>
      <c r="J3749" s="253"/>
      <c r="K3749" s="253"/>
      <c r="L3749" s="253"/>
      <c r="M3749" s="252"/>
      <c r="N3749" s="258"/>
      <c r="O3749" s="259"/>
      <c r="P3749" s="259"/>
      <c r="Q3749" s="257"/>
      <c r="R3749" s="260"/>
      <c r="S3749" s="260"/>
      <c r="T3749" s="260"/>
      <c r="U3749" s="261"/>
      <c r="V3749" s="279"/>
      <c r="W3749" s="35"/>
      <c r="X3749" s="35"/>
      <c r="Y3749" s="35"/>
      <c r="Z3749" s="35"/>
      <c r="AA3749" s="35"/>
      <c r="AB3749" s="35"/>
      <c r="AC3749" s="35"/>
      <c r="AD3749" s="35"/>
      <c r="AE3749" s="35"/>
      <c r="AF3749" s="35"/>
      <c r="AG3749" s="35"/>
      <c r="AH3749" s="35"/>
      <c r="AI3749" s="35"/>
    </row>
    <row r="3750">
      <c r="A3750" s="276"/>
      <c r="B3750" s="252"/>
      <c r="C3750" s="253"/>
      <c r="D3750" s="253"/>
      <c r="E3750" s="252"/>
      <c r="F3750" s="253"/>
      <c r="G3750" s="253"/>
      <c r="H3750" s="256"/>
      <c r="I3750" s="256"/>
      <c r="J3750" s="253"/>
      <c r="K3750" s="253"/>
      <c r="L3750" s="253"/>
      <c r="M3750" s="252"/>
      <c r="N3750" s="258"/>
      <c r="O3750" s="259"/>
      <c r="P3750" s="259"/>
      <c r="Q3750" s="257"/>
      <c r="R3750" s="260"/>
      <c r="S3750" s="260"/>
      <c r="T3750" s="260"/>
      <c r="U3750" s="261"/>
      <c r="V3750" s="279"/>
      <c r="W3750" s="35"/>
      <c r="X3750" s="35"/>
      <c r="Y3750" s="35"/>
      <c r="Z3750" s="35"/>
      <c r="AA3750" s="35"/>
      <c r="AB3750" s="35"/>
      <c r="AC3750" s="35"/>
      <c r="AD3750" s="35"/>
      <c r="AE3750" s="35"/>
      <c r="AF3750" s="35"/>
      <c r="AG3750" s="35"/>
      <c r="AH3750" s="35"/>
      <c r="AI3750" s="35"/>
    </row>
    <row r="3751">
      <c r="A3751" s="276"/>
      <c r="B3751" s="252"/>
      <c r="C3751" s="253"/>
      <c r="D3751" s="253"/>
      <c r="E3751" s="252"/>
      <c r="F3751" s="253"/>
      <c r="G3751" s="253"/>
      <c r="H3751" s="256"/>
      <c r="I3751" s="256"/>
      <c r="J3751" s="253"/>
      <c r="K3751" s="253"/>
      <c r="L3751" s="253"/>
      <c r="M3751" s="252"/>
      <c r="N3751" s="258"/>
      <c r="O3751" s="259"/>
      <c r="P3751" s="259"/>
      <c r="Q3751" s="257"/>
      <c r="R3751" s="260"/>
      <c r="S3751" s="260"/>
      <c r="T3751" s="260"/>
      <c r="U3751" s="261"/>
      <c r="V3751" s="279"/>
      <c r="W3751" s="35"/>
      <c r="X3751" s="35"/>
      <c r="Y3751" s="35"/>
      <c r="Z3751" s="35"/>
      <c r="AA3751" s="35"/>
      <c r="AB3751" s="35"/>
      <c r="AC3751" s="35"/>
      <c r="AD3751" s="35"/>
      <c r="AE3751" s="35"/>
      <c r="AF3751" s="35"/>
      <c r="AG3751" s="35"/>
      <c r="AH3751" s="35"/>
      <c r="AI3751" s="35"/>
    </row>
    <row r="3752">
      <c r="A3752" s="276"/>
      <c r="B3752" s="252"/>
      <c r="C3752" s="253"/>
      <c r="D3752" s="253"/>
      <c r="E3752" s="252"/>
      <c r="F3752" s="253"/>
      <c r="G3752" s="253"/>
      <c r="H3752" s="256"/>
      <c r="I3752" s="256"/>
      <c r="J3752" s="253"/>
      <c r="K3752" s="253"/>
      <c r="L3752" s="253"/>
      <c r="M3752" s="252"/>
      <c r="N3752" s="258"/>
      <c r="O3752" s="259"/>
      <c r="P3752" s="259"/>
      <c r="Q3752" s="257"/>
      <c r="R3752" s="260"/>
      <c r="S3752" s="260"/>
      <c r="T3752" s="260"/>
      <c r="U3752" s="261"/>
      <c r="V3752" s="279"/>
      <c r="W3752" s="35"/>
      <c r="X3752" s="35"/>
      <c r="Y3752" s="35"/>
      <c r="Z3752" s="35"/>
      <c r="AA3752" s="35"/>
      <c r="AB3752" s="35"/>
      <c r="AC3752" s="35"/>
      <c r="AD3752" s="35"/>
      <c r="AE3752" s="35"/>
      <c r="AF3752" s="35"/>
      <c r="AG3752" s="35"/>
      <c r="AH3752" s="35"/>
      <c r="AI3752" s="35"/>
    </row>
    <row r="3753">
      <c r="A3753" s="276"/>
      <c r="B3753" s="252"/>
      <c r="C3753" s="253"/>
      <c r="D3753" s="253"/>
      <c r="E3753" s="252"/>
      <c r="F3753" s="253"/>
      <c r="G3753" s="253"/>
      <c r="H3753" s="256"/>
      <c r="I3753" s="256"/>
      <c r="J3753" s="253"/>
      <c r="K3753" s="253"/>
      <c r="L3753" s="253"/>
      <c r="M3753" s="252"/>
      <c r="N3753" s="258"/>
      <c r="O3753" s="259"/>
      <c r="P3753" s="259"/>
      <c r="Q3753" s="257"/>
      <c r="R3753" s="260"/>
      <c r="S3753" s="260"/>
      <c r="T3753" s="260"/>
      <c r="U3753" s="261"/>
      <c r="V3753" s="279"/>
      <c r="W3753" s="35"/>
      <c r="X3753" s="35"/>
      <c r="Y3753" s="35"/>
      <c r="Z3753" s="35"/>
      <c r="AA3753" s="35"/>
      <c r="AB3753" s="35"/>
      <c r="AC3753" s="35"/>
      <c r="AD3753" s="35"/>
      <c r="AE3753" s="35"/>
      <c r="AF3753" s="35"/>
      <c r="AG3753" s="35"/>
      <c r="AH3753" s="35"/>
      <c r="AI3753" s="35"/>
    </row>
    <row r="3754">
      <c r="A3754" s="276"/>
      <c r="B3754" s="252"/>
      <c r="C3754" s="253"/>
      <c r="D3754" s="253"/>
      <c r="E3754" s="252"/>
      <c r="F3754" s="253"/>
      <c r="G3754" s="253"/>
      <c r="H3754" s="256"/>
      <c r="I3754" s="256"/>
      <c r="J3754" s="253"/>
      <c r="K3754" s="253"/>
      <c r="L3754" s="253"/>
      <c r="M3754" s="252"/>
      <c r="N3754" s="258"/>
      <c r="O3754" s="259"/>
      <c r="P3754" s="259"/>
      <c r="Q3754" s="257"/>
      <c r="R3754" s="260"/>
      <c r="S3754" s="260"/>
      <c r="T3754" s="260"/>
      <c r="U3754" s="261"/>
      <c r="V3754" s="279"/>
      <c r="W3754" s="35"/>
      <c r="X3754" s="35"/>
      <c r="Y3754" s="35"/>
      <c r="Z3754" s="35"/>
      <c r="AA3754" s="35"/>
      <c r="AB3754" s="35"/>
      <c r="AC3754" s="35"/>
      <c r="AD3754" s="35"/>
      <c r="AE3754" s="35"/>
      <c r="AF3754" s="35"/>
      <c r="AG3754" s="35"/>
      <c r="AH3754" s="35"/>
      <c r="AI3754" s="35"/>
    </row>
    <row r="3755">
      <c r="A3755" s="276"/>
      <c r="B3755" s="252"/>
      <c r="C3755" s="253"/>
      <c r="D3755" s="253"/>
      <c r="E3755" s="252"/>
      <c r="F3755" s="253"/>
      <c r="G3755" s="253"/>
      <c r="H3755" s="256"/>
      <c r="I3755" s="256"/>
      <c r="J3755" s="253"/>
      <c r="K3755" s="253"/>
      <c r="L3755" s="253"/>
      <c r="M3755" s="252"/>
      <c r="N3755" s="258"/>
      <c r="O3755" s="259"/>
      <c r="P3755" s="259"/>
      <c r="Q3755" s="257"/>
      <c r="R3755" s="260"/>
      <c r="S3755" s="260"/>
      <c r="T3755" s="260"/>
      <c r="U3755" s="261"/>
      <c r="V3755" s="279"/>
      <c r="W3755" s="35"/>
      <c r="X3755" s="35"/>
      <c r="Y3755" s="35"/>
      <c r="Z3755" s="35"/>
      <c r="AA3755" s="35"/>
      <c r="AB3755" s="35"/>
      <c r="AC3755" s="35"/>
      <c r="AD3755" s="35"/>
      <c r="AE3755" s="35"/>
      <c r="AF3755" s="35"/>
      <c r="AG3755" s="35"/>
      <c r="AH3755" s="35"/>
      <c r="AI3755" s="35"/>
    </row>
    <row r="3756">
      <c r="A3756" s="276"/>
      <c r="B3756" s="252"/>
      <c r="C3756" s="253"/>
      <c r="D3756" s="253"/>
      <c r="E3756" s="252"/>
      <c r="F3756" s="253"/>
      <c r="G3756" s="253"/>
      <c r="H3756" s="256"/>
      <c r="I3756" s="256"/>
      <c r="J3756" s="253"/>
      <c r="K3756" s="253"/>
      <c r="L3756" s="253"/>
      <c r="M3756" s="252"/>
      <c r="N3756" s="258"/>
      <c r="O3756" s="259"/>
      <c r="P3756" s="259"/>
      <c r="Q3756" s="257"/>
      <c r="R3756" s="260"/>
      <c r="S3756" s="260"/>
      <c r="T3756" s="260"/>
      <c r="U3756" s="261"/>
      <c r="V3756" s="279"/>
      <c r="W3756" s="35"/>
      <c r="X3756" s="35"/>
      <c r="Y3756" s="35"/>
      <c r="Z3756" s="35"/>
      <c r="AA3756" s="35"/>
      <c r="AB3756" s="35"/>
      <c r="AC3756" s="35"/>
      <c r="AD3756" s="35"/>
      <c r="AE3756" s="35"/>
      <c r="AF3756" s="35"/>
      <c r="AG3756" s="35"/>
      <c r="AH3756" s="35"/>
      <c r="AI3756" s="35"/>
    </row>
    <row r="3757">
      <c r="A3757" s="276"/>
      <c r="B3757" s="252"/>
      <c r="C3757" s="253"/>
      <c r="D3757" s="253"/>
      <c r="E3757" s="252"/>
      <c r="F3757" s="253"/>
      <c r="G3757" s="253"/>
      <c r="H3757" s="256"/>
      <c r="I3757" s="256"/>
      <c r="J3757" s="253"/>
      <c r="K3757" s="253"/>
      <c r="L3757" s="253"/>
      <c r="M3757" s="252"/>
      <c r="N3757" s="258"/>
      <c r="O3757" s="259"/>
      <c r="P3757" s="259"/>
      <c r="Q3757" s="257"/>
      <c r="R3757" s="260"/>
      <c r="S3757" s="260"/>
      <c r="T3757" s="260"/>
      <c r="U3757" s="261"/>
      <c r="V3757" s="279"/>
      <c r="W3757" s="35"/>
      <c r="X3757" s="35"/>
      <c r="Y3757" s="35"/>
      <c r="Z3757" s="35"/>
      <c r="AA3757" s="35"/>
      <c r="AB3757" s="35"/>
      <c r="AC3757" s="35"/>
      <c r="AD3757" s="35"/>
      <c r="AE3757" s="35"/>
      <c r="AF3757" s="35"/>
      <c r="AG3757" s="35"/>
      <c r="AH3757" s="35"/>
      <c r="AI3757" s="35"/>
    </row>
    <row r="3758">
      <c r="A3758" s="276"/>
      <c r="B3758" s="252"/>
      <c r="C3758" s="253"/>
      <c r="D3758" s="253"/>
      <c r="E3758" s="252"/>
      <c r="F3758" s="253"/>
      <c r="G3758" s="253"/>
      <c r="H3758" s="256"/>
      <c r="I3758" s="256"/>
      <c r="J3758" s="253"/>
      <c r="K3758" s="253"/>
      <c r="L3758" s="253"/>
      <c r="M3758" s="252"/>
      <c r="N3758" s="258"/>
      <c r="O3758" s="259"/>
      <c r="P3758" s="259"/>
      <c r="Q3758" s="257"/>
      <c r="R3758" s="260"/>
      <c r="S3758" s="260"/>
      <c r="T3758" s="260"/>
      <c r="U3758" s="261"/>
      <c r="V3758" s="279"/>
      <c r="W3758" s="35"/>
      <c r="X3758" s="35"/>
      <c r="Y3758" s="35"/>
      <c r="Z3758" s="35"/>
      <c r="AA3758" s="35"/>
      <c r="AB3758" s="35"/>
      <c r="AC3758" s="35"/>
      <c r="AD3758" s="35"/>
      <c r="AE3758" s="35"/>
      <c r="AF3758" s="35"/>
      <c r="AG3758" s="35"/>
      <c r="AH3758" s="35"/>
      <c r="AI3758" s="35"/>
    </row>
    <row r="3759">
      <c r="A3759" s="276"/>
      <c r="B3759" s="252"/>
      <c r="C3759" s="253"/>
      <c r="D3759" s="253"/>
      <c r="E3759" s="252"/>
      <c r="F3759" s="253"/>
      <c r="G3759" s="253"/>
      <c r="H3759" s="256"/>
      <c r="I3759" s="256"/>
      <c r="J3759" s="253"/>
      <c r="K3759" s="253"/>
      <c r="L3759" s="253"/>
      <c r="M3759" s="252"/>
      <c r="N3759" s="258"/>
      <c r="O3759" s="259"/>
      <c r="P3759" s="259"/>
      <c r="Q3759" s="257"/>
      <c r="R3759" s="260"/>
      <c r="S3759" s="260"/>
      <c r="T3759" s="260"/>
      <c r="U3759" s="261"/>
      <c r="V3759" s="279"/>
      <c r="W3759" s="35"/>
      <c r="X3759" s="35"/>
      <c r="Y3759" s="35"/>
      <c r="Z3759" s="35"/>
      <c r="AA3759" s="35"/>
      <c r="AB3759" s="35"/>
      <c r="AC3759" s="35"/>
      <c r="AD3759" s="35"/>
      <c r="AE3759" s="35"/>
      <c r="AF3759" s="35"/>
      <c r="AG3759" s="35"/>
      <c r="AH3759" s="35"/>
      <c r="AI3759" s="35"/>
    </row>
    <row r="3760">
      <c r="A3760" s="276"/>
      <c r="B3760" s="252"/>
      <c r="C3760" s="253"/>
      <c r="D3760" s="253"/>
      <c r="E3760" s="252"/>
      <c r="F3760" s="253"/>
      <c r="G3760" s="253"/>
      <c r="H3760" s="256"/>
      <c r="I3760" s="256"/>
      <c r="J3760" s="253"/>
      <c r="K3760" s="253"/>
      <c r="L3760" s="253"/>
      <c r="M3760" s="252"/>
      <c r="N3760" s="258"/>
      <c r="O3760" s="259"/>
      <c r="P3760" s="259"/>
      <c r="Q3760" s="257"/>
      <c r="R3760" s="260"/>
      <c r="S3760" s="260"/>
      <c r="T3760" s="260"/>
      <c r="U3760" s="261"/>
      <c r="V3760" s="279"/>
      <c r="W3760" s="35"/>
      <c r="X3760" s="35"/>
      <c r="Y3760" s="35"/>
      <c r="Z3760" s="35"/>
      <c r="AA3760" s="35"/>
      <c r="AB3760" s="35"/>
      <c r="AC3760" s="35"/>
      <c r="AD3760" s="35"/>
      <c r="AE3760" s="35"/>
      <c r="AF3760" s="35"/>
      <c r="AG3760" s="35"/>
      <c r="AH3760" s="35"/>
      <c r="AI3760" s="35"/>
    </row>
    <row r="3761">
      <c r="A3761" s="276"/>
      <c r="B3761" s="252"/>
      <c r="C3761" s="253"/>
      <c r="D3761" s="253"/>
      <c r="E3761" s="252"/>
      <c r="F3761" s="253"/>
      <c r="G3761" s="253"/>
      <c r="H3761" s="256"/>
      <c r="I3761" s="256"/>
      <c r="J3761" s="253"/>
      <c r="K3761" s="253"/>
      <c r="L3761" s="253"/>
      <c r="M3761" s="252"/>
      <c r="N3761" s="258"/>
      <c r="O3761" s="259"/>
      <c r="P3761" s="259"/>
      <c r="Q3761" s="257"/>
      <c r="R3761" s="260"/>
      <c r="S3761" s="260"/>
      <c r="T3761" s="260"/>
      <c r="U3761" s="261"/>
      <c r="V3761" s="279"/>
      <c r="W3761" s="35"/>
      <c r="X3761" s="35"/>
      <c r="Y3761" s="35"/>
      <c r="Z3761" s="35"/>
      <c r="AA3761" s="35"/>
      <c r="AB3761" s="35"/>
      <c r="AC3761" s="35"/>
      <c r="AD3761" s="35"/>
      <c r="AE3761" s="35"/>
      <c r="AF3761" s="35"/>
      <c r="AG3761" s="35"/>
      <c r="AH3761" s="35"/>
      <c r="AI3761" s="35"/>
    </row>
    <row r="3762">
      <c r="A3762" s="276"/>
      <c r="B3762" s="252"/>
      <c r="C3762" s="253"/>
      <c r="D3762" s="253"/>
      <c r="E3762" s="252"/>
      <c r="F3762" s="253"/>
      <c r="G3762" s="253"/>
      <c r="H3762" s="256"/>
      <c r="I3762" s="256"/>
      <c r="J3762" s="253"/>
      <c r="K3762" s="253"/>
      <c r="L3762" s="253"/>
      <c r="M3762" s="252"/>
      <c r="N3762" s="258"/>
      <c r="O3762" s="259"/>
      <c r="P3762" s="259"/>
      <c r="Q3762" s="257"/>
      <c r="R3762" s="260"/>
      <c r="S3762" s="260"/>
      <c r="T3762" s="260"/>
      <c r="U3762" s="261"/>
      <c r="V3762" s="279"/>
      <c r="W3762" s="35"/>
      <c r="X3762" s="35"/>
      <c r="Y3762" s="35"/>
      <c r="Z3762" s="35"/>
      <c r="AA3762" s="35"/>
      <c r="AB3762" s="35"/>
      <c r="AC3762" s="35"/>
      <c r="AD3762" s="35"/>
      <c r="AE3762" s="35"/>
      <c r="AF3762" s="35"/>
      <c r="AG3762" s="35"/>
      <c r="AH3762" s="35"/>
      <c r="AI3762" s="35"/>
    </row>
    <row r="3763">
      <c r="A3763" s="276"/>
      <c r="B3763" s="252"/>
      <c r="C3763" s="253"/>
      <c r="D3763" s="253"/>
      <c r="E3763" s="252"/>
      <c r="F3763" s="253"/>
      <c r="G3763" s="253"/>
      <c r="H3763" s="256"/>
      <c r="I3763" s="256"/>
      <c r="J3763" s="253"/>
      <c r="K3763" s="253"/>
      <c r="L3763" s="253"/>
      <c r="M3763" s="252"/>
      <c r="N3763" s="258"/>
      <c r="O3763" s="259"/>
      <c r="P3763" s="259"/>
      <c r="Q3763" s="257"/>
      <c r="R3763" s="260"/>
      <c r="S3763" s="260"/>
      <c r="T3763" s="260"/>
      <c r="U3763" s="261"/>
      <c r="V3763" s="279"/>
      <c r="W3763" s="35"/>
      <c r="X3763" s="35"/>
      <c r="Y3763" s="35"/>
      <c r="Z3763" s="35"/>
      <c r="AA3763" s="35"/>
      <c r="AB3763" s="35"/>
      <c r="AC3763" s="35"/>
      <c r="AD3763" s="35"/>
      <c r="AE3763" s="35"/>
      <c r="AF3763" s="35"/>
      <c r="AG3763" s="35"/>
      <c r="AH3763" s="35"/>
      <c r="AI3763" s="35"/>
    </row>
    <row r="3764">
      <c r="A3764" s="276"/>
      <c r="B3764" s="252"/>
      <c r="C3764" s="253"/>
      <c r="D3764" s="253"/>
      <c r="E3764" s="252"/>
      <c r="F3764" s="253"/>
      <c r="G3764" s="253"/>
      <c r="H3764" s="256"/>
      <c r="I3764" s="256"/>
      <c r="J3764" s="253"/>
      <c r="K3764" s="253"/>
      <c r="L3764" s="253"/>
      <c r="M3764" s="252"/>
      <c r="N3764" s="258"/>
      <c r="O3764" s="259"/>
      <c r="P3764" s="259"/>
      <c r="Q3764" s="257"/>
      <c r="R3764" s="260"/>
      <c r="S3764" s="260"/>
      <c r="T3764" s="260"/>
      <c r="U3764" s="261"/>
      <c r="V3764" s="279"/>
      <c r="W3764" s="35"/>
      <c r="X3764" s="35"/>
      <c r="Y3764" s="35"/>
      <c r="Z3764" s="35"/>
      <c r="AA3764" s="35"/>
      <c r="AB3764" s="35"/>
      <c r="AC3764" s="35"/>
      <c r="AD3764" s="35"/>
      <c r="AE3764" s="35"/>
      <c r="AF3764" s="35"/>
      <c r="AG3764" s="35"/>
      <c r="AH3764" s="35"/>
      <c r="AI3764" s="35"/>
    </row>
    <row r="3765">
      <c r="A3765" s="276"/>
      <c r="B3765" s="252"/>
      <c r="C3765" s="253"/>
      <c r="D3765" s="253"/>
      <c r="E3765" s="252"/>
      <c r="F3765" s="253"/>
      <c r="G3765" s="253"/>
      <c r="H3765" s="256"/>
      <c r="I3765" s="256"/>
      <c r="J3765" s="253"/>
      <c r="K3765" s="253"/>
      <c r="L3765" s="253"/>
      <c r="M3765" s="252"/>
      <c r="N3765" s="258"/>
      <c r="O3765" s="259"/>
      <c r="P3765" s="259"/>
      <c r="Q3765" s="257"/>
      <c r="R3765" s="260"/>
      <c r="S3765" s="260"/>
      <c r="T3765" s="260"/>
      <c r="U3765" s="261"/>
      <c r="V3765" s="279"/>
      <c r="W3765" s="35"/>
      <c r="X3765" s="35"/>
      <c r="Y3765" s="35"/>
      <c r="Z3765" s="35"/>
      <c r="AA3765" s="35"/>
      <c r="AB3765" s="35"/>
      <c r="AC3765" s="35"/>
      <c r="AD3765" s="35"/>
      <c r="AE3765" s="35"/>
      <c r="AF3765" s="35"/>
      <c r="AG3765" s="35"/>
      <c r="AH3765" s="35"/>
      <c r="AI3765" s="35"/>
    </row>
    <row r="3766">
      <c r="A3766" s="276"/>
      <c r="B3766" s="252"/>
      <c r="C3766" s="253"/>
      <c r="D3766" s="253"/>
      <c r="E3766" s="252"/>
      <c r="F3766" s="253"/>
      <c r="G3766" s="253"/>
      <c r="H3766" s="256"/>
      <c r="I3766" s="256"/>
      <c r="J3766" s="253"/>
      <c r="K3766" s="253"/>
      <c r="L3766" s="253"/>
      <c r="M3766" s="252"/>
      <c r="N3766" s="258"/>
      <c r="O3766" s="259"/>
      <c r="P3766" s="259"/>
      <c r="Q3766" s="257"/>
      <c r="R3766" s="260"/>
      <c r="S3766" s="260"/>
      <c r="T3766" s="260"/>
      <c r="U3766" s="261"/>
      <c r="V3766" s="279"/>
      <c r="W3766" s="35"/>
      <c r="X3766" s="35"/>
      <c r="Y3766" s="35"/>
      <c r="Z3766" s="35"/>
      <c r="AA3766" s="35"/>
      <c r="AB3766" s="35"/>
      <c r="AC3766" s="35"/>
      <c r="AD3766" s="35"/>
      <c r="AE3766" s="35"/>
      <c r="AF3766" s="35"/>
      <c r="AG3766" s="35"/>
      <c r="AH3766" s="35"/>
      <c r="AI3766" s="35"/>
    </row>
    <row r="3767">
      <c r="A3767" s="276"/>
      <c r="B3767" s="252"/>
      <c r="C3767" s="253"/>
      <c r="D3767" s="253"/>
      <c r="E3767" s="252"/>
      <c r="F3767" s="253"/>
      <c r="G3767" s="253"/>
      <c r="H3767" s="256"/>
      <c r="I3767" s="256"/>
      <c r="J3767" s="253"/>
      <c r="K3767" s="253"/>
      <c r="L3767" s="253"/>
      <c r="M3767" s="252"/>
      <c r="N3767" s="258"/>
      <c r="O3767" s="259"/>
      <c r="P3767" s="259"/>
      <c r="Q3767" s="257"/>
      <c r="R3767" s="260"/>
      <c r="S3767" s="260"/>
      <c r="T3767" s="260"/>
      <c r="U3767" s="261"/>
      <c r="V3767" s="279"/>
      <c r="W3767" s="35"/>
      <c r="X3767" s="35"/>
      <c r="Y3767" s="35"/>
      <c r="Z3767" s="35"/>
      <c r="AA3767" s="35"/>
      <c r="AB3767" s="35"/>
      <c r="AC3767" s="35"/>
      <c r="AD3767" s="35"/>
      <c r="AE3767" s="35"/>
      <c r="AF3767" s="35"/>
      <c r="AG3767" s="35"/>
      <c r="AH3767" s="35"/>
      <c r="AI3767" s="35"/>
    </row>
    <row r="3768">
      <c r="A3768" s="276"/>
      <c r="B3768" s="252"/>
      <c r="C3768" s="253"/>
      <c r="D3768" s="253"/>
      <c r="E3768" s="252"/>
      <c r="F3768" s="253"/>
      <c r="G3768" s="253"/>
      <c r="H3768" s="256"/>
      <c r="I3768" s="256"/>
      <c r="J3768" s="253"/>
      <c r="K3768" s="253"/>
      <c r="L3768" s="253"/>
      <c r="M3768" s="252"/>
      <c r="N3768" s="258"/>
      <c r="O3768" s="259"/>
      <c r="P3768" s="259"/>
      <c r="Q3768" s="257"/>
      <c r="R3768" s="260"/>
      <c r="S3768" s="260"/>
      <c r="T3768" s="260"/>
      <c r="U3768" s="261"/>
      <c r="V3768" s="279"/>
      <c r="W3768" s="35"/>
      <c r="X3768" s="35"/>
      <c r="Y3768" s="35"/>
      <c r="Z3768" s="35"/>
      <c r="AA3768" s="35"/>
      <c r="AB3768" s="35"/>
      <c r="AC3768" s="35"/>
      <c r="AD3768" s="35"/>
      <c r="AE3768" s="35"/>
      <c r="AF3768" s="35"/>
      <c r="AG3768" s="35"/>
      <c r="AH3768" s="35"/>
      <c r="AI3768" s="35"/>
    </row>
    <row r="3769">
      <c r="A3769" s="276"/>
      <c r="B3769" s="252"/>
      <c r="C3769" s="253"/>
      <c r="D3769" s="253"/>
      <c r="E3769" s="252"/>
      <c r="F3769" s="253"/>
      <c r="G3769" s="253"/>
      <c r="H3769" s="256"/>
      <c r="I3769" s="256"/>
      <c r="J3769" s="253"/>
      <c r="K3769" s="253"/>
      <c r="L3769" s="253"/>
      <c r="M3769" s="252"/>
      <c r="N3769" s="258"/>
      <c r="O3769" s="259"/>
      <c r="P3769" s="259"/>
      <c r="Q3769" s="257"/>
      <c r="R3769" s="260"/>
      <c r="S3769" s="260"/>
      <c r="T3769" s="260"/>
      <c r="U3769" s="261"/>
      <c r="V3769" s="279"/>
      <c r="W3769" s="35"/>
      <c r="X3769" s="35"/>
      <c r="Y3769" s="35"/>
      <c r="Z3769" s="35"/>
      <c r="AA3769" s="35"/>
      <c r="AB3769" s="35"/>
      <c r="AC3769" s="35"/>
      <c r="AD3769" s="35"/>
      <c r="AE3769" s="35"/>
      <c r="AF3769" s="35"/>
      <c r="AG3769" s="35"/>
      <c r="AH3769" s="35"/>
      <c r="AI3769" s="35"/>
    </row>
    <row r="3770">
      <c r="A3770" s="276"/>
      <c r="B3770" s="252"/>
      <c r="C3770" s="253"/>
      <c r="D3770" s="253"/>
      <c r="E3770" s="252"/>
      <c r="F3770" s="253"/>
      <c r="G3770" s="253"/>
      <c r="H3770" s="256"/>
      <c r="I3770" s="256"/>
      <c r="J3770" s="253"/>
      <c r="K3770" s="253"/>
      <c r="L3770" s="253"/>
      <c r="M3770" s="252"/>
      <c r="N3770" s="258"/>
      <c r="O3770" s="259"/>
      <c r="P3770" s="259"/>
      <c r="Q3770" s="257"/>
      <c r="R3770" s="260"/>
      <c r="S3770" s="260"/>
      <c r="T3770" s="260"/>
      <c r="U3770" s="261"/>
      <c r="V3770" s="279"/>
      <c r="W3770" s="35"/>
      <c r="X3770" s="35"/>
      <c r="Y3770" s="35"/>
      <c r="Z3770" s="35"/>
      <c r="AA3770" s="35"/>
      <c r="AB3770" s="35"/>
      <c r="AC3770" s="35"/>
      <c r="AD3770" s="35"/>
      <c r="AE3770" s="35"/>
      <c r="AF3770" s="35"/>
      <c r="AG3770" s="35"/>
      <c r="AH3770" s="35"/>
      <c r="AI3770" s="35"/>
    </row>
    <row r="3771">
      <c r="A3771" s="276"/>
      <c r="B3771" s="252"/>
      <c r="C3771" s="253"/>
      <c r="D3771" s="253"/>
      <c r="E3771" s="252"/>
      <c r="F3771" s="253"/>
      <c r="G3771" s="253"/>
      <c r="H3771" s="256"/>
      <c r="I3771" s="256"/>
      <c r="J3771" s="253"/>
      <c r="K3771" s="253"/>
      <c r="L3771" s="253"/>
      <c r="M3771" s="252"/>
      <c r="N3771" s="258"/>
      <c r="O3771" s="259"/>
      <c r="P3771" s="259"/>
      <c r="Q3771" s="257"/>
      <c r="R3771" s="260"/>
      <c r="S3771" s="260"/>
      <c r="T3771" s="260"/>
      <c r="U3771" s="261"/>
      <c r="V3771" s="279"/>
      <c r="W3771" s="35"/>
      <c r="X3771" s="35"/>
      <c r="Y3771" s="35"/>
      <c r="Z3771" s="35"/>
      <c r="AA3771" s="35"/>
      <c r="AB3771" s="35"/>
      <c r="AC3771" s="35"/>
      <c r="AD3771" s="35"/>
      <c r="AE3771" s="35"/>
      <c r="AF3771" s="35"/>
      <c r="AG3771" s="35"/>
      <c r="AH3771" s="35"/>
      <c r="AI3771" s="35"/>
    </row>
    <row r="3772">
      <c r="A3772" s="276"/>
      <c r="B3772" s="252"/>
      <c r="C3772" s="253"/>
      <c r="D3772" s="253"/>
      <c r="E3772" s="252"/>
      <c r="F3772" s="253"/>
      <c r="G3772" s="253"/>
      <c r="H3772" s="256"/>
      <c r="I3772" s="256"/>
      <c r="J3772" s="253"/>
      <c r="K3772" s="253"/>
      <c r="L3772" s="253"/>
      <c r="M3772" s="252"/>
      <c r="N3772" s="258"/>
      <c r="O3772" s="259"/>
      <c r="P3772" s="259"/>
      <c r="Q3772" s="257"/>
      <c r="R3772" s="260"/>
      <c r="S3772" s="260"/>
      <c r="T3772" s="260"/>
      <c r="U3772" s="261"/>
      <c r="V3772" s="279"/>
      <c r="W3772" s="35"/>
      <c r="X3772" s="35"/>
      <c r="Y3772" s="35"/>
      <c r="Z3772" s="35"/>
      <c r="AA3772" s="35"/>
      <c r="AB3772" s="35"/>
      <c r="AC3772" s="35"/>
      <c r="AD3772" s="35"/>
      <c r="AE3772" s="35"/>
      <c r="AF3772" s="35"/>
      <c r="AG3772" s="35"/>
      <c r="AH3772" s="35"/>
      <c r="AI3772" s="35"/>
    </row>
    <row r="3773">
      <c r="A3773" s="276"/>
      <c r="B3773" s="252"/>
      <c r="C3773" s="253"/>
      <c r="D3773" s="253"/>
      <c r="E3773" s="252"/>
      <c r="F3773" s="253"/>
      <c r="G3773" s="253"/>
      <c r="H3773" s="256"/>
      <c r="I3773" s="256"/>
      <c r="J3773" s="253"/>
      <c r="K3773" s="253"/>
      <c r="L3773" s="253"/>
      <c r="M3773" s="252"/>
      <c r="N3773" s="258"/>
      <c r="O3773" s="259"/>
      <c r="P3773" s="259"/>
      <c r="Q3773" s="257"/>
      <c r="R3773" s="260"/>
      <c r="S3773" s="260"/>
      <c r="T3773" s="260"/>
      <c r="U3773" s="261"/>
      <c r="V3773" s="279"/>
      <c r="W3773" s="35"/>
      <c r="X3773" s="35"/>
      <c r="Y3773" s="35"/>
      <c r="Z3773" s="35"/>
      <c r="AA3773" s="35"/>
      <c r="AB3773" s="35"/>
      <c r="AC3773" s="35"/>
      <c r="AD3773" s="35"/>
      <c r="AE3773" s="35"/>
      <c r="AF3773" s="35"/>
      <c r="AG3773" s="35"/>
      <c r="AH3773" s="35"/>
      <c r="AI3773" s="35"/>
    </row>
    <row r="3774">
      <c r="A3774" s="276"/>
      <c r="B3774" s="252"/>
      <c r="C3774" s="253"/>
      <c r="D3774" s="253"/>
      <c r="E3774" s="252"/>
      <c r="F3774" s="253"/>
      <c r="G3774" s="253"/>
      <c r="H3774" s="256"/>
      <c r="I3774" s="256"/>
      <c r="J3774" s="253"/>
      <c r="K3774" s="253"/>
      <c r="L3774" s="253"/>
      <c r="M3774" s="252"/>
      <c r="N3774" s="258"/>
      <c r="O3774" s="259"/>
      <c r="P3774" s="259"/>
      <c r="Q3774" s="257"/>
      <c r="R3774" s="260"/>
      <c r="S3774" s="260"/>
      <c r="T3774" s="260"/>
      <c r="U3774" s="261"/>
      <c r="V3774" s="279"/>
      <c r="W3774" s="35"/>
      <c r="X3774" s="35"/>
      <c r="Y3774" s="35"/>
      <c r="Z3774" s="35"/>
      <c r="AA3774" s="35"/>
      <c r="AB3774" s="35"/>
      <c r="AC3774" s="35"/>
      <c r="AD3774" s="35"/>
      <c r="AE3774" s="35"/>
      <c r="AF3774" s="35"/>
      <c r="AG3774" s="35"/>
      <c r="AH3774" s="35"/>
      <c r="AI3774" s="35"/>
    </row>
    <row r="3775">
      <c r="A3775" s="276"/>
      <c r="B3775" s="252"/>
      <c r="C3775" s="253"/>
      <c r="D3775" s="253"/>
      <c r="E3775" s="252"/>
      <c r="F3775" s="253"/>
      <c r="G3775" s="253"/>
      <c r="H3775" s="256"/>
      <c r="I3775" s="256"/>
      <c r="J3775" s="253"/>
      <c r="K3775" s="253"/>
      <c r="L3775" s="253"/>
      <c r="M3775" s="252"/>
      <c r="N3775" s="258"/>
      <c r="O3775" s="259"/>
      <c r="P3775" s="259"/>
      <c r="Q3775" s="257"/>
      <c r="R3775" s="260"/>
      <c r="S3775" s="260"/>
      <c r="T3775" s="260"/>
      <c r="U3775" s="261"/>
      <c r="V3775" s="279"/>
      <c r="W3775" s="35"/>
      <c r="X3775" s="35"/>
      <c r="Y3775" s="35"/>
      <c r="Z3775" s="35"/>
      <c r="AA3775" s="35"/>
      <c r="AB3775" s="35"/>
      <c r="AC3775" s="35"/>
      <c r="AD3775" s="35"/>
      <c r="AE3775" s="35"/>
      <c r="AF3775" s="35"/>
      <c r="AG3775" s="35"/>
      <c r="AH3775" s="35"/>
      <c r="AI3775" s="35"/>
    </row>
    <row r="3776">
      <c r="A3776" s="276"/>
      <c r="B3776" s="252"/>
      <c r="C3776" s="253"/>
      <c r="D3776" s="253"/>
      <c r="E3776" s="252"/>
      <c r="F3776" s="253"/>
      <c r="G3776" s="253"/>
      <c r="H3776" s="256"/>
      <c r="I3776" s="256"/>
      <c r="J3776" s="253"/>
      <c r="K3776" s="253"/>
      <c r="L3776" s="253"/>
      <c r="M3776" s="252"/>
      <c r="N3776" s="258"/>
      <c r="O3776" s="259"/>
      <c r="P3776" s="259"/>
      <c r="Q3776" s="257"/>
      <c r="R3776" s="260"/>
      <c r="S3776" s="260"/>
      <c r="T3776" s="260"/>
      <c r="U3776" s="261"/>
      <c r="V3776" s="279"/>
      <c r="W3776" s="35"/>
      <c r="X3776" s="35"/>
      <c r="Y3776" s="35"/>
      <c r="Z3776" s="35"/>
      <c r="AA3776" s="35"/>
      <c r="AB3776" s="35"/>
      <c r="AC3776" s="35"/>
      <c r="AD3776" s="35"/>
      <c r="AE3776" s="35"/>
      <c r="AF3776" s="35"/>
      <c r="AG3776" s="35"/>
      <c r="AH3776" s="35"/>
      <c r="AI3776" s="35"/>
    </row>
    <row r="3777">
      <c r="A3777" s="276"/>
      <c r="B3777" s="252"/>
      <c r="C3777" s="253"/>
      <c r="D3777" s="253"/>
      <c r="E3777" s="252"/>
      <c r="F3777" s="253"/>
      <c r="G3777" s="253"/>
      <c r="H3777" s="256"/>
      <c r="I3777" s="256"/>
      <c r="J3777" s="253"/>
      <c r="K3777" s="253"/>
      <c r="L3777" s="253"/>
      <c r="M3777" s="252"/>
      <c r="N3777" s="258"/>
      <c r="O3777" s="259"/>
      <c r="P3777" s="259"/>
      <c r="Q3777" s="257"/>
      <c r="R3777" s="260"/>
      <c r="S3777" s="260"/>
      <c r="T3777" s="260"/>
      <c r="U3777" s="261"/>
      <c r="V3777" s="279"/>
      <c r="W3777" s="35"/>
      <c r="X3777" s="35"/>
      <c r="Y3777" s="35"/>
      <c r="Z3777" s="35"/>
      <c r="AA3777" s="35"/>
      <c r="AB3777" s="35"/>
      <c r="AC3777" s="35"/>
      <c r="AD3777" s="35"/>
      <c r="AE3777" s="35"/>
      <c r="AF3777" s="35"/>
      <c r="AG3777" s="35"/>
      <c r="AH3777" s="35"/>
      <c r="AI3777" s="35"/>
    </row>
    <row r="3778">
      <c r="A3778" s="276"/>
      <c r="B3778" s="252"/>
      <c r="C3778" s="253"/>
      <c r="D3778" s="253"/>
      <c r="E3778" s="252"/>
      <c r="F3778" s="253"/>
      <c r="G3778" s="253"/>
      <c r="H3778" s="256"/>
      <c r="I3778" s="256"/>
      <c r="J3778" s="253"/>
      <c r="K3778" s="253"/>
      <c r="L3778" s="253"/>
      <c r="M3778" s="252"/>
      <c r="N3778" s="258"/>
      <c r="O3778" s="259"/>
      <c r="P3778" s="259"/>
      <c r="Q3778" s="257"/>
      <c r="R3778" s="260"/>
      <c r="S3778" s="260"/>
      <c r="T3778" s="260"/>
      <c r="U3778" s="261"/>
      <c r="V3778" s="279"/>
      <c r="W3778" s="35"/>
      <c r="X3778" s="35"/>
      <c r="Y3778" s="35"/>
      <c r="Z3778" s="35"/>
      <c r="AA3778" s="35"/>
      <c r="AB3778" s="35"/>
      <c r="AC3778" s="35"/>
      <c r="AD3778" s="35"/>
      <c r="AE3778" s="35"/>
      <c r="AF3778" s="35"/>
      <c r="AG3778" s="35"/>
      <c r="AH3778" s="35"/>
      <c r="AI3778" s="35"/>
    </row>
    <row r="3779">
      <c r="A3779" s="276"/>
      <c r="B3779" s="252"/>
      <c r="C3779" s="253"/>
      <c r="D3779" s="253"/>
      <c r="E3779" s="252"/>
      <c r="F3779" s="253"/>
      <c r="G3779" s="253"/>
      <c r="H3779" s="256"/>
      <c r="I3779" s="256"/>
      <c r="J3779" s="253"/>
      <c r="K3779" s="253"/>
      <c r="L3779" s="253"/>
      <c r="M3779" s="252"/>
      <c r="N3779" s="258"/>
      <c r="O3779" s="259"/>
      <c r="P3779" s="259"/>
      <c r="Q3779" s="257"/>
      <c r="R3779" s="260"/>
      <c r="S3779" s="260"/>
      <c r="T3779" s="260"/>
      <c r="U3779" s="261"/>
      <c r="V3779" s="279"/>
      <c r="W3779" s="35"/>
      <c r="X3779" s="35"/>
      <c r="Y3779" s="35"/>
      <c r="Z3779" s="35"/>
      <c r="AA3779" s="35"/>
      <c r="AB3779" s="35"/>
      <c r="AC3779" s="35"/>
      <c r="AD3779" s="35"/>
      <c r="AE3779" s="35"/>
      <c r="AF3779" s="35"/>
      <c r="AG3779" s="35"/>
      <c r="AH3779" s="35"/>
      <c r="AI3779" s="35"/>
    </row>
    <row r="3780">
      <c r="A3780" s="276"/>
      <c r="B3780" s="252"/>
      <c r="C3780" s="253"/>
      <c r="D3780" s="253"/>
      <c r="E3780" s="252"/>
      <c r="F3780" s="253"/>
      <c r="G3780" s="253"/>
      <c r="H3780" s="256"/>
      <c r="I3780" s="256"/>
      <c r="J3780" s="253"/>
      <c r="K3780" s="253"/>
      <c r="L3780" s="253"/>
      <c r="M3780" s="252"/>
      <c r="N3780" s="258"/>
      <c r="O3780" s="259"/>
      <c r="P3780" s="259"/>
      <c r="Q3780" s="257"/>
      <c r="R3780" s="260"/>
      <c r="S3780" s="260"/>
      <c r="T3780" s="260"/>
      <c r="U3780" s="261"/>
      <c r="V3780" s="279"/>
      <c r="W3780" s="35"/>
      <c r="X3780" s="35"/>
      <c r="Y3780" s="35"/>
      <c r="Z3780" s="35"/>
      <c r="AA3780" s="35"/>
      <c r="AB3780" s="35"/>
      <c r="AC3780" s="35"/>
      <c r="AD3780" s="35"/>
      <c r="AE3780" s="35"/>
      <c r="AF3780" s="35"/>
      <c r="AG3780" s="35"/>
      <c r="AH3780" s="35"/>
      <c r="AI3780" s="35"/>
    </row>
    <row r="3781">
      <c r="A3781" s="276"/>
      <c r="B3781" s="252"/>
      <c r="C3781" s="253"/>
      <c r="D3781" s="253"/>
      <c r="E3781" s="252"/>
      <c r="F3781" s="253"/>
      <c r="G3781" s="253"/>
      <c r="H3781" s="256"/>
      <c r="I3781" s="256"/>
      <c r="J3781" s="253"/>
      <c r="K3781" s="253"/>
      <c r="L3781" s="253"/>
      <c r="M3781" s="252"/>
      <c r="N3781" s="258"/>
      <c r="O3781" s="259"/>
      <c r="P3781" s="259"/>
      <c r="Q3781" s="257"/>
      <c r="R3781" s="260"/>
      <c r="S3781" s="260"/>
      <c r="T3781" s="260"/>
      <c r="U3781" s="261"/>
      <c r="V3781" s="279"/>
      <c r="W3781" s="35"/>
      <c r="X3781" s="35"/>
      <c r="Y3781" s="35"/>
      <c r="Z3781" s="35"/>
      <c r="AA3781" s="35"/>
      <c r="AB3781" s="35"/>
      <c r="AC3781" s="35"/>
      <c r="AD3781" s="35"/>
      <c r="AE3781" s="35"/>
      <c r="AF3781" s="35"/>
      <c r="AG3781" s="35"/>
      <c r="AH3781" s="35"/>
      <c r="AI3781" s="35"/>
    </row>
    <row r="3782">
      <c r="A3782" s="276"/>
      <c r="B3782" s="252"/>
      <c r="C3782" s="253"/>
      <c r="D3782" s="253"/>
      <c r="E3782" s="252"/>
      <c r="F3782" s="253"/>
      <c r="G3782" s="253"/>
      <c r="H3782" s="256"/>
      <c r="I3782" s="256"/>
      <c r="J3782" s="253"/>
      <c r="K3782" s="253"/>
      <c r="L3782" s="253"/>
      <c r="M3782" s="252"/>
      <c r="N3782" s="258"/>
      <c r="O3782" s="259"/>
      <c r="P3782" s="259"/>
      <c r="Q3782" s="257"/>
      <c r="R3782" s="260"/>
      <c r="S3782" s="260"/>
      <c r="T3782" s="260"/>
      <c r="U3782" s="261"/>
      <c r="V3782" s="279"/>
      <c r="W3782" s="35"/>
      <c r="X3782" s="35"/>
      <c r="Y3782" s="35"/>
      <c r="Z3782" s="35"/>
      <c r="AA3782" s="35"/>
      <c r="AB3782" s="35"/>
      <c r="AC3782" s="35"/>
      <c r="AD3782" s="35"/>
      <c r="AE3782" s="35"/>
      <c r="AF3782" s="35"/>
      <c r="AG3782" s="35"/>
      <c r="AH3782" s="35"/>
      <c r="AI3782" s="35"/>
    </row>
    <row r="3783">
      <c r="A3783" s="276"/>
      <c r="B3783" s="252"/>
      <c r="C3783" s="253"/>
      <c r="D3783" s="253"/>
      <c r="E3783" s="252"/>
      <c r="F3783" s="253"/>
      <c r="G3783" s="253"/>
      <c r="H3783" s="256"/>
      <c r="I3783" s="256"/>
      <c r="J3783" s="253"/>
      <c r="K3783" s="253"/>
      <c r="L3783" s="253"/>
      <c r="M3783" s="252"/>
      <c r="N3783" s="258"/>
      <c r="O3783" s="259"/>
      <c r="P3783" s="259"/>
      <c r="Q3783" s="257"/>
      <c r="R3783" s="260"/>
      <c r="S3783" s="260"/>
      <c r="T3783" s="260"/>
      <c r="U3783" s="261"/>
      <c r="V3783" s="279"/>
      <c r="W3783" s="35"/>
      <c r="X3783" s="35"/>
      <c r="Y3783" s="35"/>
      <c r="Z3783" s="35"/>
      <c r="AA3783" s="35"/>
      <c r="AB3783" s="35"/>
      <c r="AC3783" s="35"/>
      <c r="AD3783" s="35"/>
      <c r="AE3783" s="35"/>
      <c r="AF3783" s="35"/>
      <c r="AG3783" s="35"/>
      <c r="AH3783" s="35"/>
      <c r="AI3783" s="35"/>
    </row>
    <row r="3784">
      <c r="A3784" s="276"/>
      <c r="B3784" s="252"/>
      <c r="C3784" s="253"/>
      <c r="D3784" s="253"/>
      <c r="E3784" s="252"/>
      <c r="F3784" s="253"/>
      <c r="G3784" s="253"/>
      <c r="H3784" s="256"/>
      <c r="I3784" s="256"/>
      <c r="J3784" s="253"/>
      <c r="K3784" s="253"/>
      <c r="L3784" s="253"/>
      <c r="M3784" s="252"/>
      <c r="N3784" s="258"/>
      <c r="O3784" s="259"/>
      <c r="P3784" s="259"/>
      <c r="Q3784" s="257"/>
      <c r="R3784" s="260"/>
      <c r="S3784" s="260"/>
      <c r="T3784" s="260"/>
      <c r="U3784" s="261"/>
      <c r="V3784" s="279"/>
      <c r="W3784" s="35"/>
      <c r="X3784" s="35"/>
      <c r="Y3784" s="35"/>
      <c r="Z3784" s="35"/>
      <c r="AA3784" s="35"/>
      <c r="AB3784" s="35"/>
      <c r="AC3784" s="35"/>
      <c r="AD3784" s="35"/>
      <c r="AE3784" s="35"/>
      <c r="AF3784" s="35"/>
      <c r="AG3784" s="35"/>
      <c r="AH3784" s="35"/>
      <c r="AI3784" s="35"/>
    </row>
    <row r="3785">
      <c r="A3785" s="276"/>
      <c r="B3785" s="252"/>
      <c r="C3785" s="253"/>
      <c r="D3785" s="253"/>
      <c r="E3785" s="252"/>
      <c r="F3785" s="253"/>
      <c r="G3785" s="253"/>
      <c r="H3785" s="256"/>
      <c r="I3785" s="256"/>
      <c r="J3785" s="253"/>
      <c r="K3785" s="253"/>
      <c r="L3785" s="253"/>
      <c r="M3785" s="252"/>
      <c r="N3785" s="258"/>
      <c r="O3785" s="259"/>
      <c r="P3785" s="259"/>
      <c r="Q3785" s="257"/>
      <c r="R3785" s="260"/>
      <c r="S3785" s="260"/>
      <c r="T3785" s="260"/>
      <c r="U3785" s="261"/>
      <c r="V3785" s="279"/>
      <c r="W3785" s="35"/>
      <c r="X3785" s="35"/>
      <c r="Y3785" s="35"/>
      <c r="Z3785" s="35"/>
      <c r="AA3785" s="35"/>
      <c r="AB3785" s="35"/>
      <c r="AC3785" s="35"/>
      <c r="AD3785" s="35"/>
      <c r="AE3785" s="35"/>
      <c r="AF3785" s="35"/>
      <c r="AG3785" s="35"/>
      <c r="AH3785" s="35"/>
      <c r="AI3785" s="35"/>
    </row>
    <row r="3786">
      <c r="A3786" s="276"/>
      <c r="B3786" s="252"/>
      <c r="C3786" s="253"/>
      <c r="D3786" s="253"/>
      <c r="E3786" s="252"/>
      <c r="F3786" s="253"/>
      <c r="G3786" s="253"/>
      <c r="H3786" s="256"/>
      <c r="I3786" s="256"/>
      <c r="J3786" s="253"/>
      <c r="K3786" s="253"/>
      <c r="L3786" s="253"/>
      <c r="M3786" s="252"/>
      <c r="N3786" s="258"/>
      <c r="O3786" s="259"/>
      <c r="P3786" s="259"/>
      <c r="Q3786" s="257"/>
      <c r="R3786" s="260"/>
      <c r="S3786" s="260"/>
      <c r="T3786" s="260"/>
      <c r="U3786" s="261"/>
      <c r="V3786" s="279"/>
      <c r="W3786" s="35"/>
      <c r="X3786" s="35"/>
      <c r="Y3786" s="35"/>
      <c r="Z3786" s="35"/>
      <c r="AA3786" s="35"/>
      <c r="AB3786" s="35"/>
      <c r="AC3786" s="35"/>
      <c r="AD3786" s="35"/>
      <c r="AE3786" s="35"/>
      <c r="AF3786" s="35"/>
      <c r="AG3786" s="35"/>
      <c r="AH3786" s="35"/>
      <c r="AI3786" s="35"/>
    </row>
    <row r="3787">
      <c r="A3787" s="276"/>
      <c r="B3787" s="252"/>
      <c r="C3787" s="253"/>
      <c r="D3787" s="253"/>
      <c r="E3787" s="252"/>
      <c r="F3787" s="253"/>
      <c r="G3787" s="253"/>
      <c r="H3787" s="256"/>
      <c r="I3787" s="256"/>
      <c r="J3787" s="253"/>
      <c r="K3787" s="253"/>
      <c r="L3787" s="253"/>
      <c r="M3787" s="252"/>
      <c r="N3787" s="258"/>
      <c r="O3787" s="259"/>
      <c r="P3787" s="259"/>
      <c r="Q3787" s="257"/>
      <c r="R3787" s="260"/>
      <c r="S3787" s="260"/>
      <c r="T3787" s="260"/>
      <c r="U3787" s="261"/>
      <c r="V3787" s="279"/>
      <c r="W3787" s="35"/>
      <c r="X3787" s="35"/>
      <c r="Y3787" s="35"/>
      <c r="Z3787" s="35"/>
      <c r="AA3787" s="35"/>
      <c r="AB3787" s="35"/>
      <c r="AC3787" s="35"/>
      <c r="AD3787" s="35"/>
      <c r="AE3787" s="35"/>
      <c r="AF3787" s="35"/>
      <c r="AG3787" s="35"/>
      <c r="AH3787" s="35"/>
      <c r="AI3787" s="35"/>
    </row>
    <row r="3788">
      <c r="A3788" s="276"/>
      <c r="B3788" s="252"/>
      <c r="C3788" s="253"/>
      <c r="D3788" s="253"/>
      <c r="E3788" s="252"/>
      <c r="F3788" s="253"/>
      <c r="G3788" s="253"/>
      <c r="H3788" s="256"/>
      <c r="I3788" s="256"/>
      <c r="J3788" s="253"/>
      <c r="K3788" s="253"/>
      <c r="L3788" s="253"/>
      <c r="M3788" s="252"/>
      <c r="N3788" s="258"/>
      <c r="O3788" s="259"/>
      <c r="P3788" s="259"/>
      <c r="Q3788" s="257"/>
      <c r="R3788" s="260"/>
      <c r="S3788" s="260"/>
      <c r="T3788" s="260"/>
      <c r="U3788" s="261"/>
      <c r="V3788" s="279"/>
      <c r="W3788" s="35"/>
      <c r="X3788" s="35"/>
      <c r="Y3788" s="35"/>
      <c r="Z3788" s="35"/>
      <c r="AA3788" s="35"/>
      <c r="AB3788" s="35"/>
      <c r="AC3788" s="35"/>
      <c r="AD3788" s="35"/>
      <c r="AE3788" s="35"/>
      <c r="AF3788" s="35"/>
      <c r="AG3788" s="35"/>
      <c r="AH3788" s="35"/>
      <c r="AI3788" s="35"/>
    </row>
    <row r="3789">
      <c r="A3789" s="276"/>
      <c r="B3789" s="252"/>
      <c r="C3789" s="253"/>
      <c r="D3789" s="253"/>
      <c r="E3789" s="252"/>
      <c r="F3789" s="253"/>
      <c r="G3789" s="253"/>
      <c r="H3789" s="256"/>
      <c r="I3789" s="256"/>
      <c r="J3789" s="253"/>
      <c r="K3789" s="253"/>
      <c r="L3789" s="253"/>
      <c r="M3789" s="252"/>
      <c r="N3789" s="258"/>
      <c r="O3789" s="259"/>
      <c r="P3789" s="259"/>
      <c r="Q3789" s="257"/>
      <c r="R3789" s="260"/>
      <c r="S3789" s="260"/>
      <c r="T3789" s="260"/>
      <c r="U3789" s="261"/>
      <c r="V3789" s="279"/>
      <c r="W3789" s="35"/>
      <c r="X3789" s="35"/>
      <c r="Y3789" s="35"/>
      <c r="Z3789" s="35"/>
      <c r="AA3789" s="35"/>
      <c r="AB3789" s="35"/>
      <c r="AC3789" s="35"/>
      <c r="AD3789" s="35"/>
      <c r="AE3789" s="35"/>
      <c r="AF3789" s="35"/>
      <c r="AG3789" s="35"/>
      <c r="AH3789" s="35"/>
      <c r="AI3789" s="35"/>
    </row>
    <row r="3790">
      <c r="A3790" s="276"/>
      <c r="B3790" s="252"/>
      <c r="C3790" s="253"/>
      <c r="D3790" s="253"/>
      <c r="E3790" s="252"/>
      <c r="F3790" s="253"/>
      <c r="G3790" s="253"/>
      <c r="H3790" s="256"/>
      <c r="I3790" s="256"/>
      <c r="J3790" s="253"/>
      <c r="K3790" s="253"/>
      <c r="L3790" s="253"/>
      <c r="M3790" s="252"/>
      <c r="N3790" s="258"/>
      <c r="O3790" s="259"/>
      <c r="P3790" s="259"/>
      <c r="Q3790" s="257"/>
      <c r="R3790" s="260"/>
      <c r="S3790" s="260"/>
      <c r="T3790" s="260"/>
      <c r="U3790" s="261"/>
      <c r="V3790" s="279"/>
      <c r="W3790" s="35"/>
      <c r="X3790" s="35"/>
      <c r="Y3790" s="35"/>
      <c r="Z3790" s="35"/>
      <c r="AA3790" s="35"/>
      <c r="AB3790" s="35"/>
      <c r="AC3790" s="35"/>
      <c r="AD3790" s="35"/>
      <c r="AE3790" s="35"/>
      <c r="AF3790" s="35"/>
      <c r="AG3790" s="35"/>
      <c r="AH3790" s="35"/>
      <c r="AI3790" s="35"/>
    </row>
    <row r="3791">
      <c r="A3791" s="276"/>
      <c r="B3791" s="252"/>
      <c r="C3791" s="253"/>
      <c r="D3791" s="253"/>
      <c r="E3791" s="252"/>
      <c r="F3791" s="253"/>
      <c r="G3791" s="253"/>
      <c r="H3791" s="256"/>
      <c r="I3791" s="256"/>
      <c r="J3791" s="253"/>
      <c r="K3791" s="253"/>
      <c r="L3791" s="253"/>
      <c r="M3791" s="252"/>
      <c r="N3791" s="258"/>
      <c r="O3791" s="259"/>
      <c r="P3791" s="259"/>
      <c r="Q3791" s="257"/>
      <c r="R3791" s="260"/>
      <c r="S3791" s="260"/>
      <c r="T3791" s="260"/>
      <c r="U3791" s="261"/>
      <c r="V3791" s="279"/>
      <c r="W3791" s="35"/>
      <c r="X3791" s="35"/>
      <c r="Y3791" s="35"/>
      <c r="Z3791" s="35"/>
      <c r="AA3791" s="35"/>
      <c r="AB3791" s="35"/>
      <c r="AC3791" s="35"/>
      <c r="AD3791" s="35"/>
      <c r="AE3791" s="35"/>
      <c r="AF3791" s="35"/>
      <c r="AG3791" s="35"/>
      <c r="AH3791" s="35"/>
      <c r="AI3791" s="35"/>
    </row>
    <row r="3792">
      <c r="A3792" s="276"/>
      <c r="B3792" s="252"/>
      <c r="C3792" s="253"/>
      <c r="D3792" s="253"/>
      <c r="E3792" s="252"/>
      <c r="F3792" s="253"/>
      <c r="G3792" s="253"/>
      <c r="H3792" s="256"/>
      <c r="I3792" s="256"/>
      <c r="J3792" s="253"/>
      <c r="K3792" s="253"/>
      <c r="L3792" s="253"/>
      <c r="M3792" s="252"/>
      <c r="N3792" s="258"/>
      <c r="O3792" s="259"/>
      <c r="P3792" s="259"/>
      <c r="Q3792" s="257"/>
      <c r="R3792" s="260"/>
      <c r="S3792" s="260"/>
      <c r="T3792" s="260"/>
      <c r="U3792" s="261"/>
      <c r="V3792" s="279"/>
      <c r="W3792" s="35"/>
      <c r="X3792" s="35"/>
      <c r="Y3792" s="35"/>
      <c r="Z3792" s="35"/>
      <c r="AA3792" s="35"/>
      <c r="AB3792" s="35"/>
      <c r="AC3792" s="35"/>
      <c r="AD3792" s="35"/>
      <c r="AE3792" s="35"/>
      <c r="AF3792" s="35"/>
      <c r="AG3792" s="35"/>
      <c r="AH3792" s="35"/>
      <c r="AI3792" s="35"/>
    </row>
    <row r="3793">
      <c r="A3793" s="276"/>
      <c r="B3793" s="252"/>
      <c r="C3793" s="253"/>
      <c r="D3793" s="253"/>
      <c r="E3793" s="252"/>
      <c r="F3793" s="253"/>
      <c r="G3793" s="253"/>
      <c r="H3793" s="256"/>
      <c r="I3793" s="256"/>
      <c r="J3793" s="253"/>
      <c r="K3793" s="253"/>
      <c r="L3793" s="253"/>
      <c r="M3793" s="252"/>
      <c r="N3793" s="258"/>
      <c r="O3793" s="259"/>
      <c r="P3793" s="259"/>
      <c r="Q3793" s="257"/>
      <c r="R3793" s="260"/>
      <c r="S3793" s="260"/>
      <c r="T3793" s="260"/>
      <c r="U3793" s="261"/>
      <c r="V3793" s="279"/>
      <c r="W3793" s="35"/>
      <c r="X3793" s="35"/>
      <c r="Y3793" s="35"/>
      <c r="Z3793" s="35"/>
      <c r="AA3793" s="35"/>
      <c r="AB3793" s="35"/>
      <c r="AC3793" s="35"/>
      <c r="AD3793" s="35"/>
      <c r="AE3793" s="35"/>
      <c r="AF3793" s="35"/>
      <c r="AG3793" s="35"/>
      <c r="AH3793" s="35"/>
      <c r="AI3793" s="35"/>
    </row>
    <row r="3794">
      <c r="A3794" s="276"/>
      <c r="B3794" s="252"/>
      <c r="C3794" s="253"/>
      <c r="D3794" s="253"/>
      <c r="E3794" s="252"/>
      <c r="F3794" s="253"/>
      <c r="G3794" s="253"/>
      <c r="H3794" s="256"/>
      <c r="I3794" s="256"/>
      <c r="J3794" s="253"/>
      <c r="K3794" s="253"/>
      <c r="L3794" s="253"/>
      <c r="M3794" s="252"/>
      <c r="N3794" s="258"/>
      <c r="O3794" s="259"/>
      <c r="P3794" s="259"/>
      <c r="Q3794" s="257"/>
      <c r="R3794" s="260"/>
      <c r="S3794" s="260"/>
      <c r="T3794" s="260"/>
      <c r="U3794" s="261"/>
      <c r="V3794" s="279"/>
      <c r="W3794" s="35"/>
      <c r="X3794" s="35"/>
      <c r="Y3794" s="35"/>
      <c r="Z3794" s="35"/>
      <c r="AA3794" s="35"/>
      <c r="AB3794" s="35"/>
      <c r="AC3794" s="35"/>
      <c r="AD3794" s="35"/>
      <c r="AE3794" s="35"/>
      <c r="AF3794" s="35"/>
      <c r="AG3794" s="35"/>
      <c r="AH3794" s="35"/>
      <c r="AI3794" s="35"/>
    </row>
    <row r="3795">
      <c r="A3795" s="276"/>
      <c r="B3795" s="252"/>
      <c r="C3795" s="253"/>
      <c r="D3795" s="253"/>
      <c r="E3795" s="252"/>
      <c r="F3795" s="253"/>
      <c r="G3795" s="253"/>
      <c r="H3795" s="256"/>
      <c r="I3795" s="256"/>
      <c r="J3795" s="253"/>
      <c r="K3795" s="253"/>
      <c r="L3795" s="253"/>
      <c r="M3795" s="252"/>
      <c r="N3795" s="258"/>
      <c r="O3795" s="259"/>
      <c r="P3795" s="259"/>
      <c r="Q3795" s="257"/>
      <c r="R3795" s="260"/>
      <c r="S3795" s="260"/>
      <c r="T3795" s="260"/>
      <c r="U3795" s="261"/>
      <c r="V3795" s="279"/>
      <c r="W3795" s="35"/>
      <c r="X3795" s="35"/>
      <c r="Y3795" s="35"/>
      <c r="Z3795" s="35"/>
      <c r="AA3795" s="35"/>
      <c r="AB3795" s="35"/>
      <c r="AC3795" s="35"/>
      <c r="AD3795" s="35"/>
      <c r="AE3795" s="35"/>
      <c r="AF3795" s="35"/>
      <c r="AG3795" s="35"/>
      <c r="AH3795" s="35"/>
      <c r="AI3795" s="35"/>
    </row>
    <row r="3796">
      <c r="A3796" s="276"/>
      <c r="B3796" s="252"/>
      <c r="C3796" s="253"/>
      <c r="D3796" s="253"/>
      <c r="E3796" s="252"/>
      <c r="F3796" s="253"/>
      <c r="G3796" s="253"/>
      <c r="H3796" s="256"/>
      <c r="I3796" s="256"/>
      <c r="J3796" s="253"/>
      <c r="K3796" s="253"/>
      <c r="L3796" s="253"/>
      <c r="M3796" s="252"/>
      <c r="N3796" s="258"/>
      <c r="O3796" s="259"/>
      <c r="P3796" s="259"/>
      <c r="Q3796" s="257"/>
      <c r="R3796" s="260"/>
      <c r="S3796" s="260"/>
      <c r="T3796" s="260"/>
      <c r="U3796" s="261"/>
      <c r="V3796" s="279"/>
      <c r="W3796" s="35"/>
      <c r="X3796" s="35"/>
      <c r="Y3796" s="35"/>
      <c r="Z3796" s="35"/>
      <c r="AA3796" s="35"/>
      <c r="AB3796" s="35"/>
      <c r="AC3796" s="35"/>
      <c r="AD3796" s="35"/>
      <c r="AE3796" s="35"/>
      <c r="AF3796" s="35"/>
      <c r="AG3796" s="35"/>
      <c r="AH3796" s="35"/>
      <c r="AI3796" s="35"/>
    </row>
    <row r="3797">
      <c r="A3797" s="276"/>
      <c r="B3797" s="252"/>
      <c r="C3797" s="253"/>
      <c r="D3797" s="253"/>
      <c r="E3797" s="252"/>
      <c r="F3797" s="253"/>
      <c r="G3797" s="253"/>
      <c r="H3797" s="256"/>
      <c r="I3797" s="256"/>
      <c r="J3797" s="253"/>
      <c r="K3797" s="253"/>
      <c r="L3797" s="253"/>
      <c r="M3797" s="252"/>
      <c r="N3797" s="258"/>
      <c r="O3797" s="259"/>
      <c r="P3797" s="259"/>
      <c r="Q3797" s="257"/>
      <c r="R3797" s="260"/>
      <c r="S3797" s="260"/>
      <c r="T3797" s="260"/>
      <c r="U3797" s="261"/>
      <c r="V3797" s="279"/>
      <c r="W3797" s="35"/>
      <c r="X3797" s="35"/>
      <c r="Y3797" s="35"/>
      <c r="Z3797" s="35"/>
      <c r="AA3797" s="35"/>
      <c r="AB3797" s="35"/>
      <c r="AC3797" s="35"/>
      <c r="AD3797" s="35"/>
      <c r="AE3797" s="35"/>
      <c r="AF3797" s="35"/>
      <c r="AG3797" s="35"/>
      <c r="AH3797" s="35"/>
      <c r="AI3797" s="35"/>
    </row>
    <row r="3798">
      <c r="A3798" s="276"/>
      <c r="B3798" s="252"/>
      <c r="C3798" s="253"/>
      <c r="D3798" s="253"/>
      <c r="E3798" s="252"/>
      <c r="F3798" s="253"/>
      <c r="G3798" s="253"/>
      <c r="H3798" s="256"/>
      <c r="I3798" s="256"/>
      <c r="J3798" s="253"/>
      <c r="K3798" s="253"/>
      <c r="L3798" s="253"/>
      <c r="M3798" s="252"/>
      <c r="N3798" s="258"/>
      <c r="O3798" s="259"/>
      <c r="P3798" s="259"/>
      <c r="Q3798" s="257"/>
      <c r="R3798" s="260"/>
      <c r="S3798" s="260"/>
      <c r="T3798" s="260"/>
      <c r="U3798" s="261"/>
      <c r="V3798" s="279"/>
      <c r="W3798" s="35"/>
      <c r="X3798" s="35"/>
      <c r="Y3798" s="35"/>
      <c r="Z3798" s="35"/>
      <c r="AA3798" s="35"/>
      <c r="AB3798" s="35"/>
      <c r="AC3798" s="35"/>
      <c r="AD3798" s="35"/>
      <c r="AE3798" s="35"/>
      <c r="AF3798" s="35"/>
      <c r="AG3798" s="35"/>
      <c r="AH3798" s="35"/>
      <c r="AI3798" s="35"/>
    </row>
    <row r="3799">
      <c r="A3799" s="276"/>
      <c r="B3799" s="252"/>
      <c r="C3799" s="253"/>
      <c r="D3799" s="253"/>
      <c r="E3799" s="252"/>
      <c r="F3799" s="253"/>
      <c r="G3799" s="253"/>
      <c r="H3799" s="256"/>
      <c r="I3799" s="256"/>
      <c r="J3799" s="253"/>
      <c r="K3799" s="253"/>
      <c r="L3799" s="253"/>
      <c r="M3799" s="252"/>
      <c r="N3799" s="258"/>
      <c r="O3799" s="259"/>
      <c r="P3799" s="259"/>
      <c r="Q3799" s="257"/>
      <c r="R3799" s="260"/>
      <c r="S3799" s="260"/>
      <c r="T3799" s="260"/>
      <c r="U3799" s="261"/>
      <c r="V3799" s="279"/>
      <c r="W3799" s="35"/>
      <c r="X3799" s="35"/>
      <c r="Y3799" s="35"/>
      <c r="Z3799" s="35"/>
      <c r="AA3799" s="35"/>
      <c r="AB3799" s="35"/>
      <c r="AC3799" s="35"/>
      <c r="AD3799" s="35"/>
      <c r="AE3799" s="35"/>
      <c r="AF3799" s="35"/>
      <c r="AG3799" s="35"/>
      <c r="AH3799" s="35"/>
      <c r="AI3799" s="35"/>
    </row>
    <row r="3800">
      <c r="A3800" s="276"/>
      <c r="B3800" s="252"/>
      <c r="C3800" s="253"/>
      <c r="D3800" s="253"/>
      <c r="E3800" s="252"/>
      <c r="F3800" s="253"/>
      <c r="G3800" s="253"/>
      <c r="H3800" s="256"/>
      <c r="I3800" s="256"/>
      <c r="J3800" s="253"/>
      <c r="K3800" s="253"/>
      <c r="L3800" s="253"/>
      <c r="M3800" s="252"/>
      <c r="N3800" s="258"/>
      <c r="O3800" s="259"/>
      <c r="P3800" s="259"/>
      <c r="Q3800" s="257"/>
      <c r="R3800" s="260"/>
      <c r="S3800" s="260"/>
      <c r="T3800" s="260"/>
      <c r="U3800" s="261"/>
      <c r="V3800" s="279"/>
      <c r="W3800" s="35"/>
      <c r="X3800" s="35"/>
      <c r="Y3800" s="35"/>
      <c r="Z3800" s="35"/>
      <c r="AA3800" s="35"/>
      <c r="AB3800" s="35"/>
      <c r="AC3800" s="35"/>
      <c r="AD3800" s="35"/>
      <c r="AE3800" s="35"/>
      <c r="AF3800" s="35"/>
      <c r="AG3800" s="35"/>
      <c r="AH3800" s="35"/>
      <c r="AI3800" s="35"/>
    </row>
    <row r="3801">
      <c r="A3801" s="276"/>
      <c r="B3801" s="252"/>
      <c r="C3801" s="253"/>
      <c r="D3801" s="253"/>
      <c r="E3801" s="252"/>
      <c r="F3801" s="253"/>
      <c r="G3801" s="253"/>
      <c r="H3801" s="256"/>
      <c r="I3801" s="256"/>
      <c r="J3801" s="253"/>
      <c r="K3801" s="253"/>
      <c r="L3801" s="253"/>
      <c r="M3801" s="252"/>
      <c r="N3801" s="258"/>
      <c r="O3801" s="259"/>
      <c r="P3801" s="259"/>
      <c r="Q3801" s="257"/>
      <c r="R3801" s="260"/>
      <c r="S3801" s="260"/>
      <c r="T3801" s="260"/>
      <c r="U3801" s="261"/>
      <c r="V3801" s="279"/>
      <c r="W3801" s="35"/>
      <c r="X3801" s="35"/>
      <c r="Y3801" s="35"/>
      <c r="Z3801" s="35"/>
      <c r="AA3801" s="35"/>
      <c r="AB3801" s="35"/>
      <c r="AC3801" s="35"/>
      <c r="AD3801" s="35"/>
      <c r="AE3801" s="35"/>
      <c r="AF3801" s="35"/>
      <c r="AG3801" s="35"/>
      <c r="AH3801" s="35"/>
      <c r="AI3801" s="35"/>
    </row>
    <row r="3802">
      <c r="A3802" s="276"/>
      <c r="B3802" s="252"/>
      <c r="C3802" s="253"/>
      <c r="D3802" s="253"/>
      <c r="E3802" s="252"/>
      <c r="F3802" s="253"/>
      <c r="G3802" s="253"/>
      <c r="H3802" s="256"/>
      <c r="I3802" s="256"/>
      <c r="J3802" s="253"/>
      <c r="K3802" s="253"/>
      <c r="L3802" s="253"/>
      <c r="M3802" s="252"/>
      <c r="N3802" s="258"/>
      <c r="O3802" s="259"/>
      <c r="P3802" s="259"/>
      <c r="Q3802" s="257"/>
      <c r="R3802" s="260"/>
      <c r="S3802" s="260"/>
      <c r="T3802" s="260"/>
      <c r="U3802" s="261"/>
      <c r="V3802" s="279"/>
      <c r="W3802" s="35"/>
      <c r="X3802" s="35"/>
      <c r="Y3802" s="35"/>
      <c r="Z3802" s="35"/>
      <c r="AA3802" s="35"/>
      <c r="AB3802" s="35"/>
      <c r="AC3802" s="35"/>
      <c r="AD3802" s="35"/>
      <c r="AE3802" s="35"/>
      <c r="AF3802" s="35"/>
      <c r="AG3802" s="35"/>
      <c r="AH3802" s="35"/>
      <c r="AI3802" s="35"/>
    </row>
    <row r="3803">
      <c r="A3803" s="276"/>
      <c r="B3803" s="252"/>
      <c r="C3803" s="253"/>
      <c r="D3803" s="253"/>
      <c r="E3803" s="252"/>
      <c r="F3803" s="253"/>
      <c r="G3803" s="253"/>
      <c r="H3803" s="256"/>
      <c r="I3803" s="256"/>
      <c r="J3803" s="253"/>
      <c r="K3803" s="253"/>
      <c r="L3803" s="253"/>
      <c r="M3803" s="252"/>
      <c r="N3803" s="258"/>
      <c r="O3803" s="259"/>
      <c r="P3803" s="259"/>
      <c r="Q3803" s="257"/>
      <c r="R3803" s="260"/>
      <c r="S3803" s="260"/>
      <c r="T3803" s="260"/>
      <c r="U3803" s="261"/>
      <c r="V3803" s="279"/>
      <c r="W3803" s="35"/>
      <c r="X3803" s="35"/>
      <c r="Y3803" s="35"/>
      <c r="Z3803" s="35"/>
      <c r="AA3803" s="35"/>
      <c r="AB3803" s="35"/>
      <c r="AC3803" s="35"/>
      <c r="AD3803" s="35"/>
      <c r="AE3803" s="35"/>
      <c r="AF3803" s="35"/>
      <c r="AG3803" s="35"/>
      <c r="AH3803" s="35"/>
      <c r="AI3803" s="35"/>
    </row>
    <row r="3804">
      <c r="A3804" s="276"/>
      <c r="B3804" s="252"/>
      <c r="C3804" s="253"/>
      <c r="D3804" s="253"/>
      <c r="E3804" s="252"/>
      <c r="F3804" s="253"/>
      <c r="G3804" s="253"/>
      <c r="H3804" s="256"/>
      <c r="I3804" s="256"/>
      <c r="J3804" s="253"/>
      <c r="K3804" s="253"/>
      <c r="L3804" s="253"/>
      <c r="M3804" s="252"/>
      <c r="N3804" s="258"/>
      <c r="O3804" s="259"/>
      <c r="P3804" s="259"/>
      <c r="Q3804" s="257"/>
      <c r="R3804" s="260"/>
      <c r="S3804" s="260"/>
      <c r="T3804" s="260"/>
      <c r="U3804" s="261"/>
      <c r="V3804" s="279"/>
      <c r="W3804" s="35"/>
      <c r="X3804" s="35"/>
      <c r="Y3804" s="35"/>
      <c r="Z3804" s="35"/>
      <c r="AA3804" s="35"/>
      <c r="AB3804" s="35"/>
      <c r="AC3804" s="35"/>
      <c r="AD3804" s="35"/>
      <c r="AE3804" s="35"/>
      <c r="AF3804" s="35"/>
      <c r="AG3804" s="35"/>
      <c r="AH3804" s="35"/>
      <c r="AI3804" s="35"/>
    </row>
    <row r="3805">
      <c r="A3805" s="276"/>
      <c r="B3805" s="252"/>
      <c r="C3805" s="253"/>
      <c r="D3805" s="253"/>
      <c r="E3805" s="252"/>
      <c r="F3805" s="253"/>
      <c r="G3805" s="253"/>
      <c r="H3805" s="256"/>
      <c r="I3805" s="256"/>
      <c r="J3805" s="253"/>
      <c r="K3805" s="253"/>
      <c r="L3805" s="253"/>
      <c r="M3805" s="252"/>
      <c r="N3805" s="258"/>
      <c r="O3805" s="259"/>
      <c r="P3805" s="259"/>
      <c r="Q3805" s="257"/>
      <c r="R3805" s="260"/>
      <c r="S3805" s="260"/>
      <c r="T3805" s="260"/>
      <c r="U3805" s="261"/>
      <c r="V3805" s="279"/>
      <c r="W3805" s="35"/>
      <c r="X3805" s="35"/>
      <c r="Y3805" s="35"/>
      <c r="Z3805" s="35"/>
      <c r="AA3805" s="35"/>
      <c r="AB3805" s="35"/>
      <c r="AC3805" s="35"/>
      <c r="AD3805" s="35"/>
      <c r="AE3805" s="35"/>
      <c r="AF3805" s="35"/>
      <c r="AG3805" s="35"/>
      <c r="AH3805" s="35"/>
      <c r="AI3805" s="35"/>
    </row>
    <row r="3806">
      <c r="A3806" s="276"/>
      <c r="B3806" s="252"/>
      <c r="C3806" s="253"/>
      <c r="D3806" s="253"/>
      <c r="E3806" s="252"/>
      <c r="F3806" s="253"/>
      <c r="G3806" s="253"/>
      <c r="H3806" s="256"/>
      <c r="I3806" s="256"/>
      <c r="J3806" s="253"/>
      <c r="K3806" s="253"/>
      <c r="L3806" s="253"/>
      <c r="M3806" s="252"/>
      <c r="N3806" s="258"/>
      <c r="O3806" s="259"/>
      <c r="P3806" s="259"/>
      <c r="Q3806" s="257"/>
      <c r="R3806" s="260"/>
      <c r="S3806" s="260"/>
      <c r="T3806" s="260"/>
      <c r="U3806" s="261"/>
      <c r="V3806" s="279"/>
      <c r="W3806" s="35"/>
      <c r="X3806" s="35"/>
      <c r="Y3806" s="35"/>
      <c r="Z3806" s="35"/>
      <c r="AA3806" s="35"/>
      <c r="AB3806" s="35"/>
      <c r="AC3806" s="35"/>
      <c r="AD3806" s="35"/>
      <c r="AE3806" s="35"/>
      <c r="AF3806" s="35"/>
      <c r="AG3806" s="35"/>
      <c r="AH3806" s="35"/>
      <c r="AI3806" s="35"/>
    </row>
    <row r="3807">
      <c r="A3807" s="276"/>
      <c r="B3807" s="252"/>
      <c r="C3807" s="253"/>
      <c r="D3807" s="253"/>
      <c r="E3807" s="252"/>
      <c r="F3807" s="253"/>
      <c r="G3807" s="253"/>
      <c r="H3807" s="256"/>
      <c r="I3807" s="256"/>
      <c r="J3807" s="253"/>
      <c r="K3807" s="253"/>
      <c r="L3807" s="253"/>
      <c r="M3807" s="252"/>
      <c r="N3807" s="258"/>
      <c r="O3807" s="259"/>
      <c r="P3807" s="259"/>
      <c r="Q3807" s="257"/>
      <c r="R3807" s="260"/>
      <c r="S3807" s="260"/>
      <c r="T3807" s="260"/>
      <c r="U3807" s="261"/>
      <c r="V3807" s="279"/>
      <c r="W3807" s="35"/>
      <c r="X3807" s="35"/>
      <c r="Y3807" s="35"/>
      <c r="Z3807" s="35"/>
      <c r="AA3807" s="35"/>
      <c r="AB3807" s="35"/>
      <c r="AC3807" s="35"/>
      <c r="AD3807" s="35"/>
      <c r="AE3807" s="35"/>
      <c r="AF3807" s="35"/>
      <c r="AG3807" s="35"/>
      <c r="AH3807" s="35"/>
      <c r="AI3807" s="35"/>
    </row>
    <row r="3808">
      <c r="A3808" s="276"/>
      <c r="B3808" s="252"/>
      <c r="C3808" s="253"/>
      <c r="D3808" s="253"/>
      <c r="E3808" s="252"/>
      <c r="F3808" s="253"/>
      <c r="G3808" s="253"/>
      <c r="H3808" s="256"/>
      <c r="I3808" s="256"/>
      <c r="J3808" s="253"/>
      <c r="K3808" s="253"/>
      <c r="L3808" s="253"/>
      <c r="M3808" s="252"/>
      <c r="N3808" s="258"/>
      <c r="O3808" s="259"/>
      <c r="P3808" s="259"/>
      <c r="Q3808" s="257"/>
      <c r="R3808" s="260"/>
      <c r="S3808" s="260"/>
      <c r="T3808" s="260"/>
      <c r="U3808" s="261"/>
      <c r="V3808" s="279"/>
      <c r="W3808" s="35"/>
      <c r="X3808" s="35"/>
      <c r="Y3808" s="35"/>
      <c r="Z3808" s="35"/>
      <c r="AA3808" s="35"/>
      <c r="AB3808" s="35"/>
      <c r="AC3808" s="35"/>
      <c r="AD3808" s="35"/>
      <c r="AE3808" s="35"/>
      <c r="AF3808" s="35"/>
      <c r="AG3808" s="35"/>
      <c r="AH3808" s="35"/>
      <c r="AI3808" s="35"/>
    </row>
    <row r="3809">
      <c r="A3809" s="276"/>
      <c r="B3809" s="252"/>
      <c r="C3809" s="253"/>
      <c r="D3809" s="253"/>
      <c r="E3809" s="252"/>
      <c r="F3809" s="253"/>
      <c r="G3809" s="253"/>
      <c r="H3809" s="256"/>
      <c r="I3809" s="256"/>
      <c r="J3809" s="253"/>
      <c r="K3809" s="253"/>
      <c r="L3809" s="253"/>
      <c r="M3809" s="252"/>
      <c r="N3809" s="258"/>
      <c r="O3809" s="259"/>
      <c r="P3809" s="259"/>
      <c r="Q3809" s="257"/>
      <c r="R3809" s="260"/>
      <c r="S3809" s="260"/>
      <c r="T3809" s="260"/>
      <c r="U3809" s="261"/>
      <c r="V3809" s="279"/>
      <c r="W3809" s="35"/>
      <c r="X3809" s="35"/>
      <c r="Y3809" s="35"/>
      <c r="Z3809" s="35"/>
      <c r="AA3809" s="35"/>
      <c r="AB3809" s="35"/>
      <c r="AC3809" s="35"/>
      <c r="AD3809" s="35"/>
      <c r="AE3809" s="35"/>
      <c r="AF3809" s="35"/>
      <c r="AG3809" s="35"/>
      <c r="AH3809" s="35"/>
      <c r="AI3809" s="35"/>
    </row>
    <row r="3810">
      <c r="A3810" s="276"/>
      <c r="B3810" s="252"/>
      <c r="C3810" s="253"/>
      <c r="D3810" s="253"/>
      <c r="E3810" s="252"/>
      <c r="F3810" s="253"/>
      <c r="G3810" s="253"/>
      <c r="H3810" s="256"/>
      <c r="I3810" s="256"/>
      <c r="J3810" s="253"/>
      <c r="K3810" s="253"/>
      <c r="L3810" s="253"/>
      <c r="M3810" s="252"/>
      <c r="N3810" s="258"/>
      <c r="O3810" s="259"/>
      <c r="P3810" s="259"/>
      <c r="Q3810" s="257"/>
      <c r="R3810" s="260"/>
      <c r="S3810" s="260"/>
      <c r="T3810" s="260"/>
      <c r="U3810" s="261"/>
      <c r="V3810" s="279"/>
      <c r="W3810" s="35"/>
      <c r="X3810" s="35"/>
      <c r="Y3810" s="35"/>
      <c r="Z3810" s="35"/>
      <c r="AA3810" s="35"/>
      <c r="AB3810" s="35"/>
      <c r="AC3810" s="35"/>
      <c r="AD3810" s="35"/>
      <c r="AE3810" s="35"/>
      <c r="AF3810" s="35"/>
      <c r="AG3810" s="35"/>
      <c r="AH3810" s="35"/>
      <c r="AI3810" s="35"/>
    </row>
    <row r="3811">
      <c r="A3811" s="276"/>
      <c r="B3811" s="252"/>
      <c r="C3811" s="253"/>
      <c r="D3811" s="253"/>
      <c r="E3811" s="252"/>
      <c r="F3811" s="253"/>
      <c r="G3811" s="253"/>
      <c r="H3811" s="256"/>
      <c r="I3811" s="256"/>
      <c r="J3811" s="253"/>
      <c r="K3811" s="253"/>
      <c r="L3811" s="253"/>
      <c r="M3811" s="252"/>
      <c r="N3811" s="258"/>
      <c r="O3811" s="259"/>
      <c r="P3811" s="259"/>
      <c r="Q3811" s="257"/>
      <c r="R3811" s="260"/>
      <c r="S3811" s="260"/>
      <c r="T3811" s="260"/>
      <c r="U3811" s="261"/>
      <c r="V3811" s="279"/>
      <c r="W3811" s="35"/>
      <c r="X3811" s="35"/>
      <c r="Y3811" s="35"/>
      <c r="Z3811" s="35"/>
      <c r="AA3811" s="35"/>
      <c r="AB3811" s="35"/>
      <c r="AC3811" s="35"/>
      <c r="AD3811" s="35"/>
      <c r="AE3811" s="35"/>
      <c r="AF3811" s="35"/>
      <c r="AG3811" s="35"/>
      <c r="AH3811" s="35"/>
      <c r="AI3811" s="35"/>
    </row>
    <row r="3812">
      <c r="A3812" s="276"/>
      <c r="B3812" s="252"/>
      <c r="C3812" s="253"/>
      <c r="D3812" s="253"/>
      <c r="E3812" s="252"/>
      <c r="F3812" s="253"/>
      <c r="G3812" s="253"/>
      <c r="H3812" s="256"/>
      <c r="I3812" s="256"/>
      <c r="J3812" s="253"/>
      <c r="K3812" s="253"/>
      <c r="L3812" s="253"/>
      <c r="M3812" s="252"/>
      <c r="N3812" s="258"/>
      <c r="O3812" s="259"/>
      <c r="P3812" s="259"/>
      <c r="Q3812" s="257"/>
      <c r="R3812" s="260"/>
      <c r="S3812" s="260"/>
      <c r="T3812" s="260"/>
      <c r="U3812" s="261"/>
      <c r="V3812" s="279"/>
      <c r="W3812" s="35"/>
      <c r="X3812" s="35"/>
      <c r="Y3812" s="35"/>
      <c r="Z3812" s="35"/>
      <c r="AA3812" s="35"/>
      <c r="AB3812" s="35"/>
      <c r="AC3812" s="35"/>
      <c r="AD3812" s="35"/>
      <c r="AE3812" s="35"/>
      <c r="AF3812" s="35"/>
      <c r="AG3812" s="35"/>
      <c r="AH3812" s="35"/>
      <c r="AI3812" s="35"/>
    </row>
    <row r="3813">
      <c r="A3813" s="276"/>
      <c r="B3813" s="252"/>
      <c r="C3813" s="253"/>
      <c r="D3813" s="253"/>
      <c r="E3813" s="252"/>
      <c r="F3813" s="253"/>
      <c r="G3813" s="253"/>
      <c r="H3813" s="256"/>
      <c r="I3813" s="256"/>
      <c r="J3813" s="253"/>
      <c r="K3813" s="253"/>
      <c r="L3813" s="253"/>
      <c r="M3813" s="252"/>
      <c r="N3813" s="258"/>
      <c r="O3813" s="259"/>
      <c r="P3813" s="259"/>
      <c r="Q3813" s="257"/>
      <c r="R3813" s="260"/>
      <c r="S3813" s="260"/>
      <c r="T3813" s="260"/>
      <c r="U3813" s="261"/>
      <c r="V3813" s="279"/>
      <c r="W3813" s="35"/>
      <c r="X3813" s="35"/>
      <c r="Y3813" s="35"/>
      <c r="Z3813" s="35"/>
      <c r="AA3813" s="35"/>
      <c r="AB3813" s="35"/>
      <c r="AC3813" s="35"/>
      <c r="AD3813" s="35"/>
      <c r="AE3813" s="35"/>
      <c r="AF3813" s="35"/>
      <c r="AG3813" s="35"/>
      <c r="AH3813" s="35"/>
      <c r="AI3813" s="35"/>
    </row>
    <row r="3814">
      <c r="A3814" s="276"/>
      <c r="B3814" s="252"/>
      <c r="C3814" s="253"/>
      <c r="D3814" s="253"/>
      <c r="E3814" s="252"/>
      <c r="F3814" s="253"/>
      <c r="G3814" s="253"/>
      <c r="H3814" s="256"/>
      <c r="I3814" s="256"/>
      <c r="J3814" s="253"/>
      <c r="K3814" s="253"/>
      <c r="L3814" s="253"/>
      <c r="M3814" s="252"/>
      <c r="N3814" s="258"/>
      <c r="O3814" s="259"/>
      <c r="P3814" s="259"/>
      <c r="Q3814" s="257"/>
      <c r="R3814" s="260"/>
      <c r="S3814" s="260"/>
      <c r="T3814" s="260"/>
      <c r="U3814" s="261"/>
      <c r="V3814" s="279"/>
      <c r="W3814" s="35"/>
      <c r="X3814" s="35"/>
      <c r="Y3814" s="35"/>
      <c r="Z3814" s="35"/>
      <c r="AA3814" s="35"/>
      <c r="AB3814" s="35"/>
      <c r="AC3814" s="35"/>
      <c r="AD3814" s="35"/>
      <c r="AE3814" s="35"/>
      <c r="AF3814" s="35"/>
      <c r="AG3814" s="35"/>
      <c r="AH3814" s="35"/>
      <c r="AI3814" s="35"/>
    </row>
    <row r="3815">
      <c r="A3815" s="276"/>
      <c r="B3815" s="252"/>
      <c r="C3815" s="253"/>
      <c r="D3815" s="253"/>
      <c r="E3815" s="252"/>
      <c r="F3815" s="253"/>
      <c r="G3815" s="253"/>
      <c r="H3815" s="256"/>
      <c r="I3815" s="256"/>
      <c r="J3815" s="253"/>
      <c r="K3815" s="253"/>
      <c r="L3815" s="253"/>
      <c r="M3815" s="252"/>
      <c r="N3815" s="258"/>
      <c r="O3815" s="259"/>
      <c r="P3815" s="259"/>
      <c r="Q3815" s="257"/>
      <c r="R3815" s="260"/>
      <c r="S3815" s="260"/>
      <c r="T3815" s="260"/>
      <c r="U3815" s="261"/>
      <c r="V3815" s="279"/>
      <c r="W3815" s="35"/>
      <c r="X3815" s="35"/>
      <c r="Y3815" s="35"/>
      <c r="Z3815" s="35"/>
      <c r="AA3815" s="35"/>
      <c r="AB3815" s="35"/>
      <c r="AC3815" s="35"/>
      <c r="AD3815" s="35"/>
      <c r="AE3815" s="35"/>
      <c r="AF3815" s="35"/>
      <c r="AG3815" s="35"/>
      <c r="AH3815" s="35"/>
      <c r="AI3815" s="35"/>
    </row>
    <row r="3816">
      <c r="A3816" s="276"/>
      <c r="B3816" s="252"/>
      <c r="C3816" s="253"/>
      <c r="D3816" s="253"/>
      <c r="E3816" s="252"/>
      <c r="F3816" s="253"/>
      <c r="G3816" s="253"/>
      <c r="H3816" s="256"/>
      <c r="I3816" s="256"/>
      <c r="J3816" s="253"/>
      <c r="K3816" s="253"/>
      <c r="L3816" s="253"/>
      <c r="M3816" s="252"/>
      <c r="N3816" s="258"/>
      <c r="O3816" s="259"/>
      <c r="P3816" s="259"/>
      <c r="Q3816" s="257"/>
      <c r="R3816" s="260"/>
      <c r="S3816" s="260"/>
      <c r="T3816" s="260"/>
      <c r="U3816" s="261"/>
      <c r="V3816" s="279"/>
      <c r="W3816" s="35"/>
      <c r="X3816" s="35"/>
      <c r="Y3816" s="35"/>
      <c r="Z3816" s="35"/>
      <c r="AA3816" s="35"/>
      <c r="AB3816" s="35"/>
      <c r="AC3816" s="35"/>
      <c r="AD3816" s="35"/>
      <c r="AE3816" s="35"/>
      <c r="AF3816" s="35"/>
      <c r="AG3816" s="35"/>
      <c r="AH3816" s="35"/>
      <c r="AI3816" s="35"/>
    </row>
    <row r="3817">
      <c r="A3817" s="276"/>
      <c r="B3817" s="252"/>
      <c r="C3817" s="253"/>
      <c r="D3817" s="253"/>
      <c r="E3817" s="252"/>
      <c r="F3817" s="253"/>
      <c r="G3817" s="253"/>
      <c r="H3817" s="256"/>
      <c r="I3817" s="256"/>
      <c r="J3817" s="253"/>
      <c r="K3817" s="253"/>
      <c r="L3817" s="253"/>
      <c r="M3817" s="252"/>
      <c r="N3817" s="258"/>
      <c r="O3817" s="259"/>
      <c r="P3817" s="259"/>
      <c r="Q3817" s="257"/>
      <c r="R3817" s="260"/>
      <c r="S3817" s="260"/>
      <c r="T3817" s="260"/>
      <c r="U3817" s="261"/>
      <c r="V3817" s="279"/>
      <c r="W3817" s="35"/>
      <c r="X3817" s="35"/>
      <c r="Y3817" s="35"/>
      <c r="Z3817" s="35"/>
      <c r="AA3817" s="35"/>
      <c r="AB3817" s="35"/>
      <c r="AC3817" s="35"/>
      <c r="AD3817" s="35"/>
      <c r="AE3817" s="35"/>
      <c r="AF3817" s="35"/>
      <c r="AG3817" s="35"/>
      <c r="AH3817" s="35"/>
      <c r="AI3817" s="35"/>
    </row>
    <row r="3818">
      <c r="A3818" s="276"/>
      <c r="B3818" s="252"/>
      <c r="C3818" s="253"/>
      <c r="D3818" s="253"/>
      <c r="E3818" s="252"/>
      <c r="F3818" s="253"/>
      <c r="G3818" s="253"/>
      <c r="H3818" s="256"/>
      <c r="I3818" s="256"/>
      <c r="J3818" s="253"/>
      <c r="K3818" s="253"/>
      <c r="L3818" s="253"/>
      <c r="M3818" s="252"/>
      <c r="N3818" s="258"/>
      <c r="O3818" s="259"/>
      <c r="P3818" s="259"/>
      <c r="Q3818" s="257"/>
      <c r="R3818" s="260"/>
      <c r="S3818" s="260"/>
      <c r="T3818" s="260"/>
      <c r="U3818" s="261"/>
      <c r="V3818" s="279"/>
      <c r="W3818" s="35"/>
      <c r="X3818" s="35"/>
      <c r="Y3818" s="35"/>
      <c r="Z3818" s="35"/>
      <c r="AA3818" s="35"/>
      <c r="AB3818" s="35"/>
      <c r="AC3818" s="35"/>
      <c r="AD3818" s="35"/>
      <c r="AE3818" s="35"/>
      <c r="AF3818" s="35"/>
      <c r="AG3818" s="35"/>
      <c r="AH3818" s="35"/>
      <c r="AI3818" s="35"/>
    </row>
    <row r="3819">
      <c r="A3819" s="276"/>
      <c r="B3819" s="252"/>
      <c r="C3819" s="253"/>
      <c r="D3819" s="253"/>
      <c r="E3819" s="252"/>
      <c r="F3819" s="253"/>
      <c r="G3819" s="253"/>
      <c r="H3819" s="256"/>
      <c r="I3819" s="256"/>
      <c r="J3819" s="253"/>
      <c r="K3819" s="253"/>
      <c r="L3819" s="253"/>
      <c r="M3819" s="252"/>
      <c r="N3819" s="258"/>
      <c r="O3819" s="259"/>
      <c r="P3819" s="259"/>
      <c r="Q3819" s="257"/>
      <c r="R3819" s="260"/>
      <c r="S3819" s="260"/>
      <c r="T3819" s="260"/>
      <c r="U3819" s="261"/>
      <c r="V3819" s="279"/>
      <c r="W3819" s="35"/>
      <c r="X3819" s="35"/>
      <c r="Y3819" s="35"/>
      <c r="Z3819" s="35"/>
      <c r="AA3819" s="35"/>
      <c r="AB3819" s="35"/>
      <c r="AC3819" s="35"/>
      <c r="AD3819" s="35"/>
      <c r="AE3819" s="35"/>
      <c r="AF3819" s="35"/>
      <c r="AG3819" s="35"/>
      <c r="AH3819" s="35"/>
      <c r="AI3819" s="35"/>
    </row>
    <row r="3820">
      <c r="A3820" s="276"/>
      <c r="B3820" s="252"/>
      <c r="C3820" s="253"/>
      <c r="D3820" s="253"/>
      <c r="E3820" s="252"/>
      <c r="F3820" s="253"/>
      <c r="G3820" s="253"/>
      <c r="H3820" s="256"/>
      <c r="I3820" s="256"/>
      <c r="J3820" s="253"/>
      <c r="K3820" s="253"/>
      <c r="L3820" s="253"/>
      <c r="M3820" s="252"/>
      <c r="N3820" s="258"/>
      <c r="O3820" s="259"/>
      <c r="P3820" s="259"/>
      <c r="Q3820" s="257"/>
      <c r="R3820" s="260"/>
      <c r="S3820" s="260"/>
      <c r="T3820" s="260"/>
      <c r="U3820" s="261"/>
      <c r="V3820" s="279"/>
      <c r="W3820" s="35"/>
      <c r="X3820" s="35"/>
      <c r="Y3820" s="35"/>
      <c r="Z3820" s="35"/>
      <c r="AA3820" s="35"/>
      <c r="AB3820" s="35"/>
      <c r="AC3820" s="35"/>
      <c r="AD3820" s="35"/>
      <c r="AE3820" s="35"/>
      <c r="AF3820" s="35"/>
      <c r="AG3820" s="35"/>
      <c r="AH3820" s="35"/>
      <c r="AI3820" s="35"/>
    </row>
    <row r="3821">
      <c r="A3821" s="276"/>
      <c r="B3821" s="252"/>
      <c r="C3821" s="253"/>
      <c r="D3821" s="253"/>
      <c r="E3821" s="252"/>
      <c r="F3821" s="253"/>
      <c r="G3821" s="253"/>
      <c r="H3821" s="256"/>
      <c r="I3821" s="256"/>
      <c r="J3821" s="253"/>
      <c r="K3821" s="253"/>
      <c r="L3821" s="253"/>
      <c r="M3821" s="252"/>
      <c r="N3821" s="258"/>
      <c r="O3821" s="259"/>
      <c r="P3821" s="259"/>
      <c r="Q3821" s="257"/>
      <c r="R3821" s="260"/>
      <c r="S3821" s="260"/>
      <c r="T3821" s="260"/>
      <c r="U3821" s="261"/>
      <c r="V3821" s="279"/>
      <c r="W3821" s="35"/>
      <c r="X3821" s="35"/>
      <c r="Y3821" s="35"/>
      <c r="Z3821" s="35"/>
      <c r="AA3821" s="35"/>
      <c r="AB3821" s="35"/>
      <c r="AC3821" s="35"/>
      <c r="AD3821" s="35"/>
      <c r="AE3821" s="35"/>
      <c r="AF3821" s="35"/>
      <c r="AG3821" s="35"/>
      <c r="AH3821" s="35"/>
      <c r="AI3821" s="35"/>
    </row>
    <row r="3822">
      <c r="A3822" s="276"/>
      <c r="B3822" s="252"/>
      <c r="C3822" s="253"/>
      <c r="D3822" s="253"/>
      <c r="E3822" s="252"/>
      <c r="F3822" s="253"/>
      <c r="G3822" s="253"/>
      <c r="H3822" s="256"/>
      <c r="I3822" s="256"/>
      <c r="J3822" s="253"/>
      <c r="K3822" s="253"/>
      <c r="L3822" s="253"/>
      <c r="M3822" s="252"/>
      <c r="N3822" s="258"/>
      <c r="O3822" s="259"/>
      <c r="P3822" s="259"/>
      <c r="Q3822" s="257"/>
      <c r="R3822" s="260"/>
      <c r="S3822" s="260"/>
      <c r="T3822" s="260"/>
      <c r="U3822" s="261"/>
      <c r="V3822" s="279"/>
      <c r="W3822" s="35"/>
      <c r="X3822" s="35"/>
      <c r="Y3822" s="35"/>
      <c r="Z3822" s="35"/>
      <c r="AA3822" s="35"/>
      <c r="AB3822" s="35"/>
      <c r="AC3822" s="35"/>
      <c r="AD3822" s="35"/>
      <c r="AE3822" s="35"/>
      <c r="AF3822" s="35"/>
      <c r="AG3822" s="35"/>
      <c r="AH3822" s="35"/>
      <c r="AI3822" s="35"/>
    </row>
    <row r="3823">
      <c r="A3823" s="276"/>
      <c r="B3823" s="252"/>
      <c r="C3823" s="253"/>
      <c r="D3823" s="253"/>
      <c r="E3823" s="252"/>
      <c r="F3823" s="253"/>
      <c r="G3823" s="253"/>
      <c r="H3823" s="256"/>
      <c r="I3823" s="256"/>
      <c r="J3823" s="253"/>
      <c r="K3823" s="253"/>
      <c r="L3823" s="253"/>
      <c r="M3823" s="252"/>
      <c r="N3823" s="258"/>
      <c r="O3823" s="259"/>
      <c r="P3823" s="259"/>
      <c r="Q3823" s="257"/>
      <c r="R3823" s="260"/>
      <c r="S3823" s="260"/>
      <c r="T3823" s="260"/>
      <c r="U3823" s="261"/>
      <c r="V3823" s="279"/>
      <c r="W3823" s="35"/>
      <c r="X3823" s="35"/>
      <c r="Y3823" s="35"/>
      <c r="Z3823" s="35"/>
      <c r="AA3823" s="35"/>
      <c r="AB3823" s="35"/>
      <c r="AC3823" s="35"/>
      <c r="AD3823" s="35"/>
      <c r="AE3823" s="35"/>
      <c r="AF3823" s="35"/>
      <c r="AG3823" s="35"/>
      <c r="AH3823" s="35"/>
      <c r="AI3823" s="35"/>
    </row>
    <row r="3824">
      <c r="A3824" s="276"/>
      <c r="B3824" s="252"/>
      <c r="C3824" s="253"/>
      <c r="D3824" s="253"/>
      <c r="E3824" s="252"/>
      <c r="F3824" s="253"/>
      <c r="G3824" s="253"/>
      <c r="H3824" s="256"/>
      <c r="I3824" s="256"/>
      <c r="J3824" s="253"/>
      <c r="K3824" s="253"/>
      <c r="L3824" s="253"/>
      <c r="M3824" s="252"/>
      <c r="N3824" s="258"/>
      <c r="O3824" s="259"/>
      <c r="P3824" s="259"/>
      <c r="Q3824" s="257"/>
      <c r="R3824" s="260"/>
      <c r="S3824" s="260"/>
      <c r="T3824" s="260"/>
      <c r="U3824" s="261"/>
      <c r="V3824" s="279"/>
      <c r="W3824" s="35"/>
      <c r="X3824" s="35"/>
      <c r="Y3824" s="35"/>
      <c r="Z3824" s="35"/>
      <c r="AA3824" s="35"/>
      <c r="AB3824" s="35"/>
      <c r="AC3824" s="35"/>
      <c r="AD3824" s="35"/>
      <c r="AE3824" s="35"/>
      <c r="AF3824" s="35"/>
      <c r="AG3824" s="35"/>
      <c r="AH3824" s="35"/>
      <c r="AI3824" s="35"/>
    </row>
    <row r="3825">
      <c r="A3825" s="276"/>
      <c r="B3825" s="252"/>
      <c r="C3825" s="253"/>
      <c r="D3825" s="253"/>
      <c r="E3825" s="252"/>
      <c r="F3825" s="253"/>
      <c r="G3825" s="253"/>
      <c r="H3825" s="256"/>
      <c r="I3825" s="256"/>
      <c r="J3825" s="253"/>
      <c r="K3825" s="253"/>
      <c r="L3825" s="253"/>
      <c r="M3825" s="252"/>
      <c r="N3825" s="258"/>
      <c r="O3825" s="259"/>
      <c r="P3825" s="259"/>
      <c r="Q3825" s="257"/>
      <c r="R3825" s="260"/>
      <c r="S3825" s="260"/>
      <c r="T3825" s="260"/>
      <c r="U3825" s="261"/>
      <c r="V3825" s="279"/>
      <c r="W3825" s="35"/>
      <c r="X3825" s="35"/>
      <c r="Y3825" s="35"/>
      <c r="Z3825" s="35"/>
      <c r="AA3825" s="35"/>
      <c r="AB3825" s="35"/>
      <c r="AC3825" s="35"/>
      <c r="AD3825" s="35"/>
      <c r="AE3825" s="35"/>
      <c r="AF3825" s="35"/>
      <c r="AG3825" s="35"/>
      <c r="AH3825" s="35"/>
      <c r="AI3825" s="35"/>
    </row>
    <row r="3826">
      <c r="A3826" s="276"/>
      <c r="B3826" s="252"/>
      <c r="C3826" s="253"/>
      <c r="D3826" s="253"/>
      <c r="E3826" s="252"/>
      <c r="F3826" s="253"/>
      <c r="G3826" s="253"/>
      <c r="H3826" s="256"/>
      <c r="I3826" s="256"/>
      <c r="J3826" s="253"/>
      <c r="K3826" s="253"/>
      <c r="L3826" s="253"/>
      <c r="M3826" s="252"/>
      <c r="N3826" s="258"/>
      <c r="O3826" s="259"/>
      <c r="P3826" s="259"/>
      <c r="Q3826" s="257"/>
      <c r="R3826" s="260"/>
      <c r="S3826" s="260"/>
      <c r="T3826" s="260"/>
      <c r="U3826" s="261"/>
      <c r="V3826" s="279"/>
      <c r="W3826" s="35"/>
      <c r="X3826" s="35"/>
      <c r="Y3826" s="35"/>
      <c r="Z3826" s="35"/>
      <c r="AA3826" s="35"/>
      <c r="AB3826" s="35"/>
      <c r="AC3826" s="35"/>
      <c r="AD3826" s="35"/>
      <c r="AE3826" s="35"/>
      <c r="AF3826" s="35"/>
      <c r="AG3826" s="35"/>
      <c r="AH3826" s="35"/>
      <c r="AI3826" s="35"/>
    </row>
    <row r="3827">
      <c r="A3827" s="276"/>
      <c r="B3827" s="252"/>
      <c r="C3827" s="253"/>
      <c r="D3827" s="253"/>
      <c r="E3827" s="252"/>
      <c r="F3827" s="253"/>
      <c r="G3827" s="253"/>
      <c r="H3827" s="256"/>
      <c r="I3827" s="256"/>
      <c r="J3827" s="253"/>
      <c r="K3827" s="253"/>
      <c r="L3827" s="253"/>
      <c r="M3827" s="252"/>
      <c r="N3827" s="258"/>
      <c r="O3827" s="259"/>
      <c r="P3827" s="259"/>
      <c r="Q3827" s="257"/>
      <c r="R3827" s="260"/>
      <c r="S3827" s="260"/>
      <c r="T3827" s="260"/>
      <c r="U3827" s="261"/>
      <c r="V3827" s="279"/>
      <c r="W3827" s="35"/>
      <c r="X3827" s="35"/>
      <c r="Y3827" s="35"/>
      <c r="Z3827" s="35"/>
      <c r="AA3827" s="35"/>
      <c r="AB3827" s="35"/>
      <c r="AC3827" s="35"/>
      <c r="AD3827" s="35"/>
      <c r="AE3827" s="35"/>
      <c r="AF3827" s="35"/>
      <c r="AG3827" s="35"/>
      <c r="AH3827" s="35"/>
      <c r="AI3827" s="35"/>
    </row>
    <row r="3828">
      <c r="A3828" s="276"/>
      <c r="B3828" s="252"/>
      <c r="C3828" s="253"/>
      <c r="D3828" s="253"/>
      <c r="E3828" s="252"/>
      <c r="F3828" s="253"/>
      <c r="G3828" s="253"/>
      <c r="H3828" s="256"/>
      <c r="I3828" s="256"/>
      <c r="J3828" s="253"/>
      <c r="K3828" s="253"/>
      <c r="L3828" s="253"/>
      <c r="M3828" s="252"/>
      <c r="N3828" s="258"/>
      <c r="O3828" s="259"/>
      <c r="P3828" s="259"/>
      <c r="Q3828" s="257"/>
      <c r="R3828" s="260"/>
      <c r="S3828" s="260"/>
      <c r="T3828" s="260"/>
      <c r="U3828" s="261"/>
      <c r="V3828" s="279"/>
      <c r="W3828" s="35"/>
      <c r="X3828" s="35"/>
      <c r="Y3828" s="35"/>
      <c r="Z3828" s="35"/>
      <c r="AA3828" s="35"/>
      <c r="AB3828" s="35"/>
      <c r="AC3828" s="35"/>
      <c r="AD3828" s="35"/>
      <c r="AE3828" s="35"/>
      <c r="AF3828" s="35"/>
      <c r="AG3828" s="35"/>
      <c r="AH3828" s="35"/>
      <c r="AI3828" s="35"/>
    </row>
    <row r="3829">
      <c r="A3829" s="276"/>
      <c r="B3829" s="252"/>
      <c r="C3829" s="253"/>
      <c r="D3829" s="253"/>
      <c r="E3829" s="252"/>
      <c r="F3829" s="253"/>
      <c r="G3829" s="253"/>
      <c r="H3829" s="256"/>
      <c r="I3829" s="256"/>
      <c r="J3829" s="253"/>
      <c r="K3829" s="253"/>
      <c r="L3829" s="253"/>
      <c r="M3829" s="252"/>
      <c r="N3829" s="258"/>
      <c r="O3829" s="259"/>
      <c r="P3829" s="259"/>
      <c r="Q3829" s="257"/>
      <c r="R3829" s="260"/>
      <c r="S3829" s="260"/>
      <c r="T3829" s="260"/>
      <c r="U3829" s="261"/>
      <c r="V3829" s="279"/>
      <c r="W3829" s="35"/>
      <c r="X3829" s="35"/>
      <c r="Y3829" s="35"/>
      <c r="Z3829" s="35"/>
      <c r="AA3829" s="35"/>
      <c r="AB3829" s="35"/>
      <c r="AC3829" s="35"/>
      <c r="AD3829" s="35"/>
      <c r="AE3829" s="35"/>
      <c r="AF3829" s="35"/>
      <c r="AG3829" s="35"/>
      <c r="AH3829" s="35"/>
      <c r="AI3829" s="35"/>
    </row>
    <row r="3830">
      <c r="A3830" s="276"/>
      <c r="B3830" s="252"/>
      <c r="C3830" s="253"/>
      <c r="D3830" s="253"/>
      <c r="E3830" s="252"/>
      <c r="F3830" s="253"/>
      <c r="G3830" s="253"/>
      <c r="H3830" s="256"/>
      <c r="I3830" s="256"/>
      <c r="J3830" s="253"/>
      <c r="K3830" s="253"/>
      <c r="L3830" s="253"/>
      <c r="M3830" s="252"/>
      <c r="N3830" s="258"/>
      <c r="O3830" s="259"/>
      <c r="P3830" s="259"/>
      <c r="Q3830" s="257"/>
      <c r="R3830" s="260"/>
      <c r="S3830" s="260"/>
      <c r="T3830" s="260"/>
      <c r="U3830" s="261"/>
      <c r="V3830" s="279"/>
      <c r="W3830" s="35"/>
      <c r="X3830" s="35"/>
      <c r="Y3830" s="35"/>
      <c r="Z3830" s="35"/>
      <c r="AA3830" s="35"/>
      <c r="AB3830" s="35"/>
      <c r="AC3830" s="35"/>
      <c r="AD3830" s="35"/>
      <c r="AE3830" s="35"/>
      <c r="AF3830" s="35"/>
      <c r="AG3830" s="35"/>
      <c r="AH3830" s="35"/>
      <c r="AI3830" s="35"/>
    </row>
    <row r="3831">
      <c r="A3831" s="276"/>
      <c r="B3831" s="252"/>
      <c r="C3831" s="253"/>
      <c r="D3831" s="253"/>
      <c r="E3831" s="252"/>
      <c r="F3831" s="253"/>
      <c r="G3831" s="253"/>
      <c r="H3831" s="256"/>
      <c r="I3831" s="256"/>
      <c r="J3831" s="253"/>
      <c r="K3831" s="253"/>
      <c r="L3831" s="253"/>
      <c r="M3831" s="252"/>
      <c r="N3831" s="258"/>
      <c r="O3831" s="259"/>
      <c r="P3831" s="259"/>
      <c r="Q3831" s="257"/>
      <c r="R3831" s="260"/>
      <c r="S3831" s="260"/>
      <c r="T3831" s="260"/>
      <c r="U3831" s="261"/>
      <c r="V3831" s="279"/>
      <c r="W3831" s="35"/>
      <c r="X3831" s="35"/>
      <c r="Y3831" s="35"/>
      <c r="Z3831" s="35"/>
      <c r="AA3831" s="35"/>
      <c r="AB3831" s="35"/>
      <c r="AC3831" s="35"/>
      <c r="AD3831" s="35"/>
      <c r="AE3831" s="35"/>
      <c r="AF3831" s="35"/>
      <c r="AG3831" s="35"/>
      <c r="AH3831" s="35"/>
      <c r="AI3831" s="35"/>
    </row>
    <row r="3832">
      <c r="A3832" s="276"/>
      <c r="B3832" s="252"/>
      <c r="C3832" s="253"/>
      <c r="D3832" s="253"/>
      <c r="E3832" s="252"/>
      <c r="F3832" s="253"/>
      <c r="G3832" s="253"/>
      <c r="H3832" s="256"/>
      <c r="I3832" s="256"/>
      <c r="J3832" s="253"/>
      <c r="K3832" s="253"/>
      <c r="L3832" s="253"/>
      <c r="M3832" s="252"/>
      <c r="N3832" s="258"/>
      <c r="O3832" s="259"/>
      <c r="P3832" s="259"/>
      <c r="Q3832" s="257"/>
      <c r="R3832" s="260"/>
      <c r="S3832" s="260"/>
      <c r="T3832" s="260"/>
      <c r="U3832" s="261"/>
      <c r="V3832" s="279"/>
      <c r="W3832" s="35"/>
      <c r="X3832" s="35"/>
      <c r="Y3832" s="35"/>
      <c r="Z3832" s="35"/>
      <c r="AA3832" s="35"/>
      <c r="AB3832" s="35"/>
      <c r="AC3832" s="35"/>
      <c r="AD3832" s="35"/>
      <c r="AE3832" s="35"/>
      <c r="AF3832" s="35"/>
      <c r="AG3832" s="35"/>
      <c r="AH3832" s="35"/>
      <c r="AI3832" s="35"/>
    </row>
    <row r="3833">
      <c r="A3833" s="276"/>
      <c r="B3833" s="252"/>
      <c r="C3833" s="253"/>
      <c r="D3833" s="253"/>
      <c r="E3833" s="252"/>
      <c r="F3833" s="253"/>
      <c r="G3833" s="253"/>
      <c r="H3833" s="256"/>
      <c r="I3833" s="256"/>
      <c r="J3833" s="253"/>
      <c r="K3833" s="253"/>
      <c r="L3833" s="253"/>
      <c r="M3833" s="252"/>
      <c r="N3833" s="258"/>
      <c r="O3833" s="259"/>
      <c r="P3833" s="259"/>
      <c r="Q3833" s="257"/>
      <c r="R3833" s="260"/>
      <c r="S3833" s="260"/>
      <c r="T3833" s="260"/>
      <c r="U3833" s="261"/>
      <c r="V3833" s="279"/>
      <c r="W3833" s="35"/>
      <c r="X3833" s="35"/>
      <c r="Y3833" s="35"/>
      <c r="Z3833" s="35"/>
      <c r="AA3833" s="35"/>
      <c r="AB3833" s="35"/>
      <c r="AC3833" s="35"/>
      <c r="AD3833" s="35"/>
      <c r="AE3833" s="35"/>
      <c r="AF3833" s="35"/>
      <c r="AG3833" s="35"/>
      <c r="AH3833" s="35"/>
      <c r="AI3833" s="35"/>
    </row>
    <row r="3834">
      <c r="A3834" s="276"/>
      <c r="B3834" s="252"/>
      <c r="C3834" s="253"/>
      <c r="D3834" s="253"/>
      <c r="E3834" s="252"/>
      <c r="F3834" s="253"/>
      <c r="G3834" s="253"/>
      <c r="H3834" s="256"/>
      <c r="I3834" s="256"/>
      <c r="J3834" s="253"/>
      <c r="K3834" s="253"/>
      <c r="L3834" s="253"/>
      <c r="M3834" s="252"/>
      <c r="N3834" s="258"/>
      <c r="O3834" s="259"/>
      <c r="P3834" s="259"/>
      <c r="Q3834" s="257"/>
      <c r="R3834" s="260"/>
      <c r="S3834" s="260"/>
      <c r="T3834" s="260"/>
      <c r="U3834" s="261"/>
      <c r="V3834" s="279"/>
      <c r="W3834" s="35"/>
      <c r="X3834" s="35"/>
      <c r="Y3834" s="35"/>
      <c r="Z3834" s="35"/>
      <c r="AA3834" s="35"/>
      <c r="AB3834" s="35"/>
      <c r="AC3834" s="35"/>
      <c r="AD3834" s="35"/>
      <c r="AE3834" s="35"/>
      <c r="AF3834" s="35"/>
      <c r="AG3834" s="35"/>
      <c r="AH3834" s="35"/>
      <c r="AI3834" s="35"/>
    </row>
    <row r="3835">
      <c r="A3835" s="276"/>
      <c r="B3835" s="252"/>
      <c r="C3835" s="253"/>
      <c r="D3835" s="253"/>
      <c r="E3835" s="252"/>
      <c r="F3835" s="253"/>
      <c r="G3835" s="253"/>
      <c r="H3835" s="256"/>
      <c r="I3835" s="256"/>
      <c r="J3835" s="253"/>
      <c r="K3835" s="253"/>
      <c r="L3835" s="253"/>
      <c r="M3835" s="252"/>
      <c r="N3835" s="258"/>
      <c r="O3835" s="259"/>
      <c r="P3835" s="259"/>
      <c r="Q3835" s="257"/>
      <c r="R3835" s="260"/>
      <c r="S3835" s="260"/>
      <c r="T3835" s="260"/>
      <c r="U3835" s="261"/>
      <c r="V3835" s="279"/>
      <c r="W3835" s="35"/>
      <c r="X3835" s="35"/>
      <c r="Y3835" s="35"/>
      <c r="Z3835" s="35"/>
      <c r="AA3835" s="35"/>
      <c r="AB3835" s="35"/>
      <c r="AC3835" s="35"/>
      <c r="AD3835" s="35"/>
      <c r="AE3835" s="35"/>
      <c r="AF3835" s="35"/>
      <c r="AG3835" s="35"/>
      <c r="AH3835" s="35"/>
      <c r="AI3835" s="35"/>
    </row>
    <row r="3836">
      <c r="A3836" s="276"/>
      <c r="B3836" s="252"/>
      <c r="C3836" s="253"/>
      <c r="D3836" s="253"/>
      <c r="E3836" s="252"/>
      <c r="F3836" s="253"/>
      <c r="G3836" s="253"/>
      <c r="H3836" s="256"/>
      <c r="I3836" s="256"/>
      <c r="J3836" s="253"/>
      <c r="K3836" s="253"/>
      <c r="L3836" s="253"/>
      <c r="M3836" s="252"/>
      <c r="N3836" s="258"/>
      <c r="O3836" s="259"/>
      <c r="P3836" s="259"/>
      <c r="Q3836" s="257"/>
      <c r="R3836" s="260"/>
      <c r="S3836" s="260"/>
      <c r="T3836" s="260"/>
      <c r="U3836" s="261"/>
      <c r="V3836" s="279"/>
      <c r="W3836" s="35"/>
      <c r="X3836" s="35"/>
      <c r="Y3836" s="35"/>
      <c r="Z3836" s="35"/>
      <c r="AA3836" s="35"/>
      <c r="AB3836" s="35"/>
      <c r="AC3836" s="35"/>
      <c r="AD3836" s="35"/>
      <c r="AE3836" s="35"/>
      <c r="AF3836" s="35"/>
      <c r="AG3836" s="35"/>
      <c r="AH3836" s="35"/>
      <c r="AI3836" s="35"/>
    </row>
    <row r="3837">
      <c r="A3837" s="276"/>
      <c r="B3837" s="252"/>
      <c r="C3837" s="253"/>
      <c r="D3837" s="253"/>
      <c r="E3837" s="252"/>
      <c r="F3837" s="253"/>
      <c r="G3837" s="253"/>
      <c r="H3837" s="256"/>
      <c r="I3837" s="256"/>
      <c r="J3837" s="253"/>
      <c r="K3837" s="253"/>
      <c r="L3837" s="253"/>
      <c r="M3837" s="252"/>
      <c r="N3837" s="258"/>
      <c r="O3837" s="259"/>
      <c r="P3837" s="259"/>
      <c r="Q3837" s="257"/>
      <c r="R3837" s="260"/>
      <c r="S3837" s="260"/>
      <c r="T3837" s="260"/>
      <c r="U3837" s="261"/>
      <c r="V3837" s="279"/>
      <c r="W3837" s="35"/>
      <c r="X3837" s="35"/>
      <c r="Y3837" s="35"/>
      <c r="Z3837" s="35"/>
      <c r="AA3837" s="35"/>
      <c r="AB3837" s="35"/>
      <c r="AC3837" s="35"/>
      <c r="AD3837" s="35"/>
      <c r="AE3837" s="35"/>
      <c r="AF3837" s="35"/>
      <c r="AG3837" s="35"/>
      <c r="AH3837" s="35"/>
      <c r="AI3837" s="35"/>
    </row>
    <row r="3838">
      <c r="A3838" s="276"/>
      <c r="B3838" s="252"/>
      <c r="C3838" s="253"/>
      <c r="D3838" s="253"/>
      <c r="E3838" s="252"/>
      <c r="F3838" s="253"/>
      <c r="G3838" s="253"/>
      <c r="H3838" s="256"/>
      <c r="I3838" s="256"/>
      <c r="J3838" s="253"/>
      <c r="K3838" s="253"/>
      <c r="L3838" s="253"/>
      <c r="M3838" s="252"/>
      <c r="N3838" s="258"/>
      <c r="O3838" s="259"/>
      <c r="P3838" s="259"/>
      <c r="Q3838" s="257"/>
      <c r="R3838" s="260"/>
      <c r="S3838" s="260"/>
      <c r="T3838" s="260"/>
      <c r="U3838" s="261"/>
      <c r="V3838" s="279"/>
      <c r="W3838" s="35"/>
      <c r="X3838" s="35"/>
      <c r="Y3838" s="35"/>
      <c r="Z3838" s="35"/>
      <c r="AA3838" s="35"/>
      <c r="AB3838" s="35"/>
      <c r="AC3838" s="35"/>
      <c r="AD3838" s="35"/>
      <c r="AE3838" s="35"/>
      <c r="AF3838" s="35"/>
      <c r="AG3838" s="35"/>
      <c r="AH3838" s="35"/>
      <c r="AI3838" s="35"/>
    </row>
    <row r="3839">
      <c r="A3839" s="276"/>
      <c r="B3839" s="252"/>
      <c r="C3839" s="253"/>
      <c r="D3839" s="253"/>
      <c r="E3839" s="252"/>
      <c r="F3839" s="253"/>
      <c r="G3839" s="253"/>
      <c r="H3839" s="256"/>
      <c r="I3839" s="256"/>
      <c r="J3839" s="253"/>
      <c r="K3839" s="253"/>
      <c r="L3839" s="253"/>
      <c r="M3839" s="252"/>
      <c r="N3839" s="258"/>
      <c r="O3839" s="259"/>
      <c r="P3839" s="259"/>
      <c r="Q3839" s="257"/>
      <c r="R3839" s="260"/>
      <c r="S3839" s="260"/>
      <c r="T3839" s="260"/>
      <c r="U3839" s="261"/>
      <c r="V3839" s="279"/>
      <c r="W3839" s="35"/>
      <c r="X3839" s="35"/>
      <c r="Y3839" s="35"/>
      <c r="Z3839" s="35"/>
      <c r="AA3839" s="35"/>
      <c r="AB3839" s="35"/>
      <c r="AC3839" s="35"/>
      <c r="AD3839" s="35"/>
      <c r="AE3839" s="35"/>
      <c r="AF3839" s="35"/>
      <c r="AG3839" s="35"/>
      <c r="AH3839" s="35"/>
      <c r="AI3839" s="35"/>
    </row>
    <row r="3840">
      <c r="A3840" s="276"/>
      <c r="B3840" s="252"/>
      <c r="C3840" s="253"/>
      <c r="D3840" s="253"/>
      <c r="E3840" s="252"/>
      <c r="F3840" s="253"/>
      <c r="G3840" s="253"/>
      <c r="H3840" s="256"/>
      <c r="I3840" s="256"/>
      <c r="J3840" s="253"/>
      <c r="K3840" s="253"/>
      <c r="L3840" s="253"/>
      <c r="M3840" s="252"/>
      <c r="N3840" s="258"/>
      <c r="O3840" s="259"/>
      <c r="P3840" s="259"/>
      <c r="Q3840" s="257"/>
      <c r="R3840" s="260"/>
      <c r="S3840" s="260"/>
      <c r="T3840" s="260"/>
      <c r="U3840" s="261"/>
      <c r="V3840" s="279"/>
      <c r="W3840" s="35"/>
      <c r="X3840" s="35"/>
      <c r="Y3840" s="35"/>
      <c r="Z3840" s="35"/>
      <c r="AA3840" s="35"/>
      <c r="AB3840" s="35"/>
      <c r="AC3840" s="35"/>
      <c r="AD3840" s="35"/>
      <c r="AE3840" s="35"/>
      <c r="AF3840" s="35"/>
      <c r="AG3840" s="35"/>
      <c r="AH3840" s="35"/>
      <c r="AI3840" s="35"/>
    </row>
    <row r="3841">
      <c r="A3841" s="276"/>
      <c r="B3841" s="252"/>
      <c r="C3841" s="253"/>
      <c r="D3841" s="253"/>
      <c r="E3841" s="252"/>
      <c r="F3841" s="253"/>
      <c r="G3841" s="253"/>
      <c r="H3841" s="256"/>
      <c r="I3841" s="256"/>
      <c r="J3841" s="253"/>
      <c r="K3841" s="253"/>
      <c r="L3841" s="253"/>
      <c r="M3841" s="252"/>
      <c r="N3841" s="258"/>
      <c r="O3841" s="259"/>
      <c r="P3841" s="259"/>
      <c r="Q3841" s="257"/>
      <c r="R3841" s="260"/>
      <c r="S3841" s="260"/>
      <c r="T3841" s="260"/>
      <c r="U3841" s="261"/>
      <c r="V3841" s="279"/>
      <c r="W3841" s="35"/>
      <c r="X3841" s="35"/>
      <c r="Y3841" s="35"/>
      <c r="Z3841" s="35"/>
      <c r="AA3841" s="35"/>
      <c r="AB3841" s="35"/>
      <c r="AC3841" s="35"/>
      <c r="AD3841" s="35"/>
      <c r="AE3841" s="35"/>
      <c r="AF3841" s="35"/>
      <c r="AG3841" s="35"/>
      <c r="AH3841" s="35"/>
      <c r="AI3841" s="35"/>
    </row>
    <row r="3842">
      <c r="A3842" s="276"/>
      <c r="B3842" s="252"/>
      <c r="C3842" s="253"/>
      <c r="D3842" s="253"/>
      <c r="E3842" s="252"/>
      <c r="F3842" s="253"/>
      <c r="G3842" s="253"/>
      <c r="H3842" s="256"/>
      <c r="I3842" s="256"/>
      <c r="J3842" s="253"/>
      <c r="K3842" s="253"/>
      <c r="L3842" s="253"/>
      <c r="M3842" s="252"/>
      <c r="N3842" s="258"/>
      <c r="O3842" s="259"/>
      <c r="P3842" s="259"/>
      <c r="Q3842" s="257"/>
      <c r="R3842" s="260"/>
      <c r="S3842" s="260"/>
      <c r="T3842" s="260"/>
      <c r="U3842" s="261"/>
      <c r="V3842" s="279"/>
      <c r="W3842" s="35"/>
      <c r="X3842" s="35"/>
      <c r="Y3842" s="35"/>
      <c r="Z3842" s="35"/>
      <c r="AA3842" s="35"/>
      <c r="AB3842" s="35"/>
      <c r="AC3842" s="35"/>
      <c r="AD3842" s="35"/>
      <c r="AE3842" s="35"/>
      <c r="AF3842" s="35"/>
      <c r="AG3842" s="35"/>
      <c r="AH3842" s="35"/>
      <c r="AI3842" s="35"/>
    </row>
    <row r="3843">
      <c r="A3843" s="276"/>
      <c r="B3843" s="252"/>
      <c r="C3843" s="253"/>
      <c r="D3843" s="253"/>
      <c r="E3843" s="252"/>
      <c r="F3843" s="253"/>
      <c r="G3843" s="253"/>
      <c r="H3843" s="256"/>
      <c r="I3843" s="256"/>
      <c r="J3843" s="253"/>
      <c r="K3843" s="253"/>
      <c r="L3843" s="253"/>
      <c r="M3843" s="252"/>
      <c r="N3843" s="258"/>
      <c r="O3843" s="259"/>
      <c r="P3843" s="259"/>
      <c r="Q3843" s="257"/>
      <c r="R3843" s="260"/>
      <c r="S3843" s="260"/>
      <c r="T3843" s="260"/>
      <c r="U3843" s="261"/>
      <c r="V3843" s="279"/>
      <c r="W3843" s="35"/>
      <c r="X3843" s="35"/>
      <c r="Y3843" s="35"/>
      <c r="Z3843" s="35"/>
      <c r="AA3843" s="35"/>
      <c r="AB3843" s="35"/>
      <c r="AC3843" s="35"/>
      <c r="AD3843" s="35"/>
      <c r="AE3843" s="35"/>
      <c r="AF3843" s="35"/>
      <c r="AG3843" s="35"/>
      <c r="AH3843" s="35"/>
      <c r="AI3843" s="35"/>
    </row>
    <row r="3844">
      <c r="A3844" s="276"/>
      <c r="B3844" s="252"/>
      <c r="C3844" s="253"/>
      <c r="D3844" s="253"/>
      <c r="E3844" s="252"/>
      <c r="F3844" s="253"/>
      <c r="G3844" s="253"/>
      <c r="H3844" s="256"/>
      <c r="I3844" s="256"/>
      <c r="J3844" s="253"/>
      <c r="K3844" s="253"/>
      <c r="L3844" s="253"/>
      <c r="M3844" s="252"/>
      <c r="N3844" s="258"/>
      <c r="O3844" s="259"/>
      <c r="P3844" s="259"/>
      <c r="Q3844" s="257"/>
      <c r="R3844" s="260"/>
      <c r="S3844" s="260"/>
      <c r="T3844" s="260"/>
      <c r="U3844" s="261"/>
      <c r="V3844" s="279"/>
      <c r="W3844" s="35"/>
      <c r="X3844" s="35"/>
      <c r="Y3844" s="35"/>
      <c r="Z3844" s="35"/>
      <c r="AA3844" s="35"/>
      <c r="AB3844" s="35"/>
      <c r="AC3844" s="35"/>
      <c r="AD3844" s="35"/>
      <c r="AE3844" s="35"/>
      <c r="AF3844" s="35"/>
      <c r="AG3844" s="35"/>
      <c r="AH3844" s="35"/>
      <c r="AI3844" s="35"/>
    </row>
    <row r="3845">
      <c r="A3845" s="276"/>
      <c r="B3845" s="252"/>
      <c r="C3845" s="253"/>
      <c r="D3845" s="253"/>
      <c r="E3845" s="252"/>
      <c r="F3845" s="253"/>
      <c r="G3845" s="253"/>
      <c r="H3845" s="256"/>
      <c r="I3845" s="256"/>
      <c r="J3845" s="253"/>
      <c r="K3845" s="253"/>
      <c r="L3845" s="253"/>
      <c r="M3845" s="252"/>
      <c r="N3845" s="258"/>
      <c r="O3845" s="259"/>
      <c r="P3845" s="259"/>
      <c r="Q3845" s="257"/>
      <c r="R3845" s="260"/>
      <c r="S3845" s="260"/>
      <c r="T3845" s="260"/>
      <c r="U3845" s="261"/>
      <c r="V3845" s="279"/>
      <c r="W3845" s="35"/>
      <c r="X3845" s="35"/>
      <c r="Y3845" s="35"/>
      <c r="Z3845" s="35"/>
      <c r="AA3845" s="35"/>
      <c r="AB3845" s="35"/>
      <c r="AC3845" s="35"/>
      <c r="AD3845" s="35"/>
      <c r="AE3845" s="35"/>
      <c r="AF3845" s="35"/>
      <c r="AG3845" s="35"/>
      <c r="AH3845" s="35"/>
      <c r="AI3845" s="35"/>
    </row>
    <row r="3846">
      <c r="A3846" s="276"/>
      <c r="B3846" s="252"/>
      <c r="C3846" s="253"/>
      <c r="D3846" s="253"/>
      <c r="E3846" s="252"/>
      <c r="F3846" s="253"/>
      <c r="G3846" s="253"/>
      <c r="H3846" s="256"/>
      <c r="I3846" s="256"/>
      <c r="J3846" s="253"/>
      <c r="K3846" s="253"/>
      <c r="L3846" s="253"/>
      <c r="M3846" s="252"/>
      <c r="N3846" s="258"/>
      <c r="O3846" s="259"/>
      <c r="P3846" s="259"/>
      <c r="Q3846" s="257"/>
      <c r="R3846" s="260"/>
      <c r="S3846" s="260"/>
      <c r="T3846" s="260"/>
      <c r="U3846" s="261"/>
      <c r="V3846" s="279"/>
      <c r="W3846" s="35"/>
      <c r="X3846" s="35"/>
      <c r="Y3846" s="35"/>
      <c r="Z3846" s="35"/>
      <c r="AA3846" s="35"/>
      <c r="AB3846" s="35"/>
      <c r="AC3846" s="35"/>
      <c r="AD3846" s="35"/>
      <c r="AE3846" s="35"/>
      <c r="AF3846" s="35"/>
      <c r="AG3846" s="35"/>
      <c r="AH3846" s="35"/>
      <c r="AI3846" s="35"/>
    </row>
    <row r="3847">
      <c r="A3847" s="276"/>
      <c r="B3847" s="252"/>
      <c r="C3847" s="253"/>
      <c r="D3847" s="253"/>
      <c r="E3847" s="252"/>
      <c r="F3847" s="253"/>
      <c r="G3847" s="253"/>
      <c r="H3847" s="256"/>
      <c r="I3847" s="256"/>
      <c r="J3847" s="253"/>
      <c r="K3847" s="253"/>
      <c r="L3847" s="253"/>
      <c r="M3847" s="252"/>
      <c r="N3847" s="258"/>
      <c r="O3847" s="259"/>
      <c r="P3847" s="259"/>
      <c r="Q3847" s="257"/>
      <c r="R3847" s="260"/>
      <c r="S3847" s="260"/>
      <c r="T3847" s="260"/>
      <c r="U3847" s="261"/>
      <c r="V3847" s="279"/>
      <c r="W3847" s="35"/>
      <c r="X3847" s="35"/>
      <c r="Y3847" s="35"/>
      <c r="Z3847" s="35"/>
      <c r="AA3847" s="35"/>
      <c r="AB3847" s="35"/>
      <c r="AC3847" s="35"/>
      <c r="AD3847" s="35"/>
      <c r="AE3847" s="35"/>
      <c r="AF3847" s="35"/>
      <c r="AG3847" s="35"/>
      <c r="AH3847" s="35"/>
      <c r="AI3847" s="35"/>
    </row>
    <row r="3848">
      <c r="A3848" s="276"/>
      <c r="B3848" s="252"/>
      <c r="C3848" s="253"/>
      <c r="D3848" s="253"/>
      <c r="E3848" s="252"/>
      <c r="F3848" s="253"/>
      <c r="G3848" s="253"/>
      <c r="H3848" s="256"/>
      <c r="I3848" s="256"/>
      <c r="J3848" s="253"/>
      <c r="K3848" s="253"/>
      <c r="L3848" s="253"/>
      <c r="M3848" s="252"/>
      <c r="N3848" s="258"/>
      <c r="O3848" s="259"/>
      <c r="P3848" s="259"/>
      <c r="Q3848" s="257"/>
      <c r="R3848" s="260"/>
      <c r="S3848" s="260"/>
      <c r="T3848" s="260"/>
      <c r="U3848" s="261"/>
      <c r="V3848" s="279"/>
      <c r="W3848" s="35"/>
      <c r="X3848" s="35"/>
      <c r="Y3848" s="35"/>
      <c r="Z3848" s="35"/>
      <c r="AA3848" s="35"/>
      <c r="AB3848" s="35"/>
      <c r="AC3848" s="35"/>
      <c r="AD3848" s="35"/>
      <c r="AE3848" s="35"/>
      <c r="AF3848" s="35"/>
      <c r="AG3848" s="35"/>
      <c r="AH3848" s="35"/>
      <c r="AI3848" s="35"/>
    </row>
    <row r="3849">
      <c r="A3849" s="276"/>
      <c r="B3849" s="252"/>
      <c r="C3849" s="253"/>
      <c r="D3849" s="253"/>
      <c r="E3849" s="252"/>
      <c r="F3849" s="253"/>
      <c r="G3849" s="253"/>
      <c r="H3849" s="256"/>
      <c r="I3849" s="256"/>
      <c r="J3849" s="253"/>
      <c r="K3849" s="253"/>
      <c r="L3849" s="253"/>
      <c r="M3849" s="252"/>
      <c r="N3849" s="258"/>
      <c r="O3849" s="259"/>
      <c r="P3849" s="259"/>
      <c r="Q3849" s="257"/>
      <c r="R3849" s="260"/>
      <c r="S3849" s="260"/>
      <c r="T3849" s="260"/>
      <c r="U3849" s="261"/>
      <c r="V3849" s="279"/>
      <c r="W3849" s="35"/>
      <c r="X3849" s="35"/>
      <c r="Y3849" s="35"/>
      <c r="Z3849" s="35"/>
      <c r="AA3849" s="35"/>
      <c r="AB3849" s="35"/>
      <c r="AC3849" s="35"/>
      <c r="AD3849" s="35"/>
      <c r="AE3849" s="35"/>
      <c r="AF3849" s="35"/>
      <c r="AG3849" s="35"/>
      <c r="AH3849" s="35"/>
      <c r="AI3849" s="35"/>
    </row>
    <row r="3850">
      <c r="A3850" s="276"/>
      <c r="B3850" s="252"/>
      <c r="C3850" s="253"/>
      <c r="D3850" s="253"/>
      <c r="E3850" s="252"/>
      <c r="F3850" s="253"/>
      <c r="G3850" s="253"/>
      <c r="H3850" s="256"/>
      <c r="I3850" s="256"/>
      <c r="J3850" s="253"/>
      <c r="K3850" s="253"/>
      <c r="L3850" s="253"/>
      <c r="M3850" s="252"/>
      <c r="N3850" s="258"/>
      <c r="O3850" s="259"/>
      <c r="P3850" s="259"/>
      <c r="Q3850" s="257"/>
      <c r="R3850" s="260"/>
      <c r="S3850" s="260"/>
      <c r="T3850" s="260"/>
      <c r="U3850" s="261"/>
      <c r="V3850" s="279"/>
      <c r="W3850" s="35"/>
      <c r="X3850" s="35"/>
      <c r="Y3850" s="35"/>
      <c r="Z3850" s="35"/>
      <c r="AA3850" s="35"/>
      <c r="AB3850" s="35"/>
      <c r="AC3850" s="35"/>
      <c r="AD3850" s="35"/>
      <c r="AE3850" s="35"/>
      <c r="AF3850" s="35"/>
      <c r="AG3850" s="35"/>
      <c r="AH3850" s="35"/>
      <c r="AI3850" s="35"/>
    </row>
    <row r="3851">
      <c r="A3851" s="276"/>
      <c r="B3851" s="252"/>
      <c r="C3851" s="253"/>
      <c r="D3851" s="253"/>
      <c r="E3851" s="252"/>
      <c r="F3851" s="253"/>
      <c r="G3851" s="253"/>
      <c r="H3851" s="256"/>
      <c r="I3851" s="256"/>
      <c r="J3851" s="253"/>
      <c r="K3851" s="253"/>
      <c r="L3851" s="253"/>
      <c r="M3851" s="252"/>
      <c r="N3851" s="258"/>
      <c r="O3851" s="259"/>
      <c r="P3851" s="259"/>
      <c r="Q3851" s="257"/>
      <c r="R3851" s="260"/>
      <c r="S3851" s="260"/>
      <c r="T3851" s="260"/>
      <c r="U3851" s="261"/>
      <c r="V3851" s="279"/>
      <c r="W3851" s="35"/>
      <c r="X3851" s="35"/>
      <c r="Y3851" s="35"/>
      <c r="Z3851" s="35"/>
      <c r="AA3851" s="35"/>
      <c r="AB3851" s="35"/>
      <c r="AC3851" s="35"/>
      <c r="AD3851" s="35"/>
      <c r="AE3851" s="35"/>
      <c r="AF3851" s="35"/>
      <c r="AG3851" s="35"/>
      <c r="AH3851" s="35"/>
      <c r="AI3851" s="35"/>
    </row>
    <row r="3852">
      <c r="A3852" s="276"/>
      <c r="B3852" s="252"/>
      <c r="C3852" s="253"/>
      <c r="D3852" s="253"/>
      <c r="E3852" s="252"/>
      <c r="F3852" s="253"/>
      <c r="G3852" s="253"/>
      <c r="H3852" s="256"/>
      <c r="I3852" s="256"/>
      <c r="J3852" s="253"/>
      <c r="K3852" s="253"/>
      <c r="L3852" s="253"/>
      <c r="M3852" s="252"/>
      <c r="N3852" s="258"/>
      <c r="O3852" s="259"/>
      <c r="P3852" s="259"/>
      <c r="Q3852" s="257"/>
      <c r="R3852" s="260"/>
      <c r="S3852" s="260"/>
      <c r="T3852" s="260"/>
      <c r="U3852" s="261"/>
      <c r="V3852" s="279"/>
      <c r="W3852" s="35"/>
      <c r="X3852" s="35"/>
      <c r="Y3852" s="35"/>
      <c r="Z3852" s="35"/>
      <c r="AA3852" s="35"/>
      <c r="AB3852" s="35"/>
      <c r="AC3852" s="35"/>
      <c r="AD3852" s="35"/>
      <c r="AE3852" s="35"/>
      <c r="AF3852" s="35"/>
      <c r="AG3852" s="35"/>
      <c r="AH3852" s="35"/>
      <c r="AI3852" s="35"/>
    </row>
    <row r="3853">
      <c r="A3853" s="276"/>
      <c r="B3853" s="252"/>
      <c r="C3853" s="253"/>
      <c r="D3853" s="253"/>
      <c r="E3853" s="252"/>
      <c r="F3853" s="253"/>
      <c r="G3853" s="253"/>
      <c r="H3853" s="256"/>
      <c r="I3853" s="256"/>
      <c r="J3853" s="253"/>
      <c r="K3853" s="253"/>
      <c r="L3853" s="253"/>
      <c r="M3853" s="252"/>
      <c r="N3853" s="258"/>
      <c r="O3853" s="259"/>
      <c r="P3853" s="259"/>
      <c r="Q3853" s="257"/>
      <c r="R3853" s="260"/>
      <c r="S3853" s="260"/>
      <c r="T3853" s="260"/>
      <c r="U3853" s="261"/>
      <c r="V3853" s="279"/>
      <c r="W3853" s="35"/>
      <c r="X3853" s="35"/>
      <c r="Y3853" s="35"/>
      <c r="Z3853" s="35"/>
      <c r="AA3853" s="35"/>
      <c r="AB3853" s="35"/>
      <c r="AC3853" s="35"/>
      <c r="AD3853" s="35"/>
      <c r="AE3853" s="35"/>
      <c r="AF3853" s="35"/>
      <c r="AG3853" s="35"/>
      <c r="AH3853" s="35"/>
      <c r="AI3853" s="35"/>
    </row>
    <row r="3854">
      <c r="A3854" s="276"/>
      <c r="B3854" s="252"/>
      <c r="C3854" s="253"/>
      <c r="D3854" s="253"/>
      <c r="E3854" s="252"/>
      <c r="F3854" s="253"/>
      <c r="G3854" s="253"/>
      <c r="H3854" s="256"/>
      <c r="I3854" s="256"/>
      <c r="J3854" s="253"/>
      <c r="K3854" s="253"/>
      <c r="L3854" s="253"/>
      <c r="M3854" s="252"/>
      <c r="N3854" s="258"/>
      <c r="O3854" s="259"/>
      <c r="P3854" s="259"/>
      <c r="Q3854" s="257"/>
      <c r="R3854" s="260"/>
      <c r="S3854" s="260"/>
      <c r="T3854" s="260"/>
      <c r="U3854" s="261"/>
      <c r="V3854" s="279"/>
      <c r="W3854" s="35"/>
      <c r="X3854" s="35"/>
      <c r="Y3854" s="35"/>
      <c r="Z3854" s="35"/>
      <c r="AA3854" s="35"/>
      <c r="AB3854" s="35"/>
      <c r="AC3854" s="35"/>
      <c r="AD3854" s="35"/>
      <c r="AE3854" s="35"/>
      <c r="AF3854" s="35"/>
      <c r="AG3854" s="35"/>
      <c r="AH3854" s="35"/>
      <c r="AI3854" s="35"/>
    </row>
    <row r="3855">
      <c r="A3855" s="276"/>
      <c r="B3855" s="252"/>
      <c r="C3855" s="253"/>
      <c r="D3855" s="253"/>
      <c r="E3855" s="252"/>
      <c r="F3855" s="253"/>
      <c r="G3855" s="253"/>
      <c r="H3855" s="256"/>
      <c r="I3855" s="256"/>
      <c r="J3855" s="253"/>
      <c r="K3855" s="253"/>
      <c r="L3855" s="253"/>
      <c r="M3855" s="252"/>
      <c r="N3855" s="258"/>
      <c r="O3855" s="259"/>
      <c r="P3855" s="259"/>
      <c r="Q3855" s="257"/>
      <c r="R3855" s="260"/>
      <c r="S3855" s="260"/>
      <c r="T3855" s="260"/>
      <c r="U3855" s="261"/>
      <c r="V3855" s="279"/>
      <c r="W3855" s="35"/>
      <c r="X3855" s="35"/>
      <c r="Y3855" s="35"/>
      <c r="Z3855" s="35"/>
      <c r="AA3855" s="35"/>
      <c r="AB3855" s="35"/>
      <c r="AC3855" s="35"/>
      <c r="AD3855" s="35"/>
      <c r="AE3855" s="35"/>
      <c r="AF3855" s="35"/>
      <c r="AG3855" s="35"/>
      <c r="AH3855" s="35"/>
      <c r="AI3855" s="35"/>
    </row>
    <row r="3856">
      <c r="A3856" s="276"/>
      <c r="B3856" s="252"/>
      <c r="C3856" s="253"/>
      <c r="D3856" s="253"/>
      <c r="E3856" s="252"/>
      <c r="F3856" s="253"/>
      <c r="G3856" s="253"/>
      <c r="H3856" s="256"/>
      <c r="I3856" s="256"/>
      <c r="J3856" s="253"/>
      <c r="K3856" s="253"/>
      <c r="L3856" s="253"/>
      <c r="M3856" s="252"/>
      <c r="N3856" s="258"/>
      <c r="O3856" s="259"/>
      <c r="P3856" s="259"/>
      <c r="Q3856" s="257"/>
      <c r="R3856" s="260"/>
      <c r="S3856" s="260"/>
      <c r="T3856" s="260"/>
      <c r="U3856" s="261"/>
      <c r="V3856" s="279"/>
      <c r="W3856" s="35"/>
      <c r="X3856" s="35"/>
      <c r="Y3856" s="35"/>
      <c r="Z3856" s="35"/>
      <c r="AA3856" s="35"/>
      <c r="AB3856" s="35"/>
      <c r="AC3856" s="35"/>
      <c r="AD3856" s="35"/>
      <c r="AE3856" s="35"/>
      <c r="AF3856" s="35"/>
      <c r="AG3856" s="35"/>
      <c r="AH3856" s="35"/>
      <c r="AI3856" s="35"/>
    </row>
    <row r="3857">
      <c r="A3857" s="276"/>
      <c r="B3857" s="252"/>
      <c r="C3857" s="253"/>
      <c r="D3857" s="253"/>
      <c r="E3857" s="252"/>
      <c r="F3857" s="253"/>
      <c r="G3857" s="253"/>
      <c r="H3857" s="256"/>
      <c r="I3857" s="256"/>
      <c r="J3857" s="253"/>
      <c r="K3857" s="253"/>
      <c r="L3857" s="253"/>
      <c r="M3857" s="252"/>
      <c r="N3857" s="258"/>
      <c r="O3857" s="259"/>
      <c r="P3857" s="259"/>
      <c r="Q3857" s="257"/>
      <c r="R3857" s="260"/>
      <c r="S3857" s="260"/>
      <c r="T3857" s="260"/>
      <c r="U3857" s="261"/>
      <c r="V3857" s="279"/>
      <c r="W3857" s="35"/>
      <c r="X3857" s="35"/>
      <c r="Y3857" s="35"/>
      <c r="Z3857" s="35"/>
      <c r="AA3857" s="35"/>
      <c r="AB3857" s="35"/>
      <c r="AC3857" s="35"/>
      <c r="AD3857" s="35"/>
      <c r="AE3857" s="35"/>
      <c r="AF3857" s="35"/>
      <c r="AG3857" s="35"/>
      <c r="AH3857" s="35"/>
      <c r="AI3857" s="35"/>
    </row>
    <row r="3858">
      <c r="A3858" s="276"/>
      <c r="B3858" s="252"/>
      <c r="C3858" s="253"/>
      <c r="D3858" s="253"/>
      <c r="E3858" s="252"/>
      <c r="F3858" s="253"/>
      <c r="G3858" s="253"/>
      <c r="H3858" s="256"/>
      <c r="I3858" s="256"/>
      <c r="J3858" s="253"/>
      <c r="K3858" s="253"/>
      <c r="L3858" s="253"/>
      <c r="M3858" s="252"/>
      <c r="N3858" s="258"/>
      <c r="O3858" s="259"/>
      <c r="P3858" s="259"/>
      <c r="Q3858" s="257"/>
      <c r="R3858" s="260"/>
      <c r="S3858" s="260"/>
      <c r="T3858" s="260"/>
      <c r="U3858" s="261"/>
      <c r="V3858" s="279"/>
      <c r="W3858" s="35"/>
      <c r="X3858" s="35"/>
      <c r="Y3858" s="35"/>
      <c r="Z3858" s="35"/>
      <c r="AA3858" s="35"/>
      <c r="AB3858" s="35"/>
      <c r="AC3858" s="35"/>
      <c r="AD3858" s="35"/>
      <c r="AE3858" s="35"/>
      <c r="AF3858" s="35"/>
      <c r="AG3858" s="35"/>
      <c r="AH3858" s="35"/>
      <c r="AI3858" s="35"/>
    </row>
    <row r="3859">
      <c r="A3859" s="276"/>
      <c r="B3859" s="252"/>
      <c r="C3859" s="253"/>
      <c r="D3859" s="253"/>
      <c r="E3859" s="252"/>
      <c r="F3859" s="253"/>
      <c r="G3859" s="253"/>
      <c r="H3859" s="256"/>
      <c r="I3859" s="256"/>
      <c r="J3859" s="253"/>
      <c r="K3859" s="253"/>
      <c r="L3859" s="253"/>
      <c r="M3859" s="252"/>
      <c r="N3859" s="258"/>
      <c r="O3859" s="259"/>
      <c r="P3859" s="259"/>
      <c r="Q3859" s="257"/>
      <c r="R3859" s="260"/>
      <c r="S3859" s="260"/>
      <c r="T3859" s="260"/>
      <c r="U3859" s="261"/>
      <c r="V3859" s="279"/>
      <c r="W3859" s="35"/>
      <c r="X3859" s="35"/>
      <c r="Y3859" s="35"/>
      <c r="Z3859" s="35"/>
      <c r="AA3859" s="35"/>
      <c r="AB3859" s="35"/>
      <c r="AC3859" s="35"/>
      <c r="AD3859" s="35"/>
      <c r="AE3859" s="35"/>
      <c r="AF3859" s="35"/>
      <c r="AG3859" s="35"/>
      <c r="AH3859" s="35"/>
      <c r="AI3859" s="35"/>
    </row>
    <row r="3860">
      <c r="A3860" s="276"/>
      <c r="B3860" s="252"/>
      <c r="C3860" s="253"/>
      <c r="D3860" s="253"/>
      <c r="E3860" s="252"/>
      <c r="F3860" s="253"/>
      <c r="G3860" s="253"/>
      <c r="H3860" s="256"/>
      <c r="I3860" s="256"/>
      <c r="J3860" s="253"/>
      <c r="K3860" s="253"/>
      <c r="L3860" s="253"/>
      <c r="M3860" s="252"/>
      <c r="N3860" s="258"/>
      <c r="O3860" s="259"/>
      <c r="P3860" s="259"/>
      <c r="Q3860" s="257"/>
      <c r="R3860" s="260"/>
      <c r="S3860" s="260"/>
      <c r="T3860" s="260"/>
      <c r="U3860" s="261"/>
      <c r="V3860" s="279"/>
      <c r="W3860" s="35"/>
      <c r="X3860" s="35"/>
      <c r="Y3860" s="35"/>
      <c r="Z3860" s="35"/>
      <c r="AA3860" s="35"/>
      <c r="AB3860" s="35"/>
      <c r="AC3860" s="35"/>
      <c r="AD3860" s="35"/>
      <c r="AE3860" s="35"/>
      <c r="AF3860" s="35"/>
      <c r="AG3860" s="35"/>
      <c r="AH3860" s="35"/>
      <c r="AI3860" s="35"/>
    </row>
    <row r="3861">
      <c r="A3861" s="276"/>
      <c r="B3861" s="252"/>
      <c r="C3861" s="253"/>
      <c r="D3861" s="253"/>
      <c r="E3861" s="252"/>
      <c r="F3861" s="253"/>
      <c r="G3861" s="253"/>
      <c r="H3861" s="256"/>
      <c r="I3861" s="256"/>
      <c r="J3861" s="253"/>
      <c r="K3861" s="253"/>
      <c r="L3861" s="253"/>
      <c r="M3861" s="252"/>
      <c r="N3861" s="258"/>
      <c r="O3861" s="259"/>
      <c r="P3861" s="259"/>
      <c r="Q3861" s="257"/>
      <c r="R3861" s="260"/>
      <c r="S3861" s="260"/>
      <c r="T3861" s="260"/>
      <c r="U3861" s="261"/>
      <c r="V3861" s="279"/>
      <c r="W3861" s="35"/>
      <c r="X3861" s="35"/>
      <c r="Y3861" s="35"/>
      <c r="Z3861" s="35"/>
      <c r="AA3861" s="35"/>
      <c r="AB3861" s="35"/>
      <c r="AC3861" s="35"/>
      <c r="AD3861" s="35"/>
      <c r="AE3861" s="35"/>
      <c r="AF3861" s="35"/>
      <c r="AG3861" s="35"/>
      <c r="AH3861" s="35"/>
      <c r="AI3861" s="35"/>
    </row>
    <row r="3862">
      <c r="A3862" s="276"/>
      <c r="B3862" s="252"/>
      <c r="C3862" s="253"/>
      <c r="D3862" s="253"/>
      <c r="E3862" s="252"/>
      <c r="F3862" s="253"/>
      <c r="G3862" s="253"/>
      <c r="H3862" s="256"/>
      <c r="I3862" s="256"/>
      <c r="J3862" s="253"/>
      <c r="K3862" s="253"/>
      <c r="L3862" s="253"/>
      <c r="M3862" s="252"/>
      <c r="N3862" s="258"/>
      <c r="O3862" s="259"/>
      <c r="P3862" s="259"/>
      <c r="Q3862" s="257"/>
      <c r="R3862" s="260"/>
      <c r="S3862" s="260"/>
      <c r="T3862" s="260"/>
      <c r="U3862" s="261"/>
      <c r="V3862" s="279"/>
      <c r="W3862" s="35"/>
      <c r="X3862" s="35"/>
      <c r="Y3862" s="35"/>
      <c r="Z3862" s="35"/>
      <c r="AA3862" s="35"/>
      <c r="AB3862" s="35"/>
      <c r="AC3862" s="35"/>
      <c r="AD3862" s="35"/>
      <c r="AE3862" s="35"/>
      <c r="AF3862" s="35"/>
      <c r="AG3862" s="35"/>
      <c r="AH3862" s="35"/>
      <c r="AI3862" s="35"/>
    </row>
    <row r="3863">
      <c r="A3863" s="276"/>
      <c r="B3863" s="252"/>
      <c r="C3863" s="253"/>
      <c r="D3863" s="253"/>
      <c r="E3863" s="252"/>
      <c r="F3863" s="253"/>
      <c r="G3863" s="253"/>
      <c r="H3863" s="256"/>
      <c r="I3863" s="256"/>
      <c r="J3863" s="253"/>
      <c r="K3863" s="253"/>
      <c r="L3863" s="253"/>
      <c r="M3863" s="252"/>
      <c r="N3863" s="258"/>
      <c r="O3863" s="259"/>
      <c r="P3863" s="259"/>
      <c r="Q3863" s="257"/>
      <c r="R3863" s="260"/>
      <c r="S3863" s="260"/>
      <c r="T3863" s="260"/>
      <c r="U3863" s="261"/>
      <c r="V3863" s="279"/>
      <c r="W3863" s="35"/>
      <c r="X3863" s="35"/>
      <c r="Y3863" s="35"/>
      <c r="Z3863" s="35"/>
      <c r="AA3863" s="35"/>
      <c r="AB3863" s="35"/>
      <c r="AC3863" s="35"/>
      <c r="AD3863" s="35"/>
      <c r="AE3863" s="35"/>
      <c r="AF3863" s="35"/>
      <c r="AG3863" s="35"/>
      <c r="AH3863" s="35"/>
      <c r="AI3863" s="35"/>
    </row>
    <row r="3864">
      <c r="A3864" s="276"/>
      <c r="B3864" s="252"/>
      <c r="C3864" s="253"/>
      <c r="D3864" s="253"/>
      <c r="E3864" s="252"/>
      <c r="F3864" s="253"/>
      <c r="G3864" s="253"/>
      <c r="H3864" s="256"/>
      <c r="I3864" s="256"/>
      <c r="J3864" s="253"/>
      <c r="K3864" s="253"/>
      <c r="L3864" s="253"/>
      <c r="M3864" s="252"/>
      <c r="N3864" s="258"/>
      <c r="O3864" s="259"/>
      <c r="P3864" s="259"/>
      <c r="Q3864" s="257"/>
      <c r="R3864" s="260"/>
      <c r="S3864" s="260"/>
      <c r="T3864" s="260"/>
      <c r="U3864" s="261"/>
      <c r="V3864" s="279"/>
      <c r="W3864" s="35"/>
      <c r="X3864" s="35"/>
      <c r="Y3864" s="35"/>
      <c r="Z3864" s="35"/>
      <c r="AA3864" s="35"/>
      <c r="AB3864" s="35"/>
      <c r="AC3864" s="35"/>
      <c r="AD3864" s="35"/>
      <c r="AE3864" s="35"/>
      <c r="AF3864" s="35"/>
      <c r="AG3864" s="35"/>
      <c r="AH3864" s="35"/>
      <c r="AI3864" s="35"/>
    </row>
    <row r="3865">
      <c r="A3865" s="276"/>
      <c r="B3865" s="252"/>
      <c r="C3865" s="253"/>
      <c r="D3865" s="253"/>
      <c r="E3865" s="252"/>
      <c r="F3865" s="253"/>
      <c r="G3865" s="253"/>
      <c r="H3865" s="256"/>
      <c r="I3865" s="256"/>
      <c r="J3865" s="253"/>
      <c r="K3865" s="253"/>
      <c r="L3865" s="253"/>
      <c r="M3865" s="252"/>
      <c r="N3865" s="258"/>
      <c r="O3865" s="259"/>
      <c r="P3865" s="259"/>
      <c r="Q3865" s="257"/>
      <c r="R3865" s="260"/>
      <c r="S3865" s="260"/>
      <c r="T3865" s="260"/>
      <c r="U3865" s="261"/>
      <c r="V3865" s="279"/>
      <c r="W3865" s="35"/>
      <c r="X3865" s="35"/>
      <c r="Y3865" s="35"/>
      <c r="Z3865" s="35"/>
      <c r="AA3865" s="35"/>
      <c r="AB3865" s="35"/>
      <c r="AC3865" s="35"/>
      <c r="AD3865" s="35"/>
      <c r="AE3865" s="35"/>
      <c r="AF3865" s="35"/>
      <c r="AG3865" s="35"/>
      <c r="AH3865" s="35"/>
      <c r="AI3865" s="35"/>
    </row>
    <row r="3866">
      <c r="A3866" s="276"/>
      <c r="B3866" s="252"/>
      <c r="C3866" s="253"/>
      <c r="D3866" s="253"/>
      <c r="E3866" s="252"/>
      <c r="F3866" s="253"/>
      <c r="G3866" s="253"/>
      <c r="H3866" s="256"/>
      <c r="I3866" s="256"/>
      <c r="J3866" s="253"/>
      <c r="K3866" s="253"/>
      <c r="L3866" s="253"/>
      <c r="M3866" s="252"/>
      <c r="N3866" s="258"/>
      <c r="O3866" s="259"/>
      <c r="P3866" s="259"/>
      <c r="Q3866" s="257"/>
      <c r="R3866" s="260"/>
      <c r="S3866" s="260"/>
      <c r="T3866" s="260"/>
      <c r="U3866" s="261"/>
      <c r="V3866" s="279"/>
      <c r="W3866" s="35"/>
      <c r="X3866" s="35"/>
      <c r="Y3866" s="35"/>
      <c r="Z3866" s="35"/>
      <c r="AA3866" s="35"/>
      <c r="AB3866" s="35"/>
      <c r="AC3866" s="35"/>
      <c r="AD3866" s="35"/>
      <c r="AE3866" s="35"/>
      <c r="AF3866" s="35"/>
      <c r="AG3866" s="35"/>
      <c r="AH3866" s="35"/>
      <c r="AI3866" s="35"/>
    </row>
    <row r="3867">
      <c r="A3867" s="276"/>
      <c r="B3867" s="252"/>
      <c r="C3867" s="253"/>
      <c r="D3867" s="253"/>
      <c r="E3867" s="252"/>
      <c r="F3867" s="253"/>
      <c r="G3867" s="253"/>
      <c r="H3867" s="256"/>
      <c r="I3867" s="256"/>
      <c r="J3867" s="253"/>
      <c r="K3867" s="253"/>
      <c r="L3867" s="253"/>
      <c r="M3867" s="252"/>
      <c r="N3867" s="258"/>
      <c r="O3867" s="259"/>
      <c r="P3867" s="259"/>
      <c r="Q3867" s="257"/>
      <c r="R3867" s="260"/>
      <c r="S3867" s="260"/>
      <c r="T3867" s="260"/>
      <c r="U3867" s="261"/>
      <c r="V3867" s="279"/>
      <c r="W3867" s="35"/>
      <c r="X3867" s="35"/>
      <c r="Y3867" s="35"/>
      <c r="Z3867" s="35"/>
      <c r="AA3867" s="35"/>
      <c r="AB3867" s="35"/>
      <c r="AC3867" s="35"/>
      <c r="AD3867" s="35"/>
      <c r="AE3867" s="35"/>
      <c r="AF3867" s="35"/>
      <c r="AG3867" s="35"/>
      <c r="AH3867" s="35"/>
      <c r="AI3867" s="35"/>
    </row>
    <row r="3868">
      <c r="A3868" s="276"/>
      <c r="B3868" s="252"/>
      <c r="C3868" s="253"/>
      <c r="D3868" s="253"/>
      <c r="E3868" s="252"/>
      <c r="F3868" s="253"/>
      <c r="G3868" s="253"/>
      <c r="H3868" s="256"/>
      <c r="I3868" s="256"/>
      <c r="J3868" s="253"/>
      <c r="K3868" s="253"/>
      <c r="L3868" s="253"/>
      <c r="M3868" s="252"/>
      <c r="N3868" s="258"/>
      <c r="O3868" s="259"/>
      <c r="P3868" s="259"/>
      <c r="Q3868" s="257"/>
      <c r="R3868" s="260"/>
      <c r="S3868" s="260"/>
      <c r="T3868" s="260"/>
      <c r="U3868" s="261"/>
      <c r="V3868" s="279"/>
      <c r="W3868" s="35"/>
      <c r="X3868" s="35"/>
      <c r="Y3868" s="35"/>
      <c r="Z3868" s="35"/>
      <c r="AA3868" s="35"/>
      <c r="AB3868" s="35"/>
      <c r="AC3868" s="35"/>
      <c r="AD3868" s="35"/>
      <c r="AE3868" s="35"/>
      <c r="AF3868" s="35"/>
      <c r="AG3868" s="35"/>
      <c r="AH3868" s="35"/>
      <c r="AI3868" s="35"/>
    </row>
    <row r="3869">
      <c r="A3869" s="276"/>
      <c r="B3869" s="252"/>
      <c r="C3869" s="253"/>
      <c r="D3869" s="253"/>
      <c r="E3869" s="252"/>
      <c r="F3869" s="253"/>
      <c r="G3869" s="253"/>
      <c r="H3869" s="256"/>
      <c r="I3869" s="256"/>
      <c r="J3869" s="253"/>
      <c r="K3869" s="253"/>
      <c r="L3869" s="253"/>
      <c r="M3869" s="252"/>
      <c r="N3869" s="258"/>
      <c r="O3869" s="259"/>
      <c r="P3869" s="259"/>
      <c r="Q3869" s="257"/>
      <c r="R3869" s="260"/>
      <c r="S3869" s="260"/>
      <c r="T3869" s="260"/>
      <c r="U3869" s="261"/>
      <c r="V3869" s="279"/>
      <c r="W3869" s="35"/>
      <c r="X3869" s="35"/>
      <c r="Y3869" s="35"/>
      <c r="Z3869" s="35"/>
      <c r="AA3869" s="35"/>
      <c r="AB3869" s="35"/>
      <c r="AC3869" s="35"/>
      <c r="AD3869" s="35"/>
      <c r="AE3869" s="35"/>
      <c r="AF3869" s="35"/>
      <c r="AG3869" s="35"/>
      <c r="AH3869" s="35"/>
      <c r="AI3869" s="35"/>
    </row>
    <row r="3870">
      <c r="A3870" s="276"/>
      <c r="B3870" s="252"/>
      <c r="C3870" s="253"/>
      <c r="D3870" s="253"/>
      <c r="E3870" s="252"/>
      <c r="F3870" s="253"/>
      <c r="G3870" s="253"/>
      <c r="H3870" s="256"/>
      <c r="I3870" s="256"/>
      <c r="J3870" s="253"/>
      <c r="K3870" s="253"/>
      <c r="L3870" s="253"/>
      <c r="M3870" s="252"/>
      <c r="N3870" s="258"/>
      <c r="O3870" s="259"/>
      <c r="P3870" s="259"/>
      <c r="Q3870" s="257"/>
      <c r="R3870" s="260"/>
      <c r="S3870" s="260"/>
      <c r="T3870" s="260"/>
      <c r="U3870" s="261"/>
      <c r="V3870" s="279"/>
      <c r="W3870" s="35"/>
      <c r="X3870" s="35"/>
      <c r="Y3870" s="35"/>
      <c r="Z3870" s="35"/>
      <c r="AA3870" s="35"/>
      <c r="AB3870" s="35"/>
      <c r="AC3870" s="35"/>
      <c r="AD3870" s="35"/>
      <c r="AE3870" s="35"/>
      <c r="AF3870" s="35"/>
      <c r="AG3870" s="35"/>
      <c r="AH3870" s="35"/>
      <c r="AI3870" s="35"/>
    </row>
    <row r="3871">
      <c r="A3871" s="276"/>
      <c r="B3871" s="252"/>
      <c r="C3871" s="253"/>
      <c r="D3871" s="253"/>
      <c r="E3871" s="252"/>
      <c r="F3871" s="253"/>
      <c r="G3871" s="253"/>
      <c r="H3871" s="256"/>
      <c r="I3871" s="256"/>
      <c r="J3871" s="253"/>
      <c r="K3871" s="253"/>
      <c r="L3871" s="253"/>
      <c r="M3871" s="252"/>
      <c r="N3871" s="258"/>
      <c r="O3871" s="259"/>
      <c r="P3871" s="259"/>
      <c r="Q3871" s="257"/>
      <c r="R3871" s="260"/>
      <c r="S3871" s="260"/>
      <c r="T3871" s="260"/>
      <c r="U3871" s="261"/>
      <c r="V3871" s="279"/>
      <c r="W3871" s="35"/>
      <c r="X3871" s="35"/>
      <c r="Y3871" s="35"/>
      <c r="Z3871" s="35"/>
      <c r="AA3871" s="35"/>
      <c r="AB3871" s="35"/>
      <c r="AC3871" s="35"/>
      <c r="AD3871" s="35"/>
      <c r="AE3871" s="35"/>
      <c r="AF3871" s="35"/>
      <c r="AG3871" s="35"/>
      <c r="AH3871" s="35"/>
      <c r="AI3871" s="35"/>
    </row>
  </sheetData>
  <autoFilter ref="$A$1:$V$3871">
    <sortState ref="A1:V3871">
      <sortCondition ref="A1:A3871"/>
    </sortState>
  </autoFilter>
  <hyperlinks>
    <hyperlink r:id="rId1" ref="B297"/>
    <hyperlink r:id="rId2" ref="B540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9.0"/>
    <col customWidth="1" min="3" max="3" width="10.25"/>
    <col customWidth="1" min="4" max="4" width="20.63"/>
    <col customWidth="1" min="5" max="5" width="11.88"/>
    <col customWidth="1" min="6" max="6" width="33.88"/>
    <col customWidth="1" min="7" max="9" width="9.13"/>
    <col customWidth="1" min="10" max="10" width="10.25"/>
    <col customWidth="1" min="11" max="11" width="9.25"/>
    <col customWidth="1" min="12" max="12" width="11.13"/>
    <col customWidth="1" min="13" max="13" width="7.75"/>
    <col customWidth="1" min="14" max="16" width="10.5"/>
    <col customWidth="1" min="17" max="17" width="12.0"/>
    <col customWidth="1" min="18" max="18" width="8.88"/>
    <col customWidth="1" min="19" max="19" width="8.75"/>
    <col customWidth="1" min="20" max="20" width="16.0"/>
    <col customWidth="1" min="21" max="21" width="67.75"/>
    <col customWidth="1" min="22" max="22" width="30.25"/>
  </cols>
  <sheetData>
    <row r="1">
      <c r="A1" s="246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33</v>
      </c>
      <c r="G1" s="147" t="s">
        <v>59</v>
      </c>
      <c r="H1" s="148" t="s">
        <v>61</v>
      </c>
      <c r="I1" s="149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48" t="s">
        <v>67</v>
      </c>
      <c r="O1" s="248" t="s">
        <v>68</v>
      </c>
      <c r="P1" s="248" t="s">
        <v>69</v>
      </c>
      <c r="Q1" s="1" t="s">
        <v>16</v>
      </c>
      <c r="R1" s="249" t="s">
        <v>70</v>
      </c>
      <c r="S1" s="249" t="s">
        <v>71</v>
      </c>
      <c r="T1" s="249" t="s">
        <v>72</v>
      </c>
      <c r="U1" s="250" t="s">
        <v>73</v>
      </c>
      <c r="V1" s="1" t="s">
        <v>74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53"/>
    </row>
    <row r="2">
      <c r="A2" s="276">
        <v>44994.0</v>
      </c>
      <c r="B2" s="252">
        <v>4306701.0</v>
      </c>
      <c r="C2" s="253" t="s">
        <v>75</v>
      </c>
      <c r="D2" s="253" t="s">
        <v>35</v>
      </c>
      <c r="E2" s="252">
        <v>2.258747885E9</v>
      </c>
      <c r="F2" s="253" t="s">
        <v>1395</v>
      </c>
      <c r="G2" s="276">
        <v>45308.0</v>
      </c>
      <c r="H2" s="277">
        <v>45313.0</v>
      </c>
      <c r="I2" s="278">
        <v>5.0</v>
      </c>
      <c r="J2" s="257" t="s">
        <v>87</v>
      </c>
      <c r="K2" s="253" t="s">
        <v>79</v>
      </c>
      <c r="L2" s="253" t="s">
        <v>1396</v>
      </c>
      <c r="M2" s="252">
        <v>1.0</v>
      </c>
      <c r="N2" s="258">
        <v>0.0</v>
      </c>
      <c r="O2" s="259">
        <v>163.95</v>
      </c>
      <c r="P2" s="259">
        <v>131.16</v>
      </c>
      <c r="Q2" s="262">
        <v>0.0</v>
      </c>
      <c r="R2" s="260">
        <v>655.8000000000001</v>
      </c>
      <c r="S2" s="260">
        <v>0.0</v>
      </c>
      <c r="T2" s="260">
        <v>819.75</v>
      </c>
      <c r="U2" s="261" t="s">
        <v>1398</v>
      </c>
      <c r="V2" s="279">
        <v>45187.73061342593</v>
      </c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>
      <c r="A3" s="276">
        <v>45088.0</v>
      </c>
      <c r="B3" s="252">
        <v>4573015.0</v>
      </c>
      <c r="C3" s="253" t="s">
        <v>82</v>
      </c>
      <c r="D3" s="253" t="s">
        <v>35</v>
      </c>
      <c r="E3" s="252">
        <v>3.175458882E9</v>
      </c>
      <c r="F3" s="253" t="s">
        <v>1399</v>
      </c>
      <c r="G3" s="276">
        <v>45294.0</v>
      </c>
      <c r="H3" s="277">
        <v>45298.0</v>
      </c>
      <c r="I3" s="278">
        <v>4.0</v>
      </c>
      <c r="J3" s="257" t="s">
        <v>91</v>
      </c>
      <c r="K3" s="253" t="s">
        <v>79</v>
      </c>
      <c r="L3" s="253" t="s">
        <v>1400</v>
      </c>
      <c r="M3" s="252">
        <v>4.0</v>
      </c>
      <c r="N3" s="258">
        <v>0.0</v>
      </c>
      <c r="O3" s="259">
        <v>479.3275</v>
      </c>
      <c r="P3" s="259">
        <v>383.462</v>
      </c>
      <c r="Q3" s="257">
        <v>0.0</v>
      </c>
      <c r="R3" s="260">
        <v>1533.848</v>
      </c>
      <c r="S3" s="260">
        <v>0.0</v>
      </c>
      <c r="T3" s="260">
        <v>1917.31</v>
      </c>
      <c r="U3" s="261" t="s">
        <v>1401</v>
      </c>
      <c r="V3" s="279">
        <v>45088.30975694444</v>
      </c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>
      <c r="A4" s="280">
        <v>45096.0</v>
      </c>
      <c r="B4" s="264">
        <v>4600856.0</v>
      </c>
      <c r="C4" s="265" t="s">
        <v>75</v>
      </c>
      <c r="D4" s="265" t="s">
        <v>35</v>
      </c>
      <c r="E4" s="264">
        <v>3.295884305E9</v>
      </c>
      <c r="F4" s="265" t="s">
        <v>1403</v>
      </c>
      <c r="G4" s="280">
        <v>45416.0</v>
      </c>
      <c r="H4" s="281">
        <v>45420.0</v>
      </c>
      <c r="I4" s="282">
        <v>4.0</v>
      </c>
      <c r="J4" s="283" t="s">
        <v>78</v>
      </c>
      <c r="K4" s="265" t="s">
        <v>79</v>
      </c>
      <c r="L4" s="265" t="s">
        <v>1396</v>
      </c>
      <c r="M4" s="269">
        <v>2.0</v>
      </c>
      <c r="N4" s="270">
        <v>0.0</v>
      </c>
      <c r="O4" s="271">
        <v>228.38</v>
      </c>
      <c r="P4" s="271">
        <v>182.704</v>
      </c>
      <c r="Q4" s="283">
        <v>0.0</v>
      </c>
      <c r="R4" s="273">
        <v>730.816</v>
      </c>
      <c r="S4" s="273">
        <v>0.0</v>
      </c>
      <c r="T4" s="273">
        <v>913.52</v>
      </c>
      <c r="U4" s="274" t="s">
        <v>1398</v>
      </c>
      <c r="V4" s="284">
        <v>45343.391701388886</v>
      </c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>
      <c r="A5" s="276">
        <v>45104.0</v>
      </c>
      <c r="B5" s="252">
        <v>4630475.0</v>
      </c>
      <c r="C5" s="253" t="s">
        <v>75</v>
      </c>
      <c r="D5" s="253" t="s">
        <v>35</v>
      </c>
      <c r="E5" s="252">
        <v>2.574251727E9</v>
      </c>
      <c r="F5" s="253" t="s">
        <v>1405</v>
      </c>
      <c r="G5" s="276">
        <v>45358.0</v>
      </c>
      <c r="H5" s="277">
        <v>45361.0</v>
      </c>
      <c r="I5" s="278">
        <v>3.0</v>
      </c>
      <c r="J5" s="257" t="s">
        <v>78</v>
      </c>
      <c r="K5" s="253" t="s">
        <v>79</v>
      </c>
      <c r="L5" s="253" t="s">
        <v>1407</v>
      </c>
      <c r="M5" s="275">
        <v>2.0</v>
      </c>
      <c r="N5" s="258">
        <v>0.0</v>
      </c>
      <c r="O5" s="259">
        <v>204.75</v>
      </c>
      <c r="P5" s="259">
        <v>163.8</v>
      </c>
      <c r="Q5" s="262">
        <v>0.0</v>
      </c>
      <c r="R5" s="260">
        <v>491.40000000000003</v>
      </c>
      <c r="S5" s="260">
        <v>0.0</v>
      </c>
      <c r="T5" s="260">
        <v>614.25</v>
      </c>
      <c r="U5" s="261" t="s">
        <v>1408</v>
      </c>
      <c r="V5" s="279">
        <v>45192.4861574074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>
      <c r="A6" s="276">
        <v>45109.0</v>
      </c>
      <c r="B6" s="252">
        <v>4646173.0</v>
      </c>
      <c r="C6" s="253" t="s">
        <v>82</v>
      </c>
      <c r="D6" s="253" t="s">
        <v>35</v>
      </c>
      <c r="E6" s="252">
        <v>3.045519811E9</v>
      </c>
      <c r="F6" s="253" t="s">
        <v>1409</v>
      </c>
      <c r="G6" s="276">
        <v>45318.0</v>
      </c>
      <c r="H6" s="277">
        <v>45322.0</v>
      </c>
      <c r="I6" s="278">
        <v>4.0</v>
      </c>
      <c r="J6" s="257" t="s">
        <v>114</v>
      </c>
      <c r="K6" s="253" t="s">
        <v>79</v>
      </c>
      <c r="L6" s="253" t="s">
        <v>1411</v>
      </c>
      <c r="M6" s="275">
        <v>2.0</v>
      </c>
      <c r="N6" s="258">
        <v>0.0</v>
      </c>
      <c r="O6" s="259">
        <v>191.66</v>
      </c>
      <c r="P6" s="259">
        <v>153.328</v>
      </c>
      <c r="Q6" s="262">
        <v>0.0</v>
      </c>
      <c r="R6" s="260">
        <v>613.312</v>
      </c>
      <c r="S6" s="260">
        <v>0.0</v>
      </c>
      <c r="T6" s="260">
        <v>766.64</v>
      </c>
      <c r="U6" s="261" t="s">
        <v>1412</v>
      </c>
      <c r="V6" s="279">
        <v>45109.83478009259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>
      <c r="A7" s="276">
        <v>45109.0</v>
      </c>
      <c r="B7" s="252">
        <v>4645791.0</v>
      </c>
      <c r="C7" s="253" t="s">
        <v>82</v>
      </c>
      <c r="D7" s="253" t="s">
        <v>35</v>
      </c>
      <c r="E7" s="252">
        <v>3.145630656E9</v>
      </c>
      <c r="F7" s="253" t="s">
        <v>1413</v>
      </c>
      <c r="G7" s="276">
        <v>45318.0</v>
      </c>
      <c r="H7" s="277">
        <v>45322.0</v>
      </c>
      <c r="I7" s="278">
        <v>4.0</v>
      </c>
      <c r="J7" s="257" t="s">
        <v>111</v>
      </c>
      <c r="K7" s="253" t="s">
        <v>79</v>
      </c>
      <c r="L7" s="253" t="s">
        <v>1414</v>
      </c>
      <c r="M7" s="252">
        <v>2.0</v>
      </c>
      <c r="N7" s="258">
        <v>0.0</v>
      </c>
      <c r="O7" s="259">
        <v>163.66</v>
      </c>
      <c r="P7" s="259">
        <v>130.928</v>
      </c>
      <c r="Q7" s="262">
        <v>0.0</v>
      </c>
      <c r="R7" s="260">
        <v>523.712</v>
      </c>
      <c r="S7" s="260">
        <v>0.0</v>
      </c>
      <c r="T7" s="260">
        <v>654.64</v>
      </c>
      <c r="U7" s="261" t="s">
        <v>1415</v>
      </c>
      <c r="V7" s="279">
        <v>45109.753541666665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>
      <c r="A8" s="280">
        <v>45109.0</v>
      </c>
      <c r="B8" s="264">
        <v>4646632.0</v>
      </c>
      <c r="C8" s="265" t="s">
        <v>82</v>
      </c>
      <c r="D8" s="265" t="s">
        <v>35</v>
      </c>
      <c r="E8" s="264">
        <v>3.045561932E9</v>
      </c>
      <c r="F8" s="265" t="s">
        <v>1416</v>
      </c>
      <c r="G8" s="280">
        <v>45365.0</v>
      </c>
      <c r="H8" s="281">
        <v>45368.0</v>
      </c>
      <c r="I8" s="282">
        <v>3.0</v>
      </c>
      <c r="J8" s="283" t="s">
        <v>91</v>
      </c>
      <c r="K8" s="265" t="s">
        <v>79</v>
      </c>
      <c r="L8" s="265" t="s">
        <v>1414</v>
      </c>
      <c r="M8" s="264">
        <v>4.0</v>
      </c>
      <c r="N8" s="270">
        <v>0.0</v>
      </c>
      <c r="O8" s="271">
        <v>390.40000000000003</v>
      </c>
      <c r="P8" s="271">
        <v>312.32000000000005</v>
      </c>
      <c r="Q8" s="272">
        <v>0.0</v>
      </c>
      <c r="R8" s="273">
        <v>936.96</v>
      </c>
      <c r="S8" s="273">
        <v>0.0</v>
      </c>
      <c r="T8" s="273">
        <v>1171.2</v>
      </c>
      <c r="U8" s="274" t="s">
        <v>1415</v>
      </c>
      <c r="V8" s="284">
        <v>45109.920902777776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>
      <c r="A9" s="276">
        <v>45128.0</v>
      </c>
      <c r="B9" s="252">
        <v>4714867.0</v>
      </c>
      <c r="C9" s="253" t="s">
        <v>82</v>
      </c>
      <c r="D9" s="253" t="s">
        <v>35</v>
      </c>
      <c r="E9" s="252">
        <v>2.139055677E9</v>
      </c>
      <c r="F9" s="253" t="s">
        <v>1418</v>
      </c>
      <c r="G9" s="276">
        <v>45345.0</v>
      </c>
      <c r="H9" s="277">
        <v>45348.0</v>
      </c>
      <c r="I9" s="278">
        <v>3.0</v>
      </c>
      <c r="J9" s="257" t="s">
        <v>78</v>
      </c>
      <c r="K9" s="253" t="s">
        <v>79</v>
      </c>
      <c r="L9" s="253" t="s">
        <v>1414</v>
      </c>
      <c r="M9" s="252">
        <v>2.0</v>
      </c>
      <c r="N9" s="258">
        <v>0.0</v>
      </c>
      <c r="O9" s="259">
        <v>184.47</v>
      </c>
      <c r="P9" s="259">
        <v>147.576</v>
      </c>
      <c r="Q9" s="262">
        <v>0.0</v>
      </c>
      <c r="R9" s="260">
        <v>442.728</v>
      </c>
      <c r="S9" s="260">
        <v>0.0</v>
      </c>
      <c r="T9" s="260">
        <v>553.41</v>
      </c>
      <c r="U9" s="261" t="s">
        <v>1415</v>
      </c>
      <c r="V9" s="279">
        <v>45128.73131944444</v>
      </c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>
      <c r="A10" s="280">
        <v>45128.0</v>
      </c>
      <c r="B10" s="264">
        <v>4715360.0</v>
      </c>
      <c r="C10" s="265" t="s">
        <v>75</v>
      </c>
      <c r="D10" s="265" t="s">
        <v>35</v>
      </c>
      <c r="E10" s="264">
        <v>2.963985489E9</v>
      </c>
      <c r="F10" s="265" t="s">
        <v>1419</v>
      </c>
      <c r="G10" s="280">
        <v>45549.0</v>
      </c>
      <c r="H10" s="281">
        <v>45552.0</v>
      </c>
      <c r="I10" s="282">
        <v>3.0</v>
      </c>
      <c r="J10" s="283" t="s">
        <v>111</v>
      </c>
      <c r="K10" s="265" t="s">
        <v>79</v>
      </c>
      <c r="L10" s="265" t="s">
        <v>1414</v>
      </c>
      <c r="M10" s="269">
        <v>2.0</v>
      </c>
      <c r="N10" s="270">
        <v>0.0</v>
      </c>
      <c r="O10" s="271">
        <v>174.07000000000002</v>
      </c>
      <c r="P10" s="271">
        <v>139.25600000000003</v>
      </c>
      <c r="Q10" s="272">
        <v>0.0</v>
      </c>
      <c r="R10" s="273">
        <v>417.76800000000003</v>
      </c>
      <c r="S10" s="273">
        <v>0.0</v>
      </c>
      <c r="T10" s="273">
        <v>522.21</v>
      </c>
      <c r="U10" s="274" t="s">
        <v>1415</v>
      </c>
      <c r="V10" s="284">
        <v>45183.46947916667</v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>
      <c r="A11" s="276">
        <v>45133.0</v>
      </c>
      <c r="B11" s="252">
        <v>4731148.0</v>
      </c>
      <c r="C11" s="253" t="s">
        <v>82</v>
      </c>
      <c r="D11" s="253" t="s">
        <v>101</v>
      </c>
      <c r="E11" s="252">
        <v>5.558439E7</v>
      </c>
      <c r="F11" s="253" t="s">
        <v>1421</v>
      </c>
      <c r="G11" s="276">
        <v>45337.0</v>
      </c>
      <c r="H11" s="277">
        <v>45340.0</v>
      </c>
      <c r="I11" s="278">
        <v>3.0</v>
      </c>
      <c r="J11" s="257" t="s">
        <v>111</v>
      </c>
      <c r="K11" s="253" t="s">
        <v>79</v>
      </c>
      <c r="L11" s="253" t="s">
        <v>1422</v>
      </c>
      <c r="M11" s="252">
        <v>1.0</v>
      </c>
      <c r="N11" s="258">
        <v>0.0</v>
      </c>
      <c r="O11" s="259">
        <v>154.56</v>
      </c>
      <c r="P11" s="259">
        <v>123.64800000000001</v>
      </c>
      <c r="Q11" s="262">
        <v>0.0</v>
      </c>
      <c r="R11" s="260">
        <v>370.944</v>
      </c>
      <c r="S11" s="260">
        <v>0.0</v>
      </c>
      <c r="T11" s="260">
        <v>463.68</v>
      </c>
      <c r="U11" s="261" t="s">
        <v>1423</v>
      </c>
      <c r="V11" s="279">
        <v>45133.458402777775</v>
      </c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>
      <c r="A12" s="276">
        <v>45133.0</v>
      </c>
      <c r="B12" s="252">
        <v>4731146.0</v>
      </c>
      <c r="C12" s="253" t="s">
        <v>82</v>
      </c>
      <c r="D12" s="253" t="s">
        <v>101</v>
      </c>
      <c r="E12" s="252">
        <v>5.5584391E7</v>
      </c>
      <c r="F12" s="253" t="s">
        <v>1424</v>
      </c>
      <c r="G12" s="276">
        <v>45337.0</v>
      </c>
      <c r="H12" s="277">
        <v>45340.0</v>
      </c>
      <c r="I12" s="278">
        <v>3.0</v>
      </c>
      <c r="J12" s="257" t="s">
        <v>114</v>
      </c>
      <c r="K12" s="253" t="s">
        <v>1425</v>
      </c>
      <c r="L12" s="253" t="s">
        <v>1422</v>
      </c>
      <c r="M12" s="252">
        <v>1.0</v>
      </c>
      <c r="N12" s="258">
        <v>0.0</v>
      </c>
      <c r="O12" s="259">
        <v>154.56</v>
      </c>
      <c r="P12" s="259">
        <v>123.64800000000001</v>
      </c>
      <c r="Q12" s="262" t="e">
        <v>#NUM!</v>
      </c>
      <c r="R12" s="260">
        <v>370.944</v>
      </c>
      <c r="S12" s="260" t="e">
        <v>#NUM!</v>
      </c>
      <c r="T12" s="260">
        <v>463.68</v>
      </c>
      <c r="U12" s="261" t="s">
        <v>1423</v>
      </c>
      <c r="V12" s="279">
        <v>45133.458402777775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>
      <c r="A13" s="276">
        <v>45133.0</v>
      </c>
      <c r="B13" s="252">
        <v>4731138.0</v>
      </c>
      <c r="C13" s="253" t="s">
        <v>82</v>
      </c>
      <c r="D13" s="253" t="s">
        <v>94</v>
      </c>
      <c r="E13" s="252">
        <v>5.558386E7</v>
      </c>
      <c r="F13" s="253" t="s">
        <v>1427</v>
      </c>
      <c r="G13" s="276">
        <v>45337.0</v>
      </c>
      <c r="H13" s="277">
        <v>45340.0</v>
      </c>
      <c r="I13" s="278">
        <v>3.0</v>
      </c>
      <c r="J13" s="257" t="s">
        <v>114</v>
      </c>
      <c r="K13" s="253" t="s">
        <v>1425</v>
      </c>
      <c r="L13" s="253" t="s">
        <v>1425</v>
      </c>
      <c r="M13" s="275">
        <v>1.0</v>
      </c>
      <c r="N13" s="258">
        <v>0.0</v>
      </c>
      <c r="O13" s="259">
        <v>136.63</v>
      </c>
      <c r="P13" s="259">
        <v>135.2637</v>
      </c>
      <c r="Q13" s="262" t="e">
        <v>#NUM!</v>
      </c>
      <c r="R13" s="260">
        <v>405.7911</v>
      </c>
      <c r="S13" s="260" t="e">
        <v>#NUM!</v>
      </c>
      <c r="T13" s="260">
        <v>409.89</v>
      </c>
      <c r="U13" s="261" t="s">
        <v>1428</v>
      </c>
      <c r="V13" s="279">
        <v>45133.457291666666</v>
      </c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>
      <c r="A14" s="276">
        <v>45133.0</v>
      </c>
      <c r="B14" s="252">
        <v>4731139.0</v>
      </c>
      <c r="C14" s="253" t="s">
        <v>82</v>
      </c>
      <c r="D14" s="253" t="s">
        <v>101</v>
      </c>
      <c r="E14" s="252">
        <v>5.5583863E7</v>
      </c>
      <c r="F14" s="253" t="s">
        <v>1429</v>
      </c>
      <c r="G14" s="276">
        <v>45337.0</v>
      </c>
      <c r="H14" s="277">
        <v>45340.0</v>
      </c>
      <c r="I14" s="278">
        <v>3.0</v>
      </c>
      <c r="J14" s="257" t="s">
        <v>114</v>
      </c>
      <c r="K14" s="253" t="s">
        <v>1425</v>
      </c>
      <c r="L14" s="253" t="s">
        <v>1425</v>
      </c>
      <c r="M14" s="252">
        <v>1.0</v>
      </c>
      <c r="N14" s="258">
        <v>0.0</v>
      </c>
      <c r="O14" s="259">
        <v>136.63</v>
      </c>
      <c r="P14" s="259">
        <v>109.304</v>
      </c>
      <c r="Q14" s="262" t="e">
        <v>#NUM!</v>
      </c>
      <c r="R14" s="260">
        <v>327.91200000000003</v>
      </c>
      <c r="S14" s="260" t="e">
        <v>#NUM!</v>
      </c>
      <c r="T14" s="260">
        <v>409.89</v>
      </c>
      <c r="U14" s="261" t="s">
        <v>1428</v>
      </c>
      <c r="V14" s="279">
        <v>45133.45730324074</v>
      </c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>
      <c r="A15" s="276">
        <v>45133.0</v>
      </c>
      <c r="B15" s="252">
        <v>4731122.0</v>
      </c>
      <c r="C15" s="253" t="s">
        <v>82</v>
      </c>
      <c r="D15" s="253" t="s">
        <v>101</v>
      </c>
      <c r="E15" s="252">
        <v>5.5583325E7</v>
      </c>
      <c r="F15" s="253" t="s">
        <v>1430</v>
      </c>
      <c r="G15" s="276">
        <v>45337.0</v>
      </c>
      <c r="H15" s="277">
        <v>45340.0</v>
      </c>
      <c r="I15" s="278">
        <v>3.0</v>
      </c>
      <c r="J15" s="257" t="s">
        <v>78</v>
      </c>
      <c r="K15" s="253" t="s">
        <v>1425</v>
      </c>
      <c r="L15" s="253" t="s">
        <v>1425</v>
      </c>
      <c r="M15" s="275">
        <v>1.0</v>
      </c>
      <c r="N15" s="258">
        <v>0.0</v>
      </c>
      <c r="O15" s="259">
        <v>123.2</v>
      </c>
      <c r="P15" s="259">
        <v>98.56</v>
      </c>
      <c r="Q15" s="262" t="e">
        <v>#NUM!</v>
      </c>
      <c r="R15" s="260">
        <v>295.68</v>
      </c>
      <c r="S15" s="260" t="e">
        <v>#NUM!</v>
      </c>
      <c r="T15" s="260">
        <v>369.6</v>
      </c>
      <c r="U15" s="261" t="s">
        <v>1428</v>
      </c>
      <c r="V15" s="279">
        <v>45133.45560185185</v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>
      <c r="A16" s="276">
        <v>45133.0</v>
      </c>
      <c r="B16" s="252">
        <v>4731126.0</v>
      </c>
      <c r="C16" s="253" t="s">
        <v>82</v>
      </c>
      <c r="D16" s="253" t="s">
        <v>101</v>
      </c>
      <c r="E16" s="252">
        <v>5.5583319E7</v>
      </c>
      <c r="F16" s="253" t="s">
        <v>1421</v>
      </c>
      <c r="G16" s="276">
        <v>45337.0</v>
      </c>
      <c r="H16" s="277">
        <v>45340.0</v>
      </c>
      <c r="I16" s="278">
        <v>3.0</v>
      </c>
      <c r="J16" s="257" t="s">
        <v>78</v>
      </c>
      <c r="K16" s="253" t="s">
        <v>1425</v>
      </c>
      <c r="L16" s="253" t="s">
        <v>1425</v>
      </c>
      <c r="M16" s="252">
        <v>1.0</v>
      </c>
      <c r="N16" s="258">
        <v>0.0</v>
      </c>
      <c r="O16" s="259">
        <v>123.2</v>
      </c>
      <c r="P16" s="259">
        <v>98.56</v>
      </c>
      <c r="Q16" s="257" t="e">
        <v>#NUM!</v>
      </c>
      <c r="R16" s="260">
        <v>295.68</v>
      </c>
      <c r="S16" s="260" t="e">
        <v>#NUM!</v>
      </c>
      <c r="T16" s="260">
        <v>369.6</v>
      </c>
      <c r="U16" s="261" t="s">
        <v>1428</v>
      </c>
      <c r="V16" s="279">
        <v>45133.455613425926</v>
      </c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>
      <c r="A17" s="276">
        <v>45133.0</v>
      </c>
      <c r="B17" s="252">
        <v>4731124.0</v>
      </c>
      <c r="C17" s="253" t="s">
        <v>82</v>
      </c>
      <c r="D17" s="253" t="s">
        <v>101</v>
      </c>
      <c r="E17" s="252">
        <v>5.5583322E7</v>
      </c>
      <c r="F17" s="253" t="s">
        <v>1421</v>
      </c>
      <c r="G17" s="276">
        <v>45337.0</v>
      </c>
      <c r="H17" s="277">
        <v>45340.0</v>
      </c>
      <c r="I17" s="278">
        <v>3.0</v>
      </c>
      <c r="J17" s="257" t="s">
        <v>78</v>
      </c>
      <c r="K17" s="253" t="s">
        <v>1425</v>
      </c>
      <c r="L17" s="253" t="s">
        <v>1422</v>
      </c>
      <c r="M17" s="252">
        <v>1.0</v>
      </c>
      <c r="N17" s="258">
        <v>0.0</v>
      </c>
      <c r="O17" s="259">
        <v>123.2</v>
      </c>
      <c r="P17" s="259">
        <v>98.56</v>
      </c>
      <c r="Q17" s="262" t="e">
        <v>#NUM!</v>
      </c>
      <c r="R17" s="260">
        <v>295.68</v>
      </c>
      <c r="S17" s="260" t="e">
        <v>#NUM!</v>
      </c>
      <c r="T17" s="260">
        <v>369.6</v>
      </c>
      <c r="U17" s="261" t="s">
        <v>1423</v>
      </c>
      <c r="V17" s="279">
        <v>45133.455613425926</v>
      </c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>
      <c r="A18" s="276">
        <v>45133.0</v>
      </c>
      <c r="B18" s="252">
        <v>4731123.0</v>
      </c>
      <c r="C18" s="253" t="s">
        <v>82</v>
      </c>
      <c r="D18" s="253" t="s">
        <v>101</v>
      </c>
      <c r="E18" s="252">
        <v>5.5583323E7</v>
      </c>
      <c r="F18" s="253" t="s">
        <v>1421</v>
      </c>
      <c r="G18" s="276">
        <v>45337.0</v>
      </c>
      <c r="H18" s="277">
        <v>45340.0</v>
      </c>
      <c r="I18" s="278">
        <v>3.0</v>
      </c>
      <c r="J18" s="257" t="s">
        <v>78</v>
      </c>
      <c r="K18" s="253" t="s">
        <v>1425</v>
      </c>
      <c r="L18" s="253" t="s">
        <v>1422</v>
      </c>
      <c r="M18" s="252">
        <v>1.0</v>
      </c>
      <c r="N18" s="258">
        <v>0.0</v>
      </c>
      <c r="O18" s="259">
        <v>123.2</v>
      </c>
      <c r="P18" s="259">
        <v>98.56</v>
      </c>
      <c r="Q18" s="257" t="e">
        <v>#NUM!</v>
      </c>
      <c r="R18" s="260">
        <v>295.68</v>
      </c>
      <c r="S18" s="260" t="e">
        <v>#NUM!</v>
      </c>
      <c r="T18" s="260">
        <v>369.6</v>
      </c>
      <c r="U18" s="261" t="s">
        <v>1423</v>
      </c>
      <c r="V18" s="279">
        <v>45133.45560185185</v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>
      <c r="A19" s="276">
        <v>45133.0</v>
      </c>
      <c r="B19" s="252">
        <v>4731115.0</v>
      </c>
      <c r="C19" s="253" t="s">
        <v>82</v>
      </c>
      <c r="D19" s="253" t="s">
        <v>101</v>
      </c>
      <c r="E19" s="252">
        <v>5.5582439E7</v>
      </c>
      <c r="F19" s="253" t="s">
        <v>1421</v>
      </c>
      <c r="G19" s="276">
        <v>45337.0</v>
      </c>
      <c r="H19" s="277">
        <v>45340.0</v>
      </c>
      <c r="I19" s="278">
        <v>3.0</v>
      </c>
      <c r="J19" s="257" t="s">
        <v>78</v>
      </c>
      <c r="K19" s="253" t="s">
        <v>1425</v>
      </c>
      <c r="L19" s="253" t="s">
        <v>1422</v>
      </c>
      <c r="M19" s="252">
        <v>1.0</v>
      </c>
      <c r="N19" s="258">
        <v>0.0</v>
      </c>
      <c r="O19" s="259">
        <v>123.2</v>
      </c>
      <c r="P19" s="259">
        <v>98.56</v>
      </c>
      <c r="Q19" s="262" t="e">
        <v>#NUM!</v>
      </c>
      <c r="R19" s="260">
        <v>295.68</v>
      </c>
      <c r="S19" s="260" t="e">
        <v>#NUM!</v>
      </c>
      <c r="T19" s="260">
        <v>369.6</v>
      </c>
      <c r="U19" s="261" t="s">
        <v>1423</v>
      </c>
      <c r="V19" s="279">
        <v>45133.454189814816</v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>
      <c r="A20" s="276">
        <v>45134.0</v>
      </c>
      <c r="B20" s="252">
        <v>4736193.0</v>
      </c>
      <c r="C20" s="253" t="s">
        <v>82</v>
      </c>
      <c r="D20" s="253" t="s">
        <v>101</v>
      </c>
      <c r="E20" s="252">
        <v>5.6453865E7</v>
      </c>
      <c r="F20" s="253" t="s">
        <v>1435</v>
      </c>
      <c r="G20" s="276">
        <v>45335.0</v>
      </c>
      <c r="H20" s="277">
        <v>45337.0</v>
      </c>
      <c r="I20" s="278">
        <v>2.0</v>
      </c>
      <c r="J20" s="257" t="s">
        <v>78</v>
      </c>
      <c r="K20" s="253" t="s">
        <v>79</v>
      </c>
      <c r="L20" s="253" t="s">
        <v>1436</v>
      </c>
      <c r="M20" s="252">
        <v>1.0</v>
      </c>
      <c r="N20" s="258">
        <v>0.0</v>
      </c>
      <c r="O20" s="259">
        <v>110.88</v>
      </c>
      <c r="P20" s="259">
        <v>88.70400000000001</v>
      </c>
      <c r="Q20" s="262">
        <v>0.0</v>
      </c>
      <c r="R20" s="260">
        <v>177.40800000000002</v>
      </c>
      <c r="S20" s="260">
        <v>0.0</v>
      </c>
      <c r="T20" s="260">
        <v>221.76</v>
      </c>
      <c r="U20" s="261" t="s">
        <v>1437</v>
      </c>
      <c r="V20" s="279">
        <v>45134.72513888888</v>
      </c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>
      <c r="A21" s="276">
        <v>45134.0</v>
      </c>
      <c r="B21" s="252">
        <v>4736186.0</v>
      </c>
      <c r="C21" s="253" t="s">
        <v>82</v>
      </c>
      <c r="D21" s="253" t="s">
        <v>101</v>
      </c>
      <c r="E21" s="252">
        <v>5.6453127E7</v>
      </c>
      <c r="F21" s="253" t="s">
        <v>1439</v>
      </c>
      <c r="G21" s="276">
        <v>45335.0</v>
      </c>
      <c r="H21" s="277">
        <v>45337.0</v>
      </c>
      <c r="I21" s="278">
        <v>2.0</v>
      </c>
      <c r="J21" s="257" t="s">
        <v>78</v>
      </c>
      <c r="K21" s="253" t="s">
        <v>79</v>
      </c>
      <c r="L21" s="253" t="s">
        <v>1436</v>
      </c>
      <c r="M21" s="252">
        <v>1.0</v>
      </c>
      <c r="N21" s="258">
        <v>0.0</v>
      </c>
      <c r="O21" s="259">
        <v>110.88</v>
      </c>
      <c r="P21" s="259">
        <v>88.70400000000001</v>
      </c>
      <c r="Q21" s="262">
        <v>0.0</v>
      </c>
      <c r="R21" s="260">
        <v>177.40800000000002</v>
      </c>
      <c r="S21" s="260">
        <v>0.0</v>
      </c>
      <c r="T21" s="260">
        <v>221.76</v>
      </c>
      <c r="U21" s="261" t="s">
        <v>1437</v>
      </c>
      <c r="V21" s="279">
        <v>45134.723703703705</v>
      </c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>
      <c r="A22" s="276">
        <v>45134.0</v>
      </c>
      <c r="B22" s="252">
        <v>4736176.0</v>
      </c>
      <c r="C22" s="253" t="s">
        <v>82</v>
      </c>
      <c r="D22" s="285" t="s">
        <v>101</v>
      </c>
      <c r="E22" s="252">
        <v>5.6452167E7</v>
      </c>
      <c r="F22" s="253" t="s">
        <v>1440</v>
      </c>
      <c r="G22" s="276">
        <v>45335.0</v>
      </c>
      <c r="H22" s="277">
        <v>45337.0</v>
      </c>
      <c r="I22" s="278">
        <v>2.0</v>
      </c>
      <c r="J22" s="257" t="s">
        <v>114</v>
      </c>
      <c r="K22" s="253" t="s">
        <v>79</v>
      </c>
      <c r="L22" s="253" t="s">
        <v>1436</v>
      </c>
      <c r="M22" s="252">
        <v>1.0</v>
      </c>
      <c r="N22" s="258">
        <v>0.0</v>
      </c>
      <c r="O22" s="259">
        <v>122.98</v>
      </c>
      <c r="P22" s="259">
        <v>98.38400000000001</v>
      </c>
      <c r="Q22" s="262">
        <v>0.0</v>
      </c>
      <c r="R22" s="260">
        <v>196.76800000000003</v>
      </c>
      <c r="S22" s="260">
        <v>0.0</v>
      </c>
      <c r="T22" s="260">
        <v>245.96</v>
      </c>
      <c r="U22" s="261" t="s">
        <v>1437</v>
      </c>
      <c r="V22" s="279">
        <v>45134.722291666665</v>
      </c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>
      <c r="A23" s="276">
        <v>45134.0</v>
      </c>
      <c r="B23" s="252">
        <v>4736234.0</v>
      </c>
      <c r="C23" s="253" t="s">
        <v>82</v>
      </c>
      <c r="D23" s="253" t="s">
        <v>101</v>
      </c>
      <c r="E23" s="252">
        <v>5.6463273E7</v>
      </c>
      <c r="F23" s="253" t="s">
        <v>1421</v>
      </c>
      <c r="G23" s="276">
        <v>45335.0</v>
      </c>
      <c r="H23" s="277">
        <v>45337.0</v>
      </c>
      <c r="I23" s="278">
        <v>2.0</v>
      </c>
      <c r="J23" s="257" t="s">
        <v>111</v>
      </c>
      <c r="K23" s="253" t="s">
        <v>79</v>
      </c>
      <c r="L23" s="253" t="s">
        <v>1436</v>
      </c>
      <c r="M23" s="275">
        <v>1.0</v>
      </c>
      <c r="N23" s="258">
        <v>0.0</v>
      </c>
      <c r="O23" s="259">
        <v>139.1</v>
      </c>
      <c r="P23" s="259">
        <v>111.28</v>
      </c>
      <c r="Q23" s="262">
        <v>0.0</v>
      </c>
      <c r="R23" s="260">
        <v>222.56</v>
      </c>
      <c r="S23" s="260">
        <v>0.0</v>
      </c>
      <c r="T23" s="260">
        <v>278.2</v>
      </c>
      <c r="U23" s="261" t="s">
        <v>1437</v>
      </c>
      <c r="V23" s="279">
        <v>45134.73476851852</v>
      </c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>
      <c r="A24" s="280">
        <v>45136.0</v>
      </c>
      <c r="B24" s="264">
        <v>4744076.0</v>
      </c>
      <c r="C24" s="265" t="s">
        <v>82</v>
      </c>
      <c r="D24" s="265" t="s">
        <v>35</v>
      </c>
      <c r="E24" s="265">
        <v>2.257949007E9</v>
      </c>
      <c r="F24" s="265" t="s">
        <v>1442</v>
      </c>
      <c r="G24" s="280">
        <v>45359.0</v>
      </c>
      <c r="H24" s="281">
        <v>45362.0</v>
      </c>
      <c r="I24" s="282">
        <v>3.0</v>
      </c>
      <c r="J24" s="283" t="s">
        <v>87</v>
      </c>
      <c r="K24" s="265" t="s">
        <v>79</v>
      </c>
      <c r="L24" s="265" t="s">
        <v>1443</v>
      </c>
      <c r="M24" s="269">
        <v>2.0</v>
      </c>
      <c r="N24" s="270">
        <v>0.0</v>
      </c>
      <c r="O24" s="271">
        <v>137.0</v>
      </c>
      <c r="P24" s="271">
        <v>109.60000000000001</v>
      </c>
      <c r="Q24" s="272">
        <v>0.0</v>
      </c>
      <c r="R24" s="273">
        <v>328.8</v>
      </c>
      <c r="S24" s="273">
        <v>0.0</v>
      </c>
      <c r="T24" s="273">
        <v>411.0</v>
      </c>
      <c r="U24" s="274" t="s">
        <v>1444</v>
      </c>
      <c r="V24" s="286">
        <v>45136.95351851852</v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>
      <c r="A25" s="276">
        <v>45137.0</v>
      </c>
      <c r="B25" s="252">
        <v>4745913.0</v>
      </c>
      <c r="C25" s="253" t="s">
        <v>82</v>
      </c>
      <c r="D25" s="253" t="s">
        <v>94</v>
      </c>
      <c r="E25" s="252">
        <v>4745913.0</v>
      </c>
      <c r="F25" s="253" t="s">
        <v>1446</v>
      </c>
      <c r="G25" s="276">
        <v>45376.0</v>
      </c>
      <c r="H25" s="277">
        <v>45380.0</v>
      </c>
      <c r="I25" s="278">
        <v>4.0</v>
      </c>
      <c r="J25" s="257" t="s">
        <v>114</v>
      </c>
      <c r="K25" s="253" t="s">
        <v>79</v>
      </c>
      <c r="L25" s="253" t="s">
        <v>1447</v>
      </c>
      <c r="M25" s="275">
        <v>2.0</v>
      </c>
      <c r="N25" s="258">
        <v>0.0</v>
      </c>
      <c r="O25" s="259">
        <v>168.8</v>
      </c>
      <c r="P25" s="259">
        <v>167.11200000000002</v>
      </c>
      <c r="Q25" s="262">
        <v>0.0</v>
      </c>
      <c r="R25" s="260">
        <v>668.4480000000001</v>
      </c>
      <c r="S25" s="260">
        <v>0.0</v>
      </c>
      <c r="T25" s="260">
        <v>675.2</v>
      </c>
      <c r="U25" s="261" t="s">
        <v>1448</v>
      </c>
      <c r="V25" s="279">
        <v>45137.60289351852</v>
      </c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>
      <c r="A26" s="276">
        <v>45138.0</v>
      </c>
      <c r="B26" s="252">
        <v>4749661.0</v>
      </c>
      <c r="C26" s="253" t="s">
        <v>82</v>
      </c>
      <c r="D26" s="253" t="s">
        <v>35</v>
      </c>
      <c r="E26" s="252">
        <v>2.405546346E9</v>
      </c>
      <c r="F26" s="253" t="s">
        <v>1449</v>
      </c>
      <c r="G26" s="276">
        <v>45400.0</v>
      </c>
      <c r="H26" s="277">
        <v>45404.0</v>
      </c>
      <c r="I26" s="278">
        <v>4.0</v>
      </c>
      <c r="J26" s="257" t="s">
        <v>78</v>
      </c>
      <c r="K26" s="253" t="s">
        <v>138</v>
      </c>
      <c r="L26" s="253" t="s">
        <v>1450</v>
      </c>
      <c r="M26" s="252">
        <v>2.0</v>
      </c>
      <c r="N26" s="258">
        <v>0.0</v>
      </c>
      <c r="O26" s="259">
        <v>207.73</v>
      </c>
      <c r="P26" s="259">
        <v>166.184</v>
      </c>
      <c r="Q26" s="262">
        <v>36.0</v>
      </c>
      <c r="R26" s="260">
        <v>664.736</v>
      </c>
      <c r="S26" s="260">
        <v>144.0</v>
      </c>
      <c r="T26" s="260">
        <v>830.92</v>
      </c>
      <c r="U26" s="261" t="s">
        <v>1451</v>
      </c>
      <c r="V26" s="279">
        <v>45138.63413194445</v>
      </c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>
      <c r="A27" s="276">
        <v>45140.0</v>
      </c>
      <c r="B27" s="252">
        <v>4757217.0</v>
      </c>
      <c r="C27" s="253" t="s">
        <v>75</v>
      </c>
      <c r="D27" s="253" t="s">
        <v>35</v>
      </c>
      <c r="E27" s="252">
        <v>2.999733593E9</v>
      </c>
      <c r="F27" s="253" t="s">
        <v>1453</v>
      </c>
      <c r="G27" s="276">
        <v>45349.0</v>
      </c>
      <c r="H27" s="277">
        <v>45352.0</v>
      </c>
      <c r="I27" s="278">
        <v>3.0</v>
      </c>
      <c r="J27" s="257" t="s">
        <v>78</v>
      </c>
      <c r="K27" s="253" t="s">
        <v>79</v>
      </c>
      <c r="L27" s="253" t="s">
        <v>1454</v>
      </c>
      <c r="M27" s="275">
        <v>2.0</v>
      </c>
      <c r="N27" s="258">
        <v>0.0</v>
      </c>
      <c r="O27" s="259">
        <v>209.41</v>
      </c>
      <c r="P27" s="259">
        <v>167.52800000000002</v>
      </c>
      <c r="Q27" s="262">
        <v>0.0</v>
      </c>
      <c r="R27" s="260">
        <v>502.58400000000006</v>
      </c>
      <c r="S27" s="260">
        <v>0.0</v>
      </c>
      <c r="T27" s="260">
        <v>628.23</v>
      </c>
      <c r="U27" s="261" t="s">
        <v>1455</v>
      </c>
      <c r="V27" s="279">
        <v>45176.79311342593</v>
      </c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>
      <c r="A28" s="210">
        <v>45141.0</v>
      </c>
      <c r="B28" s="166">
        <v>4762113.0</v>
      </c>
      <c r="C28" s="166" t="s">
        <v>89</v>
      </c>
      <c r="D28" s="166" t="s">
        <v>35</v>
      </c>
      <c r="E28" s="166">
        <v>3.694645689E9</v>
      </c>
      <c r="F28" s="166" t="s">
        <v>1457</v>
      </c>
      <c r="G28" s="210">
        <v>45409.0</v>
      </c>
      <c r="H28" s="287">
        <v>45416.0</v>
      </c>
      <c r="I28" s="168">
        <v>7.0</v>
      </c>
      <c r="J28" s="169" t="s">
        <v>91</v>
      </c>
      <c r="K28" s="166" t="s">
        <v>79</v>
      </c>
      <c r="L28" s="166" t="s">
        <v>1458</v>
      </c>
      <c r="M28" s="166">
        <v>4.0</v>
      </c>
      <c r="N28" s="170">
        <v>0.0</v>
      </c>
      <c r="O28" s="171">
        <v>0.0</v>
      </c>
      <c r="P28" s="171">
        <v>0.0</v>
      </c>
      <c r="Q28" s="172">
        <v>0.0</v>
      </c>
      <c r="R28" s="173">
        <v>0.0</v>
      </c>
      <c r="S28" s="173">
        <v>0.0</v>
      </c>
      <c r="T28" s="173">
        <v>0.0</v>
      </c>
      <c r="U28" s="174" t="s">
        <v>1459</v>
      </c>
      <c r="V28" s="288">
        <v>45141.78061342593</v>
      </c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>
      <c r="A29" s="276">
        <v>45142.0</v>
      </c>
      <c r="B29" s="252">
        <v>4765074.0</v>
      </c>
      <c r="C29" s="253" t="s">
        <v>82</v>
      </c>
      <c r="D29" s="253" t="s">
        <v>94</v>
      </c>
      <c r="E29" s="252">
        <v>4765074.0</v>
      </c>
      <c r="F29" s="253" t="s">
        <v>1461</v>
      </c>
      <c r="G29" s="276">
        <v>45360.0</v>
      </c>
      <c r="H29" s="277">
        <v>45367.0</v>
      </c>
      <c r="I29" s="278">
        <v>7.0</v>
      </c>
      <c r="J29" s="257" t="s">
        <v>78</v>
      </c>
      <c r="K29" s="253" t="s">
        <v>79</v>
      </c>
      <c r="L29" s="253" t="s">
        <v>1462</v>
      </c>
      <c r="M29" s="275">
        <v>2.0</v>
      </c>
      <c r="N29" s="258">
        <v>0.0</v>
      </c>
      <c r="O29" s="259">
        <v>153.04999999999998</v>
      </c>
      <c r="P29" s="259">
        <v>151.5195</v>
      </c>
      <c r="Q29" s="262">
        <v>0.0</v>
      </c>
      <c r="R29" s="260">
        <v>1060.6364999999998</v>
      </c>
      <c r="S29" s="260">
        <v>0.0</v>
      </c>
      <c r="T29" s="260">
        <v>1071.35</v>
      </c>
      <c r="U29" s="261" t="s">
        <v>1463</v>
      </c>
      <c r="V29" s="279">
        <v>45142.64582175926</v>
      </c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>
      <c r="A30" s="289">
        <v>45158.0</v>
      </c>
      <c r="B30" s="290">
        <v>4821545.0</v>
      </c>
      <c r="C30" s="291" t="s">
        <v>82</v>
      </c>
      <c r="D30" s="291" t="s">
        <v>35</v>
      </c>
      <c r="E30" s="290">
        <v>1.858588925E9</v>
      </c>
      <c r="F30" s="291" t="s">
        <v>1465</v>
      </c>
      <c r="G30" s="289">
        <v>45342.0</v>
      </c>
      <c r="H30" s="292">
        <v>45344.0</v>
      </c>
      <c r="I30" s="293">
        <v>2.0</v>
      </c>
      <c r="J30" s="294" t="s">
        <v>111</v>
      </c>
      <c r="K30" s="291" t="s">
        <v>79</v>
      </c>
      <c r="L30" s="291" t="s">
        <v>1414</v>
      </c>
      <c r="M30" s="290">
        <v>2.0</v>
      </c>
      <c r="N30" s="295">
        <v>0.0</v>
      </c>
      <c r="O30" s="296">
        <v>163.66</v>
      </c>
      <c r="P30" s="296">
        <v>130.928</v>
      </c>
      <c r="Q30" s="294">
        <v>0.0</v>
      </c>
      <c r="R30" s="297">
        <v>261.856</v>
      </c>
      <c r="S30" s="297">
        <v>0.0</v>
      </c>
      <c r="T30" s="297">
        <v>327.32</v>
      </c>
      <c r="U30" s="298" t="s">
        <v>1415</v>
      </c>
      <c r="V30" s="299">
        <v>45158.34101851852</v>
      </c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>
      <c r="A31" s="280">
        <v>45158.0</v>
      </c>
      <c r="B31" s="264">
        <v>4824388.0</v>
      </c>
      <c r="C31" s="265" t="s">
        <v>82</v>
      </c>
      <c r="D31" s="265" t="s">
        <v>35</v>
      </c>
      <c r="E31" s="264">
        <v>2.316521482E9</v>
      </c>
      <c r="F31" s="265" t="s">
        <v>1468</v>
      </c>
      <c r="G31" s="280">
        <v>45359.0</v>
      </c>
      <c r="H31" s="281">
        <v>45360.0</v>
      </c>
      <c r="I31" s="282">
        <v>1.0</v>
      </c>
      <c r="J31" s="283" t="s">
        <v>78</v>
      </c>
      <c r="K31" s="265" t="s">
        <v>79</v>
      </c>
      <c r="L31" s="265" t="s">
        <v>1469</v>
      </c>
      <c r="M31" s="264">
        <v>2.0</v>
      </c>
      <c r="N31" s="270">
        <v>0.0</v>
      </c>
      <c r="O31" s="271">
        <v>241.52</v>
      </c>
      <c r="P31" s="271">
        <v>193.216</v>
      </c>
      <c r="Q31" s="272">
        <v>0.0</v>
      </c>
      <c r="R31" s="273">
        <v>193.216</v>
      </c>
      <c r="S31" s="273">
        <v>0.0</v>
      </c>
      <c r="T31" s="273">
        <v>241.52</v>
      </c>
      <c r="U31" s="274" t="s">
        <v>1470</v>
      </c>
      <c r="V31" s="284">
        <v>45159.01601851852</v>
      </c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>
      <c r="A32" s="276">
        <v>45159.0</v>
      </c>
      <c r="B32" s="252">
        <v>4827762.0</v>
      </c>
      <c r="C32" s="253" t="s">
        <v>82</v>
      </c>
      <c r="D32" s="253" t="s">
        <v>35</v>
      </c>
      <c r="E32" s="252">
        <v>3.645783843E9</v>
      </c>
      <c r="F32" s="253" t="s">
        <v>1471</v>
      </c>
      <c r="G32" s="276">
        <v>45383.0</v>
      </c>
      <c r="H32" s="277">
        <v>45388.0</v>
      </c>
      <c r="I32" s="278">
        <v>5.0</v>
      </c>
      <c r="J32" s="257" t="s">
        <v>78</v>
      </c>
      <c r="K32" s="253" t="s">
        <v>79</v>
      </c>
      <c r="L32" s="253" t="s">
        <v>1411</v>
      </c>
      <c r="M32" s="252">
        <v>2.0</v>
      </c>
      <c r="N32" s="258">
        <v>0.0</v>
      </c>
      <c r="O32" s="259">
        <v>184.78</v>
      </c>
      <c r="P32" s="259">
        <v>147.824</v>
      </c>
      <c r="Q32" s="262">
        <v>0.0</v>
      </c>
      <c r="R32" s="260">
        <v>739.12</v>
      </c>
      <c r="S32" s="260">
        <v>0.0</v>
      </c>
      <c r="T32" s="260">
        <v>923.9</v>
      </c>
      <c r="U32" s="261" t="s">
        <v>1412</v>
      </c>
      <c r="V32" s="279">
        <v>45159.9236574074</v>
      </c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>
      <c r="A33" s="276">
        <v>45159.0</v>
      </c>
      <c r="B33" s="252">
        <v>4827766.0</v>
      </c>
      <c r="C33" s="253" t="s">
        <v>82</v>
      </c>
      <c r="D33" s="253" t="s">
        <v>35</v>
      </c>
      <c r="E33" s="252">
        <v>1.45225822E9</v>
      </c>
      <c r="F33" s="253" t="s">
        <v>1471</v>
      </c>
      <c r="G33" s="276">
        <v>45385.0</v>
      </c>
      <c r="H33" s="277">
        <v>45388.0</v>
      </c>
      <c r="I33" s="278">
        <v>3.0</v>
      </c>
      <c r="J33" s="257" t="s">
        <v>78</v>
      </c>
      <c r="K33" s="253" t="s">
        <v>79</v>
      </c>
      <c r="L33" s="253" t="s">
        <v>1411</v>
      </c>
      <c r="M33" s="275">
        <v>2.0</v>
      </c>
      <c r="N33" s="258">
        <v>0.0</v>
      </c>
      <c r="O33" s="259">
        <v>184.78</v>
      </c>
      <c r="P33" s="259">
        <v>147.824</v>
      </c>
      <c r="Q33" s="262">
        <v>0.0</v>
      </c>
      <c r="R33" s="260">
        <v>443.47200000000004</v>
      </c>
      <c r="S33" s="260">
        <v>0.0</v>
      </c>
      <c r="T33" s="260">
        <v>554.34</v>
      </c>
      <c r="U33" s="261" t="s">
        <v>1412</v>
      </c>
      <c r="V33" s="279">
        <v>45159.925034722226</v>
      </c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>
      <c r="A34" s="276">
        <v>45160.0</v>
      </c>
      <c r="B34" s="252">
        <v>4830443.0</v>
      </c>
      <c r="C34" s="253" t="s">
        <v>82</v>
      </c>
      <c r="D34" s="253" t="s">
        <v>35</v>
      </c>
      <c r="E34" s="252">
        <v>3.400788225E9</v>
      </c>
      <c r="F34" s="253" t="s">
        <v>1474</v>
      </c>
      <c r="G34" s="276">
        <v>45294.0</v>
      </c>
      <c r="H34" s="277">
        <v>45295.0</v>
      </c>
      <c r="I34" s="278">
        <v>1.0</v>
      </c>
      <c r="J34" s="257" t="s">
        <v>87</v>
      </c>
      <c r="K34" s="253" t="s">
        <v>79</v>
      </c>
      <c r="L34" s="253" t="s">
        <v>1411</v>
      </c>
      <c r="M34" s="252">
        <v>2.0</v>
      </c>
      <c r="N34" s="258">
        <v>0.0</v>
      </c>
      <c r="O34" s="259">
        <v>178.66</v>
      </c>
      <c r="P34" s="259">
        <v>142.928</v>
      </c>
      <c r="Q34" s="262">
        <v>0.0</v>
      </c>
      <c r="R34" s="260">
        <v>142.928</v>
      </c>
      <c r="S34" s="260">
        <v>0.0</v>
      </c>
      <c r="T34" s="260">
        <v>178.66</v>
      </c>
      <c r="U34" s="261" t="s">
        <v>1412</v>
      </c>
      <c r="V34" s="279">
        <v>45160.702835648146</v>
      </c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>
      <c r="A35" s="289">
        <v>45161.0</v>
      </c>
      <c r="B35" s="290">
        <v>4833983.0</v>
      </c>
      <c r="C35" s="291" t="s">
        <v>82</v>
      </c>
      <c r="D35" s="291" t="s">
        <v>35</v>
      </c>
      <c r="E35" s="290">
        <v>1.91146736E9</v>
      </c>
      <c r="F35" s="291" t="s">
        <v>1475</v>
      </c>
      <c r="G35" s="289">
        <v>45348.0</v>
      </c>
      <c r="H35" s="292">
        <v>45351.0</v>
      </c>
      <c r="I35" s="293">
        <v>3.0</v>
      </c>
      <c r="J35" s="294" t="s">
        <v>114</v>
      </c>
      <c r="K35" s="291" t="s">
        <v>138</v>
      </c>
      <c r="L35" s="291" t="s">
        <v>1476</v>
      </c>
      <c r="M35" s="300">
        <v>2.0</v>
      </c>
      <c r="N35" s="295">
        <v>0.0</v>
      </c>
      <c r="O35" s="296">
        <v>214.61</v>
      </c>
      <c r="P35" s="296">
        <v>171.68800000000002</v>
      </c>
      <c r="Q35" s="301">
        <v>36.0</v>
      </c>
      <c r="R35" s="297">
        <v>515.0640000000001</v>
      </c>
      <c r="S35" s="297">
        <v>108.0</v>
      </c>
      <c r="T35" s="297">
        <v>643.83</v>
      </c>
      <c r="U35" s="298" t="s">
        <v>1477</v>
      </c>
      <c r="V35" s="299">
        <v>45161.64866898148</v>
      </c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>
      <c r="A36" s="210">
        <v>45161.0</v>
      </c>
      <c r="B36" s="166">
        <v>4835183.0</v>
      </c>
      <c r="C36" s="166" t="s">
        <v>82</v>
      </c>
      <c r="D36" s="166" t="s">
        <v>94</v>
      </c>
      <c r="E36" s="166">
        <v>2.746561994E9</v>
      </c>
      <c r="F36" s="166" t="s">
        <v>1478</v>
      </c>
      <c r="G36" s="210">
        <v>45401.0</v>
      </c>
      <c r="H36" s="287">
        <v>45405.0</v>
      </c>
      <c r="I36" s="168">
        <v>4.0</v>
      </c>
      <c r="J36" s="169" t="s">
        <v>78</v>
      </c>
      <c r="K36" s="166" t="s">
        <v>79</v>
      </c>
      <c r="L36" s="166" t="s">
        <v>1479</v>
      </c>
      <c r="M36" s="166">
        <v>2.0</v>
      </c>
      <c r="N36" s="170">
        <v>0.0</v>
      </c>
      <c r="O36" s="171">
        <v>157.81</v>
      </c>
      <c r="P36" s="171">
        <v>156.2319</v>
      </c>
      <c r="Q36" s="172">
        <v>0.0</v>
      </c>
      <c r="R36" s="173">
        <v>624.9276</v>
      </c>
      <c r="S36" s="173">
        <v>0.0</v>
      </c>
      <c r="T36" s="173">
        <v>2041.96</v>
      </c>
      <c r="U36" s="174" t="s">
        <v>1481</v>
      </c>
      <c r="V36" s="288">
        <v>45161.92435185185</v>
      </c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>
      <c r="A37" s="276">
        <v>45161.0</v>
      </c>
      <c r="B37" s="252">
        <v>4835183.0</v>
      </c>
      <c r="C37" s="253" t="s">
        <v>82</v>
      </c>
      <c r="D37" s="253" t="s">
        <v>94</v>
      </c>
      <c r="E37" s="252">
        <v>2.746561994E9</v>
      </c>
      <c r="F37" s="253" t="s">
        <v>1478</v>
      </c>
      <c r="G37" s="276">
        <v>45401.0</v>
      </c>
      <c r="H37" s="277">
        <v>45405.0</v>
      </c>
      <c r="I37" s="278">
        <v>4.0</v>
      </c>
      <c r="J37" s="257" t="s">
        <v>78</v>
      </c>
      <c r="K37" s="253" t="s">
        <v>79</v>
      </c>
      <c r="L37" s="253" t="s">
        <v>1479</v>
      </c>
      <c r="M37" s="252">
        <v>2.0</v>
      </c>
      <c r="N37" s="258">
        <v>0.0</v>
      </c>
      <c r="O37" s="259">
        <v>157.81</v>
      </c>
      <c r="P37" s="259">
        <v>156.2319</v>
      </c>
      <c r="Q37" s="257">
        <v>0.0</v>
      </c>
      <c r="R37" s="260">
        <v>624.9276</v>
      </c>
      <c r="S37" s="260">
        <v>0.0</v>
      </c>
      <c r="T37" s="260">
        <v>2041.96</v>
      </c>
      <c r="U37" s="261" t="s">
        <v>1481</v>
      </c>
      <c r="V37" s="279">
        <v>45161.92435185185</v>
      </c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>
      <c r="A38" s="276">
        <v>45161.0</v>
      </c>
      <c r="B38" s="252">
        <v>4835183.0</v>
      </c>
      <c r="C38" s="253" t="s">
        <v>82</v>
      </c>
      <c r="D38" s="253" t="s">
        <v>94</v>
      </c>
      <c r="E38" s="252">
        <v>2.746561994E9</v>
      </c>
      <c r="F38" s="253" t="s">
        <v>1478</v>
      </c>
      <c r="G38" s="276">
        <v>45401.0</v>
      </c>
      <c r="H38" s="277">
        <v>45405.0</v>
      </c>
      <c r="I38" s="278">
        <v>4.0</v>
      </c>
      <c r="J38" s="257" t="s">
        <v>111</v>
      </c>
      <c r="K38" s="253" t="s">
        <v>79</v>
      </c>
      <c r="L38" s="253" t="s">
        <v>1443</v>
      </c>
      <c r="M38" s="252">
        <v>2.0</v>
      </c>
      <c r="N38" s="258">
        <v>0.0</v>
      </c>
      <c r="O38" s="259">
        <v>194.87</v>
      </c>
      <c r="P38" s="259">
        <v>192.9213</v>
      </c>
      <c r="Q38" s="257">
        <v>0.0</v>
      </c>
      <c r="R38" s="260">
        <v>771.6852</v>
      </c>
      <c r="S38" s="260">
        <v>0.0</v>
      </c>
      <c r="T38" s="260">
        <v>2041.96</v>
      </c>
      <c r="U38" s="261" t="s">
        <v>1444</v>
      </c>
      <c r="V38" s="279">
        <v>45161.92435185185</v>
      </c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>
      <c r="A39" s="276">
        <v>45163.0</v>
      </c>
      <c r="B39" s="252">
        <v>4841252.0</v>
      </c>
      <c r="C39" s="253" t="s">
        <v>75</v>
      </c>
      <c r="D39" s="253" t="s">
        <v>35</v>
      </c>
      <c r="E39" s="252">
        <v>1.085223803E9</v>
      </c>
      <c r="F39" s="253" t="s">
        <v>1482</v>
      </c>
      <c r="G39" s="276">
        <v>45380.0</v>
      </c>
      <c r="H39" s="277">
        <v>45382.0</v>
      </c>
      <c r="I39" s="278">
        <v>2.0</v>
      </c>
      <c r="J39" s="257" t="s">
        <v>78</v>
      </c>
      <c r="K39" s="253" t="s">
        <v>79</v>
      </c>
      <c r="L39" s="253" t="s">
        <v>1443</v>
      </c>
      <c r="M39" s="252">
        <v>2.0</v>
      </c>
      <c r="N39" s="258">
        <v>0.0</v>
      </c>
      <c r="O39" s="259">
        <v>149.32</v>
      </c>
      <c r="P39" s="259">
        <v>119.456</v>
      </c>
      <c r="Q39" s="257">
        <v>0.0</v>
      </c>
      <c r="R39" s="260">
        <v>238.912</v>
      </c>
      <c r="S39" s="260">
        <v>0.0</v>
      </c>
      <c r="T39" s="260">
        <v>298.64</v>
      </c>
      <c r="U39" s="261" t="s">
        <v>1444</v>
      </c>
      <c r="V39" s="279">
        <v>45182.67574074074</v>
      </c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>
      <c r="A40" s="280">
        <v>45168.0</v>
      </c>
      <c r="B40" s="264">
        <v>4858512.0</v>
      </c>
      <c r="C40" s="265" t="s">
        <v>82</v>
      </c>
      <c r="D40" s="265" t="s">
        <v>35</v>
      </c>
      <c r="E40" s="264">
        <v>1.128220832E9</v>
      </c>
      <c r="F40" s="265" t="s">
        <v>1484</v>
      </c>
      <c r="G40" s="280">
        <v>45362.0</v>
      </c>
      <c r="H40" s="281">
        <v>45366.0</v>
      </c>
      <c r="I40" s="282">
        <v>4.0</v>
      </c>
      <c r="J40" s="283" t="s">
        <v>111</v>
      </c>
      <c r="K40" s="265" t="s">
        <v>79</v>
      </c>
      <c r="L40" s="265" t="s">
        <v>1400</v>
      </c>
      <c r="M40" s="264">
        <v>2.0</v>
      </c>
      <c r="N40" s="270">
        <v>0.0</v>
      </c>
      <c r="O40" s="271">
        <v>192.85</v>
      </c>
      <c r="P40" s="271">
        <v>154.28</v>
      </c>
      <c r="Q40" s="272">
        <v>0.0</v>
      </c>
      <c r="R40" s="273">
        <v>617.12</v>
      </c>
      <c r="S40" s="273">
        <v>0.0</v>
      </c>
      <c r="T40" s="273">
        <v>771.4</v>
      </c>
      <c r="U40" s="274" t="s">
        <v>1401</v>
      </c>
      <c r="V40" s="284">
        <v>45168.70216435185</v>
      </c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>
      <c r="A41" s="276">
        <v>45169.0</v>
      </c>
      <c r="B41" s="252">
        <v>4863053.0</v>
      </c>
      <c r="C41" s="253" t="s">
        <v>82</v>
      </c>
      <c r="D41" s="253" t="s">
        <v>35</v>
      </c>
      <c r="E41" s="252">
        <v>2.170884697E9</v>
      </c>
      <c r="F41" s="253" t="s">
        <v>1485</v>
      </c>
      <c r="G41" s="276">
        <v>45297.0</v>
      </c>
      <c r="H41" s="277">
        <v>45298.0</v>
      </c>
      <c r="I41" s="278">
        <v>1.0</v>
      </c>
      <c r="J41" s="257" t="s">
        <v>78</v>
      </c>
      <c r="K41" s="253" t="s">
        <v>79</v>
      </c>
      <c r="L41" s="253" t="s">
        <v>1469</v>
      </c>
      <c r="M41" s="252">
        <v>2.0</v>
      </c>
      <c r="N41" s="258">
        <v>0.0</v>
      </c>
      <c r="O41" s="259">
        <v>161.42</v>
      </c>
      <c r="P41" s="259">
        <v>129.136</v>
      </c>
      <c r="Q41" s="257">
        <v>0.0</v>
      </c>
      <c r="R41" s="260">
        <v>129.136</v>
      </c>
      <c r="S41" s="260">
        <v>0.0</v>
      </c>
      <c r="T41" s="260">
        <v>161.42</v>
      </c>
      <c r="U41" s="261" t="s">
        <v>1470</v>
      </c>
      <c r="V41" s="279">
        <v>45169.96810185185</v>
      </c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>
      <c r="A42" s="276">
        <v>45169.0</v>
      </c>
      <c r="B42" s="252">
        <v>4861406.0</v>
      </c>
      <c r="C42" s="253" t="s">
        <v>75</v>
      </c>
      <c r="D42" s="253" t="s">
        <v>35</v>
      </c>
      <c r="E42" s="252">
        <v>1.560168093E9</v>
      </c>
      <c r="F42" s="253" t="s">
        <v>1486</v>
      </c>
      <c r="G42" s="276">
        <v>45333.0</v>
      </c>
      <c r="H42" s="277">
        <v>45337.0</v>
      </c>
      <c r="I42" s="278">
        <v>4.0</v>
      </c>
      <c r="J42" s="257" t="s">
        <v>78</v>
      </c>
      <c r="K42" s="253" t="s">
        <v>79</v>
      </c>
      <c r="L42" s="253" t="s">
        <v>1476</v>
      </c>
      <c r="M42" s="252">
        <v>2.0</v>
      </c>
      <c r="N42" s="258">
        <v>0.0</v>
      </c>
      <c r="O42" s="259">
        <v>158.34</v>
      </c>
      <c r="P42" s="259">
        <v>126.67200000000001</v>
      </c>
      <c r="Q42" s="257">
        <v>0.0</v>
      </c>
      <c r="R42" s="260">
        <v>506.68800000000005</v>
      </c>
      <c r="S42" s="260">
        <v>0.0</v>
      </c>
      <c r="T42" s="260">
        <v>1266.72</v>
      </c>
      <c r="U42" s="261" t="s">
        <v>1477</v>
      </c>
      <c r="V42" s="279">
        <v>45209.62157407407</v>
      </c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>
      <c r="A43" s="276">
        <v>45169.0</v>
      </c>
      <c r="B43" s="252">
        <v>4861406.0</v>
      </c>
      <c r="C43" s="253" t="s">
        <v>75</v>
      </c>
      <c r="D43" s="253" t="s">
        <v>35</v>
      </c>
      <c r="E43" s="252">
        <v>1.560168093E9</v>
      </c>
      <c r="F43" s="253" t="s">
        <v>1486</v>
      </c>
      <c r="G43" s="276">
        <v>45333.0</v>
      </c>
      <c r="H43" s="277">
        <v>45337.0</v>
      </c>
      <c r="I43" s="278">
        <v>4.0</v>
      </c>
      <c r="J43" s="257" t="s">
        <v>78</v>
      </c>
      <c r="K43" s="253" t="s">
        <v>79</v>
      </c>
      <c r="L43" s="253" t="s">
        <v>1476</v>
      </c>
      <c r="M43" s="252">
        <v>2.0</v>
      </c>
      <c r="N43" s="258">
        <v>0.0</v>
      </c>
      <c r="O43" s="259">
        <v>158.34</v>
      </c>
      <c r="P43" s="259">
        <v>126.67200000000001</v>
      </c>
      <c r="Q43" s="257">
        <v>0.0</v>
      </c>
      <c r="R43" s="260">
        <v>506.68800000000005</v>
      </c>
      <c r="S43" s="260">
        <v>0.0</v>
      </c>
      <c r="T43" s="260">
        <v>1266.72</v>
      </c>
      <c r="U43" s="261" t="s">
        <v>1477</v>
      </c>
      <c r="V43" s="279">
        <v>45209.62157407407</v>
      </c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>
      <c r="A44" s="280">
        <v>45169.0</v>
      </c>
      <c r="B44" s="264">
        <v>4862972.0</v>
      </c>
      <c r="C44" s="265" t="s">
        <v>82</v>
      </c>
      <c r="D44" s="265" t="s">
        <v>35</v>
      </c>
      <c r="E44" s="264">
        <v>2.505205334E9</v>
      </c>
      <c r="F44" s="265" t="s">
        <v>1487</v>
      </c>
      <c r="G44" s="280">
        <v>45385.0</v>
      </c>
      <c r="H44" s="281">
        <v>45392.0</v>
      </c>
      <c r="I44" s="282">
        <v>7.0</v>
      </c>
      <c r="J44" s="283" t="s">
        <v>78</v>
      </c>
      <c r="K44" s="265" t="s">
        <v>79</v>
      </c>
      <c r="L44" s="265" t="s">
        <v>1488</v>
      </c>
      <c r="M44" s="264">
        <v>2.0</v>
      </c>
      <c r="N44" s="270">
        <v>0.0</v>
      </c>
      <c r="O44" s="271">
        <v>174.79</v>
      </c>
      <c r="P44" s="271">
        <v>139.832</v>
      </c>
      <c r="Q44" s="272">
        <v>0.0</v>
      </c>
      <c r="R44" s="273">
        <v>978.8240000000001</v>
      </c>
      <c r="S44" s="273">
        <v>0.0</v>
      </c>
      <c r="T44" s="273">
        <v>1223.53</v>
      </c>
      <c r="U44" s="274" t="s">
        <v>1489</v>
      </c>
      <c r="V44" s="286">
        <v>45169.938321759255</v>
      </c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>
      <c r="A45" s="280">
        <v>45170.0</v>
      </c>
      <c r="B45" s="264">
        <v>4865606.0</v>
      </c>
      <c r="C45" s="265" t="s">
        <v>82</v>
      </c>
      <c r="D45" s="302" t="s">
        <v>35</v>
      </c>
      <c r="E45" s="264">
        <v>2.251932647E9</v>
      </c>
      <c r="F45" s="265" t="s">
        <v>1491</v>
      </c>
      <c r="G45" s="280">
        <v>45374.0</v>
      </c>
      <c r="H45" s="281">
        <v>45375.0</v>
      </c>
      <c r="I45" s="282">
        <v>1.0</v>
      </c>
      <c r="J45" s="283" t="s">
        <v>78</v>
      </c>
      <c r="K45" s="265" t="s">
        <v>1492</v>
      </c>
      <c r="L45" s="265" t="s">
        <v>1493</v>
      </c>
      <c r="M45" s="269">
        <v>2.0</v>
      </c>
      <c r="N45" s="270">
        <v>0.0</v>
      </c>
      <c r="O45" s="271">
        <v>218.14</v>
      </c>
      <c r="P45" s="271">
        <v>174.512</v>
      </c>
      <c r="Q45" s="272">
        <v>70.0</v>
      </c>
      <c r="R45" s="273">
        <v>174.512</v>
      </c>
      <c r="S45" s="273">
        <v>70.0</v>
      </c>
      <c r="T45" s="273">
        <v>218.14</v>
      </c>
      <c r="U45" s="274" t="s">
        <v>1494</v>
      </c>
      <c r="V45" s="286">
        <v>45170.743113425924</v>
      </c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>
      <c r="A46" s="276">
        <v>45173.0</v>
      </c>
      <c r="B46" s="252">
        <v>4876300.0</v>
      </c>
      <c r="C46" s="253" t="s">
        <v>82</v>
      </c>
      <c r="D46" s="253" t="s">
        <v>35</v>
      </c>
      <c r="E46" s="252">
        <v>4.122208799E9</v>
      </c>
      <c r="F46" s="253" t="s">
        <v>1495</v>
      </c>
      <c r="G46" s="276">
        <v>45356.0</v>
      </c>
      <c r="H46" s="277">
        <v>45358.0</v>
      </c>
      <c r="I46" s="278">
        <v>2.0</v>
      </c>
      <c r="J46" s="257" t="s">
        <v>87</v>
      </c>
      <c r="K46" s="253" t="s">
        <v>79</v>
      </c>
      <c r="L46" s="253" t="s">
        <v>1496</v>
      </c>
      <c r="M46" s="252">
        <v>2.0</v>
      </c>
      <c r="N46" s="258">
        <v>0.0</v>
      </c>
      <c r="O46" s="259">
        <v>151.67</v>
      </c>
      <c r="P46" s="259">
        <v>121.336</v>
      </c>
      <c r="Q46" s="262">
        <v>0.0</v>
      </c>
      <c r="R46" s="260">
        <v>242.672</v>
      </c>
      <c r="S46" s="260">
        <v>0.0</v>
      </c>
      <c r="T46" s="260">
        <v>303.34</v>
      </c>
      <c r="U46" s="261" t="s">
        <v>1497</v>
      </c>
      <c r="V46" s="279">
        <v>45173.916030092594</v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>
      <c r="A47" s="276">
        <v>45174.0</v>
      </c>
      <c r="B47" s="252">
        <v>4876628.0</v>
      </c>
      <c r="C47" s="253" t="s">
        <v>82</v>
      </c>
      <c r="D47" s="253" t="s">
        <v>35</v>
      </c>
      <c r="E47" s="252">
        <v>4.08836797E9</v>
      </c>
      <c r="F47" s="253" t="s">
        <v>1498</v>
      </c>
      <c r="G47" s="276">
        <v>45299.0</v>
      </c>
      <c r="H47" s="277">
        <v>45303.0</v>
      </c>
      <c r="I47" s="278">
        <v>4.0</v>
      </c>
      <c r="J47" s="257" t="s">
        <v>78</v>
      </c>
      <c r="K47" s="253" t="s">
        <v>79</v>
      </c>
      <c r="L47" s="253" t="s">
        <v>1476</v>
      </c>
      <c r="M47" s="252">
        <v>2.0</v>
      </c>
      <c r="N47" s="258">
        <v>0.0</v>
      </c>
      <c r="O47" s="259">
        <v>145.25</v>
      </c>
      <c r="P47" s="259">
        <v>116.2</v>
      </c>
      <c r="Q47" s="262">
        <v>0.0</v>
      </c>
      <c r="R47" s="260">
        <v>464.8</v>
      </c>
      <c r="S47" s="260">
        <v>0.0</v>
      </c>
      <c r="T47" s="260">
        <v>581.0</v>
      </c>
      <c r="U47" s="261" t="s">
        <v>1477</v>
      </c>
      <c r="V47" s="279">
        <v>45174.07158564815</v>
      </c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>
      <c r="A48" s="276">
        <v>45175.0</v>
      </c>
      <c r="B48" s="252">
        <v>4883406.0</v>
      </c>
      <c r="C48" s="253" t="s">
        <v>75</v>
      </c>
      <c r="D48" s="253" t="s">
        <v>35</v>
      </c>
      <c r="E48" s="252">
        <v>4.016440988E9</v>
      </c>
      <c r="F48" s="253" t="s">
        <v>1500</v>
      </c>
      <c r="G48" s="276">
        <v>45386.0</v>
      </c>
      <c r="H48" s="277">
        <v>45389.0</v>
      </c>
      <c r="I48" s="278">
        <v>3.0</v>
      </c>
      <c r="J48" s="257" t="s">
        <v>114</v>
      </c>
      <c r="K48" s="253" t="s">
        <v>138</v>
      </c>
      <c r="L48" s="253" t="s">
        <v>1501</v>
      </c>
      <c r="M48" s="275">
        <v>3.0</v>
      </c>
      <c r="N48" s="258">
        <v>0.0</v>
      </c>
      <c r="O48" s="259">
        <v>214.5</v>
      </c>
      <c r="P48" s="259">
        <v>171.60000000000002</v>
      </c>
      <c r="Q48" s="262">
        <v>54.0</v>
      </c>
      <c r="R48" s="260">
        <v>514.8000000000001</v>
      </c>
      <c r="S48" s="260">
        <v>162.0</v>
      </c>
      <c r="T48" s="260">
        <v>805.5</v>
      </c>
      <c r="U48" s="261" t="s">
        <v>1502</v>
      </c>
      <c r="V48" s="279">
        <v>45366.90494212963</v>
      </c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>
      <c r="A49" s="210">
        <v>45176.0</v>
      </c>
      <c r="B49" s="166">
        <v>4884318.0</v>
      </c>
      <c r="C49" s="166" t="s">
        <v>82</v>
      </c>
      <c r="D49" s="166" t="s">
        <v>35</v>
      </c>
      <c r="E49" s="166">
        <v>4.130348166E9</v>
      </c>
      <c r="F49" s="166" t="s">
        <v>1503</v>
      </c>
      <c r="G49" s="210">
        <v>45423.0</v>
      </c>
      <c r="H49" s="287">
        <v>45426.0</v>
      </c>
      <c r="I49" s="168">
        <v>3.0</v>
      </c>
      <c r="J49" s="169" t="s">
        <v>87</v>
      </c>
      <c r="K49" s="166" t="s">
        <v>79</v>
      </c>
      <c r="L49" s="166" t="s">
        <v>1414</v>
      </c>
      <c r="M49" s="166">
        <v>2.0</v>
      </c>
      <c r="N49" s="170">
        <v>0.0</v>
      </c>
      <c r="O49" s="171">
        <v>129.67</v>
      </c>
      <c r="P49" s="171">
        <v>103.73599999999999</v>
      </c>
      <c r="Q49" s="172">
        <v>0.0</v>
      </c>
      <c r="R49" s="173">
        <v>311.208</v>
      </c>
      <c r="S49" s="173">
        <v>0.0</v>
      </c>
      <c r="T49" s="173">
        <v>389.01</v>
      </c>
      <c r="U49" s="174" t="s">
        <v>1415</v>
      </c>
      <c r="V49" s="288">
        <v>45176.28892361111</v>
      </c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>
      <c r="A50" s="276">
        <v>45182.0</v>
      </c>
      <c r="B50" s="252">
        <v>4904105.0</v>
      </c>
      <c r="C50" s="253" t="s">
        <v>75</v>
      </c>
      <c r="D50" s="253" t="s">
        <v>35</v>
      </c>
      <c r="E50" s="252">
        <v>4.201474517E9</v>
      </c>
      <c r="F50" s="253" t="s">
        <v>1504</v>
      </c>
      <c r="G50" s="276">
        <v>45300.0</v>
      </c>
      <c r="H50" s="277">
        <v>45303.0</v>
      </c>
      <c r="I50" s="278">
        <v>3.0</v>
      </c>
      <c r="J50" s="257" t="s">
        <v>87</v>
      </c>
      <c r="K50" s="253" t="s">
        <v>138</v>
      </c>
      <c r="L50" s="253" t="s">
        <v>1450</v>
      </c>
      <c r="M50" s="252">
        <v>2.0</v>
      </c>
      <c r="N50" s="258">
        <v>0.0</v>
      </c>
      <c r="O50" s="259">
        <v>167.93</v>
      </c>
      <c r="P50" s="259">
        <v>134.34400000000002</v>
      </c>
      <c r="Q50" s="262">
        <v>36.0</v>
      </c>
      <c r="R50" s="260">
        <v>403.03200000000004</v>
      </c>
      <c r="S50" s="260">
        <v>108.0</v>
      </c>
      <c r="T50" s="260">
        <v>503.79</v>
      </c>
      <c r="U50" s="261" t="s">
        <v>1451</v>
      </c>
      <c r="V50" s="279">
        <v>45270.39795138889</v>
      </c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>
      <c r="A51" s="289">
        <v>45184.0</v>
      </c>
      <c r="B51" s="290">
        <v>4912218.0</v>
      </c>
      <c r="C51" s="291" t="s">
        <v>82</v>
      </c>
      <c r="D51" s="291" t="s">
        <v>35</v>
      </c>
      <c r="E51" s="290">
        <v>4.131600943E9</v>
      </c>
      <c r="F51" s="291" t="s">
        <v>1505</v>
      </c>
      <c r="G51" s="289">
        <v>45366.0</v>
      </c>
      <c r="H51" s="292">
        <v>45369.0</v>
      </c>
      <c r="I51" s="293">
        <v>3.0</v>
      </c>
      <c r="J51" s="294" t="s">
        <v>78</v>
      </c>
      <c r="K51" s="291" t="s">
        <v>79</v>
      </c>
      <c r="L51" s="291" t="s">
        <v>1506</v>
      </c>
      <c r="M51" s="290">
        <v>2.0</v>
      </c>
      <c r="N51" s="295">
        <v>0.0</v>
      </c>
      <c r="O51" s="296">
        <v>174.79</v>
      </c>
      <c r="P51" s="296">
        <v>139.832</v>
      </c>
      <c r="Q51" s="301">
        <v>0.0</v>
      </c>
      <c r="R51" s="297">
        <v>419.49600000000004</v>
      </c>
      <c r="S51" s="297">
        <v>0.0</v>
      </c>
      <c r="T51" s="297">
        <v>1048.74</v>
      </c>
      <c r="U51" s="298" t="s">
        <v>1507</v>
      </c>
      <c r="V51" s="299">
        <v>45184.541030092594</v>
      </c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>
      <c r="A52" s="280">
        <v>45184.0</v>
      </c>
      <c r="B52" s="264">
        <v>4912218.0</v>
      </c>
      <c r="C52" s="265" t="s">
        <v>82</v>
      </c>
      <c r="D52" s="265" t="s">
        <v>35</v>
      </c>
      <c r="E52" s="265">
        <v>4.131600943E9</v>
      </c>
      <c r="F52" s="265" t="s">
        <v>1505</v>
      </c>
      <c r="G52" s="280">
        <v>45366.0</v>
      </c>
      <c r="H52" s="281">
        <v>45369.0</v>
      </c>
      <c r="I52" s="282">
        <v>3.0</v>
      </c>
      <c r="J52" s="283" t="s">
        <v>78</v>
      </c>
      <c r="K52" s="265" t="s">
        <v>79</v>
      </c>
      <c r="L52" s="265" t="s">
        <v>1506</v>
      </c>
      <c r="M52" s="264">
        <v>1.0</v>
      </c>
      <c r="N52" s="270">
        <v>0.0</v>
      </c>
      <c r="O52" s="271">
        <v>174.79</v>
      </c>
      <c r="P52" s="271">
        <v>139.832</v>
      </c>
      <c r="Q52" s="272">
        <v>0.0</v>
      </c>
      <c r="R52" s="273">
        <v>419.49600000000004</v>
      </c>
      <c r="S52" s="273">
        <v>0.0</v>
      </c>
      <c r="T52" s="273">
        <v>1048.74</v>
      </c>
      <c r="U52" s="274" t="s">
        <v>1507</v>
      </c>
      <c r="V52" s="286">
        <v>45184.541030092594</v>
      </c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>
      <c r="A53" s="289">
        <v>45186.0</v>
      </c>
      <c r="B53" s="290">
        <v>4918331.0</v>
      </c>
      <c r="C53" s="291" t="s">
        <v>82</v>
      </c>
      <c r="D53" s="291" t="s">
        <v>35</v>
      </c>
      <c r="E53" s="290">
        <v>4.138352934E9</v>
      </c>
      <c r="F53" s="291" t="s">
        <v>1509</v>
      </c>
      <c r="G53" s="289">
        <v>45402.0</v>
      </c>
      <c r="H53" s="292">
        <v>45406.0</v>
      </c>
      <c r="I53" s="293">
        <v>4.0</v>
      </c>
      <c r="J53" s="294" t="s">
        <v>111</v>
      </c>
      <c r="K53" s="291" t="s">
        <v>79</v>
      </c>
      <c r="L53" s="291" t="s">
        <v>1454</v>
      </c>
      <c r="M53" s="290">
        <v>2.0</v>
      </c>
      <c r="N53" s="295">
        <v>0.0</v>
      </c>
      <c r="O53" s="296">
        <v>192.85</v>
      </c>
      <c r="P53" s="296">
        <v>154.28</v>
      </c>
      <c r="Q53" s="301">
        <v>0.0</v>
      </c>
      <c r="R53" s="297">
        <v>617.12</v>
      </c>
      <c r="S53" s="297">
        <v>0.0</v>
      </c>
      <c r="T53" s="297">
        <v>771.4</v>
      </c>
      <c r="U53" s="298" t="s">
        <v>1455</v>
      </c>
      <c r="V53" s="299">
        <v>45186.48825231481</v>
      </c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>
      <c r="A54" s="210">
        <v>45197.0</v>
      </c>
      <c r="B54" s="166">
        <v>4955862.0</v>
      </c>
      <c r="C54" s="166" t="s">
        <v>82</v>
      </c>
      <c r="D54" s="166" t="s">
        <v>35</v>
      </c>
      <c r="E54" s="166">
        <v>4.049828027E9</v>
      </c>
      <c r="F54" s="166" t="s">
        <v>1510</v>
      </c>
      <c r="G54" s="210">
        <v>45495.0</v>
      </c>
      <c r="H54" s="287">
        <v>45496.0</v>
      </c>
      <c r="I54" s="168">
        <v>1.0</v>
      </c>
      <c r="J54" s="169" t="s">
        <v>87</v>
      </c>
      <c r="K54" s="166" t="s">
        <v>79</v>
      </c>
      <c r="L54" s="166" t="s">
        <v>1511</v>
      </c>
      <c r="M54" s="166">
        <v>2.0</v>
      </c>
      <c r="N54" s="170">
        <v>0.0</v>
      </c>
      <c r="O54" s="171">
        <v>140.11</v>
      </c>
      <c r="P54" s="171">
        <v>112.08800000000002</v>
      </c>
      <c r="Q54" s="169">
        <v>0.0</v>
      </c>
      <c r="R54" s="173">
        <v>112.08800000000002</v>
      </c>
      <c r="S54" s="173">
        <v>0.0</v>
      </c>
      <c r="T54" s="173">
        <v>140.11</v>
      </c>
      <c r="U54" s="201" t="s">
        <v>1512</v>
      </c>
      <c r="V54" s="288">
        <v>45197.740324074075</v>
      </c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>
      <c r="A55" s="276">
        <v>45198.0</v>
      </c>
      <c r="B55" s="252">
        <v>4958357.0</v>
      </c>
      <c r="C55" s="253" t="s">
        <v>82</v>
      </c>
      <c r="D55" s="253" t="s">
        <v>94</v>
      </c>
      <c r="E55" s="252">
        <v>4958357.0</v>
      </c>
      <c r="F55" s="253" t="s">
        <v>1513</v>
      </c>
      <c r="G55" s="276">
        <v>45340.0</v>
      </c>
      <c r="H55" s="277">
        <v>45344.0</v>
      </c>
      <c r="I55" s="278">
        <v>4.0</v>
      </c>
      <c r="J55" s="257" t="s">
        <v>114</v>
      </c>
      <c r="K55" s="253" t="s">
        <v>79</v>
      </c>
      <c r="L55" s="253" t="s">
        <v>1462</v>
      </c>
      <c r="M55" s="275">
        <v>2.0</v>
      </c>
      <c r="N55" s="258">
        <v>0.0</v>
      </c>
      <c r="O55" s="259">
        <v>215.6</v>
      </c>
      <c r="P55" s="259">
        <v>213.444</v>
      </c>
      <c r="Q55" s="262">
        <v>0.0</v>
      </c>
      <c r="R55" s="260">
        <v>853.776</v>
      </c>
      <c r="S55" s="260">
        <v>0.0</v>
      </c>
      <c r="T55" s="260">
        <v>862.4</v>
      </c>
      <c r="U55" s="261" t="s">
        <v>1463</v>
      </c>
      <c r="V55" s="279">
        <v>45198.560752314814</v>
      </c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>
      <c r="A56" s="276">
        <v>45198.0</v>
      </c>
      <c r="B56" s="252">
        <v>4957842.0</v>
      </c>
      <c r="C56" s="253" t="s">
        <v>75</v>
      </c>
      <c r="D56" s="253" t="s">
        <v>35</v>
      </c>
      <c r="E56" s="252">
        <v>4.21821475E9</v>
      </c>
      <c r="F56" s="253" t="s">
        <v>1515</v>
      </c>
      <c r="G56" s="276">
        <v>45555.0</v>
      </c>
      <c r="H56" s="277">
        <v>45563.0</v>
      </c>
      <c r="I56" s="278">
        <v>8.0</v>
      </c>
      <c r="J56" s="257" t="s">
        <v>87</v>
      </c>
      <c r="K56" s="253" t="s">
        <v>138</v>
      </c>
      <c r="L56" s="253" t="s">
        <v>1516</v>
      </c>
      <c r="M56" s="252">
        <v>2.0</v>
      </c>
      <c r="N56" s="258">
        <v>0.0</v>
      </c>
      <c r="O56" s="259">
        <v>137.34</v>
      </c>
      <c r="P56" s="259">
        <v>109.87200000000001</v>
      </c>
      <c r="Q56" s="262">
        <v>36.0</v>
      </c>
      <c r="R56" s="260">
        <v>878.9760000000001</v>
      </c>
      <c r="S56" s="260">
        <v>288.0</v>
      </c>
      <c r="T56" s="260">
        <v>1386.72</v>
      </c>
      <c r="U56" s="261" t="s">
        <v>1517</v>
      </c>
      <c r="V56" s="279">
        <v>45537.76322916667</v>
      </c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>
      <c r="A57" s="276">
        <v>45199.0</v>
      </c>
      <c r="B57" s="252">
        <v>4962009.0</v>
      </c>
      <c r="C57" s="253" t="s">
        <v>82</v>
      </c>
      <c r="D57" s="253" t="s">
        <v>35</v>
      </c>
      <c r="E57" s="252">
        <v>4.069694989E9</v>
      </c>
      <c r="F57" s="253" t="s">
        <v>1518</v>
      </c>
      <c r="G57" s="276">
        <v>45329.0</v>
      </c>
      <c r="H57" s="277">
        <v>45333.0</v>
      </c>
      <c r="I57" s="278">
        <v>4.0</v>
      </c>
      <c r="J57" s="257" t="s">
        <v>78</v>
      </c>
      <c r="K57" s="253" t="s">
        <v>79</v>
      </c>
      <c r="L57" s="253" t="s">
        <v>1411</v>
      </c>
      <c r="M57" s="275">
        <v>1.0</v>
      </c>
      <c r="N57" s="258">
        <v>0.0</v>
      </c>
      <c r="O57" s="259">
        <v>208.95</v>
      </c>
      <c r="P57" s="259">
        <v>167.16</v>
      </c>
      <c r="Q57" s="262">
        <v>0.0</v>
      </c>
      <c r="R57" s="260">
        <v>668.64</v>
      </c>
      <c r="S57" s="260">
        <v>0.0</v>
      </c>
      <c r="T57" s="260">
        <v>835.8</v>
      </c>
      <c r="U57" s="253" t="s">
        <v>1412</v>
      </c>
      <c r="V57" s="279">
        <v>45199.71393518518</v>
      </c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>
      <c r="A58" s="276">
        <v>45199.0</v>
      </c>
      <c r="B58" s="252">
        <v>4960626.0</v>
      </c>
      <c r="C58" s="253" t="s">
        <v>82</v>
      </c>
      <c r="D58" s="253" t="s">
        <v>35</v>
      </c>
      <c r="E58" s="252">
        <v>4.269125276E9</v>
      </c>
      <c r="F58" s="253" t="s">
        <v>1519</v>
      </c>
      <c r="G58" s="276">
        <v>45378.0</v>
      </c>
      <c r="H58" s="277">
        <v>45382.0</v>
      </c>
      <c r="I58" s="278">
        <v>4.0</v>
      </c>
      <c r="J58" s="257" t="s">
        <v>78</v>
      </c>
      <c r="K58" s="253" t="s">
        <v>79</v>
      </c>
      <c r="L58" s="253" t="s">
        <v>1454</v>
      </c>
      <c r="M58" s="252">
        <v>2.0</v>
      </c>
      <c r="N58" s="258">
        <v>0.0</v>
      </c>
      <c r="O58" s="259">
        <v>184.78</v>
      </c>
      <c r="P58" s="259">
        <v>147.824</v>
      </c>
      <c r="Q58" s="262">
        <v>0.0</v>
      </c>
      <c r="R58" s="260">
        <v>591.296</v>
      </c>
      <c r="S58" s="260">
        <v>0.0</v>
      </c>
      <c r="T58" s="260">
        <v>739.12</v>
      </c>
      <c r="U58" s="261" t="s">
        <v>1455</v>
      </c>
      <c r="V58" s="279">
        <v>45199.37850694444</v>
      </c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>
      <c r="A59" s="276">
        <v>45199.0</v>
      </c>
      <c r="B59" s="252">
        <v>4961513.0</v>
      </c>
      <c r="C59" s="253" t="s">
        <v>82</v>
      </c>
      <c r="D59" s="253" t="s">
        <v>35</v>
      </c>
      <c r="E59" s="252">
        <v>4.069189136E9</v>
      </c>
      <c r="F59" s="253" t="s">
        <v>1521</v>
      </c>
      <c r="G59" s="276">
        <v>45413.0</v>
      </c>
      <c r="H59" s="277">
        <v>45417.0</v>
      </c>
      <c r="I59" s="278">
        <v>4.0</v>
      </c>
      <c r="J59" s="257" t="s">
        <v>78</v>
      </c>
      <c r="K59" s="253" t="s">
        <v>79</v>
      </c>
      <c r="L59" s="253" t="s">
        <v>1396</v>
      </c>
      <c r="M59" s="252">
        <v>2.0</v>
      </c>
      <c r="N59" s="258">
        <v>0.0</v>
      </c>
      <c r="O59" s="259">
        <v>149.32</v>
      </c>
      <c r="P59" s="259">
        <v>119.456</v>
      </c>
      <c r="Q59" s="262">
        <v>0.0</v>
      </c>
      <c r="R59" s="260">
        <v>477.824</v>
      </c>
      <c r="S59" s="260">
        <v>0.0</v>
      </c>
      <c r="T59" s="260">
        <v>597.28</v>
      </c>
      <c r="U59" s="261" t="s">
        <v>1398</v>
      </c>
      <c r="V59" s="279">
        <v>45199.588946759264</v>
      </c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>
      <c r="A60" s="276">
        <v>45205.0</v>
      </c>
      <c r="B60" s="252">
        <v>4980440.0</v>
      </c>
      <c r="C60" s="253" t="s">
        <v>75</v>
      </c>
      <c r="D60" s="253" t="s">
        <v>35</v>
      </c>
      <c r="E60" s="252">
        <v>4.084162133E9</v>
      </c>
      <c r="F60" s="253" t="s">
        <v>1522</v>
      </c>
      <c r="G60" s="276">
        <v>45365.0</v>
      </c>
      <c r="H60" s="277">
        <v>45369.0</v>
      </c>
      <c r="I60" s="278">
        <v>4.0</v>
      </c>
      <c r="J60" s="257" t="s">
        <v>114</v>
      </c>
      <c r="K60" s="253" t="s">
        <v>79</v>
      </c>
      <c r="L60" s="253" t="s">
        <v>1476</v>
      </c>
      <c r="M60" s="252">
        <v>2.0</v>
      </c>
      <c r="N60" s="258">
        <v>0.0</v>
      </c>
      <c r="O60" s="259">
        <v>164.2</v>
      </c>
      <c r="P60" s="259">
        <v>131.35999999999999</v>
      </c>
      <c r="Q60" s="262">
        <v>0.0</v>
      </c>
      <c r="R60" s="260">
        <v>525.4399999999999</v>
      </c>
      <c r="S60" s="260">
        <v>0.0</v>
      </c>
      <c r="T60" s="260">
        <v>1353.96</v>
      </c>
      <c r="U60" s="261" t="s">
        <v>1477</v>
      </c>
      <c r="V60" s="279">
        <v>45209.71879629629</v>
      </c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>
      <c r="A61" s="276">
        <v>45205.0</v>
      </c>
      <c r="B61" s="252">
        <v>4980440.0</v>
      </c>
      <c r="C61" s="253" t="s">
        <v>75</v>
      </c>
      <c r="D61" s="253" t="s">
        <v>35</v>
      </c>
      <c r="E61" s="252">
        <v>4.084162133E9</v>
      </c>
      <c r="F61" s="253" t="s">
        <v>1522</v>
      </c>
      <c r="G61" s="276">
        <v>45365.0</v>
      </c>
      <c r="H61" s="277">
        <v>45369.0</v>
      </c>
      <c r="I61" s="278">
        <v>4.0</v>
      </c>
      <c r="J61" s="257" t="s">
        <v>78</v>
      </c>
      <c r="K61" s="253" t="s">
        <v>79</v>
      </c>
      <c r="L61" s="253" t="s">
        <v>1476</v>
      </c>
      <c r="M61" s="252">
        <v>2.0</v>
      </c>
      <c r="N61" s="258">
        <v>0.0</v>
      </c>
      <c r="O61" s="259">
        <v>174.29</v>
      </c>
      <c r="P61" s="259">
        <v>139.432</v>
      </c>
      <c r="Q61" s="262">
        <v>0.0</v>
      </c>
      <c r="R61" s="260">
        <v>557.728</v>
      </c>
      <c r="S61" s="260">
        <v>0.0</v>
      </c>
      <c r="T61" s="260">
        <v>1353.96</v>
      </c>
      <c r="U61" s="261" t="s">
        <v>1477</v>
      </c>
      <c r="V61" s="279">
        <v>45209.71879629629</v>
      </c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>
      <c r="A62" s="276">
        <v>45206.0</v>
      </c>
      <c r="B62" s="252">
        <v>4982273.0</v>
      </c>
      <c r="C62" s="253" t="s">
        <v>82</v>
      </c>
      <c r="D62" s="253" t="s">
        <v>35</v>
      </c>
      <c r="E62" s="252">
        <v>4.278216699E9</v>
      </c>
      <c r="F62" s="253" t="s">
        <v>1524</v>
      </c>
      <c r="G62" s="276">
        <v>45317.0</v>
      </c>
      <c r="H62" s="277">
        <v>45320.0</v>
      </c>
      <c r="I62" s="278">
        <v>3.0</v>
      </c>
      <c r="J62" s="257" t="s">
        <v>78</v>
      </c>
      <c r="K62" s="253" t="s">
        <v>79</v>
      </c>
      <c r="L62" s="253" t="s">
        <v>1414</v>
      </c>
      <c r="M62" s="252">
        <v>2.0</v>
      </c>
      <c r="N62" s="258">
        <v>0.0</v>
      </c>
      <c r="O62" s="259">
        <v>132.16</v>
      </c>
      <c r="P62" s="259">
        <v>105.72800000000001</v>
      </c>
      <c r="Q62" s="262">
        <v>0.0</v>
      </c>
      <c r="R62" s="260">
        <v>317.184</v>
      </c>
      <c r="S62" s="260">
        <v>0.0</v>
      </c>
      <c r="T62" s="260">
        <v>396.48</v>
      </c>
      <c r="U62" s="261" t="s">
        <v>1415</v>
      </c>
      <c r="V62" s="279">
        <v>45206.06253472222</v>
      </c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>
      <c r="A63" s="210">
        <v>45206.0</v>
      </c>
      <c r="B63" s="166">
        <v>4983293.0</v>
      </c>
      <c r="C63" s="166" t="s">
        <v>82</v>
      </c>
      <c r="D63" s="166" t="s">
        <v>35</v>
      </c>
      <c r="E63" s="166">
        <v>4.018833136E9</v>
      </c>
      <c r="F63" s="166" t="s">
        <v>1525</v>
      </c>
      <c r="G63" s="210">
        <v>45457.0</v>
      </c>
      <c r="H63" s="287">
        <v>45460.0</v>
      </c>
      <c r="I63" s="168">
        <v>3.0</v>
      </c>
      <c r="J63" s="169" t="s">
        <v>78</v>
      </c>
      <c r="K63" s="166" t="s">
        <v>79</v>
      </c>
      <c r="L63" s="166" t="s">
        <v>1400</v>
      </c>
      <c r="M63" s="166">
        <v>2.0</v>
      </c>
      <c r="N63" s="170">
        <v>0.0</v>
      </c>
      <c r="O63" s="171">
        <v>143.95000000000002</v>
      </c>
      <c r="P63" s="171">
        <v>115.16000000000003</v>
      </c>
      <c r="Q63" s="172">
        <v>0.0</v>
      </c>
      <c r="R63" s="173">
        <v>345.48</v>
      </c>
      <c r="S63" s="173">
        <v>0.0</v>
      </c>
      <c r="T63" s="173">
        <v>431.85</v>
      </c>
      <c r="U63" s="174" t="s">
        <v>1401</v>
      </c>
      <c r="V63" s="288">
        <v>45206.51393518518</v>
      </c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>
      <c r="A64" s="276">
        <v>45208.0</v>
      </c>
      <c r="B64" s="252">
        <v>4989112.0</v>
      </c>
      <c r="C64" s="253" t="s">
        <v>82</v>
      </c>
      <c r="D64" s="253" t="s">
        <v>35</v>
      </c>
      <c r="E64" s="252">
        <v>4.142968712E9</v>
      </c>
      <c r="F64" s="253" t="s">
        <v>1526</v>
      </c>
      <c r="G64" s="276">
        <v>45301.0</v>
      </c>
      <c r="H64" s="277">
        <v>45304.0</v>
      </c>
      <c r="I64" s="278">
        <v>3.0</v>
      </c>
      <c r="J64" s="257" t="s">
        <v>78</v>
      </c>
      <c r="K64" s="253" t="s">
        <v>79</v>
      </c>
      <c r="L64" s="253" t="s">
        <v>1528</v>
      </c>
      <c r="M64" s="252">
        <v>2.0</v>
      </c>
      <c r="N64" s="258">
        <v>0.0</v>
      </c>
      <c r="O64" s="259">
        <v>184.0</v>
      </c>
      <c r="P64" s="259">
        <v>147.20000000000002</v>
      </c>
      <c r="Q64" s="262">
        <v>0.0</v>
      </c>
      <c r="R64" s="260">
        <v>441.6</v>
      </c>
      <c r="S64" s="260">
        <v>0.0</v>
      </c>
      <c r="T64" s="260">
        <v>552.0</v>
      </c>
      <c r="U64" s="261" t="s">
        <v>1529</v>
      </c>
      <c r="V64" s="279">
        <v>45208.50976851852</v>
      </c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>
      <c r="A65" s="276">
        <v>45208.0</v>
      </c>
      <c r="B65" s="252">
        <v>4989130.0</v>
      </c>
      <c r="C65" s="253" t="s">
        <v>82</v>
      </c>
      <c r="D65" s="253" t="s">
        <v>35</v>
      </c>
      <c r="E65" s="252">
        <v>4.263850761E9</v>
      </c>
      <c r="F65" s="253" t="s">
        <v>1526</v>
      </c>
      <c r="G65" s="276">
        <v>45302.0</v>
      </c>
      <c r="H65" s="277">
        <v>45304.0</v>
      </c>
      <c r="I65" s="278">
        <v>2.0</v>
      </c>
      <c r="J65" s="257" t="s">
        <v>78</v>
      </c>
      <c r="K65" s="253" t="s">
        <v>79</v>
      </c>
      <c r="L65" s="253" t="s">
        <v>1528</v>
      </c>
      <c r="M65" s="252">
        <v>1.0</v>
      </c>
      <c r="N65" s="258">
        <v>0.0</v>
      </c>
      <c r="O65" s="259">
        <v>181.5</v>
      </c>
      <c r="P65" s="259">
        <v>145.20000000000002</v>
      </c>
      <c r="Q65" s="257">
        <v>0.0</v>
      </c>
      <c r="R65" s="260">
        <v>290.40000000000003</v>
      </c>
      <c r="S65" s="260">
        <v>0.0</v>
      </c>
      <c r="T65" s="260">
        <v>363.0</v>
      </c>
      <c r="U65" s="261" t="s">
        <v>1529</v>
      </c>
      <c r="V65" s="279">
        <v>45208.51325231481</v>
      </c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>
      <c r="A66" s="303">
        <v>45209.0</v>
      </c>
      <c r="B66" s="290">
        <v>4992979.0</v>
      </c>
      <c r="C66" s="291" t="s">
        <v>82</v>
      </c>
      <c r="D66" s="291" t="s">
        <v>35</v>
      </c>
      <c r="E66" s="290">
        <v>4.099266059E9</v>
      </c>
      <c r="F66" s="291" t="s">
        <v>1530</v>
      </c>
      <c r="G66" s="289">
        <v>45344.0</v>
      </c>
      <c r="H66" s="292">
        <v>45347.0</v>
      </c>
      <c r="I66" s="293">
        <v>3.0</v>
      </c>
      <c r="J66" s="294" t="s">
        <v>87</v>
      </c>
      <c r="K66" s="291" t="s">
        <v>79</v>
      </c>
      <c r="L66" s="291" t="s">
        <v>1443</v>
      </c>
      <c r="M66" s="290">
        <v>2.0</v>
      </c>
      <c r="N66" s="295">
        <v>0.0</v>
      </c>
      <c r="O66" s="296">
        <v>122.99000000000001</v>
      </c>
      <c r="P66" s="296">
        <v>98.39200000000001</v>
      </c>
      <c r="Q66" s="301">
        <v>0.0</v>
      </c>
      <c r="R66" s="297">
        <v>295.17600000000004</v>
      </c>
      <c r="S66" s="297">
        <v>0.0</v>
      </c>
      <c r="T66" s="297">
        <v>368.97</v>
      </c>
      <c r="U66" s="298" t="s">
        <v>1444</v>
      </c>
      <c r="V66" s="299">
        <v>45209.61740740741</v>
      </c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>
      <c r="A67" s="304">
        <v>45210.0</v>
      </c>
      <c r="B67" s="252">
        <v>4997846.0</v>
      </c>
      <c r="C67" s="253" t="s">
        <v>82</v>
      </c>
      <c r="D67" s="253" t="s">
        <v>35</v>
      </c>
      <c r="E67" s="252">
        <v>4.151917356E9</v>
      </c>
      <c r="F67" s="253" t="s">
        <v>1532</v>
      </c>
      <c r="G67" s="276">
        <v>45352.0</v>
      </c>
      <c r="H67" s="277">
        <v>45354.0</v>
      </c>
      <c r="I67" s="278">
        <v>2.0</v>
      </c>
      <c r="J67" s="257" t="s">
        <v>78</v>
      </c>
      <c r="K67" s="253" t="s">
        <v>79</v>
      </c>
      <c r="L67" s="253" t="s">
        <v>1396</v>
      </c>
      <c r="M67" s="275">
        <v>2.0</v>
      </c>
      <c r="N67" s="258">
        <v>0.0</v>
      </c>
      <c r="O67" s="259">
        <v>197.11</v>
      </c>
      <c r="P67" s="259">
        <v>157.68800000000002</v>
      </c>
      <c r="Q67" s="262">
        <v>0.0</v>
      </c>
      <c r="R67" s="260">
        <v>315.37600000000003</v>
      </c>
      <c r="S67" s="260">
        <v>0.0</v>
      </c>
      <c r="T67" s="260">
        <v>394.22</v>
      </c>
      <c r="U67" s="261" t="s">
        <v>1398</v>
      </c>
      <c r="V67" s="279">
        <v>45210.941030092596</v>
      </c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>
      <c r="A68" s="212">
        <v>45210.0</v>
      </c>
      <c r="B68" s="166">
        <v>4996121.0</v>
      </c>
      <c r="C68" s="166" t="s">
        <v>82</v>
      </c>
      <c r="D68" s="166" t="s">
        <v>35</v>
      </c>
      <c r="E68" s="166">
        <v>4.119262315E9</v>
      </c>
      <c r="F68" s="166" t="s">
        <v>1533</v>
      </c>
      <c r="G68" s="212">
        <v>45595.0</v>
      </c>
      <c r="H68" s="287">
        <v>45599.0</v>
      </c>
      <c r="I68" s="168">
        <v>4.0</v>
      </c>
      <c r="J68" s="169" t="s">
        <v>87</v>
      </c>
      <c r="K68" s="166" t="s">
        <v>138</v>
      </c>
      <c r="L68" s="166" t="s">
        <v>1450</v>
      </c>
      <c r="M68" s="166">
        <v>2.0</v>
      </c>
      <c r="N68" s="170">
        <v>0.0</v>
      </c>
      <c r="O68" s="171">
        <v>173.34</v>
      </c>
      <c r="P68" s="171">
        <v>138.672</v>
      </c>
      <c r="Q68" s="172">
        <v>36.0</v>
      </c>
      <c r="R68" s="173">
        <v>554.688</v>
      </c>
      <c r="S68" s="173">
        <v>144.0</v>
      </c>
      <c r="T68" s="173">
        <v>693.36</v>
      </c>
      <c r="U68" s="174" t="s">
        <v>1451</v>
      </c>
      <c r="V68" s="288">
        <v>45210.564618055556</v>
      </c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</row>
    <row r="69">
      <c r="A69" s="304">
        <v>45211.0</v>
      </c>
      <c r="B69" s="252">
        <v>5000620.0</v>
      </c>
      <c r="C69" s="253" t="s">
        <v>82</v>
      </c>
      <c r="D69" s="253" t="s">
        <v>35</v>
      </c>
      <c r="E69" s="252">
        <v>4.244775564E9</v>
      </c>
      <c r="F69" s="253" t="s">
        <v>1535</v>
      </c>
      <c r="G69" s="276">
        <v>45344.0</v>
      </c>
      <c r="H69" s="277">
        <v>45348.0</v>
      </c>
      <c r="I69" s="278">
        <v>4.0</v>
      </c>
      <c r="J69" s="257" t="s">
        <v>114</v>
      </c>
      <c r="K69" s="253" t="s">
        <v>79</v>
      </c>
      <c r="L69" s="253" t="s">
        <v>1511</v>
      </c>
      <c r="M69" s="252">
        <v>2.0</v>
      </c>
      <c r="N69" s="258">
        <v>0.0</v>
      </c>
      <c r="O69" s="259">
        <v>163.44</v>
      </c>
      <c r="P69" s="259">
        <v>130.752</v>
      </c>
      <c r="Q69" s="257">
        <v>0.0</v>
      </c>
      <c r="R69" s="260">
        <v>523.008</v>
      </c>
      <c r="S69" s="260">
        <v>0.0</v>
      </c>
      <c r="T69" s="260">
        <v>653.76</v>
      </c>
      <c r="U69" s="261" t="s">
        <v>1512</v>
      </c>
      <c r="V69" s="279">
        <v>45211.81046296297</v>
      </c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>
      <c r="A70" s="304">
        <v>45213.0</v>
      </c>
      <c r="B70" s="252">
        <v>5005502.0</v>
      </c>
      <c r="C70" s="253" t="s">
        <v>82</v>
      </c>
      <c r="D70" s="253" t="s">
        <v>35</v>
      </c>
      <c r="E70" s="252">
        <v>4.045126811E9</v>
      </c>
      <c r="F70" s="253" t="s">
        <v>1536</v>
      </c>
      <c r="G70" s="276">
        <v>45296.0</v>
      </c>
      <c r="H70" s="277">
        <v>45299.0</v>
      </c>
      <c r="I70" s="278">
        <v>3.0</v>
      </c>
      <c r="J70" s="257" t="s">
        <v>78</v>
      </c>
      <c r="K70" s="253" t="s">
        <v>79</v>
      </c>
      <c r="L70" s="253" t="s">
        <v>1396</v>
      </c>
      <c r="M70" s="252">
        <v>2.0</v>
      </c>
      <c r="N70" s="258">
        <v>0.0</v>
      </c>
      <c r="O70" s="259">
        <v>133.06666666666666</v>
      </c>
      <c r="P70" s="259">
        <v>106.45333333333333</v>
      </c>
      <c r="Q70" s="257">
        <v>0.0</v>
      </c>
      <c r="R70" s="260">
        <v>319.36</v>
      </c>
      <c r="S70" s="260">
        <v>0.0</v>
      </c>
      <c r="T70" s="260">
        <v>399.2</v>
      </c>
      <c r="U70" s="261" t="s">
        <v>1398</v>
      </c>
      <c r="V70" s="279">
        <v>45213.60627314815</v>
      </c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>
      <c r="A71" s="304">
        <v>45214.0</v>
      </c>
      <c r="B71" s="252">
        <v>5009165.0</v>
      </c>
      <c r="C71" s="253" t="s">
        <v>82</v>
      </c>
      <c r="D71" s="253" t="s">
        <v>35</v>
      </c>
      <c r="E71" s="252">
        <v>4.147513679E9</v>
      </c>
      <c r="F71" s="253" t="s">
        <v>1538</v>
      </c>
      <c r="G71" s="276">
        <v>45296.0</v>
      </c>
      <c r="H71" s="277">
        <v>45299.0</v>
      </c>
      <c r="I71" s="278">
        <v>3.0</v>
      </c>
      <c r="J71" s="257" t="s">
        <v>78</v>
      </c>
      <c r="K71" s="253" t="s">
        <v>79</v>
      </c>
      <c r="L71" s="253" t="s">
        <v>1496</v>
      </c>
      <c r="M71" s="252">
        <v>2.0</v>
      </c>
      <c r="N71" s="258">
        <v>0.0</v>
      </c>
      <c r="O71" s="259">
        <v>162.94</v>
      </c>
      <c r="P71" s="259">
        <v>130.352</v>
      </c>
      <c r="Q71" s="262">
        <v>0.0</v>
      </c>
      <c r="R71" s="260">
        <v>391.05600000000004</v>
      </c>
      <c r="S71" s="260">
        <v>0.0</v>
      </c>
      <c r="T71" s="260">
        <v>488.82</v>
      </c>
      <c r="U71" s="261" t="s">
        <v>1497</v>
      </c>
      <c r="V71" s="279">
        <v>45214.9000462963</v>
      </c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>
      <c r="A72" s="304">
        <v>45219.0</v>
      </c>
      <c r="B72" s="252">
        <v>5022895.0</v>
      </c>
      <c r="C72" s="253" t="s">
        <v>82</v>
      </c>
      <c r="D72" s="253" t="s">
        <v>35</v>
      </c>
      <c r="E72" s="252">
        <v>4.150996377E9</v>
      </c>
      <c r="F72" s="253" t="s">
        <v>1539</v>
      </c>
      <c r="G72" s="276">
        <v>45302.0</v>
      </c>
      <c r="H72" s="277">
        <v>45306.0</v>
      </c>
      <c r="I72" s="278">
        <v>4.0</v>
      </c>
      <c r="J72" s="257" t="s">
        <v>87</v>
      </c>
      <c r="K72" s="253" t="s">
        <v>79</v>
      </c>
      <c r="L72" s="253" t="s">
        <v>1411</v>
      </c>
      <c r="M72" s="252">
        <v>2.0</v>
      </c>
      <c r="N72" s="258">
        <v>0.0</v>
      </c>
      <c r="O72" s="259">
        <v>132.52</v>
      </c>
      <c r="P72" s="259">
        <v>106.01600000000002</v>
      </c>
      <c r="Q72" s="262">
        <v>0.0</v>
      </c>
      <c r="R72" s="260">
        <v>424.0640000000001</v>
      </c>
      <c r="S72" s="260">
        <v>0.0</v>
      </c>
      <c r="T72" s="260">
        <v>530.08</v>
      </c>
      <c r="U72" s="261" t="s">
        <v>1412</v>
      </c>
      <c r="V72" s="279">
        <v>45219.70003472222</v>
      </c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>
      <c r="A73" s="304">
        <v>45220.0</v>
      </c>
      <c r="B73" s="252">
        <v>5025394.0</v>
      </c>
      <c r="C73" s="253" t="s">
        <v>82</v>
      </c>
      <c r="D73" s="253" t="s">
        <v>35</v>
      </c>
      <c r="E73" s="252">
        <v>4.239036773E9</v>
      </c>
      <c r="F73" s="253" t="s">
        <v>1541</v>
      </c>
      <c r="G73" s="276">
        <v>45327.0</v>
      </c>
      <c r="H73" s="277">
        <v>45330.0</v>
      </c>
      <c r="I73" s="278">
        <v>3.0</v>
      </c>
      <c r="J73" s="257" t="s">
        <v>114</v>
      </c>
      <c r="K73" s="253" t="s">
        <v>79</v>
      </c>
      <c r="L73" s="253" t="s">
        <v>1506</v>
      </c>
      <c r="M73" s="252">
        <v>2.0</v>
      </c>
      <c r="N73" s="258">
        <v>0.0</v>
      </c>
      <c r="O73" s="259">
        <v>173.1</v>
      </c>
      <c r="P73" s="259">
        <v>138.48</v>
      </c>
      <c r="Q73" s="262">
        <v>0.0</v>
      </c>
      <c r="R73" s="260">
        <v>415.44</v>
      </c>
      <c r="S73" s="260">
        <v>0.0</v>
      </c>
      <c r="T73" s="260">
        <v>519.3</v>
      </c>
      <c r="U73" s="261" t="s">
        <v>1507</v>
      </c>
      <c r="V73" s="279">
        <v>45220.702106481476</v>
      </c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>
      <c r="A74" s="304">
        <v>45221.0</v>
      </c>
      <c r="B74" s="252">
        <v>5026822.0</v>
      </c>
      <c r="C74" s="253" t="s">
        <v>82</v>
      </c>
      <c r="D74" s="253" t="s">
        <v>35</v>
      </c>
      <c r="E74" s="252">
        <v>4.245108326E9</v>
      </c>
      <c r="F74" s="253" t="s">
        <v>1542</v>
      </c>
      <c r="G74" s="276">
        <v>45296.0</v>
      </c>
      <c r="H74" s="277">
        <v>45303.0</v>
      </c>
      <c r="I74" s="278">
        <v>7.0</v>
      </c>
      <c r="J74" s="257" t="s">
        <v>78</v>
      </c>
      <c r="K74" s="253" t="s">
        <v>79</v>
      </c>
      <c r="L74" s="253" t="s">
        <v>1543</v>
      </c>
      <c r="M74" s="252">
        <v>2.0</v>
      </c>
      <c r="N74" s="258">
        <v>0.0</v>
      </c>
      <c r="O74" s="259">
        <v>149.67285714285714</v>
      </c>
      <c r="P74" s="259">
        <v>119.73828571428572</v>
      </c>
      <c r="Q74" s="262">
        <v>0.0</v>
      </c>
      <c r="R74" s="260">
        <v>838.1680000000001</v>
      </c>
      <c r="S74" s="260">
        <v>0.0</v>
      </c>
      <c r="T74" s="260">
        <v>1047.71</v>
      </c>
      <c r="U74" s="261" t="s">
        <v>1544</v>
      </c>
      <c r="V74" s="279">
        <v>45221.44517361111</v>
      </c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>
      <c r="A75" s="304">
        <v>45221.0</v>
      </c>
      <c r="B75" s="252">
        <v>5028660.0</v>
      </c>
      <c r="C75" s="253" t="s">
        <v>82</v>
      </c>
      <c r="D75" s="253" t="s">
        <v>35</v>
      </c>
      <c r="E75" s="252">
        <v>4.24519455E9</v>
      </c>
      <c r="F75" s="253" t="s">
        <v>1545</v>
      </c>
      <c r="G75" s="276">
        <v>45386.0</v>
      </c>
      <c r="H75" s="277">
        <v>45388.0</v>
      </c>
      <c r="I75" s="278">
        <v>2.0</v>
      </c>
      <c r="J75" s="257" t="s">
        <v>91</v>
      </c>
      <c r="K75" s="253" t="s">
        <v>79</v>
      </c>
      <c r="L75" s="253" t="s">
        <v>1546</v>
      </c>
      <c r="M75" s="275">
        <v>4.0</v>
      </c>
      <c r="N75" s="258">
        <v>0.0</v>
      </c>
      <c r="O75" s="259">
        <v>457.53</v>
      </c>
      <c r="P75" s="259">
        <v>366.024</v>
      </c>
      <c r="Q75" s="262">
        <v>0.0</v>
      </c>
      <c r="R75" s="260">
        <v>732.048</v>
      </c>
      <c r="S75" s="260">
        <v>0.0</v>
      </c>
      <c r="T75" s="260">
        <v>915.06</v>
      </c>
      <c r="U75" s="261" t="s">
        <v>1547</v>
      </c>
      <c r="V75" s="279">
        <v>45222.04177083333</v>
      </c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>
      <c r="A76" s="304">
        <v>45222.0</v>
      </c>
      <c r="B76" s="252">
        <v>5029081.0</v>
      </c>
      <c r="C76" s="253" t="s">
        <v>82</v>
      </c>
      <c r="D76" s="253" t="s">
        <v>35</v>
      </c>
      <c r="E76" s="252">
        <v>4.086770234E9</v>
      </c>
      <c r="F76" s="253" t="s">
        <v>1548</v>
      </c>
      <c r="G76" s="276">
        <v>45303.0</v>
      </c>
      <c r="H76" s="277">
        <v>45305.0</v>
      </c>
      <c r="I76" s="278">
        <v>2.0</v>
      </c>
      <c r="J76" s="257" t="s">
        <v>87</v>
      </c>
      <c r="K76" s="253" t="s">
        <v>79</v>
      </c>
      <c r="L76" s="253" t="s">
        <v>1414</v>
      </c>
      <c r="M76" s="252">
        <v>2.0</v>
      </c>
      <c r="N76" s="258">
        <v>0.0</v>
      </c>
      <c r="O76" s="259">
        <v>109.14</v>
      </c>
      <c r="P76" s="259">
        <v>87.31200000000001</v>
      </c>
      <c r="Q76" s="262">
        <v>0.0</v>
      </c>
      <c r="R76" s="260">
        <v>174.62400000000002</v>
      </c>
      <c r="S76" s="260">
        <v>0.0</v>
      </c>
      <c r="T76" s="273">
        <v>218.28</v>
      </c>
      <c r="U76" s="274" t="s">
        <v>1415</v>
      </c>
      <c r="V76" s="284">
        <v>45222.3562962963</v>
      </c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>
      <c r="A77" s="304">
        <v>45223.0</v>
      </c>
      <c r="B77" s="252">
        <v>5032185.0</v>
      </c>
      <c r="C77" s="253" t="s">
        <v>75</v>
      </c>
      <c r="D77" s="253" t="s">
        <v>35</v>
      </c>
      <c r="E77" s="252">
        <v>4.037268148E9</v>
      </c>
      <c r="F77" s="253" t="s">
        <v>1549</v>
      </c>
      <c r="G77" s="276">
        <v>45333.0</v>
      </c>
      <c r="H77" s="277">
        <v>45335.0</v>
      </c>
      <c r="I77" s="278">
        <v>2.0</v>
      </c>
      <c r="J77" s="257" t="s">
        <v>114</v>
      </c>
      <c r="K77" s="253" t="s">
        <v>79</v>
      </c>
      <c r="L77" s="253" t="s">
        <v>1411</v>
      </c>
      <c r="M77" s="252">
        <v>3.0</v>
      </c>
      <c r="N77" s="258">
        <v>0.0</v>
      </c>
      <c r="O77" s="259">
        <v>159.97</v>
      </c>
      <c r="P77" s="259">
        <v>127.976</v>
      </c>
      <c r="Q77" s="262">
        <v>0.0</v>
      </c>
      <c r="R77" s="260">
        <v>255.952</v>
      </c>
      <c r="S77" s="260">
        <v>0.0</v>
      </c>
      <c r="T77" s="260">
        <v>319.94</v>
      </c>
      <c r="U77" s="261" t="s">
        <v>1412</v>
      </c>
      <c r="V77" s="279">
        <v>45226.62364583333</v>
      </c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>
      <c r="A78" s="304">
        <v>45224.0</v>
      </c>
      <c r="B78" s="252">
        <v>5036799.0</v>
      </c>
      <c r="C78" s="253" t="s">
        <v>82</v>
      </c>
      <c r="D78" s="253" t="s">
        <v>35</v>
      </c>
      <c r="E78" s="252">
        <v>4.180791819E9</v>
      </c>
      <c r="F78" s="253" t="s">
        <v>1550</v>
      </c>
      <c r="G78" s="276">
        <v>45296.0</v>
      </c>
      <c r="H78" s="277">
        <v>45299.0</v>
      </c>
      <c r="I78" s="278">
        <v>3.0</v>
      </c>
      <c r="J78" s="257" t="s">
        <v>114</v>
      </c>
      <c r="K78" s="253" t="s">
        <v>79</v>
      </c>
      <c r="L78" s="253" t="s">
        <v>1476</v>
      </c>
      <c r="M78" s="275">
        <v>2.0</v>
      </c>
      <c r="N78" s="258">
        <v>0.0</v>
      </c>
      <c r="O78" s="259">
        <v>184.36333333333334</v>
      </c>
      <c r="P78" s="259">
        <v>147.49066666666667</v>
      </c>
      <c r="Q78" s="262">
        <v>0.0</v>
      </c>
      <c r="R78" s="260">
        <v>442.47200000000004</v>
      </c>
      <c r="S78" s="260">
        <v>0.0</v>
      </c>
      <c r="T78" s="260">
        <v>1106.18</v>
      </c>
      <c r="U78" s="261" t="s">
        <v>1477</v>
      </c>
      <c r="V78" s="279">
        <v>45224.862557870365</v>
      </c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>
      <c r="A79" s="304">
        <v>45224.0</v>
      </c>
      <c r="B79" s="252">
        <v>5036799.0</v>
      </c>
      <c r="C79" s="253" t="s">
        <v>82</v>
      </c>
      <c r="D79" s="253" t="s">
        <v>35</v>
      </c>
      <c r="E79" s="252">
        <v>4.180791819E9</v>
      </c>
      <c r="F79" s="253" t="s">
        <v>1550</v>
      </c>
      <c r="G79" s="276">
        <v>45296.0</v>
      </c>
      <c r="H79" s="277">
        <v>45299.0</v>
      </c>
      <c r="I79" s="278">
        <v>3.0</v>
      </c>
      <c r="J79" s="257" t="s">
        <v>114</v>
      </c>
      <c r="K79" s="253" t="s">
        <v>79</v>
      </c>
      <c r="L79" s="253" t="s">
        <v>1476</v>
      </c>
      <c r="M79" s="252">
        <v>2.0</v>
      </c>
      <c r="N79" s="258">
        <v>0.0</v>
      </c>
      <c r="O79" s="259">
        <v>184.36333333333334</v>
      </c>
      <c r="P79" s="259">
        <v>147.49066666666667</v>
      </c>
      <c r="Q79" s="262">
        <v>0.0</v>
      </c>
      <c r="R79" s="260">
        <v>442.47200000000004</v>
      </c>
      <c r="S79" s="260">
        <v>0.0</v>
      </c>
      <c r="T79" s="273">
        <v>1106.18</v>
      </c>
      <c r="U79" s="274" t="s">
        <v>1477</v>
      </c>
      <c r="V79" s="284">
        <v>45224.862557870365</v>
      </c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>
      <c r="A80" s="304">
        <v>45225.0</v>
      </c>
      <c r="B80" s="252">
        <v>5037273.0</v>
      </c>
      <c r="C80" s="253" t="s">
        <v>75</v>
      </c>
      <c r="D80" s="253" t="s">
        <v>35</v>
      </c>
      <c r="E80" s="252">
        <v>4.034337739E9</v>
      </c>
      <c r="F80" s="253" t="s">
        <v>1551</v>
      </c>
      <c r="G80" s="276">
        <v>45343.0</v>
      </c>
      <c r="H80" s="277">
        <v>45345.0</v>
      </c>
      <c r="I80" s="278">
        <v>2.0</v>
      </c>
      <c r="J80" s="257" t="s">
        <v>114</v>
      </c>
      <c r="K80" s="253" t="s">
        <v>1492</v>
      </c>
      <c r="L80" s="253" t="s">
        <v>1476</v>
      </c>
      <c r="M80" s="275">
        <v>2.0</v>
      </c>
      <c r="N80" s="258">
        <v>0.0</v>
      </c>
      <c r="O80" s="259">
        <v>211.72</v>
      </c>
      <c r="P80" s="259">
        <v>169.376</v>
      </c>
      <c r="Q80" s="262">
        <v>70.0</v>
      </c>
      <c r="R80" s="260">
        <v>338.752</v>
      </c>
      <c r="S80" s="260">
        <v>140.0</v>
      </c>
      <c r="T80" s="260">
        <v>423.44</v>
      </c>
      <c r="U80" s="261" t="s">
        <v>1477</v>
      </c>
      <c r="V80" s="279">
        <v>45284.00350694444</v>
      </c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>
      <c r="A81" s="304">
        <v>45226.0</v>
      </c>
      <c r="B81" s="252">
        <v>5041483.0</v>
      </c>
      <c r="C81" s="253" t="s">
        <v>82</v>
      </c>
      <c r="D81" s="253" t="s">
        <v>35</v>
      </c>
      <c r="E81" s="252">
        <v>4.233097641E9</v>
      </c>
      <c r="F81" s="253" t="s">
        <v>1552</v>
      </c>
      <c r="G81" s="276">
        <v>45324.0</v>
      </c>
      <c r="H81" s="277">
        <v>45327.0</v>
      </c>
      <c r="I81" s="278">
        <v>3.0</v>
      </c>
      <c r="J81" s="257" t="s">
        <v>78</v>
      </c>
      <c r="K81" s="253" t="s">
        <v>79</v>
      </c>
      <c r="L81" s="253" t="s">
        <v>1396</v>
      </c>
      <c r="M81" s="252">
        <v>2.0</v>
      </c>
      <c r="N81" s="258">
        <v>0.0</v>
      </c>
      <c r="O81" s="259">
        <v>158.52</v>
      </c>
      <c r="P81" s="259">
        <v>126.81600000000002</v>
      </c>
      <c r="Q81" s="262">
        <v>0.0</v>
      </c>
      <c r="R81" s="260">
        <v>380.44800000000004</v>
      </c>
      <c r="S81" s="260">
        <v>0.0</v>
      </c>
      <c r="T81" s="260">
        <v>475.56</v>
      </c>
      <c r="U81" s="261" t="s">
        <v>1398</v>
      </c>
      <c r="V81" s="279">
        <v>45226.662569444445</v>
      </c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>
      <c r="A82" s="304">
        <v>45226.0</v>
      </c>
      <c r="B82" s="252">
        <v>5041465.0</v>
      </c>
      <c r="C82" s="253" t="s">
        <v>82</v>
      </c>
      <c r="D82" s="253" t="s">
        <v>35</v>
      </c>
      <c r="E82" s="252">
        <v>4.254985089E9</v>
      </c>
      <c r="F82" s="253" t="s">
        <v>1552</v>
      </c>
      <c r="G82" s="276">
        <v>45325.0</v>
      </c>
      <c r="H82" s="277">
        <v>45327.0</v>
      </c>
      <c r="I82" s="278">
        <v>2.0</v>
      </c>
      <c r="J82" s="257" t="s">
        <v>111</v>
      </c>
      <c r="K82" s="253" t="s">
        <v>79</v>
      </c>
      <c r="L82" s="253" t="s">
        <v>1443</v>
      </c>
      <c r="M82" s="275">
        <v>1.0</v>
      </c>
      <c r="N82" s="258">
        <v>0.0</v>
      </c>
      <c r="O82" s="259">
        <v>139.79</v>
      </c>
      <c r="P82" s="259">
        <v>111.832</v>
      </c>
      <c r="Q82" s="262">
        <v>0.0</v>
      </c>
      <c r="R82" s="260">
        <v>223.664</v>
      </c>
      <c r="S82" s="260">
        <v>0.0</v>
      </c>
      <c r="T82" s="260">
        <v>1062.16</v>
      </c>
      <c r="U82" s="261" t="s">
        <v>1444</v>
      </c>
      <c r="V82" s="279">
        <v>45226.65561342593</v>
      </c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>
      <c r="A83" s="304">
        <v>45226.0</v>
      </c>
      <c r="B83" s="252">
        <v>5041465.0</v>
      </c>
      <c r="C83" s="253" t="s">
        <v>82</v>
      </c>
      <c r="D83" s="253" t="s">
        <v>35</v>
      </c>
      <c r="E83" s="252">
        <v>4.254985089E9</v>
      </c>
      <c r="F83" s="253" t="s">
        <v>1552</v>
      </c>
      <c r="G83" s="276">
        <v>45325.0</v>
      </c>
      <c r="H83" s="277">
        <v>45327.0</v>
      </c>
      <c r="I83" s="278">
        <v>2.0</v>
      </c>
      <c r="J83" s="257" t="s">
        <v>111</v>
      </c>
      <c r="K83" s="253" t="s">
        <v>79</v>
      </c>
      <c r="L83" s="253" t="s">
        <v>1443</v>
      </c>
      <c r="M83" s="252">
        <v>1.0</v>
      </c>
      <c r="N83" s="258">
        <v>0.0</v>
      </c>
      <c r="O83" s="259">
        <v>139.79</v>
      </c>
      <c r="P83" s="259">
        <v>111.832</v>
      </c>
      <c r="Q83" s="262">
        <v>0.0</v>
      </c>
      <c r="R83" s="260">
        <v>223.664</v>
      </c>
      <c r="S83" s="260">
        <v>0.0</v>
      </c>
      <c r="T83" s="273">
        <v>1062.16</v>
      </c>
      <c r="U83" s="274" t="s">
        <v>1444</v>
      </c>
      <c r="V83" s="284">
        <v>45226.65561342593</v>
      </c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>
      <c r="A84" s="304">
        <v>45226.0</v>
      </c>
      <c r="B84" s="252">
        <v>5041465.0</v>
      </c>
      <c r="C84" s="253" t="s">
        <v>82</v>
      </c>
      <c r="D84" s="253" t="s">
        <v>35</v>
      </c>
      <c r="E84" s="252">
        <v>4.254985089E9</v>
      </c>
      <c r="F84" s="253" t="s">
        <v>1552</v>
      </c>
      <c r="G84" s="276">
        <v>45325.0</v>
      </c>
      <c r="H84" s="277">
        <v>45327.0</v>
      </c>
      <c r="I84" s="278">
        <v>2.0</v>
      </c>
      <c r="J84" s="257" t="s">
        <v>78</v>
      </c>
      <c r="K84" s="253" t="s">
        <v>79</v>
      </c>
      <c r="L84" s="253" t="s">
        <v>1443</v>
      </c>
      <c r="M84" s="252">
        <v>2.0</v>
      </c>
      <c r="N84" s="258">
        <v>0.0</v>
      </c>
      <c r="O84" s="259">
        <v>125.75</v>
      </c>
      <c r="P84" s="259">
        <v>100.60000000000001</v>
      </c>
      <c r="Q84" s="262">
        <v>0.0</v>
      </c>
      <c r="R84" s="260">
        <v>201.20000000000002</v>
      </c>
      <c r="S84" s="260">
        <v>0.0</v>
      </c>
      <c r="T84" s="260">
        <v>1062.16</v>
      </c>
      <c r="U84" s="261" t="s">
        <v>1444</v>
      </c>
      <c r="V84" s="279">
        <v>45226.65561342593</v>
      </c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>
      <c r="A85" s="304">
        <v>45226.0</v>
      </c>
      <c r="B85" s="252">
        <v>5041465.0</v>
      </c>
      <c r="C85" s="253" t="s">
        <v>82</v>
      </c>
      <c r="D85" s="253" t="s">
        <v>35</v>
      </c>
      <c r="E85" s="252">
        <v>4.254985089E9</v>
      </c>
      <c r="F85" s="253" t="s">
        <v>1552</v>
      </c>
      <c r="G85" s="276">
        <v>45325.0</v>
      </c>
      <c r="H85" s="277">
        <v>45327.0</v>
      </c>
      <c r="I85" s="278">
        <v>2.0</v>
      </c>
      <c r="J85" s="257" t="s">
        <v>78</v>
      </c>
      <c r="K85" s="253" t="s">
        <v>79</v>
      </c>
      <c r="L85" s="253" t="s">
        <v>1443</v>
      </c>
      <c r="M85" s="252">
        <v>2.0</v>
      </c>
      <c r="N85" s="258">
        <v>0.0</v>
      </c>
      <c r="O85" s="259">
        <v>125.75</v>
      </c>
      <c r="P85" s="259">
        <v>100.60000000000001</v>
      </c>
      <c r="Q85" s="257">
        <v>0.0</v>
      </c>
      <c r="R85" s="260">
        <v>201.20000000000002</v>
      </c>
      <c r="S85" s="260">
        <v>0.0</v>
      </c>
      <c r="T85" s="260">
        <v>1062.16</v>
      </c>
      <c r="U85" s="261" t="s">
        <v>1444</v>
      </c>
      <c r="V85" s="279">
        <v>45226.65561342593</v>
      </c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>
      <c r="A86" s="305">
        <v>45226.0</v>
      </c>
      <c r="B86" s="264">
        <v>5040535.0</v>
      </c>
      <c r="C86" s="265" t="s">
        <v>75</v>
      </c>
      <c r="D86" s="265" t="s">
        <v>94</v>
      </c>
      <c r="E86" s="264">
        <v>5040535.0</v>
      </c>
      <c r="F86" s="265" t="s">
        <v>1553</v>
      </c>
      <c r="G86" s="280">
        <v>45466.0</v>
      </c>
      <c r="H86" s="281">
        <v>45469.0</v>
      </c>
      <c r="I86" s="282">
        <v>3.0</v>
      </c>
      <c r="J86" s="283" t="s">
        <v>78</v>
      </c>
      <c r="K86" s="265" t="s">
        <v>79</v>
      </c>
      <c r="L86" s="265" t="s">
        <v>1447</v>
      </c>
      <c r="M86" s="269">
        <v>2.0</v>
      </c>
      <c r="N86" s="270">
        <v>0.0</v>
      </c>
      <c r="O86" s="271">
        <v>137.0</v>
      </c>
      <c r="P86" s="271">
        <v>135.63</v>
      </c>
      <c r="Q86" s="272">
        <v>0.0</v>
      </c>
      <c r="R86" s="273">
        <v>406.89</v>
      </c>
      <c r="S86" s="273">
        <v>0.0</v>
      </c>
      <c r="T86" s="273">
        <v>411.0</v>
      </c>
      <c r="U86" s="274" t="s">
        <v>1448</v>
      </c>
      <c r="V86" s="284">
        <v>45305.540358796294</v>
      </c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>
      <c r="A87" s="304">
        <v>45227.0</v>
      </c>
      <c r="B87" s="252">
        <v>5042911.0</v>
      </c>
      <c r="C87" s="253" t="s">
        <v>82</v>
      </c>
      <c r="D87" s="253" t="s">
        <v>35</v>
      </c>
      <c r="E87" s="252">
        <v>4.169743985E9</v>
      </c>
      <c r="F87" s="253" t="s">
        <v>1554</v>
      </c>
      <c r="G87" s="276">
        <v>45303.0</v>
      </c>
      <c r="H87" s="277">
        <v>45305.0</v>
      </c>
      <c r="I87" s="278">
        <v>2.0</v>
      </c>
      <c r="J87" s="257" t="s">
        <v>78</v>
      </c>
      <c r="K87" s="253" t="s">
        <v>79</v>
      </c>
      <c r="L87" s="253" t="s">
        <v>1396</v>
      </c>
      <c r="M87" s="252">
        <v>2.0</v>
      </c>
      <c r="N87" s="258">
        <v>0.0</v>
      </c>
      <c r="O87" s="259">
        <v>146.47</v>
      </c>
      <c r="P87" s="259">
        <v>117.176</v>
      </c>
      <c r="Q87" s="262">
        <v>0.0</v>
      </c>
      <c r="R87" s="260">
        <v>234.352</v>
      </c>
      <c r="S87" s="260">
        <v>0.0</v>
      </c>
      <c r="T87" s="260">
        <v>292.94</v>
      </c>
      <c r="U87" s="261" t="s">
        <v>1398</v>
      </c>
      <c r="V87" s="279">
        <v>45227.34935185185</v>
      </c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>
      <c r="A88" s="304">
        <v>45227.0</v>
      </c>
      <c r="B88" s="252">
        <v>5044658.0</v>
      </c>
      <c r="C88" s="253" t="s">
        <v>82</v>
      </c>
      <c r="D88" s="253" t="s">
        <v>94</v>
      </c>
      <c r="E88" s="252">
        <v>5044658.0</v>
      </c>
      <c r="F88" s="253" t="s">
        <v>1555</v>
      </c>
      <c r="G88" s="276">
        <v>45358.0</v>
      </c>
      <c r="H88" s="277">
        <v>45361.0</v>
      </c>
      <c r="I88" s="278">
        <v>3.0</v>
      </c>
      <c r="J88" s="257" t="s">
        <v>114</v>
      </c>
      <c r="K88" s="253" t="s">
        <v>79</v>
      </c>
      <c r="L88" s="253" t="s">
        <v>1462</v>
      </c>
      <c r="M88" s="252">
        <v>2.0</v>
      </c>
      <c r="N88" s="258">
        <v>0.0</v>
      </c>
      <c r="O88" s="259">
        <v>226.86666666666667</v>
      </c>
      <c r="P88" s="259">
        <v>224.598</v>
      </c>
      <c r="Q88" s="262">
        <v>0.0</v>
      </c>
      <c r="R88" s="260">
        <v>673.794</v>
      </c>
      <c r="S88" s="260">
        <v>0.0</v>
      </c>
      <c r="T88" s="260">
        <v>680.6</v>
      </c>
      <c r="U88" s="261" t="s">
        <v>1463</v>
      </c>
      <c r="V88" s="279">
        <v>45227.85873842593</v>
      </c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>
      <c r="A89" s="304">
        <v>45228.0</v>
      </c>
      <c r="B89" s="252">
        <v>5045332.0</v>
      </c>
      <c r="C89" s="253" t="s">
        <v>75</v>
      </c>
      <c r="D89" s="253" t="s">
        <v>35</v>
      </c>
      <c r="E89" s="252">
        <v>4.142419644E9</v>
      </c>
      <c r="F89" s="253" t="s">
        <v>1556</v>
      </c>
      <c r="G89" s="276">
        <v>45294.0</v>
      </c>
      <c r="H89" s="277">
        <v>45295.0</v>
      </c>
      <c r="I89" s="278">
        <v>1.0</v>
      </c>
      <c r="J89" s="257" t="s">
        <v>78</v>
      </c>
      <c r="K89" s="253" t="s">
        <v>79</v>
      </c>
      <c r="L89" s="253" t="s">
        <v>1400</v>
      </c>
      <c r="M89" s="275">
        <v>3.0</v>
      </c>
      <c r="N89" s="258">
        <v>0.0</v>
      </c>
      <c r="O89" s="259">
        <v>197.27</v>
      </c>
      <c r="P89" s="259">
        <v>157.81600000000003</v>
      </c>
      <c r="Q89" s="262">
        <v>0.0</v>
      </c>
      <c r="R89" s="260">
        <v>157.81600000000003</v>
      </c>
      <c r="S89" s="260">
        <v>0.0</v>
      </c>
      <c r="T89" s="260">
        <v>394.54</v>
      </c>
      <c r="U89" s="261" t="s">
        <v>1401</v>
      </c>
      <c r="V89" s="279">
        <v>45266.37364583333</v>
      </c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>
      <c r="A90" s="304">
        <v>45228.0</v>
      </c>
      <c r="B90" s="252">
        <v>5045332.0</v>
      </c>
      <c r="C90" s="253" t="s">
        <v>75</v>
      </c>
      <c r="D90" s="253" t="s">
        <v>35</v>
      </c>
      <c r="E90" s="252">
        <v>4.142419644E9</v>
      </c>
      <c r="F90" s="253" t="s">
        <v>1556</v>
      </c>
      <c r="G90" s="276">
        <v>45294.0</v>
      </c>
      <c r="H90" s="277">
        <v>45295.0</v>
      </c>
      <c r="I90" s="278">
        <v>1.0</v>
      </c>
      <c r="J90" s="257" t="s">
        <v>78</v>
      </c>
      <c r="K90" s="253" t="s">
        <v>79</v>
      </c>
      <c r="L90" s="253" t="s">
        <v>1400</v>
      </c>
      <c r="M90" s="252">
        <v>2.0</v>
      </c>
      <c r="N90" s="258">
        <v>0.0</v>
      </c>
      <c r="O90" s="259">
        <v>197.27</v>
      </c>
      <c r="P90" s="259">
        <v>157.81600000000003</v>
      </c>
      <c r="Q90" s="262">
        <v>0.0</v>
      </c>
      <c r="R90" s="260">
        <v>157.81600000000003</v>
      </c>
      <c r="S90" s="260">
        <v>0.0</v>
      </c>
      <c r="T90" s="260">
        <v>394.54</v>
      </c>
      <c r="U90" s="261" t="s">
        <v>1401</v>
      </c>
      <c r="V90" s="279">
        <v>45266.37364583333</v>
      </c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>
      <c r="A91" s="304">
        <v>45228.0</v>
      </c>
      <c r="B91" s="252">
        <v>5045679.0</v>
      </c>
      <c r="C91" s="253" t="s">
        <v>82</v>
      </c>
      <c r="D91" s="253" t="s">
        <v>35</v>
      </c>
      <c r="E91" s="252">
        <v>4.022266196E9</v>
      </c>
      <c r="F91" s="253" t="s">
        <v>1559</v>
      </c>
      <c r="G91" s="276">
        <v>45303.0</v>
      </c>
      <c r="H91" s="277">
        <v>45306.0</v>
      </c>
      <c r="I91" s="278">
        <v>3.0</v>
      </c>
      <c r="J91" s="257" t="s">
        <v>111</v>
      </c>
      <c r="K91" s="253" t="s">
        <v>79</v>
      </c>
      <c r="L91" s="253" t="s">
        <v>1400</v>
      </c>
      <c r="M91" s="252">
        <v>2.0</v>
      </c>
      <c r="N91" s="258">
        <v>0.0</v>
      </c>
      <c r="O91" s="259">
        <v>167.76</v>
      </c>
      <c r="P91" s="259">
        <v>134.208</v>
      </c>
      <c r="Q91" s="257">
        <v>0.0</v>
      </c>
      <c r="R91" s="260">
        <v>402.624</v>
      </c>
      <c r="S91" s="260">
        <v>0.0</v>
      </c>
      <c r="T91" s="260">
        <v>503.28</v>
      </c>
      <c r="U91" s="261" t="s">
        <v>1401</v>
      </c>
      <c r="V91" s="279">
        <v>45228.470185185186</v>
      </c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>
      <c r="A92" s="303">
        <v>45228.0</v>
      </c>
      <c r="B92" s="290">
        <v>5046303.0</v>
      </c>
      <c r="C92" s="291" t="s">
        <v>82</v>
      </c>
      <c r="D92" s="291" t="s">
        <v>35</v>
      </c>
      <c r="E92" s="290">
        <v>4.142442051E9</v>
      </c>
      <c r="F92" s="291" t="s">
        <v>1561</v>
      </c>
      <c r="G92" s="289">
        <v>45344.0</v>
      </c>
      <c r="H92" s="292">
        <v>45347.0</v>
      </c>
      <c r="I92" s="293">
        <v>3.0</v>
      </c>
      <c r="J92" s="294" t="s">
        <v>78</v>
      </c>
      <c r="K92" s="291" t="s">
        <v>79</v>
      </c>
      <c r="L92" s="291" t="s">
        <v>1562</v>
      </c>
      <c r="M92" s="290">
        <v>2.0</v>
      </c>
      <c r="N92" s="295">
        <v>0.0</v>
      </c>
      <c r="O92" s="296">
        <v>199.86</v>
      </c>
      <c r="P92" s="296">
        <v>159.88800000000003</v>
      </c>
      <c r="Q92" s="301">
        <v>0.0</v>
      </c>
      <c r="R92" s="297">
        <v>479.66400000000004</v>
      </c>
      <c r="S92" s="297">
        <v>0.0</v>
      </c>
      <c r="T92" s="297">
        <v>599.58</v>
      </c>
      <c r="U92" s="298" t="s">
        <v>1563</v>
      </c>
      <c r="V92" s="299">
        <v>45228.65212962963</v>
      </c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>
      <c r="A93" s="304">
        <v>45229.0</v>
      </c>
      <c r="B93" s="252">
        <v>5047732.0</v>
      </c>
      <c r="C93" s="253" t="s">
        <v>75</v>
      </c>
      <c r="D93" s="253" t="s">
        <v>35</v>
      </c>
      <c r="E93" s="252">
        <v>4.022215346E9</v>
      </c>
      <c r="F93" s="253" t="s">
        <v>1565</v>
      </c>
      <c r="G93" s="276">
        <v>45309.0</v>
      </c>
      <c r="H93" s="277">
        <v>45311.0</v>
      </c>
      <c r="I93" s="278">
        <v>2.0</v>
      </c>
      <c r="J93" s="257" t="s">
        <v>78</v>
      </c>
      <c r="K93" s="253" t="s">
        <v>79</v>
      </c>
      <c r="L93" s="253" t="s">
        <v>1411</v>
      </c>
      <c r="M93" s="252">
        <v>2.0</v>
      </c>
      <c r="N93" s="258">
        <v>0.0</v>
      </c>
      <c r="O93" s="259">
        <v>239.6</v>
      </c>
      <c r="P93" s="259">
        <v>191.68</v>
      </c>
      <c r="Q93" s="262">
        <v>0.0</v>
      </c>
      <c r="R93" s="260">
        <v>383.36</v>
      </c>
      <c r="S93" s="260">
        <v>0.0</v>
      </c>
      <c r="T93" s="260">
        <v>479.2</v>
      </c>
      <c r="U93" s="261" t="s">
        <v>1412</v>
      </c>
      <c r="V93" s="279">
        <v>45288.8611574074</v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>
      <c r="A94" s="304">
        <v>45229.0</v>
      </c>
      <c r="B94" s="252">
        <v>5049137.0</v>
      </c>
      <c r="C94" s="253" t="s">
        <v>82</v>
      </c>
      <c r="D94" s="253" t="s">
        <v>35</v>
      </c>
      <c r="E94" s="252">
        <v>4.023024003E9</v>
      </c>
      <c r="F94" s="253" t="s">
        <v>1566</v>
      </c>
      <c r="G94" s="276">
        <v>45312.0</v>
      </c>
      <c r="H94" s="277">
        <v>45319.0</v>
      </c>
      <c r="I94" s="278">
        <v>7.0</v>
      </c>
      <c r="J94" s="257" t="s">
        <v>78</v>
      </c>
      <c r="K94" s="253" t="s">
        <v>79</v>
      </c>
      <c r="L94" s="253" t="s">
        <v>1567</v>
      </c>
      <c r="M94" s="252">
        <v>2.0</v>
      </c>
      <c r="N94" s="258">
        <v>0.0</v>
      </c>
      <c r="O94" s="259">
        <v>155.1</v>
      </c>
      <c r="P94" s="259">
        <v>124.08</v>
      </c>
      <c r="Q94" s="262">
        <v>0.0</v>
      </c>
      <c r="R94" s="260">
        <v>868.5600000000001</v>
      </c>
      <c r="S94" s="260">
        <v>0.0</v>
      </c>
      <c r="T94" s="260">
        <v>1085.7</v>
      </c>
      <c r="U94" s="261" t="s">
        <v>1568</v>
      </c>
      <c r="V94" s="279">
        <v>45229.7049074074</v>
      </c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>
      <c r="A95" s="304">
        <v>45229.0</v>
      </c>
      <c r="B95" s="252">
        <v>5049050.0</v>
      </c>
      <c r="C95" s="253" t="s">
        <v>82</v>
      </c>
      <c r="D95" s="253" t="s">
        <v>35</v>
      </c>
      <c r="E95" s="252">
        <v>4.17597085E9</v>
      </c>
      <c r="F95" s="253" t="s">
        <v>1570</v>
      </c>
      <c r="G95" s="276">
        <v>45352.0</v>
      </c>
      <c r="H95" s="277">
        <v>45355.0</v>
      </c>
      <c r="I95" s="278">
        <v>3.0</v>
      </c>
      <c r="J95" s="257" t="s">
        <v>87</v>
      </c>
      <c r="K95" s="253" t="s">
        <v>79</v>
      </c>
      <c r="L95" s="253" t="s">
        <v>1400</v>
      </c>
      <c r="M95" s="252">
        <v>2.0</v>
      </c>
      <c r="N95" s="258">
        <v>0.0</v>
      </c>
      <c r="O95" s="259">
        <v>135.62</v>
      </c>
      <c r="P95" s="259">
        <v>108.49600000000001</v>
      </c>
      <c r="Q95" s="262">
        <v>0.0</v>
      </c>
      <c r="R95" s="260">
        <v>325.48800000000006</v>
      </c>
      <c r="S95" s="260">
        <v>0.0</v>
      </c>
      <c r="T95" s="260">
        <v>406.86</v>
      </c>
      <c r="U95" s="261" t="s">
        <v>1401</v>
      </c>
      <c r="V95" s="279">
        <v>45229.682708333334</v>
      </c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>
      <c r="A96" s="276">
        <v>45231.0</v>
      </c>
      <c r="B96" s="252">
        <v>5054996.0</v>
      </c>
      <c r="C96" s="253" t="s">
        <v>89</v>
      </c>
      <c r="D96" s="253" t="s">
        <v>35</v>
      </c>
      <c r="E96" s="252">
        <v>4.12285415E9</v>
      </c>
      <c r="F96" s="253" t="s">
        <v>1571</v>
      </c>
      <c r="G96" s="276">
        <v>45324.0</v>
      </c>
      <c r="H96" s="277">
        <v>45325.0</v>
      </c>
      <c r="I96" s="278">
        <v>1.0</v>
      </c>
      <c r="J96" s="257" t="s">
        <v>78</v>
      </c>
      <c r="K96" s="253" t="s">
        <v>79</v>
      </c>
      <c r="L96" s="253" t="s">
        <v>1511</v>
      </c>
      <c r="M96" s="252">
        <v>2.0</v>
      </c>
      <c r="N96" s="258">
        <v>0.0</v>
      </c>
      <c r="O96" s="259">
        <v>0.0</v>
      </c>
      <c r="P96" s="259">
        <v>0.0</v>
      </c>
      <c r="Q96" s="262">
        <v>0.0</v>
      </c>
      <c r="R96" s="260">
        <v>0.0</v>
      </c>
      <c r="S96" s="260">
        <v>0.0</v>
      </c>
      <c r="T96" s="260">
        <v>0.0</v>
      </c>
      <c r="U96" s="261" t="s">
        <v>1572</v>
      </c>
      <c r="V96" s="279">
        <v>45231.78892361111</v>
      </c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</row>
    <row r="97">
      <c r="A97" s="210">
        <v>45231.0</v>
      </c>
      <c r="B97" s="166">
        <v>5054324.0</v>
      </c>
      <c r="C97" s="166" t="s">
        <v>82</v>
      </c>
      <c r="D97" s="166" t="s">
        <v>35</v>
      </c>
      <c r="E97" s="166">
        <v>4.136148081E9</v>
      </c>
      <c r="F97" s="166" t="s">
        <v>1573</v>
      </c>
      <c r="G97" s="210">
        <v>45403.0</v>
      </c>
      <c r="H97" s="287">
        <v>45405.0</v>
      </c>
      <c r="I97" s="168">
        <v>2.0</v>
      </c>
      <c r="J97" s="169" t="s">
        <v>87</v>
      </c>
      <c r="K97" s="166" t="s">
        <v>138</v>
      </c>
      <c r="L97" s="166" t="s">
        <v>1450</v>
      </c>
      <c r="M97" s="205">
        <v>2.0</v>
      </c>
      <c r="N97" s="170">
        <v>0.0</v>
      </c>
      <c r="O97" s="171">
        <v>167.4</v>
      </c>
      <c r="P97" s="171">
        <v>133.92000000000002</v>
      </c>
      <c r="Q97" s="172">
        <v>36.0</v>
      </c>
      <c r="R97" s="173">
        <v>267.84000000000003</v>
      </c>
      <c r="S97" s="173">
        <v>72.0</v>
      </c>
      <c r="T97" s="260">
        <v>334.8</v>
      </c>
      <c r="U97" s="261" t="s">
        <v>1451</v>
      </c>
      <c r="V97" s="279">
        <v>45231.627800925926</v>
      </c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</row>
    <row r="98">
      <c r="A98" s="276">
        <v>45231.0</v>
      </c>
      <c r="B98" s="252">
        <v>5054937.0</v>
      </c>
      <c r="C98" s="253" t="s">
        <v>75</v>
      </c>
      <c r="D98" s="253" t="s">
        <v>35</v>
      </c>
      <c r="E98" s="252">
        <v>4.280218725E9</v>
      </c>
      <c r="F98" s="253" t="s">
        <v>1574</v>
      </c>
      <c r="G98" s="276">
        <v>45479.0</v>
      </c>
      <c r="H98" s="277">
        <v>45480.0</v>
      </c>
      <c r="I98" s="278">
        <v>1.0</v>
      </c>
      <c r="J98" s="257" t="s">
        <v>87</v>
      </c>
      <c r="K98" s="253" t="s">
        <v>138</v>
      </c>
      <c r="L98" s="253" t="s">
        <v>1516</v>
      </c>
      <c r="M98" s="252">
        <v>2.0</v>
      </c>
      <c r="N98" s="258">
        <v>0.0</v>
      </c>
      <c r="O98" s="259">
        <v>116.56</v>
      </c>
      <c r="P98" s="259">
        <v>93.248</v>
      </c>
      <c r="Q98" s="262">
        <v>36.0</v>
      </c>
      <c r="R98" s="260">
        <v>93.248</v>
      </c>
      <c r="S98" s="260">
        <v>36.0</v>
      </c>
      <c r="T98" s="260">
        <v>152.56</v>
      </c>
      <c r="U98" s="261" t="s">
        <v>1517</v>
      </c>
      <c r="V98" s="279">
        <v>45474.362534722226</v>
      </c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</row>
    <row r="99">
      <c r="A99" s="276">
        <v>45232.0</v>
      </c>
      <c r="B99" s="252">
        <v>5058509.0</v>
      </c>
      <c r="C99" s="253" t="s">
        <v>82</v>
      </c>
      <c r="D99" s="253" t="s">
        <v>35</v>
      </c>
      <c r="E99" s="252">
        <v>4.122804287E9</v>
      </c>
      <c r="F99" s="253" t="s">
        <v>1575</v>
      </c>
      <c r="G99" s="276">
        <v>45302.0</v>
      </c>
      <c r="H99" s="277">
        <v>45304.0</v>
      </c>
      <c r="I99" s="278">
        <v>2.0</v>
      </c>
      <c r="J99" s="257" t="s">
        <v>78</v>
      </c>
      <c r="K99" s="253" t="s">
        <v>79</v>
      </c>
      <c r="L99" s="253" t="s">
        <v>1396</v>
      </c>
      <c r="M99" s="252">
        <v>2.0</v>
      </c>
      <c r="N99" s="258">
        <v>0.0</v>
      </c>
      <c r="O99" s="259">
        <v>130.52</v>
      </c>
      <c r="P99" s="259">
        <v>104.41600000000001</v>
      </c>
      <c r="Q99" s="262">
        <v>0.0</v>
      </c>
      <c r="R99" s="260">
        <v>208.83200000000002</v>
      </c>
      <c r="S99" s="260">
        <v>0.0</v>
      </c>
      <c r="T99" s="260">
        <v>261.04</v>
      </c>
      <c r="U99" s="261" t="s">
        <v>1398</v>
      </c>
      <c r="V99" s="279">
        <v>45232.98892361111</v>
      </c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</row>
    <row r="100">
      <c r="A100" s="276">
        <v>45232.0</v>
      </c>
      <c r="B100" s="252">
        <v>5057877.0</v>
      </c>
      <c r="C100" s="253" t="s">
        <v>82</v>
      </c>
      <c r="D100" s="253" t="s">
        <v>35</v>
      </c>
      <c r="E100" s="252">
        <v>4.273389341E9</v>
      </c>
      <c r="F100" s="253" t="s">
        <v>1577</v>
      </c>
      <c r="G100" s="276">
        <v>45331.0</v>
      </c>
      <c r="H100" s="277">
        <v>45334.0</v>
      </c>
      <c r="I100" s="278">
        <v>3.0</v>
      </c>
      <c r="J100" s="257" t="s">
        <v>78</v>
      </c>
      <c r="K100" s="253" t="s">
        <v>79</v>
      </c>
      <c r="L100" s="253" t="s">
        <v>1496</v>
      </c>
      <c r="M100" s="252">
        <v>2.0</v>
      </c>
      <c r="N100" s="258">
        <v>0.0</v>
      </c>
      <c r="O100" s="259">
        <v>152.21</v>
      </c>
      <c r="P100" s="259">
        <v>121.76800000000001</v>
      </c>
      <c r="Q100" s="262">
        <v>0.0</v>
      </c>
      <c r="R100" s="260">
        <v>365.30400000000003</v>
      </c>
      <c r="S100" s="260">
        <v>0.0</v>
      </c>
      <c r="T100" s="260">
        <v>456.63</v>
      </c>
      <c r="U100" s="261" t="s">
        <v>1497</v>
      </c>
      <c r="V100" s="279">
        <v>45232.7986574074</v>
      </c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</row>
    <row r="101">
      <c r="A101" s="289">
        <v>45233.0</v>
      </c>
      <c r="B101" s="290">
        <v>5060868.0</v>
      </c>
      <c r="C101" s="291" t="s">
        <v>82</v>
      </c>
      <c r="D101" s="291" t="s">
        <v>94</v>
      </c>
      <c r="E101" s="290">
        <v>5060868.0</v>
      </c>
      <c r="F101" s="291" t="s">
        <v>1579</v>
      </c>
      <c r="G101" s="289">
        <v>45346.0</v>
      </c>
      <c r="H101" s="292">
        <v>45352.0</v>
      </c>
      <c r="I101" s="293">
        <v>5.0</v>
      </c>
      <c r="J101" s="294" t="s">
        <v>78</v>
      </c>
      <c r="K101" s="291" t="s">
        <v>79</v>
      </c>
      <c r="L101" s="291" t="s">
        <v>1580</v>
      </c>
      <c r="M101" s="290">
        <v>2.0</v>
      </c>
      <c r="N101" s="295">
        <v>0.0</v>
      </c>
      <c r="O101" s="296">
        <v>192.4</v>
      </c>
      <c r="P101" s="296">
        <v>190.476</v>
      </c>
      <c r="Q101" s="301">
        <v>0.0</v>
      </c>
      <c r="R101" s="297">
        <v>952.38</v>
      </c>
      <c r="S101" s="297">
        <v>0.0</v>
      </c>
      <c r="T101" s="297">
        <v>962.0</v>
      </c>
      <c r="U101" s="298" t="s">
        <v>1581</v>
      </c>
      <c r="V101" s="299">
        <v>45233.862905092596</v>
      </c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</row>
    <row r="102">
      <c r="A102" s="276">
        <v>45234.0</v>
      </c>
      <c r="B102" s="252">
        <v>5061672.0</v>
      </c>
      <c r="C102" s="253" t="s">
        <v>75</v>
      </c>
      <c r="D102" s="253" t="s">
        <v>35</v>
      </c>
      <c r="E102" s="252">
        <v>4.191036835E9</v>
      </c>
      <c r="F102" s="253" t="s">
        <v>1583</v>
      </c>
      <c r="G102" s="276">
        <v>45325.0</v>
      </c>
      <c r="H102" s="277">
        <v>45328.0</v>
      </c>
      <c r="I102" s="278">
        <v>3.0</v>
      </c>
      <c r="J102" s="257" t="s">
        <v>78</v>
      </c>
      <c r="K102" s="253" t="s">
        <v>138</v>
      </c>
      <c r="L102" s="253" t="s">
        <v>1584</v>
      </c>
      <c r="M102" s="252">
        <v>2.0</v>
      </c>
      <c r="N102" s="258">
        <v>0.0</v>
      </c>
      <c r="O102" s="259">
        <v>148.92</v>
      </c>
      <c r="P102" s="259">
        <v>119.136</v>
      </c>
      <c r="Q102" s="262">
        <v>36.0</v>
      </c>
      <c r="R102" s="260">
        <v>357.408</v>
      </c>
      <c r="S102" s="260">
        <v>108.0</v>
      </c>
      <c r="T102" s="260">
        <v>554.76</v>
      </c>
      <c r="U102" s="261" t="s">
        <v>1585</v>
      </c>
      <c r="V102" s="279">
        <v>45320.88685185185</v>
      </c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</row>
    <row r="103">
      <c r="A103" s="276">
        <v>45235.0</v>
      </c>
      <c r="B103" s="252">
        <v>5064611.0</v>
      </c>
      <c r="C103" s="253" t="s">
        <v>82</v>
      </c>
      <c r="D103" s="253" t="s">
        <v>94</v>
      </c>
      <c r="E103" s="252">
        <v>5064611.0</v>
      </c>
      <c r="F103" s="253" t="s">
        <v>1586</v>
      </c>
      <c r="G103" s="276">
        <v>45308.0</v>
      </c>
      <c r="H103" s="277">
        <v>45312.0</v>
      </c>
      <c r="I103" s="278">
        <v>4.0</v>
      </c>
      <c r="J103" s="257" t="s">
        <v>114</v>
      </c>
      <c r="K103" s="253" t="s">
        <v>79</v>
      </c>
      <c r="L103" s="253" t="s">
        <v>1462</v>
      </c>
      <c r="M103" s="275">
        <v>2.0</v>
      </c>
      <c r="N103" s="258">
        <v>0.0</v>
      </c>
      <c r="O103" s="259">
        <v>170.6</v>
      </c>
      <c r="P103" s="259">
        <v>168.894</v>
      </c>
      <c r="Q103" s="262">
        <v>0.0</v>
      </c>
      <c r="R103" s="260">
        <v>675.576</v>
      </c>
      <c r="S103" s="260">
        <v>0.0</v>
      </c>
      <c r="T103" s="273">
        <v>682.4</v>
      </c>
      <c r="U103" s="274" t="s">
        <v>1463</v>
      </c>
      <c r="V103" s="284">
        <v>45235.50885416666</v>
      </c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</row>
    <row r="104">
      <c r="A104" s="280">
        <v>45235.0</v>
      </c>
      <c r="B104" s="264">
        <v>5065808.0</v>
      </c>
      <c r="C104" s="265" t="s">
        <v>82</v>
      </c>
      <c r="D104" s="265" t="s">
        <v>35</v>
      </c>
      <c r="E104" s="264">
        <v>4.128457757E9</v>
      </c>
      <c r="F104" s="265" t="s">
        <v>1588</v>
      </c>
      <c r="G104" s="280">
        <v>45372.0</v>
      </c>
      <c r="H104" s="281">
        <v>45373.0</v>
      </c>
      <c r="I104" s="282">
        <v>1.0</v>
      </c>
      <c r="J104" s="283" t="s">
        <v>111</v>
      </c>
      <c r="K104" s="265" t="s">
        <v>1492</v>
      </c>
      <c r="L104" s="265" t="s">
        <v>1476</v>
      </c>
      <c r="M104" s="269">
        <v>2.0</v>
      </c>
      <c r="N104" s="270">
        <v>0.0</v>
      </c>
      <c r="O104" s="271">
        <v>214.44</v>
      </c>
      <c r="P104" s="271">
        <v>171.55200000000002</v>
      </c>
      <c r="Q104" s="272">
        <v>70.0</v>
      </c>
      <c r="R104" s="273">
        <v>171.55200000000002</v>
      </c>
      <c r="S104" s="273">
        <v>70.0</v>
      </c>
      <c r="T104" s="273">
        <v>214.44</v>
      </c>
      <c r="U104" s="274" t="s">
        <v>1477</v>
      </c>
      <c r="V104" s="286">
        <v>45235.82225694445</v>
      </c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</row>
    <row r="105">
      <c r="A105" s="210">
        <v>45235.0</v>
      </c>
      <c r="B105" s="166">
        <v>5065776.0</v>
      </c>
      <c r="C105" s="166" t="s">
        <v>82</v>
      </c>
      <c r="D105" s="166" t="s">
        <v>35</v>
      </c>
      <c r="E105" s="166">
        <v>4.127924521E9</v>
      </c>
      <c r="F105" s="166" t="s">
        <v>1573</v>
      </c>
      <c r="G105" s="210">
        <v>45409.0</v>
      </c>
      <c r="H105" s="287">
        <v>45410.0</v>
      </c>
      <c r="I105" s="168">
        <v>1.0</v>
      </c>
      <c r="J105" s="169" t="s">
        <v>87</v>
      </c>
      <c r="K105" s="166" t="s">
        <v>79</v>
      </c>
      <c r="L105" s="166" t="s">
        <v>1511</v>
      </c>
      <c r="M105" s="166">
        <v>2.0</v>
      </c>
      <c r="N105" s="170">
        <v>0.0</v>
      </c>
      <c r="O105" s="171">
        <v>131.59</v>
      </c>
      <c r="P105" s="171">
        <v>105.272</v>
      </c>
      <c r="Q105" s="169">
        <v>0.0</v>
      </c>
      <c r="R105" s="173">
        <v>105.272</v>
      </c>
      <c r="S105" s="173">
        <v>0.0</v>
      </c>
      <c r="T105" s="173">
        <v>131.59</v>
      </c>
      <c r="U105" s="174" t="s">
        <v>1512</v>
      </c>
      <c r="V105" s="288">
        <v>45235.814618055556</v>
      </c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</row>
    <row r="106">
      <c r="A106" s="276">
        <v>45236.0</v>
      </c>
      <c r="B106" s="252">
        <v>5068468.0</v>
      </c>
      <c r="C106" s="253" t="s">
        <v>82</v>
      </c>
      <c r="D106" s="253" t="s">
        <v>94</v>
      </c>
      <c r="E106" s="252">
        <v>5068468.0</v>
      </c>
      <c r="F106" s="253" t="s">
        <v>1590</v>
      </c>
      <c r="G106" s="276">
        <v>45294.0</v>
      </c>
      <c r="H106" s="277">
        <v>45295.0</v>
      </c>
      <c r="I106" s="278">
        <v>1.0</v>
      </c>
      <c r="J106" s="257" t="s">
        <v>87</v>
      </c>
      <c r="K106" s="253" t="s">
        <v>79</v>
      </c>
      <c r="L106" s="253" t="s">
        <v>1462</v>
      </c>
      <c r="M106" s="252">
        <v>2.0</v>
      </c>
      <c r="N106" s="258">
        <v>0.0</v>
      </c>
      <c r="O106" s="259">
        <v>141.2</v>
      </c>
      <c r="P106" s="259">
        <v>139.78799999999998</v>
      </c>
      <c r="Q106" s="262">
        <v>0.0</v>
      </c>
      <c r="R106" s="260">
        <v>139.78799999999998</v>
      </c>
      <c r="S106" s="260">
        <v>0.0</v>
      </c>
      <c r="T106" s="260">
        <v>141.2</v>
      </c>
      <c r="U106" s="261" t="s">
        <v>1463</v>
      </c>
      <c r="V106" s="279">
        <v>45236.7912037037</v>
      </c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</row>
    <row r="107">
      <c r="A107" s="276">
        <v>45238.0</v>
      </c>
      <c r="B107" s="252">
        <v>5072596.0</v>
      </c>
      <c r="C107" s="253" t="s">
        <v>82</v>
      </c>
      <c r="D107" s="253" t="s">
        <v>35</v>
      </c>
      <c r="E107" s="252">
        <v>4.127024812E9</v>
      </c>
      <c r="F107" s="253" t="s">
        <v>1591</v>
      </c>
      <c r="G107" s="276">
        <v>45317.0</v>
      </c>
      <c r="H107" s="277">
        <v>45320.0</v>
      </c>
      <c r="I107" s="278">
        <v>3.0</v>
      </c>
      <c r="J107" s="257" t="s">
        <v>78</v>
      </c>
      <c r="K107" s="253" t="s">
        <v>79</v>
      </c>
      <c r="L107" s="253" t="s">
        <v>1511</v>
      </c>
      <c r="M107" s="252">
        <v>2.0</v>
      </c>
      <c r="N107" s="258">
        <v>0.0</v>
      </c>
      <c r="O107" s="259">
        <v>191.72</v>
      </c>
      <c r="P107" s="259">
        <v>153.376</v>
      </c>
      <c r="Q107" s="262">
        <v>0.0</v>
      </c>
      <c r="R107" s="260">
        <v>460.128</v>
      </c>
      <c r="S107" s="260">
        <v>0.0</v>
      </c>
      <c r="T107" s="260">
        <v>575.16</v>
      </c>
      <c r="U107" s="261" t="s">
        <v>1512</v>
      </c>
      <c r="V107" s="279">
        <v>45238.442407407405</v>
      </c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</row>
    <row r="108">
      <c r="A108" s="276">
        <v>45239.0</v>
      </c>
      <c r="B108" s="252">
        <v>5077251.0</v>
      </c>
      <c r="C108" s="253" t="s">
        <v>82</v>
      </c>
      <c r="D108" s="253" t="s">
        <v>35</v>
      </c>
      <c r="E108" s="252">
        <v>4.216410813E9</v>
      </c>
      <c r="F108" s="253" t="s">
        <v>1593</v>
      </c>
      <c r="G108" s="276">
        <v>45294.0</v>
      </c>
      <c r="H108" s="277">
        <v>45296.0</v>
      </c>
      <c r="I108" s="278">
        <v>2.0</v>
      </c>
      <c r="J108" s="257" t="s">
        <v>78</v>
      </c>
      <c r="K108" s="253" t="s">
        <v>79</v>
      </c>
      <c r="L108" s="253" t="s">
        <v>1411</v>
      </c>
      <c r="M108" s="252">
        <v>2.0</v>
      </c>
      <c r="N108" s="258">
        <v>0.0</v>
      </c>
      <c r="O108" s="259">
        <v>180.53</v>
      </c>
      <c r="P108" s="259">
        <v>144.424</v>
      </c>
      <c r="Q108" s="262">
        <v>0.0</v>
      </c>
      <c r="R108" s="260">
        <v>288.848</v>
      </c>
      <c r="S108" s="260">
        <v>0.0</v>
      </c>
      <c r="T108" s="260">
        <v>361.06</v>
      </c>
      <c r="U108" s="261" t="s">
        <v>1412</v>
      </c>
      <c r="V108" s="279">
        <v>45239.932696759264</v>
      </c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</row>
    <row r="109">
      <c r="A109" s="276">
        <v>45239.0</v>
      </c>
      <c r="B109" s="252">
        <v>5075350.0</v>
      </c>
      <c r="C109" s="253" t="s">
        <v>82</v>
      </c>
      <c r="D109" s="253" t="s">
        <v>35</v>
      </c>
      <c r="E109" s="252">
        <v>4.270117181E9</v>
      </c>
      <c r="F109" s="253" t="s">
        <v>1595</v>
      </c>
      <c r="G109" s="276">
        <v>45342.0</v>
      </c>
      <c r="H109" s="277">
        <v>45347.0</v>
      </c>
      <c r="I109" s="278">
        <v>5.0</v>
      </c>
      <c r="J109" s="257" t="s">
        <v>78</v>
      </c>
      <c r="K109" s="253" t="s">
        <v>79</v>
      </c>
      <c r="L109" s="253" t="s">
        <v>1396</v>
      </c>
      <c r="M109" s="275">
        <v>2.0</v>
      </c>
      <c r="N109" s="258">
        <v>0.0</v>
      </c>
      <c r="O109" s="259">
        <v>119.39000000000001</v>
      </c>
      <c r="P109" s="259">
        <v>95.51200000000001</v>
      </c>
      <c r="Q109" s="262">
        <v>0.0</v>
      </c>
      <c r="R109" s="260">
        <v>477.56000000000006</v>
      </c>
      <c r="S109" s="260">
        <v>0.0</v>
      </c>
      <c r="T109" s="260">
        <v>596.95</v>
      </c>
      <c r="U109" s="261" t="s">
        <v>1398</v>
      </c>
      <c r="V109" s="279">
        <v>45239.42853009259</v>
      </c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</row>
    <row r="110">
      <c r="A110" s="210">
        <v>45239.0</v>
      </c>
      <c r="B110" s="166">
        <v>5076471.0</v>
      </c>
      <c r="C110" s="166" t="s">
        <v>75</v>
      </c>
      <c r="D110" s="166" t="s">
        <v>35</v>
      </c>
      <c r="E110" s="166">
        <v>4.14159253E9</v>
      </c>
      <c r="F110" s="166" t="s">
        <v>1596</v>
      </c>
      <c r="G110" s="210">
        <v>45409.0</v>
      </c>
      <c r="H110" s="287">
        <v>45417.0</v>
      </c>
      <c r="I110" s="168">
        <v>8.0</v>
      </c>
      <c r="J110" s="169" t="s">
        <v>78</v>
      </c>
      <c r="K110" s="166" t="s">
        <v>79</v>
      </c>
      <c r="L110" s="166" t="s">
        <v>1598</v>
      </c>
      <c r="M110" s="205">
        <v>2.0</v>
      </c>
      <c r="N110" s="170">
        <v>0.0</v>
      </c>
      <c r="O110" s="171">
        <v>139.12</v>
      </c>
      <c r="P110" s="171">
        <v>111.296</v>
      </c>
      <c r="Q110" s="172">
        <v>0.0</v>
      </c>
      <c r="R110" s="173">
        <v>890.368</v>
      </c>
      <c r="S110" s="173">
        <v>0.0</v>
      </c>
      <c r="T110" s="173">
        <v>1112.96</v>
      </c>
      <c r="U110" s="174" t="s">
        <v>1599</v>
      </c>
      <c r="V110" s="288">
        <v>45404.286145833335</v>
      </c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</row>
    <row r="111">
      <c r="A111" s="304">
        <v>45241.0</v>
      </c>
      <c r="B111" s="252">
        <v>5082046.0</v>
      </c>
      <c r="C111" s="253" t="s">
        <v>82</v>
      </c>
      <c r="D111" s="253" t="s">
        <v>94</v>
      </c>
      <c r="E111" s="252">
        <v>5082046.0</v>
      </c>
      <c r="F111" s="253" t="s">
        <v>1600</v>
      </c>
      <c r="G111" s="276">
        <v>45352.0</v>
      </c>
      <c r="H111" s="277">
        <v>45356.0</v>
      </c>
      <c r="I111" s="278">
        <v>4.0</v>
      </c>
      <c r="J111" s="257" t="s">
        <v>78</v>
      </c>
      <c r="K111" s="253" t="s">
        <v>79</v>
      </c>
      <c r="L111" s="253" t="s">
        <v>1601</v>
      </c>
      <c r="M111" s="252">
        <v>2.0</v>
      </c>
      <c r="N111" s="258">
        <v>0.0</v>
      </c>
      <c r="O111" s="259">
        <v>151.0</v>
      </c>
      <c r="P111" s="259">
        <v>149.49</v>
      </c>
      <c r="Q111" s="262">
        <v>0.0</v>
      </c>
      <c r="R111" s="260">
        <v>597.96</v>
      </c>
      <c r="S111" s="260">
        <v>0.0</v>
      </c>
      <c r="T111" s="260">
        <v>604.0</v>
      </c>
      <c r="U111" s="261" t="s">
        <v>1602</v>
      </c>
      <c r="V111" s="279">
        <v>45241.72363425926</v>
      </c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</row>
    <row r="112">
      <c r="A112" s="304">
        <v>45241.0</v>
      </c>
      <c r="B112" s="252">
        <v>5081616.0</v>
      </c>
      <c r="C112" s="253" t="s">
        <v>82</v>
      </c>
      <c r="D112" s="253" t="s">
        <v>35</v>
      </c>
      <c r="E112" s="252">
        <v>4.06886147E9</v>
      </c>
      <c r="F112" s="253" t="s">
        <v>1603</v>
      </c>
      <c r="G112" s="276">
        <v>45358.0</v>
      </c>
      <c r="H112" s="277">
        <v>45362.0</v>
      </c>
      <c r="I112" s="278">
        <v>4.0</v>
      </c>
      <c r="J112" s="257" t="s">
        <v>114</v>
      </c>
      <c r="K112" s="253" t="s">
        <v>79</v>
      </c>
      <c r="L112" s="253" t="s">
        <v>1604</v>
      </c>
      <c r="M112" s="252">
        <v>2.0</v>
      </c>
      <c r="N112" s="258">
        <v>0.0</v>
      </c>
      <c r="O112" s="259">
        <v>239.0</v>
      </c>
      <c r="P112" s="259">
        <v>191.20000000000002</v>
      </c>
      <c r="Q112" s="262">
        <v>0.0</v>
      </c>
      <c r="R112" s="260">
        <v>764.8000000000001</v>
      </c>
      <c r="S112" s="260">
        <v>0.0</v>
      </c>
      <c r="T112" s="260">
        <v>956.0</v>
      </c>
      <c r="U112" s="261" t="s">
        <v>1605</v>
      </c>
      <c r="V112" s="279">
        <v>45241.6028125</v>
      </c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</row>
    <row r="113">
      <c r="A113" s="304">
        <v>45241.0</v>
      </c>
      <c r="B113" s="252">
        <v>5081583.0</v>
      </c>
      <c r="C113" s="253" t="s">
        <v>89</v>
      </c>
      <c r="D113" s="253" t="s">
        <v>35</v>
      </c>
      <c r="E113" s="252">
        <v>4.14449274E9</v>
      </c>
      <c r="F113" s="253" t="s">
        <v>1606</v>
      </c>
      <c r="G113" s="276">
        <v>45420.0</v>
      </c>
      <c r="H113" s="277">
        <v>45423.0</v>
      </c>
      <c r="I113" s="278">
        <v>3.0</v>
      </c>
      <c r="J113" s="257" t="s">
        <v>78</v>
      </c>
      <c r="K113" s="253" t="s">
        <v>79</v>
      </c>
      <c r="L113" s="253" t="s">
        <v>1496</v>
      </c>
      <c r="M113" s="275">
        <v>2.0</v>
      </c>
      <c r="N113" s="258">
        <v>0.0</v>
      </c>
      <c r="O113" s="259">
        <v>0.0</v>
      </c>
      <c r="P113" s="259">
        <v>0.0</v>
      </c>
      <c r="Q113" s="262">
        <v>0.0</v>
      </c>
      <c r="R113" s="260">
        <v>0.0</v>
      </c>
      <c r="S113" s="260">
        <v>0.0</v>
      </c>
      <c r="T113" s="260">
        <v>0.0</v>
      </c>
      <c r="U113" s="261" t="s">
        <v>1607</v>
      </c>
      <c r="V113" s="279">
        <v>45241.59449074074</v>
      </c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</row>
    <row r="114">
      <c r="A114" s="212">
        <v>45242.0</v>
      </c>
      <c r="B114" s="166">
        <v>5084460.0</v>
      </c>
      <c r="C114" s="166" t="s">
        <v>82</v>
      </c>
      <c r="D114" s="166" t="s">
        <v>35</v>
      </c>
      <c r="E114" s="166">
        <v>4.255654582E9</v>
      </c>
      <c r="F114" s="166" t="s">
        <v>1608</v>
      </c>
      <c r="G114" s="210">
        <v>45388.0</v>
      </c>
      <c r="H114" s="287">
        <v>45395.0</v>
      </c>
      <c r="I114" s="168">
        <v>7.0</v>
      </c>
      <c r="J114" s="169" t="s">
        <v>78</v>
      </c>
      <c r="K114" s="166" t="s">
        <v>79</v>
      </c>
      <c r="L114" s="166" t="s">
        <v>1567</v>
      </c>
      <c r="M114" s="205">
        <v>2.0</v>
      </c>
      <c r="N114" s="170">
        <v>0.0</v>
      </c>
      <c r="O114" s="171">
        <v>126.52</v>
      </c>
      <c r="P114" s="171">
        <v>101.21600000000001</v>
      </c>
      <c r="Q114" s="172">
        <v>0.0</v>
      </c>
      <c r="R114" s="173">
        <v>708.5120000000001</v>
      </c>
      <c r="S114" s="173">
        <v>0.0</v>
      </c>
      <c r="T114" s="173">
        <v>885.64</v>
      </c>
      <c r="U114" s="174" t="s">
        <v>1568</v>
      </c>
      <c r="V114" s="288">
        <v>45242.74518518518</v>
      </c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</row>
    <row r="115">
      <c r="A115" s="304">
        <v>45243.0</v>
      </c>
      <c r="B115" s="252">
        <v>5087293.0</v>
      </c>
      <c r="C115" s="253" t="s">
        <v>89</v>
      </c>
      <c r="D115" s="253" t="s">
        <v>35</v>
      </c>
      <c r="E115" s="252">
        <v>4.131290029E9</v>
      </c>
      <c r="F115" s="253" t="s">
        <v>1610</v>
      </c>
      <c r="G115" s="276">
        <v>45298.0</v>
      </c>
      <c r="H115" s="277">
        <v>45303.0</v>
      </c>
      <c r="I115" s="278">
        <v>5.0</v>
      </c>
      <c r="J115" s="257" t="s">
        <v>78</v>
      </c>
      <c r="K115" s="253" t="s">
        <v>79</v>
      </c>
      <c r="L115" s="253" t="s">
        <v>1511</v>
      </c>
      <c r="M115" s="252">
        <v>2.0</v>
      </c>
      <c r="N115" s="258">
        <v>0.0</v>
      </c>
      <c r="O115" s="259">
        <v>0.0</v>
      </c>
      <c r="P115" s="259">
        <v>0.0</v>
      </c>
      <c r="Q115" s="262">
        <v>0.0</v>
      </c>
      <c r="R115" s="260">
        <v>0.0</v>
      </c>
      <c r="S115" s="260">
        <v>0.0</v>
      </c>
      <c r="T115" s="260">
        <v>0.0</v>
      </c>
      <c r="U115" s="261" t="s">
        <v>1611</v>
      </c>
      <c r="V115" s="279">
        <v>45243.7750462963</v>
      </c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</row>
    <row r="116">
      <c r="A116" s="304">
        <v>45244.0</v>
      </c>
      <c r="B116" s="252">
        <v>5088574.0</v>
      </c>
      <c r="C116" s="253" t="s">
        <v>82</v>
      </c>
      <c r="D116" s="253" t="s">
        <v>35</v>
      </c>
      <c r="E116" s="252">
        <v>4.237135781E9</v>
      </c>
      <c r="F116" s="253" t="s">
        <v>1612</v>
      </c>
      <c r="G116" s="276">
        <v>45341.0</v>
      </c>
      <c r="H116" s="277">
        <v>45345.0</v>
      </c>
      <c r="I116" s="278">
        <v>4.0</v>
      </c>
      <c r="J116" s="257" t="s">
        <v>78</v>
      </c>
      <c r="K116" s="253" t="s">
        <v>79</v>
      </c>
      <c r="L116" s="253" t="s">
        <v>1443</v>
      </c>
      <c r="M116" s="252">
        <v>2.0</v>
      </c>
      <c r="N116" s="258">
        <v>0.0</v>
      </c>
      <c r="O116" s="259">
        <v>128.93</v>
      </c>
      <c r="P116" s="259">
        <v>103.144</v>
      </c>
      <c r="Q116" s="257">
        <v>0.0</v>
      </c>
      <c r="R116" s="260">
        <v>412.576</v>
      </c>
      <c r="S116" s="260">
        <v>0.0</v>
      </c>
      <c r="T116" s="260">
        <v>515.72</v>
      </c>
      <c r="U116" s="261" t="s">
        <v>1444</v>
      </c>
      <c r="V116" s="279">
        <v>45244.34171296297</v>
      </c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</row>
    <row r="117">
      <c r="A117" s="304">
        <v>45245.0</v>
      </c>
      <c r="B117" s="252">
        <v>5093662.0</v>
      </c>
      <c r="C117" s="253" t="s">
        <v>82</v>
      </c>
      <c r="D117" s="253" t="s">
        <v>35</v>
      </c>
      <c r="E117" s="252">
        <v>4.035078221E9</v>
      </c>
      <c r="F117" s="253" t="s">
        <v>1613</v>
      </c>
      <c r="G117" s="276">
        <v>45294.0</v>
      </c>
      <c r="H117" s="277">
        <v>45295.0</v>
      </c>
      <c r="I117" s="278">
        <v>1.0</v>
      </c>
      <c r="J117" s="257" t="s">
        <v>78</v>
      </c>
      <c r="K117" s="253" t="s">
        <v>79</v>
      </c>
      <c r="L117" s="253" t="s">
        <v>1511</v>
      </c>
      <c r="M117" s="252">
        <v>2.0</v>
      </c>
      <c r="N117" s="258">
        <v>0.0</v>
      </c>
      <c r="O117" s="259">
        <v>164.96</v>
      </c>
      <c r="P117" s="259">
        <v>131.96800000000002</v>
      </c>
      <c r="Q117" s="262">
        <v>0.0</v>
      </c>
      <c r="R117" s="260">
        <v>131.96800000000002</v>
      </c>
      <c r="S117" s="260">
        <v>0.0</v>
      </c>
      <c r="T117" s="260">
        <v>164.96</v>
      </c>
      <c r="U117" s="261" t="s">
        <v>1512</v>
      </c>
      <c r="V117" s="279">
        <v>45245.96813657407</v>
      </c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</row>
    <row r="118">
      <c r="A118" s="304">
        <v>45245.0</v>
      </c>
      <c r="B118" s="252">
        <v>5093589.0</v>
      </c>
      <c r="C118" s="253" t="s">
        <v>82</v>
      </c>
      <c r="D118" s="253" t="s">
        <v>35</v>
      </c>
      <c r="E118" s="252">
        <v>4.183297219E9</v>
      </c>
      <c r="F118" s="253" t="s">
        <v>1616</v>
      </c>
      <c r="G118" s="276">
        <v>45358.0</v>
      </c>
      <c r="H118" s="277">
        <v>45359.0</v>
      </c>
      <c r="I118" s="278">
        <v>1.0</v>
      </c>
      <c r="J118" s="257" t="s">
        <v>78</v>
      </c>
      <c r="K118" s="253" t="s">
        <v>79</v>
      </c>
      <c r="L118" s="253" t="s">
        <v>1396</v>
      </c>
      <c r="M118" s="252">
        <v>2.0</v>
      </c>
      <c r="N118" s="258">
        <v>0.0</v>
      </c>
      <c r="O118" s="259">
        <v>139.62</v>
      </c>
      <c r="P118" s="259">
        <v>111.69600000000001</v>
      </c>
      <c r="Q118" s="262">
        <v>0.0</v>
      </c>
      <c r="R118" s="260">
        <v>111.69600000000001</v>
      </c>
      <c r="S118" s="260">
        <v>0.0</v>
      </c>
      <c r="T118" s="260">
        <v>139.62</v>
      </c>
      <c r="U118" s="261" t="s">
        <v>1398</v>
      </c>
      <c r="V118" s="279">
        <v>45245.944513888884</v>
      </c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</row>
    <row r="119">
      <c r="A119" s="305">
        <v>45245.0</v>
      </c>
      <c r="B119" s="264">
        <v>5092353.0</v>
      </c>
      <c r="C119" s="265" t="s">
        <v>82</v>
      </c>
      <c r="D119" s="265" t="s">
        <v>35</v>
      </c>
      <c r="E119" s="264">
        <v>4.237157238E9</v>
      </c>
      <c r="F119" s="265" t="s">
        <v>1618</v>
      </c>
      <c r="G119" s="280">
        <v>45378.0</v>
      </c>
      <c r="H119" s="281">
        <v>45380.0</v>
      </c>
      <c r="I119" s="282">
        <v>2.0</v>
      </c>
      <c r="J119" s="283" t="s">
        <v>78</v>
      </c>
      <c r="K119" s="265" t="s">
        <v>79</v>
      </c>
      <c r="L119" s="265" t="s">
        <v>1619</v>
      </c>
      <c r="M119" s="264">
        <v>2.0</v>
      </c>
      <c r="N119" s="270">
        <v>0.0</v>
      </c>
      <c r="O119" s="271">
        <v>171.49</v>
      </c>
      <c r="P119" s="271">
        <v>137.192</v>
      </c>
      <c r="Q119" s="283">
        <v>0.0</v>
      </c>
      <c r="R119" s="273">
        <v>274.384</v>
      </c>
      <c r="S119" s="273">
        <v>0.0</v>
      </c>
      <c r="T119" s="273">
        <v>342.98</v>
      </c>
      <c r="U119" s="274" t="s">
        <v>1620</v>
      </c>
      <c r="V119" s="286">
        <v>45245.60215277778</v>
      </c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</row>
    <row r="120">
      <c r="A120" s="304">
        <v>45246.0</v>
      </c>
      <c r="B120" s="252">
        <v>5096316.0</v>
      </c>
      <c r="C120" s="253" t="s">
        <v>82</v>
      </c>
      <c r="D120" s="253" t="s">
        <v>35</v>
      </c>
      <c r="E120" s="252">
        <v>4.227209606E9</v>
      </c>
      <c r="F120" s="253" t="s">
        <v>1621</v>
      </c>
      <c r="G120" s="276">
        <v>45323.0</v>
      </c>
      <c r="H120" s="277">
        <v>45326.0</v>
      </c>
      <c r="I120" s="278">
        <v>3.0</v>
      </c>
      <c r="J120" s="257" t="s">
        <v>78</v>
      </c>
      <c r="K120" s="253" t="s">
        <v>79</v>
      </c>
      <c r="L120" s="253" t="s">
        <v>1396</v>
      </c>
      <c r="M120" s="252">
        <v>2.0</v>
      </c>
      <c r="N120" s="258">
        <v>0.0</v>
      </c>
      <c r="O120" s="259">
        <v>132.10999999999999</v>
      </c>
      <c r="P120" s="259">
        <v>105.68799999999999</v>
      </c>
      <c r="Q120" s="262">
        <v>0.0</v>
      </c>
      <c r="R120" s="260">
        <v>317.064</v>
      </c>
      <c r="S120" s="260">
        <v>0.0</v>
      </c>
      <c r="T120" s="260">
        <v>396.33</v>
      </c>
      <c r="U120" s="261" t="s">
        <v>1398</v>
      </c>
      <c r="V120" s="279">
        <v>45246.8903125</v>
      </c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</row>
    <row r="121">
      <c r="A121" s="212">
        <v>45247.0</v>
      </c>
      <c r="B121" s="166">
        <v>5097042.0</v>
      </c>
      <c r="C121" s="166" t="s">
        <v>75</v>
      </c>
      <c r="D121" s="166" t="s">
        <v>35</v>
      </c>
      <c r="E121" s="166">
        <v>4.212772041E9</v>
      </c>
      <c r="F121" s="166" t="s">
        <v>1624</v>
      </c>
      <c r="G121" s="210">
        <v>45454.0</v>
      </c>
      <c r="H121" s="287">
        <v>45456.0</v>
      </c>
      <c r="I121" s="168">
        <v>2.0</v>
      </c>
      <c r="J121" s="169" t="s">
        <v>114</v>
      </c>
      <c r="K121" s="166" t="s">
        <v>79</v>
      </c>
      <c r="L121" s="166" t="s">
        <v>1625</v>
      </c>
      <c r="M121" s="166">
        <v>2.0</v>
      </c>
      <c r="N121" s="170">
        <v>0.0</v>
      </c>
      <c r="O121" s="171">
        <v>167.8</v>
      </c>
      <c r="P121" s="171">
        <v>134.24</v>
      </c>
      <c r="Q121" s="172">
        <v>0.0</v>
      </c>
      <c r="R121" s="173">
        <v>268.48</v>
      </c>
      <c r="S121" s="173">
        <v>0.0</v>
      </c>
      <c r="T121" s="173">
        <v>335.6</v>
      </c>
      <c r="U121" s="174" t="s">
        <v>1626</v>
      </c>
      <c r="V121" s="288">
        <v>45442.850752314815</v>
      </c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</row>
    <row r="122">
      <c r="A122" s="304">
        <v>45248.0</v>
      </c>
      <c r="B122" s="252">
        <v>5100551.0</v>
      </c>
      <c r="C122" s="253" t="s">
        <v>82</v>
      </c>
      <c r="D122" s="253" t="s">
        <v>35</v>
      </c>
      <c r="E122" s="252">
        <v>4.114449043E9</v>
      </c>
      <c r="F122" s="253" t="s">
        <v>1628</v>
      </c>
      <c r="G122" s="276">
        <v>45326.0</v>
      </c>
      <c r="H122" s="277">
        <v>45331.0</v>
      </c>
      <c r="I122" s="278">
        <v>5.0</v>
      </c>
      <c r="J122" s="257" t="s">
        <v>78</v>
      </c>
      <c r="K122" s="253" t="s">
        <v>138</v>
      </c>
      <c r="L122" s="253" t="s">
        <v>1629</v>
      </c>
      <c r="M122" s="252">
        <v>2.0</v>
      </c>
      <c r="N122" s="258">
        <v>0.0</v>
      </c>
      <c r="O122" s="259">
        <v>180.0</v>
      </c>
      <c r="P122" s="259">
        <v>144.0</v>
      </c>
      <c r="Q122" s="262">
        <v>36.0</v>
      </c>
      <c r="R122" s="260">
        <v>720.0</v>
      </c>
      <c r="S122" s="260">
        <v>180.0</v>
      </c>
      <c r="T122" s="260">
        <v>900.0</v>
      </c>
      <c r="U122" s="261" t="s">
        <v>1630</v>
      </c>
      <c r="V122" s="279">
        <v>45248.61324074074</v>
      </c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</row>
    <row r="123">
      <c r="A123" s="304">
        <v>45248.0</v>
      </c>
      <c r="B123" s="252">
        <v>5101620.0</v>
      </c>
      <c r="C123" s="253" t="s">
        <v>82</v>
      </c>
      <c r="D123" s="253" t="s">
        <v>35</v>
      </c>
      <c r="E123" s="252">
        <v>4.21998388E9</v>
      </c>
      <c r="F123" s="253" t="s">
        <v>1631</v>
      </c>
      <c r="G123" s="276">
        <v>45327.0</v>
      </c>
      <c r="H123" s="277">
        <v>45331.0</v>
      </c>
      <c r="I123" s="278">
        <v>4.0</v>
      </c>
      <c r="J123" s="257" t="s">
        <v>87</v>
      </c>
      <c r="K123" s="253" t="s">
        <v>79</v>
      </c>
      <c r="L123" s="253" t="s">
        <v>1454</v>
      </c>
      <c r="M123" s="252">
        <v>2.0</v>
      </c>
      <c r="N123" s="258">
        <v>0.0</v>
      </c>
      <c r="O123" s="259">
        <v>116.27</v>
      </c>
      <c r="P123" s="259">
        <v>93.016</v>
      </c>
      <c r="Q123" s="257">
        <v>0.0</v>
      </c>
      <c r="R123" s="260">
        <v>372.064</v>
      </c>
      <c r="S123" s="260">
        <v>0.0</v>
      </c>
      <c r="T123" s="260">
        <v>465.08</v>
      </c>
      <c r="U123" s="261" t="s">
        <v>1455</v>
      </c>
      <c r="V123" s="279">
        <v>45248.95700231481</v>
      </c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</row>
    <row r="124">
      <c r="A124" s="212">
        <v>45248.0</v>
      </c>
      <c r="B124" s="166">
        <v>5100469.0</v>
      </c>
      <c r="C124" s="166" t="s">
        <v>82</v>
      </c>
      <c r="D124" s="166" t="s">
        <v>35</v>
      </c>
      <c r="E124" s="166">
        <v>4.065161456E9</v>
      </c>
      <c r="F124" s="166" t="s">
        <v>1633</v>
      </c>
      <c r="G124" s="210">
        <v>45424.0</v>
      </c>
      <c r="H124" s="287">
        <v>45425.0</v>
      </c>
      <c r="I124" s="168">
        <v>1.0</v>
      </c>
      <c r="J124" s="169" t="s">
        <v>87</v>
      </c>
      <c r="K124" s="166" t="s">
        <v>79</v>
      </c>
      <c r="L124" s="166" t="s">
        <v>1496</v>
      </c>
      <c r="M124" s="166">
        <v>2.0</v>
      </c>
      <c r="N124" s="170">
        <v>0.0</v>
      </c>
      <c r="O124" s="171">
        <v>135.04</v>
      </c>
      <c r="P124" s="171">
        <v>108.032</v>
      </c>
      <c r="Q124" s="172">
        <v>0.0</v>
      </c>
      <c r="R124" s="173">
        <v>108.032</v>
      </c>
      <c r="S124" s="173">
        <v>0.0</v>
      </c>
      <c r="T124" s="173">
        <v>135.04</v>
      </c>
      <c r="U124" s="201" t="s">
        <v>1497</v>
      </c>
      <c r="V124" s="288">
        <v>45248.59240740741</v>
      </c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</row>
    <row r="125">
      <c r="A125" s="304">
        <v>45249.0</v>
      </c>
      <c r="B125" s="252">
        <v>5103328.0</v>
      </c>
      <c r="C125" s="253" t="s">
        <v>82</v>
      </c>
      <c r="D125" s="253" t="s">
        <v>35</v>
      </c>
      <c r="E125" s="252">
        <v>4.147945258E9</v>
      </c>
      <c r="F125" s="253" t="s">
        <v>1635</v>
      </c>
      <c r="G125" s="276">
        <v>45342.0</v>
      </c>
      <c r="H125" s="277">
        <v>45347.0</v>
      </c>
      <c r="I125" s="278">
        <v>5.0</v>
      </c>
      <c r="J125" s="257" t="s">
        <v>78</v>
      </c>
      <c r="K125" s="253" t="s">
        <v>138</v>
      </c>
      <c r="L125" s="253" t="s">
        <v>1450</v>
      </c>
      <c r="M125" s="275">
        <v>2.0</v>
      </c>
      <c r="N125" s="258">
        <v>0.0</v>
      </c>
      <c r="O125" s="259">
        <v>169.05</v>
      </c>
      <c r="P125" s="259">
        <v>135.24</v>
      </c>
      <c r="Q125" s="262">
        <v>36.0</v>
      </c>
      <c r="R125" s="260">
        <v>676.2</v>
      </c>
      <c r="S125" s="260">
        <v>180.0</v>
      </c>
      <c r="T125" s="260">
        <v>845.25</v>
      </c>
      <c r="U125" s="261" t="s">
        <v>1451</v>
      </c>
      <c r="V125" s="279">
        <v>45249.77295138889</v>
      </c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</row>
    <row r="126">
      <c r="A126" s="304">
        <v>45249.0</v>
      </c>
      <c r="B126" s="252">
        <v>5103067.0</v>
      </c>
      <c r="C126" s="253" t="s">
        <v>82</v>
      </c>
      <c r="D126" s="253" t="s">
        <v>35</v>
      </c>
      <c r="E126" s="252">
        <v>4.027933697E9</v>
      </c>
      <c r="F126" s="253" t="s">
        <v>1636</v>
      </c>
      <c r="G126" s="276">
        <v>45366.0</v>
      </c>
      <c r="H126" s="277">
        <v>45368.0</v>
      </c>
      <c r="I126" s="278">
        <v>2.0</v>
      </c>
      <c r="J126" s="257" t="s">
        <v>87</v>
      </c>
      <c r="K126" s="253" t="s">
        <v>79</v>
      </c>
      <c r="L126" s="253" t="s">
        <v>1454</v>
      </c>
      <c r="M126" s="252">
        <v>2.0</v>
      </c>
      <c r="N126" s="258">
        <v>0.0</v>
      </c>
      <c r="O126" s="259">
        <v>125.79</v>
      </c>
      <c r="P126" s="259">
        <v>100.632</v>
      </c>
      <c r="Q126" s="257">
        <v>0.0</v>
      </c>
      <c r="R126" s="260">
        <v>201.264</v>
      </c>
      <c r="S126" s="260">
        <v>0.0</v>
      </c>
      <c r="T126" s="260">
        <v>251.58</v>
      </c>
      <c r="U126" s="261" t="s">
        <v>1455</v>
      </c>
      <c r="V126" s="279">
        <v>45249.692395833335</v>
      </c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</row>
    <row r="127">
      <c r="A127" s="304">
        <v>45249.0</v>
      </c>
      <c r="B127" s="252">
        <v>5102538.0</v>
      </c>
      <c r="C127" s="253" t="s">
        <v>75</v>
      </c>
      <c r="D127" s="253" t="s">
        <v>35</v>
      </c>
      <c r="E127" s="252">
        <v>4.079467328E9</v>
      </c>
      <c r="F127" s="253" t="s">
        <v>1638</v>
      </c>
      <c r="G127" s="276">
        <v>45402.0</v>
      </c>
      <c r="H127" s="277">
        <v>45404.0</v>
      </c>
      <c r="I127" s="278">
        <v>2.0</v>
      </c>
      <c r="J127" s="257" t="s">
        <v>78</v>
      </c>
      <c r="K127" s="253" t="s">
        <v>79</v>
      </c>
      <c r="L127" s="253" t="s">
        <v>1400</v>
      </c>
      <c r="M127" s="252">
        <v>2.0</v>
      </c>
      <c r="N127" s="258">
        <v>0.0</v>
      </c>
      <c r="O127" s="259">
        <v>166.79</v>
      </c>
      <c r="P127" s="259">
        <v>133.432</v>
      </c>
      <c r="Q127" s="262">
        <v>0.0</v>
      </c>
      <c r="R127" s="260">
        <v>266.864</v>
      </c>
      <c r="S127" s="260">
        <v>0.0</v>
      </c>
      <c r="T127" s="260">
        <v>1875.86</v>
      </c>
      <c r="U127" s="261" t="s">
        <v>1401</v>
      </c>
      <c r="V127" s="279">
        <v>45390.4125462963</v>
      </c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</row>
    <row r="128">
      <c r="A128" s="304">
        <v>45249.0</v>
      </c>
      <c r="B128" s="252">
        <v>5102538.0</v>
      </c>
      <c r="C128" s="253" t="s">
        <v>75</v>
      </c>
      <c r="D128" s="253" t="s">
        <v>35</v>
      </c>
      <c r="E128" s="252">
        <v>4.079467328E9</v>
      </c>
      <c r="F128" s="253" t="s">
        <v>1638</v>
      </c>
      <c r="G128" s="276">
        <v>45402.0</v>
      </c>
      <c r="H128" s="277">
        <v>45404.0</v>
      </c>
      <c r="I128" s="278">
        <v>2.0</v>
      </c>
      <c r="J128" s="257" t="s">
        <v>78</v>
      </c>
      <c r="K128" s="253" t="s">
        <v>79</v>
      </c>
      <c r="L128" s="253" t="s">
        <v>1400</v>
      </c>
      <c r="M128" s="275">
        <v>2.0</v>
      </c>
      <c r="N128" s="258">
        <v>0.0</v>
      </c>
      <c r="O128" s="259">
        <v>166.79</v>
      </c>
      <c r="P128" s="259">
        <v>133.432</v>
      </c>
      <c r="Q128" s="262">
        <v>0.0</v>
      </c>
      <c r="R128" s="260">
        <v>266.864</v>
      </c>
      <c r="S128" s="260">
        <v>0.0</v>
      </c>
      <c r="T128" s="260">
        <v>1875.86</v>
      </c>
      <c r="U128" s="261" t="s">
        <v>1401</v>
      </c>
      <c r="V128" s="279">
        <v>45390.4125462963</v>
      </c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</row>
    <row r="129">
      <c r="A129" s="304">
        <v>45249.0</v>
      </c>
      <c r="B129" s="252">
        <v>5102538.0</v>
      </c>
      <c r="C129" s="253" t="s">
        <v>75</v>
      </c>
      <c r="D129" s="253" t="s">
        <v>35</v>
      </c>
      <c r="E129" s="252">
        <v>4.079467328E9</v>
      </c>
      <c r="F129" s="253" t="s">
        <v>1638</v>
      </c>
      <c r="G129" s="276">
        <v>45402.0</v>
      </c>
      <c r="H129" s="277">
        <v>45404.0</v>
      </c>
      <c r="I129" s="278">
        <v>2.0</v>
      </c>
      <c r="J129" s="257" t="s">
        <v>114</v>
      </c>
      <c r="K129" s="253" t="s">
        <v>79</v>
      </c>
      <c r="L129" s="253" t="s">
        <v>1400</v>
      </c>
      <c r="M129" s="252">
        <v>2.0</v>
      </c>
      <c r="N129" s="258">
        <v>0.0</v>
      </c>
      <c r="O129" s="259">
        <v>184.85</v>
      </c>
      <c r="P129" s="259">
        <v>147.88</v>
      </c>
      <c r="Q129" s="257">
        <v>0.0</v>
      </c>
      <c r="R129" s="260">
        <v>295.76</v>
      </c>
      <c r="S129" s="260">
        <v>0.0</v>
      </c>
      <c r="T129" s="260">
        <v>1875.86</v>
      </c>
      <c r="U129" s="261" t="s">
        <v>1401</v>
      </c>
      <c r="V129" s="279">
        <v>45390.4125462963</v>
      </c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</row>
    <row r="130">
      <c r="A130" s="304">
        <v>45249.0</v>
      </c>
      <c r="B130" s="252">
        <v>5102538.0</v>
      </c>
      <c r="C130" s="253" t="s">
        <v>89</v>
      </c>
      <c r="D130" s="253" t="s">
        <v>35</v>
      </c>
      <c r="E130" s="252">
        <v>4.079467328E9</v>
      </c>
      <c r="F130" s="253" t="s">
        <v>1638</v>
      </c>
      <c r="G130" s="276">
        <v>45402.0</v>
      </c>
      <c r="H130" s="277">
        <v>45404.0</v>
      </c>
      <c r="I130" s="278">
        <v>2.0</v>
      </c>
      <c r="J130" s="257" t="s">
        <v>91</v>
      </c>
      <c r="K130" s="253" t="s">
        <v>79</v>
      </c>
      <c r="L130" s="253" t="s">
        <v>1642</v>
      </c>
      <c r="M130" s="275">
        <v>4.0</v>
      </c>
      <c r="N130" s="258">
        <v>0.0</v>
      </c>
      <c r="O130" s="259">
        <v>0.0</v>
      </c>
      <c r="P130" s="259">
        <v>0.0</v>
      </c>
      <c r="Q130" s="262">
        <v>0.0</v>
      </c>
      <c r="R130" s="260">
        <v>0.0</v>
      </c>
      <c r="S130" s="260">
        <v>0.0</v>
      </c>
      <c r="T130" s="260">
        <v>0.0</v>
      </c>
      <c r="U130" s="261" t="s">
        <v>1643</v>
      </c>
      <c r="V130" s="279">
        <v>45390.4125462963</v>
      </c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</row>
    <row r="131">
      <c r="A131" s="212">
        <v>45250.0</v>
      </c>
      <c r="B131" s="166">
        <v>5105930.0</v>
      </c>
      <c r="C131" s="166" t="s">
        <v>82</v>
      </c>
      <c r="D131" s="166" t="s">
        <v>35</v>
      </c>
      <c r="E131" s="166">
        <v>4.276888062E9</v>
      </c>
      <c r="F131" s="166" t="s">
        <v>1644</v>
      </c>
      <c r="G131" s="210">
        <v>45431.0</v>
      </c>
      <c r="H131" s="287">
        <v>45434.0</v>
      </c>
      <c r="I131" s="168">
        <v>3.0</v>
      </c>
      <c r="J131" s="169" t="s">
        <v>87</v>
      </c>
      <c r="K131" s="166" t="s">
        <v>138</v>
      </c>
      <c r="L131" s="166" t="s">
        <v>1645</v>
      </c>
      <c r="M131" s="166">
        <v>2.0</v>
      </c>
      <c r="N131" s="170">
        <v>0.0</v>
      </c>
      <c r="O131" s="171">
        <v>132.1</v>
      </c>
      <c r="P131" s="171">
        <v>105.68</v>
      </c>
      <c r="Q131" s="172">
        <v>36.0</v>
      </c>
      <c r="R131" s="173">
        <v>317.04</v>
      </c>
      <c r="S131" s="173">
        <v>108.0</v>
      </c>
      <c r="T131" s="173">
        <v>504.3</v>
      </c>
      <c r="U131" s="174" t="s">
        <v>1646</v>
      </c>
      <c r="V131" s="288">
        <v>45250.678518518514</v>
      </c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</row>
    <row r="132">
      <c r="A132" s="305">
        <v>45251.0</v>
      </c>
      <c r="B132" s="264">
        <v>5109463.0</v>
      </c>
      <c r="C132" s="265" t="s">
        <v>82</v>
      </c>
      <c r="D132" s="306" t="s">
        <v>616</v>
      </c>
      <c r="E132" s="264">
        <v>1.2634793E8</v>
      </c>
      <c r="F132" s="265" t="s">
        <v>1648</v>
      </c>
      <c r="G132" s="280">
        <v>45382.0</v>
      </c>
      <c r="H132" s="281">
        <v>45385.0</v>
      </c>
      <c r="I132" s="282">
        <v>3.0</v>
      </c>
      <c r="J132" s="283" t="s">
        <v>78</v>
      </c>
      <c r="K132" s="265" t="s">
        <v>79</v>
      </c>
      <c r="L132" s="265" t="s">
        <v>1436</v>
      </c>
      <c r="M132" s="264">
        <v>2.0</v>
      </c>
      <c r="N132" s="270">
        <v>0.0</v>
      </c>
      <c r="O132" s="271">
        <v>101.52</v>
      </c>
      <c r="P132" s="271">
        <v>81.21600000000001</v>
      </c>
      <c r="Q132" s="272">
        <v>0.0</v>
      </c>
      <c r="R132" s="273">
        <v>243.64800000000002</v>
      </c>
      <c r="S132" s="273">
        <v>0.0</v>
      </c>
      <c r="T132" s="273">
        <v>304.56</v>
      </c>
      <c r="U132" s="274" t="s">
        <v>1437</v>
      </c>
      <c r="V132" s="284">
        <v>45251.909791666665</v>
      </c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</row>
    <row r="133">
      <c r="A133" s="304">
        <v>45252.0</v>
      </c>
      <c r="B133" s="252">
        <v>5111613.0</v>
      </c>
      <c r="C133" s="253" t="s">
        <v>89</v>
      </c>
      <c r="D133" s="253" t="s">
        <v>35</v>
      </c>
      <c r="E133" s="252">
        <v>4.035632097E9</v>
      </c>
      <c r="F133" s="253" t="s">
        <v>1651</v>
      </c>
      <c r="G133" s="276">
        <v>45302.0</v>
      </c>
      <c r="H133" s="277">
        <v>45307.0</v>
      </c>
      <c r="I133" s="278">
        <v>5.0</v>
      </c>
      <c r="J133" s="257" t="s">
        <v>111</v>
      </c>
      <c r="K133" s="253" t="s">
        <v>79</v>
      </c>
      <c r="L133" s="253" t="s">
        <v>1476</v>
      </c>
      <c r="M133" s="252">
        <v>2.0</v>
      </c>
      <c r="N133" s="258">
        <v>0.0</v>
      </c>
      <c r="O133" s="259">
        <v>0.0</v>
      </c>
      <c r="P133" s="259">
        <v>0.0</v>
      </c>
      <c r="Q133" s="257">
        <v>0.0</v>
      </c>
      <c r="R133" s="260">
        <v>0.0</v>
      </c>
      <c r="S133" s="260">
        <v>0.0</v>
      </c>
      <c r="T133" s="273">
        <v>0.0</v>
      </c>
      <c r="U133" s="274" t="s">
        <v>1652</v>
      </c>
      <c r="V133" s="284">
        <v>45252.751435185186</v>
      </c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</row>
    <row r="134">
      <c r="A134" s="304">
        <v>45252.0</v>
      </c>
      <c r="B134" s="252">
        <v>5111502.0</v>
      </c>
      <c r="C134" s="253" t="s">
        <v>82</v>
      </c>
      <c r="D134" s="253" t="s">
        <v>35</v>
      </c>
      <c r="E134" s="252">
        <v>4.083918252E9</v>
      </c>
      <c r="F134" s="253" t="s">
        <v>1654</v>
      </c>
      <c r="G134" s="276">
        <v>45373.0</v>
      </c>
      <c r="H134" s="277">
        <v>45375.0</v>
      </c>
      <c r="I134" s="278">
        <v>2.0</v>
      </c>
      <c r="J134" s="257" t="s">
        <v>78</v>
      </c>
      <c r="K134" s="253" t="s">
        <v>79</v>
      </c>
      <c r="L134" s="253" t="s">
        <v>1511</v>
      </c>
      <c r="M134" s="252">
        <v>2.0</v>
      </c>
      <c r="N134" s="258">
        <v>0.0</v>
      </c>
      <c r="O134" s="259">
        <v>166.79</v>
      </c>
      <c r="P134" s="259">
        <v>133.432</v>
      </c>
      <c r="Q134" s="257">
        <v>0.0</v>
      </c>
      <c r="R134" s="260">
        <v>266.864</v>
      </c>
      <c r="S134" s="260">
        <v>0.0</v>
      </c>
      <c r="T134" s="260">
        <v>1000.74</v>
      </c>
      <c r="U134" s="261" t="s">
        <v>1512</v>
      </c>
      <c r="V134" s="279">
        <v>45252.72642361111</v>
      </c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</row>
    <row r="135">
      <c r="A135" s="304">
        <v>45252.0</v>
      </c>
      <c r="B135" s="252">
        <v>5111502.0</v>
      </c>
      <c r="C135" s="253" t="s">
        <v>82</v>
      </c>
      <c r="D135" s="253" t="s">
        <v>35</v>
      </c>
      <c r="E135" s="252">
        <v>4.083918252E9</v>
      </c>
      <c r="F135" s="253" t="s">
        <v>1654</v>
      </c>
      <c r="G135" s="276">
        <v>45373.0</v>
      </c>
      <c r="H135" s="277">
        <v>45375.0</v>
      </c>
      <c r="I135" s="278">
        <v>2.0</v>
      </c>
      <c r="J135" s="257" t="s">
        <v>78</v>
      </c>
      <c r="K135" s="253" t="s">
        <v>79</v>
      </c>
      <c r="L135" s="253" t="s">
        <v>1511</v>
      </c>
      <c r="M135" s="275">
        <v>2.0</v>
      </c>
      <c r="N135" s="258">
        <v>0.0</v>
      </c>
      <c r="O135" s="259">
        <v>166.79</v>
      </c>
      <c r="P135" s="259">
        <v>133.432</v>
      </c>
      <c r="Q135" s="262">
        <v>0.0</v>
      </c>
      <c r="R135" s="260">
        <v>266.864</v>
      </c>
      <c r="S135" s="260">
        <v>0.0</v>
      </c>
      <c r="T135" s="260">
        <v>1000.74</v>
      </c>
      <c r="U135" s="261" t="s">
        <v>1512</v>
      </c>
      <c r="V135" s="279">
        <v>45252.72642361111</v>
      </c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</row>
    <row r="136">
      <c r="A136" s="304">
        <v>45252.0</v>
      </c>
      <c r="B136" s="252">
        <v>5111502.0</v>
      </c>
      <c r="C136" s="253" t="s">
        <v>82</v>
      </c>
      <c r="D136" s="253" t="s">
        <v>35</v>
      </c>
      <c r="E136" s="252">
        <v>4.083918252E9</v>
      </c>
      <c r="F136" s="253" t="s">
        <v>1654</v>
      </c>
      <c r="G136" s="276">
        <v>45373.0</v>
      </c>
      <c r="H136" s="277">
        <v>45375.0</v>
      </c>
      <c r="I136" s="278">
        <v>2.0</v>
      </c>
      <c r="J136" s="257" t="s">
        <v>78</v>
      </c>
      <c r="K136" s="253" t="s">
        <v>79</v>
      </c>
      <c r="L136" s="253" t="s">
        <v>1511</v>
      </c>
      <c r="M136" s="252">
        <v>2.0</v>
      </c>
      <c r="N136" s="258">
        <v>0.0</v>
      </c>
      <c r="O136" s="259">
        <v>166.79</v>
      </c>
      <c r="P136" s="259">
        <v>133.432</v>
      </c>
      <c r="Q136" s="262">
        <v>0.0</v>
      </c>
      <c r="R136" s="260">
        <v>266.864</v>
      </c>
      <c r="S136" s="260">
        <v>0.0</v>
      </c>
      <c r="T136" s="260">
        <v>1000.74</v>
      </c>
      <c r="U136" s="261" t="s">
        <v>1512</v>
      </c>
      <c r="V136" s="279">
        <v>45252.72642361111</v>
      </c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</row>
    <row r="137">
      <c r="A137" s="304">
        <v>45253.0</v>
      </c>
      <c r="B137" s="252">
        <v>5112914.0</v>
      </c>
      <c r="C137" s="253" t="s">
        <v>82</v>
      </c>
      <c r="D137" s="253" t="s">
        <v>35</v>
      </c>
      <c r="E137" s="252">
        <v>4.079735789E9</v>
      </c>
      <c r="F137" s="253" t="s">
        <v>1657</v>
      </c>
      <c r="G137" s="276">
        <v>45308.0</v>
      </c>
      <c r="H137" s="277">
        <v>45309.0</v>
      </c>
      <c r="I137" s="278">
        <v>1.0</v>
      </c>
      <c r="J137" s="257" t="s">
        <v>78</v>
      </c>
      <c r="K137" s="253" t="s">
        <v>79</v>
      </c>
      <c r="L137" s="253" t="s">
        <v>1496</v>
      </c>
      <c r="M137" s="275">
        <v>2.0</v>
      </c>
      <c r="N137" s="258">
        <v>0.0</v>
      </c>
      <c r="O137" s="259">
        <v>196.41</v>
      </c>
      <c r="P137" s="259">
        <v>157.12800000000001</v>
      </c>
      <c r="Q137" s="262">
        <v>0.0</v>
      </c>
      <c r="R137" s="260">
        <v>157.12800000000001</v>
      </c>
      <c r="S137" s="260">
        <v>0.0</v>
      </c>
      <c r="T137" s="260">
        <v>196.41</v>
      </c>
      <c r="U137" s="261" t="s">
        <v>1497</v>
      </c>
      <c r="V137" s="279">
        <v>45253.368125</v>
      </c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</row>
    <row r="138">
      <c r="A138" s="304">
        <v>45253.0</v>
      </c>
      <c r="B138" s="252">
        <v>5112933.0</v>
      </c>
      <c r="C138" s="253" t="s">
        <v>82</v>
      </c>
      <c r="D138" s="253" t="s">
        <v>35</v>
      </c>
      <c r="E138" s="252">
        <v>4.036593061E9</v>
      </c>
      <c r="F138" s="253" t="s">
        <v>1657</v>
      </c>
      <c r="G138" s="276">
        <v>45309.0</v>
      </c>
      <c r="H138" s="277">
        <v>45312.0</v>
      </c>
      <c r="I138" s="278">
        <v>3.0</v>
      </c>
      <c r="J138" s="257" t="s">
        <v>114</v>
      </c>
      <c r="K138" s="253" t="s">
        <v>79</v>
      </c>
      <c r="L138" s="253" t="s">
        <v>1400</v>
      </c>
      <c r="M138" s="275">
        <v>2.0</v>
      </c>
      <c r="N138" s="258">
        <v>0.0</v>
      </c>
      <c r="O138" s="259">
        <v>173.29</v>
      </c>
      <c r="P138" s="259">
        <v>138.632</v>
      </c>
      <c r="Q138" s="262">
        <v>0.0</v>
      </c>
      <c r="R138" s="260">
        <v>415.896</v>
      </c>
      <c r="S138" s="260">
        <v>0.0</v>
      </c>
      <c r="T138" s="260">
        <v>519.87</v>
      </c>
      <c r="U138" s="261" t="s">
        <v>1401</v>
      </c>
      <c r="V138" s="279">
        <v>45253.37296296297</v>
      </c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</row>
    <row r="139">
      <c r="A139" s="305">
        <v>45253.0</v>
      </c>
      <c r="B139" s="264">
        <v>5114195.0</v>
      </c>
      <c r="C139" s="265" t="s">
        <v>82</v>
      </c>
      <c r="D139" s="265" t="s">
        <v>101</v>
      </c>
      <c r="E139" s="265">
        <v>1.27350678E8</v>
      </c>
      <c r="F139" s="265" t="s">
        <v>1659</v>
      </c>
      <c r="G139" s="280">
        <v>45367.0</v>
      </c>
      <c r="H139" s="281">
        <v>45369.0</v>
      </c>
      <c r="I139" s="282">
        <v>2.0</v>
      </c>
      <c r="J139" s="283" t="s">
        <v>111</v>
      </c>
      <c r="K139" s="265" t="s">
        <v>79</v>
      </c>
      <c r="L139" s="265" t="s">
        <v>1436</v>
      </c>
      <c r="M139" s="264">
        <v>2.0</v>
      </c>
      <c r="N139" s="270">
        <v>0.0</v>
      </c>
      <c r="O139" s="271">
        <v>134.55</v>
      </c>
      <c r="P139" s="271">
        <v>107.64000000000001</v>
      </c>
      <c r="Q139" s="272">
        <v>0.0</v>
      </c>
      <c r="R139" s="273">
        <v>215.28000000000003</v>
      </c>
      <c r="S139" s="273">
        <v>0.0</v>
      </c>
      <c r="T139" s="273">
        <v>269.1</v>
      </c>
      <c r="U139" s="274" t="s">
        <v>1437</v>
      </c>
      <c r="V139" s="286">
        <v>45253.71258101852</v>
      </c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</row>
    <row r="140">
      <c r="A140" s="305">
        <v>45253.0</v>
      </c>
      <c r="B140" s="264">
        <v>5114905.0</v>
      </c>
      <c r="C140" s="265" t="s">
        <v>82</v>
      </c>
      <c r="D140" s="302" t="s">
        <v>35</v>
      </c>
      <c r="E140" s="264">
        <v>4.210212887E9</v>
      </c>
      <c r="F140" s="265" t="s">
        <v>1660</v>
      </c>
      <c r="G140" s="280">
        <v>45404.0</v>
      </c>
      <c r="H140" s="281">
        <v>45407.0</v>
      </c>
      <c r="I140" s="282">
        <v>3.0</v>
      </c>
      <c r="J140" s="283" t="s">
        <v>78</v>
      </c>
      <c r="K140" s="265" t="s">
        <v>79</v>
      </c>
      <c r="L140" s="265" t="s">
        <v>1661</v>
      </c>
      <c r="M140" s="264">
        <v>2.0</v>
      </c>
      <c r="N140" s="270">
        <v>0.0</v>
      </c>
      <c r="O140" s="271">
        <v>129.5</v>
      </c>
      <c r="P140" s="271">
        <v>103.60000000000001</v>
      </c>
      <c r="Q140" s="272">
        <v>0.0</v>
      </c>
      <c r="R140" s="273">
        <v>310.8</v>
      </c>
      <c r="S140" s="273">
        <v>0.0</v>
      </c>
      <c r="T140" s="273">
        <v>777.0</v>
      </c>
      <c r="U140" s="274" t="s">
        <v>1662</v>
      </c>
      <c r="V140" s="286">
        <v>45253.923668981486</v>
      </c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</row>
    <row r="141">
      <c r="A141" s="212">
        <v>45253.0</v>
      </c>
      <c r="B141" s="166">
        <v>5114905.0</v>
      </c>
      <c r="C141" s="166" t="s">
        <v>82</v>
      </c>
      <c r="D141" s="166" t="s">
        <v>35</v>
      </c>
      <c r="E141" s="166">
        <v>4.210212887E9</v>
      </c>
      <c r="F141" s="166" t="s">
        <v>1660</v>
      </c>
      <c r="G141" s="210">
        <v>45404.0</v>
      </c>
      <c r="H141" s="287">
        <v>45407.0</v>
      </c>
      <c r="I141" s="168">
        <v>3.0</v>
      </c>
      <c r="J141" s="169" t="s">
        <v>78</v>
      </c>
      <c r="K141" s="166" t="s">
        <v>79</v>
      </c>
      <c r="L141" s="166" t="s">
        <v>1661</v>
      </c>
      <c r="M141" s="205">
        <v>2.0</v>
      </c>
      <c r="N141" s="170">
        <v>0.0</v>
      </c>
      <c r="O141" s="171">
        <v>129.5</v>
      </c>
      <c r="P141" s="171">
        <v>103.60000000000001</v>
      </c>
      <c r="Q141" s="172">
        <v>0.0</v>
      </c>
      <c r="R141" s="173">
        <v>310.8</v>
      </c>
      <c r="S141" s="173">
        <v>0.0</v>
      </c>
      <c r="T141" s="173">
        <v>777.0</v>
      </c>
      <c r="U141" s="174" t="s">
        <v>1662</v>
      </c>
      <c r="V141" s="288">
        <v>45253.923668981486</v>
      </c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</row>
    <row r="142">
      <c r="A142" s="304">
        <v>45254.0</v>
      </c>
      <c r="B142" s="252">
        <v>5117662.0</v>
      </c>
      <c r="C142" s="253" t="s">
        <v>82</v>
      </c>
      <c r="D142" s="253" t="s">
        <v>35</v>
      </c>
      <c r="E142" s="252">
        <v>4.223918331E9</v>
      </c>
      <c r="F142" s="253" t="s">
        <v>1664</v>
      </c>
      <c r="G142" s="276">
        <v>45310.0</v>
      </c>
      <c r="H142" s="277">
        <v>45313.0</v>
      </c>
      <c r="I142" s="278">
        <v>3.0</v>
      </c>
      <c r="J142" s="257" t="s">
        <v>87</v>
      </c>
      <c r="K142" s="253" t="s">
        <v>79</v>
      </c>
      <c r="L142" s="253" t="s">
        <v>1414</v>
      </c>
      <c r="M142" s="252">
        <v>2.0</v>
      </c>
      <c r="N142" s="258">
        <v>0.0</v>
      </c>
      <c r="O142" s="259">
        <v>109.14</v>
      </c>
      <c r="P142" s="259">
        <v>87.31200000000001</v>
      </c>
      <c r="Q142" s="262">
        <v>0.0</v>
      </c>
      <c r="R142" s="260">
        <v>261.93600000000004</v>
      </c>
      <c r="S142" s="260">
        <v>0.0</v>
      </c>
      <c r="T142" s="260">
        <v>327.42</v>
      </c>
      <c r="U142" s="261" t="s">
        <v>1415</v>
      </c>
      <c r="V142" s="279">
        <v>45254.94099537037</v>
      </c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</row>
    <row r="143">
      <c r="A143" s="212">
        <v>45254.0</v>
      </c>
      <c r="B143" s="166">
        <v>5117255.0</v>
      </c>
      <c r="C143" s="166" t="s">
        <v>82</v>
      </c>
      <c r="D143" s="166" t="s">
        <v>1666</v>
      </c>
      <c r="E143" s="166" t="s">
        <v>1667</v>
      </c>
      <c r="F143" s="166" t="s">
        <v>1668</v>
      </c>
      <c r="G143" s="210">
        <v>45418.0</v>
      </c>
      <c r="H143" s="287">
        <v>45421.0</v>
      </c>
      <c r="I143" s="168">
        <v>3.0</v>
      </c>
      <c r="J143" s="169" t="s">
        <v>78</v>
      </c>
      <c r="K143" s="166" t="s">
        <v>79</v>
      </c>
      <c r="L143" s="166" t="s">
        <v>1669</v>
      </c>
      <c r="M143" s="205">
        <v>2.0</v>
      </c>
      <c r="N143" s="170">
        <v>0.0</v>
      </c>
      <c r="O143" s="171">
        <v>75.2</v>
      </c>
      <c r="P143" s="171">
        <v>60.160000000000004</v>
      </c>
      <c r="Q143" s="172">
        <v>0.0</v>
      </c>
      <c r="R143" s="173">
        <v>180.48000000000002</v>
      </c>
      <c r="S143" s="173">
        <v>0.0</v>
      </c>
      <c r="T143" s="173">
        <v>225.6</v>
      </c>
      <c r="U143" s="174" t="s">
        <v>1671</v>
      </c>
      <c r="V143" s="288">
        <v>45254.8296875</v>
      </c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</row>
    <row r="144">
      <c r="A144" s="304">
        <v>45255.0</v>
      </c>
      <c r="B144" s="252">
        <v>5119571.0</v>
      </c>
      <c r="C144" s="253" t="s">
        <v>82</v>
      </c>
      <c r="D144" s="253" t="s">
        <v>35</v>
      </c>
      <c r="E144" s="252">
        <v>4.210711871E9</v>
      </c>
      <c r="F144" s="253" t="s">
        <v>1672</v>
      </c>
      <c r="G144" s="276">
        <v>45304.0</v>
      </c>
      <c r="H144" s="277">
        <v>45307.0</v>
      </c>
      <c r="I144" s="278">
        <v>3.0</v>
      </c>
      <c r="J144" s="257" t="s">
        <v>78</v>
      </c>
      <c r="K144" s="253" t="s">
        <v>79</v>
      </c>
      <c r="L144" s="253" t="s">
        <v>1411</v>
      </c>
      <c r="M144" s="252">
        <v>2.0</v>
      </c>
      <c r="N144" s="258">
        <v>0.0</v>
      </c>
      <c r="O144" s="259">
        <v>147.79999999999998</v>
      </c>
      <c r="P144" s="259">
        <v>118.24</v>
      </c>
      <c r="Q144" s="262">
        <v>0.0</v>
      </c>
      <c r="R144" s="260">
        <v>354.72</v>
      </c>
      <c r="S144" s="260">
        <v>0.0</v>
      </c>
      <c r="T144" s="273">
        <v>443.4</v>
      </c>
      <c r="U144" s="274" t="s">
        <v>1412</v>
      </c>
      <c r="V144" s="284">
        <v>45255.738912037035</v>
      </c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</row>
    <row r="145">
      <c r="A145" s="304">
        <v>45255.0</v>
      </c>
      <c r="B145" s="252">
        <v>5120313.0</v>
      </c>
      <c r="C145" s="253" t="s">
        <v>75</v>
      </c>
      <c r="D145" s="253" t="s">
        <v>35</v>
      </c>
      <c r="E145" s="252">
        <v>4.013028144E9</v>
      </c>
      <c r="F145" s="253" t="s">
        <v>1675</v>
      </c>
      <c r="G145" s="276">
        <v>45312.0</v>
      </c>
      <c r="H145" s="277">
        <v>45313.0</v>
      </c>
      <c r="I145" s="278">
        <v>1.0</v>
      </c>
      <c r="J145" s="257" t="s">
        <v>78</v>
      </c>
      <c r="K145" s="253" t="s">
        <v>79</v>
      </c>
      <c r="L145" s="253" t="s">
        <v>1454</v>
      </c>
      <c r="M145" s="252">
        <v>2.0</v>
      </c>
      <c r="N145" s="258">
        <v>0.0</v>
      </c>
      <c r="O145" s="259">
        <v>169.22</v>
      </c>
      <c r="P145" s="259">
        <v>135.376</v>
      </c>
      <c r="Q145" s="262">
        <v>0.0</v>
      </c>
      <c r="R145" s="260">
        <v>135.376</v>
      </c>
      <c r="S145" s="260">
        <v>0.0</v>
      </c>
      <c r="T145" s="260">
        <v>169.22</v>
      </c>
      <c r="U145" s="261" t="s">
        <v>1455</v>
      </c>
      <c r="V145" s="279">
        <v>45310.31392361112</v>
      </c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</row>
    <row r="146">
      <c r="A146" s="305">
        <v>45255.0</v>
      </c>
      <c r="B146" s="264">
        <v>5119615.0</v>
      </c>
      <c r="C146" s="265" t="s">
        <v>82</v>
      </c>
      <c r="D146" s="265" t="s">
        <v>35</v>
      </c>
      <c r="E146" s="265">
        <v>4.282304275E9</v>
      </c>
      <c r="F146" s="265" t="s">
        <v>1676</v>
      </c>
      <c r="G146" s="280">
        <v>45351.0</v>
      </c>
      <c r="H146" s="281">
        <v>45354.0</v>
      </c>
      <c r="I146" s="282">
        <v>4.0</v>
      </c>
      <c r="J146" s="283" t="s">
        <v>78</v>
      </c>
      <c r="K146" s="265" t="s">
        <v>79</v>
      </c>
      <c r="L146" s="265" t="s">
        <v>1414</v>
      </c>
      <c r="M146" s="264">
        <v>2.0</v>
      </c>
      <c r="N146" s="270">
        <v>0.0</v>
      </c>
      <c r="O146" s="271">
        <v>104.3925</v>
      </c>
      <c r="P146" s="271">
        <v>83.51400000000001</v>
      </c>
      <c r="Q146" s="272">
        <v>0.0</v>
      </c>
      <c r="R146" s="273">
        <v>334.05600000000004</v>
      </c>
      <c r="S146" s="273">
        <v>0.0</v>
      </c>
      <c r="T146" s="273">
        <v>417.57</v>
      </c>
      <c r="U146" s="274" t="s">
        <v>1415</v>
      </c>
      <c r="V146" s="286">
        <v>45255.751435185186</v>
      </c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</row>
    <row r="147">
      <c r="A147" s="304">
        <v>45255.0</v>
      </c>
      <c r="B147" s="252">
        <v>5119407.0</v>
      </c>
      <c r="C147" s="253" t="s">
        <v>82</v>
      </c>
      <c r="D147" s="253" t="s">
        <v>35</v>
      </c>
      <c r="E147" s="252">
        <v>4.018539547E9</v>
      </c>
      <c r="F147" s="253" t="s">
        <v>1678</v>
      </c>
      <c r="G147" s="276">
        <v>45406.0</v>
      </c>
      <c r="H147" s="277">
        <v>45413.0</v>
      </c>
      <c r="I147" s="278">
        <v>7.0</v>
      </c>
      <c r="J147" s="257" t="s">
        <v>78</v>
      </c>
      <c r="K147" s="253" t="s">
        <v>79</v>
      </c>
      <c r="L147" s="253" t="s">
        <v>1458</v>
      </c>
      <c r="M147" s="252">
        <v>3.0</v>
      </c>
      <c r="N147" s="258">
        <v>0.0</v>
      </c>
      <c r="O147" s="259">
        <v>137.44</v>
      </c>
      <c r="P147" s="259">
        <v>109.952</v>
      </c>
      <c r="Q147" s="262">
        <v>0.0</v>
      </c>
      <c r="R147" s="260">
        <v>769.6640000000001</v>
      </c>
      <c r="S147" s="260">
        <v>0.0</v>
      </c>
      <c r="T147" s="260">
        <v>962.08</v>
      </c>
      <c r="U147" s="261" t="s">
        <v>1679</v>
      </c>
      <c r="V147" s="279">
        <v>45255.68891203703</v>
      </c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</row>
    <row r="148">
      <c r="A148" s="304">
        <v>45256.0</v>
      </c>
      <c r="B148" s="252">
        <v>5122698.0</v>
      </c>
      <c r="C148" s="253" t="s">
        <v>82</v>
      </c>
      <c r="D148" s="253" t="s">
        <v>35</v>
      </c>
      <c r="E148" s="252">
        <v>4.082732145E9</v>
      </c>
      <c r="F148" s="253" t="s">
        <v>1680</v>
      </c>
      <c r="G148" s="276">
        <v>45304.0</v>
      </c>
      <c r="H148" s="277">
        <v>45307.0</v>
      </c>
      <c r="I148" s="278">
        <v>3.0</v>
      </c>
      <c r="J148" s="257" t="s">
        <v>78</v>
      </c>
      <c r="K148" s="253" t="s">
        <v>79</v>
      </c>
      <c r="L148" s="253" t="s">
        <v>1414</v>
      </c>
      <c r="M148" s="275">
        <v>2.0</v>
      </c>
      <c r="N148" s="258">
        <v>0.0</v>
      </c>
      <c r="O148" s="259">
        <v>148.06</v>
      </c>
      <c r="P148" s="259">
        <v>118.44800000000001</v>
      </c>
      <c r="Q148" s="262">
        <v>0.0</v>
      </c>
      <c r="R148" s="260">
        <v>355.34400000000005</v>
      </c>
      <c r="S148" s="260">
        <v>0.0</v>
      </c>
      <c r="T148" s="260">
        <v>444.18</v>
      </c>
      <c r="U148" s="261" t="s">
        <v>1415</v>
      </c>
      <c r="V148" s="279">
        <v>45256.90075231482</v>
      </c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</row>
    <row r="149">
      <c r="A149" s="304">
        <v>45256.0</v>
      </c>
      <c r="B149" s="252">
        <v>5121780.0</v>
      </c>
      <c r="C149" s="253" t="s">
        <v>82</v>
      </c>
      <c r="D149" s="253" t="s">
        <v>35</v>
      </c>
      <c r="E149" s="252">
        <v>4.182908294E9</v>
      </c>
      <c r="F149" s="253" t="s">
        <v>1682</v>
      </c>
      <c r="G149" s="276">
        <v>45315.0</v>
      </c>
      <c r="H149" s="277">
        <v>45317.0</v>
      </c>
      <c r="I149" s="278">
        <v>2.0</v>
      </c>
      <c r="J149" s="257" t="s">
        <v>78</v>
      </c>
      <c r="K149" s="253" t="s">
        <v>79</v>
      </c>
      <c r="L149" s="253" t="s">
        <v>1396</v>
      </c>
      <c r="M149" s="252">
        <v>3.0</v>
      </c>
      <c r="N149" s="258">
        <v>0.0</v>
      </c>
      <c r="O149" s="259">
        <v>132.11</v>
      </c>
      <c r="P149" s="259">
        <v>105.68800000000002</v>
      </c>
      <c r="Q149" s="262">
        <v>0.0</v>
      </c>
      <c r="R149" s="260">
        <v>211.37600000000003</v>
      </c>
      <c r="S149" s="260">
        <v>0.0</v>
      </c>
      <c r="T149" s="260">
        <v>264.22</v>
      </c>
      <c r="U149" s="261" t="s">
        <v>1398</v>
      </c>
      <c r="V149" s="279">
        <v>45256.65701388889</v>
      </c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</row>
    <row r="150">
      <c r="A150" s="305">
        <v>45256.0</v>
      </c>
      <c r="B150" s="264">
        <v>5122546.0</v>
      </c>
      <c r="C150" s="265" t="s">
        <v>82</v>
      </c>
      <c r="D150" s="265" t="s">
        <v>35</v>
      </c>
      <c r="E150" s="264">
        <v>4.054914422E9</v>
      </c>
      <c r="F150" s="265" t="s">
        <v>1683</v>
      </c>
      <c r="G150" s="280">
        <v>45371.0</v>
      </c>
      <c r="H150" s="281">
        <v>45374.0</v>
      </c>
      <c r="I150" s="282">
        <v>3.0</v>
      </c>
      <c r="J150" s="283" t="s">
        <v>78</v>
      </c>
      <c r="K150" s="265" t="s">
        <v>79</v>
      </c>
      <c r="L150" s="265" t="s">
        <v>1400</v>
      </c>
      <c r="M150" s="269">
        <v>2.0</v>
      </c>
      <c r="N150" s="270">
        <v>0.0</v>
      </c>
      <c r="O150" s="271">
        <v>198.04</v>
      </c>
      <c r="P150" s="271">
        <v>158.43200000000002</v>
      </c>
      <c r="Q150" s="272">
        <v>0.0</v>
      </c>
      <c r="R150" s="273">
        <v>475.29600000000005</v>
      </c>
      <c r="S150" s="273">
        <v>0.0</v>
      </c>
      <c r="T150" s="273">
        <v>594.12</v>
      </c>
      <c r="U150" s="274" t="s">
        <v>1401</v>
      </c>
      <c r="V150" s="284">
        <v>45256.86046296296</v>
      </c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</row>
    <row r="151">
      <c r="A151" s="304">
        <v>45257.0</v>
      </c>
      <c r="B151" s="252">
        <v>5124944.0</v>
      </c>
      <c r="C151" s="253" t="s">
        <v>82</v>
      </c>
      <c r="D151" s="253" t="s">
        <v>35</v>
      </c>
      <c r="E151" s="252">
        <v>4.224617011E9</v>
      </c>
      <c r="F151" s="253" t="s">
        <v>1685</v>
      </c>
      <c r="G151" s="276">
        <v>45323.0</v>
      </c>
      <c r="H151" s="277">
        <v>45326.0</v>
      </c>
      <c r="I151" s="278">
        <v>3.0</v>
      </c>
      <c r="J151" s="257" t="s">
        <v>78</v>
      </c>
      <c r="K151" s="253" t="s">
        <v>79</v>
      </c>
      <c r="L151" s="253" t="s">
        <v>1454</v>
      </c>
      <c r="M151" s="252">
        <v>2.0</v>
      </c>
      <c r="N151" s="258">
        <v>0.0</v>
      </c>
      <c r="O151" s="259">
        <v>189.45000000000002</v>
      </c>
      <c r="P151" s="259">
        <v>151.56000000000003</v>
      </c>
      <c r="Q151" s="257">
        <v>0.0</v>
      </c>
      <c r="R151" s="260">
        <v>454.68000000000006</v>
      </c>
      <c r="S151" s="260">
        <v>0.0</v>
      </c>
      <c r="T151" s="260">
        <v>568.35</v>
      </c>
      <c r="U151" s="261" t="s">
        <v>1455</v>
      </c>
      <c r="V151" s="279">
        <v>45257.758368055554</v>
      </c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</row>
    <row r="152">
      <c r="A152" s="304">
        <v>45257.0</v>
      </c>
      <c r="B152" s="252">
        <v>5125083.0</v>
      </c>
      <c r="C152" s="253" t="s">
        <v>82</v>
      </c>
      <c r="D152" s="253" t="s">
        <v>35</v>
      </c>
      <c r="E152" s="252">
        <v>4.184001693E9</v>
      </c>
      <c r="F152" s="253" t="s">
        <v>1687</v>
      </c>
      <c r="G152" s="276">
        <v>45434.0</v>
      </c>
      <c r="H152" s="277">
        <v>45436.0</v>
      </c>
      <c r="I152" s="278">
        <v>2.0</v>
      </c>
      <c r="J152" s="257" t="s">
        <v>91</v>
      </c>
      <c r="K152" s="253" t="s">
        <v>79</v>
      </c>
      <c r="L152" s="253" t="s">
        <v>1642</v>
      </c>
      <c r="M152" s="275">
        <v>3.0</v>
      </c>
      <c r="N152" s="258">
        <v>0.0</v>
      </c>
      <c r="O152" s="259">
        <v>417.0</v>
      </c>
      <c r="P152" s="259">
        <v>333.6</v>
      </c>
      <c r="Q152" s="262">
        <v>0.0</v>
      </c>
      <c r="R152" s="260">
        <v>667.2</v>
      </c>
      <c r="S152" s="260">
        <v>0.0</v>
      </c>
      <c r="T152" s="260">
        <v>834.0</v>
      </c>
      <c r="U152" s="261" t="s">
        <v>1689</v>
      </c>
      <c r="V152" s="279">
        <v>45257.79657407408</v>
      </c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</row>
    <row r="153">
      <c r="A153" s="304">
        <v>45258.0</v>
      </c>
      <c r="B153" s="252">
        <v>5127341.0</v>
      </c>
      <c r="C153" s="253" t="s">
        <v>82</v>
      </c>
      <c r="D153" s="253" t="s">
        <v>35</v>
      </c>
      <c r="E153" s="252">
        <v>4.201745637E9</v>
      </c>
      <c r="F153" s="253" t="s">
        <v>1690</v>
      </c>
      <c r="G153" s="276">
        <v>45294.0</v>
      </c>
      <c r="H153" s="277">
        <v>45295.0</v>
      </c>
      <c r="I153" s="278">
        <v>1.0</v>
      </c>
      <c r="J153" s="257" t="s">
        <v>111</v>
      </c>
      <c r="K153" s="253" t="s">
        <v>79</v>
      </c>
      <c r="L153" s="253" t="s">
        <v>1443</v>
      </c>
      <c r="M153" s="252">
        <v>2.0</v>
      </c>
      <c r="N153" s="258">
        <v>0.0</v>
      </c>
      <c r="O153" s="259">
        <v>180.03</v>
      </c>
      <c r="P153" s="259">
        <v>144.024</v>
      </c>
      <c r="Q153" s="257">
        <v>0.0</v>
      </c>
      <c r="R153" s="260">
        <v>144.024</v>
      </c>
      <c r="S153" s="260">
        <v>0.0</v>
      </c>
      <c r="T153" s="260">
        <v>180.03</v>
      </c>
      <c r="U153" s="261" t="s">
        <v>1444</v>
      </c>
      <c r="V153" s="279">
        <v>45258.628530092596</v>
      </c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</row>
    <row r="154">
      <c r="A154" s="304">
        <v>45258.0</v>
      </c>
      <c r="B154" s="252">
        <v>5127987.0</v>
      </c>
      <c r="C154" s="253" t="s">
        <v>75</v>
      </c>
      <c r="D154" s="253" t="s">
        <v>35</v>
      </c>
      <c r="E154" s="252">
        <v>4.214287173E9</v>
      </c>
      <c r="F154" s="253" t="s">
        <v>1691</v>
      </c>
      <c r="G154" s="276">
        <v>45340.0</v>
      </c>
      <c r="H154" s="277">
        <v>45344.0</v>
      </c>
      <c r="I154" s="278">
        <v>4.0</v>
      </c>
      <c r="J154" s="257" t="s">
        <v>78</v>
      </c>
      <c r="K154" s="253" t="s">
        <v>79</v>
      </c>
      <c r="L154" s="253" t="s">
        <v>1642</v>
      </c>
      <c r="M154" s="275">
        <v>2.0</v>
      </c>
      <c r="N154" s="258">
        <v>0.0</v>
      </c>
      <c r="O154" s="259">
        <v>222.0</v>
      </c>
      <c r="P154" s="259">
        <v>177.60000000000002</v>
      </c>
      <c r="Q154" s="262">
        <v>0.0</v>
      </c>
      <c r="R154" s="260">
        <v>710.4000000000001</v>
      </c>
      <c r="S154" s="260">
        <v>0.0</v>
      </c>
      <c r="T154" s="260">
        <v>888.0</v>
      </c>
      <c r="U154" s="261" t="s">
        <v>1689</v>
      </c>
      <c r="V154" s="279">
        <v>45258.811875</v>
      </c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</row>
    <row r="155">
      <c r="A155" s="212">
        <v>45258.0</v>
      </c>
      <c r="B155" s="166">
        <v>5126403.0</v>
      </c>
      <c r="C155" s="166" t="s">
        <v>89</v>
      </c>
      <c r="D155" s="166" t="s">
        <v>35</v>
      </c>
      <c r="E155" s="166">
        <v>4.196537293E9</v>
      </c>
      <c r="F155" s="166" t="s">
        <v>1693</v>
      </c>
      <c r="G155" s="210">
        <v>45423.0</v>
      </c>
      <c r="H155" s="287">
        <v>45424.0</v>
      </c>
      <c r="I155" s="168">
        <v>1.0</v>
      </c>
      <c r="J155" s="169" t="s">
        <v>78</v>
      </c>
      <c r="K155" s="166" t="s">
        <v>79</v>
      </c>
      <c r="L155" s="166" t="s">
        <v>1496</v>
      </c>
      <c r="M155" s="166">
        <v>2.0</v>
      </c>
      <c r="N155" s="170">
        <v>0.0</v>
      </c>
      <c r="O155" s="171">
        <v>0.0</v>
      </c>
      <c r="P155" s="171">
        <v>0.0</v>
      </c>
      <c r="Q155" s="172">
        <v>0.0</v>
      </c>
      <c r="R155" s="173">
        <v>0.0</v>
      </c>
      <c r="S155" s="173">
        <v>0.0</v>
      </c>
      <c r="T155" s="173">
        <v>0.0</v>
      </c>
      <c r="U155" s="201" t="s">
        <v>1695</v>
      </c>
      <c r="V155" s="288">
        <v>45258.377118055556</v>
      </c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</row>
    <row r="156">
      <c r="A156" s="304">
        <v>45259.0</v>
      </c>
      <c r="B156" s="252">
        <v>5130333.0</v>
      </c>
      <c r="C156" s="253" t="s">
        <v>82</v>
      </c>
      <c r="D156" s="253" t="s">
        <v>35</v>
      </c>
      <c r="E156" s="252">
        <v>4.154770269E9</v>
      </c>
      <c r="F156" s="253" t="s">
        <v>1696</v>
      </c>
      <c r="G156" s="276">
        <v>45323.0</v>
      </c>
      <c r="H156" s="277">
        <v>45326.0</v>
      </c>
      <c r="I156" s="278">
        <v>3.0</v>
      </c>
      <c r="J156" s="257" t="s">
        <v>78</v>
      </c>
      <c r="K156" s="253" t="s">
        <v>79</v>
      </c>
      <c r="L156" s="253" t="s">
        <v>1411</v>
      </c>
      <c r="M156" s="252">
        <v>2.0</v>
      </c>
      <c r="N156" s="258">
        <v>0.0</v>
      </c>
      <c r="O156" s="259">
        <v>168.20000000000002</v>
      </c>
      <c r="P156" s="259">
        <v>134.56000000000003</v>
      </c>
      <c r="Q156" s="262">
        <v>0.0</v>
      </c>
      <c r="R156" s="260">
        <v>403.68000000000006</v>
      </c>
      <c r="S156" s="260">
        <v>0.0</v>
      </c>
      <c r="T156" s="260">
        <v>504.6</v>
      </c>
      <c r="U156" s="261" t="s">
        <v>1412</v>
      </c>
      <c r="V156" s="279">
        <v>45259.657685185186</v>
      </c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</row>
    <row r="157">
      <c r="A157" s="303">
        <v>45259.0</v>
      </c>
      <c r="B157" s="290">
        <v>5130332.0</v>
      </c>
      <c r="C157" s="291" t="s">
        <v>89</v>
      </c>
      <c r="D157" s="291" t="s">
        <v>35</v>
      </c>
      <c r="E157" s="290">
        <v>4.137768302E9</v>
      </c>
      <c r="F157" s="291" t="s">
        <v>1697</v>
      </c>
      <c r="G157" s="289">
        <v>45352.0</v>
      </c>
      <c r="H157" s="292">
        <v>45359.0</v>
      </c>
      <c r="I157" s="293">
        <v>7.0</v>
      </c>
      <c r="J157" s="294" t="s">
        <v>78</v>
      </c>
      <c r="K157" s="291" t="s">
        <v>79</v>
      </c>
      <c r="L157" s="291" t="s">
        <v>1458</v>
      </c>
      <c r="M157" s="290">
        <v>2.0</v>
      </c>
      <c r="N157" s="295">
        <v>0.0</v>
      </c>
      <c r="O157" s="296">
        <v>0.0</v>
      </c>
      <c r="P157" s="296">
        <v>0.0</v>
      </c>
      <c r="Q157" s="301">
        <v>0.0</v>
      </c>
      <c r="R157" s="297">
        <v>0.0</v>
      </c>
      <c r="S157" s="297">
        <v>0.0</v>
      </c>
      <c r="T157" s="297">
        <v>0.0</v>
      </c>
      <c r="U157" s="298" t="s">
        <v>1698</v>
      </c>
      <c r="V157" s="299">
        <v>45259.65767361112</v>
      </c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</row>
    <row r="158">
      <c r="A158" s="304">
        <v>45259.0</v>
      </c>
      <c r="B158" s="252">
        <v>5130502.0</v>
      </c>
      <c r="C158" s="253" t="s">
        <v>82</v>
      </c>
      <c r="D158" s="253" t="s">
        <v>35</v>
      </c>
      <c r="E158" s="252">
        <v>4.049105042E9</v>
      </c>
      <c r="F158" s="253" t="s">
        <v>1700</v>
      </c>
      <c r="G158" s="276">
        <v>45353.0</v>
      </c>
      <c r="H158" s="277">
        <v>45357.0</v>
      </c>
      <c r="I158" s="278">
        <v>4.0</v>
      </c>
      <c r="J158" s="257" t="s">
        <v>111</v>
      </c>
      <c r="K158" s="253" t="s">
        <v>79</v>
      </c>
      <c r="L158" s="253" t="s">
        <v>1701</v>
      </c>
      <c r="M158" s="275">
        <v>2.0</v>
      </c>
      <c r="N158" s="258">
        <v>0.0</v>
      </c>
      <c r="O158" s="259">
        <v>226.0</v>
      </c>
      <c r="P158" s="259">
        <v>180.8</v>
      </c>
      <c r="Q158" s="262">
        <v>0.0</v>
      </c>
      <c r="R158" s="260">
        <v>723.2</v>
      </c>
      <c r="S158" s="260">
        <v>0.0</v>
      </c>
      <c r="T158" s="260">
        <v>1808.0</v>
      </c>
      <c r="U158" s="261" t="s">
        <v>1703</v>
      </c>
      <c r="V158" s="279">
        <v>45259.70701388889</v>
      </c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</row>
    <row r="159">
      <c r="A159" s="304">
        <v>45259.0</v>
      </c>
      <c r="B159" s="252">
        <v>5130502.0</v>
      </c>
      <c r="C159" s="253" t="s">
        <v>82</v>
      </c>
      <c r="D159" s="253" t="s">
        <v>35</v>
      </c>
      <c r="E159" s="252">
        <v>4.049105042E9</v>
      </c>
      <c r="F159" s="253" t="s">
        <v>1700</v>
      </c>
      <c r="G159" s="276">
        <v>45353.0</v>
      </c>
      <c r="H159" s="277">
        <v>45357.0</v>
      </c>
      <c r="I159" s="278">
        <v>4.0</v>
      </c>
      <c r="J159" s="257" t="s">
        <v>111</v>
      </c>
      <c r="K159" s="253" t="s">
        <v>79</v>
      </c>
      <c r="L159" s="253" t="s">
        <v>1701</v>
      </c>
      <c r="M159" s="252">
        <v>2.0</v>
      </c>
      <c r="N159" s="258">
        <v>0.0</v>
      </c>
      <c r="O159" s="259">
        <v>226.0</v>
      </c>
      <c r="P159" s="259">
        <v>180.8</v>
      </c>
      <c r="Q159" s="257">
        <v>0.0</v>
      </c>
      <c r="R159" s="260">
        <v>723.2</v>
      </c>
      <c r="S159" s="260">
        <v>0.0</v>
      </c>
      <c r="T159" s="260">
        <v>1808.0</v>
      </c>
      <c r="U159" s="261" t="s">
        <v>1703</v>
      </c>
      <c r="V159" s="279">
        <v>45259.70701388889</v>
      </c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</row>
    <row r="160">
      <c r="A160" s="304">
        <v>45259.0</v>
      </c>
      <c r="B160" s="252">
        <v>5130985.0</v>
      </c>
      <c r="C160" s="253" t="s">
        <v>75</v>
      </c>
      <c r="D160" s="253" t="s">
        <v>35</v>
      </c>
      <c r="E160" s="252">
        <v>4.060524843E9</v>
      </c>
      <c r="F160" s="253" t="s">
        <v>1704</v>
      </c>
      <c r="G160" s="276">
        <v>45440.0</v>
      </c>
      <c r="H160" s="277">
        <v>45445.0</v>
      </c>
      <c r="I160" s="278">
        <v>5.0</v>
      </c>
      <c r="J160" s="257" t="s">
        <v>78</v>
      </c>
      <c r="K160" s="253" t="s">
        <v>79</v>
      </c>
      <c r="L160" s="253" t="s">
        <v>1396</v>
      </c>
      <c r="M160" s="252">
        <v>2.0</v>
      </c>
      <c r="N160" s="258">
        <v>0.0</v>
      </c>
      <c r="O160" s="259">
        <v>131.096</v>
      </c>
      <c r="P160" s="259">
        <v>104.8768</v>
      </c>
      <c r="Q160" s="262">
        <v>0.0</v>
      </c>
      <c r="R160" s="260">
        <v>524.384</v>
      </c>
      <c r="S160" s="260">
        <v>0.0</v>
      </c>
      <c r="T160" s="260">
        <v>655.48</v>
      </c>
      <c r="U160" s="261" t="s">
        <v>1398</v>
      </c>
      <c r="V160" s="279">
        <v>45425.756990740745</v>
      </c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</row>
    <row r="161">
      <c r="A161" s="305">
        <v>45260.0</v>
      </c>
      <c r="B161" s="264">
        <v>5133819.0</v>
      </c>
      <c r="C161" s="265" t="s">
        <v>82</v>
      </c>
      <c r="D161" s="265" t="s">
        <v>35</v>
      </c>
      <c r="E161" s="264">
        <v>4.058265159E9</v>
      </c>
      <c r="F161" s="265" t="s">
        <v>1705</v>
      </c>
      <c r="G161" s="280">
        <v>45373.0</v>
      </c>
      <c r="H161" s="281">
        <v>45375.0</v>
      </c>
      <c r="I161" s="282">
        <v>2.0</v>
      </c>
      <c r="J161" s="283" t="s">
        <v>91</v>
      </c>
      <c r="K161" s="265" t="s">
        <v>79</v>
      </c>
      <c r="L161" s="265" t="s">
        <v>1511</v>
      </c>
      <c r="M161" s="264">
        <v>2.0</v>
      </c>
      <c r="N161" s="270">
        <v>0.0</v>
      </c>
      <c r="O161" s="271">
        <v>402.8</v>
      </c>
      <c r="P161" s="271">
        <v>322.24</v>
      </c>
      <c r="Q161" s="283">
        <v>0.0</v>
      </c>
      <c r="R161" s="273">
        <v>644.48</v>
      </c>
      <c r="S161" s="273">
        <v>0.0</v>
      </c>
      <c r="T161" s="273">
        <v>805.6</v>
      </c>
      <c r="U161" s="274" t="s">
        <v>1512</v>
      </c>
      <c r="V161" s="286">
        <v>45260.885462962964</v>
      </c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</row>
    <row r="162">
      <c r="A162" s="304">
        <v>45260.0</v>
      </c>
      <c r="B162" s="252">
        <v>5132373.0</v>
      </c>
      <c r="C162" s="253" t="s">
        <v>75</v>
      </c>
      <c r="D162" s="253" t="s">
        <v>35</v>
      </c>
      <c r="E162" s="252">
        <v>4.169972649E9</v>
      </c>
      <c r="F162" s="253" t="s">
        <v>1706</v>
      </c>
      <c r="G162" s="276">
        <v>45418.0</v>
      </c>
      <c r="H162" s="277">
        <v>45422.0</v>
      </c>
      <c r="I162" s="278">
        <v>4.0</v>
      </c>
      <c r="J162" s="257" t="s">
        <v>78</v>
      </c>
      <c r="K162" s="253" t="s">
        <v>1492</v>
      </c>
      <c r="L162" s="253" t="s">
        <v>1493</v>
      </c>
      <c r="M162" s="252">
        <v>2.0</v>
      </c>
      <c r="N162" s="258">
        <v>0.0</v>
      </c>
      <c r="O162" s="259">
        <v>154.2</v>
      </c>
      <c r="P162" s="259">
        <v>123.36</v>
      </c>
      <c r="Q162" s="262">
        <v>70.0</v>
      </c>
      <c r="R162" s="260">
        <v>493.44</v>
      </c>
      <c r="S162" s="260">
        <v>280.0</v>
      </c>
      <c r="T162" s="260">
        <v>1850.4</v>
      </c>
      <c r="U162" s="261" t="s">
        <v>1494</v>
      </c>
      <c r="V162" s="279">
        <v>45310.52364583334</v>
      </c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</row>
    <row r="163">
      <c r="A163" s="305">
        <v>45260.0</v>
      </c>
      <c r="B163" s="264">
        <v>5132373.0</v>
      </c>
      <c r="C163" s="265" t="s">
        <v>75</v>
      </c>
      <c r="D163" s="265" t="s">
        <v>35</v>
      </c>
      <c r="E163" s="265">
        <v>4.169972649E9</v>
      </c>
      <c r="F163" s="265" t="s">
        <v>1706</v>
      </c>
      <c r="G163" s="280">
        <v>45418.0</v>
      </c>
      <c r="H163" s="281">
        <v>45422.0</v>
      </c>
      <c r="I163" s="282">
        <v>4.0</v>
      </c>
      <c r="J163" s="283" t="s">
        <v>78</v>
      </c>
      <c r="K163" s="265" t="s">
        <v>1492</v>
      </c>
      <c r="L163" s="265" t="s">
        <v>1493</v>
      </c>
      <c r="M163" s="264">
        <v>2.0</v>
      </c>
      <c r="N163" s="270">
        <v>0.0</v>
      </c>
      <c r="O163" s="271">
        <v>154.2</v>
      </c>
      <c r="P163" s="271">
        <v>123.36</v>
      </c>
      <c r="Q163" s="272">
        <v>70.0</v>
      </c>
      <c r="R163" s="273">
        <v>493.44</v>
      </c>
      <c r="S163" s="273">
        <v>280.0</v>
      </c>
      <c r="T163" s="273">
        <v>1850.4</v>
      </c>
      <c r="U163" s="274" t="s">
        <v>1494</v>
      </c>
      <c r="V163" s="286">
        <v>45310.52364583334</v>
      </c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</row>
    <row r="164">
      <c r="A164" s="305">
        <v>45260.0</v>
      </c>
      <c r="B164" s="264">
        <v>5132373.0</v>
      </c>
      <c r="C164" s="265" t="s">
        <v>75</v>
      </c>
      <c r="D164" s="265" t="s">
        <v>35</v>
      </c>
      <c r="E164" s="265">
        <v>4.169972649E9</v>
      </c>
      <c r="F164" s="265" t="s">
        <v>1706</v>
      </c>
      <c r="G164" s="280">
        <v>45418.0</v>
      </c>
      <c r="H164" s="281">
        <v>45422.0</v>
      </c>
      <c r="I164" s="282">
        <v>4.0</v>
      </c>
      <c r="J164" s="283" t="s">
        <v>78</v>
      </c>
      <c r="K164" s="265" t="s">
        <v>1492</v>
      </c>
      <c r="L164" s="265" t="s">
        <v>1493</v>
      </c>
      <c r="M164" s="269">
        <v>1.0</v>
      </c>
      <c r="N164" s="270">
        <v>0.0</v>
      </c>
      <c r="O164" s="271">
        <v>154.2</v>
      </c>
      <c r="P164" s="271">
        <v>123.36</v>
      </c>
      <c r="Q164" s="272">
        <v>35.0</v>
      </c>
      <c r="R164" s="273">
        <v>493.44</v>
      </c>
      <c r="S164" s="273">
        <v>140.0</v>
      </c>
      <c r="T164" s="273">
        <v>1850.4</v>
      </c>
      <c r="U164" s="274" t="s">
        <v>1494</v>
      </c>
      <c r="V164" s="286">
        <v>45310.52364583334</v>
      </c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</row>
    <row r="165">
      <c r="A165" s="276">
        <v>45262.0</v>
      </c>
      <c r="B165" s="252">
        <v>5139241.0</v>
      </c>
      <c r="C165" s="253" t="s">
        <v>82</v>
      </c>
      <c r="D165" s="253" t="s">
        <v>35</v>
      </c>
      <c r="E165" s="252">
        <v>4.148690395E9</v>
      </c>
      <c r="F165" s="253" t="s">
        <v>1709</v>
      </c>
      <c r="G165" s="276">
        <v>45304.0</v>
      </c>
      <c r="H165" s="277">
        <v>45307.0</v>
      </c>
      <c r="I165" s="278">
        <v>3.0</v>
      </c>
      <c r="J165" s="257" t="s">
        <v>78</v>
      </c>
      <c r="K165" s="253" t="s">
        <v>79</v>
      </c>
      <c r="L165" s="253" t="s">
        <v>1396</v>
      </c>
      <c r="M165" s="252">
        <v>2.0</v>
      </c>
      <c r="N165" s="258">
        <v>0.0</v>
      </c>
      <c r="O165" s="259">
        <v>176.47</v>
      </c>
      <c r="P165" s="259">
        <v>141.17600000000002</v>
      </c>
      <c r="Q165" s="262">
        <v>0.0</v>
      </c>
      <c r="R165" s="260">
        <v>423.528</v>
      </c>
      <c r="S165" s="260">
        <v>0.0</v>
      </c>
      <c r="T165" s="260">
        <v>529.41</v>
      </c>
      <c r="U165" s="261" t="s">
        <v>1398</v>
      </c>
      <c r="V165" s="279">
        <v>45262.86670138889</v>
      </c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</row>
    <row r="166">
      <c r="A166" s="276">
        <v>45263.0</v>
      </c>
      <c r="B166" s="252">
        <v>5141523.0</v>
      </c>
      <c r="C166" s="253" t="s">
        <v>75</v>
      </c>
      <c r="D166" s="253" t="s">
        <v>35</v>
      </c>
      <c r="E166" s="252">
        <v>4.149966265E9</v>
      </c>
      <c r="F166" s="253" t="s">
        <v>1711</v>
      </c>
      <c r="G166" s="276">
        <v>45301.0</v>
      </c>
      <c r="H166" s="277">
        <v>45308.0</v>
      </c>
      <c r="I166" s="278">
        <v>7.0</v>
      </c>
      <c r="J166" s="257" t="s">
        <v>78</v>
      </c>
      <c r="K166" s="253" t="s">
        <v>79</v>
      </c>
      <c r="L166" s="253" t="s">
        <v>1476</v>
      </c>
      <c r="M166" s="252">
        <v>2.0</v>
      </c>
      <c r="N166" s="258">
        <v>0.0</v>
      </c>
      <c r="O166" s="259">
        <v>156.53</v>
      </c>
      <c r="P166" s="259">
        <v>125.224</v>
      </c>
      <c r="Q166" s="262">
        <v>0.0</v>
      </c>
      <c r="R166" s="260">
        <v>876.5680000000001</v>
      </c>
      <c r="S166" s="260">
        <v>0.0</v>
      </c>
      <c r="T166" s="260">
        <v>1095.71</v>
      </c>
      <c r="U166" s="261" t="s">
        <v>1477</v>
      </c>
      <c r="V166" s="279">
        <v>45297.017418981486</v>
      </c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</row>
    <row r="167">
      <c r="A167" s="276">
        <v>45263.0</v>
      </c>
      <c r="B167" s="252">
        <v>5141397.0</v>
      </c>
      <c r="C167" s="253" t="s">
        <v>82</v>
      </c>
      <c r="D167" s="253" t="s">
        <v>35</v>
      </c>
      <c r="E167" s="252">
        <v>4.056097886E9</v>
      </c>
      <c r="F167" s="253" t="s">
        <v>1714</v>
      </c>
      <c r="G167" s="276">
        <v>45313.0</v>
      </c>
      <c r="H167" s="277">
        <v>45315.0</v>
      </c>
      <c r="I167" s="278">
        <v>2.0</v>
      </c>
      <c r="J167" s="257" t="s">
        <v>114</v>
      </c>
      <c r="K167" s="253" t="s">
        <v>79</v>
      </c>
      <c r="L167" s="253" t="s">
        <v>1396</v>
      </c>
      <c r="M167" s="252">
        <v>2.0</v>
      </c>
      <c r="N167" s="258">
        <v>0.0</v>
      </c>
      <c r="O167" s="259">
        <v>155.66</v>
      </c>
      <c r="P167" s="259">
        <v>124.528</v>
      </c>
      <c r="Q167" s="262">
        <v>0.0</v>
      </c>
      <c r="R167" s="260">
        <v>249.056</v>
      </c>
      <c r="S167" s="260">
        <v>0.0</v>
      </c>
      <c r="T167" s="260">
        <v>311.32</v>
      </c>
      <c r="U167" s="261" t="s">
        <v>1398</v>
      </c>
      <c r="V167" s="279">
        <v>45263.786145833335</v>
      </c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</row>
    <row r="168">
      <c r="A168" s="276">
        <v>45263.0</v>
      </c>
      <c r="B168" s="252">
        <v>5140210.0</v>
      </c>
      <c r="C168" s="253" t="s">
        <v>82</v>
      </c>
      <c r="D168" s="253" t="s">
        <v>35</v>
      </c>
      <c r="E168" s="252">
        <v>4.009630619E9</v>
      </c>
      <c r="F168" s="253" t="s">
        <v>1716</v>
      </c>
      <c r="G168" s="276">
        <v>45313.0</v>
      </c>
      <c r="H168" s="277">
        <v>45315.0</v>
      </c>
      <c r="I168" s="278">
        <v>2.0</v>
      </c>
      <c r="J168" s="257" t="s">
        <v>111</v>
      </c>
      <c r="K168" s="253" t="s">
        <v>79</v>
      </c>
      <c r="L168" s="253" t="s">
        <v>1396</v>
      </c>
      <c r="M168" s="252">
        <v>2.0</v>
      </c>
      <c r="N168" s="258">
        <v>0.0</v>
      </c>
      <c r="O168" s="259">
        <v>163.66</v>
      </c>
      <c r="P168" s="259">
        <v>130.928</v>
      </c>
      <c r="Q168" s="262">
        <v>0.0</v>
      </c>
      <c r="R168" s="260">
        <v>261.856</v>
      </c>
      <c r="S168" s="260">
        <v>0.0</v>
      </c>
      <c r="T168" s="260">
        <v>327.32</v>
      </c>
      <c r="U168" s="261" t="s">
        <v>1398</v>
      </c>
      <c r="V168" s="279">
        <v>45263.443148148144</v>
      </c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</row>
    <row r="169">
      <c r="A169" s="289">
        <v>45263.0</v>
      </c>
      <c r="B169" s="290">
        <v>5141969.0</v>
      </c>
      <c r="C169" s="291" t="s">
        <v>82</v>
      </c>
      <c r="D169" s="291" t="s">
        <v>35</v>
      </c>
      <c r="E169" s="290">
        <v>4.047502379E9</v>
      </c>
      <c r="F169" s="291" t="s">
        <v>1718</v>
      </c>
      <c r="G169" s="289">
        <v>45406.0</v>
      </c>
      <c r="H169" s="292">
        <v>45408.0</v>
      </c>
      <c r="I169" s="293">
        <v>2.0</v>
      </c>
      <c r="J169" s="294" t="s">
        <v>87</v>
      </c>
      <c r="K169" s="291" t="s">
        <v>79</v>
      </c>
      <c r="L169" s="291" t="s">
        <v>1496</v>
      </c>
      <c r="M169" s="290">
        <v>2.0</v>
      </c>
      <c r="N169" s="295">
        <v>0.0</v>
      </c>
      <c r="O169" s="296">
        <v>143.67</v>
      </c>
      <c r="P169" s="296">
        <v>114.93599999999999</v>
      </c>
      <c r="Q169" s="301">
        <v>0.0</v>
      </c>
      <c r="R169" s="297">
        <v>229.87199999999999</v>
      </c>
      <c r="S169" s="297">
        <v>0.0</v>
      </c>
      <c r="T169" s="297">
        <v>287.34</v>
      </c>
      <c r="U169" s="298" t="s">
        <v>1497</v>
      </c>
      <c r="V169" s="299">
        <v>45263.950057870374</v>
      </c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</row>
    <row r="170">
      <c r="A170" s="210">
        <v>45264.0</v>
      </c>
      <c r="B170" s="166">
        <v>5143984.0</v>
      </c>
      <c r="C170" s="166" t="s">
        <v>75</v>
      </c>
      <c r="D170" s="166" t="s">
        <v>35</v>
      </c>
      <c r="E170" s="166">
        <v>4.050328788E9</v>
      </c>
      <c r="F170" s="166" t="s">
        <v>1719</v>
      </c>
      <c r="G170" s="210">
        <v>45389.0</v>
      </c>
      <c r="H170" s="287">
        <v>45390.0</v>
      </c>
      <c r="I170" s="168">
        <v>1.0</v>
      </c>
      <c r="J170" s="169" t="s">
        <v>78</v>
      </c>
      <c r="K170" s="166" t="s">
        <v>79</v>
      </c>
      <c r="L170" s="166" t="s">
        <v>1720</v>
      </c>
      <c r="M170" s="205">
        <v>2.0</v>
      </c>
      <c r="N170" s="170">
        <v>0.0</v>
      </c>
      <c r="O170" s="171">
        <v>164.09</v>
      </c>
      <c r="P170" s="171">
        <v>131.27200000000002</v>
      </c>
      <c r="Q170" s="172">
        <v>0.0</v>
      </c>
      <c r="R170" s="173">
        <v>131.27200000000002</v>
      </c>
      <c r="S170" s="173">
        <v>0.0</v>
      </c>
      <c r="T170" s="173">
        <v>469.51</v>
      </c>
      <c r="U170" s="174" t="s">
        <v>1721</v>
      </c>
      <c r="V170" s="288">
        <v>45389.6187962963</v>
      </c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</row>
    <row r="171">
      <c r="A171" s="210">
        <v>45264.0</v>
      </c>
      <c r="B171" s="166">
        <v>5143984.0</v>
      </c>
      <c r="C171" s="166" t="s">
        <v>75</v>
      </c>
      <c r="D171" s="166" t="s">
        <v>35</v>
      </c>
      <c r="E171" s="166">
        <v>4.050328788E9</v>
      </c>
      <c r="F171" s="166" t="s">
        <v>1719</v>
      </c>
      <c r="G171" s="210">
        <v>45389.0</v>
      </c>
      <c r="H171" s="287">
        <v>45390.0</v>
      </c>
      <c r="I171" s="168">
        <v>1.0</v>
      </c>
      <c r="J171" s="169" t="s">
        <v>78</v>
      </c>
      <c r="K171" s="166" t="s">
        <v>79</v>
      </c>
      <c r="L171" s="166" t="s">
        <v>1720</v>
      </c>
      <c r="M171" s="166">
        <v>2.0</v>
      </c>
      <c r="N171" s="170">
        <v>0.0</v>
      </c>
      <c r="O171" s="171">
        <v>164.09</v>
      </c>
      <c r="P171" s="171">
        <v>131.27200000000002</v>
      </c>
      <c r="Q171" s="172">
        <v>0.0</v>
      </c>
      <c r="R171" s="173">
        <v>131.27200000000002</v>
      </c>
      <c r="S171" s="173">
        <v>0.0</v>
      </c>
      <c r="T171" s="173">
        <v>469.51</v>
      </c>
      <c r="U171" s="174" t="s">
        <v>1721</v>
      </c>
      <c r="V171" s="288">
        <v>45389.6187962963</v>
      </c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</row>
    <row r="172">
      <c r="A172" s="276">
        <v>45264.0</v>
      </c>
      <c r="B172" s="252">
        <v>5143984.0</v>
      </c>
      <c r="C172" s="253" t="s">
        <v>89</v>
      </c>
      <c r="D172" s="253" t="s">
        <v>35</v>
      </c>
      <c r="E172" s="252">
        <v>4.050328788E9</v>
      </c>
      <c r="F172" s="253" t="s">
        <v>1719</v>
      </c>
      <c r="G172" s="276">
        <v>45389.0</v>
      </c>
      <c r="H172" s="277">
        <v>45390.0</v>
      </c>
      <c r="I172" s="278">
        <v>1.0</v>
      </c>
      <c r="J172" s="257" t="s">
        <v>87</v>
      </c>
      <c r="K172" s="253" t="s">
        <v>79</v>
      </c>
      <c r="L172" s="253" t="s">
        <v>1720</v>
      </c>
      <c r="M172" s="275">
        <v>2.0</v>
      </c>
      <c r="N172" s="258">
        <v>0.0</v>
      </c>
      <c r="O172" s="259">
        <v>0.0</v>
      </c>
      <c r="P172" s="259">
        <v>0.0</v>
      </c>
      <c r="Q172" s="262">
        <v>0.0</v>
      </c>
      <c r="R172" s="260">
        <v>0.0</v>
      </c>
      <c r="S172" s="260">
        <v>0.0</v>
      </c>
      <c r="T172" s="260">
        <v>0.0</v>
      </c>
      <c r="U172" s="261" t="s">
        <v>1722</v>
      </c>
      <c r="V172" s="279">
        <v>45389.6187962963</v>
      </c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</row>
    <row r="173">
      <c r="A173" s="276">
        <v>45265.0</v>
      </c>
      <c r="B173" s="252">
        <v>5146541.0</v>
      </c>
      <c r="C173" s="253" t="s">
        <v>75</v>
      </c>
      <c r="D173" s="253" t="s">
        <v>35</v>
      </c>
      <c r="E173" s="252">
        <v>4.004138523E9</v>
      </c>
      <c r="F173" s="253" t="s">
        <v>1723</v>
      </c>
      <c r="G173" s="276">
        <v>45298.0</v>
      </c>
      <c r="H173" s="277">
        <v>45302.0</v>
      </c>
      <c r="I173" s="278">
        <v>4.0</v>
      </c>
      <c r="J173" s="257" t="s">
        <v>78</v>
      </c>
      <c r="K173" s="253" t="s">
        <v>79</v>
      </c>
      <c r="L173" s="253" t="s">
        <v>1724</v>
      </c>
      <c r="M173" s="252">
        <v>2.0</v>
      </c>
      <c r="N173" s="258">
        <v>0.0</v>
      </c>
      <c r="O173" s="259">
        <v>138.43</v>
      </c>
      <c r="P173" s="259">
        <v>110.74400000000001</v>
      </c>
      <c r="Q173" s="262">
        <v>0.0</v>
      </c>
      <c r="R173" s="260">
        <v>442.97600000000006</v>
      </c>
      <c r="S173" s="260">
        <v>0.0</v>
      </c>
      <c r="T173" s="273">
        <v>553.72</v>
      </c>
      <c r="U173" s="274" t="s">
        <v>1725</v>
      </c>
      <c r="V173" s="284">
        <v>45294.01809027778</v>
      </c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</row>
    <row r="174">
      <c r="A174" s="210">
        <v>45265.0</v>
      </c>
      <c r="B174" s="166">
        <v>5146903.0</v>
      </c>
      <c r="C174" s="166" t="s">
        <v>82</v>
      </c>
      <c r="D174" s="166" t="s">
        <v>94</v>
      </c>
      <c r="E174" s="166">
        <v>5146903.0</v>
      </c>
      <c r="F174" s="166" t="s">
        <v>1726</v>
      </c>
      <c r="G174" s="210">
        <v>45410.0</v>
      </c>
      <c r="H174" s="287">
        <v>45413.0</v>
      </c>
      <c r="I174" s="168">
        <v>3.0</v>
      </c>
      <c r="J174" s="169" t="s">
        <v>87</v>
      </c>
      <c r="K174" s="166" t="s">
        <v>79</v>
      </c>
      <c r="L174" s="166" t="s">
        <v>1462</v>
      </c>
      <c r="M174" s="166">
        <v>2.0</v>
      </c>
      <c r="N174" s="170">
        <v>0.0</v>
      </c>
      <c r="O174" s="171">
        <v>126.8</v>
      </c>
      <c r="P174" s="171">
        <v>125.532</v>
      </c>
      <c r="Q174" s="172">
        <v>0.0</v>
      </c>
      <c r="R174" s="173">
        <v>376.59599999999995</v>
      </c>
      <c r="S174" s="173">
        <v>0.0</v>
      </c>
      <c r="T174" s="173">
        <v>760.8</v>
      </c>
      <c r="U174" s="174" t="s">
        <v>1463</v>
      </c>
      <c r="V174" s="288">
        <v>45265.85670138889</v>
      </c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</row>
    <row r="175">
      <c r="A175" s="210">
        <v>45265.0</v>
      </c>
      <c r="B175" s="166">
        <v>5146903.0</v>
      </c>
      <c r="C175" s="166" t="s">
        <v>82</v>
      </c>
      <c r="D175" s="166" t="s">
        <v>94</v>
      </c>
      <c r="E175" s="166">
        <v>5146903.0</v>
      </c>
      <c r="F175" s="166" t="s">
        <v>1726</v>
      </c>
      <c r="G175" s="210">
        <v>45410.0</v>
      </c>
      <c r="H175" s="287">
        <v>45413.0</v>
      </c>
      <c r="I175" s="168">
        <v>3.0</v>
      </c>
      <c r="J175" s="169" t="s">
        <v>87</v>
      </c>
      <c r="K175" s="166" t="s">
        <v>79</v>
      </c>
      <c r="L175" s="166" t="s">
        <v>1462</v>
      </c>
      <c r="M175" s="166">
        <v>2.0</v>
      </c>
      <c r="N175" s="170">
        <v>0.0</v>
      </c>
      <c r="O175" s="171">
        <v>126.8</v>
      </c>
      <c r="P175" s="171">
        <v>125.532</v>
      </c>
      <c r="Q175" s="172">
        <v>0.0</v>
      </c>
      <c r="R175" s="173">
        <v>376.59599999999995</v>
      </c>
      <c r="S175" s="173">
        <v>0.0</v>
      </c>
      <c r="T175" s="173">
        <v>760.8</v>
      </c>
      <c r="U175" s="174" t="s">
        <v>1463</v>
      </c>
      <c r="V175" s="288">
        <v>45265.85670138889</v>
      </c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</row>
    <row r="176">
      <c r="A176" s="276">
        <v>45266.0</v>
      </c>
      <c r="B176" s="252">
        <v>5148663.0</v>
      </c>
      <c r="C176" s="253" t="s">
        <v>82</v>
      </c>
      <c r="D176" s="253" t="s">
        <v>35</v>
      </c>
      <c r="E176" s="252">
        <v>4.068731375E9</v>
      </c>
      <c r="F176" s="253" t="s">
        <v>1729</v>
      </c>
      <c r="G176" s="276">
        <v>45341.0</v>
      </c>
      <c r="H176" s="277">
        <v>45344.0</v>
      </c>
      <c r="I176" s="278">
        <v>3.0</v>
      </c>
      <c r="J176" s="257" t="s">
        <v>78</v>
      </c>
      <c r="K176" s="253" t="s">
        <v>79</v>
      </c>
      <c r="L176" s="253" t="s">
        <v>1414</v>
      </c>
      <c r="M176" s="252">
        <v>2.0</v>
      </c>
      <c r="N176" s="258">
        <v>0.0</v>
      </c>
      <c r="O176" s="259">
        <v>131.29</v>
      </c>
      <c r="P176" s="259">
        <v>105.032</v>
      </c>
      <c r="Q176" s="262">
        <v>0.0</v>
      </c>
      <c r="R176" s="260">
        <v>315.096</v>
      </c>
      <c r="S176" s="260">
        <v>0.0</v>
      </c>
      <c r="T176" s="260">
        <v>393.87</v>
      </c>
      <c r="U176" s="261" t="s">
        <v>1415</v>
      </c>
      <c r="V176" s="279">
        <v>45266.62296296297</v>
      </c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</row>
    <row r="177">
      <c r="A177" s="280">
        <v>45266.0</v>
      </c>
      <c r="B177" s="264">
        <v>5148087.0</v>
      </c>
      <c r="C177" s="265" t="s">
        <v>82</v>
      </c>
      <c r="D177" s="265" t="s">
        <v>35</v>
      </c>
      <c r="E177" s="264">
        <v>4.287434341E9</v>
      </c>
      <c r="F177" s="265" t="s">
        <v>1730</v>
      </c>
      <c r="G177" s="280">
        <v>45383.0</v>
      </c>
      <c r="H177" s="281">
        <v>45386.0</v>
      </c>
      <c r="I177" s="282">
        <v>3.0</v>
      </c>
      <c r="J177" s="283" t="s">
        <v>87</v>
      </c>
      <c r="K177" s="265" t="s">
        <v>79</v>
      </c>
      <c r="L177" s="265" t="s">
        <v>1496</v>
      </c>
      <c r="M177" s="269">
        <v>2.0</v>
      </c>
      <c r="N177" s="270">
        <v>0.0</v>
      </c>
      <c r="O177" s="271">
        <v>157.99</v>
      </c>
      <c r="P177" s="271">
        <v>126.39200000000001</v>
      </c>
      <c r="Q177" s="272">
        <v>0.0</v>
      </c>
      <c r="R177" s="273">
        <v>379.17600000000004</v>
      </c>
      <c r="S177" s="273">
        <v>0.0</v>
      </c>
      <c r="T177" s="273">
        <v>473.97</v>
      </c>
      <c r="U177" s="274" t="s">
        <v>1497</v>
      </c>
      <c r="V177" s="286">
        <v>45266.45978009259</v>
      </c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</row>
    <row r="178">
      <c r="A178" s="210">
        <v>45266.0</v>
      </c>
      <c r="B178" s="166">
        <v>5148543.0</v>
      </c>
      <c r="C178" s="166" t="s">
        <v>82</v>
      </c>
      <c r="D178" s="166" t="s">
        <v>35</v>
      </c>
      <c r="E178" s="166">
        <v>4.164688369E9</v>
      </c>
      <c r="F178" s="166" t="s">
        <v>1731</v>
      </c>
      <c r="G178" s="210">
        <v>45429.0</v>
      </c>
      <c r="H178" s="287">
        <v>45433.0</v>
      </c>
      <c r="I178" s="168">
        <v>4.0</v>
      </c>
      <c r="J178" s="169" t="s">
        <v>87</v>
      </c>
      <c r="K178" s="166" t="s">
        <v>79</v>
      </c>
      <c r="L178" s="166" t="s">
        <v>1407</v>
      </c>
      <c r="M178" s="166">
        <v>2.0</v>
      </c>
      <c r="N178" s="170">
        <v>0.0</v>
      </c>
      <c r="O178" s="171">
        <v>129.77</v>
      </c>
      <c r="P178" s="171">
        <v>103.81600000000002</v>
      </c>
      <c r="Q178" s="172">
        <v>0.0</v>
      </c>
      <c r="R178" s="173">
        <v>415.26400000000007</v>
      </c>
      <c r="S178" s="173">
        <v>0.0</v>
      </c>
      <c r="T178" s="173">
        <v>2927.24</v>
      </c>
      <c r="U178" s="174" t="s">
        <v>1408</v>
      </c>
      <c r="V178" s="288">
        <v>45266.59101851852</v>
      </c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</row>
    <row r="179">
      <c r="A179" s="276">
        <v>45266.0</v>
      </c>
      <c r="B179" s="252">
        <v>5148543.0</v>
      </c>
      <c r="C179" s="253" t="s">
        <v>82</v>
      </c>
      <c r="D179" s="253" t="s">
        <v>35</v>
      </c>
      <c r="E179" s="252">
        <v>4.164688369E9</v>
      </c>
      <c r="F179" s="253" t="s">
        <v>1731</v>
      </c>
      <c r="G179" s="276">
        <v>45429.0</v>
      </c>
      <c r="H179" s="277">
        <v>45433.0</v>
      </c>
      <c r="I179" s="278">
        <v>4.0</v>
      </c>
      <c r="J179" s="257" t="s">
        <v>78</v>
      </c>
      <c r="K179" s="253" t="s">
        <v>79</v>
      </c>
      <c r="L179" s="253" t="s">
        <v>1476</v>
      </c>
      <c r="M179" s="252">
        <v>2.0</v>
      </c>
      <c r="N179" s="258">
        <v>0.0</v>
      </c>
      <c r="O179" s="259">
        <v>150.51</v>
      </c>
      <c r="P179" s="259">
        <v>120.408</v>
      </c>
      <c r="Q179" s="262">
        <v>0.0</v>
      </c>
      <c r="R179" s="260">
        <v>481.632</v>
      </c>
      <c r="S179" s="260">
        <v>0.0</v>
      </c>
      <c r="T179" s="260">
        <v>2927.24</v>
      </c>
      <c r="U179" s="261" t="s">
        <v>1477</v>
      </c>
      <c r="V179" s="279">
        <v>45266.59101851852</v>
      </c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</row>
    <row r="180">
      <c r="A180" s="210">
        <v>45266.0</v>
      </c>
      <c r="B180" s="166">
        <v>5148543.0</v>
      </c>
      <c r="C180" s="166" t="s">
        <v>82</v>
      </c>
      <c r="D180" s="166" t="s">
        <v>35</v>
      </c>
      <c r="E180" s="166">
        <v>4.164688369E9</v>
      </c>
      <c r="F180" s="166" t="s">
        <v>1731</v>
      </c>
      <c r="G180" s="210">
        <v>45429.0</v>
      </c>
      <c r="H180" s="287">
        <v>45433.0</v>
      </c>
      <c r="I180" s="168">
        <v>4.0</v>
      </c>
      <c r="J180" s="169" t="s">
        <v>78</v>
      </c>
      <c r="K180" s="166" t="s">
        <v>79</v>
      </c>
      <c r="L180" s="166" t="s">
        <v>1476</v>
      </c>
      <c r="M180" s="166">
        <v>2.0</v>
      </c>
      <c r="N180" s="170">
        <v>0.0</v>
      </c>
      <c r="O180" s="171">
        <v>150.51</v>
      </c>
      <c r="P180" s="171">
        <v>120.408</v>
      </c>
      <c r="Q180" s="172">
        <v>0.0</v>
      </c>
      <c r="R180" s="173">
        <v>481.632</v>
      </c>
      <c r="S180" s="173">
        <v>0.0</v>
      </c>
      <c r="T180" s="173">
        <v>2927.24</v>
      </c>
      <c r="U180" s="201" t="s">
        <v>1477</v>
      </c>
      <c r="V180" s="288">
        <v>45266.59101851852</v>
      </c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</row>
    <row r="181">
      <c r="A181" s="210">
        <v>45266.0</v>
      </c>
      <c r="B181" s="166">
        <v>5148543.0</v>
      </c>
      <c r="C181" s="166" t="s">
        <v>82</v>
      </c>
      <c r="D181" s="166" t="s">
        <v>35</v>
      </c>
      <c r="E181" s="166">
        <v>4.164688369E9</v>
      </c>
      <c r="F181" s="166" t="s">
        <v>1731</v>
      </c>
      <c r="G181" s="210">
        <v>45429.0</v>
      </c>
      <c r="H181" s="287">
        <v>45433.0</v>
      </c>
      <c r="I181" s="168">
        <v>4.0</v>
      </c>
      <c r="J181" s="169" t="s">
        <v>78</v>
      </c>
      <c r="K181" s="166" t="s">
        <v>79</v>
      </c>
      <c r="L181" s="166" t="s">
        <v>1476</v>
      </c>
      <c r="M181" s="166">
        <v>2.0</v>
      </c>
      <c r="N181" s="170">
        <v>0.0</v>
      </c>
      <c r="O181" s="171">
        <v>150.51</v>
      </c>
      <c r="P181" s="171">
        <v>120.408</v>
      </c>
      <c r="Q181" s="172">
        <v>0.0</v>
      </c>
      <c r="R181" s="173">
        <v>481.632</v>
      </c>
      <c r="S181" s="173">
        <v>0.0</v>
      </c>
      <c r="T181" s="173">
        <v>2927.24</v>
      </c>
      <c r="U181" s="201" t="s">
        <v>1477</v>
      </c>
      <c r="V181" s="288">
        <v>45266.59101851852</v>
      </c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</row>
    <row r="182">
      <c r="A182" s="276">
        <v>45266.0</v>
      </c>
      <c r="B182" s="252">
        <v>5148543.0</v>
      </c>
      <c r="C182" s="253" t="s">
        <v>82</v>
      </c>
      <c r="D182" s="253" t="s">
        <v>35</v>
      </c>
      <c r="E182" s="252">
        <v>4.164688369E9</v>
      </c>
      <c r="F182" s="253" t="s">
        <v>1731</v>
      </c>
      <c r="G182" s="276">
        <v>45429.0</v>
      </c>
      <c r="H182" s="277">
        <v>45433.0</v>
      </c>
      <c r="I182" s="278">
        <v>4.0</v>
      </c>
      <c r="J182" s="257" t="s">
        <v>78</v>
      </c>
      <c r="K182" s="253" t="s">
        <v>79</v>
      </c>
      <c r="L182" s="253" t="s">
        <v>1476</v>
      </c>
      <c r="M182" s="252">
        <v>1.0</v>
      </c>
      <c r="N182" s="258">
        <v>0.0</v>
      </c>
      <c r="O182" s="259">
        <v>150.51</v>
      </c>
      <c r="P182" s="259">
        <v>120.408</v>
      </c>
      <c r="Q182" s="262">
        <v>0.0</v>
      </c>
      <c r="R182" s="260">
        <v>481.632</v>
      </c>
      <c r="S182" s="260">
        <v>0.0</v>
      </c>
      <c r="T182" s="260">
        <v>2927.24</v>
      </c>
      <c r="U182" s="261" t="s">
        <v>1477</v>
      </c>
      <c r="V182" s="279">
        <v>45266.59101851852</v>
      </c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</row>
    <row r="183">
      <c r="A183" s="276">
        <v>45267.0</v>
      </c>
      <c r="B183" s="252">
        <v>5151657.0</v>
      </c>
      <c r="C183" s="253" t="s">
        <v>82</v>
      </c>
      <c r="D183" s="253" t="s">
        <v>35</v>
      </c>
      <c r="E183" s="252">
        <v>4.260225024E9</v>
      </c>
      <c r="F183" s="253" t="s">
        <v>1732</v>
      </c>
      <c r="G183" s="276">
        <v>45304.0</v>
      </c>
      <c r="H183" s="277">
        <v>45306.0</v>
      </c>
      <c r="I183" s="278">
        <v>2.0</v>
      </c>
      <c r="J183" s="257" t="s">
        <v>78</v>
      </c>
      <c r="K183" s="253" t="s">
        <v>79</v>
      </c>
      <c r="L183" s="253" t="s">
        <v>1443</v>
      </c>
      <c r="M183" s="252">
        <v>2.0</v>
      </c>
      <c r="N183" s="258">
        <v>0.0</v>
      </c>
      <c r="O183" s="259">
        <v>116.1</v>
      </c>
      <c r="P183" s="259">
        <v>92.88</v>
      </c>
      <c r="Q183" s="262">
        <v>0.0</v>
      </c>
      <c r="R183" s="260">
        <v>185.76</v>
      </c>
      <c r="S183" s="260">
        <v>0.0</v>
      </c>
      <c r="T183" s="273">
        <v>232.2</v>
      </c>
      <c r="U183" s="274" t="s">
        <v>1444</v>
      </c>
      <c r="V183" s="284">
        <v>45267.709756944445</v>
      </c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</row>
    <row r="184">
      <c r="A184" s="276">
        <v>45267.0</v>
      </c>
      <c r="B184" s="252">
        <v>5150869.0</v>
      </c>
      <c r="C184" s="253" t="s">
        <v>75</v>
      </c>
      <c r="D184" s="253" t="s">
        <v>35</v>
      </c>
      <c r="E184" s="252">
        <v>4.100908861E9</v>
      </c>
      <c r="F184" s="253" t="s">
        <v>1734</v>
      </c>
      <c r="G184" s="276">
        <v>45350.0</v>
      </c>
      <c r="H184" s="277">
        <v>45352.0</v>
      </c>
      <c r="I184" s="278">
        <v>2.0</v>
      </c>
      <c r="J184" s="257" t="s">
        <v>78</v>
      </c>
      <c r="K184" s="253" t="s">
        <v>79</v>
      </c>
      <c r="L184" s="253" t="s">
        <v>1724</v>
      </c>
      <c r="M184" s="252">
        <v>2.0</v>
      </c>
      <c r="N184" s="258">
        <v>0.0</v>
      </c>
      <c r="O184" s="259">
        <v>144.31</v>
      </c>
      <c r="P184" s="259">
        <v>115.44800000000001</v>
      </c>
      <c r="Q184" s="257">
        <v>0.0</v>
      </c>
      <c r="R184" s="260">
        <v>230.89600000000002</v>
      </c>
      <c r="S184" s="260">
        <v>0.0</v>
      </c>
      <c r="T184" s="260">
        <v>288.62</v>
      </c>
      <c r="U184" s="261" t="s">
        <v>1725</v>
      </c>
      <c r="V184" s="279">
        <v>45331.63407407407</v>
      </c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</row>
    <row r="185">
      <c r="A185" s="276">
        <v>45268.0</v>
      </c>
      <c r="B185" s="252">
        <v>5154265.0</v>
      </c>
      <c r="C185" s="253" t="s">
        <v>75</v>
      </c>
      <c r="D185" s="253" t="s">
        <v>35</v>
      </c>
      <c r="E185" s="252">
        <v>4.037823183E9</v>
      </c>
      <c r="F185" s="253" t="s">
        <v>1735</v>
      </c>
      <c r="G185" s="276">
        <v>45294.0</v>
      </c>
      <c r="H185" s="277">
        <v>45297.0</v>
      </c>
      <c r="I185" s="278">
        <v>3.0</v>
      </c>
      <c r="J185" s="257" t="s">
        <v>78</v>
      </c>
      <c r="K185" s="253" t="s">
        <v>138</v>
      </c>
      <c r="L185" s="253" t="s">
        <v>1629</v>
      </c>
      <c r="M185" s="252">
        <v>2.0</v>
      </c>
      <c r="N185" s="258">
        <v>0.0</v>
      </c>
      <c r="O185" s="259">
        <v>251.5</v>
      </c>
      <c r="P185" s="259">
        <v>201.20000000000002</v>
      </c>
      <c r="Q185" s="257">
        <v>36.0</v>
      </c>
      <c r="R185" s="260">
        <v>603.6</v>
      </c>
      <c r="S185" s="260">
        <v>108.0</v>
      </c>
      <c r="T185" s="260">
        <v>754.5</v>
      </c>
      <c r="U185" s="261" t="s">
        <v>1630</v>
      </c>
      <c r="V185" s="279">
        <v>45290.01809027778</v>
      </c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</row>
    <row r="186">
      <c r="A186" s="276">
        <v>45268.0</v>
      </c>
      <c r="B186" s="252">
        <v>5154831.0</v>
      </c>
      <c r="C186" s="253" t="s">
        <v>82</v>
      </c>
      <c r="D186" s="253" t="s">
        <v>35</v>
      </c>
      <c r="E186" s="252">
        <v>4.236550057E9</v>
      </c>
      <c r="F186" s="253" t="s">
        <v>1737</v>
      </c>
      <c r="G186" s="276">
        <v>45300.0</v>
      </c>
      <c r="H186" s="277">
        <v>45302.0</v>
      </c>
      <c r="I186" s="278">
        <v>2.0</v>
      </c>
      <c r="J186" s="257" t="s">
        <v>114</v>
      </c>
      <c r="K186" s="253" t="s">
        <v>79</v>
      </c>
      <c r="L186" s="253" t="s">
        <v>1454</v>
      </c>
      <c r="M186" s="275">
        <v>2.0</v>
      </c>
      <c r="N186" s="258">
        <v>0.0</v>
      </c>
      <c r="O186" s="259">
        <v>160.55</v>
      </c>
      <c r="P186" s="259">
        <v>128.44000000000003</v>
      </c>
      <c r="Q186" s="262">
        <v>0.0</v>
      </c>
      <c r="R186" s="260">
        <v>256.88000000000005</v>
      </c>
      <c r="S186" s="260">
        <v>0.0</v>
      </c>
      <c r="T186" s="260">
        <v>321.1</v>
      </c>
      <c r="U186" s="261" t="s">
        <v>1455</v>
      </c>
      <c r="V186" s="279">
        <v>45268.88270833333</v>
      </c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</row>
    <row r="187">
      <c r="A187" s="276">
        <v>45268.0</v>
      </c>
      <c r="B187" s="252">
        <v>5155046.0</v>
      </c>
      <c r="C187" s="253" t="s">
        <v>82</v>
      </c>
      <c r="D187" s="253" t="s">
        <v>35</v>
      </c>
      <c r="E187" s="252">
        <v>4.239734091E9</v>
      </c>
      <c r="F187" s="253" t="s">
        <v>1739</v>
      </c>
      <c r="G187" s="276">
        <v>45302.0</v>
      </c>
      <c r="H187" s="277">
        <v>45303.0</v>
      </c>
      <c r="I187" s="278">
        <v>1.0</v>
      </c>
      <c r="J187" s="257" t="s">
        <v>114</v>
      </c>
      <c r="K187" s="253" t="s">
        <v>79</v>
      </c>
      <c r="L187" s="253" t="s">
        <v>1396</v>
      </c>
      <c r="M187" s="275">
        <v>2.0</v>
      </c>
      <c r="N187" s="258">
        <v>0.0</v>
      </c>
      <c r="O187" s="259">
        <v>129.66</v>
      </c>
      <c r="P187" s="259">
        <v>103.72800000000001</v>
      </c>
      <c r="Q187" s="262">
        <v>0.0</v>
      </c>
      <c r="R187" s="260">
        <v>103.72800000000001</v>
      </c>
      <c r="S187" s="260">
        <v>0.0</v>
      </c>
      <c r="T187" s="260">
        <v>129.66</v>
      </c>
      <c r="U187" s="261" t="s">
        <v>1398</v>
      </c>
      <c r="V187" s="279">
        <v>45268.963229166664</v>
      </c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</row>
    <row r="188">
      <c r="A188" s="276">
        <v>45268.0</v>
      </c>
      <c r="B188" s="252">
        <v>5153225.0</v>
      </c>
      <c r="C188" s="253" t="s">
        <v>82</v>
      </c>
      <c r="D188" s="253" t="s">
        <v>35</v>
      </c>
      <c r="E188" s="252">
        <v>4.263033903E9</v>
      </c>
      <c r="F188" s="253" t="s">
        <v>1740</v>
      </c>
      <c r="G188" s="276">
        <v>45320.0</v>
      </c>
      <c r="H188" s="277">
        <v>45324.0</v>
      </c>
      <c r="I188" s="278">
        <v>4.0</v>
      </c>
      <c r="J188" s="257" t="s">
        <v>87</v>
      </c>
      <c r="K188" s="253" t="s">
        <v>79</v>
      </c>
      <c r="L188" s="253" t="s">
        <v>1724</v>
      </c>
      <c r="M188" s="252">
        <v>2.0</v>
      </c>
      <c r="N188" s="258">
        <v>0.0</v>
      </c>
      <c r="O188" s="259">
        <v>109.23</v>
      </c>
      <c r="P188" s="259">
        <v>87.38400000000001</v>
      </c>
      <c r="Q188" s="257">
        <v>0.0</v>
      </c>
      <c r="R188" s="260">
        <v>349.53600000000006</v>
      </c>
      <c r="S188" s="260">
        <v>0.0</v>
      </c>
      <c r="T188" s="260">
        <v>953.32</v>
      </c>
      <c r="U188" s="261" t="s">
        <v>1725</v>
      </c>
      <c r="V188" s="279">
        <v>45268.43335648148</v>
      </c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</row>
    <row r="189">
      <c r="A189" s="276">
        <v>45268.0</v>
      </c>
      <c r="B189" s="252">
        <v>5153225.0</v>
      </c>
      <c r="C189" s="253" t="s">
        <v>82</v>
      </c>
      <c r="D189" s="253" t="s">
        <v>35</v>
      </c>
      <c r="E189" s="252">
        <v>4.263033903E9</v>
      </c>
      <c r="F189" s="253" t="s">
        <v>1740</v>
      </c>
      <c r="G189" s="276">
        <v>45320.0</v>
      </c>
      <c r="H189" s="277">
        <v>45324.0</v>
      </c>
      <c r="I189" s="278">
        <v>4.0</v>
      </c>
      <c r="J189" s="257" t="s">
        <v>78</v>
      </c>
      <c r="K189" s="253" t="s">
        <v>79</v>
      </c>
      <c r="L189" s="253" t="s">
        <v>1724</v>
      </c>
      <c r="M189" s="275">
        <v>2.0</v>
      </c>
      <c r="N189" s="258">
        <v>0.0</v>
      </c>
      <c r="O189" s="259">
        <v>129.1</v>
      </c>
      <c r="P189" s="259">
        <v>103.28</v>
      </c>
      <c r="Q189" s="262">
        <v>0.0</v>
      </c>
      <c r="R189" s="260">
        <v>413.12</v>
      </c>
      <c r="S189" s="260">
        <v>0.0</v>
      </c>
      <c r="T189" s="260">
        <v>953.32</v>
      </c>
      <c r="U189" s="261" t="s">
        <v>1725</v>
      </c>
      <c r="V189" s="279">
        <v>45268.43335648148</v>
      </c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</row>
    <row r="190">
      <c r="A190" s="289">
        <v>45268.0</v>
      </c>
      <c r="B190" s="290">
        <v>5153135.0</v>
      </c>
      <c r="C190" s="291" t="s">
        <v>82</v>
      </c>
      <c r="D190" s="291" t="s">
        <v>94</v>
      </c>
      <c r="E190" s="290">
        <v>5153135.0</v>
      </c>
      <c r="F190" s="291" t="s">
        <v>1742</v>
      </c>
      <c r="G190" s="289">
        <v>45341.0</v>
      </c>
      <c r="H190" s="292">
        <v>45344.0</v>
      </c>
      <c r="I190" s="293">
        <v>3.0</v>
      </c>
      <c r="J190" s="294" t="s">
        <v>91</v>
      </c>
      <c r="K190" s="291" t="s">
        <v>79</v>
      </c>
      <c r="L190" s="291" t="s">
        <v>1462</v>
      </c>
      <c r="M190" s="290">
        <v>2.0</v>
      </c>
      <c r="N190" s="295">
        <v>0.0</v>
      </c>
      <c r="O190" s="296">
        <v>341.0</v>
      </c>
      <c r="P190" s="296">
        <v>337.59</v>
      </c>
      <c r="Q190" s="301">
        <v>0.0</v>
      </c>
      <c r="R190" s="297">
        <v>1012.77</v>
      </c>
      <c r="S190" s="297">
        <v>0.0</v>
      </c>
      <c r="T190" s="297">
        <v>1023.0</v>
      </c>
      <c r="U190" s="298" t="s">
        <v>1463</v>
      </c>
      <c r="V190" s="299">
        <v>45268.403229166666</v>
      </c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</row>
    <row r="191">
      <c r="A191" s="289">
        <v>45268.0</v>
      </c>
      <c r="B191" s="290">
        <v>5153139.0</v>
      </c>
      <c r="C191" s="291" t="s">
        <v>82</v>
      </c>
      <c r="D191" s="291" t="s">
        <v>94</v>
      </c>
      <c r="E191" s="290">
        <v>5153139.0</v>
      </c>
      <c r="F191" s="291" t="s">
        <v>1742</v>
      </c>
      <c r="G191" s="289">
        <v>45344.0</v>
      </c>
      <c r="H191" s="292">
        <v>45345.0</v>
      </c>
      <c r="I191" s="293">
        <v>1.0</v>
      </c>
      <c r="J191" s="294" t="s">
        <v>114</v>
      </c>
      <c r="K191" s="291" t="s">
        <v>79</v>
      </c>
      <c r="L191" s="291" t="s">
        <v>1462</v>
      </c>
      <c r="M191" s="300">
        <v>2.0</v>
      </c>
      <c r="N191" s="295">
        <v>0.0</v>
      </c>
      <c r="O191" s="296">
        <v>191.0</v>
      </c>
      <c r="P191" s="296">
        <v>189.09</v>
      </c>
      <c r="Q191" s="301">
        <v>0.0</v>
      </c>
      <c r="R191" s="297">
        <v>189.09</v>
      </c>
      <c r="S191" s="297">
        <v>0.0</v>
      </c>
      <c r="T191" s="297">
        <v>191.0</v>
      </c>
      <c r="U191" s="298" t="s">
        <v>1463</v>
      </c>
      <c r="V191" s="299">
        <v>45268.40414351852</v>
      </c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</row>
    <row r="192">
      <c r="A192" s="276">
        <v>45268.0</v>
      </c>
      <c r="B192" s="252">
        <v>5153143.0</v>
      </c>
      <c r="C192" s="253" t="s">
        <v>82</v>
      </c>
      <c r="D192" s="253" t="s">
        <v>94</v>
      </c>
      <c r="E192" s="252">
        <v>5153143.0</v>
      </c>
      <c r="F192" s="253" t="s">
        <v>1742</v>
      </c>
      <c r="G192" s="276">
        <v>45345.0</v>
      </c>
      <c r="H192" s="277">
        <v>45347.0</v>
      </c>
      <c r="I192" s="278">
        <v>2.0</v>
      </c>
      <c r="J192" s="257" t="s">
        <v>114</v>
      </c>
      <c r="K192" s="253" t="s">
        <v>79</v>
      </c>
      <c r="L192" s="253" t="s">
        <v>1462</v>
      </c>
      <c r="M192" s="252">
        <v>2.0</v>
      </c>
      <c r="N192" s="258">
        <v>0.0</v>
      </c>
      <c r="O192" s="259">
        <v>173.0</v>
      </c>
      <c r="P192" s="259">
        <v>171.27</v>
      </c>
      <c r="Q192" s="262">
        <v>0.0</v>
      </c>
      <c r="R192" s="260">
        <v>342.54</v>
      </c>
      <c r="S192" s="260">
        <v>0.0</v>
      </c>
      <c r="T192" s="260">
        <v>346.0</v>
      </c>
      <c r="U192" s="261" t="s">
        <v>1463</v>
      </c>
      <c r="V192" s="279">
        <v>45268.4053125</v>
      </c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</row>
    <row r="193">
      <c r="A193" s="276">
        <v>45268.0</v>
      </c>
      <c r="B193" s="252">
        <v>5153161.0</v>
      </c>
      <c r="C193" s="253" t="s">
        <v>82</v>
      </c>
      <c r="D193" s="253" t="s">
        <v>94</v>
      </c>
      <c r="E193" s="252">
        <v>5153161.0</v>
      </c>
      <c r="F193" s="253" t="s">
        <v>1742</v>
      </c>
      <c r="G193" s="276">
        <v>45347.0</v>
      </c>
      <c r="H193" s="277">
        <v>45350.0</v>
      </c>
      <c r="I193" s="278">
        <v>3.0</v>
      </c>
      <c r="J193" s="257" t="s">
        <v>78</v>
      </c>
      <c r="K193" s="253" t="s">
        <v>79</v>
      </c>
      <c r="L193" s="253" t="s">
        <v>1462</v>
      </c>
      <c r="M193" s="252">
        <v>2.0</v>
      </c>
      <c r="N193" s="258">
        <v>0.0</v>
      </c>
      <c r="O193" s="259">
        <v>155.0</v>
      </c>
      <c r="P193" s="259">
        <v>153.45</v>
      </c>
      <c r="Q193" s="262">
        <v>0.0</v>
      </c>
      <c r="R193" s="260">
        <v>460.35</v>
      </c>
      <c r="S193" s="260">
        <v>0.0</v>
      </c>
      <c r="T193" s="260">
        <v>465.0</v>
      </c>
      <c r="U193" s="261" t="s">
        <v>1463</v>
      </c>
      <c r="V193" s="279">
        <v>45268.41064814814</v>
      </c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</row>
    <row r="194">
      <c r="A194" s="276">
        <v>45269.0</v>
      </c>
      <c r="B194" s="252">
        <v>5156723.0</v>
      </c>
      <c r="C194" s="253" t="s">
        <v>82</v>
      </c>
      <c r="D194" s="253" t="s">
        <v>35</v>
      </c>
      <c r="E194" s="252">
        <v>4.236577227E9</v>
      </c>
      <c r="F194" s="253" t="s">
        <v>1746</v>
      </c>
      <c r="G194" s="276">
        <v>45299.0</v>
      </c>
      <c r="H194" s="277">
        <v>45301.0</v>
      </c>
      <c r="I194" s="278">
        <v>2.0</v>
      </c>
      <c r="J194" s="257" t="s">
        <v>78</v>
      </c>
      <c r="K194" s="253" t="s">
        <v>79</v>
      </c>
      <c r="L194" s="253" t="s">
        <v>1724</v>
      </c>
      <c r="M194" s="252">
        <v>2.0</v>
      </c>
      <c r="N194" s="258">
        <v>0.0</v>
      </c>
      <c r="O194" s="259">
        <v>168.74</v>
      </c>
      <c r="P194" s="259">
        <v>134.99200000000002</v>
      </c>
      <c r="Q194" s="262">
        <v>0.0</v>
      </c>
      <c r="R194" s="260">
        <v>269.98400000000004</v>
      </c>
      <c r="S194" s="260">
        <v>0.0</v>
      </c>
      <c r="T194" s="273">
        <v>337.48</v>
      </c>
      <c r="U194" s="274" t="s">
        <v>1725</v>
      </c>
      <c r="V194" s="284">
        <v>45269.72503472222</v>
      </c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</row>
    <row r="195">
      <c r="A195" s="276">
        <v>45269.0</v>
      </c>
      <c r="B195" s="252">
        <v>5155801.0</v>
      </c>
      <c r="C195" s="253" t="s">
        <v>82</v>
      </c>
      <c r="D195" s="253" t="s">
        <v>35</v>
      </c>
      <c r="E195" s="252">
        <v>4.137100356E9</v>
      </c>
      <c r="F195" s="253" t="s">
        <v>1748</v>
      </c>
      <c r="G195" s="276">
        <v>45353.0</v>
      </c>
      <c r="H195" s="277">
        <v>45360.0</v>
      </c>
      <c r="I195" s="278">
        <v>7.0</v>
      </c>
      <c r="J195" s="257" t="s">
        <v>78</v>
      </c>
      <c r="K195" s="253" t="s">
        <v>79</v>
      </c>
      <c r="L195" s="253" t="s">
        <v>1567</v>
      </c>
      <c r="M195" s="275">
        <v>2.0</v>
      </c>
      <c r="N195" s="258">
        <v>0.0</v>
      </c>
      <c r="O195" s="259">
        <v>137.05</v>
      </c>
      <c r="P195" s="259">
        <v>109.64000000000001</v>
      </c>
      <c r="Q195" s="262">
        <v>0.0</v>
      </c>
      <c r="R195" s="260">
        <v>767.48</v>
      </c>
      <c r="S195" s="260">
        <v>0.0</v>
      </c>
      <c r="T195" s="260">
        <v>959.35</v>
      </c>
      <c r="U195" s="261" t="s">
        <v>1568</v>
      </c>
      <c r="V195" s="279">
        <v>45269.44725694445</v>
      </c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</row>
    <row r="196">
      <c r="A196" s="276">
        <v>45269.0</v>
      </c>
      <c r="B196" s="252">
        <v>5156188.0</v>
      </c>
      <c r="C196" s="253" t="s">
        <v>82</v>
      </c>
      <c r="D196" s="253" t="s">
        <v>35</v>
      </c>
      <c r="E196" s="252">
        <v>4.012849934E9</v>
      </c>
      <c r="F196" s="253" t="s">
        <v>1750</v>
      </c>
      <c r="G196" s="276">
        <v>45407.0</v>
      </c>
      <c r="H196" s="277">
        <v>45411.0</v>
      </c>
      <c r="I196" s="278">
        <v>4.0</v>
      </c>
      <c r="J196" s="257" t="s">
        <v>78</v>
      </c>
      <c r="K196" s="253" t="s">
        <v>79</v>
      </c>
      <c r="L196" s="253" t="s">
        <v>1752</v>
      </c>
      <c r="M196" s="252">
        <v>2.0</v>
      </c>
      <c r="N196" s="258">
        <v>0.0</v>
      </c>
      <c r="O196" s="259">
        <v>170.96</v>
      </c>
      <c r="P196" s="259">
        <v>136.768</v>
      </c>
      <c r="Q196" s="257">
        <v>0.0</v>
      </c>
      <c r="R196" s="260">
        <v>547.072</v>
      </c>
      <c r="S196" s="260">
        <v>0.0</v>
      </c>
      <c r="T196" s="260">
        <v>2051.52</v>
      </c>
      <c r="U196" s="261" t="s">
        <v>1753</v>
      </c>
      <c r="V196" s="279">
        <v>45269.568819444445</v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</row>
    <row r="197">
      <c r="A197" s="210">
        <v>45269.0</v>
      </c>
      <c r="B197" s="166">
        <v>5156188.0</v>
      </c>
      <c r="C197" s="166" t="s">
        <v>82</v>
      </c>
      <c r="D197" s="166" t="s">
        <v>35</v>
      </c>
      <c r="E197" s="166">
        <v>4.012849934E9</v>
      </c>
      <c r="F197" s="166" t="s">
        <v>1750</v>
      </c>
      <c r="G197" s="210">
        <v>45407.0</v>
      </c>
      <c r="H197" s="287">
        <v>45411.0</v>
      </c>
      <c r="I197" s="168">
        <v>4.0</v>
      </c>
      <c r="J197" s="169" t="s">
        <v>78</v>
      </c>
      <c r="K197" s="166" t="s">
        <v>79</v>
      </c>
      <c r="L197" s="166" t="s">
        <v>1752</v>
      </c>
      <c r="M197" s="166">
        <v>2.0</v>
      </c>
      <c r="N197" s="170">
        <v>0.0</v>
      </c>
      <c r="O197" s="171">
        <v>170.96</v>
      </c>
      <c r="P197" s="171">
        <v>136.768</v>
      </c>
      <c r="Q197" s="172">
        <v>0.0</v>
      </c>
      <c r="R197" s="173">
        <v>547.072</v>
      </c>
      <c r="S197" s="173">
        <v>0.0</v>
      </c>
      <c r="T197" s="173">
        <v>2051.52</v>
      </c>
      <c r="U197" s="174" t="s">
        <v>1753</v>
      </c>
      <c r="V197" s="288">
        <v>45269.568819444445</v>
      </c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</row>
    <row r="198">
      <c r="A198" s="210">
        <v>45269.0</v>
      </c>
      <c r="B198" s="166">
        <v>5156188.0</v>
      </c>
      <c r="C198" s="166" t="s">
        <v>82</v>
      </c>
      <c r="D198" s="166" t="s">
        <v>35</v>
      </c>
      <c r="E198" s="166">
        <v>4.012849934E9</v>
      </c>
      <c r="F198" s="166" t="s">
        <v>1750</v>
      </c>
      <c r="G198" s="210">
        <v>45407.0</v>
      </c>
      <c r="H198" s="287">
        <v>45411.0</v>
      </c>
      <c r="I198" s="168">
        <v>4.0</v>
      </c>
      <c r="J198" s="169" t="s">
        <v>78</v>
      </c>
      <c r="K198" s="166" t="s">
        <v>79</v>
      </c>
      <c r="L198" s="166" t="s">
        <v>1752</v>
      </c>
      <c r="M198" s="205">
        <v>1.0</v>
      </c>
      <c r="N198" s="170">
        <v>0.0</v>
      </c>
      <c r="O198" s="171">
        <v>170.96</v>
      </c>
      <c r="P198" s="171">
        <v>136.768</v>
      </c>
      <c r="Q198" s="172">
        <v>0.0</v>
      </c>
      <c r="R198" s="173">
        <v>547.072</v>
      </c>
      <c r="S198" s="173">
        <v>0.0</v>
      </c>
      <c r="T198" s="173">
        <v>2051.52</v>
      </c>
      <c r="U198" s="174" t="s">
        <v>1753</v>
      </c>
      <c r="V198" s="288">
        <v>45269.568819444445</v>
      </c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</row>
    <row r="199">
      <c r="A199" s="304">
        <v>45270.0</v>
      </c>
      <c r="B199" s="252">
        <v>5159748.0</v>
      </c>
      <c r="C199" s="253" t="s">
        <v>82</v>
      </c>
      <c r="D199" s="253" t="s">
        <v>35</v>
      </c>
      <c r="E199" s="252">
        <v>4.004846347E9</v>
      </c>
      <c r="F199" s="253" t="s">
        <v>1754</v>
      </c>
      <c r="G199" s="276">
        <v>45318.0</v>
      </c>
      <c r="H199" s="277">
        <v>45323.0</v>
      </c>
      <c r="I199" s="278">
        <v>5.0</v>
      </c>
      <c r="J199" s="257" t="s">
        <v>87</v>
      </c>
      <c r="K199" s="253" t="s">
        <v>79</v>
      </c>
      <c r="L199" s="253" t="s">
        <v>1443</v>
      </c>
      <c r="M199" s="252">
        <v>2.0</v>
      </c>
      <c r="N199" s="258">
        <v>0.0</v>
      </c>
      <c r="O199" s="259">
        <v>109.91</v>
      </c>
      <c r="P199" s="259">
        <v>87.928</v>
      </c>
      <c r="Q199" s="262">
        <v>0.0</v>
      </c>
      <c r="R199" s="260">
        <v>439.64</v>
      </c>
      <c r="S199" s="260">
        <v>0.0</v>
      </c>
      <c r="T199" s="260">
        <v>1191.65</v>
      </c>
      <c r="U199" s="261" t="s">
        <v>1444</v>
      </c>
      <c r="V199" s="279">
        <v>45270.92018518518</v>
      </c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</row>
    <row r="200">
      <c r="A200" s="304">
        <v>45270.0</v>
      </c>
      <c r="B200" s="252">
        <v>5159748.0</v>
      </c>
      <c r="C200" s="253" t="s">
        <v>82</v>
      </c>
      <c r="D200" s="253" t="s">
        <v>35</v>
      </c>
      <c r="E200" s="252">
        <v>4.004846347E9</v>
      </c>
      <c r="F200" s="253" t="s">
        <v>1754</v>
      </c>
      <c r="G200" s="276">
        <v>45318.0</v>
      </c>
      <c r="H200" s="277">
        <v>45323.0</v>
      </c>
      <c r="I200" s="278">
        <v>5.0</v>
      </c>
      <c r="J200" s="257" t="s">
        <v>78</v>
      </c>
      <c r="K200" s="253" t="s">
        <v>79</v>
      </c>
      <c r="L200" s="253" t="s">
        <v>1443</v>
      </c>
      <c r="M200" s="252">
        <v>2.0</v>
      </c>
      <c r="N200" s="258">
        <v>0.0</v>
      </c>
      <c r="O200" s="259">
        <v>128.42000000000002</v>
      </c>
      <c r="P200" s="259">
        <v>102.73600000000002</v>
      </c>
      <c r="Q200" s="262">
        <v>0.0</v>
      </c>
      <c r="R200" s="260">
        <v>513.6800000000001</v>
      </c>
      <c r="S200" s="260">
        <v>0.0</v>
      </c>
      <c r="T200" s="260">
        <v>1191.65</v>
      </c>
      <c r="U200" s="261" t="s">
        <v>1444</v>
      </c>
      <c r="V200" s="279">
        <v>45270.92018518518</v>
      </c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</row>
    <row r="201">
      <c r="A201" s="304">
        <v>45270.0</v>
      </c>
      <c r="B201" s="252">
        <v>5158293.0</v>
      </c>
      <c r="C201" s="253" t="s">
        <v>82</v>
      </c>
      <c r="D201" s="253" t="s">
        <v>35</v>
      </c>
      <c r="E201" s="252">
        <v>4.294618746E9</v>
      </c>
      <c r="F201" s="253" t="s">
        <v>1756</v>
      </c>
      <c r="G201" s="276">
        <v>45388.0</v>
      </c>
      <c r="H201" s="277">
        <v>45395.0</v>
      </c>
      <c r="I201" s="278">
        <v>7.0</v>
      </c>
      <c r="J201" s="257" t="s">
        <v>78</v>
      </c>
      <c r="K201" s="253" t="s">
        <v>79</v>
      </c>
      <c r="L201" s="253" t="s">
        <v>1598</v>
      </c>
      <c r="M201" s="252">
        <v>3.0</v>
      </c>
      <c r="N201" s="258">
        <v>0.0</v>
      </c>
      <c r="O201" s="259">
        <v>163.06</v>
      </c>
      <c r="P201" s="259">
        <v>130.448</v>
      </c>
      <c r="Q201" s="262">
        <v>0.0</v>
      </c>
      <c r="R201" s="260">
        <v>913.1360000000001</v>
      </c>
      <c r="S201" s="260">
        <v>0.0</v>
      </c>
      <c r="T201" s="260">
        <v>1141.42</v>
      </c>
      <c r="U201" s="261" t="s">
        <v>1599</v>
      </c>
      <c r="V201" s="279">
        <v>45270.511875</v>
      </c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</row>
    <row r="202">
      <c r="A202" s="304">
        <v>45271.0</v>
      </c>
      <c r="B202" s="252">
        <v>5162506.0</v>
      </c>
      <c r="C202" s="253" t="s">
        <v>82</v>
      </c>
      <c r="D202" s="253" t="s">
        <v>35</v>
      </c>
      <c r="E202" s="252">
        <v>4.213233225E9</v>
      </c>
      <c r="F202" s="253" t="s">
        <v>1758</v>
      </c>
      <c r="G202" s="276">
        <v>45333.0</v>
      </c>
      <c r="H202" s="277">
        <v>45336.0</v>
      </c>
      <c r="I202" s="278">
        <v>3.0</v>
      </c>
      <c r="J202" s="257" t="s">
        <v>87</v>
      </c>
      <c r="K202" s="253" t="s">
        <v>79</v>
      </c>
      <c r="L202" s="253" t="s">
        <v>1414</v>
      </c>
      <c r="M202" s="275">
        <v>2.0</v>
      </c>
      <c r="N202" s="258">
        <v>0.0</v>
      </c>
      <c r="O202" s="259">
        <v>122.81</v>
      </c>
      <c r="P202" s="259">
        <v>98.248</v>
      </c>
      <c r="Q202" s="262">
        <v>0.0</v>
      </c>
      <c r="R202" s="260">
        <v>294.744</v>
      </c>
      <c r="S202" s="260">
        <v>0.0</v>
      </c>
      <c r="T202" s="260">
        <v>368.43</v>
      </c>
      <c r="U202" s="261" t="s">
        <v>1415</v>
      </c>
      <c r="V202" s="279">
        <v>45271.97712962963</v>
      </c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</row>
    <row r="203">
      <c r="A203" s="304">
        <v>45271.0</v>
      </c>
      <c r="B203" s="252">
        <v>5160944.0</v>
      </c>
      <c r="C203" s="253" t="s">
        <v>82</v>
      </c>
      <c r="D203" s="253" t="s">
        <v>35</v>
      </c>
      <c r="E203" s="252">
        <v>4.027114764E9</v>
      </c>
      <c r="F203" s="253" t="s">
        <v>1759</v>
      </c>
      <c r="G203" s="276">
        <v>45355.0</v>
      </c>
      <c r="H203" s="277">
        <v>45358.0</v>
      </c>
      <c r="I203" s="278">
        <v>3.0</v>
      </c>
      <c r="J203" s="257" t="s">
        <v>87</v>
      </c>
      <c r="K203" s="253" t="s">
        <v>79</v>
      </c>
      <c r="L203" s="253" t="s">
        <v>1724</v>
      </c>
      <c r="M203" s="252">
        <v>2.0</v>
      </c>
      <c r="N203" s="258">
        <v>0.0</v>
      </c>
      <c r="O203" s="259">
        <v>127.39999999999999</v>
      </c>
      <c r="P203" s="259">
        <v>101.92</v>
      </c>
      <c r="Q203" s="262">
        <v>0.0</v>
      </c>
      <c r="R203" s="260">
        <v>305.76</v>
      </c>
      <c r="S203" s="260">
        <v>0.0</v>
      </c>
      <c r="T203" s="260">
        <v>382.2</v>
      </c>
      <c r="U203" s="261" t="s">
        <v>1725</v>
      </c>
      <c r="V203" s="279">
        <v>45271.517430555556</v>
      </c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</row>
    <row r="204">
      <c r="A204" s="304">
        <v>45271.0</v>
      </c>
      <c r="B204" s="252">
        <v>5161581.0</v>
      </c>
      <c r="C204" s="253" t="s">
        <v>82</v>
      </c>
      <c r="D204" s="253" t="s">
        <v>35</v>
      </c>
      <c r="E204" s="252">
        <v>4.057980493E9</v>
      </c>
      <c r="F204" s="253" t="s">
        <v>1761</v>
      </c>
      <c r="G204" s="276">
        <v>45370.0</v>
      </c>
      <c r="H204" s="277">
        <v>45374.0</v>
      </c>
      <c r="I204" s="278">
        <v>4.0</v>
      </c>
      <c r="J204" s="257" t="s">
        <v>78</v>
      </c>
      <c r="K204" s="253" t="s">
        <v>79</v>
      </c>
      <c r="L204" s="253" t="s">
        <v>1724</v>
      </c>
      <c r="M204" s="252">
        <v>2.0</v>
      </c>
      <c r="N204" s="258">
        <v>0.0</v>
      </c>
      <c r="O204" s="259">
        <v>179.13</v>
      </c>
      <c r="P204" s="259">
        <v>143.304</v>
      </c>
      <c r="Q204" s="257">
        <v>0.0</v>
      </c>
      <c r="R204" s="260">
        <v>573.216</v>
      </c>
      <c r="S204" s="260">
        <v>0.0</v>
      </c>
      <c r="T204" s="260">
        <v>716.52</v>
      </c>
      <c r="U204" s="261" t="s">
        <v>1725</v>
      </c>
      <c r="V204" s="279">
        <v>45271.702106481476</v>
      </c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</row>
    <row r="205">
      <c r="A205" s="304">
        <v>45272.0</v>
      </c>
      <c r="B205" s="252">
        <v>5164950.0</v>
      </c>
      <c r="C205" s="253" t="s">
        <v>89</v>
      </c>
      <c r="D205" s="253" t="s">
        <v>35</v>
      </c>
      <c r="E205" s="252">
        <v>4.212056599E9</v>
      </c>
      <c r="F205" s="253" t="s">
        <v>1762</v>
      </c>
      <c r="G205" s="276">
        <v>45298.0</v>
      </c>
      <c r="H205" s="277">
        <v>45302.0</v>
      </c>
      <c r="I205" s="278">
        <v>4.0</v>
      </c>
      <c r="J205" s="257" t="s">
        <v>87</v>
      </c>
      <c r="K205" s="253" t="s">
        <v>79</v>
      </c>
      <c r="L205" s="253" t="s">
        <v>1396</v>
      </c>
      <c r="M205" s="252">
        <v>2.0</v>
      </c>
      <c r="N205" s="258">
        <v>0.0</v>
      </c>
      <c r="O205" s="259">
        <v>0.0</v>
      </c>
      <c r="P205" s="259">
        <v>0.0</v>
      </c>
      <c r="Q205" s="257">
        <v>0.0</v>
      </c>
      <c r="R205" s="260">
        <v>0.0</v>
      </c>
      <c r="S205" s="260">
        <v>0.0</v>
      </c>
      <c r="T205" s="260">
        <v>0.0</v>
      </c>
      <c r="U205" s="261" t="s">
        <v>1764</v>
      </c>
      <c r="V205" s="279">
        <v>45272.913240740745</v>
      </c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</row>
    <row r="206">
      <c r="A206" s="304">
        <v>45272.0</v>
      </c>
      <c r="B206" s="252">
        <v>5164961.0</v>
      </c>
      <c r="C206" s="253" t="s">
        <v>82</v>
      </c>
      <c r="D206" s="253" t="s">
        <v>35</v>
      </c>
      <c r="E206" s="252">
        <v>4.16820547E9</v>
      </c>
      <c r="F206" s="253" t="s">
        <v>1765</v>
      </c>
      <c r="G206" s="276">
        <v>45412.0</v>
      </c>
      <c r="H206" s="277">
        <v>45417.0</v>
      </c>
      <c r="I206" s="278">
        <v>5.0</v>
      </c>
      <c r="J206" s="257" t="s">
        <v>111</v>
      </c>
      <c r="K206" s="253" t="s">
        <v>79</v>
      </c>
      <c r="L206" s="253" t="s">
        <v>1661</v>
      </c>
      <c r="M206" s="252">
        <v>2.0</v>
      </c>
      <c r="N206" s="258">
        <v>0.0</v>
      </c>
      <c r="O206" s="259">
        <v>141.64000000000001</v>
      </c>
      <c r="P206" s="259">
        <v>113.31200000000001</v>
      </c>
      <c r="Q206" s="262">
        <v>0.0</v>
      </c>
      <c r="R206" s="260">
        <v>566.5600000000001</v>
      </c>
      <c r="S206" s="260">
        <v>0.0</v>
      </c>
      <c r="T206" s="260">
        <v>1416.4</v>
      </c>
      <c r="U206" s="261" t="s">
        <v>1662</v>
      </c>
      <c r="V206" s="279">
        <v>45272.916030092594</v>
      </c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</row>
    <row r="207">
      <c r="A207" s="304">
        <v>45272.0</v>
      </c>
      <c r="B207" s="252">
        <v>5164961.0</v>
      </c>
      <c r="C207" s="253" t="s">
        <v>82</v>
      </c>
      <c r="D207" s="253" t="s">
        <v>35</v>
      </c>
      <c r="E207" s="252">
        <v>4.16820547E9</v>
      </c>
      <c r="F207" s="253" t="s">
        <v>1765</v>
      </c>
      <c r="G207" s="276">
        <v>45412.0</v>
      </c>
      <c r="H207" s="277">
        <v>45417.0</v>
      </c>
      <c r="I207" s="278">
        <v>5.0</v>
      </c>
      <c r="J207" s="257" t="s">
        <v>111</v>
      </c>
      <c r="K207" s="253" t="s">
        <v>79</v>
      </c>
      <c r="L207" s="253" t="s">
        <v>1661</v>
      </c>
      <c r="M207" s="252">
        <v>2.0</v>
      </c>
      <c r="N207" s="258">
        <v>0.0</v>
      </c>
      <c r="O207" s="259">
        <v>141.64000000000001</v>
      </c>
      <c r="P207" s="259">
        <v>113.31200000000001</v>
      </c>
      <c r="Q207" s="262">
        <v>0.0</v>
      </c>
      <c r="R207" s="260">
        <v>566.5600000000001</v>
      </c>
      <c r="S207" s="260">
        <v>0.0</v>
      </c>
      <c r="T207" s="260">
        <v>1416.4</v>
      </c>
      <c r="U207" s="261" t="s">
        <v>1662</v>
      </c>
      <c r="V207" s="279">
        <v>45272.916030092594</v>
      </c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</row>
    <row r="208">
      <c r="A208" s="304">
        <v>45273.0</v>
      </c>
      <c r="B208" s="252">
        <v>5165312.0</v>
      </c>
      <c r="C208" s="253" t="s">
        <v>82</v>
      </c>
      <c r="D208" s="253" t="s">
        <v>35</v>
      </c>
      <c r="E208" s="252">
        <v>4.06323897E9</v>
      </c>
      <c r="F208" s="253" t="s">
        <v>1768</v>
      </c>
      <c r="G208" s="276">
        <v>45299.0</v>
      </c>
      <c r="H208" s="277">
        <v>45302.0</v>
      </c>
      <c r="I208" s="278">
        <v>3.0</v>
      </c>
      <c r="J208" s="257" t="s">
        <v>114</v>
      </c>
      <c r="K208" s="253" t="s">
        <v>79</v>
      </c>
      <c r="L208" s="253" t="s">
        <v>1414</v>
      </c>
      <c r="M208" s="275">
        <v>2.0</v>
      </c>
      <c r="N208" s="258">
        <v>0.0</v>
      </c>
      <c r="O208" s="259">
        <v>121.36</v>
      </c>
      <c r="P208" s="259">
        <v>97.08800000000001</v>
      </c>
      <c r="Q208" s="262">
        <v>0.0</v>
      </c>
      <c r="R208" s="260">
        <v>291.264</v>
      </c>
      <c r="S208" s="260">
        <v>0.0</v>
      </c>
      <c r="T208" s="260">
        <v>364.08</v>
      </c>
      <c r="U208" s="261" t="s">
        <v>1415</v>
      </c>
      <c r="V208" s="279">
        <v>45273.116689814815</v>
      </c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</row>
    <row r="209">
      <c r="A209" s="304">
        <v>45273.0</v>
      </c>
      <c r="B209" s="252">
        <v>5166816.0</v>
      </c>
      <c r="C209" s="253" t="s">
        <v>82</v>
      </c>
      <c r="D209" s="253" t="s">
        <v>35</v>
      </c>
      <c r="E209" s="252">
        <v>4.294845481E9</v>
      </c>
      <c r="F209" s="253" t="s">
        <v>1770</v>
      </c>
      <c r="G209" s="276">
        <v>45350.0</v>
      </c>
      <c r="H209" s="277">
        <v>45355.0</v>
      </c>
      <c r="I209" s="278">
        <v>5.0</v>
      </c>
      <c r="J209" s="257" t="s">
        <v>87</v>
      </c>
      <c r="K209" s="253" t="s">
        <v>79</v>
      </c>
      <c r="L209" s="253" t="s">
        <v>1724</v>
      </c>
      <c r="M209" s="252">
        <v>2.0</v>
      </c>
      <c r="N209" s="258">
        <v>0.0</v>
      </c>
      <c r="O209" s="259">
        <v>130.198</v>
      </c>
      <c r="P209" s="259">
        <v>104.15840000000001</v>
      </c>
      <c r="Q209" s="262">
        <v>0.0</v>
      </c>
      <c r="R209" s="260">
        <v>520.792</v>
      </c>
      <c r="S209" s="260">
        <v>0.0</v>
      </c>
      <c r="T209" s="260">
        <v>650.99</v>
      </c>
      <c r="U209" s="261" t="s">
        <v>1725</v>
      </c>
      <c r="V209" s="279">
        <v>45273.70353009259</v>
      </c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</row>
    <row r="210">
      <c r="A210" s="212">
        <v>45273.0</v>
      </c>
      <c r="B210" s="166">
        <v>5167260.0</v>
      </c>
      <c r="C210" s="166" t="s">
        <v>82</v>
      </c>
      <c r="D210" s="166" t="s">
        <v>35</v>
      </c>
      <c r="E210" s="166">
        <v>4.212080209E9</v>
      </c>
      <c r="F210" s="166" t="s">
        <v>1771</v>
      </c>
      <c r="G210" s="212">
        <v>45594.0</v>
      </c>
      <c r="H210" s="310">
        <v>45596.0</v>
      </c>
      <c r="I210" s="168">
        <v>2.0</v>
      </c>
      <c r="J210" s="169" t="s">
        <v>87</v>
      </c>
      <c r="K210" s="166" t="s">
        <v>79</v>
      </c>
      <c r="L210" s="166" t="s">
        <v>1772</v>
      </c>
      <c r="M210" s="166">
        <v>2.0</v>
      </c>
      <c r="N210" s="170">
        <v>0.0</v>
      </c>
      <c r="O210" s="171">
        <v>114.33</v>
      </c>
      <c r="P210" s="171">
        <v>91.464</v>
      </c>
      <c r="Q210" s="172">
        <v>0.0</v>
      </c>
      <c r="R210" s="173">
        <v>182.928</v>
      </c>
      <c r="S210" s="173">
        <v>0.0</v>
      </c>
      <c r="T210" s="173">
        <v>759.98</v>
      </c>
      <c r="U210" s="201" t="s">
        <v>1773</v>
      </c>
      <c r="V210" s="288">
        <v>45273.82989583333</v>
      </c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</row>
    <row r="211">
      <c r="A211" s="212">
        <v>45273.0</v>
      </c>
      <c r="B211" s="166">
        <v>5167260.0</v>
      </c>
      <c r="C211" s="166" t="s">
        <v>82</v>
      </c>
      <c r="D211" s="166" t="s">
        <v>35</v>
      </c>
      <c r="E211" s="166">
        <v>4.212080209E9</v>
      </c>
      <c r="F211" s="166" t="s">
        <v>1771</v>
      </c>
      <c r="G211" s="212">
        <v>45594.0</v>
      </c>
      <c r="H211" s="310">
        <v>45596.0</v>
      </c>
      <c r="I211" s="168">
        <v>2.0</v>
      </c>
      <c r="J211" s="169" t="s">
        <v>78</v>
      </c>
      <c r="K211" s="166" t="s">
        <v>79</v>
      </c>
      <c r="L211" s="166" t="s">
        <v>1775</v>
      </c>
      <c r="M211" s="205">
        <v>2.0</v>
      </c>
      <c r="N211" s="170">
        <v>0.0</v>
      </c>
      <c r="O211" s="171">
        <v>132.83</v>
      </c>
      <c r="P211" s="171">
        <v>106.26400000000001</v>
      </c>
      <c r="Q211" s="172">
        <v>0.0</v>
      </c>
      <c r="R211" s="173">
        <v>212.52800000000002</v>
      </c>
      <c r="S211" s="173">
        <v>0.0</v>
      </c>
      <c r="T211" s="173">
        <v>759.98</v>
      </c>
      <c r="U211" s="201" t="s">
        <v>1776</v>
      </c>
      <c r="V211" s="288">
        <v>45273.82989583333</v>
      </c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</row>
    <row r="212">
      <c r="A212" s="212">
        <v>45273.0</v>
      </c>
      <c r="B212" s="166">
        <v>5167260.0</v>
      </c>
      <c r="C212" s="166" t="s">
        <v>82</v>
      </c>
      <c r="D212" s="166" t="s">
        <v>35</v>
      </c>
      <c r="E212" s="166">
        <v>4.212080209E9</v>
      </c>
      <c r="F212" s="166" t="s">
        <v>1771</v>
      </c>
      <c r="G212" s="212">
        <v>45594.0</v>
      </c>
      <c r="H212" s="310">
        <v>45596.0</v>
      </c>
      <c r="I212" s="168">
        <v>2.0</v>
      </c>
      <c r="J212" s="169" t="s">
        <v>78</v>
      </c>
      <c r="K212" s="166" t="s">
        <v>79</v>
      </c>
      <c r="L212" s="166" t="s">
        <v>1775</v>
      </c>
      <c r="M212" s="166">
        <v>2.0</v>
      </c>
      <c r="N212" s="170">
        <v>0.0</v>
      </c>
      <c r="O212" s="171">
        <v>132.83</v>
      </c>
      <c r="P212" s="171">
        <v>106.26400000000001</v>
      </c>
      <c r="Q212" s="169">
        <v>0.0</v>
      </c>
      <c r="R212" s="173">
        <v>212.52800000000002</v>
      </c>
      <c r="S212" s="173">
        <v>0.0</v>
      </c>
      <c r="T212" s="173">
        <v>759.98</v>
      </c>
      <c r="U212" s="201" t="s">
        <v>1776</v>
      </c>
      <c r="V212" s="288">
        <v>45273.82989583333</v>
      </c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</row>
    <row r="213">
      <c r="A213" s="304">
        <v>45275.0</v>
      </c>
      <c r="B213" s="252">
        <v>5172009.0</v>
      </c>
      <c r="C213" s="253" t="s">
        <v>82</v>
      </c>
      <c r="D213" s="253" t="s">
        <v>94</v>
      </c>
      <c r="E213" s="252">
        <v>5172009.0</v>
      </c>
      <c r="F213" s="253" t="s">
        <v>1777</v>
      </c>
      <c r="G213" s="276">
        <v>45293.0</v>
      </c>
      <c r="H213" s="277">
        <v>45294.0</v>
      </c>
      <c r="I213" s="278">
        <v>1.0</v>
      </c>
      <c r="J213" s="257" t="s">
        <v>114</v>
      </c>
      <c r="K213" s="253" t="s">
        <v>79</v>
      </c>
      <c r="L213" s="253" t="s">
        <v>1462</v>
      </c>
      <c r="M213" s="252">
        <v>2.0</v>
      </c>
      <c r="N213" s="258">
        <v>0.0</v>
      </c>
      <c r="O213" s="259">
        <v>176.0</v>
      </c>
      <c r="P213" s="259">
        <v>174.24</v>
      </c>
      <c r="Q213" s="257">
        <v>0.0</v>
      </c>
      <c r="R213" s="260">
        <v>174.24</v>
      </c>
      <c r="S213" s="260">
        <v>0.0</v>
      </c>
      <c r="T213" s="260">
        <v>176.0</v>
      </c>
      <c r="U213" s="261" t="s">
        <v>1463</v>
      </c>
      <c r="V213" s="279">
        <v>45275.706296296295</v>
      </c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</row>
    <row r="214">
      <c r="A214" s="304">
        <v>45275.0</v>
      </c>
      <c r="B214" s="252">
        <v>5170991.0</v>
      </c>
      <c r="C214" s="253" t="s">
        <v>82</v>
      </c>
      <c r="D214" s="253" t="s">
        <v>35</v>
      </c>
      <c r="E214" s="252">
        <v>4.261101919E9</v>
      </c>
      <c r="F214" s="253" t="s">
        <v>1779</v>
      </c>
      <c r="G214" s="276">
        <v>45317.0</v>
      </c>
      <c r="H214" s="277">
        <v>45319.0</v>
      </c>
      <c r="I214" s="278">
        <v>2.0</v>
      </c>
      <c r="J214" s="257" t="s">
        <v>78</v>
      </c>
      <c r="K214" s="253" t="s">
        <v>79</v>
      </c>
      <c r="L214" s="253" t="s">
        <v>1454</v>
      </c>
      <c r="M214" s="275">
        <v>2.0</v>
      </c>
      <c r="N214" s="258">
        <v>0.0</v>
      </c>
      <c r="O214" s="259">
        <v>145.25</v>
      </c>
      <c r="P214" s="259">
        <v>116.2</v>
      </c>
      <c r="Q214" s="262">
        <v>0.0</v>
      </c>
      <c r="R214" s="260">
        <v>232.4</v>
      </c>
      <c r="S214" s="260">
        <v>0.0</v>
      </c>
      <c r="T214" s="260">
        <v>290.5</v>
      </c>
      <c r="U214" s="261" t="s">
        <v>1455</v>
      </c>
      <c r="V214" s="279">
        <v>45275.43545138889</v>
      </c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</row>
    <row r="215">
      <c r="A215" s="304">
        <v>45275.0</v>
      </c>
      <c r="B215" s="252">
        <v>5172520.0</v>
      </c>
      <c r="C215" s="253" t="s">
        <v>82</v>
      </c>
      <c r="D215" s="253" t="s">
        <v>35</v>
      </c>
      <c r="E215" s="252">
        <v>4.237959802E9</v>
      </c>
      <c r="F215" s="253" t="s">
        <v>1780</v>
      </c>
      <c r="G215" s="276">
        <v>45366.0</v>
      </c>
      <c r="H215" s="277">
        <v>45371.0</v>
      </c>
      <c r="I215" s="278">
        <v>5.0</v>
      </c>
      <c r="J215" s="257" t="s">
        <v>111</v>
      </c>
      <c r="K215" s="253" t="s">
        <v>79</v>
      </c>
      <c r="L215" s="253" t="s">
        <v>1724</v>
      </c>
      <c r="M215" s="252">
        <v>2.0</v>
      </c>
      <c r="N215" s="258">
        <v>0.0</v>
      </c>
      <c r="O215" s="259">
        <v>176.6</v>
      </c>
      <c r="P215" s="259">
        <v>141.28</v>
      </c>
      <c r="Q215" s="262">
        <v>0.0</v>
      </c>
      <c r="R215" s="260">
        <v>706.4000000000001</v>
      </c>
      <c r="S215" s="260">
        <v>0.0</v>
      </c>
      <c r="T215" s="260">
        <v>883.0</v>
      </c>
      <c r="U215" s="261" t="s">
        <v>1725</v>
      </c>
      <c r="V215" s="279">
        <v>45275.865324074075</v>
      </c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</row>
    <row r="216">
      <c r="A216" s="304">
        <v>45276.0</v>
      </c>
      <c r="B216" s="252">
        <v>5175154.0</v>
      </c>
      <c r="C216" s="253" t="s">
        <v>82</v>
      </c>
      <c r="D216" s="253" t="s">
        <v>35</v>
      </c>
      <c r="E216" s="252">
        <v>4.177333304E9</v>
      </c>
      <c r="F216" s="253" t="s">
        <v>1781</v>
      </c>
      <c r="G216" s="276">
        <v>45295.0</v>
      </c>
      <c r="H216" s="277">
        <v>45296.0</v>
      </c>
      <c r="I216" s="278">
        <v>1.0</v>
      </c>
      <c r="J216" s="257" t="s">
        <v>114</v>
      </c>
      <c r="K216" s="253" t="s">
        <v>79</v>
      </c>
      <c r="L216" s="253" t="s">
        <v>1661</v>
      </c>
      <c r="M216" s="252">
        <v>2.0</v>
      </c>
      <c r="N216" s="258">
        <v>0.0</v>
      </c>
      <c r="O216" s="259">
        <v>155.55</v>
      </c>
      <c r="P216" s="259">
        <v>124.44000000000001</v>
      </c>
      <c r="Q216" s="257">
        <v>0.0</v>
      </c>
      <c r="R216" s="260">
        <v>124.44000000000001</v>
      </c>
      <c r="S216" s="260">
        <v>0.0</v>
      </c>
      <c r="T216" s="260">
        <v>311.1</v>
      </c>
      <c r="U216" s="261" t="s">
        <v>1662</v>
      </c>
      <c r="V216" s="279">
        <v>45276.944490740745</v>
      </c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</row>
    <row r="217">
      <c r="A217" s="304">
        <v>45276.0</v>
      </c>
      <c r="B217" s="252">
        <v>5175154.0</v>
      </c>
      <c r="C217" s="253" t="s">
        <v>82</v>
      </c>
      <c r="D217" s="253" t="s">
        <v>35</v>
      </c>
      <c r="E217" s="252">
        <v>4.177333304E9</v>
      </c>
      <c r="F217" s="253" t="s">
        <v>1781</v>
      </c>
      <c r="G217" s="276">
        <v>45295.0</v>
      </c>
      <c r="H217" s="277">
        <v>45296.0</v>
      </c>
      <c r="I217" s="278">
        <v>1.0</v>
      </c>
      <c r="J217" s="257" t="s">
        <v>114</v>
      </c>
      <c r="K217" s="253" t="s">
        <v>79</v>
      </c>
      <c r="L217" s="253" t="s">
        <v>1661</v>
      </c>
      <c r="M217" s="252">
        <v>2.0</v>
      </c>
      <c r="N217" s="258">
        <v>0.0</v>
      </c>
      <c r="O217" s="259">
        <v>155.55</v>
      </c>
      <c r="P217" s="259">
        <v>124.44000000000001</v>
      </c>
      <c r="Q217" s="262">
        <v>0.0</v>
      </c>
      <c r="R217" s="260">
        <v>124.44000000000001</v>
      </c>
      <c r="S217" s="260">
        <v>0.0</v>
      </c>
      <c r="T217" s="273">
        <v>311.1</v>
      </c>
      <c r="U217" s="274" t="s">
        <v>1662</v>
      </c>
      <c r="V217" s="284">
        <v>45276.944490740745</v>
      </c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</row>
    <row r="218">
      <c r="A218" s="304">
        <v>45277.0</v>
      </c>
      <c r="B218" s="252">
        <v>5176707.0</v>
      </c>
      <c r="C218" s="253" t="s">
        <v>75</v>
      </c>
      <c r="D218" s="253" t="s">
        <v>35</v>
      </c>
      <c r="E218" s="252">
        <v>4.118675809E9</v>
      </c>
      <c r="F218" s="253" t="s">
        <v>1782</v>
      </c>
      <c r="G218" s="276">
        <v>45315.0</v>
      </c>
      <c r="H218" s="277">
        <v>45318.0</v>
      </c>
      <c r="I218" s="278">
        <v>3.0</v>
      </c>
      <c r="J218" s="257" t="s">
        <v>114</v>
      </c>
      <c r="K218" s="253" t="s">
        <v>79</v>
      </c>
      <c r="L218" s="253" t="s">
        <v>1724</v>
      </c>
      <c r="M218" s="252">
        <v>3.0</v>
      </c>
      <c r="N218" s="258">
        <v>0.0</v>
      </c>
      <c r="O218" s="259">
        <v>138.08</v>
      </c>
      <c r="P218" s="259">
        <v>110.46400000000001</v>
      </c>
      <c r="Q218" s="262">
        <v>0.0</v>
      </c>
      <c r="R218" s="260">
        <v>331.39200000000005</v>
      </c>
      <c r="S218" s="260">
        <v>0.0</v>
      </c>
      <c r="T218" s="260">
        <v>414.24</v>
      </c>
      <c r="U218" s="261" t="s">
        <v>1725</v>
      </c>
      <c r="V218" s="279">
        <v>45311.01739583333</v>
      </c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</row>
    <row r="219">
      <c r="A219" s="304">
        <v>45277.0</v>
      </c>
      <c r="B219" s="252">
        <v>5176384.0</v>
      </c>
      <c r="C219" s="253" t="s">
        <v>89</v>
      </c>
      <c r="D219" s="253" t="s">
        <v>35</v>
      </c>
      <c r="E219" s="252">
        <v>4.071197936E9</v>
      </c>
      <c r="F219" s="253" t="s">
        <v>1783</v>
      </c>
      <c r="G219" s="276">
        <v>45362.0</v>
      </c>
      <c r="H219" s="277">
        <v>45364.0</v>
      </c>
      <c r="I219" s="278">
        <v>2.0</v>
      </c>
      <c r="J219" s="257" t="s">
        <v>87</v>
      </c>
      <c r="K219" s="253" t="s">
        <v>79</v>
      </c>
      <c r="L219" s="253" t="s">
        <v>1724</v>
      </c>
      <c r="M219" s="252">
        <v>2.0</v>
      </c>
      <c r="N219" s="258">
        <v>0.0</v>
      </c>
      <c r="O219" s="259">
        <v>0.0</v>
      </c>
      <c r="P219" s="259">
        <v>0.0</v>
      </c>
      <c r="Q219" s="257">
        <v>0.0</v>
      </c>
      <c r="R219" s="260">
        <v>0.0</v>
      </c>
      <c r="S219" s="260">
        <v>0.0</v>
      </c>
      <c r="T219" s="260">
        <v>0.0</v>
      </c>
      <c r="U219" s="261" t="s">
        <v>1785</v>
      </c>
      <c r="V219" s="279">
        <v>45277.57435185185</v>
      </c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</row>
    <row r="220">
      <c r="A220" s="212">
        <v>45278.0</v>
      </c>
      <c r="B220" s="166">
        <v>5178276.0</v>
      </c>
      <c r="C220" s="166" t="s">
        <v>75</v>
      </c>
      <c r="D220" s="166" t="s">
        <v>35</v>
      </c>
      <c r="E220" s="166">
        <v>4.059910892E9</v>
      </c>
      <c r="F220" s="166" t="s">
        <v>1750</v>
      </c>
      <c r="G220" s="210">
        <v>45411.0</v>
      </c>
      <c r="H220" s="287">
        <v>45412.0</v>
      </c>
      <c r="I220" s="168">
        <v>1.0</v>
      </c>
      <c r="J220" s="169" t="s">
        <v>78</v>
      </c>
      <c r="K220" s="166" t="s">
        <v>79</v>
      </c>
      <c r="L220" s="166" t="s">
        <v>1752</v>
      </c>
      <c r="M220" s="166">
        <v>2.0</v>
      </c>
      <c r="N220" s="170">
        <v>0.0</v>
      </c>
      <c r="O220" s="171">
        <v>172.55</v>
      </c>
      <c r="P220" s="171">
        <v>138.04000000000002</v>
      </c>
      <c r="Q220" s="172">
        <v>0.0</v>
      </c>
      <c r="R220" s="173">
        <v>138.04000000000002</v>
      </c>
      <c r="S220" s="173">
        <v>0.0</v>
      </c>
      <c r="T220" s="173">
        <v>517.65</v>
      </c>
      <c r="U220" s="174" t="s">
        <v>1753</v>
      </c>
      <c r="V220" s="288">
        <v>45320.90142361111</v>
      </c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</row>
    <row r="221">
      <c r="A221" s="212">
        <v>45278.0</v>
      </c>
      <c r="B221" s="166">
        <v>5178276.0</v>
      </c>
      <c r="C221" s="166" t="s">
        <v>75</v>
      </c>
      <c r="D221" s="166" t="s">
        <v>35</v>
      </c>
      <c r="E221" s="166">
        <v>4.059910892E9</v>
      </c>
      <c r="F221" s="166" t="s">
        <v>1750</v>
      </c>
      <c r="G221" s="210">
        <v>45411.0</v>
      </c>
      <c r="H221" s="287">
        <v>45412.0</v>
      </c>
      <c r="I221" s="168">
        <v>1.0</v>
      </c>
      <c r="J221" s="169" t="s">
        <v>78</v>
      </c>
      <c r="K221" s="166" t="s">
        <v>79</v>
      </c>
      <c r="L221" s="166" t="s">
        <v>1752</v>
      </c>
      <c r="M221" s="166">
        <v>2.0</v>
      </c>
      <c r="N221" s="170">
        <v>0.0</v>
      </c>
      <c r="O221" s="171">
        <v>172.55</v>
      </c>
      <c r="P221" s="171">
        <v>138.04000000000002</v>
      </c>
      <c r="Q221" s="172">
        <v>0.0</v>
      </c>
      <c r="R221" s="173">
        <v>138.04000000000002</v>
      </c>
      <c r="S221" s="173">
        <v>0.0</v>
      </c>
      <c r="T221" s="173">
        <v>517.65</v>
      </c>
      <c r="U221" s="174" t="s">
        <v>1753</v>
      </c>
      <c r="V221" s="288">
        <v>45320.90142361111</v>
      </c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</row>
    <row r="222">
      <c r="A222" s="212">
        <v>45278.0</v>
      </c>
      <c r="B222" s="166">
        <v>5178276.0</v>
      </c>
      <c r="C222" s="166" t="s">
        <v>75</v>
      </c>
      <c r="D222" s="166" t="s">
        <v>35</v>
      </c>
      <c r="E222" s="166">
        <v>4.059910892E9</v>
      </c>
      <c r="F222" s="166" t="s">
        <v>1750</v>
      </c>
      <c r="G222" s="210">
        <v>45411.0</v>
      </c>
      <c r="H222" s="287">
        <v>45412.0</v>
      </c>
      <c r="I222" s="168">
        <v>1.0</v>
      </c>
      <c r="J222" s="169" t="s">
        <v>78</v>
      </c>
      <c r="K222" s="166" t="s">
        <v>79</v>
      </c>
      <c r="L222" s="166" t="s">
        <v>1752</v>
      </c>
      <c r="M222" s="166">
        <v>1.0</v>
      </c>
      <c r="N222" s="170">
        <v>0.0</v>
      </c>
      <c r="O222" s="171">
        <v>172.55</v>
      </c>
      <c r="P222" s="171">
        <v>138.04000000000002</v>
      </c>
      <c r="Q222" s="172">
        <v>0.0</v>
      </c>
      <c r="R222" s="173">
        <v>138.04000000000002</v>
      </c>
      <c r="S222" s="173">
        <v>0.0</v>
      </c>
      <c r="T222" s="173">
        <v>517.65</v>
      </c>
      <c r="U222" s="174" t="s">
        <v>1753</v>
      </c>
      <c r="V222" s="288">
        <v>45320.90142361111</v>
      </c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</row>
    <row r="223">
      <c r="A223" s="304">
        <v>45278.0</v>
      </c>
      <c r="B223" s="252">
        <v>5179133.0</v>
      </c>
      <c r="C223" s="253" t="s">
        <v>89</v>
      </c>
      <c r="D223" s="253" t="s">
        <v>35</v>
      </c>
      <c r="E223" s="252">
        <v>4.249079221E9</v>
      </c>
      <c r="F223" s="253" t="s">
        <v>1787</v>
      </c>
      <c r="G223" s="276">
        <v>45441.0</v>
      </c>
      <c r="H223" s="277">
        <v>45443.0</v>
      </c>
      <c r="I223" s="278">
        <v>2.0</v>
      </c>
      <c r="J223" s="257" t="s">
        <v>114</v>
      </c>
      <c r="K223" s="253" t="s">
        <v>79</v>
      </c>
      <c r="L223" s="253" t="s">
        <v>1752</v>
      </c>
      <c r="M223" s="275">
        <v>2.0</v>
      </c>
      <c r="N223" s="258">
        <v>0.0</v>
      </c>
      <c r="O223" s="259">
        <v>0.0</v>
      </c>
      <c r="P223" s="259">
        <v>0.0</v>
      </c>
      <c r="Q223" s="262">
        <v>0.0</v>
      </c>
      <c r="R223" s="260">
        <v>0.0</v>
      </c>
      <c r="S223" s="260">
        <v>0.0</v>
      </c>
      <c r="T223" s="260">
        <v>0.0</v>
      </c>
      <c r="U223" s="261" t="s">
        <v>1788</v>
      </c>
      <c r="V223" s="279">
        <v>45278.62572916667</v>
      </c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</row>
    <row r="224">
      <c r="A224" s="304">
        <v>45280.0</v>
      </c>
      <c r="B224" s="252">
        <v>5185253.0</v>
      </c>
      <c r="C224" s="253" t="s">
        <v>82</v>
      </c>
      <c r="D224" s="253" t="s">
        <v>35</v>
      </c>
      <c r="E224" s="252">
        <v>4.068103854E9</v>
      </c>
      <c r="F224" s="253" t="s">
        <v>1790</v>
      </c>
      <c r="G224" s="276">
        <v>45318.0</v>
      </c>
      <c r="H224" s="277">
        <v>45322.0</v>
      </c>
      <c r="I224" s="278">
        <v>4.0</v>
      </c>
      <c r="J224" s="257" t="s">
        <v>78</v>
      </c>
      <c r="K224" s="253" t="s">
        <v>79</v>
      </c>
      <c r="L224" s="253" t="s">
        <v>1414</v>
      </c>
      <c r="M224" s="252">
        <v>1.0</v>
      </c>
      <c r="N224" s="258">
        <v>0.0</v>
      </c>
      <c r="O224" s="259">
        <v>128.73</v>
      </c>
      <c r="P224" s="259">
        <v>102.984</v>
      </c>
      <c r="Q224" s="257">
        <v>0.0</v>
      </c>
      <c r="R224" s="260">
        <v>411.936</v>
      </c>
      <c r="S224" s="260">
        <v>0.0</v>
      </c>
      <c r="T224" s="260">
        <v>514.92</v>
      </c>
      <c r="U224" s="261" t="s">
        <v>1415</v>
      </c>
      <c r="V224" s="279">
        <v>45280.87436342593</v>
      </c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</row>
    <row r="225">
      <c r="A225" s="304">
        <v>45280.0</v>
      </c>
      <c r="B225" s="252">
        <v>5185604.0</v>
      </c>
      <c r="C225" s="253" t="s">
        <v>82</v>
      </c>
      <c r="D225" s="253" t="s">
        <v>35</v>
      </c>
      <c r="E225" s="252">
        <v>4.28822082E9</v>
      </c>
      <c r="F225" s="253" t="s">
        <v>1791</v>
      </c>
      <c r="G225" s="276">
        <v>45352.0</v>
      </c>
      <c r="H225" s="277">
        <v>45355.0</v>
      </c>
      <c r="I225" s="278">
        <v>3.0</v>
      </c>
      <c r="J225" s="257" t="s">
        <v>78</v>
      </c>
      <c r="K225" s="253" t="s">
        <v>138</v>
      </c>
      <c r="L225" s="253" t="s">
        <v>1645</v>
      </c>
      <c r="M225" s="252">
        <v>3.0</v>
      </c>
      <c r="N225" s="258">
        <v>0.0</v>
      </c>
      <c r="O225" s="259">
        <v>149.75</v>
      </c>
      <c r="P225" s="259">
        <v>119.80000000000001</v>
      </c>
      <c r="Q225" s="262">
        <v>54.0</v>
      </c>
      <c r="R225" s="260">
        <v>359.40000000000003</v>
      </c>
      <c r="S225" s="260">
        <v>162.0</v>
      </c>
      <c r="T225" s="260">
        <v>611.25</v>
      </c>
      <c r="U225" s="261" t="s">
        <v>1646</v>
      </c>
      <c r="V225" s="279">
        <v>45280.97714120371</v>
      </c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</row>
    <row r="226">
      <c r="A226" s="305">
        <v>45280.0</v>
      </c>
      <c r="B226" s="264">
        <v>5185345.0</v>
      </c>
      <c r="C226" s="265" t="s">
        <v>75</v>
      </c>
      <c r="D226" s="265" t="s">
        <v>35</v>
      </c>
      <c r="E226" s="264">
        <v>4.068146817E9</v>
      </c>
      <c r="F226" s="265" t="s">
        <v>1793</v>
      </c>
      <c r="G226" s="280">
        <v>45421.0</v>
      </c>
      <c r="H226" s="281">
        <v>45424.0</v>
      </c>
      <c r="I226" s="282">
        <v>3.0</v>
      </c>
      <c r="J226" s="283" t="s">
        <v>78</v>
      </c>
      <c r="K226" s="265" t="s">
        <v>79</v>
      </c>
      <c r="L226" s="265" t="s">
        <v>1414</v>
      </c>
      <c r="M226" s="264">
        <v>2.0</v>
      </c>
      <c r="N226" s="270">
        <v>0.0</v>
      </c>
      <c r="O226" s="271">
        <v>141.32</v>
      </c>
      <c r="P226" s="271">
        <v>113.056</v>
      </c>
      <c r="Q226" s="272">
        <v>0.0</v>
      </c>
      <c r="R226" s="273">
        <v>339.168</v>
      </c>
      <c r="S226" s="273">
        <v>0.0</v>
      </c>
      <c r="T226" s="273">
        <v>423.96</v>
      </c>
      <c r="U226" s="274" t="s">
        <v>1415</v>
      </c>
      <c r="V226" s="286">
        <v>45418.49729166667</v>
      </c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</row>
    <row r="227">
      <c r="A227" s="304">
        <v>45281.0</v>
      </c>
      <c r="B227" s="252">
        <v>5187010.0</v>
      </c>
      <c r="C227" s="253" t="s">
        <v>82</v>
      </c>
      <c r="D227" s="253" t="s">
        <v>35</v>
      </c>
      <c r="E227" s="252">
        <v>4.066052127E9</v>
      </c>
      <c r="F227" s="253" t="s">
        <v>1795</v>
      </c>
      <c r="G227" s="276">
        <v>45323.0</v>
      </c>
      <c r="H227" s="277">
        <v>45325.0</v>
      </c>
      <c r="I227" s="278">
        <v>2.0</v>
      </c>
      <c r="J227" s="257" t="s">
        <v>78</v>
      </c>
      <c r="K227" s="253" t="s">
        <v>79</v>
      </c>
      <c r="L227" s="253" t="s">
        <v>1724</v>
      </c>
      <c r="M227" s="252">
        <v>2.0</v>
      </c>
      <c r="N227" s="258">
        <v>0.0</v>
      </c>
      <c r="O227" s="259">
        <v>158.38</v>
      </c>
      <c r="P227" s="259">
        <v>126.70400000000001</v>
      </c>
      <c r="Q227" s="257">
        <v>0.0</v>
      </c>
      <c r="R227" s="260">
        <v>253.40800000000002</v>
      </c>
      <c r="S227" s="260">
        <v>0.0</v>
      </c>
      <c r="T227" s="260">
        <v>316.76</v>
      </c>
      <c r="U227" s="261" t="s">
        <v>1725</v>
      </c>
      <c r="V227" s="279">
        <v>45281.63686342593</v>
      </c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</row>
    <row r="228">
      <c r="A228" s="304">
        <v>45281.0</v>
      </c>
      <c r="B228" s="252">
        <v>5186615.0</v>
      </c>
      <c r="C228" s="253" t="s">
        <v>82</v>
      </c>
      <c r="D228" s="253" t="s">
        <v>101</v>
      </c>
      <c r="E228" s="252">
        <v>1.4203507E8</v>
      </c>
      <c r="F228" s="253" t="s">
        <v>1796</v>
      </c>
      <c r="G228" s="276">
        <v>45419.0</v>
      </c>
      <c r="H228" s="277">
        <v>45423.0</v>
      </c>
      <c r="I228" s="278">
        <v>4.0</v>
      </c>
      <c r="J228" s="257" t="s">
        <v>87</v>
      </c>
      <c r="K228" s="253" t="s">
        <v>79</v>
      </c>
      <c r="L228" s="253" t="s">
        <v>1797</v>
      </c>
      <c r="M228" s="252">
        <v>2.0</v>
      </c>
      <c r="N228" s="258">
        <v>0.0</v>
      </c>
      <c r="O228" s="259">
        <v>103.94</v>
      </c>
      <c r="P228" s="259">
        <v>83.152</v>
      </c>
      <c r="Q228" s="262">
        <v>0.0</v>
      </c>
      <c r="R228" s="260">
        <v>332.608</v>
      </c>
      <c r="S228" s="260">
        <v>0.0</v>
      </c>
      <c r="T228" s="260">
        <v>415.76</v>
      </c>
      <c r="U228" s="261" t="s">
        <v>1798</v>
      </c>
      <c r="V228" s="279">
        <v>45281.51671296296</v>
      </c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</row>
    <row r="229">
      <c r="A229" s="304">
        <v>45283.0</v>
      </c>
      <c r="B229" s="252">
        <v>5192434.0</v>
      </c>
      <c r="C229" s="253" t="s">
        <v>75</v>
      </c>
      <c r="D229" s="253" t="s">
        <v>35</v>
      </c>
      <c r="E229" s="252">
        <v>4.040054386E9</v>
      </c>
      <c r="F229" s="253" t="s">
        <v>1799</v>
      </c>
      <c r="G229" s="276">
        <v>45313.0</v>
      </c>
      <c r="H229" s="277">
        <v>45317.0</v>
      </c>
      <c r="I229" s="278">
        <v>4.0</v>
      </c>
      <c r="J229" s="257" t="s">
        <v>87</v>
      </c>
      <c r="K229" s="253" t="s">
        <v>79</v>
      </c>
      <c r="L229" s="253" t="s">
        <v>1724</v>
      </c>
      <c r="M229" s="252">
        <v>2.0</v>
      </c>
      <c r="N229" s="258">
        <v>0.0</v>
      </c>
      <c r="O229" s="259">
        <v>118.21</v>
      </c>
      <c r="P229" s="259">
        <v>94.568</v>
      </c>
      <c r="Q229" s="257">
        <v>0.0</v>
      </c>
      <c r="R229" s="260">
        <v>378.272</v>
      </c>
      <c r="S229" s="260">
        <v>0.0</v>
      </c>
      <c r="T229" s="260">
        <v>472.84</v>
      </c>
      <c r="U229" s="261" t="s">
        <v>1725</v>
      </c>
      <c r="V229" s="279">
        <v>45309.01809027778</v>
      </c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</row>
    <row r="230">
      <c r="A230" s="304">
        <v>45284.0</v>
      </c>
      <c r="B230" s="252">
        <v>5194375.0</v>
      </c>
      <c r="C230" s="253" t="s">
        <v>82</v>
      </c>
      <c r="D230" s="253" t="s">
        <v>35</v>
      </c>
      <c r="E230" s="252">
        <v>4.046984932E9</v>
      </c>
      <c r="F230" s="253" t="s">
        <v>1801</v>
      </c>
      <c r="G230" s="276">
        <v>45334.0</v>
      </c>
      <c r="H230" s="277">
        <v>45337.0</v>
      </c>
      <c r="I230" s="278">
        <v>3.0</v>
      </c>
      <c r="J230" s="257" t="s">
        <v>87</v>
      </c>
      <c r="K230" s="253" t="s">
        <v>79</v>
      </c>
      <c r="L230" s="253" t="s">
        <v>1396</v>
      </c>
      <c r="M230" s="252">
        <v>2.0</v>
      </c>
      <c r="N230" s="258">
        <v>0.0</v>
      </c>
      <c r="O230" s="259">
        <v>106.10000000000001</v>
      </c>
      <c r="P230" s="259">
        <v>84.88000000000001</v>
      </c>
      <c r="Q230" s="257">
        <v>0.0</v>
      </c>
      <c r="R230" s="260">
        <v>254.64000000000001</v>
      </c>
      <c r="S230" s="260">
        <v>0.0</v>
      </c>
      <c r="T230" s="260">
        <v>318.3</v>
      </c>
      <c r="U230" s="261" t="s">
        <v>1398</v>
      </c>
      <c r="V230" s="279">
        <v>45284.725752314815</v>
      </c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</row>
    <row r="231">
      <c r="A231" s="304">
        <v>45284.0</v>
      </c>
      <c r="B231" s="252">
        <v>5193260.0</v>
      </c>
      <c r="C231" s="253" t="s">
        <v>82</v>
      </c>
      <c r="D231" s="253" t="s">
        <v>35</v>
      </c>
      <c r="E231" s="252">
        <v>4.184270384E9</v>
      </c>
      <c r="F231" s="253" t="s">
        <v>1802</v>
      </c>
      <c r="G231" s="276">
        <v>45364.0</v>
      </c>
      <c r="H231" s="277">
        <v>45365.0</v>
      </c>
      <c r="I231" s="278">
        <v>1.0</v>
      </c>
      <c r="J231" s="257" t="s">
        <v>78</v>
      </c>
      <c r="K231" s="253" t="s">
        <v>79</v>
      </c>
      <c r="L231" s="253" t="s">
        <v>1724</v>
      </c>
      <c r="M231" s="252">
        <v>2.0</v>
      </c>
      <c r="N231" s="258">
        <v>0.0</v>
      </c>
      <c r="O231" s="259">
        <v>140.0</v>
      </c>
      <c r="P231" s="259">
        <v>112.0</v>
      </c>
      <c r="Q231" s="262">
        <v>0.0</v>
      </c>
      <c r="R231" s="260">
        <v>112.0</v>
      </c>
      <c r="S231" s="260">
        <v>0.0</v>
      </c>
      <c r="T231" s="260">
        <v>280.0</v>
      </c>
      <c r="U231" s="261" t="s">
        <v>1725</v>
      </c>
      <c r="V231" s="279">
        <v>45284.32851851852</v>
      </c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</row>
    <row r="232">
      <c r="A232" s="304">
        <v>45284.0</v>
      </c>
      <c r="B232" s="252">
        <v>5193260.0</v>
      </c>
      <c r="C232" s="253" t="s">
        <v>82</v>
      </c>
      <c r="D232" s="253" t="s">
        <v>35</v>
      </c>
      <c r="E232" s="252">
        <v>4.184270384E9</v>
      </c>
      <c r="F232" s="253" t="s">
        <v>1802</v>
      </c>
      <c r="G232" s="276">
        <v>45364.0</v>
      </c>
      <c r="H232" s="277">
        <v>45365.0</v>
      </c>
      <c r="I232" s="278">
        <v>1.0</v>
      </c>
      <c r="J232" s="257" t="s">
        <v>78</v>
      </c>
      <c r="K232" s="253" t="s">
        <v>79</v>
      </c>
      <c r="L232" s="253" t="s">
        <v>1724</v>
      </c>
      <c r="M232" s="252">
        <v>2.0</v>
      </c>
      <c r="N232" s="258">
        <v>0.0</v>
      </c>
      <c r="O232" s="259">
        <v>140.0</v>
      </c>
      <c r="P232" s="259">
        <v>112.0</v>
      </c>
      <c r="Q232" s="257">
        <v>0.0</v>
      </c>
      <c r="R232" s="260">
        <v>112.0</v>
      </c>
      <c r="S232" s="260">
        <v>0.0</v>
      </c>
      <c r="T232" s="260">
        <v>280.0</v>
      </c>
      <c r="U232" s="261" t="s">
        <v>1725</v>
      </c>
      <c r="V232" s="279">
        <v>45284.32851851852</v>
      </c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</row>
    <row r="233">
      <c r="A233" s="303">
        <v>45284.0</v>
      </c>
      <c r="B233" s="290">
        <v>5194526.0</v>
      </c>
      <c r="C233" s="291" t="s">
        <v>75</v>
      </c>
      <c r="D233" s="291" t="s">
        <v>35</v>
      </c>
      <c r="E233" s="290">
        <v>4.09984132E9</v>
      </c>
      <c r="F233" s="291" t="s">
        <v>1804</v>
      </c>
      <c r="G233" s="289">
        <v>45405.0</v>
      </c>
      <c r="H233" s="292">
        <v>45408.0</v>
      </c>
      <c r="I233" s="293">
        <v>3.0</v>
      </c>
      <c r="J233" s="294" t="s">
        <v>78</v>
      </c>
      <c r="K233" s="291" t="s">
        <v>79</v>
      </c>
      <c r="L233" s="291" t="s">
        <v>1400</v>
      </c>
      <c r="M233" s="290">
        <v>2.0</v>
      </c>
      <c r="N233" s="295">
        <v>0.0</v>
      </c>
      <c r="O233" s="296">
        <v>184.78</v>
      </c>
      <c r="P233" s="296">
        <v>147.824</v>
      </c>
      <c r="Q233" s="294">
        <v>0.0</v>
      </c>
      <c r="R233" s="297">
        <v>443.47200000000004</v>
      </c>
      <c r="S233" s="297">
        <v>0.0</v>
      </c>
      <c r="T233" s="297">
        <v>554.34</v>
      </c>
      <c r="U233" s="298" t="s">
        <v>1401</v>
      </c>
      <c r="V233" s="299">
        <v>45349.02920138889</v>
      </c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</row>
    <row r="234">
      <c r="A234" s="304">
        <v>45285.0</v>
      </c>
      <c r="B234" s="252">
        <v>5196607.0</v>
      </c>
      <c r="C234" s="253" t="s">
        <v>82</v>
      </c>
      <c r="D234" s="253" t="s">
        <v>35</v>
      </c>
      <c r="E234" s="252">
        <v>4.00016302E9</v>
      </c>
      <c r="F234" s="253" t="s">
        <v>1805</v>
      </c>
      <c r="G234" s="276">
        <v>45298.0</v>
      </c>
      <c r="H234" s="277">
        <v>45299.0</v>
      </c>
      <c r="I234" s="278">
        <v>1.0</v>
      </c>
      <c r="J234" s="257" t="s">
        <v>78</v>
      </c>
      <c r="K234" s="253" t="s">
        <v>79</v>
      </c>
      <c r="L234" s="253" t="s">
        <v>1443</v>
      </c>
      <c r="M234" s="252">
        <v>2.0</v>
      </c>
      <c r="N234" s="258">
        <v>0.0</v>
      </c>
      <c r="O234" s="259">
        <v>131.23</v>
      </c>
      <c r="P234" s="259">
        <v>104.984</v>
      </c>
      <c r="Q234" s="262">
        <v>0.0</v>
      </c>
      <c r="R234" s="260">
        <v>104.984</v>
      </c>
      <c r="S234" s="260">
        <v>0.0</v>
      </c>
      <c r="T234" s="260">
        <v>131.23</v>
      </c>
      <c r="U234" s="261" t="s">
        <v>1444</v>
      </c>
      <c r="V234" s="279">
        <v>45285.72434027778</v>
      </c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</row>
    <row r="235">
      <c r="A235" s="305">
        <v>45285.0</v>
      </c>
      <c r="B235" s="264">
        <v>5196251.0</v>
      </c>
      <c r="C235" s="265" t="s">
        <v>82</v>
      </c>
      <c r="D235" s="265" t="s">
        <v>35</v>
      </c>
      <c r="E235" s="264">
        <v>4.157052869E9</v>
      </c>
      <c r="F235" s="265" t="s">
        <v>1807</v>
      </c>
      <c r="G235" s="280">
        <v>45383.0</v>
      </c>
      <c r="H235" s="281">
        <v>45385.0</v>
      </c>
      <c r="I235" s="282">
        <v>2.0</v>
      </c>
      <c r="J235" s="283" t="s">
        <v>111</v>
      </c>
      <c r="K235" s="265" t="s">
        <v>79</v>
      </c>
      <c r="L235" s="265" t="s">
        <v>1400</v>
      </c>
      <c r="M235" s="269">
        <v>2.0</v>
      </c>
      <c r="N235" s="270">
        <v>0.0</v>
      </c>
      <c r="O235" s="271">
        <v>173.8</v>
      </c>
      <c r="P235" s="271">
        <v>139.04000000000002</v>
      </c>
      <c r="Q235" s="272">
        <v>0.0</v>
      </c>
      <c r="R235" s="273">
        <v>278.08000000000004</v>
      </c>
      <c r="S235" s="273">
        <v>0.0</v>
      </c>
      <c r="T235" s="273">
        <v>347.6</v>
      </c>
      <c r="U235" s="274" t="s">
        <v>1401</v>
      </c>
      <c r="V235" s="286">
        <v>45285.61949074074</v>
      </c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</row>
    <row r="236">
      <c r="A236" s="304">
        <v>45286.0</v>
      </c>
      <c r="B236" s="252">
        <v>5199967.0</v>
      </c>
      <c r="C236" s="253" t="s">
        <v>75</v>
      </c>
      <c r="D236" s="253" t="s">
        <v>35</v>
      </c>
      <c r="E236" s="252">
        <v>4.163474354E9</v>
      </c>
      <c r="F236" s="253" t="s">
        <v>1808</v>
      </c>
      <c r="G236" s="276">
        <v>45369.0</v>
      </c>
      <c r="H236" s="277">
        <v>45372.0</v>
      </c>
      <c r="I236" s="278">
        <v>3.0</v>
      </c>
      <c r="J236" s="257" t="s">
        <v>114</v>
      </c>
      <c r="K236" s="253" t="s">
        <v>79</v>
      </c>
      <c r="L236" s="253" t="s">
        <v>1724</v>
      </c>
      <c r="M236" s="252">
        <v>2.0</v>
      </c>
      <c r="N236" s="258">
        <v>0.0</v>
      </c>
      <c r="O236" s="259">
        <v>164.75</v>
      </c>
      <c r="P236" s="259">
        <v>131.8</v>
      </c>
      <c r="Q236" s="262">
        <v>0.0</v>
      </c>
      <c r="R236" s="260">
        <v>395.40000000000003</v>
      </c>
      <c r="S236" s="260">
        <v>0.0</v>
      </c>
      <c r="T236" s="260">
        <v>494.25</v>
      </c>
      <c r="U236" s="261" t="s">
        <v>1725</v>
      </c>
      <c r="V236" s="279">
        <v>45369.586875</v>
      </c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</row>
    <row r="237">
      <c r="A237" s="304">
        <v>45286.0</v>
      </c>
      <c r="B237" s="252">
        <v>5198615.0</v>
      </c>
      <c r="C237" s="253" t="s">
        <v>82</v>
      </c>
      <c r="D237" s="253" t="s">
        <v>94</v>
      </c>
      <c r="E237" s="252">
        <v>5198615.0</v>
      </c>
      <c r="F237" s="253" t="s">
        <v>1810</v>
      </c>
      <c r="G237" s="276">
        <v>45384.0</v>
      </c>
      <c r="H237" s="277">
        <v>45387.0</v>
      </c>
      <c r="I237" s="278">
        <v>3.0</v>
      </c>
      <c r="J237" s="257" t="s">
        <v>87</v>
      </c>
      <c r="K237" s="253" t="s">
        <v>79</v>
      </c>
      <c r="L237" s="253" t="s">
        <v>1811</v>
      </c>
      <c r="M237" s="252">
        <v>1.0</v>
      </c>
      <c r="N237" s="258">
        <v>0.0</v>
      </c>
      <c r="O237" s="259">
        <v>130.96666666666667</v>
      </c>
      <c r="P237" s="259">
        <v>129.657</v>
      </c>
      <c r="Q237" s="262">
        <v>0.0</v>
      </c>
      <c r="R237" s="260">
        <v>388.97099999999995</v>
      </c>
      <c r="S237" s="260">
        <v>0.0</v>
      </c>
      <c r="T237" s="260">
        <v>1514.1</v>
      </c>
      <c r="U237" s="261" t="s">
        <v>1812</v>
      </c>
      <c r="V237" s="279">
        <v>45286.57803240741</v>
      </c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</row>
    <row r="238">
      <c r="A238" s="304">
        <v>45286.0</v>
      </c>
      <c r="B238" s="252">
        <v>5198615.0</v>
      </c>
      <c r="C238" s="253" t="s">
        <v>82</v>
      </c>
      <c r="D238" s="253" t="s">
        <v>94</v>
      </c>
      <c r="E238" s="252">
        <v>5198615.0</v>
      </c>
      <c r="F238" s="253" t="s">
        <v>1810</v>
      </c>
      <c r="G238" s="276">
        <v>45384.0</v>
      </c>
      <c r="H238" s="277">
        <v>45387.0</v>
      </c>
      <c r="I238" s="278">
        <v>3.0</v>
      </c>
      <c r="J238" s="257" t="s">
        <v>111</v>
      </c>
      <c r="K238" s="253" t="s">
        <v>79</v>
      </c>
      <c r="L238" s="253" t="s">
        <v>1811</v>
      </c>
      <c r="M238" s="252">
        <v>2.0</v>
      </c>
      <c r="N238" s="258">
        <v>0.0</v>
      </c>
      <c r="O238" s="259">
        <v>186.86666666666667</v>
      </c>
      <c r="P238" s="259">
        <v>184.99800000000002</v>
      </c>
      <c r="Q238" s="262">
        <v>0.0</v>
      </c>
      <c r="R238" s="260">
        <v>554.994</v>
      </c>
      <c r="S238" s="260">
        <v>0.0</v>
      </c>
      <c r="T238" s="260">
        <v>1514.1</v>
      </c>
      <c r="U238" s="261" t="s">
        <v>1812</v>
      </c>
      <c r="V238" s="279">
        <v>45286.57803240741</v>
      </c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</row>
    <row r="239">
      <c r="A239" s="304">
        <v>45286.0</v>
      </c>
      <c r="B239" s="252">
        <v>5198615.0</v>
      </c>
      <c r="C239" s="253" t="s">
        <v>82</v>
      </c>
      <c r="D239" s="253" t="s">
        <v>94</v>
      </c>
      <c r="E239" s="252">
        <v>5198615.0</v>
      </c>
      <c r="F239" s="253" t="s">
        <v>1810</v>
      </c>
      <c r="G239" s="276">
        <v>45384.0</v>
      </c>
      <c r="H239" s="277">
        <v>45387.0</v>
      </c>
      <c r="I239" s="278">
        <v>3.0</v>
      </c>
      <c r="J239" s="257" t="s">
        <v>111</v>
      </c>
      <c r="K239" s="253" t="s">
        <v>79</v>
      </c>
      <c r="L239" s="253" t="s">
        <v>1811</v>
      </c>
      <c r="M239" s="252">
        <v>2.0</v>
      </c>
      <c r="N239" s="258">
        <v>0.0</v>
      </c>
      <c r="O239" s="259">
        <v>186.86666666666667</v>
      </c>
      <c r="P239" s="259">
        <v>184.99800000000002</v>
      </c>
      <c r="Q239" s="262">
        <v>0.0</v>
      </c>
      <c r="R239" s="260">
        <v>554.994</v>
      </c>
      <c r="S239" s="260">
        <v>0.0</v>
      </c>
      <c r="T239" s="260">
        <v>1514.1</v>
      </c>
      <c r="U239" s="261" t="s">
        <v>1812</v>
      </c>
      <c r="V239" s="279">
        <v>45286.57803240741</v>
      </c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</row>
    <row r="240">
      <c r="A240" s="304">
        <v>45286.0</v>
      </c>
      <c r="B240" s="252">
        <v>5199570.0</v>
      </c>
      <c r="C240" s="253" t="s">
        <v>82</v>
      </c>
      <c r="D240" s="253" t="s">
        <v>35</v>
      </c>
      <c r="E240" s="252">
        <v>4.244349052E9</v>
      </c>
      <c r="F240" s="253" t="s">
        <v>1813</v>
      </c>
      <c r="G240" s="276">
        <v>45572.0</v>
      </c>
      <c r="H240" s="311">
        <v>45575.0</v>
      </c>
      <c r="I240" s="278">
        <v>3.0</v>
      </c>
      <c r="J240" s="257" t="s">
        <v>87</v>
      </c>
      <c r="K240" s="253" t="s">
        <v>79</v>
      </c>
      <c r="L240" s="253" t="s">
        <v>1396</v>
      </c>
      <c r="M240" s="252">
        <v>2.0</v>
      </c>
      <c r="N240" s="258">
        <v>0.0</v>
      </c>
      <c r="O240" s="259">
        <v>137.0</v>
      </c>
      <c r="P240" s="259">
        <v>109.60000000000001</v>
      </c>
      <c r="Q240" s="262">
        <v>0.0</v>
      </c>
      <c r="R240" s="260">
        <v>328.8</v>
      </c>
      <c r="S240" s="260">
        <v>0.0</v>
      </c>
      <c r="T240" s="260">
        <v>411.0</v>
      </c>
      <c r="U240" s="253" t="s">
        <v>1398</v>
      </c>
      <c r="V240" s="279">
        <v>45286.83133101852</v>
      </c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</row>
    <row r="241">
      <c r="A241" s="304">
        <v>45287.0</v>
      </c>
      <c r="B241" s="252">
        <v>5202004.0</v>
      </c>
      <c r="C241" s="253" t="s">
        <v>89</v>
      </c>
      <c r="D241" s="253" t="s">
        <v>35</v>
      </c>
      <c r="E241" s="252">
        <v>4.216647298E9</v>
      </c>
      <c r="F241" s="253" t="s">
        <v>1814</v>
      </c>
      <c r="G241" s="276">
        <v>45299.0</v>
      </c>
      <c r="H241" s="277">
        <v>45300.0</v>
      </c>
      <c r="I241" s="278">
        <v>1.0</v>
      </c>
      <c r="J241" s="257" t="s">
        <v>114</v>
      </c>
      <c r="K241" s="253" t="s">
        <v>79</v>
      </c>
      <c r="L241" s="253" t="s">
        <v>1724</v>
      </c>
      <c r="M241" s="252">
        <v>2.0</v>
      </c>
      <c r="N241" s="258">
        <v>0.0</v>
      </c>
      <c r="O241" s="259">
        <v>0.0</v>
      </c>
      <c r="P241" s="259">
        <v>0.0</v>
      </c>
      <c r="Q241" s="262">
        <v>0.0</v>
      </c>
      <c r="R241" s="260">
        <v>0.0</v>
      </c>
      <c r="S241" s="260">
        <v>0.0</v>
      </c>
      <c r="T241" s="260">
        <v>0.0</v>
      </c>
      <c r="U241" s="261" t="s">
        <v>1815</v>
      </c>
      <c r="V241" s="279">
        <v>45287.766747685186</v>
      </c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</row>
    <row r="242">
      <c r="A242" s="304">
        <v>45287.0</v>
      </c>
      <c r="B242" s="252">
        <v>5202191.0</v>
      </c>
      <c r="C242" s="253" t="s">
        <v>82</v>
      </c>
      <c r="D242" s="253" t="s">
        <v>35</v>
      </c>
      <c r="E242" s="252">
        <v>4.216636896E9</v>
      </c>
      <c r="F242" s="253" t="s">
        <v>1816</v>
      </c>
      <c r="G242" s="276">
        <v>45316.0</v>
      </c>
      <c r="H242" s="277">
        <v>45318.0</v>
      </c>
      <c r="I242" s="278">
        <v>2.0</v>
      </c>
      <c r="J242" s="257" t="s">
        <v>111</v>
      </c>
      <c r="K242" s="253" t="s">
        <v>79</v>
      </c>
      <c r="L242" s="253" t="s">
        <v>1414</v>
      </c>
      <c r="M242" s="252">
        <v>2.0</v>
      </c>
      <c r="N242" s="258">
        <v>0.0</v>
      </c>
      <c r="O242" s="259">
        <v>123.44</v>
      </c>
      <c r="P242" s="259">
        <v>98.75200000000001</v>
      </c>
      <c r="Q242" s="262">
        <v>0.0</v>
      </c>
      <c r="R242" s="260">
        <v>197.50400000000002</v>
      </c>
      <c r="S242" s="260">
        <v>0.0</v>
      </c>
      <c r="T242" s="273">
        <v>246.88</v>
      </c>
      <c r="U242" s="274" t="s">
        <v>1415</v>
      </c>
      <c r="V242" s="284">
        <v>45287.81321759259</v>
      </c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</row>
    <row r="243">
      <c r="A243" s="303">
        <v>45287.0</v>
      </c>
      <c r="B243" s="290">
        <v>5200912.0</v>
      </c>
      <c r="C243" s="291" t="s">
        <v>82</v>
      </c>
      <c r="D243" s="291" t="s">
        <v>35</v>
      </c>
      <c r="E243" s="290">
        <v>4.154935355E9</v>
      </c>
      <c r="F243" s="291" t="s">
        <v>1817</v>
      </c>
      <c r="G243" s="289">
        <v>45599.0</v>
      </c>
      <c r="H243" s="292">
        <v>45600.0</v>
      </c>
      <c r="I243" s="293">
        <v>1.0</v>
      </c>
      <c r="J243" s="294" t="s">
        <v>87</v>
      </c>
      <c r="K243" s="291" t="s">
        <v>79</v>
      </c>
      <c r="L243" s="291" t="s">
        <v>1400</v>
      </c>
      <c r="M243" s="290">
        <v>2.0</v>
      </c>
      <c r="N243" s="295">
        <v>0.0</v>
      </c>
      <c r="O243" s="296">
        <v>135.04</v>
      </c>
      <c r="P243" s="296">
        <v>108.032</v>
      </c>
      <c r="Q243" s="301">
        <v>0.0</v>
      </c>
      <c r="R243" s="297">
        <v>108.032</v>
      </c>
      <c r="S243" s="297">
        <v>0.0</v>
      </c>
      <c r="T243" s="297">
        <v>135.04</v>
      </c>
      <c r="U243" s="298" t="s">
        <v>1401</v>
      </c>
      <c r="V243" s="299">
        <v>45287.49239583334</v>
      </c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</row>
    <row r="244">
      <c r="A244" s="304">
        <v>45288.0</v>
      </c>
      <c r="B244" s="252">
        <v>5204874.0</v>
      </c>
      <c r="C244" s="253" t="s">
        <v>82</v>
      </c>
      <c r="D244" s="253" t="s">
        <v>35</v>
      </c>
      <c r="E244" s="252">
        <v>4.014259671E9</v>
      </c>
      <c r="F244" s="253" t="s">
        <v>1818</v>
      </c>
      <c r="G244" s="276">
        <v>45323.0</v>
      </c>
      <c r="H244" s="277">
        <v>45325.0</v>
      </c>
      <c r="I244" s="278">
        <v>2.0</v>
      </c>
      <c r="J244" s="257" t="s">
        <v>87</v>
      </c>
      <c r="K244" s="253" t="s">
        <v>79</v>
      </c>
      <c r="L244" s="253" t="s">
        <v>1396</v>
      </c>
      <c r="M244" s="275">
        <v>2.0</v>
      </c>
      <c r="N244" s="258">
        <v>0.0</v>
      </c>
      <c r="O244" s="259">
        <v>106.1</v>
      </c>
      <c r="P244" s="259">
        <v>84.88</v>
      </c>
      <c r="Q244" s="262">
        <v>0.0</v>
      </c>
      <c r="R244" s="260">
        <v>169.76</v>
      </c>
      <c r="S244" s="260">
        <v>0.0</v>
      </c>
      <c r="T244" s="260">
        <v>212.2</v>
      </c>
      <c r="U244" s="261" t="s">
        <v>1398</v>
      </c>
      <c r="V244" s="279">
        <v>45288.81254629629</v>
      </c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</row>
    <row r="245">
      <c r="A245" s="305">
        <v>45288.0</v>
      </c>
      <c r="B245" s="264">
        <v>5205160.0</v>
      </c>
      <c r="C245" s="265" t="s">
        <v>82</v>
      </c>
      <c r="D245" s="302" t="s">
        <v>35</v>
      </c>
      <c r="E245" s="264">
        <v>4.234673089E9</v>
      </c>
      <c r="F245" s="265" t="s">
        <v>1819</v>
      </c>
      <c r="G245" s="280">
        <v>45369.0</v>
      </c>
      <c r="H245" s="281">
        <v>45373.0</v>
      </c>
      <c r="I245" s="282">
        <v>4.0</v>
      </c>
      <c r="J245" s="283" t="s">
        <v>78</v>
      </c>
      <c r="K245" s="265" t="s">
        <v>79</v>
      </c>
      <c r="L245" s="265" t="s">
        <v>1396</v>
      </c>
      <c r="M245" s="269">
        <v>2.0</v>
      </c>
      <c r="N245" s="270">
        <v>0.0</v>
      </c>
      <c r="O245" s="271">
        <v>118.85</v>
      </c>
      <c r="P245" s="271">
        <v>95.08</v>
      </c>
      <c r="Q245" s="272">
        <v>0.0</v>
      </c>
      <c r="R245" s="273">
        <v>380.32</v>
      </c>
      <c r="S245" s="273">
        <v>0.0</v>
      </c>
      <c r="T245" s="273">
        <v>475.4</v>
      </c>
      <c r="U245" s="274" t="s">
        <v>1398</v>
      </c>
      <c r="V245" s="286">
        <v>45288.88684027777</v>
      </c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</row>
    <row r="246">
      <c r="A246" s="305">
        <v>45289.0</v>
      </c>
      <c r="B246" s="264">
        <v>5207517.0</v>
      </c>
      <c r="C246" s="265" t="s">
        <v>82</v>
      </c>
      <c r="D246" s="265" t="s">
        <v>35</v>
      </c>
      <c r="E246" s="264">
        <v>4.087352249E9</v>
      </c>
      <c r="F246" s="265" t="s">
        <v>1820</v>
      </c>
      <c r="G246" s="280">
        <v>45319.0</v>
      </c>
      <c r="H246" s="281">
        <v>45325.0</v>
      </c>
      <c r="I246" s="282">
        <v>6.0</v>
      </c>
      <c r="J246" s="283" t="s">
        <v>78</v>
      </c>
      <c r="K246" s="265" t="s">
        <v>79</v>
      </c>
      <c r="L246" s="265" t="s">
        <v>1396</v>
      </c>
      <c r="M246" s="269">
        <v>2.0</v>
      </c>
      <c r="N246" s="270">
        <v>0.0</v>
      </c>
      <c r="O246" s="271">
        <v>136.96666666666667</v>
      </c>
      <c r="P246" s="271">
        <v>109.57333333333334</v>
      </c>
      <c r="Q246" s="272">
        <v>0.0</v>
      </c>
      <c r="R246" s="273">
        <v>657.44</v>
      </c>
      <c r="S246" s="273">
        <v>0.0</v>
      </c>
      <c r="T246" s="273">
        <v>821.8</v>
      </c>
      <c r="U246" s="274" t="s">
        <v>1398</v>
      </c>
      <c r="V246" s="284">
        <v>45289.829201388886</v>
      </c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</row>
    <row r="247">
      <c r="A247" s="304">
        <v>45289.0</v>
      </c>
      <c r="B247" s="252">
        <v>5207181.0</v>
      </c>
      <c r="C247" s="253" t="s">
        <v>82</v>
      </c>
      <c r="D247" s="253" t="s">
        <v>35</v>
      </c>
      <c r="E247" s="252">
        <v>4.189926793E9</v>
      </c>
      <c r="F247" s="253" t="s">
        <v>1821</v>
      </c>
      <c r="G247" s="276">
        <v>45326.0</v>
      </c>
      <c r="H247" s="277">
        <v>45330.0</v>
      </c>
      <c r="I247" s="278">
        <v>4.0</v>
      </c>
      <c r="J247" s="257" t="s">
        <v>78</v>
      </c>
      <c r="K247" s="253" t="s">
        <v>79</v>
      </c>
      <c r="L247" s="253" t="s">
        <v>1443</v>
      </c>
      <c r="M247" s="252">
        <v>2.0</v>
      </c>
      <c r="N247" s="258">
        <v>0.0</v>
      </c>
      <c r="O247" s="259">
        <v>134.47</v>
      </c>
      <c r="P247" s="259">
        <v>107.57600000000001</v>
      </c>
      <c r="Q247" s="262">
        <v>0.0</v>
      </c>
      <c r="R247" s="260">
        <v>430.30400000000003</v>
      </c>
      <c r="S247" s="260">
        <v>0.0</v>
      </c>
      <c r="T247" s="260">
        <v>537.88</v>
      </c>
      <c r="U247" s="261" t="s">
        <v>1444</v>
      </c>
      <c r="V247" s="279">
        <v>45289.72436342592</v>
      </c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</row>
    <row r="248">
      <c r="A248" s="304">
        <v>45289.0</v>
      </c>
      <c r="B248" s="252">
        <v>5207921.0</v>
      </c>
      <c r="C248" s="253" t="s">
        <v>82</v>
      </c>
      <c r="D248" s="253" t="s">
        <v>35</v>
      </c>
      <c r="E248" s="252">
        <v>4.021643288E9</v>
      </c>
      <c r="F248" s="253" t="s">
        <v>1822</v>
      </c>
      <c r="G248" s="276">
        <v>45355.0</v>
      </c>
      <c r="H248" s="277">
        <v>45357.0</v>
      </c>
      <c r="I248" s="278">
        <v>2.0</v>
      </c>
      <c r="J248" s="257" t="s">
        <v>78</v>
      </c>
      <c r="K248" s="253" t="s">
        <v>79</v>
      </c>
      <c r="L248" s="253" t="s">
        <v>1396</v>
      </c>
      <c r="M248" s="252">
        <v>3.0</v>
      </c>
      <c r="N248" s="258">
        <v>0.0</v>
      </c>
      <c r="O248" s="259">
        <v>139.83</v>
      </c>
      <c r="P248" s="259">
        <v>111.86400000000002</v>
      </c>
      <c r="Q248" s="262">
        <v>0.0</v>
      </c>
      <c r="R248" s="260">
        <v>223.72800000000004</v>
      </c>
      <c r="S248" s="260">
        <v>0.0</v>
      </c>
      <c r="T248" s="260">
        <v>279.66</v>
      </c>
      <c r="U248" s="261" t="s">
        <v>1398</v>
      </c>
      <c r="V248" s="279">
        <v>45289.95421296296</v>
      </c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</row>
    <row r="249">
      <c r="A249" s="304">
        <v>45289.0</v>
      </c>
      <c r="B249" s="252">
        <v>5206452.0</v>
      </c>
      <c r="C249" s="253" t="s">
        <v>75</v>
      </c>
      <c r="D249" s="253" t="s">
        <v>35</v>
      </c>
      <c r="E249" s="252">
        <v>4.161034093E9</v>
      </c>
      <c r="F249" s="253" t="s">
        <v>1824</v>
      </c>
      <c r="G249" s="276">
        <v>45365.0</v>
      </c>
      <c r="H249" s="277">
        <v>45366.0</v>
      </c>
      <c r="I249" s="278">
        <v>1.0</v>
      </c>
      <c r="J249" s="257" t="s">
        <v>78</v>
      </c>
      <c r="K249" s="253" t="s">
        <v>79</v>
      </c>
      <c r="L249" s="253" t="s">
        <v>1825</v>
      </c>
      <c r="M249" s="275">
        <v>2.0</v>
      </c>
      <c r="N249" s="258">
        <v>0.0</v>
      </c>
      <c r="O249" s="259">
        <v>194.0</v>
      </c>
      <c r="P249" s="259">
        <v>155.20000000000002</v>
      </c>
      <c r="Q249" s="262">
        <v>0.0</v>
      </c>
      <c r="R249" s="260">
        <v>155.20000000000002</v>
      </c>
      <c r="S249" s="260">
        <v>0.0</v>
      </c>
      <c r="T249" s="273">
        <v>194.0</v>
      </c>
      <c r="U249" s="274" t="s">
        <v>1826</v>
      </c>
      <c r="V249" s="284">
        <v>45312.612534722226</v>
      </c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</row>
    <row r="250">
      <c r="A250" s="304">
        <v>45290.0</v>
      </c>
      <c r="B250" s="252">
        <v>5209374.0</v>
      </c>
      <c r="C250" s="253" t="s">
        <v>82</v>
      </c>
      <c r="D250" s="253" t="s">
        <v>35</v>
      </c>
      <c r="E250" s="252">
        <v>4.285027562E9</v>
      </c>
      <c r="F250" s="253" t="s">
        <v>1827</v>
      </c>
      <c r="G250" s="276">
        <v>45298.0</v>
      </c>
      <c r="H250" s="277">
        <v>45300.0</v>
      </c>
      <c r="I250" s="278">
        <v>2.0</v>
      </c>
      <c r="J250" s="257" t="s">
        <v>87</v>
      </c>
      <c r="K250" s="253" t="s">
        <v>79</v>
      </c>
      <c r="L250" s="253" t="s">
        <v>1396</v>
      </c>
      <c r="M250" s="252">
        <v>2.0</v>
      </c>
      <c r="N250" s="258">
        <v>0.0</v>
      </c>
      <c r="O250" s="259">
        <v>100.33</v>
      </c>
      <c r="P250" s="259">
        <v>80.26400000000001</v>
      </c>
      <c r="Q250" s="262">
        <v>0.0</v>
      </c>
      <c r="R250" s="260">
        <v>160.52800000000002</v>
      </c>
      <c r="S250" s="260">
        <v>0.0</v>
      </c>
      <c r="T250" s="260">
        <v>200.66</v>
      </c>
      <c r="U250" s="261" t="s">
        <v>1398</v>
      </c>
      <c r="V250" s="279">
        <v>45290.64934027778</v>
      </c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</row>
    <row r="251">
      <c r="A251" s="304">
        <v>45290.0</v>
      </c>
      <c r="B251" s="252">
        <v>5209707.0</v>
      </c>
      <c r="C251" s="253" t="s">
        <v>82</v>
      </c>
      <c r="D251" s="253" t="s">
        <v>35</v>
      </c>
      <c r="E251" s="252">
        <v>4.251436912E9</v>
      </c>
      <c r="F251" s="253" t="s">
        <v>1828</v>
      </c>
      <c r="G251" s="276">
        <v>45299.0</v>
      </c>
      <c r="H251" s="277">
        <v>45302.0</v>
      </c>
      <c r="I251" s="278">
        <v>3.0</v>
      </c>
      <c r="J251" s="257" t="s">
        <v>78</v>
      </c>
      <c r="K251" s="253" t="s">
        <v>79</v>
      </c>
      <c r="L251" s="253" t="s">
        <v>1396</v>
      </c>
      <c r="M251" s="252">
        <v>2.0</v>
      </c>
      <c r="N251" s="258">
        <v>0.0</v>
      </c>
      <c r="O251" s="259">
        <v>131.23</v>
      </c>
      <c r="P251" s="259">
        <v>104.984</v>
      </c>
      <c r="Q251" s="262">
        <v>0.0</v>
      </c>
      <c r="R251" s="260">
        <v>314.952</v>
      </c>
      <c r="S251" s="260">
        <v>0.0</v>
      </c>
      <c r="T251" s="260">
        <v>393.69</v>
      </c>
      <c r="U251" s="261" t="s">
        <v>1398</v>
      </c>
      <c r="V251" s="279">
        <v>45290.75003472222</v>
      </c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</row>
    <row r="252">
      <c r="A252" s="305">
        <v>45290.0</v>
      </c>
      <c r="B252" s="264">
        <v>5209805.0</v>
      </c>
      <c r="C252" s="265" t="s">
        <v>89</v>
      </c>
      <c r="D252" s="265" t="s">
        <v>35</v>
      </c>
      <c r="E252" s="264">
        <v>4.251415667E9</v>
      </c>
      <c r="F252" s="265" t="s">
        <v>1830</v>
      </c>
      <c r="G252" s="280">
        <v>45370.0</v>
      </c>
      <c r="H252" s="281">
        <v>45373.0</v>
      </c>
      <c r="I252" s="282">
        <v>3.0</v>
      </c>
      <c r="J252" s="283" t="s">
        <v>78</v>
      </c>
      <c r="K252" s="265" t="s">
        <v>79</v>
      </c>
      <c r="L252" s="265" t="s">
        <v>1724</v>
      </c>
      <c r="M252" s="269">
        <v>2.0</v>
      </c>
      <c r="N252" s="270">
        <v>0.0</v>
      </c>
      <c r="O252" s="271">
        <v>0.0</v>
      </c>
      <c r="P252" s="271">
        <v>0.0</v>
      </c>
      <c r="Q252" s="272">
        <v>0.0</v>
      </c>
      <c r="R252" s="273">
        <v>0.0</v>
      </c>
      <c r="S252" s="273">
        <v>0.0</v>
      </c>
      <c r="T252" s="273">
        <v>0.0</v>
      </c>
      <c r="U252" s="274" t="s">
        <v>1831</v>
      </c>
      <c r="V252" s="286">
        <v>45290.78267361112</v>
      </c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</row>
    <row r="253">
      <c r="A253" s="304">
        <v>45290.0</v>
      </c>
      <c r="B253" s="252">
        <v>5209893.0</v>
      </c>
      <c r="C253" s="253" t="s">
        <v>75</v>
      </c>
      <c r="D253" s="253" t="s">
        <v>35</v>
      </c>
      <c r="E253" s="252">
        <v>4.075026324E9</v>
      </c>
      <c r="F253" s="253" t="s">
        <v>1833</v>
      </c>
      <c r="G253" s="276">
        <v>45375.0</v>
      </c>
      <c r="H253" s="277">
        <v>45378.0</v>
      </c>
      <c r="I253" s="278">
        <v>3.0</v>
      </c>
      <c r="J253" s="257" t="s">
        <v>78</v>
      </c>
      <c r="K253" s="253" t="s">
        <v>79</v>
      </c>
      <c r="L253" s="253" t="s">
        <v>1724</v>
      </c>
      <c r="M253" s="252">
        <v>2.0</v>
      </c>
      <c r="N253" s="258">
        <v>0.0</v>
      </c>
      <c r="O253" s="259">
        <v>148.81</v>
      </c>
      <c r="P253" s="259">
        <v>119.048</v>
      </c>
      <c r="Q253" s="262">
        <v>0.0</v>
      </c>
      <c r="R253" s="260">
        <v>357.144</v>
      </c>
      <c r="S253" s="260">
        <v>0.0</v>
      </c>
      <c r="T253" s="260">
        <v>446.43</v>
      </c>
      <c r="U253" s="261" t="s">
        <v>1725</v>
      </c>
      <c r="V253" s="279">
        <v>45340.65907407408</v>
      </c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</row>
    <row r="254">
      <c r="A254" s="304">
        <v>45291.0</v>
      </c>
      <c r="B254" s="252">
        <v>5211593.0</v>
      </c>
      <c r="C254" s="253" t="s">
        <v>82</v>
      </c>
      <c r="D254" s="253" t="s">
        <v>35</v>
      </c>
      <c r="E254" s="252">
        <v>4.132415607E9</v>
      </c>
      <c r="F254" s="253" t="s">
        <v>1835</v>
      </c>
      <c r="G254" s="276">
        <v>45305.0</v>
      </c>
      <c r="H254" s="277">
        <v>45310.0</v>
      </c>
      <c r="I254" s="278">
        <v>5.0</v>
      </c>
      <c r="J254" s="257" t="s">
        <v>87</v>
      </c>
      <c r="K254" s="253" t="s">
        <v>79</v>
      </c>
      <c r="L254" s="253" t="s">
        <v>1724</v>
      </c>
      <c r="M254" s="275">
        <v>2.0</v>
      </c>
      <c r="N254" s="258">
        <v>0.0</v>
      </c>
      <c r="O254" s="259">
        <v>111.2</v>
      </c>
      <c r="P254" s="259">
        <v>88.96000000000001</v>
      </c>
      <c r="Q254" s="262">
        <v>0.0</v>
      </c>
      <c r="R254" s="260">
        <v>444.8</v>
      </c>
      <c r="S254" s="260">
        <v>0.0</v>
      </c>
      <c r="T254" s="260">
        <v>556.0</v>
      </c>
      <c r="U254" s="261" t="s">
        <v>1725</v>
      </c>
      <c r="V254" s="279">
        <v>45291.629895833335</v>
      </c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</row>
    <row r="255">
      <c r="A255" s="304">
        <v>45291.0</v>
      </c>
      <c r="B255" s="252">
        <v>5211774.0</v>
      </c>
      <c r="C255" s="253" t="s">
        <v>82</v>
      </c>
      <c r="D255" s="253" t="s">
        <v>35</v>
      </c>
      <c r="E255" s="252">
        <v>4.246544009E9</v>
      </c>
      <c r="F255" s="253" t="s">
        <v>1837</v>
      </c>
      <c r="G255" s="276">
        <v>45319.0</v>
      </c>
      <c r="H255" s="277">
        <v>45321.0</v>
      </c>
      <c r="I255" s="278">
        <v>2.0</v>
      </c>
      <c r="J255" s="257" t="s">
        <v>78</v>
      </c>
      <c r="K255" s="253" t="s">
        <v>79</v>
      </c>
      <c r="L255" s="253" t="s">
        <v>1396</v>
      </c>
      <c r="M255" s="275">
        <v>2.0</v>
      </c>
      <c r="N255" s="258">
        <v>0.0</v>
      </c>
      <c r="O255" s="259">
        <v>148.56</v>
      </c>
      <c r="P255" s="259">
        <v>118.84800000000001</v>
      </c>
      <c r="Q255" s="262">
        <v>0.0</v>
      </c>
      <c r="R255" s="260">
        <v>237.69600000000003</v>
      </c>
      <c r="S255" s="260">
        <v>0.0</v>
      </c>
      <c r="T255" s="260">
        <v>297.12</v>
      </c>
      <c r="U255" s="261" t="s">
        <v>1398</v>
      </c>
      <c r="V255" s="279">
        <v>45291.69726851852</v>
      </c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</row>
    <row r="256">
      <c r="A256" s="304">
        <v>45291.0</v>
      </c>
      <c r="B256" s="252">
        <v>5211491.0</v>
      </c>
      <c r="C256" s="253" t="s">
        <v>89</v>
      </c>
      <c r="D256" s="253" t="s">
        <v>35</v>
      </c>
      <c r="E256" s="252">
        <v>4.246588286E9</v>
      </c>
      <c r="F256" s="253" t="s">
        <v>1839</v>
      </c>
      <c r="G256" s="276">
        <v>45393.0</v>
      </c>
      <c r="H256" s="277">
        <v>45400.0</v>
      </c>
      <c r="I256" s="278">
        <v>7.0</v>
      </c>
      <c r="J256" s="257" t="s">
        <v>114</v>
      </c>
      <c r="K256" s="253" t="s">
        <v>79</v>
      </c>
      <c r="L256" s="253" t="s">
        <v>1567</v>
      </c>
      <c r="M256" s="275">
        <v>2.0</v>
      </c>
      <c r="N256" s="258">
        <v>0.0</v>
      </c>
      <c r="O256" s="259">
        <v>0.0</v>
      </c>
      <c r="P256" s="259">
        <v>0.0</v>
      </c>
      <c r="Q256" s="262">
        <v>0.0</v>
      </c>
      <c r="R256" s="260">
        <v>0.0</v>
      </c>
      <c r="S256" s="260">
        <v>0.0</v>
      </c>
      <c r="T256" s="260">
        <v>0.0</v>
      </c>
      <c r="U256" s="261" t="s">
        <v>1840</v>
      </c>
      <c r="V256" s="279">
        <v>45291.60490740741</v>
      </c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</row>
    <row r="257">
      <c r="A257" s="276">
        <v>45292.0</v>
      </c>
      <c r="B257" s="252">
        <v>5212933.0</v>
      </c>
      <c r="C257" s="253" t="s">
        <v>82</v>
      </c>
      <c r="D257" s="253" t="s">
        <v>94</v>
      </c>
      <c r="E257" s="252">
        <v>5212933.0</v>
      </c>
      <c r="F257" s="253" t="s">
        <v>1841</v>
      </c>
      <c r="G257" s="276">
        <v>45294.0</v>
      </c>
      <c r="H257" s="277">
        <v>45295.0</v>
      </c>
      <c r="I257" s="278">
        <v>1.0</v>
      </c>
      <c r="J257" s="257" t="s">
        <v>114</v>
      </c>
      <c r="K257" s="253" t="s">
        <v>79</v>
      </c>
      <c r="L257" s="253" t="s">
        <v>1462</v>
      </c>
      <c r="M257" s="275">
        <v>2.0</v>
      </c>
      <c r="N257" s="258">
        <v>0.0</v>
      </c>
      <c r="O257" s="259">
        <v>176.0</v>
      </c>
      <c r="P257" s="259">
        <v>174.24</v>
      </c>
      <c r="Q257" s="262">
        <v>0.0</v>
      </c>
      <c r="R257" s="260">
        <v>174.24</v>
      </c>
      <c r="S257" s="260">
        <v>0.0</v>
      </c>
      <c r="T257" s="260">
        <v>176.0</v>
      </c>
      <c r="U257" s="261" t="s">
        <v>1463</v>
      </c>
      <c r="V257" s="279">
        <v>45292.45318287037</v>
      </c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</row>
    <row r="258">
      <c r="A258" s="276">
        <v>45292.0</v>
      </c>
      <c r="B258" s="252">
        <v>5212986.0</v>
      </c>
      <c r="C258" s="253" t="s">
        <v>82</v>
      </c>
      <c r="D258" s="253" t="s">
        <v>35</v>
      </c>
      <c r="E258" s="252">
        <v>4.016078219E9</v>
      </c>
      <c r="F258" s="253" t="s">
        <v>1842</v>
      </c>
      <c r="G258" s="276">
        <v>45306.0</v>
      </c>
      <c r="H258" s="277">
        <v>45309.0</v>
      </c>
      <c r="I258" s="278">
        <v>3.0</v>
      </c>
      <c r="J258" s="257" t="s">
        <v>78</v>
      </c>
      <c r="K258" s="253" t="s">
        <v>79</v>
      </c>
      <c r="L258" s="253" t="s">
        <v>1396</v>
      </c>
      <c r="M258" s="252">
        <v>2.0</v>
      </c>
      <c r="N258" s="258">
        <v>0.0</v>
      </c>
      <c r="O258" s="259">
        <v>117.2</v>
      </c>
      <c r="P258" s="259">
        <v>93.76</v>
      </c>
      <c r="Q258" s="262">
        <v>0.0</v>
      </c>
      <c r="R258" s="260">
        <v>281.28000000000003</v>
      </c>
      <c r="S258" s="260">
        <v>0.0</v>
      </c>
      <c r="T258" s="260">
        <v>351.6</v>
      </c>
      <c r="U258" s="261" t="s">
        <v>1398</v>
      </c>
      <c r="V258" s="279">
        <v>45292.47295138889</v>
      </c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</row>
    <row r="259">
      <c r="A259" s="276">
        <v>45292.0</v>
      </c>
      <c r="B259" s="252">
        <v>5213199.0</v>
      </c>
      <c r="C259" s="253" t="s">
        <v>82</v>
      </c>
      <c r="D259" s="253" t="s">
        <v>35</v>
      </c>
      <c r="E259" s="252">
        <v>4.134966705E9</v>
      </c>
      <c r="F259" s="253" t="s">
        <v>1843</v>
      </c>
      <c r="G259" s="276">
        <v>45345.0</v>
      </c>
      <c r="H259" s="277">
        <v>45348.0</v>
      </c>
      <c r="I259" s="278">
        <v>3.0</v>
      </c>
      <c r="J259" s="257" t="s">
        <v>87</v>
      </c>
      <c r="K259" s="253" t="s">
        <v>79</v>
      </c>
      <c r="L259" s="253" t="s">
        <v>1724</v>
      </c>
      <c r="M259" s="252">
        <v>2.0</v>
      </c>
      <c r="N259" s="258">
        <v>0.0</v>
      </c>
      <c r="O259" s="259">
        <v>132.88</v>
      </c>
      <c r="P259" s="259">
        <v>106.304</v>
      </c>
      <c r="Q259" s="262">
        <v>0.0</v>
      </c>
      <c r="R259" s="260">
        <v>318.91200000000003</v>
      </c>
      <c r="S259" s="260">
        <v>0.0</v>
      </c>
      <c r="T259" s="260">
        <v>398.64</v>
      </c>
      <c r="U259" s="261" t="s">
        <v>1725</v>
      </c>
      <c r="V259" s="279">
        <v>45292.54452546296</v>
      </c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</row>
    <row r="260">
      <c r="A260" s="210">
        <v>45292.0</v>
      </c>
      <c r="B260" s="166">
        <v>5214635.0</v>
      </c>
      <c r="C260" s="166" t="s">
        <v>89</v>
      </c>
      <c r="D260" s="166" t="s">
        <v>35</v>
      </c>
      <c r="E260" s="166">
        <v>4.162518266E9</v>
      </c>
      <c r="F260" s="166" t="s">
        <v>1845</v>
      </c>
      <c r="G260" s="210">
        <v>45409.0</v>
      </c>
      <c r="H260" s="287">
        <v>45414.0</v>
      </c>
      <c r="I260" s="168">
        <v>5.0</v>
      </c>
      <c r="J260" s="169" t="s">
        <v>78</v>
      </c>
      <c r="K260" s="166" t="s">
        <v>79</v>
      </c>
      <c r="L260" s="166" t="s">
        <v>1400</v>
      </c>
      <c r="M260" s="205">
        <v>2.0</v>
      </c>
      <c r="N260" s="170">
        <v>0.0</v>
      </c>
      <c r="O260" s="171">
        <v>0.0</v>
      </c>
      <c r="P260" s="171">
        <v>0.0</v>
      </c>
      <c r="Q260" s="172">
        <v>0.0</v>
      </c>
      <c r="R260" s="173">
        <v>0.0</v>
      </c>
      <c r="S260" s="173">
        <v>0.0</v>
      </c>
      <c r="T260" s="173">
        <v>0.0</v>
      </c>
      <c r="U260" s="174" t="s">
        <v>1846</v>
      </c>
      <c r="V260" s="288">
        <v>45293.00215277778</v>
      </c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</row>
    <row r="261">
      <c r="A261" s="276">
        <v>45293.0</v>
      </c>
      <c r="B261" s="252">
        <v>5217715.0</v>
      </c>
      <c r="C261" s="253" t="s">
        <v>82</v>
      </c>
      <c r="D261" s="253" t="s">
        <v>35</v>
      </c>
      <c r="E261" s="252">
        <v>4.176367189E9</v>
      </c>
      <c r="F261" s="253" t="s">
        <v>1847</v>
      </c>
      <c r="G261" s="276">
        <v>45315.0</v>
      </c>
      <c r="H261" s="277">
        <v>45317.0</v>
      </c>
      <c r="I261" s="278">
        <v>2.0</v>
      </c>
      <c r="J261" s="257" t="s">
        <v>78</v>
      </c>
      <c r="K261" s="253" t="s">
        <v>79</v>
      </c>
      <c r="L261" s="253" t="s">
        <v>1396</v>
      </c>
      <c r="M261" s="275">
        <v>3.0</v>
      </c>
      <c r="N261" s="258">
        <v>0.0</v>
      </c>
      <c r="O261" s="259">
        <v>118.21</v>
      </c>
      <c r="P261" s="259">
        <v>94.568</v>
      </c>
      <c r="Q261" s="262">
        <v>0.0</v>
      </c>
      <c r="R261" s="260">
        <v>189.136</v>
      </c>
      <c r="S261" s="260">
        <v>0.0</v>
      </c>
      <c r="T261" s="260">
        <v>236.42</v>
      </c>
      <c r="U261" s="261" t="s">
        <v>1398</v>
      </c>
      <c r="V261" s="279">
        <v>45294.025729166664</v>
      </c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</row>
    <row r="262">
      <c r="A262" s="276">
        <v>45293.0</v>
      </c>
      <c r="B262" s="252">
        <v>5217413.0</v>
      </c>
      <c r="C262" s="253" t="s">
        <v>82</v>
      </c>
      <c r="D262" s="253" t="s">
        <v>94</v>
      </c>
      <c r="E262" s="252" t="s">
        <v>1848</v>
      </c>
      <c r="F262" s="253" t="s">
        <v>1849</v>
      </c>
      <c r="G262" s="276">
        <v>45347.0</v>
      </c>
      <c r="H262" s="277">
        <v>45348.0</v>
      </c>
      <c r="I262" s="278">
        <v>1.0</v>
      </c>
      <c r="J262" s="257" t="s">
        <v>78</v>
      </c>
      <c r="K262" s="253" t="s">
        <v>79</v>
      </c>
      <c r="L262" s="253" t="s">
        <v>1669</v>
      </c>
      <c r="M262" s="252">
        <v>2.0</v>
      </c>
      <c r="N262" s="258">
        <v>0.0</v>
      </c>
      <c r="O262" s="259">
        <v>80.0</v>
      </c>
      <c r="P262" s="259">
        <v>79.2</v>
      </c>
      <c r="Q262" s="257">
        <v>0.0</v>
      </c>
      <c r="R262" s="260">
        <v>79.2</v>
      </c>
      <c r="S262" s="260">
        <v>0.0</v>
      </c>
      <c r="T262" s="260">
        <v>80.0</v>
      </c>
      <c r="U262" s="261" t="s">
        <v>1671</v>
      </c>
      <c r="V262" s="279">
        <v>45293.9164699074</v>
      </c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</row>
    <row r="263">
      <c r="A263" s="289">
        <v>45293.0</v>
      </c>
      <c r="B263" s="290">
        <v>5217186.0</v>
      </c>
      <c r="C263" s="291" t="s">
        <v>82</v>
      </c>
      <c r="D263" s="291" t="s">
        <v>35</v>
      </c>
      <c r="E263" s="290">
        <v>4.087997318E9</v>
      </c>
      <c r="F263" s="291" t="s">
        <v>1851</v>
      </c>
      <c r="G263" s="289">
        <v>45350.0</v>
      </c>
      <c r="H263" s="292">
        <v>45352.0</v>
      </c>
      <c r="I263" s="293">
        <v>2.0</v>
      </c>
      <c r="J263" s="294" t="s">
        <v>87</v>
      </c>
      <c r="K263" s="291" t="s">
        <v>79</v>
      </c>
      <c r="L263" s="291" t="s">
        <v>1724</v>
      </c>
      <c r="M263" s="300">
        <v>2.0</v>
      </c>
      <c r="N263" s="295">
        <v>0.0</v>
      </c>
      <c r="O263" s="296">
        <v>125.0</v>
      </c>
      <c r="P263" s="296">
        <v>100.0</v>
      </c>
      <c r="Q263" s="301">
        <v>0.0</v>
      </c>
      <c r="R263" s="297">
        <v>200.0</v>
      </c>
      <c r="S263" s="297">
        <v>0.0</v>
      </c>
      <c r="T263" s="297">
        <v>250.0</v>
      </c>
      <c r="U263" s="298" t="s">
        <v>1725</v>
      </c>
      <c r="V263" s="299">
        <v>45293.85837962963</v>
      </c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</row>
    <row r="264">
      <c r="A264" s="276">
        <v>45294.0</v>
      </c>
      <c r="B264" s="252">
        <v>5220732.0</v>
      </c>
      <c r="C264" s="253" t="s">
        <v>82</v>
      </c>
      <c r="D264" s="253" t="s">
        <v>1666</v>
      </c>
      <c r="E264" s="252" t="s">
        <v>1852</v>
      </c>
      <c r="F264" s="253" t="s">
        <v>1853</v>
      </c>
      <c r="G264" s="276">
        <v>45299.0</v>
      </c>
      <c r="H264" s="277">
        <v>45300.0</v>
      </c>
      <c r="I264" s="278">
        <v>1.0</v>
      </c>
      <c r="J264" s="257" t="s">
        <v>78</v>
      </c>
      <c r="K264" s="253" t="s">
        <v>79</v>
      </c>
      <c r="L264" s="253" t="s">
        <v>1447</v>
      </c>
      <c r="M264" s="252">
        <v>2.0</v>
      </c>
      <c r="N264" s="258">
        <v>0.0</v>
      </c>
      <c r="O264" s="259">
        <v>70.4</v>
      </c>
      <c r="P264" s="259">
        <v>56.32000000000001</v>
      </c>
      <c r="Q264" s="257">
        <v>0.0</v>
      </c>
      <c r="R264" s="260">
        <v>56.32000000000001</v>
      </c>
      <c r="S264" s="260">
        <v>0.0</v>
      </c>
      <c r="T264" s="260">
        <v>70.4</v>
      </c>
      <c r="U264" s="261" t="s">
        <v>1448</v>
      </c>
      <c r="V264" s="279">
        <v>45294.97925925926</v>
      </c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</row>
    <row r="265">
      <c r="A265" s="276">
        <v>45294.0</v>
      </c>
      <c r="B265" s="252">
        <v>5220633.0</v>
      </c>
      <c r="C265" s="253" t="s">
        <v>75</v>
      </c>
      <c r="D265" s="253" t="s">
        <v>35</v>
      </c>
      <c r="E265" s="252">
        <v>4.269616538E9</v>
      </c>
      <c r="F265" s="253" t="s">
        <v>1855</v>
      </c>
      <c r="G265" s="276">
        <v>45305.0</v>
      </c>
      <c r="H265" s="277">
        <v>45306.0</v>
      </c>
      <c r="I265" s="278">
        <v>1.0</v>
      </c>
      <c r="J265" s="257" t="s">
        <v>78</v>
      </c>
      <c r="K265" s="253" t="s">
        <v>79</v>
      </c>
      <c r="L265" s="253" t="s">
        <v>1724</v>
      </c>
      <c r="M265" s="275">
        <v>2.0</v>
      </c>
      <c r="N265" s="258">
        <v>0.0</v>
      </c>
      <c r="O265" s="259">
        <v>139.25</v>
      </c>
      <c r="P265" s="259">
        <v>111.4</v>
      </c>
      <c r="Q265" s="262">
        <v>0.0</v>
      </c>
      <c r="R265" s="260">
        <v>111.4</v>
      </c>
      <c r="S265" s="260">
        <v>0.0</v>
      </c>
      <c r="T265" s="260">
        <v>139.25</v>
      </c>
      <c r="U265" s="261" t="s">
        <v>1725</v>
      </c>
      <c r="V265" s="279">
        <v>45301.01809027778</v>
      </c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</row>
    <row r="266">
      <c r="A266" s="276">
        <v>45294.0</v>
      </c>
      <c r="B266" s="252">
        <v>5219483.0</v>
      </c>
      <c r="C266" s="253" t="s">
        <v>82</v>
      </c>
      <c r="D266" s="253" t="s">
        <v>35</v>
      </c>
      <c r="E266" s="252">
        <v>4.093360096E9</v>
      </c>
      <c r="F266" s="253" t="s">
        <v>1856</v>
      </c>
      <c r="G266" s="276">
        <v>45334.0</v>
      </c>
      <c r="H266" s="277">
        <v>45337.0</v>
      </c>
      <c r="I266" s="278">
        <v>3.0</v>
      </c>
      <c r="J266" s="257" t="s">
        <v>78</v>
      </c>
      <c r="K266" s="253" t="s">
        <v>79</v>
      </c>
      <c r="L266" s="253" t="s">
        <v>1396</v>
      </c>
      <c r="M266" s="275">
        <v>2.0</v>
      </c>
      <c r="N266" s="258">
        <v>0.0</v>
      </c>
      <c r="O266" s="259">
        <v>134.47</v>
      </c>
      <c r="P266" s="259">
        <v>107.57600000000001</v>
      </c>
      <c r="Q266" s="262">
        <v>0.0</v>
      </c>
      <c r="R266" s="260">
        <v>322.72800000000007</v>
      </c>
      <c r="S266" s="260">
        <v>0.0</v>
      </c>
      <c r="T266" s="260">
        <v>403.41</v>
      </c>
      <c r="U266" s="261" t="s">
        <v>1398</v>
      </c>
      <c r="V266" s="279">
        <v>45294.67575231481</v>
      </c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</row>
    <row r="267">
      <c r="A267" s="289">
        <v>45294.0</v>
      </c>
      <c r="B267" s="290">
        <v>5219731.0</v>
      </c>
      <c r="C267" s="291" t="s">
        <v>82</v>
      </c>
      <c r="D267" s="291" t="s">
        <v>35</v>
      </c>
      <c r="E267" s="290">
        <v>4.119825985E9</v>
      </c>
      <c r="F267" s="291" t="s">
        <v>1857</v>
      </c>
      <c r="G267" s="289">
        <v>45361.0</v>
      </c>
      <c r="H267" s="292">
        <v>45365.0</v>
      </c>
      <c r="I267" s="293">
        <v>4.0</v>
      </c>
      <c r="J267" s="294" t="s">
        <v>78</v>
      </c>
      <c r="K267" s="291" t="s">
        <v>79</v>
      </c>
      <c r="L267" s="291" t="s">
        <v>1724</v>
      </c>
      <c r="M267" s="290">
        <v>2.0</v>
      </c>
      <c r="N267" s="295">
        <v>0.0</v>
      </c>
      <c r="O267" s="296">
        <v>140.0</v>
      </c>
      <c r="P267" s="296">
        <v>112.0</v>
      </c>
      <c r="Q267" s="301">
        <v>0.0</v>
      </c>
      <c r="R267" s="297">
        <v>448.0</v>
      </c>
      <c r="S267" s="297">
        <v>0.0</v>
      </c>
      <c r="T267" s="297">
        <v>560.0</v>
      </c>
      <c r="U267" s="298" t="s">
        <v>1725</v>
      </c>
      <c r="V267" s="299">
        <v>45294.72714120371</v>
      </c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</row>
    <row r="268">
      <c r="A268" s="276">
        <v>45294.0</v>
      </c>
      <c r="B268" s="252">
        <v>5218742.0</v>
      </c>
      <c r="C268" s="253" t="s">
        <v>82</v>
      </c>
      <c r="D268" s="253" t="s">
        <v>35</v>
      </c>
      <c r="E268" s="252">
        <v>4.057859517E9</v>
      </c>
      <c r="F268" s="253" t="s">
        <v>1859</v>
      </c>
      <c r="G268" s="276">
        <v>45402.0</v>
      </c>
      <c r="H268" s="277">
        <v>45403.0</v>
      </c>
      <c r="I268" s="278">
        <v>1.0</v>
      </c>
      <c r="J268" s="257" t="s">
        <v>87</v>
      </c>
      <c r="K268" s="253" t="s">
        <v>138</v>
      </c>
      <c r="L268" s="253" t="s">
        <v>1450</v>
      </c>
      <c r="M268" s="252">
        <v>2.0</v>
      </c>
      <c r="N268" s="258">
        <v>0.0</v>
      </c>
      <c r="O268" s="259">
        <v>163.44</v>
      </c>
      <c r="P268" s="259">
        <v>130.752</v>
      </c>
      <c r="Q268" s="262">
        <v>36.0</v>
      </c>
      <c r="R268" s="260">
        <v>130.752</v>
      </c>
      <c r="S268" s="260">
        <v>36.0</v>
      </c>
      <c r="T268" s="260">
        <v>163.44</v>
      </c>
      <c r="U268" s="261" t="s">
        <v>1451</v>
      </c>
      <c r="V268" s="279">
        <v>45294.51115740741</v>
      </c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</row>
    <row r="269">
      <c r="A269" s="210">
        <v>45294.0</v>
      </c>
      <c r="B269" s="166">
        <v>5218773.0</v>
      </c>
      <c r="C269" s="166" t="s">
        <v>82</v>
      </c>
      <c r="D269" s="166" t="s">
        <v>35</v>
      </c>
      <c r="E269" s="166">
        <v>4.093366252E9</v>
      </c>
      <c r="F269" s="166" t="s">
        <v>1859</v>
      </c>
      <c r="G269" s="210">
        <v>45409.0</v>
      </c>
      <c r="H269" s="287">
        <v>45410.0</v>
      </c>
      <c r="I269" s="168">
        <v>1.0</v>
      </c>
      <c r="J269" s="169" t="s">
        <v>87</v>
      </c>
      <c r="K269" s="166" t="s">
        <v>138</v>
      </c>
      <c r="L269" s="166" t="s">
        <v>1476</v>
      </c>
      <c r="M269" s="166">
        <v>2.0</v>
      </c>
      <c r="N269" s="170">
        <v>0.0</v>
      </c>
      <c r="O269" s="171">
        <v>163.44</v>
      </c>
      <c r="P269" s="171">
        <v>130.752</v>
      </c>
      <c r="Q269" s="172">
        <v>36.0</v>
      </c>
      <c r="R269" s="173">
        <v>130.752</v>
      </c>
      <c r="S269" s="173">
        <v>36.0</v>
      </c>
      <c r="T269" s="173">
        <v>163.44</v>
      </c>
      <c r="U269" s="174" t="s">
        <v>1477</v>
      </c>
      <c r="V269" s="288">
        <v>45294.51810185185</v>
      </c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</row>
    <row r="270">
      <c r="A270" s="276">
        <v>45294.0</v>
      </c>
      <c r="B270" s="252">
        <v>5220352.0</v>
      </c>
      <c r="C270" s="253" t="s">
        <v>82</v>
      </c>
      <c r="D270" s="253" t="s">
        <v>35</v>
      </c>
      <c r="E270" s="252">
        <v>4.108371547E9</v>
      </c>
      <c r="F270" s="253" t="s">
        <v>1862</v>
      </c>
      <c r="G270" s="276">
        <v>45476.0</v>
      </c>
      <c r="H270" s="277">
        <v>45479.0</v>
      </c>
      <c r="I270" s="278">
        <v>3.0</v>
      </c>
      <c r="J270" s="257" t="s">
        <v>114</v>
      </c>
      <c r="K270" s="253" t="s">
        <v>1492</v>
      </c>
      <c r="L270" s="253" t="s">
        <v>1864</v>
      </c>
      <c r="M270" s="252">
        <v>3.0</v>
      </c>
      <c r="N270" s="258">
        <v>0.0</v>
      </c>
      <c r="O270" s="259">
        <v>106.71999999999998</v>
      </c>
      <c r="P270" s="259">
        <v>85.37599999999999</v>
      </c>
      <c r="Q270" s="262">
        <v>105.0</v>
      </c>
      <c r="R270" s="260">
        <v>256.128</v>
      </c>
      <c r="S270" s="260">
        <v>315.0</v>
      </c>
      <c r="T270" s="260">
        <v>635.16</v>
      </c>
      <c r="U270" s="261" t="s">
        <v>1865</v>
      </c>
      <c r="V270" s="279">
        <v>45294.87509259259</v>
      </c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</row>
    <row r="271">
      <c r="A271" s="276">
        <v>45295.0</v>
      </c>
      <c r="B271" s="252">
        <v>5223375.0</v>
      </c>
      <c r="C271" s="253" t="s">
        <v>82</v>
      </c>
      <c r="D271" s="253" t="s">
        <v>35</v>
      </c>
      <c r="E271" s="252">
        <v>4.21061783E9</v>
      </c>
      <c r="F271" s="253" t="s">
        <v>1866</v>
      </c>
      <c r="G271" s="276">
        <v>45309.0</v>
      </c>
      <c r="H271" s="277">
        <v>45310.0</v>
      </c>
      <c r="I271" s="278">
        <v>1.0</v>
      </c>
      <c r="J271" s="257" t="s">
        <v>78</v>
      </c>
      <c r="K271" s="253" t="s">
        <v>79</v>
      </c>
      <c r="L271" s="253" t="s">
        <v>1396</v>
      </c>
      <c r="M271" s="252">
        <v>2.0</v>
      </c>
      <c r="N271" s="258">
        <v>0.0</v>
      </c>
      <c r="O271" s="259">
        <v>111.2</v>
      </c>
      <c r="P271" s="259">
        <v>88.96000000000001</v>
      </c>
      <c r="Q271" s="257">
        <v>0.0</v>
      </c>
      <c r="R271" s="260">
        <v>88.96000000000001</v>
      </c>
      <c r="S271" s="260">
        <v>0.0</v>
      </c>
      <c r="T271" s="260">
        <v>111.2</v>
      </c>
      <c r="U271" s="261" t="s">
        <v>1398</v>
      </c>
      <c r="V271" s="279">
        <v>45295.836875</v>
      </c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</row>
    <row r="272">
      <c r="A272" s="276">
        <v>45295.0</v>
      </c>
      <c r="B272" s="252">
        <v>5222241.0</v>
      </c>
      <c r="C272" s="253" t="s">
        <v>82</v>
      </c>
      <c r="D272" s="312" t="s">
        <v>616</v>
      </c>
      <c r="E272" s="252">
        <v>1.48968411E8</v>
      </c>
      <c r="F272" s="253" t="s">
        <v>1868</v>
      </c>
      <c r="G272" s="276">
        <v>45329.0</v>
      </c>
      <c r="H272" s="277">
        <v>45330.0</v>
      </c>
      <c r="I272" s="278">
        <v>1.0</v>
      </c>
      <c r="J272" s="257" t="s">
        <v>114</v>
      </c>
      <c r="K272" s="253" t="s">
        <v>79</v>
      </c>
      <c r="L272" s="253" t="s">
        <v>1436</v>
      </c>
      <c r="M272" s="252">
        <v>2.0</v>
      </c>
      <c r="N272" s="258">
        <v>0.0</v>
      </c>
      <c r="O272" s="259">
        <v>131.03</v>
      </c>
      <c r="P272" s="259">
        <v>104.82400000000001</v>
      </c>
      <c r="Q272" s="262">
        <v>0.0</v>
      </c>
      <c r="R272" s="260">
        <v>104.82400000000001</v>
      </c>
      <c r="S272" s="260">
        <v>0.0</v>
      </c>
      <c r="T272" s="260">
        <v>131.03</v>
      </c>
      <c r="U272" s="261" t="s">
        <v>1437</v>
      </c>
      <c r="V272" s="279">
        <v>45295.57922453704</v>
      </c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</row>
    <row r="273">
      <c r="A273" s="276">
        <v>45295.0</v>
      </c>
      <c r="B273" s="252">
        <v>5223697.0</v>
      </c>
      <c r="C273" s="253" t="s">
        <v>82</v>
      </c>
      <c r="D273" s="253" t="s">
        <v>94</v>
      </c>
      <c r="E273" s="252">
        <v>5223697.0</v>
      </c>
      <c r="F273" s="253" t="s">
        <v>1869</v>
      </c>
      <c r="G273" s="276">
        <v>45340.0</v>
      </c>
      <c r="H273" s="277">
        <v>45343.0</v>
      </c>
      <c r="I273" s="278">
        <v>3.0</v>
      </c>
      <c r="J273" s="257" t="s">
        <v>78</v>
      </c>
      <c r="K273" s="253" t="s">
        <v>79</v>
      </c>
      <c r="L273" s="253" t="s">
        <v>1601</v>
      </c>
      <c r="M273" s="252">
        <v>2.0</v>
      </c>
      <c r="N273" s="258">
        <v>0.0</v>
      </c>
      <c r="O273" s="259">
        <v>155.0</v>
      </c>
      <c r="P273" s="259">
        <v>153.45</v>
      </c>
      <c r="Q273" s="262">
        <v>0.0</v>
      </c>
      <c r="R273" s="260">
        <v>460.35</v>
      </c>
      <c r="S273" s="260">
        <v>0.0</v>
      </c>
      <c r="T273" s="260">
        <v>465.0</v>
      </c>
      <c r="U273" s="261" t="s">
        <v>1602</v>
      </c>
      <c r="V273" s="279">
        <v>45295.91263888888</v>
      </c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</row>
    <row r="274">
      <c r="A274" s="276">
        <v>45295.0</v>
      </c>
      <c r="B274" s="252">
        <v>5223429.0</v>
      </c>
      <c r="C274" s="253" t="s">
        <v>82</v>
      </c>
      <c r="D274" s="253" t="s">
        <v>35</v>
      </c>
      <c r="E274" s="252">
        <v>4.146868776E9</v>
      </c>
      <c r="F274" s="253" t="s">
        <v>1871</v>
      </c>
      <c r="G274" s="276">
        <v>45347.0</v>
      </c>
      <c r="H274" s="277">
        <v>45349.0</v>
      </c>
      <c r="I274" s="278">
        <v>2.0</v>
      </c>
      <c r="J274" s="257" t="s">
        <v>114</v>
      </c>
      <c r="K274" s="253" t="s">
        <v>79</v>
      </c>
      <c r="L274" s="253" t="s">
        <v>1396</v>
      </c>
      <c r="M274" s="252">
        <v>2.0</v>
      </c>
      <c r="N274" s="258">
        <v>0.0</v>
      </c>
      <c r="O274" s="259">
        <v>165.65</v>
      </c>
      <c r="P274" s="259">
        <v>132.52</v>
      </c>
      <c r="Q274" s="262">
        <v>0.0</v>
      </c>
      <c r="R274" s="260">
        <v>265.04</v>
      </c>
      <c r="S274" s="260">
        <v>0.0</v>
      </c>
      <c r="T274" s="260">
        <v>331.3</v>
      </c>
      <c r="U274" s="261" t="s">
        <v>1398</v>
      </c>
      <c r="V274" s="279">
        <v>45295.84796296296</v>
      </c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</row>
    <row r="275">
      <c r="A275" s="280">
        <v>45295.0</v>
      </c>
      <c r="B275" s="264">
        <v>5222165.0</v>
      </c>
      <c r="C275" s="265" t="s">
        <v>89</v>
      </c>
      <c r="D275" s="265" t="s">
        <v>35</v>
      </c>
      <c r="E275" s="264">
        <v>4.261749E9</v>
      </c>
      <c r="F275" s="265" t="s">
        <v>1872</v>
      </c>
      <c r="G275" s="280">
        <v>45367.0</v>
      </c>
      <c r="H275" s="281">
        <v>45368.0</v>
      </c>
      <c r="I275" s="282">
        <v>1.0</v>
      </c>
      <c r="J275" s="283" t="s">
        <v>78</v>
      </c>
      <c r="K275" s="265" t="s">
        <v>79</v>
      </c>
      <c r="L275" s="265" t="s">
        <v>1724</v>
      </c>
      <c r="M275" s="269">
        <v>2.0</v>
      </c>
      <c r="N275" s="270">
        <v>0.0</v>
      </c>
      <c r="O275" s="271">
        <v>0.0</v>
      </c>
      <c r="P275" s="271">
        <v>0.0</v>
      </c>
      <c r="Q275" s="283">
        <v>0.0</v>
      </c>
      <c r="R275" s="273">
        <v>0.0</v>
      </c>
      <c r="S275" s="273">
        <v>0.0</v>
      </c>
      <c r="T275" s="273">
        <v>0.0</v>
      </c>
      <c r="U275" s="274" t="s">
        <v>1873</v>
      </c>
      <c r="V275" s="284">
        <v>45295.55907407407</v>
      </c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</row>
    <row r="276">
      <c r="A276" s="210">
        <v>45295.0</v>
      </c>
      <c r="B276" s="166">
        <v>5222959.0</v>
      </c>
      <c r="C276" s="166" t="s">
        <v>82</v>
      </c>
      <c r="D276" s="166" t="s">
        <v>35</v>
      </c>
      <c r="E276" s="166">
        <v>4.063823681E9</v>
      </c>
      <c r="F276" s="166" t="s">
        <v>1874</v>
      </c>
      <c r="G276" s="210">
        <v>45422.0</v>
      </c>
      <c r="H276" s="287">
        <v>45423.0</v>
      </c>
      <c r="I276" s="168">
        <v>1.0</v>
      </c>
      <c r="J276" s="169" t="s">
        <v>78</v>
      </c>
      <c r="K276" s="166" t="s">
        <v>79</v>
      </c>
      <c r="L276" s="166" t="s">
        <v>1876</v>
      </c>
      <c r="M276" s="166">
        <v>2.0</v>
      </c>
      <c r="N276" s="170">
        <v>0.0</v>
      </c>
      <c r="O276" s="171">
        <v>204.75</v>
      </c>
      <c r="P276" s="171">
        <v>163.8</v>
      </c>
      <c r="Q276" s="169">
        <v>0.0</v>
      </c>
      <c r="R276" s="173">
        <v>163.8</v>
      </c>
      <c r="S276" s="173">
        <v>0.0</v>
      </c>
      <c r="T276" s="173">
        <v>204.75</v>
      </c>
      <c r="U276" s="174" t="s">
        <v>1877</v>
      </c>
      <c r="V276" s="288">
        <v>45295.745891203704</v>
      </c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</row>
    <row r="277">
      <c r="A277" s="276">
        <v>45296.0</v>
      </c>
      <c r="B277" s="252">
        <v>5226732.0</v>
      </c>
      <c r="C277" s="253" t="s">
        <v>82</v>
      </c>
      <c r="D277" s="253" t="s">
        <v>94</v>
      </c>
      <c r="E277" s="252">
        <v>5226732.0</v>
      </c>
      <c r="F277" s="253" t="s">
        <v>1878</v>
      </c>
      <c r="G277" s="276">
        <v>45296.0</v>
      </c>
      <c r="H277" s="277">
        <v>45298.0</v>
      </c>
      <c r="I277" s="278">
        <v>2.0</v>
      </c>
      <c r="J277" s="257" t="s">
        <v>87</v>
      </c>
      <c r="K277" s="253" t="s">
        <v>79</v>
      </c>
      <c r="L277" s="253" t="s">
        <v>1462</v>
      </c>
      <c r="M277" s="252">
        <v>1.0</v>
      </c>
      <c r="N277" s="258">
        <v>0.0</v>
      </c>
      <c r="O277" s="259">
        <v>126.7</v>
      </c>
      <c r="P277" s="259">
        <v>125.433</v>
      </c>
      <c r="Q277" s="262">
        <v>0.0</v>
      </c>
      <c r="R277" s="260">
        <v>250.866</v>
      </c>
      <c r="S277" s="260">
        <v>0.0</v>
      </c>
      <c r="T277" s="260">
        <v>506.8</v>
      </c>
      <c r="U277" s="261" t="s">
        <v>1463</v>
      </c>
      <c r="V277" s="279">
        <v>45296.92909722222</v>
      </c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</row>
    <row r="278">
      <c r="A278" s="276">
        <v>45296.0</v>
      </c>
      <c r="B278" s="252">
        <v>5226732.0</v>
      </c>
      <c r="C278" s="253" t="s">
        <v>82</v>
      </c>
      <c r="D278" s="253" t="s">
        <v>94</v>
      </c>
      <c r="E278" s="252">
        <v>5226732.0</v>
      </c>
      <c r="F278" s="253" t="s">
        <v>1878</v>
      </c>
      <c r="G278" s="276">
        <v>45296.0</v>
      </c>
      <c r="H278" s="277">
        <v>45298.0</v>
      </c>
      <c r="I278" s="278">
        <v>2.0</v>
      </c>
      <c r="J278" s="257" t="s">
        <v>87</v>
      </c>
      <c r="K278" s="253" t="s">
        <v>79</v>
      </c>
      <c r="L278" s="253" t="s">
        <v>1462</v>
      </c>
      <c r="M278" s="252">
        <v>1.0</v>
      </c>
      <c r="N278" s="258">
        <v>0.0</v>
      </c>
      <c r="O278" s="259">
        <v>126.7</v>
      </c>
      <c r="P278" s="259">
        <v>125.433</v>
      </c>
      <c r="Q278" s="262">
        <v>0.0</v>
      </c>
      <c r="R278" s="260">
        <v>250.866</v>
      </c>
      <c r="S278" s="260">
        <v>0.0</v>
      </c>
      <c r="T278" s="260">
        <v>506.8</v>
      </c>
      <c r="U278" s="261" t="s">
        <v>1463</v>
      </c>
      <c r="V278" s="279">
        <v>45296.92909722222</v>
      </c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</row>
    <row r="279">
      <c r="A279" s="276">
        <v>45296.0</v>
      </c>
      <c r="B279" s="252">
        <v>5225751.0</v>
      </c>
      <c r="C279" s="253" t="s">
        <v>89</v>
      </c>
      <c r="D279" s="253" t="s">
        <v>35</v>
      </c>
      <c r="E279" s="252">
        <v>4.04924539E9</v>
      </c>
      <c r="F279" s="253" t="s">
        <v>1880</v>
      </c>
      <c r="G279" s="276">
        <v>45318.0</v>
      </c>
      <c r="H279" s="277">
        <v>45320.0</v>
      </c>
      <c r="I279" s="278">
        <v>2.0</v>
      </c>
      <c r="J279" s="257" t="s">
        <v>87</v>
      </c>
      <c r="K279" s="253" t="s">
        <v>79</v>
      </c>
      <c r="L279" s="253" t="s">
        <v>1396</v>
      </c>
      <c r="M279" s="252">
        <v>2.0</v>
      </c>
      <c r="N279" s="258">
        <v>0.0</v>
      </c>
      <c r="O279" s="259">
        <v>0.0</v>
      </c>
      <c r="P279" s="259">
        <v>0.0</v>
      </c>
      <c r="Q279" s="262">
        <v>0.0</v>
      </c>
      <c r="R279" s="260">
        <v>0.0</v>
      </c>
      <c r="S279" s="260">
        <v>0.0</v>
      </c>
      <c r="T279" s="260">
        <v>0.0</v>
      </c>
      <c r="U279" s="261" t="s">
        <v>1881</v>
      </c>
      <c r="V279" s="279">
        <v>45296.68199074074</v>
      </c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</row>
    <row r="280">
      <c r="A280" s="276">
        <v>45296.0</v>
      </c>
      <c r="B280" s="252">
        <v>5226373.0</v>
      </c>
      <c r="C280" s="253" t="s">
        <v>82</v>
      </c>
      <c r="D280" s="253" t="s">
        <v>35</v>
      </c>
      <c r="E280" s="252">
        <v>4.197831784E9</v>
      </c>
      <c r="F280" s="253" t="s">
        <v>1882</v>
      </c>
      <c r="G280" s="276">
        <v>45321.0</v>
      </c>
      <c r="H280" s="277">
        <v>45324.0</v>
      </c>
      <c r="I280" s="278">
        <v>3.0</v>
      </c>
      <c r="J280" s="257" t="s">
        <v>78</v>
      </c>
      <c r="K280" s="253" t="s">
        <v>79</v>
      </c>
      <c r="L280" s="253" t="s">
        <v>1443</v>
      </c>
      <c r="M280" s="252">
        <v>2.0</v>
      </c>
      <c r="N280" s="258">
        <v>0.0</v>
      </c>
      <c r="O280" s="259">
        <v>154.70000000000002</v>
      </c>
      <c r="P280" s="259">
        <v>123.76000000000002</v>
      </c>
      <c r="Q280" s="262">
        <v>0.0</v>
      </c>
      <c r="R280" s="260">
        <v>371.28000000000003</v>
      </c>
      <c r="S280" s="260">
        <v>0.0</v>
      </c>
      <c r="T280" s="260">
        <v>464.1</v>
      </c>
      <c r="U280" s="261" t="s">
        <v>1444</v>
      </c>
      <c r="V280" s="279">
        <v>45296.831296296295</v>
      </c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</row>
    <row r="281">
      <c r="A281" s="276">
        <v>45296.0</v>
      </c>
      <c r="B281" s="252">
        <v>5224874.0</v>
      </c>
      <c r="C281" s="253" t="s">
        <v>82</v>
      </c>
      <c r="D281" s="253" t="s">
        <v>35</v>
      </c>
      <c r="E281" s="252">
        <v>4.128381365E9</v>
      </c>
      <c r="F281" s="253" t="s">
        <v>1884</v>
      </c>
      <c r="G281" s="276">
        <v>45322.0</v>
      </c>
      <c r="H281" s="277">
        <v>45324.0</v>
      </c>
      <c r="I281" s="278">
        <v>2.0</v>
      </c>
      <c r="J281" s="257" t="s">
        <v>111</v>
      </c>
      <c r="K281" s="253" t="s">
        <v>79</v>
      </c>
      <c r="L281" s="253" t="s">
        <v>1414</v>
      </c>
      <c r="M281" s="275">
        <v>2.0</v>
      </c>
      <c r="N281" s="258">
        <v>0.0</v>
      </c>
      <c r="O281" s="259">
        <v>140.975</v>
      </c>
      <c r="P281" s="259">
        <v>112.78</v>
      </c>
      <c r="Q281" s="262">
        <v>0.0</v>
      </c>
      <c r="R281" s="260">
        <v>225.56</v>
      </c>
      <c r="S281" s="260">
        <v>0.0</v>
      </c>
      <c r="T281" s="260">
        <v>281.95</v>
      </c>
      <c r="U281" s="261" t="s">
        <v>1415</v>
      </c>
      <c r="V281" s="279">
        <v>45296.46045138889</v>
      </c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</row>
    <row r="282">
      <c r="A282" s="276">
        <v>45296.0</v>
      </c>
      <c r="B282" s="252">
        <v>5226532.0</v>
      </c>
      <c r="C282" s="253" t="s">
        <v>82</v>
      </c>
      <c r="D282" s="253" t="s">
        <v>35</v>
      </c>
      <c r="E282" s="252">
        <v>4.211699812E9</v>
      </c>
      <c r="F282" s="253" t="s">
        <v>1885</v>
      </c>
      <c r="G282" s="276">
        <v>45337.0</v>
      </c>
      <c r="H282" s="277">
        <v>45338.0</v>
      </c>
      <c r="I282" s="278">
        <v>1.0</v>
      </c>
      <c r="J282" s="257" t="s">
        <v>87</v>
      </c>
      <c r="K282" s="253" t="s">
        <v>138</v>
      </c>
      <c r="L282" s="253" t="s">
        <v>1450</v>
      </c>
      <c r="M282" s="252">
        <v>2.0</v>
      </c>
      <c r="N282" s="258">
        <v>0.0</v>
      </c>
      <c r="O282" s="259">
        <v>158.0</v>
      </c>
      <c r="P282" s="259">
        <v>126.4</v>
      </c>
      <c r="Q282" s="262">
        <v>36.0</v>
      </c>
      <c r="R282" s="260">
        <v>126.4</v>
      </c>
      <c r="S282" s="260">
        <v>36.0</v>
      </c>
      <c r="T282" s="260">
        <v>158.0</v>
      </c>
      <c r="U282" s="261" t="s">
        <v>1451</v>
      </c>
      <c r="V282" s="279">
        <v>45296.87572916667</v>
      </c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</row>
    <row r="283">
      <c r="A283" s="276">
        <v>45296.0</v>
      </c>
      <c r="B283" s="252">
        <v>5225798.0</v>
      </c>
      <c r="C283" s="253" t="s">
        <v>82</v>
      </c>
      <c r="D283" s="253" t="s">
        <v>94</v>
      </c>
      <c r="E283" s="252" t="s">
        <v>1886</v>
      </c>
      <c r="F283" s="253" t="s">
        <v>1887</v>
      </c>
      <c r="G283" s="276">
        <v>45449.0</v>
      </c>
      <c r="H283" s="277">
        <v>45455.0</v>
      </c>
      <c r="I283" s="278">
        <v>6.0</v>
      </c>
      <c r="J283" s="257" t="s">
        <v>78</v>
      </c>
      <c r="K283" s="253" t="s">
        <v>79</v>
      </c>
      <c r="L283" s="253" t="s">
        <v>1669</v>
      </c>
      <c r="M283" s="252">
        <v>2.0</v>
      </c>
      <c r="N283" s="258">
        <v>0.0</v>
      </c>
      <c r="O283" s="259">
        <v>88.32</v>
      </c>
      <c r="P283" s="259">
        <v>87.43679999999999</v>
      </c>
      <c r="Q283" s="262">
        <v>0.0</v>
      </c>
      <c r="R283" s="260">
        <v>524.6207999999999</v>
      </c>
      <c r="S283" s="260">
        <v>0.0</v>
      </c>
      <c r="T283" s="260">
        <v>529.92</v>
      </c>
      <c r="U283" s="261" t="s">
        <v>1671</v>
      </c>
      <c r="V283" s="279">
        <v>45296.691770833335</v>
      </c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</row>
    <row r="284">
      <c r="A284" s="210">
        <v>45296.0</v>
      </c>
      <c r="B284" s="166">
        <v>5226619.0</v>
      </c>
      <c r="C284" s="166" t="s">
        <v>82</v>
      </c>
      <c r="D284" s="166" t="s">
        <v>1666</v>
      </c>
      <c r="E284" s="166" t="s">
        <v>1889</v>
      </c>
      <c r="F284" s="166" t="s">
        <v>1890</v>
      </c>
      <c r="G284" s="210">
        <v>45455.0</v>
      </c>
      <c r="H284" s="287">
        <v>45462.0</v>
      </c>
      <c r="I284" s="168">
        <v>7.0</v>
      </c>
      <c r="J284" s="169" t="s">
        <v>87</v>
      </c>
      <c r="K284" s="166" t="s">
        <v>79</v>
      </c>
      <c r="L284" s="166" t="s">
        <v>1892</v>
      </c>
      <c r="M284" s="166">
        <v>2.0</v>
      </c>
      <c r="N284" s="170">
        <v>0.0</v>
      </c>
      <c r="O284" s="171">
        <v>74.8</v>
      </c>
      <c r="P284" s="171">
        <v>59.84</v>
      </c>
      <c r="Q284" s="172">
        <v>0.0</v>
      </c>
      <c r="R284" s="173">
        <v>418.88000000000005</v>
      </c>
      <c r="S284" s="173">
        <v>0.0</v>
      </c>
      <c r="T284" s="173">
        <v>523.6</v>
      </c>
      <c r="U284" s="174" t="s">
        <v>1893</v>
      </c>
      <c r="V284" s="288">
        <v>45296.89734953704</v>
      </c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</row>
    <row r="285">
      <c r="A285" s="276">
        <v>45297.0</v>
      </c>
      <c r="B285" s="252">
        <v>5228275.0</v>
      </c>
      <c r="C285" s="253" t="s">
        <v>82</v>
      </c>
      <c r="D285" s="253" t="s">
        <v>94</v>
      </c>
      <c r="E285" s="252">
        <v>5228275.0</v>
      </c>
      <c r="F285" s="253" t="s">
        <v>1894</v>
      </c>
      <c r="G285" s="276">
        <v>45297.0</v>
      </c>
      <c r="H285" s="277">
        <v>45298.0</v>
      </c>
      <c r="I285" s="278">
        <v>1.0</v>
      </c>
      <c r="J285" s="257" t="s">
        <v>114</v>
      </c>
      <c r="K285" s="253" t="s">
        <v>79</v>
      </c>
      <c r="L285" s="253" t="s">
        <v>1462</v>
      </c>
      <c r="M285" s="252">
        <v>2.0</v>
      </c>
      <c r="N285" s="258">
        <v>0.0</v>
      </c>
      <c r="O285" s="259">
        <v>170.6</v>
      </c>
      <c r="P285" s="259">
        <v>168.894</v>
      </c>
      <c r="Q285" s="262">
        <v>0.0</v>
      </c>
      <c r="R285" s="260">
        <v>168.894</v>
      </c>
      <c r="S285" s="260">
        <v>0.0</v>
      </c>
      <c r="T285" s="260">
        <v>307.6</v>
      </c>
      <c r="U285" s="261" t="s">
        <v>1463</v>
      </c>
      <c r="V285" s="279">
        <v>45297.586226851854</v>
      </c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</row>
    <row r="286">
      <c r="A286" s="276">
        <v>45297.0</v>
      </c>
      <c r="B286" s="252">
        <v>5228275.0</v>
      </c>
      <c r="C286" s="253" t="s">
        <v>82</v>
      </c>
      <c r="D286" s="253" t="s">
        <v>94</v>
      </c>
      <c r="E286" s="252">
        <v>5228275.0</v>
      </c>
      <c r="F286" s="253" t="s">
        <v>1894</v>
      </c>
      <c r="G286" s="276">
        <v>45297.0</v>
      </c>
      <c r="H286" s="277">
        <v>45298.0</v>
      </c>
      <c r="I286" s="278">
        <v>1.0</v>
      </c>
      <c r="J286" s="257" t="s">
        <v>78</v>
      </c>
      <c r="K286" s="253" t="s">
        <v>79</v>
      </c>
      <c r="L286" s="253" t="s">
        <v>1462</v>
      </c>
      <c r="M286" s="252">
        <v>2.0</v>
      </c>
      <c r="N286" s="258">
        <v>0.0</v>
      </c>
      <c r="O286" s="259">
        <v>137.0</v>
      </c>
      <c r="P286" s="259">
        <v>135.63</v>
      </c>
      <c r="Q286" s="262">
        <v>0.0</v>
      </c>
      <c r="R286" s="260">
        <v>135.63</v>
      </c>
      <c r="S286" s="260">
        <v>0.0</v>
      </c>
      <c r="T286" s="260">
        <v>307.6</v>
      </c>
      <c r="U286" s="261" t="s">
        <v>1463</v>
      </c>
      <c r="V286" s="279">
        <v>45297.586226851854</v>
      </c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</row>
    <row r="287">
      <c r="A287" s="276">
        <v>45297.0</v>
      </c>
      <c r="B287" s="252">
        <v>5227904.0</v>
      </c>
      <c r="C287" s="253" t="s">
        <v>82</v>
      </c>
      <c r="D287" s="253" t="s">
        <v>35</v>
      </c>
      <c r="E287" s="252">
        <v>4.133619147E9</v>
      </c>
      <c r="F287" s="253" t="s">
        <v>1896</v>
      </c>
      <c r="G287" s="276">
        <v>45304.0</v>
      </c>
      <c r="H287" s="277">
        <v>45306.0</v>
      </c>
      <c r="I287" s="278">
        <v>2.0</v>
      </c>
      <c r="J287" s="257" t="s">
        <v>78</v>
      </c>
      <c r="K287" s="253" t="s">
        <v>79</v>
      </c>
      <c r="L287" s="253" t="s">
        <v>1396</v>
      </c>
      <c r="M287" s="252">
        <v>2.0</v>
      </c>
      <c r="N287" s="258">
        <v>0.0</v>
      </c>
      <c r="O287" s="259">
        <v>111.2</v>
      </c>
      <c r="P287" s="259">
        <v>88.96000000000001</v>
      </c>
      <c r="Q287" s="262">
        <v>0.0</v>
      </c>
      <c r="R287" s="260">
        <v>177.92000000000002</v>
      </c>
      <c r="S287" s="260">
        <v>0.0</v>
      </c>
      <c r="T287" s="260">
        <v>222.4</v>
      </c>
      <c r="U287" s="261" t="s">
        <v>1398</v>
      </c>
      <c r="V287" s="279">
        <v>45297.48824074074</v>
      </c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</row>
    <row r="288">
      <c r="A288" s="276">
        <v>45297.0</v>
      </c>
      <c r="B288" s="252">
        <v>5229753.0</v>
      </c>
      <c r="C288" s="253" t="s">
        <v>82</v>
      </c>
      <c r="D288" s="253" t="s">
        <v>35</v>
      </c>
      <c r="E288" s="252">
        <v>4.238579741E9</v>
      </c>
      <c r="F288" s="253" t="s">
        <v>1897</v>
      </c>
      <c r="G288" s="276">
        <v>45308.0</v>
      </c>
      <c r="H288" s="277">
        <v>45310.0</v>
      </c>
      <c r="I288" s="278">
        <v>2.0</v>
      </c>
      <c r="J288" s="257" t="s">
        <v>114</v>
      </c>
      <c r="K288" s="253" t="s">
        <v>79</v>
      </c>
      <c r="L288" s="253" t="s">
        <v>1396</v>
      </c>
      <c r="M288" s="252">
        <v>2.0</v>
      </c>
      <c r="N288" s="258">
        <v>0.0</v>
      </c>
      <c r="O288" s="259">
        <v>131.22</v>
      </c>
      <c r="P288" s="259">
        <v>104.976</v>
      </c>
      <c r="Q288" s="262">
        <v>0.0</v>
      </c>
      <c r="R288" s="260">
        <v>209.952</v>
      </c>
      <c r="S288" s="260">
        <v>0.0</v>
      </c>
      <c r="T288" s="173">
        <v>262.44</v>
      </c>
      <c r="U288" s="201" t="s">
        <v>1398</v>
      </c>
      <c r="V288" s="288">
        <v>45297.99309027778</v>
      </c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</row>
    <row r="289">
      <c r="A289" s="276">
        <v>45297.0</v>
      </c>
      <c r="B289" s="252">
        <v>5228203.0</v>
      </c>
      <c r="C289" s="253" t="s">
        <v>82</v>
      </c>
      <c r="D289" s="285" t="s">
        <v>35</v>
      </c>
      <c r="E289" s="252">
        <v>4.133604141E9</v>
      </c>
      <c r="F289" s="253" t="s">
        <v>1898</v>
      </c>
      <c r="G289" s="276">
        <v>45310.0</v>
      </c>
      <c r="H289" s="277">
        <v>45313.0</v>
      </c>
      <c r="I289" s="278">
        <v>3.0</v>
      </c>
      <c r="J289" s="257" t="s">
        <v>111</v>
      </c>
      <c r="K289" s="253" t="s">
        <v>79</v>
      </c>
      <c r="L289" s="253" t="s">
        <v>1396</v>
      </c>
      <c r="M289" s="252">
        <v>2.0</v>
      </c>
      <c r="N289" s="258">
        <v>0.0</v>
      </c>
      <c r="O289" s="259">
        <v>131.22</v>
      </c>
      <c r="P289" s="259">
        <v>104.976</v>
      </c>
      <c r="Q289" s="262">
        <v>0.0</v>
      </c>
      <c r="R289" s="260">
        <v>314.92800000000005</v>
      </c>
      <c r="S289" s="260">
        <v>0.0</v>
      </c>
      <c r="T289" s="260">
        <v>393.66</v>
      </c>
      <c r="U289" s="261" t="s">
        <v>1398</v>
      </c>
      <c r="V289" s="279">
        <v>45297.570868055554</v>
      </c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</row>
    <row r="290">
      <c r="A290" s="276">
        <v>45297.0</v>
      </c>
      <c r="B290" s="252">
        <v>5229636.0</v>
      </c>
      <c r="C290" s="253" t="s">
        <v>75</v>
      </c>
      <c r="D290" s="253" t="s">
        <v>35</v>
      </c>
      <c r="E290" s="252">
        <v>4.130668498E9</v>
      </c>
      <c r="F290" s="253" t="s">
        <v>1900</v>
      </c>
      <c r="G290" s="276">
        <v>45325.0</v>
      </c>
      <c r="H290" s="277">
        <v>45326.0</v>
      </c>
      <c r="I290" s="278">
        <v>1.0</v>
      </c>
      <c r="J290" s="257" t="s">
        <v>87</v>
      </c>
      <c r="K290" s="253" t="s">
        <v>79</v>
      </c>
      <c r="L290" s="253" t="s">
        <v>1724</v>
      </c>
      <c r="M290" s="275">
        <v>2.0</v>
      </c>
      <c r="N290" s="258">
        <v>0.0</v>
      </c>
      <c r="O290" s="259">
        <v>132.88</v>
      </c>
      <c r="P290" s="259">
        <v>106.304</v>
      </c>
      <c r="Q290" s="262">
        <v>0.0</v>
      </c>
      <c r="R290" s="260">
        <v>106.304</v>
      </c>
      <c r="S290" s="260">
        <v>0.0</v>
      </c>
      <c r="T290" s="260">
        <v>132.88</v>
      </c>
      <c r="U290" s="261" t="s">
        <v>1725</v>
      </c>
      <c r="V290" s="279">
        <v>45321.0174074074</v>
      </c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</row>
    <row r="291">
      <c r="A291" s="276">
        <v>45297.0</v>
      </c>
      <c r="B291" s="252">
        <v>5229743.0</v>
      </c>
      <c r="C291" s="253" t="s">
        <v>82</v>
      </c>
      <c r="D291" s="253" t="s">
        <v>35</v>
      </c>
      <c r="E291" s="252">
        <v>4.130669146E9</v>
      </c>
      <c r="F291" s="253" t="s">
        <v>1901</v>
      </c>
      <c r="G291" s="276">
        <v>45362.0</v>
      </c>
      <c r="H291" s="277">
        <v>45364.0</v>
      </c>
      <c r="I291" s="278">
        <v>2.0</v>
      </c>
      <c r="J291" s="257" t="s">
        <v>111</v>
      </c>
      <c r="K291" s="253" t="s">
        <v>79</v>
      </c>
      <c r="L291" s="253" t="s">
        <v>1396</v>
      </c>
      <c r="M291" s="252">
        <v>2.0</v>
      </c>
      <c r="N291" s="258">
        <v>0.0</v>
      </c>
      <c r="O291" s="259">
        <v>139.89</v>
      </c>
      <c r="P291" s="259">
        <v>111.91199999999999</v>
      </c>
      <c r="Q291" s="262">
        <v>0.0</v>
      </c>
      <c r="R291" s="260">
        <v>223.82399999999998</v>
      </c>
      <c r="S291" s="260">
        <v>0.0</v>
      </c>
      <c r="T291" s="260">
        <v>279.78</v>
      </c>
      <c r="U291" s="261" t="s">
        <v>1398</v>
      </c>
      <c r="V291" s="279">
        <v>45297.98821759259</v>
      </c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</row>
    <row r="292">
      <c r="A292" s="276">
        <v>45297.0</v>
      </c>
      <c r="B292" s="252">
        <v>5228170.0</v>
      </c>
      <c r="C292" s="253" t="s">
        <v>82</v>
      </c>
      <c r="D292" s="253" t="s">
        <v>35</v>
      </c>
      <c r="E292" s="252">
        <v>4.269751714E9</v>
      </c>
      <c r="F292" s="253" t="s">
        <v>1902</v>
      </c>
      <c r="G292" s="276">
        <v>45407.0</v>
      </c>
      <c r="H292" s="277">
        <v>45410.0</v>
      </c>
      <c r="I292" s="278">
        <v>3.0</v>
      </c>
      <c r="J292" s="257" t="s">
        <v>111</v>
      </c>
      <c r="K292" s="253" t="s">
        <v>79</v>
      </c>
      <c r="L292" s="253" t="s">
        <v>1400</v>
      </c>
      <c r="M292" s="252">
        <v>2.0</v>
      </c>
      <c r="N292" s="258">
        <v>0.0</v>
      </c>
      <c r="O292" s="259">
        <v>184.85</v>
      </c>
      <c r="P292" s="259">
        <v>147.88</v>
      </c>
      <c r="Q292" s="262">
        <v>0.0</v>
      </c>
      <c r="R292" s="260">
        <v>443.64</v>
      </c>
      <c r="S292" s="260">
        <v>0.0</v>
      </c>
      <c r="T292" s="260">
        <v>554.55</v>
      </c>
      <c r="U292" s="261" t="s">
        <v>1401</v>
      </c>
      <c r="V292" s="279">
        <v>45297.56322916667</v>
      </c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</row>
    <row r="293">
      <c r="A293" s="276">
        <v>45298.0</v>
      </c>
      <c r="B293" s="252">
        <v>5230546.0</v>
      </c>
      <c r="C293" s="253" t="s">
        <v>82</v>
      </c>
      <c r="D293" s="253" t="s">
        <v>94</v>
      </c>
      <c r="E293" s="252">
        <v>4.211011325E9</v>
      </c>
      <c r="F293" s="253" t="s">
        <v>1904</v>
      </c>
      <c r="G293" s="276">
        <v>45303.0</v>
      </c>
      <c r="H293" s="277">
        <v>45304.0</v>
      </c>
      <c r="I293" s="278">
        <v>1.0</v>
      </c>
      <c r="J293" s="257" t="s">
        <v>78</v>
      </c>
      <c r="K293" s="253" t="s">
        <v>79</v>
      </c>
      <c r="L293" s="253" t="s">
        <v>1396</v>
      </c>
      <c r="M293" s="252">
        <v>2.0</v>
      </c>
      <c r="N293" s="258">
        <v>0.0</v>
      </c>
      <c r="O293" s="259">
        <v>131.23</v>
      </c>
      <c r="P293" s="259">
        <v>129.9177</v>
      </c>
      <c r="Q293" s="262">
        <v>0.0</v>
      </c>
      <c r="R293" s="260">
        <v>129.9177</v>
      </c>
      <c r="S293" s="260">
        <v>0.0</v>
      </c>
      <c r="T293" s="260">
        <v>131.23</v>
      </c>
      <c r="U293" s="261" t="s">
        <v>1398</v>
      </c>
      <c r="V293" s="279">
        <v>45298.471562499995</v>
      </c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</row>
    <row r="294">
      <c r="A294" s="276">
        <v>45298.0</v>
      </c>
      <c r="B294" s="252">
        <v>5230336.0</v>
      </c>
      <c r="C294" s="253" t="s">
        <v>82</v>
      </c>
      <c r="D294" s="253" t="s">
        <v>94</v>
      </c>
      <c r="E294" s="252">
        <v>5230336.0</v>
      </c>
      <c r="F294" s="253" t="s">
        <v>1905</v>
      </c>
      <c r="G294" s="276">
        <v>45306.0</v>
      </c>
      <c r="H294" s="277">
        <v>45309.0</v>
      </c>
      <c r="I294" s="278">
        <v>3.0</v>
      </c>
      <c r="J294" s="257" t="s">
        <v>78</v>
      </c>
      <c r="K294" s="253" t="s">
        <v>79</v>
      </c>
      <c r="L294" s="253" t="s">
        <v>1907</v>
      </c>
      <c r="M294" s="252">
        <v>2.0</v>
      </c>
      <c r="N294" s="258">
        <v>0.0</v>
      </c>
      <c r="O294" s="259">
        <v>137.0</v>
      </c>
      <c r="P294" s="259">
        <v>135.63</v>
      </c>
      <c r="Q294" s="262">
        <v>0.0</v>
      </c>
      <c r="R294" s="260">
        <v>406.89</v>
      </c>
      <c r="S294" s="260">
        <v>0.0</v>
      </c>
      <c r="T294" s="260">
        <v>822.0</v>
      </c>
      <c r="U294" s="261" t="s">
        <v>1908</v>
      </c>
      <c r="V294" s="279">
        <v>45298.401608796295</v>
      </c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</row>
    <row r="295">
      <c r="A295" s="276">
        <v>45298.0</v>
      </c>
      <c r="B295" s="252">
        <v>5230336.0</v>
      </c>
      <c r="C295" s="253" t="s">
        <v>82</v>
      </c>
      <c r="D295" s="253" t="s">
        <v>94</v>
      </c>
      <c r="E295" s="252">
        <v>5230336.0</v>
      </c>
      <c r="F295" s="253" t="s">
        <v>1905</v>
      </c>
      <c r="G295" s="276">
        <v>45306.0</v>
      </c>
      <c r="H295" s="277">
        <v>45309.0</v>
      </c>
      <c r="I295" s="278">
        <v>3.0</v>
      </c>
      <c r="J295" s="257" t="s">
        <v>78</v>
      </c>
      <c r="K295" s="253" t="s">
        <v>79</v>
      </c>
      <c r="L295" s="253" t="s">
        <v>1907</v>
      </c>
      <c r="M295" s="252">
        <v>2.0</v>
      </c>
      <c r="N295" s="258">
        <v>0.0</v>
      </c>
      <c r="O295" s="259">
        <v>137.0</v>
      </c>
      <c r="P295" s="259">
        <v>135.63</v>
      </c>
      <c r="Q295" s="262">
        <v>0.0</v>
      </c>
      <c r="R295" s="260">
        <v>406.89</v>
      </c>
      <c r="S295" s="260">
        <v>0.0</v>
      </c>
      <c r="T295" s="260">
        <v>822.0</v>
      </c>
      <c r="U295" s="261" t="s">
        <v>1908</v>
      </c>
      <c r="V295" s="279">
        <v>45298.401608796295</v>
      </c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</row>
    <row r="296">
      <c r="A296" s="276">
        <v>45298.0</v>
      </c>
      <c r="B296" s="252">
        <v>5232328.0</v>
      </c>
      <c r="C296" s="253" t="s">
        <v>82</v>
      </c>
      <c r="D296" s="253" t="s">
        <v>35</v>
      </c>
      <c r="E296" s="252">
        <v>4.065831006E9</v>
      </c>
      <c r="F296" s="253" t="s">
        <v>1909</v>
      </c>
      <c r="G296" s="276">
        <v>45309.0</v>
      </c>
      <c r="H296" s="277">
        <v>45313.0</v>
      </c>
      <c r="I296" s="278">
        <v>4.0</v>
      </c>
      <c r="J296" s="257" t="s">
        <v>78</v>
      </c>
      <c r="K296" s="253" t="s">
        <v>79</v>
      </c>
      <c r="L296" s="253" t="s">
        <v>1396</v>
      </c>
      <c r="M296" s="252">
        <v>2.0</v>
      </c>
      <c r="N296" s="258">
        <v>0.0</v>
      </c>
      <c r="O296" s="259">
        <v>118.21</v>
      </c>
      <c r="P296" s="259">
        <v>94.568</v>
      </c>
      <c r="Q296" s="262">
        <v>0.0</v>
      </c>
      <c r="R296" s="260">
        <v>378.272</v>
      </c>
      <c r="S296" s="260">
        <v>0.0</v>
      </c>
      <c r="T296" s="260">
        <v>472.84</v>
      </c>
      <c r="U296" s="261" t="s">
        <v>1398</v>
      </c>
      <c r="V296" s="279">
        <v>45298.90422453704</v>
      </c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</row>
    <row r="297">
      <c r="A297" s="276">
        <v>45298.0</v>
      </c>
      <c r="B297" s="252">
        <v>5232399.0</v>
      </c>
      <c r="C297" s="253" t="s">
        <v>82</v>
      </c>
      <c r="D297" s="253" t="s">
        <v>35</v>
      </c>
      <c r="E297" s="252">
        <v>4.160015194E9</v>
      </c>
      <c r="F297" s="253" t="s">
        <v>1911</v>
      </c>
      <c r="G297" s="276">
        <v>45311.0</v>
      </c>
      <c r="H297" s="277">
        <v>45313.0</v>
      </c>
      <c r="I297" s="278">
        <v>2.0</v>
      </c>
      <c r="J297" s="257" t="s">
        <v>78</v>
      </c>
      <c r="K297" s="253" t="s">
        <v>79</v>
      </c>
      <c r="L297" s="253" t="s">
        <v>1396</v>
      </c>
      <c r="M297" s="252">
        <v>3.0</v>
      </c>
      <c r="N297" s="258">
        <v>0.0</v>
      </c>
      <c r="O297" s="259">
        <v>118.21</v>
      </c>
      <c r="P297" s="259">
        <v>94.568</v>
      </c>
      <c r="Q297" s="262">
        <v>0.0</v>
      </c>
      <c r="R297" s="260">
        <v>189.136</v>
      </c>
      <c r="S297" s="260">
        <v>0.0</v>
      </c>
      <c r="T297" s="260">
        <v>236.42</v>
      </c>
      <c r="U297" s="261" t="s">
        <v>1398</v>
      </c>
      <c r="V297" s="279">
        <v>45298.923668981486</v>
      </c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</row>
    <row r="298">
      <c r="A298" s="276">
        <v>45298.0</v>
      </c>
      <c r="B298" s="252">
        <v>5232408.0</v>
      </c>
      <c r="C298" s="253" t="s">
        <v>82</v>
      </c>
      <c r="D298" s="253" t="s">
        <v>35</v>
      </c>
      <c r="E298" s="252">
        <v>4.069404158E9</v>
      </c>
      <c r="F298" s="253" t="s">
        <v>1912</v>
      </c>
      <c r="G298" s="276">
        <v>45311.0</v>
      </c>
      <c r="H298" s="277">
        <v>45314.0</v>
      </c>
      <c r="I298" s="278">
        <v>3.0</v>
      </c>
      <c r="J298" s="257" t="s">
        <v>78</v>
      </c>
      <c r="K298" s="253" t="s">
        <v>79</v>
      </c>
      <c r="L298" s="253" t="s">
        <v>1396</v>
      </c>
      <c r="M298" s="275">
        <v>2.0</v>
      </c>
      <c r="N298" s="258">
        <v>0.0</v>
      </c>
      <c r="O298" s="259">
        <v>118.21</v>
      </c>
      <c r="P298" s="259">
        <v>94.568</v>
      </c>
      <c r="Q298" s="262">
        <v>0.0</v>
      </c>
      <c r="R298" s="260">
        <v>283.704</v>
      </c>
      <c r="S298" s="260">
        <v>0.0</v>
      </c>
      <c r="T298" s="260">
        <v>354.63</v>
      </c>
      <c r="U298" s="261" t="s">
        <v>1398</v>
      </c>
      <c r="V298" s="279">
        <v>45298.924363425926</v>
      </c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</row>
    <row r="299">
      <c r="A299" s="276">
        <v>45298.0</v>
      </c>
      <c r="B299" s="252">
        <v>5231403.0</v>
      </c>
      <c r="C299" s="253" t="s">
        <v>82</v>
      </c>
      <c r="D299" s="253" t="s">
        <v>35</v>
      </c>
      <c r="E299" s="252">
        <v>4.166269896E9</v>
      </c>
      <c r="F299" s="253" t="s">
        <v>1913</v>
      </c>
      <c r="G299" s="276">
        <v>45315.0</v>
      </c>
      <c r="H299" s="277">
        <v>45318.0</v>
      </c>
      <c r="I299" s="278">
        <v>3.0</v>
      </c>
      <c r="J299" s="257" t="s">
        <v>78</v>
      </c>
      <c r="K299" s="253" t="s">
        <v>79</v>
      </c>
      <c r="L299" s="253" t="s">
        <v>1396</v>
      </c>
      <c r="M299" s="275">
        <v>2.0</v>
      </c>
      <c r="N299" s="258">
        <v>0.0</v>
      </c>
      <c r="O299" s="259">
        <v>118.21</v>
      </c>
      <c r="P299" s="259">
        <v>94.568</v>
      </c>
      <c r="Q299" s="262">
        <v>0.0</v>
      </c>
      <c r="R299" s="260">
        <v>283.704</v>
      </c>
      <c r="S299" s="260">
        <v>0.0</v>
      </c>
      <c r="T299" s="260">
        <v>354.63</v>
      </c>
      <c r="U299" s="261" t="s">
        <v>1398</v>
      </c>
      <c r="V299" s="279">
        <v>45298.691030092596</v>
      </c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</row>
    <row r="300">
      <c r="A300" s="276">
        <v>45298.0</v>
      </c>
      <c r="B300" s="252">
        <v>5231240.0</v>
      </c>
      <c r="C300" s="253" t="s">
        <v>82</v>
      </c>
      <c r="D300" s="253" t="s">
        <v>35</v>
      </c>
      <c r="E300" s="252">
        <v>4.21137759E9</v>
      </c>
      <c r="F300" s="253" t="s">
        <v>1914</v>
      </c>
      <c r="G300" s="276">
        <v>45315.0</v>
      </c>
      <c r="H300" s="277">
        <v>45317.0</v>
      </c>
      <c r="I300" s="278">
        <v>2.0</v>
      </c>
      <c r="J300" s="257" t="s">
        <v>87</v>
      </c>
      <c r="K300" s="253" t="s">
        <v>79</v>
      </c>
      <c r="L300" s="253" t="s">
        <v>1396</v>
      </c>
      <c r="M300" s="252">
        <v>2.0</v>
      </c>
      <c r="N300" s="258">
        <v>0.0</v>
      </c>
      <c r="O300" s="259">
        <v>112.29</v>
      </c>
      <c r="P300" s="259">
        <v>89.83200000000001</v>
      </c>
      <c r="Q300" s="262">
        <v>0.0</v>
      </c>
      <c r="R300" s="260">
        <v>179.66400000000002</v>
      </c>
      <c r="S300" s="260">
        <v>0.0</v>
      </c>
      <c r="T300" s="260">
        <v>224.58</v>
      </c>
      <c r="U300" s="261" t="s">
        <v>1398</v>
      </c>
      <c r="V300" s="279">
        <v>45298.65282407407</v>
      </c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</row>
    <row r="301">
      <c r="A301" s="276">
        <v>45298.0</v>
      </c>
      <c r="B301" s="252">
        <v>5232603.0</v>
      </c>
      <c r="C301" s="253" t="s">
        <v>75</v>
      </c>
      <c r="D301" s="253" t="s">
        <v>35</v>
      </c>
      <c r="E301" s="252">
        <v>4.265168298E9</v>
      </c>
      <c r="F301" s="253" t="s">
        <v>1917</v>
      </c>
      <c r="G301" s="276">
        <v>45322.0</v>
      </c>
      <c r="H301" s="277">
        <v>45324.0</v>
      </c>
      <c r="I301" s="278">
        <v>2.0</v>
      </c>
      <c r="J301" s="257" t="s">
        <v>111</v>
      </c>
      <c r="K301" s="253" t="s">
        <v>138</v>
      </c>
      <c r="L301" s="253" t="s">
        <v>1918</v>
      </c>
      <c r="M301" s="275">
        <v>2.0</v>
      </c>
      <c r="N301" s="258">
        <v>0.0</v>
      </c>
      <c r="O301" s="259">
        <v>188.0</v>
      </c>
      <c r="P301" s="259">
        <v>150.4</v>
      </c>
      <c r="Q301" s="257">
        <v>36.0</v>
      </c>
      <c r="R301" s="260">
        <v>300.8</v>
      </c>
      <c r="S301" s="260">
        <v>72.0</v>
      </c>
      <c r="T301" s="260">
        <v>448.0</v>
      </c>
      <c r="U301" s="261" t="s">
        <v>1920</v>
      </c>
      <c r="V301" s="279">
        <v>45318.01738425926</v>
      </c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</row>
    <row r="302">
      <c r="A302" s="276">
        <v>45298.0</v>
      </c>
      <c r="B302" s="252">
        <v>5230883.0</v>
      </c>
      <c r="C302" s="253" t="s">
        <v>82</v>
      </c>
      <c r="D302" s="253" t="s">
        <v>35</v>
      </c>
      <c r="E302" s="252">
        <v>4.138237812E9</v>
      </c>
      <c r="F302" s="253" t="s">
        <v>1921</v>
      </c>
      <c r="G302" s="276">
        <v>45335.0</v>
      </c>
      <c r="H302" s="277">
        <v>45337.0</v>
      </c>
      <c r="I302" s="278">
        <v>2.0</v>
      </c>
      <c r="J302" s="257" t="s">
        <v>78</v>
      </c>
      <c r="K302" s="253" t="s">
        <v>79</v>
      </c>
      <c r="L302" s="253" t="s">
        <v>1396</v>
      </c>
      <c r="M302" s="252">
        <v>2.0</v>
      </c>
      <c r="N302" s="258">
        <v>0.0</v>
      </c>
      <c r="O302" s="259">
        <v>182.86</v>
      </c>
      <c r="P302" s="259">
        <v>146.288</v>
      </c>
      <c r="Q302" s="257">
        <v>0.0</v>
      </c>
      <c r="R302" s="260">
        <v>292.576</v>
      </c>
      <c r="S302" s="260">
        <v>0.0</v>
      </c>
      <c r="T302" s="260">
        <v>1028.32</v>
      </c>
      <c r="U302" s="261" t="s">
        <v>1398</v>
      </c>
      <c r="V302" s="279">
        <v>45298.564618055556</v>
      </c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</row>
    <row r="303">
      <c r="A303" s="276">
        <v>45298.0</v>
      </c>
      <c r="B303" s="252">
        <v>5230883.0</v>
      </c>
      <c r="C303" s="253" t="s">
        <v>82</v>
      </c>
      <c r="D303" s="253" t="s">
        <v>35</v>
      </c>
      <c r="E303" s="252">
        <v>4.138237812E9</v>
      </c>
      <c r="F303" s="253" t="s">
        <v>1921</v>
      </c>
      <c r="G303" s="276">
        <v>45335.0</v>
      </c>
      <c r="H303" s="277">
        <v>45337.0</v>
      </c>
      <c r="I303" s="278">
        <v>2.0</v>
      </c>
      <c r="J303" s="257" t="s">
        <v>91</v>
      </c>
      <c r="K303" s="253" t="s">
        <v>79</v>
      </c>
      <c r="L303" s="253" t="s">
        <v>1396</v>
      </c>
      <c r="M303" s="252">
        <v>3.0</v>
      </c>
      <c r="N303" s="258">
        <v>0.0</v>
      </c>
      <c r="O303" s="259">
        <v>331.3</v>
      </c>
      <c r="P303" s="259">
        <v>265.04</v>
      </c>
      <c r="Q303" s="262">
        <v>0.0</v>
      </c>
      <c r="R303" s="260">
        <v>530.08</v>
      </c>
      <c r="S303" s="260">
        <v>0.0</v>
      </c>
      <c r="T303" s="260">
        <v>1028.32</v>
      </c>
      <c r="U303" s="261" t="s">
        <v>1398</v>
      </c>
      <c r="V303" s="279">
        <v>45298.564618055556</v>
      </c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</row>
    <row r="304">
      <c r="A304" s="276">
        <v>45298.0</v>
      </c>
      <c r="B304" s="252">
        <v>5230992.0</v>
      </c>
      <c r="C304" s="253" t="s">
        <v>82</v>
      </c>
      <c r="D304" s="253" t="s">
        <v>35</v>
      </c>
      <c r="E304" s="252">
        <v>4.211078046E9</v>
      </c>
      <c r="F304" s="253" t="s">
        <v>1921</v>
      </c>
      <c r="G304" s="276">
        <v>45338.0</v>
      </c>
      <c r="H304" s="277">
        <v>45339.0</v>
      </c>
      <c r="I304" s="278">
        <v>1.0</v>
      </c>
      <c r="J304" s="257" t="s">
        <v>87</v>
      </c>
      <c r="K304" s="253" t="s">
        <v>79</v>
      </c>
      <c r="L304" s="253" t="s">
        <v>1443</v>
      </c>
      <c r="M304" s="252">
        <v>2.0</v>
      </c>
      <c r="N304" s="258">
        <v>0.0</v>
      </c>
      <c r="O304" s="259">
        <v>125.49</v>
      </c>
      <c r="P304" s="259">
        <v>100.392</v>
      </c>
      <c r="Q304" s="262">
        <v>0.0</v>
      </c>
      <c r="R304" s="260">
        <v>100.392</v>
      </c>
      <c r="S304" s="260">
        <v>0.0</v>
      </c>
      <c r="T304" s="260">
        <v>456.79</v>
      </c>
      <c r="U304" s="261" t="s">
        <v>1444</v>
      </c>
      <c r="V304" s="279">
        <v>45298.59310185185</v>
      </c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</row>
    <row r="305">
      <c r="A305" s="276">
        <v>45298.0</v>
      </c>
      <c r="B305" s="252">
        <v>5230992.0</v>
      </c>
      <c r="C305" s="253" t="s">
        <v>82</v>
      </c>
      <c r="D305" s="253" t="s">
        <v>35</v>
      </c>
      <c r="E305" s="252">
        <v>4.211078046E9</v>
      </c>
      <c r="F305" s="253" t="s">
        <v>1921</v>
      </c>
      <c r="G305" s="276">
        <v>45338.0</v>
      </c>
      <c r="H305" s="277">
        <v>45339.0</v>
      </c>
      <c r="I305" s="278">
        <v>1.0</v>
      </c>
      <c r="J305" s="257" t="s">
        <v>91</v>
      </c>
      <c r="K305" s="253" t="s">
        <v>79</v>
      </c>
      <c r="L305" s="253" t="s">
        <v>1443</v>
      </c>
      <c r="M305" s="252">
        <v>3.0</v>
      </c>
      <c r="N305" s="258">
        <v>0.0</v>
      </c>
      <c r="O305" s="259">
        <v>331.3</v>
      </c>
      <c r="P305" s="259">
        <v>265.04</v>
      </c>
      <c r="Q305" s="262">
        <v>0.0</v>
      </c>
      <c r="R305" s="260">
        <v>265.04</v>
      </c>
      <c r="S305" s="260">
        <v>0.0</v>
      </c>
      <c r="T305" s="260">
        <v>456.79</v>
      </c>
      <c r="U305" s="261" t="s">
        <v>1444</v>
      </c>
      <c r="V305" s="279">
        <v>45298.59310185185</v>
      </c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</row>
    <row r="306">
      <c r="A306" s="276">
        <v>45298.0</v>
      </c>
      <c r="B306" s="252">
        <v>5232568.0</v>
      </c>
      <c r="C306" s="253" t="s">
        <v>82</v>
      </c>
      <c r="D306" s="253" t="s">
        <v>35</v>
      </c>
      <c r="E306" s="252">
        <v>4.172219937E9</v>
      </c>
      <c r="F306" s="253" t="s">
        <v>1924</v>
      </c>
      <c r="G306" s="276">
        <v>45339.0</v>
      </c>
      <c r="H306" s="277">
        <v>45341.0</v>
      </c>
      <c r="I306" s="278">
        <v>2.0</v>
      </c>
      <c r="J306" s="257" t="s">
        <v>91</v>
      </c>
      <c r="K306" s="253" t="s">
        <v>79</v>
      </c>
      <c r="L306" s="253" t="s">
        <v>1724</v>
      </c>
      <c r="M306" s="252">
        <v>4.0</v>
      </c>
      <c r="N306" s="258">
        <v>0.0</v>
      </c>
      <c r="O306" s="259">
        <v>367.0</v>
      </c>
      <c r="P306" s="259">
        <v>293.6</v>
      </c>
      <c r="Q306" s="257">
        <v>0.0</v>
      </c>
      <c r="R306" s="260">
        <v>587.2</v>
      </c>
      <c r="S306" s="260">
        <v>0.0</v>
      </c>
      <c r="T306" s="260">
        <v>734.0</v>
      </c>
      <c r="U306" s="261" t="s">
        <v>1725</v>
      </c>
      <c r="V306" s="279">
        <v>45298.968125</v>
      </c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</row>
    <row r="307">
      <c r="A307" s="276">
        <v>45298.0</v>
      </c>
      <c r="B307" s="252">
        <v>5231856.0</v>
      </c>
      <c r="C307" s="253" t="s">
        <v>82</v>
      </c>
      <c r="D307" s="253" t="s">
        <v>35</v>
      </c>
      <c r="E307" s="252">
        <v>4.231450618E9</v>
      </c>
      <c r="F307" s="253" t="s">
        <v>1925</v>
      </c>
      <c r="G307" s="276">
        <v>45348.0</v>
      </c>
      <c r="H307" s="277">
        <v>45349.0</v>
      </c>
      <c r="I307" s="278">
        <v>1.0</v>
      </c>
      <c r="J307" s="257" t="s">
        <v>78</v>
      </c>
      <c r="K307" s="253" t="s">
        <v>138</v>
      </c>
      <c r="L307" s="253" t="s">
        <v>1450</v>
      </c>
      <c r="M307" s="252">
        <v>3.0</v>
      </c>
      <c r="N307" s="258">
        <v>0.0</v>
      </c>
      <c r="O307" s="259">
        <v>183.5</v>
      </c>
      <c r="P307" s="259">
        <v>146.8</v>
      </c>
      <c r="Q307" s="257">
        <v>54.0</v>
      </c>
      <c r="R307" s="260">
        <v>146.8</v>
      </c>
      <c r="S307" s="260">
        <v>54.0</v>
      </c>
      <c r="T307" s="260">
        <v>183.5</v>
      </c>
      <c r="U307" s="261" t="s">
        <v>1451</v>
      </c>
      <c r="V307" s="279">
        <v>45298.791030092594</v>
      </c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</row>
    <row r="308">
      <c r="A308" s="276">
        <v>45298.0</v>
      </c>
      <c r="B308" s="252">
        <v>5231525.0</v>
      </c>
      <c r="C308" s="253" t="s">
        <v>82</v>
      </c>
      <c r="D308" s="253" t="s">
        <v>35</v>
      </c>
      <c r="E308" s="252">
        <v>4.088114444E9</v>
      </c>
      <c r="F308" s="253" t="s">
        <v>1926</v>
      </c>
      <c r="G308" s="276">
        <v>45362.0</v>
      </c>
      <c r="H308" s="277">
        <v>45365.0</v>
      </c>
      <c r="I308" s="278">
        <v>3.0</v>
      </c>
      <c r="J308" s="257" t="s">
        <v>78</v>
      </c>
      <c r="K308" s="253" t="s">
        <v>79</v>
      </c>
      <c r="L308" s="253" t="s">
        <v>1724</v>
      </c>
      <c r="M308" s="275">
        <v>2.0</v>
      </c>
      <c r="N308" s="258">
        <v>0.0</v>
      </c>
      <c r="O308" s="259">
        <v>174.20000000000002</v>
      </c>
      <c r="P308" s="259">
        <v>139.36</v>
      </c>
      <c r="Q308" s="262">
        <v>0.0</v>
      </c>
      <c r="R308" s="260">
        <v>418.08000000000004</v>
      </c>
      <c r="S308" s="260">
        <v>0.0</v>
      </c>
      <c r="T308" s="260">
        <v>522.6</v>
      </c>
      <c r="U308" s="261" t="s">
        <v>1725</v>
      </c>
      <c r="V308" s="279">
        <v>45298.72021990741</v>
      </c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</row>
    <row r="309">
      <c r="A309" s="280">
        <v>45298.0</v>
      </c>
      <c r="B309" s="264">
        <v>5231671.0</v>
      </c>
      <c r="C309" s="265" t="s">
        <v>89</v>
      </c>
      <c r="D309" s="265" t="s">
        <v>35</v>
      </c>
      <c r="E309" s="264">
        <v>4.257630648E9</v>
      </c>
      <c r="F309" s="265" t="s">
        <v>1928</v>
      </c>
      <c r="G309" s="280">
        <v>45365.0</v>
      </c>
      <c r="H309" s="281">
        <v>45368.0</v>
      </c>
      <c r="I309" s="282">
        <v>3.0</v>
      </c>
      <c r="J309" s="283" t="s">
        <v>87</v>
      </c>
      <c r="K309" s="265" t="s">
        <v>79</v>
      </c>
      <c r="L309" s="265" t="s">
        <v>1414</v>
      </c>
      <c r="M309" s="269">
        <v>2.0</v>
      </c>
      <c r="N309" s="270">
        <v>0.0</v>
      </c>
      <c r="O309" s="271">
        <v>0.0</v>
      </c>
      <c r="P309" s="271">
        <v>0.0</v>
      </c>
      <c r="Q309" s="272">
        <v>0.0</v>
      </c>
      <c r="R309" s="273">
        <v>0.0</v>
      </c>
      <c r="S309" s="273">
        <v>0.0</v>
      </c>
      <c r="T309" s="273">
        <v>0.0</v>
      </c>
      <c r="U309" s="274" t="s">
        <v>1929</v>
      </c>
      <c r="V309" s="286">
        <v>45298.752800925926</v>
      </c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</row>
    <row r="310">
      <c r="A310" s="276">
        <v>45298.0</v>
      </c>
      <c r="B310" s="252">
        <v>5231202.0</v>
      </c>
      <c r="C310" s="253" t="s">
        <v>82</v>
      </c>
      <c r="D310" s="253" t="s">
        <v>35</v>
      </c>
      <c r="E310" s="252">
        <v>4.232981154E9</v>
      </c>
      <c r="F310" s="253" t="s">
        <v>1930</v>
      </c>
      <c r="G310" s="276">
        <v>45396.0</v>
      </c>
      <c r="H310" s="277">
        <v>45403.0</v>
      </c>
      <c r="I310" s="278">
        <v>7.0</v>
      </c>
      <c r="J310" s="257" t="s">
        <v>114</v>
      </c>
      <c r="K310" s="253" t="s">
        <v>79</v>
      </c>
      <c r="L310" s="253" t="s">
        <v>1598</v>
      </c>
      <c r="M310" s="275">
        <v>2.0</v>
      </c>
      <c r="N310" s="258">
        <v>0.0</v>
      </c>
      <c r="O310" s="259">
        <v>165.78</v>
      </c>
      <c r="P310" s="259">
        <v>132.624</v>
      </c>
      <c r="Q310" s="262">
        <v>0.0</v>
      </c>
      <c r="R310" s="260">
        <v>928.368</v>
      </c>
      <c r="S310" s="260">
        <v>0.0</v>
      </c>
      <c r="T310" s="260">
        <v>1160.46</v>
      </c>
      <c r="U310" s="261" t="s">
        <v>1599</v>
      </c>
      <c r="V310" s="279">
        <v>45298.643807870365</v>
      </c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</row>
    <row r="311">
      <c r="A311" s="276">
        <v>45299.0</v>
      </c>
      <c r="B311" s="252">
        <v>5234402.0</v>
      </c>
      <c r="C311" s="253" t="s">
        <v>82</v>
      </c>
      <c r="D311" s="253" t="s">
        <v>35</v>
      </c>
      <c r="E311" s="252">
        <v>4.199215094E9</v>
      </c>
      <c r="F311" s="253" t="s">
        <v>1931</v>
      </c>
      <c r="G311" s="276">
        <v>45299.0</v>
      </c>
      <c r="H311" s="277">
        <v>45300.0</v>
      </c>
      <c r="I311" s="278">
        <v>1.0</v>
      </c>
      <c r="J311" s="257" t="s">
        <v>87</v>
      </c>
      <c r="K311" s="253" t="s">
        <v>79</v>
      </c>
      <c r="L311" s="253" t="s">
        <v>1396</v>
      </c>
      <c r="M311" s="252">
        <v>2.0</v>
      </c>
      <c r="N311" s="258">
        <v>0.0</v>
      </c>
      <c r="O311" s="259">
        <v>94.37</v>
      </c>
      <c r="P311" s="259">
        <v>75.49600000000001</v>
      </c>
      <c r="Q311" s="262">
        <v>0.0</v>
      </c>
      <c r="R311" s="260">
        <v>75.49600000000001</v>
      </c>
      <c r="S311" s="260">
        <v>0.0</v>
      </c>
      <c r="T311" s="260">
        <v>94.37</v>
      </c>
      <c r="U311" s="261" t="s">
        <v>1398</v>
      </c>
      <c r="V311" s="279">
        <v>45299.689618055556</v>
      </c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</row>
    <row r="312">
      <c r="A312" s="276">
        <v>45299.0</v>
      </c>
      <c r="B312" s="252">
        <v>5234449.0</v>
      </c>
      <c r="C312" s="253" t="s">
        <v>82</v>
      </c>
      <c r="D312" s="253" t="s">
        <v>1666</v>
      </c>
      <c r="E312" s="252" t="s">
        <v>1933</v>
      </c>
      <c r="F312" s="253" t="s">
        <v>1853</v>
      </c>
      <c r="G312" s="276">
        <v>45300.0</v>
      </c>
      <c r="H312" s="277">
        <v>45301.0</v>
      </c>
      <c r="I312" s="278">
        <v>1.0</v>
      </c>
      <c r="J312" s="257" t="s">
        <v>87</v>
      </c>
      <c r="K312" s="253" t="s">
        <v>79</v>
      </c>
      <c r="L312" s="253" t="s">
        <v>1447</v>
      </c>
      <c r="M312" s="252">
        <v>2.0</v>
      </c>
      <c r="N312" s="258">
        <v>0.0</v>
      </c>
      <c r="O312" s="259">
        <v>74.8</v>
      </c>
      <c r="P312" s="259">
        <v>59.84</v>
      </c>
      <c r="Q312" s="262">
        <v>0.0</v>
      </c>
      <c r="R312" s="260">
        <v>59.84</v>
      </c>
      <c r="S312" s="260">
        <v>0.0</v>
      </c>
      <c r="T312" s="260">
        <v>74.8</v>
      </c>
      <c r="U312" s="261" t="s">
        <v>1448</v>
      </c>
      <c r="V312" s="279">
        <v>45299.70107638889</v>
      </c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</row>
    <row r="313">
      <c r="A313" s="276">
        <v>45299.0</v>
      </c>
      <c r="B313" s="252">
        <v>5234755.0</v>
      </c>
      <c r="C313" s="253" t="s">
        <v>82</v>
      </c>
      <c r="D313" s="253" t="s">
        <v>35</v>
      </c>
      <c r="E313" s="252">
        <v>4.159802191E9</v>
      </c>
      <c r="F313" s="253" t="s">
        <v>1934</v>
      </c>
      <c r="G313" s="276">
        <v>45310.0</v>
      </c>
      <c r="H313" s="277">
        <v>45313.0</v>
      </c>
      <c r="I313" s="278">
        <v>3.0</v>
      </c>
      <c r="J313" s="257" t="s">
        <v>78</v>
      </c>
      <c r="K313" s="253" t="s">
        <v>79</v>
      </c>
      <c r="L313" s="253" t="s">
        <v>1454</v>
      </c>
      <c r="M313" s="252">
        <v>2.0</v>
      </c>
      <c r="N313" s="258">
        <v>0.0</v>
      </c>
      <c r="O313" s="259">
        <v>117.2</v>
      </c>
      <c r="P313" s="259">
        <v>93.76</v>
      </c>
      <c r="Q313" s="262">
        <v>0.0</v>
      </c>
      <c r="R313" s="260">
        <v>281.28000000000003</v>
      </c>
      <c r="S313" s="260">
        <v>0.0</v>
      </c>
      <c r="T313" s="260">
        <v>351.6</v>
      </c>
      <c r="U313" s="253" t="s">
        <v>1455</v>
      </c>
      <c r="V313" s="279">
        <v>45299.780590277776</v>
      </c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</row>
    <row r="314">
      <c r="A314" s="276">
        <v>45299.0</v>
      </c>
      <c r="B314" s="252">
        <v>5232721.0</v>
      </c>
      <c r="C314" s="253" t="s">
        <v>82</v>
      </c>
      <c r="D314" s="253" t="s">
        <v>35</v>
      </c>
      <c r="E314" s="252">
        <v>4.146410628E9</v>
      </c>
      <c r="F314" s="253" t="s">
        <v>1936</v>
      </c>
      <c r="G314" s="276">
        <v>45310.0</v>
      </c>
      <c r="H314" s="277">
        <v>45314.0</v>
      </c>
      <c r="I314" s="278">
        <v>4.0</v>
      </c>
      <c r="J314" s="257" t="s">
        <v>78</v>
      </c>
      <c r="K314" s="253" t="s">
        <v>79</v>
      </c>
      <c r="L314" s="253" t="s">
        <v>1937</v>
      </c>
      <c r="M314" s="252">
        <v>2.0</v>
      </c>
      <c r="N314" s="258">
        <v>0.0</v>
      </c>
      <c r="O314" s="259">
        <v>137.0</v>
      </c>
      <c r="P314" s="259">
        <v>109.60000000000001</v>
      </c>
      <c r="Q314" s="262">
        <v>0.0</v>
      </c>
      <c r="R314" s="260">
        <v>438.40000000000003</v>
      </c>
      <c r="S314" s="260">
        <v>0.0</v>
      </c>
      <c r="T314" s="260">
        <v>548.0</v>
      </c>
      <c r="U314" s="261" t="s">
        <v>1938</v>
      </c>
      <c r="V314" s="279">
        <v>45299.06738425926</v>
      </c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</row>
    <row r="315">
      <c r="A315" s="276">
        <v>45299.0</v>
      </c>
      <c r="B315" s="252">
        <v>5234241.0</v>
      </c>
      <c r="C315" s="253" t="s">
        <v>82</v>
      </c>
      <c r="D315" s="253" t="s">
        <v>35</v>
      </c>
      <c r="E315" s="252">
        <v>4.087068325E9</v>
      </c>
      <c r="F315" s="253" t="s">
        <v>1940</v>
      </c>
      <c r="G315" s="276">
        <v>45314.0</v>
      </c>
      <c r="H315" s="277">
        <v>45318.0</v>
      </c>
      <c r="I315" s="278">
        <v>4.0</v>
      </c>
      <c r="J315" s="257" t="s">
        <v>78</v>
      </c>
      <c r="K315" s="253" t="s">
        <v>79</v>
      </c>
      <c r="L315" s="253" t="s">
        <v>1937</v>
      </c>
      <c r="M315" s="275">
        <v>2.0</v>
      </c>
      <c r="N315" s="258">
        <v>0.0</v>
      </c>
      <c r="O315" s="259">
        <v>137.0</v>
      </c>
      <c r="P315" s="259">
        <v>109.60000000000001</v>
      </c>
      <c r="Q315" s="262">
        <v>0.0</v>
      </c>
      <c r="R315" s="260">
        <v>438.40000000000003</v>
      </c>
      <c r="S315" s="260">
        <v>0.0</v>
      </c>
      <c r="T315" s="260">
        <v>548.0</v>
      </c>
      <c r="U315" s="261" t="s">
        <v>1938</v>
      </c>
      <c r="V315" s="279">
        <v>45299.65770833333</v>
      </c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</row>
    <row r="316">
      <c r="A316" s="276">
        <v>45299.0</v>
      </c>
      <c r="B316" s="252">
        <v>5234673.0</v>
      </c>
      <c r="C316" s="253" t="s">
        <v>82</v>
      </c>
      <c r="D316" s="253" t="s">
        <v>35</v>
      </c>
      <c r="E316" s="252">
        <v>4.26489639E9</v>
      </c>
      <c r="F316" s="253" t="s">
        <v>1941</v>
      </c>
      <c r="G316" s="276">
        <v>45328.0</v>
      </c>
      <c r="H316" s="277">
        <v>45330.0</v>
      </c>
      <c r="I316" s="278">
        <v>2.0</v>
      </c>
      <c r="J316" s="257" t="s">
        <v>78</v>
      </c>
      <c r="K316" s="253" t="s">
        <v>79</v>
      </c>
      <c r="L316" s="253" t="s">
        <v>1396</v>
      </c>
      <c r="M316" s="275">
        <v>2.0</v>
      </c>
      <c r="N316" s="258">
        <v>0.0</v>
      </c>
      <c r="O316" s="259">
        <v>148.44</v>
      </c>
      <c r="P316" s="259">
        <v>118.75200000000001</v>
      </c>
      <c r="Q316" s="262">
        <v>0.0</v>
      </c>
      <c r="R316" s="260">
        <v>237.50400000000002</v>
      </c>
      <c r="S316" s="260">
        <v>0.0</v>
      </c>
      <c r="T316" s="260">
        <v>296.88</v>
      </c>
      <c r="U316" s="261" t="s">
        <v>1398</v>
      </c>
      <c r="V316" s="279">
        <v>45299.7590625</v>
      </c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</row>
    <row r="317">
      <c r="A317" s="276">
        <v>45299.0</v>
      </c>
      <c r="B317" s="252">
        <v>5233371.0</v>
      </c>
      <c r="C317" s="253" t="s">
        <v>75</v>
      </c>
      <c r="D317" s="253" t="s">
        <v>35</v>
      </c>
      <c r="E317" s="252">
        <v>4.146499719E9</v>
      </c>
      <c r="F317" s="253" t="s">
        <v>1943</v>
      </c>
      <c r="G317" s="276">
        <v>45329.0</v>
      </c>
      <c r="H317" s="277">
        <v>45330.0</v>
      </c>
      <c r="I317" s="278">
        <v>1.0</v>
      </c>
      <c r="J317" s="257" t="s">
        <v>87</v>
      </c>
      <c r="K317" s="253" t="s">
        <v>79</v>
      </c>
      <c r="L317" s="253" t="s">
        <v>1724</v>
      </c>
      <c r="M317" s="252">
        <v>2.0</v>
      </c>
      <c r="N317" s="258">
        <v>0.0</v>
      </c>
      <c r="O317" s="259">
        <v>132.88</v>
      </c>
      <c r="P317" s="259">
        <v>106.304</v>
      </c>
      <c r="Q317" s="262">
        <v>0.0</v>
      </c>
      <c r="R317" s="260">
        <v>106.304</v>
      </c>
      <c r="S317" s="260">
        <v>0.0</v>
      </c>
      <c r="T317" s="260">
        <v>132.88</v>
      </c>
      <c r="U317" s="261" t="s">
        <v>1725</v>
      </c>
      <c r="V317" s="279">
        <v>45325.017418981486</v>
      </c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</row>
    <row r="318">
      <c r="A318" s="276">
        <v>45299.0</v>
      </c>
      <c r="B318" s="252">
        <v>5235425.0</v>
      </c>
      <c r="C318" s="253" t="s">
        <v>82</v>
      </c>
      <c r="D318" s="253" t="s">
        <v>35</v>
      </c>
      <c r="E318" s="252">
        <v>4.265193416E9</v>
      </c>
      <c r="F318" s="253" t="s">
        <v>1944</v>
      </c>
      <c r="G318" s="276">
        <v>45370.0</v>
      </c>
      <c r="H318" s="277">
        <v>45372.0</v>
      </c>
      <c r="I318" s="278">
        <v>2.0</v>
      </c>
      <c r="J318" s="257" t="s">
        <v>78</v>
      </c>
      <c r="K318" s="253" t="s">
        <v>79</v>
      </c>
      <c r="L318" s="253" t="s">
        <v>1724</v>
      </c>
      <c r="M318" s="275">
        <v>2.0</v>
      </c>
      <c r="N318" s="258">
        <v>0.0</v>
      </c>
      <c r="O318" s="259">
        <v>148.81</v>
      </c>
      <c r="P318" s="259">
        <v>119.048</v>
      </c>
      <c r="Q318" s="262">
        <v>0.0</v>
      </c>
      <c r="R318" s="260">
        <v>238.096</v>
      </c>
      <c r="S318" s="260">
        <v>0.0</v>
      </c>
      <c r="T318" s="260">
        <v>297.62</v>
      </c>
      <c r="U318" s="261" t="s">
        <v>1725</v>
      </c>
      <c r="V318" s="279">
        <v>45299.93753472222</v>
      </c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</row>
    <row r="319">
      <c r="A319" s="276">
        <v>45299.0</v>
      </c>
      <c r="B319" s="252">
        <v>5235369.0</v>
      </c>
      <c r="C319" s="253" t="s">
        <v>82</v>
      </c>
      <c r="D319" s="253" t="s">
        <v>35</v>
      </c>
      <c r="E319" s="252">
        <v>4.027817363E9</v>
      </c>
      <c r="F319" s="253" t="s">
        <v>1946</v>
      </c>
      <c r="G319" s="276">
        <v>45370.0</v>
      </c>
      <c r="H319" s="277">
        <v>45372.0</v>
      </c>
      <c r="I319" s="278">
        <v>2.0</v>
      </c>
      <c r="J319" s="257" t="s">
        <v>78</v>
      </c>
      <c r="K319" s="253" t="s">
        <v>79</v>
      </c>
      <c r="L319" s="253" t="s">
        <v>1396</v>
      </c>
      <c r="M319" s="252">
        <v>2.0</v>
      </c>
      <c r="N319" s="258">
        <v>0.0</v>
      </c>
      <c r="O319" s="259">
        <v>118.85</v>
      </c>
      <c r="P319" s="259">
        <v>95.08</v>
      </c>
      <c r="Q319" s="257">
        <v>0.0</v>
      </c>
      <c r="R319" s="260">
        <v>190.16</v>
      </c>
      <c r="S319" s="260">
        <v>0.0</v>
      </c>
      <c r="T319" s="260">
        <v>237.7</v>
      </c>
      <c r="U319" s="261" t="s">
        <v>1398</v>
      </c>
      <c r="V319" s="279">
        <v>45299.92229166666</v>
      </c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</row>
    <row r="320">
      <c r="A320" s="289">
        <v>45299.0</v>
      </c>
      <c r="B320" s="290">
        <v>5235555.0</v>
      </c>
      <c r="C320" s="291" t="s">
        <v>75</v>
      </c>
      <c r="D320" s="291" t="s">
        <v>35</v>
      </c>
      <c r="E320" s="290">
        <v>4.224287335E9</v>
      </c>
      <c r="F320" s="291" t="s">
        <v>1947</v>
      </c>
      <c r="G320" s="289">
        <v>45371.0</v>
      </c>
      <c r="H320" s="292">
        <v>45373.0</v>
      </c>
      <c r="I320" s="293">
        <v>2.0</v>
      </c>
      <c r="J320" s="294" t="s">
        <v>111</v>
      </c>
      <c r="K320" s="291" t="s">
        <v>79</v>
      </c>
      <c r="L320" s="291" t="s">
        <v>1443</v>
      </c>
      <c r="M320" s="290">
        <v>2.0</v>
      </c>
      <c r="N320" s="295">
        <v>0.0</v>
      </c>
      <c r="O320" s="296">
        <v>154.18</v>
      </c>
      <c r="P320" s="296">
        <v>123.34400000000001</v>
      </c>
      <c r="Q320" s="301">
        <v>0.0</v>
      </c>
      <c r="R320" s="297">
        <v>246.68800000000002</v>
      </c>
      <c r="S320" s="297">
        <v>0.0</v>
      </c>
      <c r="T320" s="297">
        <v>308.36</v>
      </c>
      <c r="U320" s="298" t="s">
        <v>1444</v>
      </c>
      <c r="V320" s="299">
        <v>45299.98268518518</v>
      </c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</row>
    <row r="321">
      <c r="A321" s="276">
        <v>45299.0</v>
      </c>
      <c r="B321" s="252">
        <v>5232996.0</v>
      </c>
      <c r="C321" s="253" t="s">
        <v>82</v>
      </c>
      <c r="D321" s="253" t="s">
        <v>421</v>
      </c>
      <c r="E321" s="252">
        <v>1.51170936E8</v>
      </c>
      <c r="F321" s="253" t="s">
        <v>1948</v>
      </c>
      <c r="G321" s="276">
        <v>45376.0</v>
      </c>
      <c r="H321" s="277">
        <v>45379.0</v>
      </c>
      <c r="I321" s="278">
        <v>3.0</v>
      </c>
      <c r="J321" s="257" t="s">
        <v>87</v>
      </c>
      <c r="K321" s="253" t="s">
        <v>1425</v>
      </c>
      <c r="L321" s="253" t="s">
        <v>1949</v>
      </c>
      <c r="M321" s="275">
        <v>2.0</v>
      </c>
      <c r="N321" s="258">
        <v>0.0</v>
      </c>
      <c r="O321" s="259">
        <v>121.8</v>
      </c>
      <c r="P321" s="259">
        <v>97.44</v>
      </c>
      <c r="Q321" s="262" t="e">
        <v>#NUM!</v>
      </c>
      <c r="R321" s="260">
        <v>292.32</v>
      </c>
      <c r="S321" s="260" t="e">
        <v>#NUM!</v>
      </c>
      <c r="T321" s="260">
        <v>365.4</v>
      </c>
      <c r="U321" s="261" t="s">
        <v>1951</v>
      </c>
      <c r="V321" s="279">
        <v>45299.29174768519</v>
      </c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</row>
    <row r="322">
      <c r="A322" s="276">
        <v>45299.0</v>
      </c>
      <c r="B322" s="252">
        <v>5232814.0</v>
      </c>
      <c r="C322" s="253" t="s">
        <v>89</v>
      </c>
      <c r="D322" s="253" t="s">
        <v>35</v>
      </c>
      <c r="E322" s="252">
        <v>4.199209719E9</v>
      </c>
      <c r="F322" s="253" t="s">
        <v>1952</v>
      </c>
      <c r="G322" s="276">
        <v>45379.0</v>
      </c>
      <c r="H322" s="277">
        <v>45380.0</v>
      </c>
      <c r="I322" s="278">
        <v>1.0</v>
      </c>
      <c r="J322" s="257" t="s">
        <v>87</v>
      </c>
      <c r="K322" s="253" t="s">
        <v>79</v>
      </c>
      <c r="L322" s="253" t="s">
        <v>1724</v>
      </c>
      <c r="M322" s="252">
        <v>2.0</v>
      </c>
      <c r="N322" s="258">
        <v>0.0</v>
      </c>
      <c r="O322" s="259">
        <v>0.0</v>
      </c>
      <c r="P322" s="259">
        <v>0.0</v>
      </c>
      <c r="Q322" s="262">
        <v>0.0</v>
      </c>
      <c r="R322" s="260">
        <v>0.0</v>
      </c>
      <c r="S322" s="260">
        <v>0.0</v>
      </c>
      <c r="T322" s="260">
        <v>0.0</v>
      </c>
      <c r="U322" s="261" t="s">
        <v>1953</v>
      </c>
      <c r="V322" s="279">
        <v>45367.38685185185</v>
      </c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</row>
    <row r="323">
      <c r="A323" s="276">
        <v>45299.0</v>
      </c>
      <c r="B323" s="252">
        <v>5234728.0</v>
      </c>
      <c r="C323" s="253" t="s">
        <v>82</v>
      </c>
      <c r="D323" s="253" t="s">
        <v>35</v>
      </c>
      <c r="E323" s="252">
        <v>4.087018214E9</v>
      </c>
      <c r="F323" s="253" t="s">
        <v>1954</v>
      </c>
      <c r="G323" s="276">
        <v>45381.0</v>
      </c>
      <c r="H323" s="277">
        <v>45384.0</v>
      </c>
      <c r="I323" s="278">
        <v>3.0</v>
      </c>
      <c r="J323" s="257" t="s">
        <v>111</v>
      </c>
      <c r="K323" s="253" t="s">
        <v>79</v>
      </c>
      <c r="L323" s="253" t="s">
        <v>1724</v>
      </c>
      <c r="M323" s="252">
        <v>2.0</v>
      </c>
      <c r="N323" s="258">
        <v>0.0</v>
      </c>
      <c r="O323" s="259">
        <v>164.75</v>
      </c>
      <c r="P323" s="259">
        <v>131.8</v>
      </c>
      <c r="Q323" s="262">
        <v>0.0</v>
      </c>
      <c r="R323" s="260">
        <v>395.40000000000003</v>
      </c>
      <c r="S323" s="260">
        <v>0.0</v>
      </c>
      <c r="T323" s="260">
        <v>494.25</v>
      </c>
      <c r="U323" s="261" t="s">
        <v>1725</v>
      </c>
      <c r="V323" s="279">
        <v>45299.77506944444</v>
      </c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</row>
    <row r="324">
      <c r="A324" s="280">
        <v>45299.0</v>
      </c>
      <c r="B324" s="264">
        <v>5234631.0</v>
      </c>
      <c r="C324" s="265" t="s">
        <v>89</v>
      </c>
      <c r="D324" s="265" t="s">
        <v>35</v>
      </c>
      <c r="E324" s="264">
        <v>4.21980635E9</v>
      </c>
      <c r="F324" s="265" t="s">
        <v>1956</v>
      </c>
      <c r="G324" s="280">
        <v>45399.0</v>
      </c>
      <c r="H324" s="281">
        <v>45402.0</v>
      </c>
      <c r="I324" s="282">
        <v>3.0</v>
      </c>
      <c r="J324" s="283" t="s">
        <v>78</v>
      </c>
      <c r="K324" s="265" t="s">
        <v>79</v>
      </c>
      <c r="L324" s="265" t="s">
        <v>1476</v>
      </c>
      <c r="M324" s="269">
        <v>2.0</v>
      </c>
      <c r="N324" s="270">
        <v>0.0</v>
      </c>
      <c r="O324" s="271">
        <v>0.0</v>
      </c>
      <c r="P324" s="271">
        <v>0.0</v>
      </c>
      <c r="Q324" s="272">
        <v>0.0</v>
      </c>
      <c r="R324" s="273">
        <v>0.0</v>
      </c>
      <c r="S324" s="273">
        <v>0.0</v>
      </c>
      <c r="T324" s="273">
        <v>0.0</v>
      </c>
      <c r="U324" s="274" t="s">
        <v>1957</v>
      </c>
      <c r="V324" s="286">
        <v>45299.74796296297</v>
      </c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</row>
    <row r="325">
      <c r="A325" s="276">
        <v>45299.0</v>
      </c>
      <c r="B325" s="252">
        <v>5233935.0</v>
      </c>
      <c r="C325" s="253" t="s">
        <v>82</v>
      </c>
      <c r="D325" s="253" t="s">
        <v>35</v>
      </c>
      <c r="E325" s="252">
        <v>4.231422953E9</v>
      </c>
      <c r="F325" s="253" t="s">
        <v>1958</v>
      </c>
      <c r="G325" s="276">
        <v>45471.0</v>
      </c>
      <c r="H325" s="277">
        <v>45473.0</v>
      </c>
      <c r="I325" s="278">
        <v>2.0</v>
      </c>
      <c r="J325" s="257" t="s">
        <v>78</v>
      </c>
      <c r="K325" s="253" t="s">
        <v>79</v>
      </c>
      <c r="L325" s="253" t="s">
        <v>1937</v>
      </c>
      <c r="M325" s="252">
        <v>3.0</v>
      </c>
      <c r="N325" s="258">
        <v>0.0</v>
      </c>
      <c r="O325" s="259">
        <v>137.0</v>
      </c>
      <c r="P325" s="259">
        <v>109.60000000000001</v>
      </c>
      <c r="Q325" s="262">
        <v>0.0</v>
      </c>
      <c r="R325" s="260">
        <v>219.20000000000002</v>
      </c>
      <c r="S325" s="260">
        <v>0.0</v>
      </c>
      <c r="T325" s="260">
        <v>274.0</v>
      </c>
      <c r="U325" s="261" t="s">
        <v>1938</v>
      </c>
      <c r="V325" s="279">
        <v>45299.58688657408</v>
      </c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</row>
    <row r="326">
      <c r="A326" s="210">
        <v>45299.0</v>
      </c>
      <c r="B326" s="166">
        <v>5235403.0</v>
      </c>
      <c r="C326" s="166" t="s">
        <v>82</v>
      </c>
      <c r="D326" s="166" t="s">
        <v>35</v>
      </c>
      <c r="E326" s="166">
        <v>4.146411329E9</v>
      </c>
      <c r="F326" s="166" t="s">
        <v>1959</v>
      </c>
      <c r="G326" s="210">
        <v>45528.0</v>
      </c>
      <c r="H326" s="287">
        <v>45529.0</v>
      </c>
      <c r="I326" s="168">
        <v>1.0</v>
      </c>
      <c r="J326" s="169" t="s">
        <v>78</v>
      </c>
      <c r="K326" s="166" t="s">
        <v>138</v>
      </c>
      <c r="L326" s="166" t="s">
        <v>1645</v>
      </c>
      <c r="M326" s="166">
        <v>2.0</v>
      </c>
      <c r="N326" s="170">
        <v>0.0</v>
      </c>
      <c r="O326" s="171">
        <v>119.0</v>
      </c>
      <c r="P326" s="171">
        <v>95.2</v>
      </c>
      <c r="Q326" s="172">
        <v>36.0</v>
      </c>
      <c r="R326" s="173">
        <v>95.2</v>
      </c>
      <c r="S326" s="173">
        <v>36.0</v>
      </c>
      <c r="T326" s="173">
        <v>155.0</v>
      </c>
      <c r="U326" s="174" t="s">
        <v>1646</v>
      </c>
      <c r="V326" s="288">
        <v>45299.930601851855</v>
      </c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</row>
    <row r="327">
      <c r="A327" s="210">
        <v>45299.0</v>
      </c>
      <c r="B327" s="166">
        <v>5235240.0</v>
      </c>
      <c r="C327" s="166" t="s">
        <v>75</v>
      </c>
      <c r="D327" s="166" t="s">
        <v>35</v>
      </c>
      <c r="E327" s="166">
        <v>4.265152476E9</v>
      </c>
      <c r="F327" s="166" t="s">
        <v>1960</v>
      </c>
      <c r="G327" s="210">
        <v>45541.0</v>
      </c>
      <c r="H327" s="287">
        <v>45544.0</v>
      </c>
      <c r="I327" s="168">
        <v>3.0</v>
      </c>
      <c r="J327" s="169" t="s">
        <v>111</v>
      </c>
      <c r="K327" s="166" t="s">
        <v>79</v>
      </c>
      <c r="L327" s="166" t="s">
        <v>1961</v>
      </c>
      <c r="M327" s="205">
        <v>2.0</v>
      </c>
      <c r="N327" s="170">
        <v>0.0</v>
      </c>
      <c r="O327" s="171">
        <v>161.0</v>
      </c>
      <c r="P327" s="171">
        <v>128.8</v>
      </c>
      <c r="Q327" s="172">
        <v>0.0</v>
      </c>
      <c r="R327" s="173">
        <v>386.40000000000003</v>
      </c>
      <c r="S327" s="173">
        <v>0.0</v>
      </c>
      <c r="T327" s="173">
        <v>483.0</v>
      </c>
      <c r="U327" s="201" t="s">
        <v>1962</v>
      </c>
      <c r="V327" s="288">
        <v>45535.62642361112</v>
      </c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</row>
    <row r="328">
      <c r="A328" s="276">
        <v>45300.0</v>
      </c>
      <c r="B328" s="252">
        <v>5236638.0</v>
      </c>
      <c r="C328" s="253" t="s">
        <v>82</v>
      </c>
      <c r="D328" s="253" t="s">
        <v>94</v>
      </c>
      <c r="E328" s="252">
        <v>5236638.0</v>
      </c>
      <c r="F328" s="253" t="s">
        <v>1931</v>
      </c>
      <c r="G328" s="276">
        <v>45300.0</v>
      </c>
      <c r="H328" s="277">
        <v>45301.0</v>
      </c>
      <c r="I328" s="278">
        <v>1.0</v>
      </c>
      <c r="J328" s="257" t="s">
        <v>91</v>
      </c>
      <c r="K328" s="253" t="s">
        <v>79</v>
      </c>
      <c r="L328" s="253" t="s">
        <v>1462</v>
      </c>
      <c r="M328" s="252">
        <v>2.0</v>
      </c>
      <c r="N328" s="258">
        <v>0.0</v>
      </c>
      <c r="O328" s="259">
        <v>336.2</v>
      </c>
      <c r="P328" s="259">
        <v>332.83799999999997</v>
      </c>
      <c r="Q328" s="262">
        <v>0.0</v>
      </c>
      <c r="R328" s="260">
        <v>332.83799999999997</v>
      </c>
      <c r="S328" s="260">
        <v>0.0</v>
      </c>
      <c r="T328" s="260">
        <v>336.2</v>
      </c>
      <c r="U328" s="261" t="s">
        <v>1463</v>
      </c>
      <c r="V328" s="279">
        <v>45300.50344907407</v>
      </c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</row>
    <row r="329">
      <c r="A329" s="276">
        <v>45300.0</v>
      </c>
      <c r="B329" s="252">
        <v>5236464.0</v>
      </c>
      <c r="C329" s="253" t="s">
        <v>82</v>
      </c>
      <c r="D329" s="253" t="s">
        <v>35</v>
      </c>
      <c r="E329" s="252">
        <v>4.167819144E9</v>
      </c>
      <c r="F329" s="253" t="s">
        <v>1965</v>
      </c>
      <c r="G329" s="276">
        <v>45350.0</v>
      </c>
      <c r="H329" s="277">
        <v>45351.0</v>
      </c>
      <c r="I329" s="278">
        <v>1.0</v>
      </c>
      <c r="J329" s="257" t="s">
        <v>78</v>
      </c>
      <c r="K329" s="253" t="s">
        <v>79</v>
      </c>
      <c r="L329" s="253" t="s">
        <v>1414</v>
      </c>
      <c r="M329" s="275">
        <v>2.0</v>
      </c>
      <c r="N329" s="258">
        <v>0.0</v>
      </c>
      <c r="O329" s="259">
        <v>126.5</v>
      </c>
      <c r="P329" s="259">
        <v>101.2</v>
      </c>
      <c r="Q329" s="262">
        <v>0.0</v>
      </c>
      <c r="R329" s="260">
        <v>101.2</v>
      </c>
      <c r="S329" s="260">
        <v>0.0</v>
      </c>
      <c r="T329" s="260">
        <v>126.5</v>
      </c>
      <c r="U329" s="261" t="s">
        <v>1415</v>
      </c>
      <c r="V329" s="279">
        <v>45300.45072916667</v>
      </c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</row>
    <row r="330">
      <c r="A330" s="276">
        <v>45300.0</v>
      </c>
      <c r="B330" s="252">
        <v>5236539.0</v>
      </c>
      <c r="C330" s="253" t="s">
        <v>82</v>
      </c>
      <c r="D330" s="312" t="s">
        <v>616</v>
      </c>
      <c r="E330" s="252">
        <v>1.51945731E8</v>
      </c>
      <c r="F330" s="253" t="s">
        <v>1967</v>
      </c>
      <c r="G330" s="276">
        <v>45360.0</v>
      </c>
      <c r="H330" s="277">
        <v>45363.0</v>
      </c>
      <c r="I330" s="278">
        <v>3.0</v>
      </c>
      <c r="J330" s="257" t="s">
        <v>114</v>
      </c>
      <c r="K330" s="253" t="s">
        <v>79</v>
      </c>
      <c r="L330" s="253" t="s">
        <v>1436</v>
      </c>
      <c r="M330" s="252">
        <v>2.0</v>
      </c>
      <c r="N330" s="258">
        <v>0.0</v>
      </c>
      <c r="O330" s="259">
        <v>157.68</v>
      </c>
      <c r="P330" s="259">
        <v>126.144</v>
      </c>
      <c r="Q330" s="257">
        <v>0.0</v>
      </c>
      <c r="R330" s="260">
        <v>378.432</v>
      </c>
      <c r="S330" s="260">
        <v>0.0</v>
      </c>
      <c r="T330" s="260">
        <v>473.04</v>
      </c>
      <c r="U330" s="261" t="s">
        <v>1437</v>
      </c>
      <c r="V330" s="279">
        <v>45300.47226851852</v>
      </c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</row>
    <row r="331">
      <c r="A331" s="210">
        <v>45300.0</v>
      </c>
      <c r="B331" s="166">
        <v>5237919.0</v>
      </c>
      <c r="C331" s="166" t="s">
        <v>75</v>
      </c>
      <c r="D331" s="166" t="s">
        <v>35</v>
      </c>
      <c r="E331" s="166">
        <v>4.038204371E9</v>
      </c>
      <c r="F331" s="166" t="s">
        <v>1968</v>
      </c>
      <c r="G331" s="210">
        <v>45443.0</v>
      </c>
      <c r="H331" s="287">
        <v>45445.0</v>
      </c>
      <c r="I331" s="168">
        <v>2.0</v>
      </c>
      <c r="J331" s="169" t="s">
        <v>78</v>
      </c>
      <c r="K331" s="166" t="s">
        <v>79</v>
      </c>
      <c r="L331" s="166" t="s">
        <v>1414</v>
      </c>
      <c r="M331" s="166">
        <v>2.0</v>
      </c>
      <c r="N331" s="170">
        <v>0.0</v>
      </c>
      <c r="O331" s="171">
        <v>128.495</v>
      </c>
      <c r="P331" s="171">
        <v>102.796</v>
      </c>
      <c r="Q331" s="169">
        <v>0.0</v>
      </c>
      <c r="R331" s="173">
        <v>205.592</v>
      </c>
      <c r="S331" s="173">
        <v>0.0</v>
      </c>
      <c r="T331" s="173">
        <v>256.99</v>
      </c>
      <c r="U331" s="201" t="s">
        <v>1415</v>
      </c>
      <c r="V331" s="288">
        <v>45427.917395833334</v>
      </c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</row>
    <row r="332">
      <c r="A332" s="276">
        <v>45300.0</v>
      </c>
      <c r="B332" s="252">
        <v>5237838.0</v>
      </c>
      <c r="C332" s="253" t="s">
        <v>82</v>
      </c>
      <c r="D332" s="253" t="s">
        <v>35</v>
      </c>
      <c r="E332" s="252">
        <v>4.000558634E9</v>
      </c>
      <c r="F332" s="253" t="s">
        <v>1970</v>
      </c>
      <c r="G332" s="276">
        <v>45449.0</v>
      </c>
      <c r="H332" s="277">
        <v>45453.0</v>
      </c>
      <c r="I332" s="278">
        <v>4.0</v>
      </c>
      <c r="J332" s="257" t="s">
        <v>87</v>
      </c>
      <c r="K332" s="253" t="s">
        <v>138</v>
      </c>
      <c r="L332" s="253" t="s">
        <v>1645</v>
      </c>
      <c r="M332" s="252">
        <v>2.0</v>
      </c>
      <c r="N332" s="258">
        <v>0.0</v>
      </c>
      <c r="O332" s="259">
        <v>99.19999999999999</v>
      </c>
      <c r="P332" s="259">
        <v>79.36</v>
      </c>
      <c r="Q332" s="262">
        <v>36.0</v>
      </c>
      <c r="R332" s="260">
        <v>317.44</v>
      </c>
      <c r="S332" s="260">
        <v>144.0</v>
      </c>
      <c r="T332" s="260">
        <v>540.8</v>
      </c>
      <c r="U332" s="261" t="s">
        <v>1646</v>
      </c>
      <c r="V332" s="279">
        <v>45300.78547453704</v>
      </c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</row>
    <row r="333">
      <c r="A333" s="210">
        <v>45300.0</v>
      </c>
      <c r="B333" s="166">
        <v>5238431.0</v>
      </c>
      <c r="C333" s="166" t="s">
        <v>82</v>
      </c>
      <c r="D333" s="166" t="s">
        <v>35</v>
      </c>
      <c r="E333" s="166">
        <v>4.112790898E9</v>
      </c>
      <c r="F333" s="166" t="s">
        <v>1972</v>
      </c>
      <c r="G333" s="210">
        <v>45473.0</v>
      </c>
      <c r="H333" s="287">
        <v>45478.0</v>
      </c>
      <c r="I333" s="168">
        <v>5.0</v>
      </c>
      <c r="J333" s="169" t="s">
        <v>111</v>
      </c>
      <c r="K333" s="166" t="s">
        <v>79</v>
      </c>
      <c r="L333" s="166" t="s">
        <v>1937</v>
      </c>
      <c r="M333" s="166">
        <v>2.0</v>
      </c>
      <c r="N333" s="170">
        <v>0.0</v>
      </c>
      <c r="O333" s="171">
        <v>151.4</v>
      </c>
      <c r="P333" s="171">
        <v>121.12</v>
      </c>
      <c r="Q333" s="172">
        <v>0.0</v>
      </c>
      <c r="R333" s="173">
        <v>605.6</v>
      </c>
      <c r="S333" s="173">
        <v>0.0</v>
      </c>
      <c r="T333" s="173">
        <v>757.0</v>
      </c>
      <c r="U333" s="174" t="s">
        <v>1938</v>
      </c>
      <c r="V333" s="288">
        <v>45300.92296296296</v>
      </c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</row>
    <row r="334">
      <c r="A334" s="276">
        <v>45301.0</v>
      </c>
      <c r="B334" s="252">
        <v>5240281.0</v>
      </c>
      <c r="C334" s="253" t="s">
        <v>75</v>
      </c>
      <c r="D334" s="253" t="s">
        <v>35</v>
      </c>
      <c r="E334" s="252">
        <v>4.279258299E9</v>
      </c>
      <c r="F334" s="253" t="s">
        <v>1974</v>
      </c>
      <c r="G334" s="276">
        <v>45306.0</v>
      </c>
      <c r="H334" s="277">
        <v>45307.0</v>
      </c>
      <c r="I334" s="278">
        <v>1.0</v>
      </c>
      <c r="J334" s="257" t="s">
        <v>114</v>
      </c>
      <c r="K334" s="253" t="s">
        <v>79</v>
      </c>
      <c r="L334" s="253" t="s">
        <v>1396</v>
      </c>
      <c r="M334" s="252">
        <v>2.0</v>
      </c>
      <c r="N334" s="258">
        <v>0.0</v>
      </c>
      <c r="O334" s="259">
        <v>123.44</v>
      </c>
      <c r="P334" s="259">
        <v>98.75200000000001</v>
      </c>
      <c r="Q334" s="262">
        <v>0.0</v>
      </c>
      <c r="R334" s="260">
        <v>98.75200000000001</v>
      </c>
      <c r="S334" s="260">
        <v>0.0</v>
      </c>
      <c r="T334" s="260">
        <v>123.44</v>
      </c>
      <c r="U334" s="261" t="s">
        <v>1398</v>
      </c>
      <c r="V334" s="279">
        <v>45302.01809027778</v>
      </c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</row>
    <row r="335">
      <c r="A335" s="276">
        <v>45301.0</v>
      </c>
      <c r="B335" s="252">
        <v>5238851.0</v>
      </c>
      <c r="C335" s="253" t="s">
        <v>82</v>
      </c>
      <c r="D335" s="253" t="s">
        <v>35</v>
      </c>
      <c r="E335" s="252">
        <v>4.202619134E9</v>
      </c>
      <c r="F335" s="253" t="s">
        <v>1975</v>
      </c>
      <c r="G335" s="276">
        <v>45307.0</v>
      </c>
      <c r="H335" s="277">
        <v>45308.0</v>
      </c>
      <c r="I335" s="278">
        <v>1.0</v>
      </c>
      <c r="J335" s="257" t="s">
        <v>87</v>
      </c>
      <c r="K335" s="253" t="s">
        <v>79</v>
      </c>
      <c r="L335" s="253" t="s">
        <v>1396</v>
      </c>
      <c r="M335" s="252">
        <v>2.0</v>
      </c>
      <c r="N335" s="258">
        <v>0.0</v>
      </c>
      <c r="O335" s="259">
        <v>100.33</v>
      </c>
      <c r="P335" s="259">
        <v>80.26400000000001</v>
      </c>
      <c r="Q335" s="262">
        <v>0.0</v>
      </c>
      <c r="R335" s="260">
        <v>80.26400000000001</v>
      </c>
      <c r="S335" s="260">
        <v>0.0</v>
      </c>
      <c r="T335" s="260">
        <v>100.33</v>
      </c>
      <c r="U335" s="261" t="s">
        <v>1398</v>
      </c>
      <c r="V335" s="279">
        <v>45301.13060185185</v>
      </c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</row>
    <row r="336">
      <c r="A336" s="276">
        <v>45301.0</v>
      </c>
      <c r="B336" s="252">
        <v>5239484.0</v>
      </c>
      <c r="C336" s="253" t="s">
        <v>82</v>
      </c>
      <c r="D336" s="253" t="s">
        <v>35</v>
      </c>
      <c r="E336" s="252">
        <v>4.046583722E9</v>
      </c>
      <c r="F336" s="253" t="s">
        <v>1977</v>
      </c>
      <c r="G336" s="276">
        <v>45310.0</v>
      </c>
      <c r="H336" s="277">
        <v>45311.0</v>
      </c>
      <c r="I336" s="278">
        <v>1.0</v>
      </c>
      <c r="J336" s="257" t="s">
        <v>78</v>
      </c>
      <c r="K336" s="253" t="s">
        <v>79</v>
      </c>
      <c r="L336" s="253" t="s">
        <v>1396</v>
      </c>
      <c r="M336" s="275">
        <v>2.0</v>
      </c>
      <c r="N336" s="258">
        <v>0.0</v>
      </c>
      <c r="O336" s="259">
        <v>111.2</v>
      </c>
      <c r="P336" s="259">
        <v>88.96000000000001</v>
      </c>
      <c r="Q336" s="262">
        <v>0.0</v>
      </c>
      <c r="R336" s="260">
        <v>88.96000000000001</v>
      </c>
      <c r="S336" s="260">
        <v>0.0</v>
      </c>
      <c r="T336" s="260">
        <v>111.2</v>
      </c>
      <c r="U336" s="261" t="s">
        <v>1398</v>
      </c>
      <c r="V336" s="279">
        <v>45301.45143518518</v>
      </c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</row>
    <row r="337">
      <c r="A337" s="276">
        <v>45301.0</v>
      </c>
      <c r="B337" s="252">
        <v>5241440.0</v>
      </c>
      <c r="C337" s="253" t="s">
        <v>82</v>
      </c>
      <c r="D337" s="253" t="s">
        <v>35</v>
      </c>
      <c r="E337" s="252">
        <v>4.138611859E9</v>
      </c>
      <c r="F337" s="253" t="s">
        <v>1978</v>
      </c>
      <c r="G337" s="276">
        <v>45313.0</v>
      </c>
      <c r="H337" s="277">
        <v>45314.0</v>
      </c>
      <c r="I337" s="278">
        <v>1.0</v>
      </c>
      <c r="J337" s="257" t="s">
        <v>78</v>
      </c>
      <c r="K337" s="253" t="s">
        <v>79</v>
      </c>
      <c r="L337" s="253" t="s">
        <v>1396</v>
      </c>
      <c r="M337" s="252">
        <v>2.0</v>
      </c>
      <c r="N337" s="258">
        <v>0.0</v>
      </c>
      <c r="O337" s="259">
        <v>148.56</v>
      </c>
      <c r="P337" s="259">
        <v>118.84800000000001</v>
      </c>
      <c r="Q337" s="262">
        <v>0.0</v>
      </c>
      <c r="R337" s="260">
        <v>118.84800000000001</v>
      </c>
      <c r="S337" s="260">
        <v>0.0</v>
      </c>
      <c r="T337" s="260">
        <v>148.56</v>
      </c>
      <c r="U337" s="261" t="s">
        <v>1398</v>
      </c>
      <c r="V337" s="279">
        <v>45301.87851851852</v>
      </c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</row>
    <row r="338">
      <c r="A338" s="276">
        <v>45301.0</v>
      </c>
      <c r="B338" s="252">
        <v>5241897.0</v>
      </c>
      <c r="C338" s="253" t="s">
        <v>82</v>
      </c>
      <c r="D338" s="253" t="s">
        <v>35</v>
      </c>
      <c r="E338" s="252">
        <v>4.209985068E9</v>
      </c>
      <c r="F338" s="253" t="s">
        <v>1979</v>
      </c>
      <c r="G338" s="276">
        <v>45322.0</v>
      </c>
      <c r="H338" s="277">
        <v>45323.0</v>
      </c>
      <c r="I338" s="278">
        <v>1.0</v>
      </c>
      <c r="J338" s="257" t="s">
        <v>78</v>
      </c>
      <c r="K338" s="253" t="s">
        <v>79</v>
      </c>
      <c r="L338" s="253" t="s">
        <v>1414</v>
      </c>
      <c r="M338" s="252">
        <v>2.0</v>
      </c>
      <c r="N338" s="258">
        <v>0.0</v>
      </c>
      <c r="O338" s="259">
        <v>111.2</v>
      </c>
      <c r="P338" s="259">
        <v>88.96000000000001</v>
      </c>
      <c r="Q338" s="262">
        <v>0.0</v>
      </c>
      <c r="R338" s="260">
        <v>88.96000000000001</v>
      </c>
      <c r="S338" s="260">
        <v>0.0</v>
      </c>
      <c r="T338" s="260">
        <v>111.2</v>
      </c>
      <c r="U338" s="261" t="s">
        <v>1415</v>
      </c>
      <c r="V338" s="279">
        <v>45302.00767361111</v>
      </c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</row>
    <row r="339">
      <c r="A339" s="276">
        <v>45301.0</v>
      </c>
      <c r="B339" s="252">
        <v>5239781.0</v>
      </c>
      <c r="C339" s="253" t="s">
        <v>82</v>
      </c>
      <c r="D339" s="253" t="s">
        <v>94</v>
      </c>
      <c r="E339" s="252">
        <v>5239781.0</v>
      </c>
      <c r="F339" s="253" t="s">
        <v>1980</v>
      </c>
      <c r="G339" s="276">
        <v>45324.0</v>
      </c>
      <c r="H339" s="277">
        <v>45325.0</v>
      </c>
      <c r="I339" s="278">
        <v>1.0</v>
      </c>
      <c r="J339" s="257" t="s">
        <v>114</v>
      </c>
      <c r="K339" s="253" t="s">
        <v>79</v>
      </c>
      <c r="L339" s="253" t="s">
        <v>1462</v>
      </c>
      <c r="M339" s="252">
        <v>2.0</v>
      </c>
      <c r="N339" s="258">
        <v>0.0</v>
      </c>
      <c r="O339" s="259">
        <v>173.0</v>
      </c>
      <c r="P339" s="259">
        <v>171.27</v>
      </c>
      <c r="Q339" s="257">
        <v>0.0</v>
      </c>
      <c r="R339" s="260">
        <v>171.27</v>
      </c>
      <c r="S339" s="260">
        <v>0.0</v>
      </c>
      <c r="T339" s="260">
        <v>173.0</v>
      </c>
      <c r="U339" s="261" t="s">
        <v>1463</v>
      </c>
      <c r="V339" s="279">
        <v>45301.51938657407</v>
      </c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</row>
    <row r="340">
      <c r="A340" s="276">
        <v>45301.0</v>
      </c>
      <c r="B340" s="252">
        <v>5239822.0</v>
      </c>
      <c r="C340" s="253" t="s">
        <v>82</v>
      </c>
      <c r="D340" s="253" t="s">
        <v>94</v>
      </c>
      <c r="E340" s="252">
        <v>5239822.0</v>
      </c>
      <c r="F340" s="253" t="s">
        <v>1981</v>
      </c>
      <c r="G340" s="276">
        <v>45326.0</v>
      </c>
      <c r="H340" s="277">
        <v>45327.0</v>
      </c>
      <c r="I340" s="278">
        <v>1.0</v>
      </c>
      <c r="J340" s="257" t="s">
        <v>114</v>
      </c>
      <c r="K340" s="253" t="s">
        <v>79</v>
      </c>
      <c r="L340" s="253" t="s">
        <v>1462</v>
      </c>
      <c r="M340" s="252">
        <v>2.0</v>
      </c>
      <c r="N340" s="258">
        <v>0.0</v>
      </c>
      <c r="O340" s="259">
        <v>191.0</v>
      </c>
      <c r="P340" s="259">
        <v>189.09</v>
      </c>
      <c r="Q340" s="262">
        <v>0.0</v>
      </c>
      <c r="R340" s="260">
        <v>189.09</v>
      </c>
      <c r="S340" s="260">
        <v>0.0</v>
      </c>
      <c r="T340" s="260">
        <v>191.0</v>
      </c>
      <c r="U340" s="261" t="s">
        <v>1463</v>
      </c>
      <c r="V340" s="279">
        <v>45301.53003472222</v>
      </c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</row>
    <row r="341">
      <c r="A341" s="276">
        <v>45301.0</v>
      </c>
      <c r="B341" s="252">
        <v>5239770.0</v>
      </c>
      <c r="C341" s="253" t="s">
        <v>82</v>
      </c>
      <c r="D341" s="253" t="s">
        <v>94</v>
      </c>
      <c r="E341" s="252">
        <v>5239770.0</v>
      </c>
      <c r="F341" s="253" t="s">
        <v>1982</v>
      </c>
      <c r="G341" s="276">
        <v>45346.0</v>
      </c>
      <c r="H341" s="277">
        <v>45348.0</v>
      </c>
      <c r="I341" s="278">
        <v>2.0</v>
      </c>
      <c r="J341" s="257" t="s">
        <v>91</v>
      </c>
      <c r="K341" s="253" t="s">
        <v>79</v>
      </c>
      <c r="L341" s="253" t="s">
        <v>1462</v>
      </c>
      <c r="M341" s="252">
        <v>4.0</v>
      </c>
      <c r="N341" s="258">
        <v>0.0</v>
      </c>
      <c r="O341" s="259">
        <v>346.0</v>
      </c>
      <c r="P341" s="259">
        <v>342.54</v>
      </c>
      <c r="Q341" s="257">
        <v>0.0</v>
      </c>
      <c r="R341" s="260">
        <v>685.08</v>
      </c>
      <c r="S341" s="260">
        <v>0.0</v>
      </c>
      <c r="T341" s="260">
        <v>692.0</v>
      </c>
      <c r="U341" s="261" t="s">
        <v>1463</v>
      </c>
      <c r="V341" s="279">
        <v>45301.514502314814</v>
      </c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</row>
    <row r="342">
      <c r="A342" s="276">
        <v>45301.0</v>
      </c>
      <c r="B342" s="252">
        <v>5239774.0</v>
      </c>
      <c r="C342" s="253" t="s">
        <v>82</v>
      </c>
      <c r="D342" s="253" t="s">
        <v>94</v>
      </c>
      <c r="E342" s="252">
        <v>5239774.0</v>
      </c>
      <c r="F342" s="253" t="s">
        <v>1982</v>
      </c>
      <c r="G342" s="276">
        <v>45348.0</v>
      </c>
      <c r="H342" s="277">
        <v>45350.0</v>
      </c>
      <c r="I342" s="278">
        <v>2.0</v>
      </c>
      <c r="J342" s="257" t="s">
        <v>114</v>
      </c>
      <c r="K342" s="253" t="s">
        <v>79</v>
      </c>
      <c r="L342" s="253" t="s">
        <v>1462</v>
      </c>
      <c r="M342" s="252">
        <v>2.0</v>
      </c>
      <c r="N342" s="258">
        <v>0.0</v>
      </c>
      <c r="O342" s="259">
        <v>191.0</v>
      </c>
      <c r="P342" s="259">
        <v>189.09</v>
      </c>
      <c r="Q342" s="262">
        <v>0.0</v>
      </c>
      <c r="R342" s="260">
        <v>378.18</v>
      </c>
      <c r="S342" s="260">
        <v>0.0</v>
      </c>
      <c r="T342" s="260">
        <v>382.0</v>
      </c>
      <c r="U342" s="261" t="s">
        <v>1463</v>
      </c>
      <c r="V342" s="279">
        <v>45301.51635416667</v>
      </c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</row>
    <row r="343">
      <c r="A343" s="280">
        <v>45301.0</v>
      </c>
      <c r="B343" s="264">
        <v>5240808.0</v>
      </c>
      <c r="C343" s="265" t="s">
        <v>82</v>
      </c>
      <c r="D343" s="265" t="s">
        <v>35</v>
      </c>
      <c r="E343" s="264">
        <v>4.187894083E9</v>
      </c>
      <c r="F343" s="265" t="s">
        <v>1984</v>
      </c>
      <c r="G343" s="280">
        <v>45352.0</v>
      </c>
      <c r="H343" s="281">
        <v>45353.0</v>
      </c>
      <c r="I343" s="282">
        <v>1.0</v>
      </c>
      <c r="J343" s="283" t="s">
        <v>78</v>
      </c>
      <c r="K343" s="265" t="s">
        <v>79</v>
      </c>
      <c r="L343" s="265" t="s">
        <v>1724</v>
      </c>
      <c r="M343" s="264">
        <v>2.0</v>
      </c>
      <c r="N343" s="270">
        <v>0.0</v>
      </c>
      <c r="O343" s="271">
        <v>148.81</v>
      </c>
      <c r="P343" s="271">
        <v>119.048</v>
      </c>
      <c r="Q343" s="283">
        <v>0.0</v>
      </c>
      <c r="R343" s="273">
        <v>119.048</v>
      </c>
      <c r="S343" s="273">
        <v>0.0</v>
      </c>
      <c r="T343" s="273">
        <v>148.81</v>
      </c>
      <c r="U343" s="274" t="s">
        <v>1725</v>
      </c>
      <c r="V343" s="284">
        <v>45301.740995370375</v>
      </c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</row>
    <row r="344">
      <c r="A344" s="276">
        <v>45301.0</v>
      </c>
      <c r="B344" s="252">
        <v>5241187.0</v>
      </c>
      <c r="C344" s="253" t="s">
        <v>75</v>
      </c>
      <c r="D344" s="253" t="s">
        <v>35</v>
      </c>
      <c r="E344" s="252">
        <v>4.257810359E9</v>
      </c>
      <c r="F344" s="253" t="s">
        <v>1986</v>
      </c>
      <c r="G344" s="276">
        <v>45381.0</v>
      </c>
      <c r="H344" s="277">
        <v>45385.0</v>
      </c>
      <c r="I344" s="278">
        <v>4.0</v>
      </c>
      <c r="J344" s="257" t="s">
        <v>114</v>
      </c>
      <c r="K344" s="253" t="s">
        <v>138</v>
      </c>
      <c r="L344" s="253" t="s">
        <v>1987</v>
      </c>
      <c r="M344" s="252">
        <v>3.0</v>
      </c>
      <c r="N344" s="258">
        <v>0.0</v>
      </c>
      <c r="O344" s="259">
        <v>176.5</v>
      </c>
      <c r="P344" s="259">
        <v>141.20000000000002</v>
      </c>
      <c r="Q344" s="262">
        <v>54.0</v>
      </c>
      <c r="R344" s="260">
        <v>564.8000000000001</v>
      </c>
      <c r="S344" s="260">
        <v>216.0</v>
      </c>
      <c r="T344" s="260">
        <v>922.0</v>
      </c>
      <c r="U344" s="261" t="s">
        <v>1988</v>
      </c>
      <c r="V344" s="279">
        <v>45342.8611574074</v>
      </c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</row>
    <row r="345">
      <c r="A345" s="289">
        <v>45301.0</v>
      </c>
      <c r="B345" s="290">
        <v>5239777.0</v>
      </c>
      <c r="C345" s="291" t="s">
        <v>82</v>
      </c>
      <c r="D345" s="291" t="s">
        <v>35</v>
      </c>
      <c r="E345" s="290">
        <v>4.017037835E9</v>
      </c>
      <c r="F345" s="291" t="s">
        <v>1989</v>
      </c>
      <c r="G345" s="289">
        <v>45401.0</v>
      </c>
      <c r="H345" s="292">
        <v>45402.0</v>
      </c>
      <c r="I345" s="293">
        <v>1.0</v>
      </c>
      <c r="J345" s="294" t="s">
        <v>87</v>
      </c>
      <c r="K345" s="291" t="s">
        <v>79</v>
      </c>
      <c r="L345" s="291" t="s">
        <v>1400</v>
      </c>
      <c r="M345" s="290">
        <v>2.0</v>
      </c>
      <c r="N345" s="295">
        <v>0.0</v>
      </c>
      <c r="O345" s="296">
        <v>143.67</v>
      </c>
      <c r="P345" s="296">
        <v>114.93599999999999</v>
      </c>
      <c r="Q345" s="301">
        <v>0.0</v>
      </c>
      <c r="R345" s="297">
        <v>114.93599999999999</v>
      </c>
      <c r="S345" s="297">
        <v>0.0</v>
      </c>
      <c r="T345" s="297">
        <v>310.46</v>
      </c>
      <c r="U345" s="298" t="s">
        <v>1401</v>
      </c>
      <c r="V345" s="299">
        <v>45301.51677083333</v>
      </c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</row>
    <row r="346">
      <c r="A346" s="280">
        <v>45301.0</v>
      </c>
      <c r="B346" s="264">
        <v>5239777.0</v>
      </c>
      <c r="C346" s="265" t="s">
        <v>82</v>
      </c>
      <c r="D346" s="265" t="s">
        <v>35</v>
      </c>
      <c r="E346" s="265">
        <v>4.017037835E9</v>
      </c>
      <c r="F346" s="265" t="s">
        <v>1989</v>
      </c>
      <c r="G346" s="280">
        <v>45401.0</v>
      </c>
      <c r="H346" s="281">
        <v>45402.0</v>
      </c>
      <c r="I346" s="282">
        <v>1.0</v>
      </c>
      <c r="J346" s="283" t="s">
        <v>78</v>
      </c>
      <c r="K346" s="265" t="s">
        <v>79</v>
      </c>
      <c r="L346" s="265" t="s">
        <v>1400</v>
      </c>
      <c r="M346" s="269">
        <v>3.0</v>
      </c>
      <c r="N346" s="270">
        <v>0.0</v>
      </c>
      <c r="O346" s="271">
        <v>166.79</v>
      </c>
      <c r="P346" s="271">
        <v>133.432</v>
      </c>
      <c r="Q346" s="272">
        <v>0.0</v>
      </c>
      <c r="R346" s="273">
        <v>133.432</v>
      </c>
      <c r="S346" s="273">
        <v>0.0</v>
      </c>
      <c r="T346" s="273">
        <v>310.46</v>
      </c>
      <c r="U346" s="274" t="s">
        <v>1401</v>
      </c>
      <c r="V346" s="286">
        <v>45301.51677083333</v>
      </c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</row>
    <row r="347">
      <c r="A347" s="210">
        <v>45301.0</v>
      </c>
      <c r="B347" s="166">
        <v>5240961.0</v>
      </c>
      <c r="C347" s="166" t="s">
        <v>82</v>
      </c>
      <c r="D347" s="166" t="s">
        <v>35</v>
      </c>
      <c r="E347" s="166">
        <v>4.229172598E9</v>
      </c>
      <c r="F347" s="166" t="s">
        <v>1990</v>
      </c>
      <c r="G347" s="210">
        <v>45420.0</v>
      </c>
      <c r="H347" s="287">
        <v>45423.0</v>
      </c>
      <c r="I347" s="168">
        <v>3.0</v>
      </c>
      <c r="J347" s="169" t="s">
        <v>114</v>
      </c>
      <c r="K347" s="166" t="s">
        <v>79</v>
      </c>
      <c r="L347" s="166" t="s">
        <v>1400</v>
      </c>
      <c r="M347" s="166">
        <v>2.0</v>
      </c>
      <c r="N347" s="170">
        <v>0.0</v>
      </c>
      <c r="O347" s="171">
        <v>203.9</v>
      </c>
      <c r="P347" s="171">
        <v>163.12</v>
      </c>
      <c r="Q347" s="172">
        <v>0.0</v>
      </c>
      <c r="R347" s="173">
        <v>489.36000000000007</v>
      </c>
      <c r="S347" s="173">
        <v>0.0</v>
      </c>
      <c r="T347" s="173">
        <v>611.7</v>
      </c>
      <c r="U347" s="174" t="s">
        <v>1401</v>
      </c>
      <c r="V347" s="288">
        <v>45301.771620370375</v>
      </c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</row>
    <row r="348">
      <c r="A348" s="276">
        <v>45301.0</v>
      </c>
      <c r="B348" s="252">
        <v>5241567.0</v>
      </c>
      <c r="C348" s="253" t="s">
        <v>82</v>
      </c>
      <c r="D348" s="253" t="s">
        <v>35</v>
      </c>
      <c r="E348" s="252">
        <v>4.171369164E9</v>
      </c>
      <c r="F348" s="253" t="s">
        <v>1991</v>
      </c>
      <c r="G348" s="276">
        <v>45421.0</v>
      </c>
      <c r="H348" s="277">
        <v>45424.0</v>
      </c>
      <c r="I348" s="278">
        <v>3.0</v>
      </c>
      <c r="J348" s="257" t="s">
        <v>78</v>
      </c>
      <c r="K348" s="253" t="s">
        <v>79</v>
      </c>
      <c r="L348" s="253" t="s">
        <v>1400</v>
      </c>
      <c r="M348" s="252">
        <v>2.0</v>
      </c>
      <c r="N348" s="258">
        <v>0.0</v>
      </c>
      <c r="O348" s="259">
        <v>207.97</v>
      </c>
      <c r="P348" s="259">
        <v>166.376</v>
      </c>
      <c r="Q348" s="262">
        <v>0.0</v>
      </c>
      <c r="R348" s="260">
        <v>499.128</v>
      </c>
      <c r="S348" s="260">
        <v>0.0</v>
      </c>
      <c r="T348" s="260">
        <v>623.91</v>
      </c>
      <c r="U348" s="261" t="s">
        <v>1401</v>
      </c>
      <c r="V348" s="279">
        <v>45301.905590277776</v>
      </c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</row>
    <row r="349">
      <c r="A349" s="210">
        <v>45301.0</v>
      </c>
      <c r="B349" s="166">
        <v>5239609.0</v>
      </c>
      <c r="C349" s="166" t="s">
        <v>75</v>
      </c>
      <c r="D349" s="166" t="s">
        <v>35</v>
      </c>
      <c r="E349" s="166">
        <v>4.017099485E9</v>
      </c>
      <c r="F349" s="166" t="s">
        <v>1992</v>
      </c>
      <c r="G349" s="210">
        <v>45422.0</v>
      </c>
      <c r="H349" s="287">
        <v>45423.0</v>
      </c>
      <c r="I349" s="168">
        <v>1.0</v>
      </c>
      <c r="J349" s="169" t="s">
        <v>87</v>
      </c>
      <c r="K349" s="166" t="s">
        <v>79</v>
      </c>
      <c r="L349" s="166" t="s">
        <v>1414</v>
      </c>
      <c r="M349" s="205">
        <v>2.0</v>
      </c>
      <c r="N349" s="170">
        <v>0.0</v>
      </c>
      <c r="O349" s="171">
        <v>122.87</v>
      </c>
      <c r="P349" s="171">
        <v>98.296</v>
      </c>
      <c r="Q349" s="172">
        <v>0.0</v>
      </c>
      <c r="R349" s="173">
        <v>98.296</v>
      </c>
      <c r="S349" s="173">
        <v>0.0</v>
      </c>
      <c r="T349" s="173">
        <v>122.87</v>
      </c>
      <c r="U349" s="174" t="s">
        <v>1415</v>
      </c>
      <c r="V349" s="288">
        <v>45399.57851851852</v>
      </c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  <c r="AG349" s="188"/>
      <c r="AH349" s="188"/>
      <c r="AI349" s="188"/>
    </row>
    <row r="350">
      <c r="A350" s="276">
        <v>45301.0</v>
      </c>
      <c r="B350" s="252">
        <v>5240568.0</v>
      </c>
      <c r="C350" s="253" t="s">
        <v>82</v>
      </c>
      <c r="D350" s="253" t="s">
        <v>94</v>
      </c>
      <c r="E350" s="252">
        <v>5240568.0</v>
      </c>
      <c r="F350" s="253" t="s">
        <v>1994</v>
      </c>
      <c r="G350" s="276">
        <v>45422.0</v>
      </c>
      <c r="H350" s="277">
        <v>45423.0</v>
      </c>
      <c r="I350" s="278">
        <v>1.0</v>
      </c>
      <c r="J350" s="257" t="s">
        <v>78</v>
      </c>
      <c r="K350" s="253" t="s">
        <v>79</v>
      </c>
      <c r="L350" s="253" t="s">
        <v>1601</v>
      </c>
      <c r="M350" s="252">
        <v>1.0</v>
      </c>
      <c r="N350" s="258">
        <v>0.0</v>
      </c>
      <c r="O350" s="259">
        <v>143.5</v>
      </c>
      <c r="P350" s="259">
        <v>142.065</v>
      </c>
      <c r="Q350" s="262">
        <v>0.0</v>
      </c>
      <c r="R350" s="260">
        <v>142.065</v>
      </c>
      <c r="S350" s="260">
        <v>0.0</v>
      </c>
      <c r="T350" s="260">
        <v>143.5</v>
      </c>
      <c r="U350" s="261" t="s">
        <v>1602</v>
      </c>
      <c r="V350" s="279">
        <v>45301.68896990741</v>
      </c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</row>
    <row r="351">
      <c r="A351" s="276">
        <v>45301.0</v>
      </c>
      <c r="B351" s="252">
        <v>5240806.0</v>
      </c>
      <c r="C351" s="253" t="s">
        <v>82</v>
      </c>
      <c r="D351" s="253" t="s">
        <v>94</v>
      </c>
      <c r="E351" s="252">
        <v>5240806.0</v>
      </c>
      <c r="F351" s="253" t="s">
        <v>1995</v>
      </c>
      <c r="G351" s="276">
        <v>45422.0</v>
      </c>
      <c r="H351" s="277">
        <v>45423.0</v>
      </c>
      <c r="I351" s="278">
        <v>1.0</v>
      </c>
      <c r="J351" s="257" t="s">
        <v>114</v>
      </c>
      <c r="K351" s="253" t="s">
        <v>79</v>
      </c>
      <c r="L351" s="253" t="s">
        <v>1601</v>
      </c>
      <c r="M351" s="252">
        <v>1.0</v>
      </c>
      <c r="N351" s="258">
        <v>0.0</v>
      </c>
      <c r="O351" s="259">
        <v>158.5</v>
      </c>
      <c r="P351" s="259">
        <v>156.915</v>
      </c>
      <c r="Q351" s="262">
        <v>0.0</v>
      </c>
      <c r="R351" s="260">
        <v>156.915</v>
      </c>
      <c r="S351" s="260">
        <v>0.0</v>
      </c>
      <c r="T351" s="260">
        <v>158.5</v>
      </c>
      <c r="U351" s="261" t="s">
        <v>1602</v>
      </c>
      <c r="V351" s="279">
        <v>45301.74049768518</v>
      </c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</row>
    <row r="352">
      <c r="A352" s="276">
        <v>45301.0</v>
      </c>
      <c r="B352" s="252">
        <v>5239858.0</v>
      </c>
      <c r="C352" s="253" t="s">
        <v>82</v>
      </c>
      <c r="D352" s="253" t="s">
        <v>35</v>
      </c>
      <c r="E352" s="252">
        <v>4.017040966E9</v>
      </c>
      <c r="F352" s="253" t="s">
        <v>1992</v>
      </c>
      <c r="G352" s="276">
        <v>45422.0</v>
      </c>
      <c r="H352" s="277">
        <v>45423.0</v>
      </c>
      <c r="I352" s="278">
        <v>1.0</v>
      </c>
      <c r="J352" s="257" t="s">
        <v>78</v>
      </c>
      <c r="K352" s="253" t="s">
        <v>79</v>
      </c>
      <c r="L352" s="253" t="s">
        <v>1396</v>
      </c>
      <c r="M352" s="275">
        <v>2.0</v>
      </c>
      <c r="N352" s="258">
        <v>0.0</v>
      </c>
      <c r="O352" s="259">
        <v>142.52</v>
      </c>
      <c r="P352" s="259">
        <v>114.01600000000002</v>
      </c>
      <c r="Q352" s="262">
        <v>0.0</v>
      </c>
      <c r="R352" s="260">
        <v>114.01600000000002</v>
      </c>
      <c r="S352" s="260">
        <v>0.0</v>
      </c>
      <c r="T352" s="260">
        <v>142.52</v>
      </c>
      <c r="U352" s="261" t="s">
        <v>1398</v>
      </c>
      <c r="V352" s="279">
        <v>45301.538252314815</v>
      </c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</row>
    <row r="353">
      <c r="A353" s="280">
        <v>45301.0</v>
      </c>
      <c r="B353" s="264">
        <v>5240540.0</v>
      </c>
      <c r="C353" s="265" t="s">
        <v>82</v>
      </c>
      <c r="D353" s="265" t="s">
        <v>35</v>
      </c>
      <c r="E353" s="264">
        <v>4.093533605E9</v>
      </c>
      <c r="F353" s="265" t="s">
        <v>1996</v>
      </c>
      <c r="G353" s="280">
        <v>45436.0</v>
      </c>
      <c r="H353" s="281">
        <v>45441.0</v>
      </c>
      <c r="I353" s="282">
        <v>5.0</v>
      </c>
      <c r="J353" s="283" t="s">
        <v>114</v>
      </c>
      <c r="K353" s="265" t="s">
        <v>79</v>
      </c>
      <c r="L353" s="265" t="s">
        <v>1443</v>
      </c>
      <c r="M353" s="269">
        <v>2.0</v>
      </c>
      <c r="N353" s="270">
        <v>0.0</v>
      </c>
      <c r="O353" s="271">
        <v>156.12</v>
      </c>
      <c r="P353" s="271">
        <v>124.89600000000002</v>
      </c>
      <c r="Q353" s="272">
        <v>0.0</v>
      </c>
      <c r="R353" s="273">
        <v>624.48</v>
      </c>
      <c r="S353" s="273">
        <v>0.0</v>
      </c>
      <c r="T353" s="273">
        <v>1484.7</v>
      </c>
      <c r="U353" s="274" t="s">
        <v>1444</v>
      </c>
      <c r="V353" s="284">
        <v>45301.68267361111</v>
      </c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</row>
    <row r="354">
      <c r="A354" s="210">
        <v>45301.0</v>
      </c>
      <c r="B354" s="166">
        <v>5240540.0</v>
      </c>
      <c r="C354" s="166" t="s">
        <v>82</v>
      </c>
      <c r="D354" s="166" t="s">
        <v>35</v>
      </c>
      <c r="E354" s="166">
        <v>4.093533605E9</v>
      </c>
      <c r="F354" s="166" t="s">
        <v>1996</v>
      </c>
      <c r="G354" s="210">
        <v>45436.0</v>
      </c>
      <c r="H354" s="287">
        <v>45441.0</v>
      </c>
      <c r="I354" s="168">
        <v>5.0</v>
      </c>
      <c r="J354" s="169" t="s">
        <v>78</v>
      </c>
      <c r="K354" s="166" t="s">
        <v>79</v>
      </c>
      <c r="L354" s="166" t="s">
        <v>1443</v>
      </c>
      <c r="M354" s="166">
        <v>3.0</v>
      </c>
      <c r="N354" s="170">
        <v>0.0</v>
      </c>
      <c r="O354" s="171">
        <v>140.82</v>
      </c>
      <c r="P354" s="171">
        <v>112.656</v>
      </c>
      <c r="Q354" s="172">
        <v>0.0</v>
      </c>
      <c r="R354" s="173">
        <v>563.2800000000001</v>
      </c>
      <c r="S354" s="173">
        <v>0.0</v>
      </c>
      <c r="T354" s="173">
        <v>1484.7</v>
      </c>
      <c r="U354" s="201" t="s">
        <v>1444</v>
      </c>
      <c r="V354" s="288">
        <v>45301.68267361111</v>
      </c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</row>
    <row r="355">
      <c r="A355" s="276">
        <v>45301.0</v>
      </c>
      <c r="B355" s="252">
        <v>5239084.0</v>
      </c>
      <c r="C355" s="253" t="s">
        <v>82</v>
      </c>
      <c r="D355" s="253" t="s">
        <v>94</v>
      </c>
      <c r="E355" s="252">
        <v>4.10319303E8</v>
      </c>
      <c r="F355" s="253" t="s">
        <v>1997</v>
      </c>
      <c r="G355" s="276">
        <v>45447.0</v>
      </c>
      <c r="H355" s="277">
        <v>45450.0</v>
      </c>
      <c r="I355" s="278">
        <v>3.0</v>
      </c>
      <c r="J355" s="257" t="s">
        <v>87</v>
      </c>
      <c r="K355" s="253" t="s">
        <v>79</v>
      </c>
      <c r="L355" s="253" t="s">
        <v>1998</v>
      </c>
      <c r="M355" s="252">
        <v>2.0</v>
      </c>
      <c r="N355" s="258">
        <v>0.0</v>
      </c>
      <c r="O355" s="259">
        <v>168.29999999999998</v>
      </c>
      <c r="P355" s="259">
        <v>166.617</v>
      </c>
      <c r="Q355" s="257">
        <v>0.0</v>
      </c>
      <c r="R355" s="260">
        <v>499.851</v>
      </c>
      <c r="S355" s="260">
        <v>0.0</v>
      </c>
      <c r="T355" s="260">
        <v>504.9</v>
      </c>
      <c r="U355" s="261" t="s">
        <v>1999</v>
      </c>
      <c r="V355" s="279">
        <v>45301.30907407407</v>
      </c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</row>
    <row r="356">
      <c r="A356" s="276">
        <v>45302.0</v>
      </c>
      <c r="B356" s="252">
        <v>5244644.0</v>
      </c>
      <c r="C356" s="253" t="s">
        <v>82</v>
      </c>
      <c r="D356" s="253" t="s">
        <v>35</v>
      </c>
      <c r="E356" s="252">
        <v>4.209986701E9</v>
      </c>
      <c r="F356" s="253" t="s">
        <v>2000</v>
      </c>
      <c r="G356" s="276">
        <v>45324.0</v>
      </c>
      <c r="H356" s="277">
        <v>45325.0</v>
      </c>
      <c r="I356" s="278">
        <v>1.0</v>
      </c>
      <c r="J356" s="257" t="s">
        <v>87</v>
      </c>
      <c r="K356" s="253" t="s">
        <v>79</v>
      </c>
      <c r="L356" s="253" t="s">
        <v>1414</v>
      </c>
      <c r="M356" s="252">
        <v>2.0</v>
      </c>
      <c r="N356" s="258">
        <v>0.0</v>
      </c>
      <c r="O356" s="259">
        <v>112.8</v>
      </c>
      <c r="P356" s="259">
        <v>90.24000000000001</v>
      </c>
      <c r="Q356" s="262">
        <v>0.0</v>
      </c>
      <c r="R356" s="260">
        <v>90.24000000000001</v>
      </c>
      <c r="S356" s="260">
        <v>0.0</v>
      </c>
      <c r="T356" s="260">
        <v>112.8</v>
      </c>
      <c r="U356" s="261" t="s">
        <v>1415</v>
      </c>
      <c r="V356" s="279">
        <v>45302.89310185185</v>
      </c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</row>
    <row r="357">
      <c r="A357" s="276">
        <v>45302.0</v>
      </c>
      <c r="B357" s="252">
        <v>5244632.0</v>
      </c>
      <c r="C357" s="253" t="s">
        <v>82</v>
      </c>
      <c r="D357" s="253" t="s">
        <v>35</v>
      </c>
      <c r="E357" s="252">
        <v>4.110387405E9</v>
      </c>
      <c r="F357" s="253" t="s">
        <v>2001</v>
      </c>
      <c r="G357" s="276">
        <v>45345.0</v>
      </c>
      <c r="H357" s="277">
        <v>45346.0</v>
      </c>
      <c r="I357" s="278">
        <v>1.0</v>
      </c>
      <c r="J357" s="257" t="s">
        <v>78</v>
      </c>
      <c r="K357" s="253" t="s">
        <v>79</v>
      </c>
      <c r="L357" s="253" t="s">
        <v>1724</v>
      </c>
      <c r="M357" s="275">
        <v>2.0</v>
      </c>
      <c r="N357" s="258">
        <v>0.0</v>
      </c>
      <c r="O357" s="259">
        <v>158.38</v>
      </c>
      <c r="P357" s="259">
        <v>126.70400000000001</v>
      </c>
      <c r="Q357" s="262">
        <v>0.0</v>
      </c>
      <c r="R357" s="260">
        <v>126.70400000000001</v>
      </c>
      <c r="S357" s="260">
        <v>0.0</v>
      </c>
      <c r="T357" s="260">
        <v>158.38</v>
      </c>
      <c r="U357" s="261" t="s">
        <v>1725</v>
      </c>
      <c r="V357" s="279">
        <v>45302.88961805556</v>
      </c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</row>
    <row r="358">
      <c r="A358" s="276">
        <v>45302.0</v>
      </c>
      <c r="B358" s="252">
        <v>5242878.0</v>
      </c>
      <c r="C358" s="253" t="s">
        <v>82</v>
      </c>
      <c r="D358" s="253" t="s">
        <v>35</v>
      </c>
      <c r="E358" s="252">
        <v>4.134433995E9</v>
      </c>
      <c r="F358" s="253" t="s">
        <v>2002</v>
      </c>
      <c r="G358" s="276">
        <v>45352.0</v>
      </c>
      <c r="H358" s="277">
        <v>45353.0</v>
      </c>
      <c r="I358" s="278">
        <v>1.0</v>
      </c>
      <c r="J358" s="257" t="s">
        <v>111</v>
      </c>
      <c r="K358" s="253" t="s">
        <v>79</v>
      </c>
      <c r="L358" s="253" t="s">
        <v>1724</v>
      </c>
      <c r="M358" s="252">
        <v>2.0</v>
      </c>
      <c r="N358" s="258">
        <v>0.0</v>
      </c>
      <c r="O358" s="259">
        <v>180.5</v>
      </c>
      <c r="P358" s="259">
        <v>144.4</v>
      </c>
      <c r="Q358" s="262">
        <v>0.0</v>
      </c>
      <c r="R358" s="260">
        <v>144.4</v>
      </c>
      <c r="S358" s="260">
        <v>0.0</v>
      </c>
      <c r="T358" s="260">
        <v>180.5</v>
      </c>
      <c r="U358" s="261" t="s">
        <v>1725</v>
      </c>
      <c r="V358" s="279">
        <v>45302.48060185185</v>
      </c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</row>
    <row r="359">
      <c r="A359" s="289">
        <v>45302.0</v>
      </c>
      <c r="B359" s="290">
        <v>5243984.0</v>
      </c>
      <c r="C359" s="291" t="s">
        <v>82</v>
      </c>
      <c r="D359" s="291" t="s">
        <v>35</v>
      </c>
      <c r="E359" s="290">
        <v>4.005862612E9</v>
      </c>
      <c r="F359" s="291" t="s">
        <v>2003</v>
      </c>
      <c r="G359" s="289">
        <v>45408.0</v>
      </c>
      <c r="H359" s="292">
        <v>45412.0</v>
      </c>
      <c r="I359" s="293">
        <v>4.0</v>
      </c>
      <c r="J359" s="294" t="s">
        <v>114</v>
      </c>
      <c r="K359" s="291" t="s">
        <v>79</v>
      </c>
      <c r="L359" s="291" t="s">
        <v>1411</v>
      </c>
      <c r="M359" s="290">
        <v>2.0</v>
      </c>
      <c r="N359" s="295">
        <v>0.0</v>
      </c>
      <c r="O359" s="296">
        <v>175.0</v>
      </c>
      <c r="P359" s="296">
        <v>140.0</v>
      </c>
      <c r="Q359" s="301">
        <v>0.0</v>
      </c>
      <c r="R359" s="297">
        <v>560.0</v>
      </c>
      <c r="S359" s="297">
        <v>0.0</v>
      </c>
      <c r="T359" s="297">
        <v>700.0</v>
      </c>
      <c r="U359" s="298" t="s">
        <v>1412</v>
      </c>
      <c r="V359" s="299">
        <v>45302.73336805556</v>
      </c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</row>
    <row r="360">
      <c r="A360" s="280">
        <v>45302.0</v>
      </c>
      <c r="B360" s="264">
        <v>5243348.0</v>
      </c>
      <c r="C360" s="265" t="s">
        <v>82</v>
      </c>
      <c r="D360" s="265" t="s">
        <v>35</v>
      </c>
      <c r="E360" s="264">
        <v>4.25785117E9</v>
      </c>
      <c r="F360" s="265" t="s">
        <v>2004</v>
      </c>
      <c r="G360" s="280">
        <v>45542.0</v>
      </c>
      <c r="H360" s="281">
        <v>45548.0</v>
      </c>
      <c r="I360" s="282">
        <v>6.0</v>
      </c>
      <c r="J360" s="283" t="s">
        <v>87</v>
      </c>
      <c r="K360" s="265" t="s">
        <v>79</v>
      </c>
      <c r="L360" s="265" t="s">
        <v>1752</v>
      </c>
      <c r="M360" s="269">
        <v>2.0</v>
      </c>
      <c r="N360" s="270">
        <v>0.0</v>
      </c>
      <c r="O360" s="271">
        <v>143.16</v>
      </c>
      <c r="P360" s="271">
        <v>114.528</v>
      </c>
      <c r="Q360" s="272">
        <v>0.0</v>
      </c>
      <c r="R360" s="273">
        <v>687.1680000000001</v>
      </c>
      <c r="S360" s="273">
        <v>0.0</v>
      </c>
      <c r="T360" s="273">
        <v>858.96</v>
      </c>
      <c r="U360" s="274" t="s">
        <v>1753</v>
      </c>
      <c r="V360" s="284">
        <v>45302.58336805555</v>
      </c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</row>
    <row r="361">
      <c r="A361" s="276">
        <v>45303.0</v>
      </c>
      <c r="B361" s="252">
        <v>5246240.0</v>
      </c>
      <c r="C361" s="253" t="s">
        <v>82</v>
      </c>
      <c r="D361" s="253" t="s">
        <v>94</v>
      </c>
      <c r="E361" s="252">
        <v>5246240.0</v>
      </c>
      <c r="F361" s="253" t="s">
        <v>2006</v>
      </c>
      <c r="G361" s="276">
        <v>45305.0</v>
      </c>
      <c r="H361" s="277">
        <v>45310.0</v>
      </c>
      <c r="I361" s="278">
        <v>5.0</v>
      </c>
      <c r="J361" s="257" t="s">
        <v>91</v>
      </c>
      <c r="K361" s="253" t="s">
        <v>79</v>
      </c>
      <c r="L361" s="253" t="s">
        <v>1462</v>
      </c>
      <c r="M361" s="252">
        <v>4.0</v>
      </c>
      <c r="N361" s="258">
        <v>0.0</v>
      </c>
      <c r="O361" s="259">
        <v>384.2</v>
      </c>
      <c r="P361" s="259">
        <v>380.358</v>
      </c>
      <c r="Q361" s="262">
        <v>0.0</v>
      </c>
      <c r="R361" s="260">
        <v>1901.79</v>
      </c>
      <c r="S361" s="260">
        <v>0.0</v>
      </c>
      <c r="T361" s="260">
        <v>1921.0</v>
      </c>
      <c r="U361" s="261" t="s">
        <v>1463</v>
      </c>
      <c r="V361" s="279">
        <v>45303.53444444445</v>
      </c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</row>
    <row r="362">
      <c r="A362" s="276">
        <v>45303.0</v>
      </c>
      <c r="B362" s="252">
        <v>5245081.0</v>
      </c>
      <c r="C362" s="253" t="s">
        <v>82</v>
      </c>
      <c r="D362" s="253" t="s">
        <v>35</v>
      </c>
      <c r="E362" s="252">
        <v>4.005813727E9</v>
      </c>
      <c r="F362" s="253" t="s">
        <v>2008</v>
      </c>
      <c r="G362" s="276">
        <v>45329.0</v>
      </c>
      <c r="H362" s="277">
        <v>45332.0</v>
      </c>
      <c r="I362" s="278">
        <v>3.0</v>
      </c>
      <c r="J362" s="257" t="s">
        <v>91</v>
      </c>
      <c r="K362" s="253" t="s">
        <v>79</v>
      </c>
      <c r="L362" s="253" t="s">
        <v>1414</v>
      </c>
      <c r="M362" s="275">
        <v>5.0</v>
      </c>
      <c r="N362" s="258">
        <v>0.0</v>
      </c>
      <c r="O362" s="259">
        <v>313.45</v>
      </c>
      <c r="P362" s="259">
        <v>250.76</v>
      </c>
      <c r="Q362" s="262">
        <v>0.0</v>
      </c>
      <c r="R362" s="260">
        <v>752.2800000000001</v>
      </c>
      <c r="S362" s="260">
        <v>0.0</v>
      </c>
      <c r="T362" s="260">
        <v>940.35</v>
      </c>
      <c r="U362" s="261" t="s">
        <v>1415</v>
      </c>
      <c r="V362" s="279">
        <v>45303.050729166665</v>
      </c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</row>
    <row r="363">
      <c r="A363" s="210">
        <v>45303.0</v>
      </c>
      <c r="B363" s="166">
        <v>5246986.0</v>
      </c>
      <c r="C363" s="166" t="s">
        <v>82</v>
      </c>
      <c r="D363" s="166" t="s">
        <v>94</v>
      </c>
      <c r="E363" s="166">
        <v>5246986.0</v>
      </c>
      <c r="F363" s="166" t="s">
        <v>2009</v>
      </c>
      <c r="G363" s="210">
        <v>45428.0</v>
      </c>
      <c r="H363" s="287">
        <v>45432.0</v>
      </c>
      <c r="I363" s="168">
        <v>4.0</v>
      </c>
      <c r="J363" s="169" t="s">
        <v>114</v>
      </c>
      <c r="K363" s="166" t="s">
        <v>79</v>
      </c>
      <c r="L363" s="166" t="s">
        <v>1462</v>
      </c>
      <c r="M363" s="166">
        <v>2.0</v>
      </c>
      <c r="N363" s="170">
        <v>0.0</v>
      </c>
      <c r="O363" s="171">
        <v>161.0</v>
      </c>
      <c r="P363" s="171">
        <v>159.39</v>
      </c>
      <c r="Q363" s="172">
        <v>0.0</v>
      </c>
      <c r="R363" s="173">
        <v>637.56</v>
      </c>
      <c r="S363" s="173">
        <v>0.0</v>
      </c>
      <c r="T363" s="173">
        <v>644.0</v>
      </c>
      <c r="U363" s="174" t="s">
        <v>1463</v>
      </c>
      <c r="V363" s="288">
        <v>45303.71435185186</v>
      </c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</row>
    <row r="364">
      <c r="A364" s="276">
        <v>45304.0</v>
      </c>
      <c r="B364" s="252">
        <v>5250237.0</v>
      </c>
      <c r="C364" s="253" t="s">
        <v>82</v>
      </c>
      <c r="D364" s="253" t="s">
        <v>35</v>
      </c>
      <c r="E364" s="252">
        <v>4.176780166E9</v>
      </c>
      <c r="F364" s="253" t="s">
        <v>2010</v>
      </c>
      <c r="G364" s="276">
        <v>45349.0</v>
      </c>
      <c r="H364" s="277">
        <v>45350.0</v>
      </c>
      <c r="I364" s="278">
        <v>1.0</v>
      </c>
      <c r="J364" s="257" t="s">
        <v>87</v>
      </c>
      <c r="K364" s="253" t="s">
        <v>79</v>
      </c>
      <c r="L364" s="253" t="s">
        <v>1396</v>
      </c>
      <c r="M364" s="252">
        <v>2.0</v>
      </c>
      <c r="N364" s="258">
        <v>0.0</v>
      </c>
      <c r="O364" s="259">
        <v>106.1</v>
      </c>
      <c r="P364" s="259">
        <v>84.88</v>
      </c>
      <c r="Q364" s="262">
        <v>0.0</v>
      </c>
      <c r="R364" s="260">
        <v>84.88</v>
      </c>
      <c r="S364" s="260">
        <v>0.0</v>
      </c>
      <c r="T364" s="260">
        <v>106.1</v>
      </c>
      <c r="U364" s="261" t="s">
        <v>1398</v>
      </c>
      <c r="V364" s="279">
        <v>45304.800729166665</v>
      </c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</row>
    <row r="365">
      <c r="A365" s="276">
        <v>45304.0</v>
      </c>
      <c r="B365" s="252">
        <v>5250249.0</v>
      </c>
      <c r="C365" s="253" t="s">
        <v>75</v>
      </c>
      <c r="D365" s="253" t="s">
        <v>35</v>
      </c>
      <c r="E365" s="252">
        <v>4.285822826E9</v>
      </c>
      <c r="F365" s="253" t="s">
        <v>2011</v>
      </c>
      <c r="G365" s="276">
        <v>45350.0</v>
      </c>
      <c r="H365" s="277">
        <v>45353.0</v>
      </c>
      <c r="I365" s="278">
        <v>3.0</v>
      </c>
      <c r="J365" s="257" t="s">
        <v>114</v>
      </c>
      <c r="K365" s="253" t="s">
        <v>79</v>
      </c>
      <c r="L365" s="253" t="s">
        <v>1414</v>
      </c>
      <c r="M365" s="252">
        <v>2.0</v>
      </c>
      <c r="N365" s="258">
        <v>0.0</v>
      </c>
      <c r="O365" s="259">
        <v>161.82666666666668</v>
      </c>
      <c r="P365" s="259">
        <v>129.46133333333336</v>
      </c>
      <c r="Q365" s="262">
        <v>0.0</v>
      </c>
      <c r="R365" s="260">
        <v>388.384</v>
      </c>
      <c r="S365" s="260">
        <v>0.0</v>
      </c>
      <c r="T365" s="260">
        <v>485.48</v>
      </c>
      <c r="U365" s="261" t="s">
        <v>1415</v>
      </c>
      <c r="V365" s="279">
        <v>45304.994479166664</v>
      </c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</row>
    <row r="366">
      <c r="A366" s="210">
        <v>45304.0</v>
      </c>
      <c r="B366" s="166">
        <v>5250028.0</v>
      </c>
      <c r="C366" s="166" t="s">
        <v>82</v>
      </c>
      <c r="D366" s="166" t="s">
        <v>35</v>
      </c>
      <c r="E366" s="166">
        <v>4.007025613E9</v>
      </c>
      <c r="F366" s="166" t="s">
        <v>2013</v>
      </c>
      <c r="G366" s="210">
        <v>45393.0</v>
      </c>
      <c r="H366" s="287">
        <v>45397.0</v>
      </c>
      <c r="I366" s="168">
        <v>4.0</v>
      </c>
      <c r="J366" s="169" t="s">
        <v>78</v>
      </c>
      <c r="K366" s="166" t="s">
        <v>79</v>
      </c>
      <c r="L366" s="166" t="s">
        <v>1400</v>
      </c>
      <c r="M366" s="166">
        <v>2.0</v>
      </c>
      <c r="N366" s="170">
        <v>0.0</v>
      </c>
      <c r="O366" s="171">
        <v>166.79</v>
      </c>
      <c r="P366" s="171">
        <v>133.432</v>
      </c>
      <c r="Q366" s="172">
        <v>0.0</v>
      </c>
      <c r="R366" s="173">
        <v>533.728</v>
      </c>
      <c r="S366" s="173">
        <v>0.0</v>
      </c>
      <c r="T366" s="173">
        <v>667.16</v>
      </c>
      <c r="U366" s="174" t="s">
        <v>1401</v>
      </c>
      <c r="V366" s="288">
        <v>45304.75350694444</v>
      </c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</row>
    <row r="367">
      <c r="A367" s="276">
        <v>45304.0</v>
      </c>
      <c r="B367" s="252">
        <v>5249099.0</v>
      </c>
      <c r="C367" s="253" t="s">
        <v>82</v>
      </c>
      <c r="D367" s="253" t="s">
        <v>94</v>
      </c>
      <c r="E367" s="252">
        <v>5249099.0</v>
      </c>
      <c r="F367" s="253" t="s">
        <v>2014</v>
      </c>
      <c r="G367" s="276">
        <v>45405.0</v>
      </c>
      <c r="H367" s="277">
        <v>45409.0</v>
      </c>
      <c r="I367" s="278">
        <v>4.0</v>
      </c>
      <c r="J367" s="257" t="s">
        <v>78</v>
      </c>
      <c r="K367" s="253" t="s">
        <v>79</v>
      </c>
      <c r="L367" s="253" t="s">
        <v>1462</v>
      </c>
      <c r="M367" s="275">
        <v>2.0</v>
      </c>
      <c r="N367" s="258">
        <v>0.0</v>
      </c>
      <c r="O367" s="259">
        <v>146.0</v>
      </c>
      <c r="P367" s="259">
        <v>144.54</v>
      </c>
      <c r="Q367" s="257">
        <v>0.0</v>
      </c>
      <c r="R367" s="260">
        <v>578.16</v>
      </c>
      <c r="S367" s="260">
        <v>0.0</v>
      </c>
      <c r="T367" s="260">
        <v>584.0</v>
      </c>
      <c r="U367" s="261" t="s">
        <v>1463</v>
      </c>
      <c r="V367" s="279">
        <v>45304.53607638889</v>
      </c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</row>
    <row r="368">
      <c r="A368" s="276">
        <v>45305.0</v>
      </c>
      <c r="B368" s="252">
        <v>5253796.0</v>
      </c>
      <c r="C368" s="253" t="s">
        <v>82</v>
      </c>
      <c r="D368" s="253" t="s">
        <v>35</v>
      </c>
      <c r="E368" s="252">
        <v>4.007725973E9</v>
      </c>
      <c r="F368" s="253" t="s">
        <v>2016</v>
      </c>
      <c r="G368" s="276">
        <v>45307.0</v>
      </c>
      <c r="H368" s="277">
        <v>45308.0</v>
      </c>
      <c r="I368" s="278">
        <v>1.0</v>
      </c>
      <c r="J368" s="257" t="s">
        <v>114</v>
      </c>
      <c r="K368" s="253" t="s">
        <v>138</v>
      </c>
      <c r="L368" s="253" t="s">
        <v>1476</v>
      </c>
      <c r="M368" s="275">
        <v>2.0</v>
      </c>
      <c r="N368" s="258">
        <v>0.0</v>
      </c>
      <c r="O368" s="259">
        <v>169.4</v>
      </c>
      <c r="P368" s="259">
        <v>135.52</v>
      </c>
      <c r="Q368" s="257">
        <v>36.0</v>
      </c>
      <c r="R368" s="260">
        <v>135.52</v>
      </c>
      <c r="S368" s="260">
        <v>36.0</v>
      </c>
      <c r="T368" s="260">
        <v>169.4</v>
      </c>
      <c r="U368" s="261" t="s">
        <v>1477</v>
      </c>
      <c r="V368" s="279">
        <v>45305.946597222224</v>
      </c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</row>
    <row r="369">
      <c r="A369" s="276">
        <v>45305.0</v>
      </c>
      <c r="B369" s="252">
        <v>5253603.0</v>
      </c>
      <c r="C369" s="253" t="s">
        <v>82</v>
      </c>
      <c r="D369" s="253" t="s">
        <v>35</v>
      </c>
      <c r="E369" s="252">
        <v>4.0945203E9</v>
      </c>
      <c r="F369" s="253" t="s">
        <v>2017</v>
      </c>
      <c r="G369" s="276">
        <v>45313.0</v>
      </c>
      <c r="H369" s="277">
        <v>45315.0</v>
      </c>
      <c r="I369" s="278">
        <v>2.0</v>
      </c>
      <c r="J369" s="257" t="s">
        <v>87</v>
      </c>
      <c r="K369" s="253" t="s">
        <v>79</v>
      </c>
      <c r="L369" s="253" t="s">
        <v>1396</v>
      </c>
      <c r="M369" s="275">
        <v>2.0</v>
      </c>
      <c r="N369" s="258">
        <v>0.0</v>
      </c>
      <c r="O369" s="259">
        <v>100.33</v>
      </c>
      <c r="P369" s="259">
        <v>80.26400000000001</v>
      </c>
      <c r="Q369" s="262">
        <v>0.0</v>
      </c>
      <c r="R369" s="260">
        <v>160.52800000000002</v>
      </c>
      <c r="S369" s="260">
        <v>0.0</v>
      </c>
      <c r="T369" s="260">
        <v>200.66</v>
      </c>
      <c r="U369" s="261" t="s">
        <v>1398</v>
      </c>
      <c r="V369" s="279">
        <v>45305.89449074074</v>
      </c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</row>
    <row r="370">
      <c r="A370" s="276">
        <v>45305.0</v>
      </c>
      <c r="B370" s="252">
        <v>5252994.0</v>
      </c>
      <c r="C370" s="253" t="s">
        <v>82</v>
      </c>
      <c r="D370" s="253" t="s">
        <v>35</v>
      </c>
      <c r="E370" s="252">
        <v>4.083357177E9</v>
      </c>
      <c r="F370" s="253" t="s">
        <v>2018</v>
      </c>
      <c r="G370" s="276">
        <v>45316.0</v>
      </c>
      <c r="H370" s="277">
        <v>45319.0</v>
      </c>
      <c r="I370" s="278">
        <v>3.0</v>
      </c>
      <c r="J370" s="257" t="s">
        <v>78</v>
      </c>
      <c r="K370" s="253" t="s">
        <v>79</v>
      </c>
      <c r="L370" s="253" t="s">
        <v>1443</v>
      </c>
      <c r="M370" s="275">
        <v>2.0</v>
      </c>
      <c r="N370" s="258">
        <v>0.0</v>
      </c>
      <c r="O370" s="259">
        <v>131.23</v>
      </c>
      <c r="P370" s="259">
        <v>104.984</v>
      </c>
      <c r="Q370" s="262">
        <v>0.0</v>
      </c>
      <c r="R370" s="260">
        <v>314.952</v>
      </c>
      <c r="S370" s="260">
        <v>0.0</v>
      </c>
      <c r="T370" s="260">
        <v>393.69</v>
      </c>
      <c r="U370" s="261" t="s">
        <v>1444</v>
      </c>
      <c r="V370" s="279">
        <v>45305.76394675926</v>
      </c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</row>
    <row r="371">
      <c r="A371" s="276">
        <v>45305.0</v>
      </c>
      <c r="B371" s="252">
        <v>5252638.0</v>
      </c>
      <c r="C371" s="253" t="s">
        <v>89</v>
      </c>
      <c r="D371" s="285" t="s">
        <v>35</v>
      </c>
      <c r="E371" s="252">
        <v>4.212560886E9</v>
      </c>
      <c r="F371" s="253" t="s">
        <v>2019</v>
      </c>
      <c r="G371" s="276">
        <v>45317.0</v>
      </c>
      <c r="H371" s="277">
        <v>45318.0</v>
      </c>
      <c r="I371" s="278">
        <v>1.0</v>
      </c>
      <c r="J371" s="257" t="s">
        <v>87</v>
      </c>
      <c r="K371" s="253" t="s">
        <v>138</v>
      </c>
      <c r="L371" s="253" t="s">
        <v>1450</v>
      </c>
      <c r="M371" s="252">
        <v>2.0</v>
      </c>
      <c r="N371" s="258">
        <v>0.0</v>
      </c>
      <c r="O371" s="259">
        <v>0.0</v>
      </c>
      <c r="P371" s="259">
        <v>0.0</v>
      </c>
      <c r="Q371" s="262">
        <v>0.0</v>
      </c>
      <c r="R371" s="260">
        <v>0.0</v>
      </c>
      <c r="S371" s="260">
        <v>0.0</v>
      </c>
      <c r="T371" s="260">
        <v>0.0</v>
      </c>
      <c r="U371" s="261" t="s">
        <v>2020</v>
      </c>
      <c r="V371" s="279">
        <v>45305.689618055556</v>
      </c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</row>
    <row r="372">
      <c r="A372" s="276">
        <v>45305.0</v>
      </c>
      <c r="B372" s="252">
        <v>5253081.0</v>
      </c>
      <c r="C372" s="253" t="s">
        <v>82</v>
      </c>
      <c r="D372" s="253" t="s">
        <v>94</v>
      </c>
      <c r="E372" s="252">
        <v>5253081.0</v>
      </c>
      <c r="F372" s="253" t="s">
        <v>2021</v>
      </c>
      <c r="G372" s="276">
        <v>45332.0</v>
      </c>
      <c r="H372" s="277">
        <v>45333.0</v>
      </c>
      <c r="I372" s="278">
        <v>1.0</v>
      </c>
      <c r="J372" s="257" t="s">
        <v>114</v>
      </c>
      <c r="K372" s="253" t="s">
        <v>79</v>
      </c>
      <c r="L372" s="253" t="s">
        <v>1462</v>
      </c>
      <c r="M372" s="252">
        <v>2.0</v>
      </c>
      <c r="N372" s="258">
        <v>0.0</v>
      </c>
      <c r="O372" s="259">
        <v>173.0</v>
      </c>
      <c r="P372" s="259">
        <v>171.27</v>
      </c>
      <c r="Q372" s="257">
        <v>0.0</v>
      </c>
      <c r="R372" s="260">
        <v>171.27</v>
      </c>
      <c r="S372" s="260">
        <v>0.0</v>
      </c>
      <c r="T372" s="260">
        <v>173.0</v>
      </c>
      <c r="U372" s="261" t="s">
        <v>1463</v>
      </c>
      <c r="V372" s="279">
        <v>45305.78319444445</v>
      </c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</row>
    <row r="373">
      <c r="A373" s="276">
        <v>45305.0</v>
      </c>
      <c r="B373" s="252">
        <v>5252808.0</v>
      </c>
      <c r="C373" s="253" t="s">
        <v>82</v>
      </c>
      <c r="D373" s="253" t="s">
        <v>94</v>
      </c>
      <c r="E373" s="252">
        <v>5252808.0</v>
      </c>
      <c r="F373" s="253" t="s">
        <v>2022</v>
      </c>
      <c r="G373" s="276">
        <v>45330.0</v>
      </c>
      <c r="H373" s="277">
        <v>45335.0</v>
      </c>
      <c r="I373" s="278">
        <v>5.0</v>
      </c>
      <c r="J373" s="257" t="s">
        <v>114</v>
      </c>
      <c r="K373" s="253" t="s">
        <v>79</v>
      </c>
      <c r="L373" s="253" t="s">
        <v>1462</v>
      </c>
      <c r="M373" s="275">
        <v>2.0</v>
      </c>
      <c r="N373" s="258">
        <v>0.0</v>
      </c>
      <c r="O373" s="259">
        <v>191.0</v>
      </c>
      <c r="P373" s="259">
        <v>189.09</v>
      </c>
      <c r="Q373" s="262">
        <v>0.0</v>
      </c>
      <c r="R373" s="260">
        <v>945.45</v>
      </c>
      <c r="S373" s="260">
        <v>0.0</v>
      </c>
      <c r="T373" s="260">
        <v>955.0</v>
      </c>
      <c r="U373" s="261" t="s">
        <v>1463</v>
      </c>
      <c r="V373" s="279">
        <v>45305.72430555556</v>
      </c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</row>
    <row r="374">
      <c r="A374" s="276">
        <v>45305.0</v>
      </c>
      <c r="B374" s="252">
        <v>5252608.0</v>
      </c>
      <c r="C374" s="253" t="s">
        <v>82</v>
      </c>
      <c r="D374" s="312" t="s">
        <v>616</v>
      </c>
      <c r="E374" s="252">
        <v>1.55207322E8</v>
      </c>
      <c r="F374" s="253" t="s">
        <v>1868</v>
      </c>
      <c r="G374" s="276">
        <v>45330.0</v>
      </c>
      <c r="H374" s="277">
        <v>45332.0</v>
      </c>
      <c r="I374" s="278">
        <v>2.0</v>
      </c>
      <c r="J374" s="257" t="s">
        <v>111</v>
      </c>
      <c r="K374" s="253" t="s">
        <v>79</v>
      </c>
      <c r="L374" s="253" t="s">
        <v>1436</v>
      </c>
      <c r="M374" s="252">
        <v>2.0</v>
      </c>
      <c r="N374" s="258">
        <v>0.0</v>
      </c>
      <c r="O374" s="259">
        <v>131.03</v>
      </c>
      <c r="P374" s="259">
        <v>104.82400000000001</v>
      </c>
      <c r="Q374" s="262">
        <v>0.0</v>
      </c>
      <c r="R374" s="260">
        <v>209.64800000000002</v>
      </c>
      <c r="S374" s="260">
        <v>0.0</v>
      </c>
      <c r="T374" s="260">
        <v>262.06</v>
      </c>
      <c r="U374" s="261" t="s">
        <v>1437</v>
      </c>
      <c r="V374" s="279">
        <v>45305.68201388889</v>
      </c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</row>
    <row r="375">
      <c r="A375" s="276">
        <v>45305.0</v>
      </c>
      <c r="B375" s="252">
        <v>5252819.0</v>
      </c>
      <c r="C375" s="253" t="s">
        <v>82</v>
      </c>
      <c r="D375" s="253" t="s">
        <v>94</v>
      </c>
      <c r="E375" s="252">
        <v>5252819.0</v>
      </c>
      <c r="F375" s="253" t="s">
        <v>2023</v>
      </c>
      <c r="G375" s="276">
        <v>45330.0</v>
      </c>
      <c r="H375" s="277">
        <v>45334.0</v>
      </c>
      <c r="I375" s="278">
        <v>4.0</v>
      </c>
      <c r="J375" s="257" t="s">
        <v>78</v>
      </c>
      <c r="K375" s="253" t="s">
        <v>79</v>
      </c>
      <c r="L375" s="253" t="s">
        <v>1811</v>
      </c>
      <c r="M375" s="252">
        <v>2.0</v>
      </c>
      <c r="N375" s="258">
        <v>0.0</v>
      </c>
      <c r="O375" s="259">
        <v>155.0</v>
      </c>
      <c r="P375" s="259">
        <v>153.45</v>
      </c>
      <c r="Q375" s="262">
        <v>0.0</v>
      </c>
      <c r="R375" s="260">
        <v>613.8</v>
      </c>
      <c r="S375" s="260">
        <v>0.0</v>
      </c>
      <c r="T375" s="260">
        <v>1860.0</v>
      </c>
      <c r="U375" s="261" t="s">
        <v>1812</v>
      </c>
      <c r="V375" s="279">
        <v>45305.72622685185</v>
      </c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</row>
    <row r="376">
      <c r="A376" s="276">
        <v>45305.0</v>
      </c>
      <c r="B376" s="252">
        <v>5252819.0</v>
      </c>
      <c r="C376" s="253" t="s">
        <v>82</v>
      </c>
      <c r="D376" s="253" t="s">
        <v>94</v>
      </c>
      <c r="E376" s="252">
        <v>5252819.0</v>
      </c>
      <c r="F376" s="253" t="s">
        <v>2023</v>
      </c>
      <c r="G376" s="276">
        <v>45330.0</v>
      </c>
      <c r="H376" s="277">
        <v>45334.0</v>
      </c>
      <c r="I376" s="278">
        <v>4.0</v>
      </c>
      <c r="J376" s="257" t="s">
        <v>78</v>
      </c>
      <c r="K376" s="253" t="s">
        <v>79</v>
      </c>
      <c r="L376" s="253" t="s">
        <v>1811</v>
      </c>
      <c r="M376" s="252">
        <v>2.0</v>
      </c>
      <c r="N376" s="258">
        <v>0.0</v>
      </c>
      <c r="O376" s="259">
        <v>155.0</v>
      </c>
      <c r="P376" s="259">
        <v>153.45</v>
      </c>
      <c r="Q376" s="262">
        <v>0.0</v>
      </c>
      <c r="R376" s="260">
        <v>613.8</v>
      </c>
      <c r="S376" s="260">
        <v>0.0</v>
      </c>
      <c r="T376" s="260">
        <v>1860.0</v>
      </c>
      <c r="U376" s="261" t="s">
        <v>1812</v>
      </c>
      <c r="V376" s="279">
        <v>45305.72622685185</v>
      </c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</row>
    <row r="377">
      <c r="A377" s="276">
        <v>45305.0</v>
      </c>
      <c r="B377" s="252">
        <v>5252819.0</v>
      </c>
      <c r="C377" s="253" t="s">
        <v>82</v>
      </c>
      <c r="D377" s="253" t="s">
        <v>94</v>
      </c>
      <c r="E377" s="252">
        <v>5252819.0</v>
      </c>
      <c r="F377" s="253" t="s">
        <v>2023</v>
      </c>
      <c r="G377" s="276">
        <v>45330.0</v>
      </c>
      <c r="H377" s="277">
        <v>45334.0</v>
      </c>
      <c r="I377" s="278">
        <v>4.0</v>
      </c>
      <c r="J377" s="257" t="s">
        <v>78</v>
      </c>
      <c r="K377" s="253" t="s">
        <v>79</v>
      </c>
      <c r="L377" s="253" t="s">
        <v>1811</v>
      </c>
      <c r="M377" s="252">
        <v>2.0</v>
      </c>
      <c r="N377" s="258">
        <v>0.0</v>
      </c>
      <c r="O377" s="259">
        <v>155.0</v>
      </c>
      <c r="P377" s="259">
        <v>153.45</v>
      </c>
      <c r="Q377" s="262">
        <v>0.0</v>
      </c>
      <c r="R377" s="260">
        <v>613.8</v>
      </c>
      <c r="S377" s="260">
        <v>0.0</v>
      </c>
      <c r="T377" s="260">
        <v>1860.0</v>
      </c>
      <c r="U377" s="261" t="s">
        <v>1812</v>
      </c>
      <c r="V377" s="279">
        <v>45305.72622685185</v>
      </c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</row>
    <row r="378">
      <c r="A378" s="276">
        <v>45305.0</v>
      </c>
      <c r="B378" s="252">
        <v>5252822.0</v>
      </c>
      <c r="C378" s="253" t="s">
        <v>82</v>
      </c>
      <c r="D378" s="253" t="s">
        <v>94</v>
      </c>
      <c r="E378" s="252">
        <v>5252822.0</v>
      </c>
      <c r="F378" s="253" t="s">
        <v>2022</v>
      </c>
      <c r="G378" s="276">
        <v>45330.0</v>
      </c>
      <c r="H378" s="277">
        <v>45333.0</v>
      </c>
      <c r="I378" s="278">
        <v>3.0</v>
      </c>
      <c r="J378" s="257" t="s">
        <v>78</v>
      </c>
      <c r="K378" s="253" t="s">
        <v>79</v>
      </c>
      <c r="L378" s="253" t="s">
        <v>1462</v>
      </c>
      <c r="M378" s="252">
        <v>2.0</v>
      </c>
      <c r="N378" s="258">
        <v>0.0</v>
      </c>
      <c r="O378" s="259">
        <v>155.0</v>
      </c>
      <c r="P378" s="259">
        <v>153.45</v>
      </c>
      <c r="Q378" s="262">
        <v>0.0</v>
      </c>
      <c r="R378" s="260">
        <v>460.35</v>
      </c>
      <c r="S378" s="260">
        <v>0.0</v>
      </c>
      <c r="T378" s="260">
        <v>465.0</v>
      </c>
      <c r="U378" s="261" t="s">
        <v>1463</v>
      </c>
      <c r="V378" s="279">
        <v>45305.72724537037</v>
      </c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</row>
    <row r="379">
      <c r="A379" s="289">
        <v>45305.0</v>
      </c>
      <c r="B379" s="290">
        <v>5253485.0</v>
      </c>
      <c r="C379" s="291" t="s">
        <v>82</v>
      </c>
      <c r="D379" s="291" t="s">
        <v>35</v>
      </c>
      <c r="E379" s="290">
        <v>4.096217299E9</v>
      </c>
      <c r="F379" s="291" t="s">
        <v>2027</v>
      </c>
      <c r="G379" s="289">
        <v>45406.0</v>
      </c>
      <c r="H379" s="292">
        <v>45408.0</v>
      </c>
      <c r="I379" s="293">
        <v>2.0</v>
      </c>
      <c r="J379" s="294" t="s">
        <v>114</v>
      </c>
      <c r="K379" s="291" t="s">
        <v>79</v>
      </c>
      <c r="L379" s="291" t="s">
        <v>1396</v>
      </c>
      <c r="M379" s="290">
        <v>2.0</v>
      </c>
      <c r="N379" s="295">
        <v>0.0</v>
      </c>
      <c r="O379" s="296">
        <v>147.28</v>
      </c>
      <c r="P379" s="296">
        <v>117.82400000000001</v>
      </c>
      <c r="Q379" s="301">
        <v>0.0</v>
      </c>
      <c r="R379" s="297">
        <v>235.64800000000002</v>
      </c>
      <c r="S379" s="297">
        <v>0.0</v>
      </c>
      <c r="T379" s="297">
        <v>294.56</v>
      </c>
      <c r="U379" s="298" t="s">
        <v>1398</v>
      </c>
      <c r="V379" s="299">
        <v>45305.86461805555</v>
      </c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</row>
    <row r="380">
      <c r="A380" s="276">
        <v>45305.0</v>
      </c>
      <c r="B380" s="252">
        <v>5253594.0</v>
      </c>
      <c r="C380" s="253" t="s">
        <v>82</v>
      </c>
      <c r="D380" s="253" t="s">
        <v>35</v>
      </c>
      <c r="E380" s="252">
        <v>4.106279867E9</v>
      </c>
      <c r="F380" s="253" t="s">
        <v>2029</v>
      </c>
      <c r="G380" s="276">
        <v>45412.0</v>
      </c>
      <c r="H380" s="277">
        <v>45416.0</v>
      </c>
      <c r="I380" s="278">
        <v>4.0</v>
      </c>
      <c r="J380" s="257" t="s">
        <v>78</v>
      </c>
      <c r="K380" s="253" t="s">
        <v>79</v>
      </c>
      <c r="L380" s="253" t="s">
        <v>1396</v>
      </c>
      <c r="M380" s="275">
        <v>2.0</v>
      </c>
      <c r="N380" s="258">
        <v>0.0</v>
      </c>
      <c r="O380" s="259">
        <v>132.83</v>
      </c>
      <c r="P380" s="259">
        <v>106.26400000000001</v>
      </c>
      <c r="Q380" s="262">
        <v>0.0</v>
      </c>
      <c r="R380" s="260">
        <v>425.05600000000004</v>
      </c>
      <c r="S380" s="260">
        <v>0.0</v>
      </c>
      <c r="T380" s="260">
        <v>531.32</v>
      </c>
      <c r="U380" s="261" t="s">
        <v>1398</v>
      </c>
      <c r="V380" s="279">
        <v>45305.89172453704</v>
      </c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</row>
    <row r="381">
      <c r="A381" s="276">
        <v>45306.0</v>
      </c>
      <c r="B381" s="252">
        <v>5256859.0</v>
      </c>
      <c r="C381" s="253" t="s">
        <v>82</v>
      </c>
      <c r="D381" s="253" t="s">
        <v>35</v>
      </c>
      <c r="E381" s="252">
        <v>4.076499111E9</v>
      </c>
      <c r="F381" s="253" t="s">
        <v>2030</v>
      </c>
      <c r="G381" s="276">
        <v>45308.0</v>
      </c>
      <c r="H381" s="277">
        <v>45311.0</v>
      </c>
      <c r="I381" s="278">
        <v>3.0</v>
      </c>
      <c r="J381" s="257" t="s">
        <v>78</v>
      </c>
      <c r="K381" s="253" t="s">
        <v>79</v>
      </c>
      <c r="L381" s="253" t="s">
        <v>1396</v>
      </c>
      <c r="M381" s="252">
        <v>2.0</v>
      </c>
      <c r="N381" s="258">
        <v>0.0</v>
      </c>
      <c r="O381" s="259">
        <v>118.21</v>
      </c>
      <c r="P381" s="259">
        <v>94.568</v>
      </c>
      <c r="Q381" s="262">
        <v>0.0</v>
      </c>
      <c r="R381" s="260">
        <v>283.704</v>
      </c>
      <c r="S381" s="260">
        <v>0.0</v>
      </c>
      <c r="T381" s="260">
        <v>354.63</v>
      </c>
      <c r="U381" s="261" t="s">
        <v>1398</v>
      </c>
      <c r="V381" s="279">
        <v>45306.927824074075</v>
      </c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</row>
    <row r="382">
      <c r="A382" s="276">
        <v>45306.0</v>
      </c>
      <c r="B382" s="252">
        <v>5254805.0</v>
      </c>
      <c r="C382" s="253" t="s">
        <v>75</v>
      </c>
      <c r="D382" s="253" t="s">
        <v>35</v>
      </c>
      <c r="E382" s="252">
        <v>4.115344469E9</v>
      </c>
      <c r="F382" s="253" t="s">
        <v>2032</v>
      </c>
      <c r="G382" s="276">
        <v>45309.0</v>
      </c>
      <c r="H382" s="277">
        <v>45310.0</v>
      </c>
      <c r="I382" s="278">
        <v>1.0</v>
      </c>
      <c r="J382" s="257" t="s">
        <v>78</v>
      </c>
      <c r="K382" s="253" t="s">
        <v>79</v>
      </c>
      <c r="L382" s="253" t="s">
        <v>1396</v>
      </c>
      <c r="M382" s="252">
        <v>2.0</v>
      </c>
      <c r="N382" s="258">
        <v>0.0</v>
      </c>
      <c r="O382" s="259">
        <v>125.23</v>
      </c>
      <c r="P382" s="259">
        <v>100.18400000000001</v>
      </c>
      <c r="Q382" s="262">
        <v>0.0</v>
      </c>
      <c r="R382" s="260">
        <v>100.18400000000001</v>
      </c>
      <c r="S382" s="260">
        <v>0.0</v>
      </c>
      <c r="T382" s="260">
        <v>125.23</v>
      </c>
      <c r="U382" s="261" t="s">
        <v>1398</v>
      </c>
      <c r="V382" s="279">
        <v>45307.01739583333</v>
      </c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</row>
    <row r="383">
      <c r="A383" s="276">
        <v>45306.0</v>
      </c>
      <c r="B383" s="252">
        <v>5256614.0</v>
      </c>
      <c r="C383" s="253" t="s">
        <v>89</v>
      </c>
      <c r="D383" s="253" t="s">
        <v>35</v>
      </c>
      <c r="E383" s="252">
        <v>4.245971031E9</v>
      </c>
      <c r="F383" s="253" t="s">
        <v>2033</v>
      </c>
      <c r="G383" s="276">
        <v>45338.0</v>
      </c>
      <c r="H383" s="277">
        <v>45341.0</v>
      </c>
      <c r="I383" s="278">
        <v>3.0</v>
      </c>
      <c r="J383" s="257" t="s">
        <v>87</v>
      </c>
      <c r="K383" s="253" t="s">
        <v>79</v>
      </c>
      <c r="L383" s="253" t="s">
        <v>1414</v>
      </c>
      <c r="M383" s="252">
        <v>2.0</v>
      </c>
      <c r="N383" s="258">
        <v>0.0</v>
      </c>
      <c r="O383" s="259">
        <v>0.0</v>
      </c>
      <c r="P383" s="259">
        <v>0.0</v>
      </c>
      <c r="Q383" s="257">
        <v>0.0</v>
      </c>
      <c r="R383" s="260">
        <v>0.0</v>
      </c>
      <c r="S383" s="260">
        <v>0.0</v>
      </c>
      <c r="T383" s="260">
        <v>0.0</v>
      </c>
      <c r="U383" s="261" t="s">
        <v>2034</v>
      </c>
      <c r="V383" s="279">
        <v>45306.872986111106</v>
      </c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</row>
    <row r="384">
      <c r="A384" s="276">
        <v>45306.0</v>
      </c>
      <c r="B384" s="252">
        <v>5255710.0</v>
      </c>
      <c r="C384" s="253" t="s">
        <v>82</v>
      </c>
      <c r="D384" s="253" t="s">
        <v>35</v>
      </c>
      <c r="E384" s="252">
        <v>4.227174114E9</v>
      </c>
      <c r="F384" s="253" t="s">
        <v>2035</v>
      </c>
      <c r="G384" s="276">
        <v>45348.0</v>
      </c>
      <c r="H384" s="277">
        <v>45349.0</v>
      </c>
      <c r="I384" s="278">
        <v>1.0</v>
      </c>
      <c r="J384" s="257" t="s">
        <v>91</v>
      </c>
      <c r="K384" s="253" t="s">
        <v>79</v>
      </c>
      <c r="L384" s="253" t="s">
        <v>1724</v>
      </c>
      <c r="M384" s="252">
        <v>5.0</v>
      </c>
      <c r="N384" s="258">
        <v>0.0</v>
      </c>
      <c r="O384" s="259">
        <v>437.13</v>
      </c>
      <c r="P384" s="259">
        <v>349.704</v>
      </c>
      <c r="Q384" s="262">
        <v>0.0</v>
      </c>
      <c r="R384" s="260">
        <v>349.704</v>
      </c>
      <c r="S384" s="260">
        <v>0.0</v>
      </c>
      <c r="T384" s="260">
        <v>437.13</v>
      </c>
      <c r="U384" s="261" t="s">
        <v>1725</v>
      </c>
      <c r="V384" s="279">
        <v>45306.658368055556</v>
      </c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</row>
    <row r="385">
      <c r="A385" s="276">
        <v>45306.0</v>
      </c>
      <c r="B385" s="252">
        <v>5256070.0</v>
      </c>
      <c r="C385" s="253" t="s">
        <v>82</v>
      </c>
      <c r="D385" s="253" t="s">
        <v>101</v>
      </c>
      <c r="E385" s="252">
        <v>1.55895733E8</v>
      </c>
      <c r="F385" s="253" t="s">
        <v>1659</v>
      </c>
      <c r="G385" s="276">
        <v>45369.0</v>
      </c>
      <c r="H385" s="277">
        <v>45370.0</v>
      </c>
      <c r="I385" s="278">
        <v>1.0</v>
      </c>
      <c r="J385" s="257" t="s">
        <v>111</v>
      </c>
      <c r="K385" s="253" t="s">
        <v>79</v>
      </c>
      <c r="L385" s="253" t="s">
        <v>1436</v>
      </c>
      <c r="M385" s="252">
        <v>2.0</v>
      </c>
      <c r="N385" s="258">
        <v>0.0</v>
      </c>
      <c r="O385" s="259">
        <v>161.28</v>
      </c>
      <c r="P385" s="259">
        <v>129.024</v>
      </c>
      <c r="Q385" s="257">
        <v>0.0</v>
      </c>
      <c r="R385" s="260">
        <v>129.024</v>
      </c>
      <c r="S385" s="260">
        <v>0.0</v>
      </c>
      <c r="T385" s="260">
        <v>161.28</v>
      </c>
      <c r="U385" s="261" t="s">
        <v>1437</v>
      </c>
      <c r="V385" s="279">
        <v>45306.73909722222</v>
      </c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</row>
    <row r="386">
      <c r="A386" s="280">
        <v>45306.0</v>
      </c>
      <c r="B386" s="264">
        <v>5255585.0</v>
      </c>
      <c r="C386" s="265" t="s">
        <v>82</v>
      </c>
      <c r="D386" s="265" t="s">
        <v>35</v>
      </c>
      <c r="E386" s="264">
        <v>4.00954947E9</v>
      </c>
      <c r="F386" s="265" t="s">
        <v>2037</v>
      </c>
      <c r="G386" s="280">
        <v>45597.0</v>
      </c>
      <c r="H386" s="281">
        <v>45600.0</v>
      </c>
      <c r="I386" s="282">
        <v>3.0</v>
      </c>
      <c r="J386" s="283" t="s">
        <v>78</v>
      </c>
      <c r="K386" s="265" t="s">
        <v>79</v>
      </c>
      <c r="L386" s="265" t="s">
        <v>1752</v>
      </c>
      <c r="M386" s="264">
        <v>2.0</v>
      </c>
      <c r="N386" s="270">
        <v>0.0</v>
      </c>
      <c r="O386" s="271">
        <v>220.38</v>
      </c>
      <c r="P386" s="271">
        <v>176.304</v>
      </c>
      <c r="Q386" s="272">
        <v>0.0</v>
      </c>
      <c r="R386" s="273">
        <v>528.912</v>
      </c>
      <c r="S386" s="273">
        <v>0.0</v>
      </c>
      <c r="T386" s="273">
        <v>661.14</v>
      </c>
      <c r="U386" s="274" t="s">
        <v>1753</v>
      </c>
      <c r="V386" s="286">
        <v>45306.632002314815</v>
      </c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</row>
    <row r="387">
      <c r="A387" s="276">
        <v>45307.0</v>
      </c>
      <c r="B387" s="252">
        <v>5258312.0</v>
      </c>
      <c r="C387" s="253" t="s">
        <v>82</v>
      </c>
      <c r="D387" s="253" t="s">
        <v>35</v>
      </c>
      <c r="E387" s="252">
        <v>4.036985738E9</v>
      </c>
      <c r="F387" s="253" t="s">
        <v>2039</v>
      </c>
      <c r="G387" s="276">
        <v>45311.0</v>
      </c>
      <c r="H387" s="277">
        <v>45312.0</v>
      </c>
      <c r="I387" s="278">
        <v>1.0</v>
      </c>
      <c r="J387" s="257" t="s">
        <v>78</v>
      </c>
      <c r="K387" s="253" t="s">
        <v>79</v>
      </c>
      <c r="L387" s="253" t="s">
        <v>1396</v>
      </c>
      <c r="M387" s="252">
        <v>2.0</v>
      </c>
      <c r="N387" s="258">
        <v>0.0</v>
      </c>
      <c r="O387" s="259">
        <v>139.76</v>
      </c>
      <c r="P387" s="259">
        <v>111.80799999999999</v>
      </c>
      <c r="Q387" s="257">
        <v>0.0</v>
      </c>
      <c r="R387" s="260">
        <v>111.80799999999999</v>
      </c>
      <c r="S387" s="260">
        <v>0.0</v>
      </c>
      <c r="T387" s="260">
        <v>139.76</v>
      </c>
      <c r="U387" s="261" t="s">
        <v>1398</v>
      </c>
      <c r="V387" s="279">
        <v>45307.49795138889</v>
      </c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</row>
    <row r="388">
      <c r="A388" s="276">
        <v>45307.0</v>
      </c>
      <c r="B388" s="252">
        <v>5258165.0</v>
      </c>
      <c r="C388" s="253" t="s">
        <v>75</v>
      </c>
      <c r="D388" s="253" t="s">
        <v>94</v>
      </c>
      <c r="E388" s="252">
        <v>5258165.0</v>
      </c>
      <c r="F388" s="253" t="s">
        <v>2041</v>
      </c>
      <c r="G388" s="276">
        <v>45314.0</v>
      </c>
      <c r="H388" s="277">
        <v>45315.0</v>
      </c>
      <c r="I388" s="278">
        <v>1.0</v>
      </c>
      <c r="J388" s="257" t="s">
        <v>114</v>
      </c>
      <c r="K388" s="253" t="s">
        <v>79</v>
      </c>
      <c r="L388" s="253" t="s">
        <v>1462</v>
      </c>
      <c r="M388" s="252">
        <v>2.0</v>
      </c>
      <c r="N388" s="258">
        <v>0.0</v>
      </c>
      <c r="O388" s="259">
        <v>170.6</v>
      </c>
      <c r="P388" s="259">
        <v>168.894</v>
      </c>
      <c r="Q388" s="262">
        <v>0.0</v>
      </c>
      <c r="R388" s="260">
        <v>168.894</v>
      </c>
      <c r="S388" s="260">
        <v>0.0</v>
      </c>
      <c r="T388" s="260">
        <v>170.6</v>
      </c>
      <c r="U388" s="261" t="s">
        <v>1463</v>
      </c>
      <c r="V388" s="279">
        <v>45311.578668981485</v>
      </c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</row>
    <row r="389">
      <c r="A389" s="276">
        <v>45307.0</v>
      </c>
      <c r="B389" s="252">
        <v>5258168.0</v>
      </c>
      <c r="C389" s="253" t="s">
        <v>82</v>
      </c>
      <c r="D389" s="253" t="s">
        <v>94</v>
      </c>
      <c r="E389" s="252">
        <v>5258168.0</v>
      </c>
      <c r="F389" s="253" t="s">
        <v>2041</v>
      </c>
      <c r="G389" s="276">
        <v>45317.0</v>
      </c>
      <c r="H389" s="277">
        <v>45318.0</v>
      </c>
      <c r="I389" s="278">
        <v>1.0</v>
      </c>
      <c r="J389" s="257" t="s">
        <v>87</v>
      </c>
      <c r="K389" s="253" t="s">
        <v>79</v>
      </c>
      <c r="L389" s="253" t="s">
        <v>1811</v>
      </c>
      <c r="M389" s="252">
        <v>2.0</v>
      </c>
      <c r="N389" s="258">
        <v>0.0</v>
      </c>
      <c r="O389" s="259">
        <v>117.2</v>
      </c>
      <c r="P389" s="259">
        <v>116.028</v>
      </c>
      <c r="Q389" s="257">
        <v>0.0</v>
      </c>
      <c r="R389" s="260">
        <v>116.028</v>
      </c>
      <c r="S389" s="260">
        <v>0.0</v>
      </c>
      <c r="T389" s="260">
        <v>117.2</v>
      </c>
      <c r="U389" s="261" t="s">
        <v>1812</v>
      </c>
      <c r="V389" s="279">
        <v>45307.46706018518</v>
      </c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</row>
    <row r="390">
      <c r="A390" s="289">
        <v>45307.0</v>
      </c>
      <c r="B390" s="290">
        <v>5257164.0</v>
      </c>
      <c r="C390" s="291" t="s">
        <v>82</v>
      </c>
      <c r="D390" s="291" t="s">
        <v>35</v>
      </c>
      <c r="E390" s="290">
        <v>4.115333808E9</v>
      </c>
      <c r="F390" s="291" t="s">
        <v>2042</v>
      </c>
      <c r="G390" s="289">
        <v>45393.0</v>
      </c>
      <c r="H390" s="292">
        <v>45395.0</v>
      </c>
      <c r="I390" s="293">
        <v>2.0</v>
      </c>
      <c r="J390" s="294" t="s">
        <v>87</v>
      </c>
      <c r="K390" s="291" t="s">
        <v>79</v>
      </c>
      <c r="L390" s="291" t="s">
        <v>1876</v>
      </c>
      <c r="M390" s="290">
        <v>2.0</v>
      </c>
      <c r="N390" s="295">
        <v>0.0</v>
      </c>
      <c r="O390" s="296">
        <v>177.55</v>
      </c>
      <c r="P390" s="296">
        <v>142.04000000000002</v>
      </c>
      <c r="Q390" s="301">
        <v>0.0</v>
      </c>
      <c r="R390" s="297">
        <v>284.08000000000004</v>
      </c>
      <c r="S390" s="297">
        <v>0.0</v>
      </c>
      <c r="T390" s="297">
        <v>355.1</v>
      </c>
      <c r="U390" s="298" t="s">
        <v>1877</v>
      </c>
      <c r="V390" s="299">
        <v>45307.04725694444</v>
      </c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</row>
    <row r="391">
      <c r="A391" s="276">
        <v>45307.0</v>
      </c>
      <c r="B391" s="252">
        <v>5260165.0</v>
      </c>
      <c r="C391" s="253" t="s">
        <v>82</v>
      </c>
      <c r="D391" s="253" t="s">
        <v>94</v>
      </c>
      <c r="E391" s="252">
        <v>4.024145228E9</v>
      </c>
      <c r="F391" s="253" t="s">
        <v>2043</v>
      </c>
      <c r="G391" s="276">
        <v>45396.0</v>
      </c>
      <c r="H391" s="277">
        <v>45401.0</v>
      </c>
      <c r="I391" s="278">
        <v>5.0</v>
      </c>
      <c r="J391" s="257" t="s">
        <v>78</v>
      </c>
      <c r="K391" s="253" t="s">
        <v>138</v>
      </c>
      <c r="L391" s="253" t="s">
        <v>1450</v>
      </c>
      <c r="M391" s="275">
        <v>3.0</v>
      </c>
      <c r="N391" s="258">
        <v>0.0</v>
      </c>
      <c r="O391" s="259">
        <v>207.73000000000002</v>
      </c>
      <c r="P391" s="259">
        <v>205.6527</v>
      </c>
      <c r="Q391" s="262">
        <v>54.0</v>
      </c>
      <c r="R391" s="260">
        <v>1028.2635</v>
      </c>
      <c r="S391" s="260">
        <v>270.0</v>
      </c>
      <c r="T391" s="260">
        <v>1038.65</v>
      </c>
      <c r="U391" s="261" t="s">
        <v>1451</v>
      </c>
      <c r="V391" s="279">
        <v>45307.90837962963</v>
      </c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</row>
    <row r="392">
      <c r="A392" s="289">
        <v>45308.0</v>
      </c>
      <c r="B392" s="290">
        <v>5262515.0</v>
      </c>
      <c r="C392" s="291" t="s">
        <v>82</v>
      </c>
      <c r="D392" s="291" t="s">
        <v>94</v>
      </c>
      <c r="E392" s="290">
        <v>5262515.0</v>
      </c>
      <c r="F392" s="291" t="s">
        <v>2044</v>
      </c>
      <c r="G392" s="289">
        <v>45348.0</v>
      </c>
      <c r="H392" s="292">
        <v>45352.0</v>
      </c>
      <c r="I392" s="293">
        <v>4.0</v>
      </c>
      <c r="J392" s="294" t="s">
        <v>78</v>
      </c>
      <c r="K392" s="291" t="s">
        <v>79</v>
      </c>
      <c r="L392" s="291" t="s">
        <v>1462</v>
      </c>
      <c r="M392" s="290">
        <v>2.0</v>
      </c>
      <c r="N392" s="295">
        <v>0.0</v>
      </c>
      <c r="O392" s="296">
        <v>190.0</v>
      </c>
      <c r="P392" s="296">
        <v>188.1</v>
      </c>
      <c r="Q392" s="294">
        <v>0.0</v>
      </c>
      <c r="R392" s="297">
        <v>752.4</v>
      </c>
      <c r="S392" s="297">
        <v>0.0</v>
      </c>
      <c r="T392" s="297">
        <v>760.0</v>
      </c>
      <c r="U392" s="298" t="s">
        <v>1463</v>
      </c>
      <c r="V392" s="299">
        <v>45308.71699074074</v>
      </c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</row>
    <row r="393">
      <c r="A393" s="276">
        <v>45308.0</v>
      </c>
      <c r="B393" s="252">
        <v>5261906.0</v>
      </c>
      <c r="C393" s="253" t="s">
        <v>82</v>
      </c>
      <c r="D393" s="253" t="s">
        <v>35</v>
      </c>
      <c r="E393" s="252">
        <v>4.281978738E9</v>
      </c>
      <c r="F393" s="253" t="s">
        <v>2045</v>
      </c>
      <c r="G393" s="276">
        <v>45355.0</v>
      </c>
      <c r="H393" s="277">
        <v>45356.0</v>
      </c>
      <c r="I393" s="278">
        <v>1.0</v>
      </c>
      <c r="J393" s="257" t="s">
        <v>91</v>
      </c>
      <c r="K393" s="253" t="s">
        <v>79</v>
      </c>
      <c r="L393" s="253" t="s">
        <v>2047</v>
      </c>
      <c r="M393" s="252">
        <v>4.0</v>
      </c>
      <c r="N393" s="258">
        <v>0.0</v>
      </c>
      <c r="O393" s="259">
        <v>456.25</v>
      </c>
      <c r="P393" s="259">
        <v>365.0</v>
      </c>
      <c r="Q393" s="262">
        <v>0.0</v>
      </c>
      <c r="R393" s="260">
        <v>365.0</v>
      </c>
      <c r="S393" s="260">
        <v>0.0</v>
      </c>
      <c r="T393" s="260">
        <v>456.25</v>
      </c>
      <c r="U393" s="261" t="s">
        <v>2048</v>
      </c>
      <c r="V393" s="279">
        <v>45308.581296296295</v>
      </c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</row>
    <row r="394">
      <c r="A394" s="276">
        <v>45309.0</v>
      </c>
      <c r="B394" s="252">
        <v>5266118.0</v>
      </c>
      <c r="C394" s="253" t="s">
        <v>82</v>
      </c>
      <c r="D394" s="253" t="s">
        <v>35</v>
      </c>
      <c r="E394" s="252">
        <v>4.140528743E9</v>
      </c>
      <c r="F394" s="253" t="s">
        <v>2049</v>
      </c>
      <c r="G394" s="276">
        <v>45405.0</v>
      </c>
      <c r="H394" s="277">
        <v>45409.0</v>
      </c>
      <c r="I394" s="278">
        <v>4.0</v>
      </c>
      <c r="J394" s="257" t="s">
        <v>78</v>
      </c>
      <c r="K394" s="253" t="s">
        <v>79</v>
      </c>
      <c r="L394" s="253" t="s">
        <v>1411</v>
      </c>
      <c r="M394" s="252">
        <v>2.0</v>
      </c>
      <c r="N394" s="258">
        <v>0.0</v>
      </c>
      <c r="O394" s="259">
        <v>209.17</v>
      </c>
      <c r="P394" s="259">
        <v>167.336</v>
      </c>
      <c r="Q394" s="262">
        <v>0.0</v>
      </c>
      <c r="R394" s="260">
        <v>669.344</v>
      </c>
      <c r="S394" s="260">
        <v>0.0</v>
      </c>
      <c r="T394" s="260">
        <v>836.68</v>
      </c>
      <c r="U394" s="261" t="s">
        <v>1412</v>
      </c>
      <c r="V394" s="279">
        <v>45309.793807870374</v>
      </c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</row>
    <row r="395">
      <c r="A395" s="280">
        <v>45309.0</v>
      </c>
      <c r="B395" s="264">
        <v>5266974.0</v>
      </c>
      <c r="C395" s="265" t="s">
        <v>82</v>
      </c>
      <c r="D395" s="265" t="s">
        <v>35</v>
      </c>
      <c r="E395" s="264">
        <v>4.179997462E9</v>
      </c>
      <c r="F395" s="265" t="s">
        <v>2050</v>
      </c>
      <c r="G395" s="280">
        <v>45415.0</v>
      </c>
      <c r="H395" s="281">
        <v>45417.0</v>
      </c>
      <c r="I395" s="282">
        <v>2.0</v>
      </c>
      <c r="J395" s="283" t="s">
        <v>87</v>
      </c>
      <c r="K395" s="265" t="s">
        <v>138</v>
      </c>
      <c r="L395" s="265" t="s">
        <v>1476</v>
      </c>
      <c r="M395" s="269">
        <v>2.0</v>
      </c>
      <c r="N395" s="270">
        <v>0.0</v>
      </c>
      <c r="O395" s="271">
        <v>183.25</v>
      </c>
      <c r="P395" s="271">
        <v>146.6</v>
      </c>
      <c r="Q395" s="272">
        <v>36.0</v>
      </c>
      <c r="R395" s="273">
        <v>293.2</v>
      </c>
      <c r="S395" s="273">
        <v>72.0</v>
      </c>
      <c r="T395" s="273">
        <v>366.5</v>
      </c>
      <c r="U395" s="274" t="s">
        <v>1477</v>
      </c>
      <c r="V395" s="286">
        <v>45310.00975694445</v>
      </c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</row>
    <row r="396">
      <c r="A396" s="280">
        <v>45309.0</v>
      </c>
      <c r="B396" s="264">
        <v>5265424.0</v>
      </c>
      <c r="C396" s="265" t="s">
        <v>75</v>
      </c>
      <c r="D396" s="265" t="s">
        <v>35</v>
      </c>
      <c r="E396" s="264">
        <v>4.237601361E9</v>
      </c>
      <c r="F396" s="265" t="s">
        <v>2052</v>
      </c>
      <c r="G396" s="280">
        <v>45415.0</v>
      </c>
      <c r="H396" s="281">
        <v>45417.0</v>
      </c>
      <c r="I396" s="282">
        <v>2.0</v>
      </c>
      <c r="J396" s="283" t="s">
        <v>78</v>
      </c>
      <c r="K396" s="265" t="s">
        <v>138</v>
      </c>
      <c r="L396" s="265" t="s">
        <v>1476</v>
      </c>
      <c r="M396" s="269">
        <v>2.0</v>
      </c>
      <c r="N396" s="270">
        <v>0.0</v>
      </c>
      <c r="O396" s="271">
        <v>196.46</v>
      </c>
      <c r="P396" s="271">
        <v>157.168</v>
      </c>
      <c r="Q396" s="272">
        <v>36.0</v>
      </c>
      <c r="R396" s="273">
        <v>314.336</v>
      </c>
      <c r="S396" s="273">
        <v>72.0</v>
      </c>
      <c r="T396" s="273">
        <v>392.92</v>
      </c>
      <c r="U396" s="274" t="s">
        <v>1477</v>
      </c>
      <c r="V396" s="284">
        <v>45310.40837962963</v>
      </c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</row>
    <row r="397">
      <c r="A397" s="276">
        <v>45310.0</v>
      </c>
      <c r="B397" s="252">
        <v>5268072.0</v>
      </c>
      <c r="C397" s="253" t="s">
        <v>82</v>
      </c>
      <c r="D397" s="253" t="s">
        <v>35</v>
      </c>
      <c r="E397" s="252">
        <v>4.166596215E9</v>
      </c>
      <c r="F397" s="253" t="s">
        <v>2053</v>
      </c>
      <c r="G397" s="276">
        <v>45317.0</v>
      </c>
      <c r="H397" s="277">
        <v>45319.0</v>
      </c>
      <c r="I397" s="278">
        <v>2.0</v>
      </c>
      <c r="J397" s="257" t="s">
        <v>91</v>
      </c>
      <c r="K397" s="253" t="s">
        <v>79</v>
      </c>
      <c r="L397" s="253" t="s">
        <v>1724</v>
      </c>
      <c r="M397" s="252">
        <v>5.0</v>
      </c>
      <c r="N397" s="258">
        <v>0.0</v>
      </c>
      <c r="O397" s="259">
        <v>341.2</v>
      </c>
      <c r="P397" s="259">
        <v>272.96</v>
      </c>
      <c r="Q397" s="257">
        <v>0.0</v>
      </c>
      <c r="R397" s="260">
        <v>545.92</v>
      </c>
      <c r="S397" s="260">
        <v>0.0</v>
      </c>
      <c r="T397" s="260">
        <v>682.4</v>
      </c>
      <c r="U397" s="261" t="s">
        <v>1725</v>
      </c>
      <c r="V397" s="279">
        <v>45310.52503472222</v>
      </c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</row>
    <row r="398">
      <c r="A398" s="280">
        <v>45310.0</v>
      </c>
      <c r="B398" s="264">
        <v>5267877.0</v>
      </c>
      <c r="C398" s="265" t="s">
        <v>82</v>
      </c>
      <c r="D398" s="265" t="s">
        <v>35</v>
      </c>
      <c r="E398" s="264">
        <v>4.075805515E9</v>
      </c>
      <c r="F398" s="265" t="s">
        <v>2055</v>
      </c>
      <c r="G398" s="280">
        <v>45388.0</v>
      </c>
      <c r="H398" s="281">
        <v>45389.0</v>
      </c>
      <c r="I398" s="282">
        <v>1.0</v>
      </c>
      <c r="J398" s="283" t="s">
        <v>78</v>
      </c>
      <c r="K398" s="265" t="s">
        <v>79</v>
      </c>
      <c r="L398" s="265" t="s">
        <v>1400</v>
      </c>
      <c r="M398" s="269">
        <v>3.0</v>
      </c>
      <c r="N398" s="270">
        <v>0.0</v>
      </c>
      <c r="O398" s="271">
        <v>156.8</v>
      </c>
      <c r="P398" s="271">
        <v>125.44000000000001</v>
      </c>
      <c r="Q398" s="272">
        <v>0.0</v>
      </c>
      <c r="R398" s="273">
        <v>125.44000000000001</v>
      </c>
      <c r="S398" s="273">
        <v>0.0</v>
      </c>
      <c r="T398" s="273">
        <v>156.8</v>
      </c>
      <c r="U398" s="274" t="s">
        <v>1401</v>
      </c>
      <c r="V398" s="286">
        <v>45310.47782407407</v>
      </c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</row>
    <row r="399">
      <c r="A399" s="210">
        <v>45310.0</v>
      </c>
      <c r="B399" s="166">
        <v>5268809.0</v>
      </c>
      <c r="C399" s="166" t="s">
        <v>75</v>
      </c>
      <c r="D399" s="166" t="s">
        <v>101</v>
      </c>
      <c r="E399" s="166">
        <v>1.58556389E8</v>
      </c>
      <c r="F399" s="166" t="s">
        <v>2056</v>
      </c>
      <c r="G399" s="210">
        <v>45394.0</v>
      </c>
      <c r="H399" s="287">
        <v>45399.0</v>
      </c>
      <c r="I399" s="168">
        <v>5.0</v>
      </c>
      <c r="J399" s="169" t="s">
        <v>78</v>
      </c>
      <c r="K399" s="166" t="s">
        <v>1425</v>
      </c>
      <c r="L399" s="166" t="s">
        <v>2057</v>
      </c>
      <c r="M399" s="166">
        <v>2.0</v>
      </c>
      <c r="N399" s="170">
        <v>0.0</v>
      </c>
      <c r="O399" s="171">
        <v>129.72</v>
      </c>
      <c r="P399" s="171">
        <v>103.77600000000001</v>
      </c>
      <c r="Q399" s="169" t="e">
        <v>#NUM!</v>
      </c>
      <c r="R399" s="173">
        <v>518.88</v>
      </c>
      <c r="S399" s="173" t="e">
        <v>#NUM!</v>
      </c>
      <c r="T399" s="173">
        <v>648.6</v>
      </c>
      <c r="U399" s="174" t="s">
        <v>2059</v>
      </c>
      <c r="V399" s="288">
        <v>45379.469548611116</v>
      </c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</row>
    <row r="400">
      <c r="A400" s="210">
        <v>45310.0</v>
      </c>
      <c r="B400" s="166">
        <v>5268091.0</v>
      </c>
      <c r="C400" s="166" t="s">
        <v>82</v>
      </c>
      <c r="D400" s="166" t="s">
        <v>35</v>
      </c>
      <c r="E400" s="166">
        <v>4.127152502E9</v>
      </c>
      <c r="F400" s="166" t="s">
        <v>2060</v>
      </c>
      <c r="G400" s="210">
        <v>45438.0</v>
      </c>
      <c r="H400" s="287">
        <v>45440.0</v>
      </c>
      <c r="I400" s="168">
        <v>2.0</v>
      </c>
      <c r="J400" s="169" t="s">
        <v>87</v>
      </c>
      <c r="K400" s="166" t="s">
        <v>138</v>
      </c>
      <c r="L400" s="166" t="s">
        <v>1450</v>
      </c>
      <c r="M400" s="166">
        <v>2.0</v>
      </c>
      <c r="N400" s="170">
        <v>0.0</v>
      </c>
      <c r="O400" s="171">
        <v>173.34</v>
      </c>
      <c r="P400" s="171">
        <v>138.672</v>
      </c>
      <c r="Q400" s="172">
        <v>36.0</v>
      </c>
      <c r="R400" s="173">
        <v>277.344</v>
      </c>
      <c r="S400" s="173">
        <v>72.0</v>
      </c>
      <c r="T400" s="173">
        <v>346.68</v>
      </c>
      <c r="U400" s="174" t="s">
        <v>1451</v>
      </c>
      <c r="V400" s="288">
        <v>45310.52922453704</v>
      </c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</row>
    <row r="401">
      <c r="A401" s="276">
        <v>45311.0</v>
      </c>
      <c r="B401" s="252">
        <v>5271320.0</v>
      </c>
      <c r="C401" s="253" t="s">
        <v>82</v>
      </c>
      <c r="D401" s="253" t="s">
        <v>94</v>
      </c>
      <c r="E401" s="252">
        <v>5271320.0</v>
      </c>
      <c r="F401" s="253" t="s">
        <v>2062</v>
      </c>
      <c r="G401" s="276">
        <v>45316.0</v>
      </c>
      <c r="H401" s="277">
        <v>45317.0</v>
      </c>
      <c r="I401" s="278">
        <v>1.0</v>
      </c>
      <c r="J401" s="257" t="s">
        <v>114</v>
      </c>
      <c r="K401" s="253" t="s">
        <v>79</v>
      </c>
      <c r="L401" s="253" t="s">
        <v>1462</v>
      </c>
      <c r="M401" s="252">
        <v>2.0</v>
      </c>
      <c r="N401" s="258">
        <v>0.0</v>
      </c>
      <c r="O401" s="259">
        <v>170.6</v>
      </c>
      <c r="P401" s="259">
        <v>168.894</v>
      </c>
      <c r="Q401" s="262">
        <v>0.0</v>
      </c>
      <c r="R401" s="260">
        <v>168.894</v>
      </c>
      <c r="S401" s="260">
        <v>0.0</v>
      </c>
      <c r="T401" s="260">
        <v>170.6</v>
      </c>
      <c r="U401" s="261" t="s">
        <v>1463</v>
      </c>
      <c r="V401" s="279">
        <v>45311.580659722225</v>
      </c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</row>
    <row r="402">
      <c r="A402" s="276">
        <v>45311.0</v>
      </c>
      <c r="B402" s="252">
        <v>5271835.0</v>
      </c>
      <c r="C402" s="253" t="s">
        <v>89</v>
      </c>
      <c r="D402" s="253" t="s">
        <v>35</v>
      </c>
      <c r="E402" s="252">
        <v>4.076811618E9</v>
      </c>
      <c r="F402" s="253" t="s">
        <v>2063</v>
      </c>
      <c r="G402" s="276">
        <v>45407.0</v>
      </c>
      <c r="H402" s="277">
        <v>45409.0</v>
      </c>
      <c r="I402" s="278">
        <v>2.0</v>
      </c>
      <c r="J402" s="257" t="s">
        <v>87</v>
      </c>
      <c r="K402" s="253" t="s">
        <v>79</v>
      </c>
      <c r="L402" s="253" t="s">
        <v>1396</v>
      </c>
      <c r="M402" s="252">
        <v>2.0</v>
      </c>
      <c r="N402" s="258">
        <v>0.0</v>
      </c>
      <c r="O402" s="259">
        <v>0.0</v>
      </c>
      <c r="P402" s="259">
        <v>0.0</v>
      </c>
      <c r="Q402" s="262">
        <v>0.0</v>
      </c>
      <c r="R402" s="260">
        <v>0.0</v>
      </c>
      <c r="S402" s="260">
        <v>0.0</v>
      </c>
      <c r="T402" s="260">
        <v>0.0</v>
      </c>
      <c r="U402" s="261" t="s">
        <v>2064</v>
      </c>
      <c r="V402" s="279">
        <v>45311.71116898148</v>
      </c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</row>
    <row r="403">
      <c r="A403" s="276">
        <v>45312.0</v>
      </c>
      <c r="B403" s="252">
        <v>5273560.0</v>
      </c>
      <c r="C403" s="253" t="s">
        <v>82</v>
      </c>
      <c r="D403" s="253" t="s">
        <v>35</v>
      </c>
      <c r="E403" s="252">
        <v>4.099092257E9</v>
      </c>
      <c r="F403" s="253" t="s">
        <v>2065</v>
      </c>
      <c r="G403" s="276">
        <v>45319.0</v>
      </c>
      <c r="H403" s="277">
        <v>45323.0</v>
      </c>
      <c r="I403" s="278">
        <v>4.0</v>
      </c>
      <c r="J403" s="257" t="s">
        <v>78</v>
      </c>
      <c r="K403" s="253" t="s">
        <v>79</v>
      </c>
      <c r="L403" s="253" t="s">
        <v>1396</v>
      </c>
      <c r="M403" s="252">
        <v>2.0</v>
      </c>
      <c r="N403" s="258">
        <v>0.0</v>
      </c>
      <c r="O403" s="259">
        <v>118.21</v>
      </c>
      <c r="P403" s="259">
        <v>94.568</v>
      </c>
      <c r="Q403" s="262">
        <v>0.0</v>
      </c>
      <c r="R403" s="260">
        <v>378.272</v>
      </c>
      <c r="S403" s="260">
        <v>0.0</v>
      </c>
      <c r="T403" s="260">
        <v>472.84</v>
      </c>
      <c r="U403" s="261" t="s">
        <v>1398</v>
      </c>
      <c r="V403" s="279">
        <v>45312.413252314815</v>
      </c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</row>
    <row r="404">
      <c r="A404" s="280">
        <v>45312.0</v>
      </c>
      <c r="B404" s="264">
        <v>5274435.0</v>
      </c>
      <c r="C404" s="265" t="s">
        <v>82</v>
      </c>
      <c r="D404" s="265" t="s">
        <v>35</v>
      </c>
      <c r="E404" s="264">
        <v>4.156828237E9</v>
      </c>
      <c r="F404" s="265" t="s">
        <v>1824</v>
      </c>
      <c r="G404" s="280">
        <v>45365.0</v>
      </c>
      <c r="H404" s="281">
        <v>45366.0</v>
      </c>
      <c r="I404" s="282">
        <v>1.0</v>
      </c>
      <c r="J404" s="283" t="s">
        <v>78</v>
      </c>
      <c r="K404" s="265" t="s">
        <v>79</v>
      </c>
      <c r="L404" s="265" t="s">
        <v>1724</v>
      </c>
      <c r="M404" s="264">
        <v>2.0</v>
      </c>
      <c r="N404" s="270">
        <v>0.0</v>
      </c>
      <c r="O404" s="271">
        <v>194.0</v>
      </c>
      <c r="P404" s="271">
        <v>155.20000000000002</v>
      </c>
      <c r="Q404" s="272">
        <v>0.0</v>
      </c>
      <c r="R404" s="273">
        <v>155.20000000000002</v>
      </c>
      <c r="S404" s="273">
        <v>0.0</v>
      </c>
      <c r="T404" s="273">
        <v>194.0</v>
      </c>
      <c r="U404" s="274" t="s">
        <v>1725</v>
      </c>
      <c r="V404" s="286">
        <v>45312.62228009259</v>
      </c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</row>
    <row r="405">
      <c r="A405" s="210">
        <v>45312.0</v>
      </c>
      <c r="B405" s="166">
        <v>5274281.0</v>
      </c>
      <c r="C405" s="166" t="s">
        <v>82</v>
      </c>
      <c r="D405" s="166" t="s">
        <v>101</v>
      </c>
      <c r="E405" s="166">
        <v>1.5957979E8</v>
      </c>
      <c r="F405" s="166" t="s">
        <v>2066</v>
      </c>
      <c r="G405" s="210">
        <v>45390.0</v>
      </c>
      <c r="H405" s="287">
        <v>45393.0</v>
      </c>
      <c r="I405" s="168">
        <v>3.0</v>
      </c>
      <c r="J405" s="169" t="s">
        <v>78</v>
      </c>
      <c r="K405" s="166" t="s">
        <v>79</v>
      </c>
      <c r="L405" s="166" t="s">
        <v>1436</v>
      </c>
      <c r="M405" s="205">
        <v>2.0</v>
      </c>
      <c r="N405" s="170">
        <v>0.0</v>
      </c>
      <c r="O405" s="171">
        <v>116.75</v>
      </c>
      <c r="P405" s="171">
        <v>93.4</v>
      </c>
      <c r="Q405" s="172">
        <v>0.0</v>
      </c>
      <c r="R405" s="173">
        <v>280.2</v>
      </c>
      <c r="S405" s="173">
        <v>0.0</v>
      </c>
      <c r="T405" s="173">
        <v>350.25</v>
      </c>
      <c r="U405" s="174" t="s">
        <v>1437</v>
      </c>
      <c r="V405" s="288">
        <v>45312.58893518518</v>
      </c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</row>
    <row r="406">
      <c r="A406" s="210">
        <v>45312.0</v>
      </c>
      <c r="B406" s="166">
        <v>5274280.0</v>
      </c>
      <c r="C406" s="166" t="s">
        <v>82</v>
      </c>
      <c r="D406" s="166" t="s">
        <v>101</v>
      </c>
      <c r="E406" s="166">
        <v>1.59579789E8</v>
      </c>
      <c r="F406" s="166" t="s">
        <v>2068</v>
      </c>
      <c r="G406" s="210">
        <v>45390.0</v>
      </c>
      <c r="H406" s="287">
        <v>45393.0</v>
      </c>
      <c r="I406" s="168">
        <v>3.0</v>
      </c>
      <c r="J406" s="169" t="s">
        <v>78</v>
      </c>
      <c r="K406" s="166" t="s">
        <v>79</v>
      </c>
      <c r="L406" s="166" t="s">
        <v>1436</v>
      </c>
      <c r="M406" s="205">
        <v>2.0</v>
      </c>
      <c r="N406" s="170">
        <v>0.0</v>
      </c>
      <c r="O406" s="171">
        <v>116.75</v>
      </c>
      <c r="P406" s="171">
        <v>93.4</v>
      </c>
      <c r="Q406" s="172">
        <v>0.0</v>
      </c>
      <c r="R406" s="173">
        <v>280.2</v>
      </c>
      <c r="S406" s="173">
        <v>0.0</v>
      </c>
      <c r="T406" s="173">
        <v>350.25</v>
      </c>
      <c r="U406" s="174" t="s">
        <v>1437</v>
      </c>
      <c r="V406" s="288">
        <v>45312.58893518518</v>
      </c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</row>
    <row r="407">
      <c r="A407" s="280">
        <v>45312.0</v>
      </c>
      <c r="B407" s="264">
        <v>5274035.0</v>
      </c>
      <c r="C407" s="265" t="s">
        <v>75</v>
      </c>
      <c r="D407" s="265" t="s">
        <v>35</v>
      </c>
      <c r="E407" s="264">
        <v>4.179533795E9</v>
      </c>
      <c r="F407" s="265" t="s">
        <v>2070</v>
      </c>
      <c r="G407" s="280">
        <v>45423.0</v>
      </c>
      <c r="H407" s="281">
        <v>45430.0</v>
      </c>
      <c r="I407" s="282">
        <v>7.0</v>
      </c>
      <c r="J407" s="283" t="s">
        <v>78</v>
      </c>
      <c r="K407" s="265" t="s">
        <v>79</v>
      </c>
      <c r="L407" s="265" t="s">
        <v>1567</v>
      </c>
      <c r="M407" s="264">
        <v>2.0</v>
      </c>
      <c r="N407" s="270">
        <v>0.0</v>
      </c>
      <c r="O407" s="271">
        <v>141.32</v>
      </c>
      <c r="P407" s="271">
        <v>113.056</v>
      </c>
      <c r="Q407" s="272">
        <v>0.0</v>
      </c>
      <c r="R407" s="273">
        <v>791.392</v>
      </c>
      <c r="S407" s="273">
        <v>0.0</v>
      </c>
      <c r="T407" s="273">
        <v>989.24</v>
      </c>
      <c r="U407" s="274" t="s">
        <v>1568</v>
      </c>
      <c r="V407" s="284">
        <v>45343.80422453704</v>
      </c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</row>
    <row r="408">
      <c r="A408" s="276">
        <v>45312.0</v>
      </c>
      <c r="B408" s="252">
        <v>5273191.0</v>
      </c>
      <c r="C408" s="253" t="s">
        <v>82</v>
      </c>
      <c r="D408" s="253" t="s">
        <v>35</v>
      </c>
      <c r="E408" s="252">
        <v>4.114965136E9</v>
      </c>
      <c r="F408" s="253" t="s">
        <v>2072</v>
      </c>
      <c r="G408" s="276">
        <v>45462.0</v>
      </c>
      <c r="H408" s="277">
        <v>45465.0</v>
      </c>
      <c r="I408" s="278">
        <v>3.0</v>
      </c>
      <c r="J408" s="257" t="s">
        <v>87</v>
      </c>
      <c r="K408" s="253" t="s">
        <v>79</v>
      </c>
      <c r="L408" s="253" t="s">
        <v>1411</v>
      </c>
      <c r="M408" s="252">
        <v>2.0</v>
      </c>
      <c r="N408" s="258">
        <v>0.0</v>
      </c>
      <c r="O408" s="259">
        <v>133.31</v>
      </c>
      <c r="P408" s="259">
        <v>106.64800000000001</v>
      </c>
      <c r="Q408" s="262">
        <v>0.0</v>
      </c>
      <c r="R408" s="260">
        <v>319.944</v>
      </c>
      <c r="S408" s="260">
        <v>0.0</v>
      </c>
      <c r="T408" s="260">
        <v>399.93</v>
      </c>
      <c r="U408" s="261" t="s">
        <v>1412</v>
      </c>
      <c r="V408" s="279">
        <v>45312.194490740745</v>
      </c>
      <c r="W408" s="188"/>
      <c r="X408" s="188"/>
      <c r="Y408" s="188"/>
      <c r="Z408" s="188"/>
      <c r="AA408" s="188"/>
      <c r="AB408" s="188"/>
      <c r="AC408" s="188"/>
      <c r="AD408" s="188"/>
      <c r="AE408" s="188"/>
      <c r="AF408" s="188"/>
      <c r="AG408" s="188"/>
      <c r="AH408" s="188"/>
      <c r="AI408" s="188"/>
    </row>
    <row r="409">
      <c r="A409" s="210">
        <v>45312.0</v>
      </c>
      <c r="B409" s="166">
        <v>5275336.0</v>
      </c>
      <c r="C409" s="166" t="s">
        <v>82</v>
      </c>
      <c r="D409" s="166" t="s">
        <v>35</v>
      </c>
      <c r="E409" s="166">
        <v>4.077489575E9</v>
      </c>
      <c r="F409" s="166" t="s">
        <v>2073</v>
      </c>
      <c r="G409" s="212">
        <v>45582.0</v>
      </c>
      <c r="H409" s="310">
        <v>45584.0</v>
      </c>
      <c r="I409" s="168">
        <v>2.0</v>
      </c>
      <c r="J409" s="169" t="s">
        <v>78</v>
      </c>
      <c r="K409" s="166" t="s">
        <v>79</v>
      </c>
      <c r="L409" s="166" t="s">
        <v>1411</v>
      </c>
      <c r="M409" s="166">
        <v>2.0</v>
      </c>
      <c r="N409" s="170">
        <v>0.0</v>
      </c>
      <c r="O409" s="171">
        <v>167.99</v>
      </c>
      <c r="P409" s="171">
        <v>134.39200000000002</v>
      </c>
      <c r="Q409" s="172">
        <v>0.0</v>
      </c>
      <c r="R409" s="173">
        <v>268.78400000000005</v>
      </c>
      <c r="S409" s="173">
        <v>0.0</v>
      </c>
      <c r="T409" s="173">
        <v>1007.94</v>
      </c>
      <c r="U409" s="201" t="s">
        <v>1412</v>
      </c>
      <c r="V409" s="288">
        <v>45312.80978009259</v>
      </c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</row>
    <row r="410">
      <c r="A410" s="280">
        <v>45312.0</v>
      </c>
      <c r="B410" s="264">
        <v>5275336.0</v>
      </c>
      <c r="C410" s="265" t="s">
        <v>82</v>
      </c>
      <c r="D410" s="265" t="s">
        <v>35</v>
      </c>
      <c r="E410" s="264">
        <v>4.077489575E9</v>
      </c>
      <c r="F410" s="265" t="s">
        <v>2073</v>
      </c>
      <c r="G410" s="305">
        <v>45582.0</v>
      </c>
      <c r="H410" s="313">
        <v>45584.0</v>
      </c>
      <c r="I410" s="282">
        <v>2.0</v>
      </c>
      <c r="J410" s="283" t="s">
        <v>78</v>
      </c>
      <c r="K410" s="265" t="s">
        <v>79</v>
      </c>
      <c r="L410" s="265" t="s">
        <v>1411</v>
      </c>
      <c r="M410" s="269">
        <v>2.0</v>
      </c>
      <c r="N410" s="270">
        <v>0.0</v>
      </c>
      <c r="O410" s="271">
        <v>167.99</v>
      </c>
      <c r="P410" s="271">
        <v>134.39200000000002</v>
      </c>
      <c r="Q410" s="272">
        <v>0.0</v>
      </c>
      <c r="R410" s="273">
        <v>268.78400000000005</v>
      </c>
      <c r="S410" s="273">
        <v>0.0</v>
      </c>
      <c r="T410" s="273">
        <v>1007.94</v>
      </c>
      <c r="U410" s="274" t="s">
        <v>1412</v>
      </c>
      <c r="V410" s="284">
        <v>45312.80978009259</v>
      </c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</row>
    <row r="411">
      <c r="A411" s="276">
        <v>45312.0</v>
      </c>
      <c r="B411" s="252">
        <v>5275336.0</v>
      </c>
      <c r="C411" s="253" t="s">
        <v>82</v>
      </c>
      <c r="D411" s="253" t="s">
        <v>35</v>
      </c>
      <c r="E411" s="252">
        <v>4.077489575E9</v>
      </c>
      <c r="F411" s="253" t="s">
        <v>2073</v>
      </c>
      <c r="G411" s="304">
        <v>45582.0</v>
      </c>
      <c r="H411" s="311">
        <v>45584.0</v>
      </c>
      <c r="I411" s="278">
        <v>2.0</v>
      </c>
      <c r="J411" s="257" t="s">
        <v>78</v>
      </c>
      <c r="K411" s="253" t="s">
        <v>79</v>
      </c>
      <c r="L411" s="253" t="s">
        <v>1411</v>
      </c>
      <c r="M411" s="252">
        <v>2.0</v>
      </c>
      <c r="N411" s="258">
        <v>0.0</v>
      </c>
      <c r="O411" s="259">
        <v>167.99</v>
      </c>
      <c r="P411" s="259">
        <v>134.39200000000002</v>
      </c>
      <c r="Q411" s="262">
        <v>0.0</v>
      </c>
      <c r="R411" s="260">
        <v>268.78400000000005</v>
      </c>
      <c r="S411" s="260">
        <v>0.0</v>
      </c>
      <c r="T411" s="260">
        <v>1007.94</v>
      </c>
      <c r="U411" s="261" t="s">
        <v>1412</v>
      </c>
      <c r="V411" s="279">
        <v>45312.80978009259</v>
      </c>
      <c r="W411" s="188"/>
      <c r="X411" s="188"/>
      <c r="Y411" s="188"/>
      <c r="Z411" s="188"/>
      <c r="AA411" s="188"/>
      <c r="AB411" s="188"/>
      <c r="AC411" s="188"/>
      <c r="AD411" s="188"/>
      <c r="AE411" s="188"/>
      <c r="AF411" s="188"/>
      <c r="AG411" s="188"/>
      <c r="AH411" s="188"/>
      <c r="AI411" s="188"/>
    </row>
    <row r="412">
      <c r="A412" s="276">
        <v>45312.0</v>
      </c>
      <c r="B412" s="252">
        <v>5275843.0</v>
      </c>
      <c r="C412" s="253" t="s">
        <v>82</v>
      </c>
      <c r="D412" s="253" t="s">
        <v>35</v>
      </c>
      <c r="E412" s="252">
        <v>4.168076211E9</v>
      </c>
      <c r="F412" s="253" t="s">
        <v>2075</v>
      </c>
      <c r="G412" s="304">
        <v>45593.0</v>
      </c>
      <c r="H412" s="311">
        <v>45595.0</v>
      </c>
      <c r="I412" s="278">
        <v>2.0</v>
      </c>
      <c r="J412" s="257" t="s">
        <v>78</v>
      </c>
      <c r="K412" s="253" t="s">
        <v>79</v>
      </c>
      <c r="L412" s="253" t="s">
        <v>1443</v>
      </c>
      <c r="M412" s="275">
        <v>3.0</v>
      </c>
      <c r="N412" s="258">
        <v>0.0</v>
      </c>
      <c r="O412" s="259">
        <v>140.82</v>
      </c>
      <c r="P412" s="259">
        <v>112.656</v>
      </c>
      <c r="Q412" s="262">
        <v>0.0</v>
      </c>
      <c r="R412" s="260">
        <v>225.312</v>
      </c>
      <c r="S412" s="260">
        <v>0.0</v>
      </c>
      <c r="T412" s="260">
        <v>563.28</v>
      </c>
      <c r="U412" s="253" t="s">
        <v>1444</v>
      </c>
      <c r="V412" s="279">
        <v>45312.91947916667</v>
      </c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</row>
    <row r="413">
      <c r="A413" s="280">
        <v>45312.0</v>
      </c>
      <c r="B413" s="264">
        <v>5275843.0</v>
      </c>
      <c r="C413" s="265" t="s">
        <v>82</v>
      </c>
      <c r="D413" s="265" t="s">
        <v>35</v>
      </c>
      <c r="E413" s="264">
        <v>4.168076211E9</v>
      </c>
      <c r="F413" s="265" t="s">
        <v>2075</v>
      </c>
      <c r="G413" s="305">
        <v>45593.0</v>
      </c>
      <c r="H413" s="313">
        <v>45595.0</v>
      </c>
      <c r="I413" s="282">
        <v>2.0</v>
      </c>
      <c r="J413" s="283" t="s">
        <v>78</v>
      </c>
      <c r="K413" s="265" t="s">
        <v>79</v>
      </c>
      <c r="L413" s="265" t="s">
        <v>1443</v>
      </c>
      <c r="M413" s="264">
        <v>1.0</v>
      </c>
      <c r="N413" s="270">
        <v>0.0</v>
      </c>
      <c r="O413" s="271">
        <v>140.82</v>
      </c>
      <c r="P413" s="271">
        <v>112.656</v>
      </c>
      <c r="Q413" s="283">
        <v>0.0</v>
      </c>
      <c r="R413" s="273">
        <v>225.312</v>
      </c>
      <c r="S413" s="273">
        <v>0.0</v>
      </c>
      <c r="T413" s="273">
        <v>563.28</v>
      </c>
      <c r="U413" s="274" t="s">
        <v>1444</v>
      </c>
      <c r="V413" s="286">
        <v>45312.91947916667</v>
      </c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</row>
    <row r="414">
      <c r="A414" s="276">
        <v>45313.0</v>
      </c>
      <c r="B414" s="252">
        <v>5279246.0</v>
      </c>
      <c r="C414" s="253" t="s">
        <v>82</v>
      </c>
      <c r="D414" s="253" t="s">
        <v>35</v>
      </c>
      <c r="E414" s="252">
        <v>4.025273199E9</v>
      </c>
      <c r="F414" s="253" t="s">
        <v>2077</v>
      </c>
      <c r="G414" s="276">
        <v>45313.0</v>
      </c>
      <c r="H414" s="277">
        <v>45316.0</v>
      </c>
      <c r="I414" s="278">
        <v>3.0</v>
      </c>
      <c r="J414" s="257" t="s">
        <v>78</v>
      </c>
      <c r="K414" s="253" t="s">
        <v>79</v>
      </c>
      <c r="L414" s="253" t="s">
        <v>1454</v>
      </c>
      <c r="M414" s="252">
        <v>2.0</v>
      </c>
      <c r="N414" s="258">
        <v>0.0</v>
      </c>
      <c r="O414" s="259">
        <v>145.25</v>
      </c>
      <c r="P414" s="259">
        <v>116.2</v>
      </c>
      <c r="Q414" s="262">
        <v>0.0</v>
      </c>
      <c r="R414" s="260">
        <v>348.6</v>
      </c>
      <c r="S414" s="260">
        <v>0.0</v>
      </c>
      <c r="T414" s="260">
        <v>435.75</v>
      </c>
      <c r="U414" s="261" t="s">
        <v>1455</v>
      </c>
      <c r="V414" s="279">
        <v>45313.98546296296</v>
      </c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</row>
    <row r="415">
      <c r="A415" s="210">
        <v>45313.0</v>
      </c>
      <c r="B415" s="166">
        <v>5276875.0</v>
      </c>
      <c r="C415" s="166" t="s">
        <v>89</v>
      </c>
      <c r="D415" s="166" t="s">
        <v>35</v>
      </c>
      <c r="E415" s="166">
        <v>4.080054401E9</v>
      </c>
      <c r="F415" s="166" t="s">
        <v>2078</v>
      </c>
      <c r="G415" s="210">
        <v>45391.0</v>
      </c>
      <c r="H415" s="287">
        <v>45392.0</v>
      </c>
      <c r="I415" s="168">
        <v>1.0</v>
      </c>
      <c r="J415" s="169" t="s">
        <v>91</v>
      </c>
      <c r="K415" s="166" t="s">
        <v>79</v>
      </c>
      <c r="L415" s="166" t="s">
        <v>2079</v>
      </c>
      <c r="M415" s="166">
        <v>4.0</v>
      </c>
      <c r="N415" s="170">
        <v>0.0</v>
      </c>
      <c r="O415" s="171">
        <v>0.0</v>
      </c>
      <c r="P415" s="171">
        <v>0.0</v>
      </c>
      <c r="Q415" s="172">
        <v>0.0</v>
      </c>
      <c r="R415" s="173">
        <v>0.0</v>
      </c>
      <c r="S415" s="173">
        <v>0.0</v>
      </c>
      <c r="T415" s="173">
        <v>0.0</v>
      </c>
      <c r="U415" s="174" t="s">
        <v>2080</v>
      </c>
      <c r="V415" s="288">
        <v>45313.438946759255</v>
      </c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</row>
    <row r="416">
      <c r="A416" s="276">
        <v>45313.0</v>
      </c>
      <c r="B416" s="252">
        <v>5277778.0</v>
      </c>
      <c r="C416" s="253" t="s">
        <v>82</v>
      </c>
      <c r="D416" s="253" t="s">
        <v>421</v>
      </c>
      <c r="E416" s="252">
        <v>1.60224483E8</v>
      </c>
      <c r="F416" s="253" t="s">
        <v>2082</v>
      </c>
      <c r="G416" s="276">
        <v>45395.0</v>
      </c>
      <c r="H416" s="277">
        <v>45400.0</v>
      </c>
      <c r="I416" s="278">
        <v>5.0</v>
      </c>
      <c r="J416" s="257" t="s">
        <v>111</v>
      </c>
      <c r="K416" s="253" t="s">
        <v>1425</v>
      </c>
      <c r="L416" s="253" t="s">
        <v>2083</v>
      </c>
      <c r="M416" s="252">
        <v>1.0</v>
      </c>
      <c r="N416" s="258">
        <v>0.0</v>
      </c>
      <c r="O416" s="259">
        <v>256.0</v>
      </c>
      <c r="P416" s="259">
        <v>204.8</v>
      </c>
      <c r="Q416" s="257" t="e">
        <v>#NUM!</v>
      </c>
      <c r="R416" s="260">
        <v>1024.0</v>
      </c>
      <c r="S416" s="260" t="e">
        <v>#NUM!</v>
      </c>
      <c r="T416" s="260">
        <v>1280.0</v>
      </c>
      <c r="U416" s="261" t="s">
        <v>2084</v>
      </c>
      <c r="V416" s="279">
        <v>45313.64172453704</v>
      </c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</row>
    <row r="417">
      <c r="A417" s="276">
        <v>45314.0</v>
      </c>
      <c r="B417" s="252">
        <v>5280754.0</v>
      </c>
      <c r="C417" s="253" t="s">
        <v>75</v>
      </c>
      <c r="D417" s="253" t="s">
        <v>35</v>
      </c>
      <c r="E417" s="252">
        <v>4.254711959E9</v>
      </c>
      <c r="F417" s="253" t="s">
        <v>1552</v>
      </c>
      <c r="G417" s="276">
        <v>45324.0</v>
      </c>
      <c r="H417" s="277">
        <v>45325.0</v>
      </c>
      <c r="I417" s="278">
        <v>1.0</v>
      </c>
      <c r="J417" s="257" t="s">
        <v>114</v>
      </c>
      <c r="K417" s="253" t="s">
        <v>79</v>
      </c>
      <c r="L417" s="253" t="s">
        <v>1396</v>
      </c>
      <c r="M417" s="252">
        <v>2.0</v>
      </c>
      <c r="N417" s="258">
        <v>0.0</v>
      </c>
      <c r="O417" s="259">
        <v>187.7</v>
      </c>
      <c r="P417" s="259">
        <v>150.16</v>
      </c>
      <c r="Q417" s="262">
        <v>0.0</v>
      </c>
      <c r="R417" s="260">
        <v>150.16</v>
      </c>
      <c r="S417" s="260">
        <v>0.0</v>
      </c>
      <c r="T417" s="260">
        <v>187.7</v>
      </c>
      <c r="U417" s="261" t="s">
        <v>1398</v>
      </c>
      <c r="V417" s="279">
        <v>45317.51045138889</v>
      </c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</row>
    <row r="418">
      <c r="A418" s="276">
        <v>45314.0</v>
      </c>
      <c r="B418" s="252">
        <v>5282094.0</v>
      </c>
      <c r="C418" s="253" t="s">
        <v>82</v>
      </c>
      <c r="D418" s="253" t="s">
        <v>35</v>
      </c>
      <c r="E418" s="252">
        <v>4.111237584E9</v>
      </c>
      <c r="F418" s="253" t="s">
        <v>2086</v>
      </c>
      <c r="G418" s="276">
        <v>45326.0</v>
      </c>
      <c r="H418" s="277">
        <v>45328.0</v>
      </c>
      <c r="I418" s="278">
        <v>2.0</v>
      </c>
      <c r="J418" s="257" t="s">
        <v>87</v>
      </c>
      <c r="K418" s="253" t="s">
        <v>79</v>
      </c>
      <c r="L418" s="253" t="s">
        <v>1396</v>
      </c>
      <c r="M418" s="252">
        <v>2.0</v>
      </c>
      <c r="N418" s="258">
        <v>0.0</v>
      </c>
      <c r="O418" s="259">
        <v>148.02</v>
      </c>
      <c r="P418" s="259">
        <v>118.41600000000001</v>
      </c>
      <c r="Q418" s="262">
        <v>0.0</v>
      </c>
      <c r="R418" s="260">
        <v>236.83200000000002</v>
      </c>
      <c r="S418" s="260">
        <v>0.0</v>
      </c>
      <c r="T418" s="260">
        <v>296.04</v>
      </c>
      <c r="U418" s="261" t="s">
        <v>1398</v>
      </c>
      <c r="V418" s="279">
        <v>45314.88061342592</v>
      </c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</row>
    <row r="419">
      <c r="A419" s="276">
        <v>45315.0</v>
      </c>
      <c r="B419" s="252">
        <v>5284296.0</v>
      </c>
      <c r="C419" s="253" t="s">
        <v>82</v>
      </c>
      <c r="D419" s="253" t="s">
        <v>35</v>
      </c>
      <c r="E419" s="252">
        <v>4.262443167E9</v>
      </c>
      <c r="F419" s="253" t="s">
        <v>2087</v>
      </c>
      <c r="G419" s="276">
        <v>45345.0</v>
      </c>
      <c r="H419" s="277">
        <v>45348.0</v>
      </c>
      <c r="I419" s="278">
        <v>3.0</v>
      </c>
      <c r="J419" s="257" t="s">
        <v>78</v>
      </c>
      <c r="K419" s="253" t="s">
        <v>79</v>
      </c>
      <c r="L419" s="253" t="s">
        <v>1396</v>
      </c>
      <c r="M419" s="252">
        <v>2.0</v>
      </c>
      <c r="N419" s="258">
        <v>0.0</v>
      </c>
      <c r="O419" s="259">
        <v>167.29999999999998</v>
      </c>
      <c r="P419" s="259">
        <v>133.84</v>
      </c>
      <c r="Q419" s="262">
        <v>0.0</v>
      </c>
      <c r="R419" s="260">
        <v>401.52</v>
      </c>
      <c r="S419" s="260">
        <v>0.0</v>
      </c>
      <c r="T419" s="260">
        <v>501.9</v>
      </c>
      <c r="U419" s="261" t="s">
        <v>1398</v>
      </c>
      <c r="V419" s="279">
        <v>45315.63962962963</v>
      </c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</row>
    <row r="420">
      <c r="A420" s="276">
        <v>45315.0</v>
      </c>
      <c r="B420" s="252">
        <v>5285228.0</v>
      </c>
      <c r="C420" s="253" t="s">
        <v>82</v>
      </c>
      <c r="D420" s="253" t="s">
        <v>94</v>
      </c>
      <c r="E420" s="252">
        <v>5285228.0</v>
      </c>
      <c r="F420" s="253" t="s">
        <v>2088</v>
      </c>
      <c r="G420" s="276">
        <v>45568.0</v>
      </c>
      <c r="H420" s="277">
        <v>45571.0</v>
      </c>
      <c r="I420" s="278">
        <v>3.0</v>
      </c>
      <c r="J420" s="257" t="s">
        <v>114</v>
      </c>
      <c r="K420" s="253" t="s">
        <v>79</v>
      </c>
      <c r="L420" s="253" t="s">
        <v>2089</v>
      </c>
      <c r="M420" s="252">
        <v>2.0</v>
      </c>
      <c r="N420" s="258">
        <v>0.0</v>
      </c>
      <c r="O420" s="259">
        <v>161.0</v>
      </c>
      <c r="P420" s="259">
        <v>159.39</v>
      </c>
      <c r="Q420" s="262">
        <v>0.0</v>
      </c>
      <c r="R420" s="260">
        <v>478.17</v>
      </c>
      <c r="S420" s="260">
        <v>0.0</v>
      </c>
      <c r="T420" s="260">
        <v>958.5</v>
      </c>
      <c r="U420" s="261" t="s">
        <v>2090</v>
      </c>
      <c r="V420" s="279">
        <v>45315.8569675926</v>
      </c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</row>
    <row r="421">
      <c r="A421" s="210">
        <v>45315.0</v>
      </c>
      <c r="B421" s="166">
        <v>5285228.0</v>
      </c>
      <c r="C421" s="166" t="s">
        <v>82</v>
      </c>
      <c r="D421" s="166" t="s">
        <v>94</v>
      </c>
      <c r="E421" s="166">
        <v>5285228.0</v>
      </c>
      <c r="F421" s="166" t="s">
        <v>2088</v>
      </c>
      <c r="G421" s="210">
        <v>45568.0</v>
      </c>
      <c r="H421" s="287">
        <v>45571.0</v>
      </c>
      <c r="I421" s="168">
        <v>3.0</v>
      </c>
      <c r="J421" s="169" t="s">
        <v>114</v>
      </c>
      <c r="K421" s="166" t="s">
        <v>79</v>
      </c>
      <c r="L421" s="166" t="s">
        <v>2089</v>
      </c>
      <c r="M421" s="166">
        <v>1.0</v>
      </c>
      <c r="N421" s="170">
        <v>0.0</v>
      </c>
      <c r="O421" s="171">
        <v>158.5</v>
      </c>
      <c r="P421" s="171">
        <v>156.915</v>
      </c>
      <c r="Q421" s="172">
        <v>0.0</v>
      </c>
      <c r="R421" s="173">
        <v>470.745</v>
      </c>
      <c r="S421" s="173">
        <v>0.0</v>
      </c>
      <c r="T421" s="173">
        <v>958.5</v>
      </c>
      <c r="U421" s="201" t="s">
        <v>2090</v>
      </c>
      <c r="V421" s="288">
        <v>45315.8569675926</v>
      </c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</row>
    <row r="422">
      <c r="A422" s="276">
        <v>45316.0</v>
      </c>
      <c r="B422" s="252">
        <v>5286746.0</v>
      </c>
      <c r="C422" s="253" t="s">
        <v>82</v>
      </c>
      <c r="D422" s="253" t="s">
        <v>35</v>
      </c>
      <c r="E422" s="252">
        <v>4.008122216E9</v>
      </c>
      <c r="F422" s="253" t="s">
        <v>2091</v>
      </c>
      <c r="G422" s="276">
        <v>45339.0</v>
      </c>
      <c r="H422" s="277">
        <v>45341.0</v>
      </c>
      <c r="I422" s="278">
        <v>2.0</v>
      </c>
      <c r="J422" s="257" t="s">
        <v>87</v>
      </c>
      <c r="K422" s="253" t="s">
        <v>79</v>
      </c>
      <c r="L422" s="253" t="s">
        <v>1396</v>
      </c>
      <c r="M422" s="252">
        <v>2.0</v>
      </c>
      <c r="N422" s="258">
        <v>0.0</v>
      </c>
      <c r="O422" s="259">
        <v>139.25</v>
      </c>
      <c r="P422" s="259">
        <v>111.4</v>
      </c>
      <c r="Q422" s="262">
        <v>0.0</v>
      </c>
      <c r="R422" s="260">
        <v>222.8</v>
      </c>
      <c r="S422" s="260">
        <v>0.0</v>
      </c>
      <c r="T422" s="260">
        <v>278.5</v>
      </c>
      <c r="U422" s="261" t="s">
        <v>1398</v>
      </c>
      <c r="V422" s="279">
        <v>45316.45978009259</v>
      </c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</row>
    <row r="423">
      <c r="A423" s="276">
        <v>45317.0</v>
      </c>
      <c r="B423" s="252">
        <v>5291581.0</v>
      </c>
      <c r="C423" s="253" t="s">
        <v>82</v>
      </c>
      <c r="D423" s="253" t="s">
        <v>35</v>
      </c>
      <c r="E423" s="252">
        <v>4.288656286E9</v>
      </c>
      <c r="F423" s="253" t="s">
        <v>2092</v>
      </c>
      <c r="G423" s="276">
        <v>45328.0</v>
      </c>
      <c r="H423" s="277">
        <v>45330.0</v>
      </c>
      <c r="I423" s="278">
        <v>2.0</v>
      </c>
      <c r="J423" s="257" t="s">
        <v>78</v>
      </c>
      <c r="K423" s="253" t="s">
        <v>79</v>
      </c>
      <c r="L423" s="253" t="s">
        <v>1396</v>
      </c>
      <c r="M423" s="252">
        <v>2.0</v>
      </c>
      <c r="N423" s="258">
        <v>0.0</v>
      </c>
      <c r="O423" s="259">
        <v>177.82</v>
      </c>
      <c r="P423" s="259">
        <v>142.256</v>
      </c>
      <c r="Q423" s="262">
        <v>0.0</v>
      </c>
      <c r="R423" s="260">
        <v>284.512</v>
      </c>
      <c r="S423" s="260">
        <v>0.0</v>
      </c>
      <c r="T423" s="260">
        <v>355.64</v>
      </c>
      <c r="U423" s="261" t="s">
        <v>1398</v>
      </c>
      <c r="V423" s="279">
        <v>45317.86814814815</v>
      </c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</row>
    <row r="424">
      <c r="A424" s="276">
        <v>45317.0</v>
      </c>
      <c r="B424" s="252">
        <v>5290307.0</v>
      </c>
      <c r="C424" s="253" t="s">
        <v>82</v>
      </c>
      <c r="D424" s="253" t="s">
        <v>35</v>
      </c>
      <c r="E424" s="252">
        <v>4.068656628E9</v>
      </c>
      <c r="F424" s="253" t="s">
        <v>2093</v>
      </c>
      <c r="G424" s="276">
        <v>45358.0</v>
      </c>
      <c r="H424" s="277">
        <v>45362.0</v>
      </c>
      <c r="I424" s="278">
        <v>4.0</v>
      </c>
      <c r="J424" s="257" t="s">
        <v>78</v>
      </c>
      <c r="K424" s="253" t="s">
        <v>79</v>
      </c>
      <c r="L424" s="253" t="s">
        <v>1396</v>
      </c>
      <c r="M424" s="275">
        <v>2.0</v>
      </c>
      <c r="N424" s="258">
        <v>0.0</v>
      </c>
      <c r="O424" s="259">
        <v>161.56</v>
      </c>
      <c r="P424" s="259">
        <v>129.24800000000002</v>
      </c>
      <c r="Q424" s="262">
        <v>0.0</v>
      </c>
      <c r="R424" s="260">
        <v>516.9920000000001</v>
      </c>
      <c r="S424" s="260">
        <v>0.0</v>
      </c>
      <c r="T424" s="260">
        <v>646.24</v>
      </c>
      <c r="U424" s="261" t="s">
        <v>1398</v>
      </c>
      <c r="V424" s="279">
        <v>45317.57225694445</v>
      </c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</row>
    <row r="425">
      <c r="A425" s="276">
        <v>45317.0</v>
      </c>
      <c r="B425" s="252">
        <v>5291590.0</v>
      </c>
      <c r="C425" s="253" t="s">
        <v>82</v>
      </c>
      <c r="D425" s="253" t="s">
        <v>35</v>
      </c>
      <c r="E425" s="252">
        <v>4.264981034E9</v>
      </c>
      <c r="F425" s="253" t="s">
        <v>2094</v>
      </c>
      <c r="G425" s="276">
        <v>45386.0</v>
      </c>
      <c r="H425" s="277">
        <v>45388.0</v>
      </c>
      <c r="I425" s="278">
        <v>2.0</v>
      </c>
      <c r="J425" s="257" t="s">
        <v>87</v>
      </c>
      <c r="K425" s="253" t="s">
        <v>79</v>
      </c>
      <c r="L425" s="253" t="s">
        <v>1400</v>
      </c>
      <c r="M425" s="252">
        <v>2.0</v>
      </c>
      <c r="N425" s="258">
        <v>0.0</v>
      </c>
      <c r="O425" s="259">
        <v>146.6</v>
      </c>
      <c r="P425" s="259">
        <v>117.28</v>
      </c>
      <c r="Q425" s="262">
        <v>0.0</v>
      </c>
      <c r="R425" s="260">
        <v>234.56</v>
      </c>
      <c r="S425" s="260">
        <v>0.0</v>
      </c>
      <c r="T425" s="260">
        <v>587.76</v>
      </c>
      <c r="U425" s="261" t="s">
        <v>1401</v>
      </c>
      <c r="V425" s="279">
        <v>45317.870196759264</v>
      </c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</row>
    <row r="426">
      <c r="A426" s="289">
        <v>45317.0</v>
      </c>
      <c r="B426" s="290">
        <v>5291590.0</v>
      </c>
      <c r="C426" s="291" t="s">
        <v>82</v>
      </c>
      <c r="D426" s="291" t="s">
        <v>35</v>
      </c>
      <c r="E426" s="290">
        <v>4.264981034E9</v>
      </c>
      <c r="F426" s="291" t="s">
        <v>2094</v>
      </c>
      <c r="G426" s="289">
        <v>45386.0</v>
      </c>
      <c r="H426" s="292">
        <v>45388.0</v>
      </c>
      <c r="I426" s="293">
        <v>2.0</v>
      </c>
      <c r="J426" s="294" t="s">
        <v>78</v>
      </c>
      <c r="K426" s="291" t="s">
        <v>79</v>
      </c>
      <c r="L426" s="291" t="s">
        <v>1396</v>
      </c>
      <c r="M426" s="290">
        <v>2.0</v>
      </c>
      <c r="N426" s="295">
        <v>0.0</v>
      </c>
      <c r="O426" s="296">
        <v>147.28</v>
      </c>
      <c r="P426" s="296">
        <v>117.82400000000001</v>
      </c>
      <c r="Q426" s="301">
        <v>0.0</v>
      </c>
      <c r="R426" s="297">
        <v>235.64800000000002</v>
      </c>
      <c r="S426" s="297">
        <v>0.0</v>
      </c>
      <c r="T426" s="297">
        <v>587.76</v>
      </c>
      <c r="U426" s="298" t="s">
        <v>1398</v>
      </c>
      <c r="V426" s="299">
        <v>45317.870196759264</v>
      </c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</row>
    <row r="427">
      <c r="A427" s="210">
        <v>45317.0</v>
      </c>
      <c r="B427" s="166">
        <v>5291649.0</v>
      </c>
      <c r="C427" s="166" t="s">
        <v>89</v>
      </c>
      <c r="D427" s="166" t="s">
        <v>35</v>
      </c>
      <c r="E427" s="166">
        <v>3.282181007E9</v>
      </c>
      <c r="F427" s="166" t="s">
        <v>2097</v>
      </c>
      <c r="G427" s="212">
        <v>45581.0</v>
      </c>
      <c r="H427" s="310">
        <v>45584.0</v>
      </c>
      <c r="I427" s="168">
        <v>3.0</v>
      </c>
      <c r="J427" s="169" t="s">
        <v>87</v>
      </c>
      <c r="K427" s="166" t="s">
        <v>79</v>
      </c>
      <c r="L427" s="166" t="s">
        <v>1396</v>
      </c>
      <c r="M427" s="166">
        <v>2.0</v>
      </c>
      <c r="N427" s="170">
        <v>0.0</v>
      </c>
      <c r="O427" s="171">
        <v>0.0</v>
      </c>
      <c r="P427" s="171">
        <v>0.0</v>
      </c>
      <c r="Q427" s="172">
        <v>0.0</v>
      </c>
      <c r="R427" s="173">
        <v>0.0</v>
      </c>
      <c r="S427" s="173">
        <v>0.0</v>
      </c>
      <c r="T427" s="173">
        <v>0.0</v>
      </c>
      <c r="U427" s="174" t="s">
        <v>2098</v>
      </c>
      <c r="V427" s="288">
        <v>45317.884780092594</v>
      </c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</row>
    <row r="428">
      <c r="A428" s="276">
        <v>45318.0</v>
      </c>
      <c r="B428" s="252">
        <v>5293082.0</v>
      </c>
      <c r="C428" s="253" t="s">
        <v>82</v>
      </c>
      <c r="D428" s="253" t="s">
        <v>35</v>
      </c>
      <c r="E428" s="252">
        <v>4.250400932E9</v>
      </c>
      <c r="F428" s="253" t="s">
        <v>2100</v>
      </c>
      <c r="G428" s="276">
        <v>45331.0</v>
      </c>
      <c r="H428" s="277">
        <v>45334.0</v>
      </c>
      <c r="I428" s="278">
        <v>3.0</v>
      </c>
      <c r="J428" s="257" t="s">
        <v>87</v>
      </c>
      <c r="K428" s="253" t="s">
        <v>79</v>
      </c>
      <c r="L428" s="253" t="s">
        <v>1396</v>
      </c>
      <c r="M428" s="252">
        <v>2.0</v>
      </c>
      <c r="N428" s="258">
        <v>0.0</v>
      </c>
      <c r="O428" s="259">
        <v>162.78</v>
      </c>
      <c r="P428" s="259">
        <v>130.22400000000002</v>
      </c>
      <c r="Q428" s="257">
        <v>0.0</v>
      </c>
      <c r="R428" s="260">
        <v>390.672</v>
      </c>
      <c r="S428" s="260">
        <v>0.0</v>
      </c>
      <c r="T428" s="260">
        <v>488.34</v>
      </c>
      <c r="U428" s="261" t="s">
        <v>1398</v>
      </c>
      <c r="V428" s="279">
        <v>45318.52851851852</v>
      </c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</row>
    <row r="429">
      <c r="A429" s="276">
        <v>45318.0</v>
      </c>
      <c r="B429" s="252">
        <v>5293792.0</v>
      </c>
      <c r="C429" s="253" t="s">
        <v>82</v>
      </c>
      <c r="D429" s="253" t="s">
        <v>35</v>
      </c>
      <c r="E429" s="252">
        <v>4.234959307E9</v>
      </c>
      <c r="F429" s="253" t="s">
        <v>2101</v>
      </c>
      <c r="G429" s="276">
        <v>45336.0</v>
      </c>
      <c r="H429" s="277">
        <v>45337.0</v>
      </c>
      <c r="I429" s="278">
        <v>1.0</v>
      </c>
      <c r="J429" s="257" t="s">
        <v>114</v>
      </c>
      <c r="K429" s="253" t="s">
        <v>79</v>
      </c>
      <c r="L429" s="253" t="s">
        <v>1724</v>
      </c>
      <c r="M429" s="252">
        <v>2.0</v>
      </c>
      <c r="N429" s="258">
        <v>0.0</v>
      </c>
      <c r="O429" s="259">
        <v>254.75</v>
      </c>
      <c r="P429" s="259">
        <v>203.8</v>
      </c>
      <c r="Q429" s="262">
        <v>0.0</v>
      </c>
      <c r="R429" s="260">
        <v>203.8</v>
      </c>
      <c r="S429" s="260">
        <v>0.0</v>
      </c>
      <c r="T429" s="260">
        <v>445.38</v>
      </c>
      <c r="U429" s="261" t="s">
        <v>1725</v>
      </c>
      <c r="V429" s="279">
        <v>45318.69865740741</v>
      </c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</row>
    <row r="430">
      <c r="A430" s="276">
        <v>45318.0</v>
      </c>
      <c r="B430" s="252">
        <v>5293792.0</v>
      </c>
      <c r="C430" s="253" t="s">
        <v>82</v>
      </c>
      <c r="D430" s="253" t="s">
        <v>35</v>
      </c>
      <c r="E430" s="252">
        <v>4.234959307E9</v>
      </c>
      <c r="F430" s="253" t="s">
        <v>2101</v>
      </c>
      <c r="G430" s="276">
        <v>45336.0</v>
      </c>
      <c r="H430" s="277">
        <v>45337.0</v>
      </c>
      <c r="I430" s="278">
        <v>1.0</v>
      </c>
      <c r="J430" s="257" t="s">
        <v>87</v>
      </c>
      <c r="K430" s="253" t="s">
        <v>79</v>
      </c>
      <c r="L430" s="253" t="s">
        <v>1724</v>
      </c>
      <c r="M430" s="252">
        <v>2.0</v>
      </c>
      <c r="N430" s="258">
        <v>0.0</v>
      </c>
      <c r="O430" s="259">
        <v>190.63</v>
      </c>
      <c r="P430" s="259">
        <v>152.504</v>
      </c>
      <c r="Q430" s="262">
        <v>0.0</v>
      </c>
      <c r="R430" s="260">
        <v>152.504</v>
      </c>
      <c r="S430" s="260">
        <v>0.0</v>
      </c>
      <c r="T430" s="260">
        <v>445.38</v>
      </c>
      <c r="U430" s="261" t="s">
        <v>1725</v>
      </c>
      <c r="V430" s="279">
        <v>45318.69865740741</v>
      </c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</row>
    <row r="431">
      <c r="A431" s="276">
        <v>45318.0</v>
      </c>
      <c r="B431" s="252">
        <v>5293795.0</v>
      </c>
      <c r="C431" s="253" t="s">
        <v>82</v>
      </c>
      <c r="D431" s="253" t="s">
        <v>35</v>
      </c>
      <c r="E431" s="252">
        <v>4.111967505E9</v>
      </c>
      <c r="F431" s="253" t="s">
        <v>2101</v>
      </c>
      <c r="G431" s="276">
        <v>45337.0</v>
      </c>
      <c r="H431" s="277">
        <v>45338.0</v>
      </c>
      <c r="I431" s="278">
        <v>1.0</v>
      </c>
      <c r="J431" s="257" t="s">
        <v>91</v>
      </c>
      <c r="K431" s="253" t="s">
        <v>79</v>
      </c>
      <c r="L431" s="253" t="s">
        <v>1724</v>
      </c>
      <c r="M431" s="252">
        <v>4.0</v>
      </c>
      <c r="N431" s="258">
        <v>0.0</v>
      </c>
      <c r="O431" s="259">
        <v>502.75</v>
      </c>
      <c r="P431" s="259">
        <v>402.20000000000005</v>
      </c>
      <c r="Q431" s="262">
        <v>0.0</v>
      </c>
      <c r="R431" s="260">
        <v>402.20000000000005</v>
      </c>
      <c r="S431" s="260">
        <v>0.0</v>
      </c>
      <c r="T431" s="260">
        <v>502.75</v>
      </c>
      <c r="U431" s="261" t="s">
        <v>1725</v>
      </c>
      <c r="V431" s="279">
        <v>45318.7000462963</v>
      </c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</row>
    <row r="432">
      <c r="A432" s="280">
        <v>45318.0</v>
      </c>
      <c r="B432" s="264">
        <v>5294658.0</v>
      </c>
      <c r="C432" s="265" t="s">
        <v>82</v>
      </c>
      <c r="D432" s="265" t="s">
        <v>35</v>
      </c>
      <c r="E432" s="264">
        <v>4.014854403E9</v>
      </c>
      <c r="F432" s="265" t="s">
        <v>2103</v>
      </c>
      <c r="G432" s="280">
        <v>45359.0</v>
      </c>
      <c r="H432" s="281">
        <v>45362.0</v>
      </c>
      <c r="I432" s="282">
        <v>3.0</v>
      </c>
      <c r="J432" s="283" t="s">
        <v>78</v>
      </c>
      <c r="K432" s="265" t="s">
        <v>79</v>
      </c>
      <c r="L432" s="265" t="s">
        <v>1414</v>
      </c>
      <c r="M432" s="264">
        <v>2.0</v>
      </c>
      <c r="N432" s="270">
        <v>0.0</v>
      </c>
      <c r="O432" s="271">
        <v>152.0</v>
      </c>
      <c r="P432" s="271">
        <v>121.60000000000001</v>
      </c>
      <c r="Q432" s="272">
        <v>0.0</v>
      </c>
      <c r="R432" s="273">
        <v>364.8</v>
      </c>
      <c r="S432" s="273">
        <v>0.0</v>
      </c>
      <c r="T432" s="273">
        <v>456.0</v>
      </c>
      <c r="U432" s="274" t="s">
        <v>1415</v>
      </c>
      <c r="V432" s="286">
        <v>45318.91184027778</v>
      </c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</row>
    <row r="433">
      <c r="A433" s="280">
        <v>45318.0</v>
      </c>
      <c r="B433" s="264">
        <v>5293436.0</v>
      </c>
      <c r="C433" s="265" t="s">
        <v>82</v>
      </c>
      <c r="D433" s="265" t="s">
        <v>35</v>
      </c>
      <c r="E433" s="265">
        <v>4.250443492E9</v>
      </c>
      <c r="F433" s="265" t="s">
        <v>2104</v>
      </c>
      <c r="G433" s="280">
        <v>45380.0</v>
      </c>
      <c r="H433" s="281">
        <v>45381.0</v>
      </c>
      <c r="I433" s="282">
        <v>1.0</v>
      </c>
      <c r="J433" s="283" t="s">
        <v>114</v>
      </c>
      <c r="K433" s="265" t="s">
        <v>79</v>
      </c>
      <c r="L433" s="265" t="s">
        <v>1724</v>
      </c>
      <c r="M433" s="269">
        <v>2.0</v>
      </c>
      <c r="N433" s="270">
        <v>0.0</v>
      </c>
      <c r="O433" s="271">
        <v>203.0</v>
      </c>
      <c r="P433" s="271">
        <v>162.4</v>
      </c>
      <c r="Q433" s="272">
        <v>0.0</v>
      </c>
      <c r="R433" s="273">
        <v>162.4</v>
      </c>
      <c r="S433" s="273">
        <v>0.0</v>
      </c>
      <c r="T433" s="273">
        <v>203.0</v>
      </c>
      <c r="U433" s="274" t="s">
        <v>1725</v>
      </c>
      <c r="V433" s="286">
        <v>45318.62018518518</v>
      </c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</row>
    <row r="434">
      <c r="A434" s="276">
        <v>45319.0</v>
      </c>
      <c r="B434" s="252">
        <v>5296075.0</v>
      </c>
      <c r="C434" s="253" t="s">
        <v>82</v>
      </c>
      <c r="D434" s="253" t="s">
        <v>94</v>
      </c>
      <c r="E434" s="252">
        <v>5296075.0</v>
      </c>
      <c r="F434" s="253" t="s">
        <v>2105</v>
      </c>
      <c r="G434" s="276">
        <v>45329.0</v>
      </c>
      <c r="H434" s="277">
        <v>45330.0</v>
      </c>
      <c r="I434" s="278">
        <v>1.0</v>
      </c>
      <c r="J434" s="257" t="s">
        <v>78</v>
      </c>
      <c r="K434" s="253" t="s">
        <v>79</v>
      </c>
      <c r="L434" s="253" t="s">
        <v>1462</v>
      </c>
      <c r="M434" s="275">
        <v>2.0</v>
      </c>
      <c r="N434" s="258">
        <v>0.0</v>
      </c>
      <c r="O434" s="259">
        <v>203.0</v>
      </c>
      <c r="P434" s="259">
        <v>200.97</v>
      </c>
      <c r="Q434" s="262">
        <v>0.0</v>
      </c>
      <c r="R434" s="260">
        <v>200.97</v>
      </c>
      <c r="S434" s="260">
        <v>0.0</v>
      </c>
      <c r="T434" s="260">
        <v>203.0</v>
      </c>
      <c r="U434" s="261" t="s">
        <v>1463</v>
      </c>
      <c r="V434" s="279">
        <v>45319.5444675926</v>
      </c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</row>
    <row r="435">
      <c r="A435" s="276">
        <v>45319.0</v>
      </c>
      <c r="B435" s="252">
        <v>5297480.0</v>
      </c>
      <c r="C435" s="253" t="s">
        <v>82</v>
      </c>
      <c r="D435" s="253" t="s">
        <v>35</v>
      </c>
      <c r="E435" s="252">
        <v>4.155103091E9</v>
      </c>
      <c r="F435" s="253" t="s">
        <v>2106</v>
      </c>
      <c r="G435" s="276">
        <v>45334.0</v>
      </c>
      <c r="H435" s="277">
        <v>45336.0</v>
      </c>
      <c r="I435" s="278">
        <v>2.0</v>
      </c>
      <c r="J435" s="257" t="s">
        <v>114</v>
      </c>
      <c r="K435" s="253" t="s">
        <v>79</v>
      </c>
      <c r="L435" s="253" t="s">
        <v>1396</v>
      </c>
      <c r="M435" s="252">
        <v>1.0</v>
      </c>
      <c r="N435" s="258">
        <v>0.0</v>
      </c>
      <c r="O435" s="259">
        <v>197.0</v>
      </c>
      <c r="P435" s="259">
        <v>157.60000000000002</v>
      </c>
      <c r="Q435" s="262">
        <v>0.0</v>
      </c>
      <c r="R435" s="260">
        <v>315.20000000000005</v>
      </c>
      <c r="S435" s="260">
        <v>0.0</v>
      </c>
      <c r="T435" s="260">
        <v>394.0</v>
      </c>
      <c r="U435" s="261" t="s">
        <v>1398</v>
      </c>
      <c r="V435" s="279">
        <v>45319.8653125</v>
      </c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</row>
    <row r="436">
      <c r="A436" s="276">
        <v>45319.0</v>
      </c>
      <c r="B436" s="252">
        <v>5295938.0</v>
      </c>
      <c r="C436" s="253" t="s">
        <v>89</v>
      </c>
      <c r="D436" s="253" t="s">
        <v>35</v>
      </c>
      <c r="E436" s="252">
        <v>4.111974942E9</v>
      </c>
      <c r="F436" s="253" t="s">
        <v>2107</v>
      </c>
      <c r="G436" s="276">
        <v>45396.0</v>
      </c>
      <c r="H436" s="277">
        <v>45400.0</v>
      </c>
      <c r="I436" s="278">
        <v>4.0</v>
      </c>
      <c r="J436" s="257" t="s">
        <v>87</v>
      </c>
      <c r="K436" s="253" t="s">
        <v>79</v>
      </c>
      <c r="L436" s="253" t="s">
        <v>1411</v>
      </c>
      <c r="M436" s="252">
        <v>2.0</v>
      </c>
      <c r="N436" s="258">
        <v>0.0</v>
      </c>
      <c r="O436" s="259">
        <v>0.0</v>
      </c>
      <c r="P436" s="259">
        <v>0.0</v>
      </c>
      <c r="Q436" s="262">
        <v>0.0</v>
      </c>
      <c r="R436" s="260">
        <v>0.0</v>
      </c>
      <c r="S436" s="260">
        <v>0.0</v>
      </c>
      <c r="T436" s="260">
        <v>0.0</v>
      </c>
      <c r="U436" s="261" t="s">
        <v>2108</v>
      </c>
      <c r="V436" s="279">
        <v>45319.511145833334</v>
      </c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</row>
    <row r="437">
      <c r="A437" s="276">
        <v>45319.0</v>
      </c>
      <c r="B437" s="252">
        <v>5297844.0</v>
      </c>
      <c r="C437" s="253" t="s">
        <v>82</v>
      </c>
      <c r="D437" s="253" t="s">
        <v>94</v>
      </c>
      <c r="E437" s="252">
        <v>5297844.0</v>
      </c>
      <c r="F437" s="253" t="s">
        <v>2110</v>
      </c>
      <c r="G437" s="276">
        <v>45399.0</v>
      </c>
      <c r="H437" s="277">
        <v>45401.0</v>
      </c>
      <c r="I437" s="278">
        <v>2.0</v>
      </c>
      <c r="J437" s="257" t="s">
        <v>78</v>
      </c>
      <c r="K437" s="253" t="s">
        <v>79</v>
      </c>
      <c r="L437" s="253" t="s">
        <v>1907</v>
      </c>
      <c r="M437" s="252">
        <v>2.0</v>
      </c>
      <c r="N437" s="258">
        <v>0.0</v>
      </c>
      <c r="O437" s="259">
        <v>161.0</v>
      </c>
      <c r="P437" s="259">
        <v>159.39</v>
      </c>
      <c r="Q437" s="262">
        <v>0.0</v>
      </c>
      <c r="R437" s="260">
        <v>318.78</v>
      </c>
      <c r="S437" s="260">
        <v>0.0</v>
      </c>
      <c r="T437" s="260">
        <v>1002.0</v>
      </c>
      <c r="U437" s="261" t="s">
        <v>1908</v>
      </c>
      <c r="V437" s="279">
        <v>45319.95118055555</v>
      </c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</row>
    <row r="438">
      <c r="A438" s="276">
        <v>45319.0</v>
      </c>
      <c r="B438" s="252">
        <v>5297844.0</v>
      </c>
      <c r="C438" s="253" t="s">
        <v>82</v>
      </c>
      <c r="D438" s="253" t="s">
        <v>94</v>
      </c>
      <c r="E438" s="252">
        <v>5297844.0</v>
      </c>
      <c r="F438" s="253" t="s">
        <v>2110</v>
      </c>
      <c r="G438" s="276">
        <v>45399.0</v>
      </c>
      <c r="H438" s="277">
        <v>45401.0</v>
      </c>
      <c r="I438" s="278">
        <v>2.0</v>
      </c>
      <c r="J438" s="257" t="s">
        <v>78</v>
      </c>
      <c r="K438" s="253" t="s">
        <v>79</v>
      </c>
      <c r="L438" s="253" t="s">
        <v>1907</v>
      </c>
      <c r="M438" s="275">
        <v>2.0</v>
      </c>
      <c r="N438" s="258">
        <v>0.0</v>
      </c>
      <c r="O438" s="259">
        <v>161.0</v>
      </c>
      <c r="P438" s="259">
        <v>159.39</v>
      </c>
      <c r="Q438" s="262">
        <v>0.0</v>
      </c>
      <c r="R438" s="260">
        <v>318.78</v>
      </c>
      <c r="S438" s="260">
        <v>0.0</v>
      </c>
      <c r="T438" s="260">
        <v>1002.0</v>
      </c>
      <c r="U438" s="261" t="s">
        <v>1908</v>
      </c>
      <c r="V438" s="279">
        <v>45319.95118055555</v>
      </c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</row>
    <row r="439">
      <c r="A439" s="280">
        <v>45319.0</v>
      </c>
      <c r="B439" s="264">
        <v>5297844.0</v>
      </c>
      <c r="C439" s="265" t="s">
        <v>82</v>
      </c>
      <c r="D439" s="265" t="s">
        <v>94</v>
      </c>
      <c r="E439" s="264">
        <v>5297844.0</v>
      </c>
      <c r="F439" s="265" t="s">
        <v>2110</v>
      </c>
      <c r="G439" s="280">
        <v>45399.0</v>
      </c>
      <c r="H439" s="281">
        <v>45401.0</v>
      </c>
      <c r="I439" s="282">
        <v>2.0</v>
      </c>
      <c r="J439" s="283" t="s">
        <v>114</v>
      </c>
      <c r="K439" s="265" t="s">
        <v>79</v>
      </c>
      <c r="L439" s="265" t="s">
        <v>1907</v>
      </c>
      <c r="M439" s="264">
        <v>2.0</v>
      </c>
      <c r="N439" s="270">
        <v>0.0</v>
      </c>
      <c r="O439" s="271">
        <v>179.0</v>
      </c>
      <c r="P439" s="271">
        <v>177.21</v>
      </c>
      <c r="Q439" s="272">
        <v>0.0</v>
      </c>
      <c r="R439" s="273">
        <v>354.42</v>
      </c>
      <c r="S439" s="273">
        <v>0.0</v>
      </c>
      <c r="T439" s="273">
        <v>1002.0</v>
      </c>
      <c r="U439" s="274" t="s">
        <v>1908</v>
      </c>
      <c r="V439" s="286">
        <v>45319.95118055555</v>
      </c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</row>
    <row r="440">
      <c r="A440" s="276">
        <v>45320.0</v>
      </c>
      <c r="B440" s="252">
        <v>5302081.0</v>
      </c>
      <c r="C440" s="253" t="s">
        <v>75</v>
      </c>
      <c r="D440" s="253" t="s">
        <v>35</v>
      </c>
      <c r="E440" s="252">
        <v>4.185438461E9</v>
      </c>
      <c r="F440" s="253" t="s">
        <v>2114</v>
      </c>
      <c r="G440" s="276">
        <v>45348.0</v>
      </c>
      <c r="H440" s="277">
        <v>45349.0</v>
      </c>
      <c r="I440" s="278">
        <v>1.0</v>
      </c>
      <c r="J440" s="257" t="s">
        <v>87</v>
      </c>
      <c r="K440" s="253" t="s">
        <v>138</v>
      </c>
      <c r="L440" s="253" t="s">
        <v>1501</v>
      </c>
      <c r="M440" s="252">
        <v>2.0</v>
      </c>
      <c r="N440" s="258">
        <v>0.0</v>
      </c>
      <c r="O440" s="259">
        <v>176.19</v>
      </c>
      <c r="P440" s="259">
        <v>140.952</v>
      </c>
      <c r="Q440" s="262">
        <v>36.0</v>
      </c>
      <c r="R440" s="260">
        <v>140.952</v>
      </c>
      <c r="S440" s="260">
        <v>36.0</v>
      </c>
      <c r="T440" s="260">
        <v>212.19</v>
      </c>
      <c r="U440" s="261" t="s">
        <v>1502</v>
      </c>
      <c r="V440" s="279">
        <v>45344.01809027778</v>
      </c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</row>
    <row r="441">
      <c r="A441" s="276">
        <v>45320.0</v>
      </c>
      <c r="B441" s="252">
        <v>5300154.0</v>
      </c>
      <c r="C441" s="253" t="s">
        <v>89</v>
      </c>
      <c r="D441" s="253" t="s">
        <v>35</v>
      </c>
      <c r="E441" s="252">
        <v>4.178733318E9</v>
      </c>
      <c r="F441" s="253" t="s">
        <v>2115</v>
      </c>
      <c r="G441" s="276">
        <v>45370.0</v>
      </c>
      <c r="H441" s="277">
        <v>45371.0</v>
      </c>
      <c r="I441" s="278">
        <v>1.0</v>
      </c>
      <c r="J441" s="257" t="s">
        <v>78</v>
      </c>
      <c r="K441" s="253" t="s">
        <v>79</v>
      </c>
      <c r="L441" s="253" t="s">
        <v>1396</v>
      </c>
      <c r="M441" s="275">
        <v>2.0</v>
      </c>
      <c r="N441" s="258">
        <v>0.0</v>
      </c>
      <c r="O441" s="259">
        <v>0.0</v>
      </c>
      <c r="P441" s="259">
        <v>0.0</v>
      </c>
      <c r="Q441" s="257">
        <v>0.0</v>
      </c>
      <c r="R441" s="260">
        <v>0.0</v>
      </c>
      <c r="S441" s="260">
        <v>0.0</v>
      </c>
      <c r="T441" s="273">
        <v>0.0</v>
      </c>
      <c r="U441" s="274" t="s">
        <v>2117</v>
      </c>
      <c r="V441" s="284">
        <v>45320.65767361112</v>
      </c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</row>
    <row r="442">
      <c r="A442" s="280">
        <v>45320.0</v>
      </c>
      <c r="B442" s="166">
        <v>5299346.0</v>
      </c>
      <c r="C442" s="166" t="s">
        <v>82</v>
      </c>
      <c r="D442" s="166" t="s">
        <v>94</v>
      </c>
      <c r="E442" s="166">
        <v>5299346.0</v>
      </c>
      <c r="F442" s="166" t="s">
        <v>2118</v>
      </c>
      <c r="G442" s="210">
        <v>45527.0</v>
      </c>
      <c r="H442" s="287">
        <v>45530.0</v>
      </c>
      <c r="I442" s="168">
        <v>3.0</v>
      </c>
      <c r="J442" s="169" t="s">
        <v>114</v>
      </c>
      <c r="K442" s="166" t="s">
        <v>79</v>
      </c>
      <c r="L442" s="166" t="s">
        <v>1462</v>
      </c>
      <c r="M442" s="166">
        <v>2.0</v>
      </c>
      <c r="N442" s="169">
        <v>0.0</v>
      </c>
      <c r="O442" s="171">
        <v>151.4</v>
      </c>
      <c r="P442" s="171">
        <v>149.886</v>
      </c>
      <c r="Q442" s="169">
        <v>0.0</v>
      </c>
      <c r="R442" s="173">
        <v>449.65799999999996</v>
      </c>
      <c r="S442" s="173">
        <v>0.0</v>
      </c>
      <c r="T442" s="173">
        <v>454.2</v>
      </c>
      <c r="U442" s="201" t="s">
        <v>1463</v>
      </c>
      <c r="V442" s="288">
        <v>45320.526620370365</v>
      </c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</row>
    <row r="443">
      <c r="A443" s="276">
        <v>45321.0</v>
      </c>
      <c r="B443" s="252">
        <v>5305277.0</v>
      </c>
      <c r="C443" s="253" t="s">
        <v>82</v>
      </c>
      <c r="D443" s="253" t="s">
        <v>35</v>
      </c>
      <c r="E443" s="252">
        <v>4.21152907E9</v>
      </c>
      <c r="F443" s="253" t="s">
        <v>2119</v>
      </c>
      <c r="G443" s="276">
        <v>45332.0</v>
      </c>
      <c r="H443" s="277">
        <v>45335.0</v>
      </c>
      <c r="I443" s="278">
        <v>3.0</v>
      </c>
      <c r="J443" s="257" t="s">
        <v>87</v>
      </c>
      <c r="K443" s="253" t="s">
        <v>79</v>
      </c>
      <c r="L443" s="253" t="s">
        <v>1396</v>
      </c>
      <c r="M443" s="252">
        <v>2.0</v>
      </c>
      <c r="N443" s="258">
        <v>0.0</v>
      </c>
      <c r="O443" s="259">
        <v>139.25</v>
      </c>
      <c r="P443" s="259">
        <v>111.4</v>
      </c>
      <c r="Q443" s="262">
        <v>0.0</v>
      </c>
      <c r="R443" s="260">
        <v>334.20000000000005</v>
      </c>
      <c r="S443" s="260">
        <v>0.0</v>
      </c>
      <c r="T443" s="260">
        <v>417.75</v>
      </c>
      <c r="U443" s="261" t="s">
        <v>1398</v>
      </c>
      <c r="V443" s="279">
        <v>45321.78962962963</v>
      </c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</row>
    <row r="444">
      <c r="A444" s="289">
        <v>45321.0</v>
      </c>
      <c r="B444" s="290">
        <v>5305925.0</v>
      </c>
      <c r="C444" s="291" t="s">
        <v>82</v>
      </c>
      <c r="D444" s="291" t="s">
        <v>35</v>
      </c>
      <c r="E444" s="290">
        <v>4.006222508E9</v>
      </c>
      <c r="F444" s="291" t="s">
        <v>2120</v>
      </c>
      <c r="G444" s="289">
        <v>45352.0</v>
      </c>
      <c r="H444" s="292">
        <v>45356.0</v>
      </c>
      <c r="I444" s="293">
        <v>4.0</v>
      </c>
      <c r="J444" s="294" t="s">
        <v>78</v>
      </c>
      <c r="K444" s="291" t="s">
        <v>79</v>
      </c>
      <c r="L444" s="291" t="s">
        <v>1396</v>
      </c>
      <c r="M444" s="300">
        <v>2.0</v>
      </c>
      <c r="N444" s="295">
        <v>0.0</v>
      </c>
      <c r="O444" s="296">
        <v>177.13</v>
      </c>
      <c r="P444" s="296">
        <v>141.704</v>
      </c>
      <c r="Q444" s="301">
        <v>0.0</v>
      </c>
      <c r="R444" s="297">
        <v>566.816</v>
      </c>
      <c r="S444" s="297">
        <v>0.0</v>
      </c>
      <c r="T444" s="297">
        <v>708.52</v>
      </c>
      <c r="U444" s="298" t="s">
        <v>1398</v>
      </c>
      <c r="V444" s="299">
        <v>45321.932696759264</v>
      </c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</row>
    <row r="445">
      <c r="A445" s="276">
        <v>45321.0</v>
      </c>
      <c r="B445" s="252">
        <v>5304609.0</v>
      </c>
      <c r="C445" s="253" t="s">
        <v>82</v>
      </c>
      <c r="D445" s="253" t="s">
        <v>101</v>
      </c>
      <c r="E445" s="252">
        <v>1.65293127E8</v>
      </c>
      <c r="F445" s="253" t="s">
        <v>2122</v>
      </c>
      <c r="G445" s="276">
        <v>45366.0</v>
      </c>
      <c r="H445" s="277">
        <v>45367.0</v>
      </c>
      <c r="I445" s="278">
        <v>1.0</v>
      </c>
      <c r="J445" s="257" t="s">
        <v>111</v>
      </c>
      <c r="K445" s="253" t="s">
        <v>79</v>
      </c>
      <c r="L445" s="253" t="s">
        <v>1436</v>
      </c>
      <c r="M445" s="275">
        <v>2.0</v>
      </c>
      <c r="N445" s="258">
        <v>0.0</v>
      </c>
      <c r="O445" s="259">
        <v>188.78</v>
      </c>
      <c r="P445" s="259">
        <v>151.024</v>
      </c>
      <c r="Q445" s="262">
        <v>0.0</v>
      </c>
      <c r="R445" s="260">
        <v>151.024</v>
      </c>
      <c r="S445" s="260">
        <v>0.0</v>
      </c>
      <c r="T445" s="260">
        <v>188.78</v>
      </c>
      <c r="U445" s="261" t="s">
        <v>1437</v>
      </c>
      <c r="V445" s="279">
        <v>45321.63894675926</v>
      </c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</row>
    <row r="446">
      <c r="A446" s="276">
        <v>45321.0</v>
      </c>
      <c r="B446" s="252">
        <v>5305032.0</v>
      </c>
      <c r="C446" s="253" t="s">
        <v>82</v>
      </c>
      <c r="D446" s="253" t="s">
        <v>101</v>
      </c>
      <c r="E446" s="252">
        <v>1.65377916E8</v>
      </c>
      <c r="F446" s="253" t="s">
        <v>2123</v>
      </c>
      <c r="G446" s="276">
        <v>45387.0</v>
      </c>
      <c r="H446" s="277">
        <v>45389.0</v>
      </c>
      <c r="I446" s="278">
        <v>2.0</v>
      </c>
      <c r="J446" s="257" t="s">
        <v>78</v>
      </c>
      <c r="K446" s="253" t="s">
        <v>79</v>
      </c>
      <c r="L446" s="253" t="s">
        <v>1436</v>
      </c>
      <c r="M446" s="252">
        <v>2.0</v>
      </c>
      <c r="N446" s="258">
        <v>0.0</v>
      </c>
      <c r="O446" s="259">
        <v>129.16</v>
      </c>
      <c r="P446" s="259">
        <v>103.328</v>
      </c>
      <c r="Q446" s="257">
        <v>0.0</v>
      </c>
      <c r="R446" s="260">
        <v>206.656</v>
      </c>
      <c r="S446" s="260">
        <v>0.0</v>
      </c>
      <c r="T446" s="260">
        <v>258.32</v>
      </c>
      <c r="U446" s="261" t="s">
        <v>1437</v>
      </c>
      <c r="V446" s="279">
        <v>45321.737557870365</v>
      </c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</row>
    <row r="447">
      <c r="A447" s="210">
        <v>45322.0</v>
      </c>
      <c r="B447" s="166">
        <v>5307607.0</v>
      </c>
      <c r="C447" s="166" t="s">
        <v>82</v>
      </c>
      <c r="D447" s="166" t="s">
        <v>35</v>
      </c>
      <c r="E447" s="166">
        <v>4.175800648E9</v>
      </c>
      <c r="F447" s="166" t="s">
        <v>2124</v>
      </c>
      <c r="G447" s="210">
        <v>45411.0</v>
      </c>
      <c r="H447" s="287">
        <v>45413.0</v>
      </c>
      <c r="I447" s="168">
        <v>2.0</v>
      </c>
      <c r="J447" s="169" t="s">
        <v>78</v>
      </c>
      <c r="K447" s="166" t="s">
        <v>79</v>
      </c>
      <c r="L447" s="166" t="s">
        <v>1396</v>
      </c>
      <c r="M447" s="166">
        <v>2.0</v>
      </c>
      <c r="N447" s="170">
        <v>0.0</v>
      </c>
      <c r="O447" s="171">
        <v>194.72</v>
      </c>
      <c r="P447" s="171">
        <v>155.776</v>
      </c>
      <c r="Q447" s="172">
        <v>0.0</v>
      </c>
      <c r="R447" s="173">
        <v>311.552</v>
      </c>
      <c r="S447" s="173">
        <v>0.0</v>
      </c>
      <c r="T447" s="173">
        <v>389.44</v>
      </c>
      <c r="U447" s="174" t="s">
        <v>1398</v>
      </c>
      <c r="V447" s="288">
        <v>45322.57641203704</v>
      </c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</row>
    <row r="448">
      <c r="A448" s="276">
        <v>45322.0</v>
      </c>
      <c r="B448" s="252">
        <v>5307100.0</v>
      </c>
      <c r="C448" s="253" t="s">
        <v>82</v>
      </c>
      <c r="D448" s="253" t="s">
        <v>94</v>
      </c>
      <c r="E448" s="252">
        <v>4.15114607E8</v>
      </c>
      <c r="F448" s="253" t="s">
        <v>2125</v>
      </c>
      <c r="G448" s="276">
        <v>45514.0</v>
      </c>
      <c r="H448" s="277">
        <v>45517.0</v>
      </c>
      <c r="I448" s="278">
        <v>3.0</v>
      </c>
      <c r="J448" s="257" t="s">
        <v>87</v>
      </c>
      <c r="K448" s="253" t="s">
        <v>79</v>
      </c>
      <c r="L448" s="253" t="s">
        <v>1998</v>
      </c>
      <c r="M448" s="275">
        <v>2.0</v>
      </c>
      <c r="N448" s="258">
        <v>0.0</v>
      </c>
      <c r="O448" s="259">
        <v>168.29999999999998</v>
      </c>
      <c r="P448" s="259">
        <v>166.617</v>
      </c>
      <c r="Q448" s="262">
        <v>0.0</v>
      </c>
      <c r="R448" s="260">
        <v>499.851</v>
      </c>
      <c r="S448" s="260">
        <v>0.0</v>
      </c>
      <c r="T448" s="260">
        <v>504.9</v>
      </c>
      <c r="U448" s="261" t="s">
        <v>1999</v>
      </c>
      <c r="V448" s="279">
        <v>45322.458391203705</v>
      </c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</row>
    <row r="449">
      <c r="A449" s="276">
        <v>45323.0</v>
      </c>
      <c r="B449" s="252">
        <v>5310141.0</v>
      </c>
      <c r="C449" s="253" t="s">
        <v>82</v>
      </c>
      <c r="D449" s="253" t="s">
        <v>35</v>
      </c>
      <c r="E449" s="252">
        <v>4.286196081E9</v>
      </c>
      <c r="F449" s="253" t="s">
        <v>2126</v>
      </c>
      <c r="G449" s="276">
        <v>45325.0</v>
      </c>
      <c r="H449" s="277">
        <v>45327.0</v>
      </c>
      <c r="I449" s="278">
        <v>2.0</v>
      </c>
      <c r="J449" s="257" t="s">
        <v>87</v>
      </c>
      <c r="K449" s="253" t="s">
        <v>79</v>
      </c>
      <c r="L449" s="253" t="s">
        <v>1454</v>
      </c>
      <c r="M449" s="252">
        <v>2.0</v>
      </c>
      <c r="N449" s="258">
        <v>0.0</v>
      </c>
      <c r="O449" s="259">
        <v>180.31</v>
      </c>
      <c r="P449" s="259">
        <v>144.24800000000002</v>
      </c>
      <c r="Q449" s="262">
        <v>0.0</v>
      </c>
      <c r="R449" s="260">
        <v>288.49600000000004</v>
      </c>
      <c r="S449" s="260">
        <v>0.0</v>
      </c>
      <c r="T449" s="260">
        <v>360.62</v>
      </c>
      <c r="U449" s="261" t="s">
        <v>1455</v>
      </c>
      <c r="V449" s="279">
        <v>45323.4125462963</v>
      </c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</row>
    <row r="450">
      <c r="A450" s="276">
        <v>45323.0</v>
      </c>
      <c r="B450" s="252">
        <v>5311300.0</v>
      </c>
      <c r="C450" s="253" t="s">
        <v>82</v>
      </c>
      <c r="D450" s="253" t="s">
        <v>35</v>
      </c>
      <c r="E450" s="252">
        <v>4.229237511E9</v>
      </c>
      <c r="F450" s="253" t="s">
        <v>2127</v>
      </c>
      <c r="G450" s="276">
        <v>45327.0</v>
      </c>
      <c r="H450" s="277">
        <v>45329.0</v>
      </c>
      <c r="I450" s="278">
        <v>2.0</v>
      </c>
      <c r="J450" s="257" t="s">
        <v>114</v>
      </c>
      <c r="K450" s="253" t="s">
        <v>79</v>
      </c>
      <c r="L450" s="253" t="s">
        <v>1396</v>
      </c>
      <c r="M450" s="252">
        <v>2.0</v>
      </c>
      <c r="N450" s="258">
        <v>0.0</v>
      </c>
      <c r="O450" s="259">
        <v>187.7</v>
      </c>
      <c r="P450" s="259">
        <v>150.16</v>
      </c>
      <c r="Q450" s="257">
        <v>0.0</v>
      </c>
      <c r="R450" s="260">
        <v>300.32</v>
      </c>
      <c r="S450" s="260">
        <v>0.0</v>
      </c>
      <c r="T450" s="260">
        <v>375.4</v>
      </c>
      <c r="U450" s="261" t="s">
        <v>1398</v>
      </c>
      <c r="V450" s="279">
        <v>45323.689664351856</v>
      </c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</row>
    <row r="451">
      <c r="A451" s="276">
        <v>45323.0</v>
      </c>
      <c r="B451" s="252">
        <v>5312547.0</v>
      </c>
      <c r="C451" s="253" t="s">
        <v>82</v>
      </c>
      <c r="D451" s="253" t="s">
        <v>35</v>
      </c>
      <c r="E451" s="252">
        <v>4.212369657E9</v>
      </c>
      <c r="F451" s="253" t="s">
        <v>2129</v>
      </c>
      <c r="G451" s="276">
        <v>45382.0</v>
      </c>
      <c r="H451" s="277">
        <v>45385.0</v>
      </c>
      <c r="I451" s="278">
        <v>3.0</v>
      </c>
      <c r="J451" s="257" t="s">
        <v>78</v>
      </c>
      <c r="K451" s="253" t="s">
        <v>79</v>
      </c>
      <c r="L451" s="253" t="s">
        <v>1476</v>
      </c>
      <c r="M451" s="252">
        <v>3.0</v>
      </c>
      <c r="N451" s="258">
        <v>0.0</v>
      </c>
      <c r="O451" s="259">
        <v>166.78</v>
      </c>
      <c r="P451" s="259">
        <v>133.424</v>
      </c>
      <c r="Q451" s="262">
        <v>0.0</v>
      </c>
      <c r="R451" s="260">
        <v>400.272</v>
      </c>
      <c r="S451" s="260">
        <v>0.0</v>
      </c>
      <c r="T451" s="260">
        <v>500.34</v>
      </c>
      <c r="U451" s="261" t="s">
        <v>1477</v>
      </c>
      <c r="V451" s="279">
        <v>45323.97849537037</v>
      </c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</row>
    <row r="452">
      <c r="A452" s="276">
        <v>45324.0</v>
      </c>
      <c r="B452" s="252">
        <v>5315611.0</v>
      </c>
      <c r="C452" s="253" t="s">
        <v>82</v>
      </c>
      <c r="D452" s="285" t="s">
        <v>35</v>
      </c>
      <c r="E452" s="252">
        <v>4.049368456E9</v>
      </c>
      <c r="F452" s="253" t="s">
        <v>2131</v>
      </c>
      <c r="G452" s="276">
        <v>45344.0</v>
      </c>
      <c r="H452" s="277">
        <v>45346.0</v>
      </c>
      <c r="I452" s="278">
        <v>2.0</v>
      </c>
      <c r="J452" s="257" t="s">
        <v>78</v>
      </c>
      <c r="K452" s="253" t="s">
        <v>79</v>
      </c>
      <c r="L452" s="253" t="s">
        <v>1724</v>
      </c>
      <c r="M452" s="252">
        <v>3.0</v>
      </c>
      <c r="N452" s="258">
        <v>0.0</v>
      </c>
      <c r="O452" s="259">
        <v>197.0</v>
      </c>
      <c r="P452" s="259">
        <v>157.60000000000002</v>
      </c>
      <c r="Q452" s="262">
        <v>0.0</v>
      </c>
      <c r="R452" s="260">
        <v>315.20000000000005</v>
      </c>
      <c r="S452" s="260">
        <v>0.0</v>
      </c>
      <c r="T452" s="260">
        <v>394.0</v>
      </c>
      <c r="U452" s="261" t="s">
        <v>1725</v>
      </c>
      <c r="V452" s="279">
        <v>45324.9500462963</v>
      </c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</row>
    <row r="453">
      <c r="A453" s="276">
        <v>45324.0</v>
      </c>
      <c r="B453" s="252">
        <v>5313712.0</v>
      </c>
      <c r="C453" s="253" t="s">
        <v>82</v>
      </c>
      <c r="D453" s="253" t="s">
        <v>35</v>
      </c>
      <c r="E453" s="252">
        <v>4.168571032E9</v>
      </c>
      <c r="F453" s="253" t="s">
        <v>2133</v>
      </c>
      <c r="G453" s="276">
        <v>45393.0</v>
      </c>
      <c r="H453" s="277">
        <v>45396.0</v>
      </c>
      <c r="I453" s="278">
        <v>3.0</v>
      </c>
      <c r="J453" s="257" t="s">
        <v>78</v>
      </c>
      <c r="K453" s="253" t="s">
        <v>79</v>
      </c>
      <c r="L453" s="253" t="s">
        <v>1414</v>
      </c>
      <c r="M453" s="252">
        <v>3.0</v>
      </c>
      <c r="N453" s="258">
        <v>0.0</v>
      </c>
      <c r="O453" s="259">
        <v>156.67</v>
      </c>
      <c r="P453" s="259">
        <v>125.336</v>
      </c>
      <c r="Q453" s="262">
        <v>0.0</v>
      </c>
      <c r="R453" s="260">
        <v>376.00800000000004</v>
      </c>
      <c r="S453" s="260">
        <v>0.0</v>
      </c>
      <c r="T453" s="260">
        <v>470.01</v>
      </c>
      <c r="U453" s="261" t="s">
        <v>1415</v>
      </c>
      <c r="V453" s="279">
        <v>45324.50284722222</v>
      </c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</row>
    <row r="454">
      <c r="A454" s="276">
        <v>45324.0</v>
      </c>
      <c r="B454" s="252">
        <v>5315412.0</v>
      </c>
      <c r="C454" s="253" t="s">
        <v>82</v>
      </c>
      <c r="D454" s="253" t="s">
        <v>35</v>
      </c>
      <c r="E454" s="252">
        <v>4.04472782E9</v>
      </c>
      <c r="F454" s="253" t="s">
        <v>2135</v>
      </c>
      <c r="G454" s="276">
        <v>45410.0</v>
      </c>
      <c r="H454" s="277">
        <v>45412.0</v>
      </c>
      <c r="I454" s="278">
        <v>2.0</v>
      </c>
      <c r="J454" s="257" t="s">
        <v>111</v>
      </c>
      <c r="K454" s="253" t="s">
        <v>79</v>
      </c>
      <c r="L454" s="253" t="s">
        <v>1414</v>
      </c>
      <c r="M454" s="252">
        <v>2.0</v>
      </c>
      <c r="N454" s="258">
        <v>0.0</v>
      </c>
      <c r="O454" s="259">
        <v>175.1</v>
      </c>
      <c r="P454" s="259">
        <v>140.08</v>
      </c>
      <c r="Q454" s="262">
        <v>0.0</v>
      </c>
      <c r="R454" s="260">
        <v>280.16</v>
      </c>
      <c r="S454" s="260">
        <v>0.0</v>
      </c>
      <c r="T454" s="260">
        <v>350.2</v>
      </c>
      <c r="U454" s="261" t="s">
        <v>1415</v>
      </c>
      <c r="V454" s="279">
        <v>45324.89864583334</v>
      </c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</row>
    <row r="455">
      <c r="A455" s="280">
        <v>45325.0</v>
      </c>
      <c r="B455" s="264">
        <v>5318226.0</v>
      </c>
      <c r="C455" s="265" t="s">
        <v>82</v>
      </c>
      <c r="D455" s="265" t="s">
        <v>35</v>
      </c>
      <c r="E455" s="264">
        <v>4.046776905E9</v>
      </c>
      <c r="F455" s="265" t="s">
        <v>2136</v>
      </c>
      <c r="G455" s="280">
        <v>45376.0</v>
      </c>
      <c r="H455" s="281">
        <v>45378.0</v>
      </c>
      <c r="I455" s="282">
        <v>2.0</v>
      </c>
      <c r="J455" s="283" t="s">
        <v>78</v>
      </c>
      <c r="K455" s="265" t="s">
        <v>79</v>
      </c>
      <c r="L455" s="265" t="s">
        <v>1396</v>
      </c>
      <c r="M455" s="264">
        <v>3.0</v>
      </c>
      <c r="N455" s="270">
        <v>0.0</v>
      </c>
      <c r="O455" s="271">
        <v>181.24</v>
      </c>
      <c r="P455" s="271">
        <v>144.99200000000002</v>
      </c>
      <c r="Q455" s="272">
        <v>0.0</v>
      </c>
      <c r="R455" s="273">
        <v>289.98400000000004</v>
      </c>
      <c r="S455" s="273">
        <v>0.0</v>
      </c>
      <c r="T455" s="273">
        <v>362.48</v>
      </c>
      <c r="U455" s="274" t="s">
        <v>1398</v>
      </c>
      <c r="V455" s="286">
        <v>45325.823692129634</v>
      </c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</row>
    <row r="456">
      <c r="A456" s="289">
        <v>45325.0</v>
      </c>
      <c r="B456" s="290">
        <v>5317608.0</v>
      </c>
      <c r="C456" s="291" t="s">
        <v>82</v>
      </c>
      <c r="D456" s="291" t="s">
        <v>35</v>
      </c>
      <c r="E456" s="290">
        <v>4.276571435E9</v>
      </c>
      <c r="F456" s="291" t="s">
        <v>2137</v>
      </c>
      <c r="G456" s="289">
        <v>45408.0</v>
      </c>
      <c r="H456" s="292">
        <v>45411.0</v>
      </c>
      <c r="I456" s="293">
        <v>3.0</v>
      </c>
      <c r="J456" s="294" t="s">
        <v>78</v>
      </c>
      <c r="K456" s="291" t="s">
        <v>79</v>
      </c>
      <c r="L456" s="291" t="s">
        <v>1400</v>
      </c>
      <c r="M456" s="290">
        <v>2.0</v>
      </c>
      <c r="N456" s="295">
        <v>0.0</v>
      </c>
      <c r="O456" s="296">
        <v>214.6</v>
      </c>
      <c r="P456" s="296">
        <v>171.68</v>
      </c>
      <c r="Q456" s="301">
        <v>0.0</v>
      </c>
      <c r="R456" s="297">
        <v>515.04</v>
      </c>
      <c r="S456" s="297">
        <v>0.0</v>
      </c>
      <c r="T456" s="297">
        <v>643.8</v>
      </c>
      <c r="U456" s="298" t="s">
        <v>1401</v>
      </c>
      <c r="V456" s="299">
        <v>45325.67991898148</v>
      </c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</row>
    <row r="457">
      <c r="A457" s="210">
        <v>45325.0</v>
      </c>
      <c r="B457" s="166">
        <v>5318455.0</v>
      </c>
      <c r="C457" s="166" t="s">
        <v>82</v>
      </c>
      <c r="D457" s="166" t="s">
        <v>35</v>
      </c>
      <c r="E457" s="166">
        <v>4.284984335E9</v>
      </c>
      <c r="F457" s="166" t="s">
        <v>2138</v>
      </c>
      <c r="G457" s="210">
        <v>45484.0</v>
      </c>
      <c r="H457" s="287">
        <v>45486.0</v>
      </c>
      <c r="I457" s="168">
        <v>2.0</v>
      </c>
      <c r="J457" s="169" t="s">
        <v>87</v>
      </c>
      <c r="K457" s="166" t="s">
        <v>138</v>
      </c>
      <c r="L457" s="166" t="s">
        <v>1501</v>
      </c>
      <c r="M457" s="205">
        <v>2.0</v>
      </c>
      <c r="N457" s="170">
        <v>0.0</v>
      </c>
      <c r="O457" s="171">
        <v>150.31</v>
      </c>
      <c r="P457" s="171">
        <v>120.248</v>
      </c>
      <c r="Q457" s="172">
        <v>36.0</v>
      </c>
      <c r="R457" s="173">
        <v>240.496</v>
      </c>
      <c r="S457" s="173">
        <v>72.0</v>
      </c>
      <c r="T457" s="173">
        <v>372.62</v>
      </c>
      <c r="U457" s="174" t="s">
        <v>1502</v>
      </c>
      <c r="V457" s="288">
        <v>45325.877118055556</v>
      </c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</row>
    <row r="458">
      <c r="A458" s="280">
        <v>45326.0</v>
      </c>
      <c r="B458" s="264">
        <v>5321674.0</v>
      </c>
      <c r="C458" s="265" t="s">
        <v>75</v>
      </c>
      <c r="D458" s="265" t="s">
        <v>35</v>
      </c>
      <c r="E458" s="264">
        <v>4.244194019E9</v>
      </c>
      <c r="F458" s="265" t="s">
        <v>2139</v>
      </c>
      <c r="G458" s="280">
        <v>45450.0</v>
      </c>
      <c r="H458" s="281">
        <v>45452.0</v>
      </c>
      <c r="I458" s="282">
        <v>2.0</v>
      </c>
      <c r="J458" s="283" t="s">
        <v>87</v>
      </c>
      <c r="K458" s="265" t="s">
        <v>79</v>
      </c>
      <c r="L458" s="265" t="s">
        <v>1400</v>
      </c>
      <c r="M458" s="269">
        <v>2.0</v>
      </c>
      <c r="N458" s="270">
        <v>0.0</v>
      </c>
      <c r="O458" s="271">
        <v>132.11</v>
      </c>
      <c r="P458" s="271">
        <v>105.68800000000002</v>
      </c>
      <c r="Q458" s="272">
        <v>0.0</v>
      </c>
      <c r="R458" s="273">
        <v>211.37600000000003</v>
      </c>
      <c r="S458" s="273">
        <v>0.0</v>
      </c>
      <c r="T458" s="273">
        <v>264.22</v>
      </c>
      <c r="U458" s="274" t="s">
        <v>1401</v>
      </c>
      <c r="V458" s="286">
        <v>45443.0493287037</v>
      </c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</row>
    <row r="459">
      <c r="A459" s="276">
        <v>45327.0</v>
      </c>
      <c r="B459" s="252">
        <v>5324448.0</v>
      </c>
      <c r="C459" s="253" t="s">
        <v>82</v>
      </c>
      <c r="D459" s="253" t="s">
        <v>94</v>
      </c>
      <c r="E459" s="252">
        <v>5324448.0</v>
      </c>
      <c r="F459" s="253" t="s">
        <v>2141</v>
      </c>
      <c r="G459" s="276">
        <v>45327.0</v>
      </c>
      <c r="H459" s="277">
        <v>45329.0</v>
      </c>
      <c r="I459" s="278">
        <v>2.0</v>
      </c>
      <c r="J459" s="257" t="s">
        <v>78</v>
      </c>
      <c r="K459" s="253" t="s">
        <v>79</v>
      </c>
      <c r="L459" s="253" t="s">
        <v>1462</v>
      </c>
      <c r="M459" s="252">
        <v>2.0</v>
      </c>
      <c r="N459" s="258">
        <v>0.0</v>
      </c>
      <c r="O459" s="259">
        <v>203.0</v>
      </c>
      <c r="P459" s="259">
        <v>200.97</v>
      </c>
      <c r="Q459" s="262">
        <v>0.0</v>
      </c>
      <c r="R459" s="260">
        <v>401.94</v>
      </c>
      <c r="S459" s="260">
        <v>0.0</v>
      </c>
      <c r="T459" s="260">
        <v>406.0</v>
      </c>
      <c r="U459" s="261" t="s">
        <v>1463</v>
      </c>
      <c r="V459" s="279">
        <v>45327.76751157407</v>
      </c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</row>
    <row r="460">
      <c r="A460" s="276">
        <v>45327.0</v>
      </c>
      <c r="B460" s="252">
        <v>5324458.0</v>
      </c>
      <c r="C460" s="253" t="s">
        <v>75</v>
      </c>
      <c r="D460" s="253" t="s">
        <v>94</v>
      </c>
      <c r="E460" s="252">
        <v>5324458.0</v>
      </c>
      <c r="F460" s="253" t="s">
        <v>2086</v>
      </c>
      <c r="G460" s="276">
        <v>45330.0</v>
      </c>
      <c r="H460" s="277">
        <v>45332.0</v>
      </c>
      <c r="I460" s="278">
        <v>2.0</v>
      </c>
      <c r="J460" s="257" t="s">
        <v>87</v>
      </c>
      <c r="K460" s="253" t="s">
        <v>79</v>
      </c>
      <c r="L460" s="253" t="s">
        <v>1462</v>
      </c>
      <c r="M460" s="252">
        <v>2.0</v>
      </c>
      <c r="N460" s="258">
        <v>0.0</v>
      </c>
      <c r="O460" s="259">
        <v>170.0</v>
      </c>
      <c r="P460" s="259">
        <v>168.3</v>
      </c>
      <c r="Q460" s="262">
        <v>0.0</v>
      </c>
      <c r="R460" s="260">
        <v>336.6</v>
      </c>
      <c r="S460" s="260">
        <v>0.0</v>
      </c>
      <c r="T460" s="260">
        <v>210.0</v>
      </c>
      <c r="U460" s="261" t="s">
        <v>1463</v>
      </c>
      <c r="V460" s="279">
        <v>45329.33489583334</v>
      </c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</row>
    <row r="461">
      <c r="A461" s="276">
        <v>45328.0</v>
      </c>
      <c r="B461" s="252">
        <v>5326957.0</v>
      </c>
      <c r="C461" s="253" t="s">
        <v>82</v>
      </c>
      <c r="D461" s="253" t="s">
        <v>35</v>
      </c>
      <c r="E461" s="252">
        <v>4.155038978E9</v>
      </c>
      <c r="F461" s="253" t="s">
        <v>2143</v>
      </c>
      <c r="G461" s="276">
        <v>45328.0</v>
      </c>
      <c r="H461" s="277">
        <v>45329.0</v>
      </c>
      <c r="I461" s="278">
        <v>1.0</v>
      </c>
      <c r="J461" s="257" t="s">
        <v>87</v>
      </c>
      <c r="K461" s="253" t="s">
        <v>79</v>
      </c>
      <c r="L461" s="253" t="s">
        <v>1396</v>
      </c>
      <c r="M461" s="252">
        <v>2.0</v>
      </c>
      <c r="N461" s="258">
        <v>0.0</v>
      </c>
      <c r="O461" s="259">
        <v>162.78</v>
      </c>
      <c r="P461" s="259">
        <v>130.22400000000002</v>
      </c>
      <c r="Q461" s="262">
        <v>0.0</v>
      </c>
      <c r="R461" s="260">
        <v>130.22400000000002</v>
      </c>
      <c r="S461" s="260">
        <v>0.0</v>
      </c>
      <c r="T461" s="260">
        <v>162.78</v>
      </c>
      <c r="U461" s="261" t="s">
        <v>1398</v>
      </c>
      <c r="V461" s="279">
        <v>45328.56532407408</v>
      </c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</row>
    <row r="462">
      <c r="A462" s="276">
        <v>45328.0</v>
      </c>
      <c r="B462" s="252">
        <v>5328809.0</v>
      </c>
      <c r="C462" s="253" t="s">
        <v>82</v>
      </c>
      <c r="D462" s="253" t="s">
        <v>35</v>
      </c>
      <c r="E462" s="252">
        <v>4.186267378E9</v>
      </c>
      <c r="F462" s="253" t="s">
        <v>2144</v>
      </c>
      <c r="G462" s="276">
        <v>45337.0</v>
      </c>
      <c r="H462" s="277">
        <v>45338.0</v>
      </c>
      <c r="I462" s="278">
        <v>1.0</v>
      </c>
      <c r="J462" s="257" t="s">
        <v>87</v>
      </c>
      <c r="K462" s="253" t="s">
        <v>79</v>
      </c>
      <c r="L462" s="253" t="s">
        <v>1396</v>
      </c>
      <c r="M462" s="252">
        <v>2.0</v>
      </c>
      <c r="N462" s="258">
        <v>0.0</v>
      </c>
      <c r="O462" s="259">
        <v>148.02</v>
      </c>
      <c r="P462" s="259">
        <v>118.41600000000001</v>
      </c>
      <c r="Q462" s="262">
        <v>0.0</v>
      </c>
      <c r="R462" s="260">
        <v>118.41600000000001</v>
      </c>
      <c r="S462" s="260">
        <v>0.0</v>
      </c>
      <c r="T462" s="260">
        <v>148.02</v>
      </c>
      <c r="U462" s="261" t="s">
        <v>1398</v>
      </c>
      <c r="V462" s="279">
        <v>45328.9639699074</v>
      </c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</row>
    <row r="463">
      <c r="A463" s="210">
        <v>45328.0</v>
      </c>
      <c r="B463" s="166">
        <v>5328601.0</v>
      </c>
      <c r="C463" s="166" t="s">
        <v>89</v>
      </c>
      <c r="D463" s="166" t="s">
        <v>35</v>
      </c>
      <c r="E463" s="166">
        <v>4.186285496E9</v>
      </c>
      <c r="F463" s="166" t="s">
        <v>2145</v>
      </c>
      <c r="G463" s="210">
        <v>45417.0</v>
      </c>
      <c r="H463" s="287">
        <v>45422.0</v>
      </c>
      <c r="I463" s="168">
        <v>5.0</v>
      </c>
      <c r="J463" s="169" t="s">
        <v>114</v>
      </c>
      <c r="K463" s="166" t="s">
        <v>79</v>
      </c>
      <c r="L463" s="166" t="s">
        <v>1396</v>
      </c>
      <c r="M463" s="166">
        <v>2.0</v>
      </c>
      <c r="N463" s="170">
        <v>0.0</v>
      </c>
      <c r="O463" s="171">
        <v>0.0</v>
      </c>
      <c r="P463" s="171">
        <v>0.0</v>
      </c>
      <c r="Q463" s="172">
        <v>0.0</v>
      </c>
      <c r="R463" s="173">
        <v>0.0</v>
      </c>
      <c r="S463" s="173">
        <v>0.0</v>
      </c>
      <c r="T463" s="173">
        <v>0.0</v>
      </c>
      <c r="U463" s="174" t="s">
        <v>2146</v>
      </c>
      <c r="V463" s="288">
        <v>45334.64796296296</v>
      </c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</row>
    <row r="464">
      <c r="A464" s="210">
        <v>45328.0</v>
      </c>
      <c r="B464" s="166">
        <v>5327091.0</v>
      </c>
      <c r="C464" s="166" t="s">
        <v>82</v>
      </c>
      <c r="D464" s="166" t="s">
        <v>35</v>
      </c>
      <c r="E464" s="166">
        <v>4.137996487E9</v>
      </c>
      <c r="F464" s="166" t="s">
        <v>2147</v>
      </c>
      <c r="G464" s="210">
        <v>45437.0</v>
      </c>
      <c r="H464" s="287">
        <v>45441.0</v>
      </c>
      <c r="I464" s="168">
        <v>4.0</v>
      </c>
      <c r="J464" s="169" t="s">
        <v>78</v>
      </c>
      <c r="K464" s="166" t="s">
        <v>79</v>
      </c>
      <c r="L464" s="166" t="s">
        <v>1400</v>
      </c>
      <c r="M464" s="205">
        <v>2.0</v>
      </c>
      <c r="N464" s="170">
        <v>0.0</v>
      </c>
      <c r="O464" s="171">
        <v>184.85</v>
      </c>
      <c r="P464" s="171">
        <v>147.88</v>
      </c>
      <c r="Q464" s="172">
        <v>0.0</v>
      </c>
      <c r="R464" s="173">
        <v>591.52</v>
      </c>
      <c r="S464" s="173">
        <v>0.0</v>
      </c>
      <c r="T464" s="173">
        <v>739.4</v>
      </c>
      <c r="U464" s="201" t="s">
        <v>1401</v>
      </c>
      <c r="V464" s="288">
        <v>45328.59100694444</v>
      </c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</row>
    <row r="465">
      <c r="A465" s="280">
        <v>45328.0</v>
      </c>
      <c r="B465" s="264">
        <v>5328530.0</v>
      </c>
      <c r="C465" s="265" t="s">
        <v>82</v>
      </c>
      <c r="D465" s="265" t="s">
        <v>35</v>
      </c>
      <c r="E465" s="264">
        <v>4.20633142E9</v>
      </c>
      <c r="F465" s="265" t="s">
        <v>2149</v>
      </c>
      <c r="G465" s="280">
        <v>45569.0</v>
      </c>
      <c r="H465" s="281">
        <v>45571.0</v>
      </c>
      <c r="I465" s="282">
        <v>2.0</v>
      </c>
      <c r="J465" s="283" t="s">
        <v>87</v>
      </c>
      <c r="K465" s="265" t="s">
        <v>79</v>
      </c>
      <c r="L465" s="265" t="s">
        <v>1396</v>
      </c>
      <c r="M465" s="269">
        <v>2.0</v>
      </c>
      <c r="N465" s="270">
        <v>0.0</v>
      </c>
      <c r="O465" s="271">
        <v>114.33</v>
      </c>
      <c r="P465" s="271">
        <v>91.464</v>
      </c>
      <c r="Q465" s="272">
        <v>0.0</v>
      </c>
      <c r="R465" s="273">
        <v>182.928</v>
      </c>
      <c r="S465" s="273">
        <v>0.0</v>
      </c>
      <c r="T465" s="273">
        <v>228.66</v>
      </c>
      <c r="U465" s="274" t="s">
        <v>1398</v>
      </c>
      <c r="V465" s="284">
        <v>45328.9000462963</v>
      </c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</row>
    <row r="466">
      <c r="A466" s="276">
        <v>45329.0</v>
      </c>
      <c r="B466" s="252">
        <v>5329494.0</v>
      </c>
      <c r="C466" s="253" t="s">
        <v>89</v>
      </c>
      <c r="D466" s="253" t="s">
        <v>94</v>
      </c>
      <c r="E466" s="252">
        <v>5329494.0</v>
      </c>
      <c r="F466" s="253" t="s">
        <v>2150</v>
      </c>
      <c r="G466" s="276">
        <v>45329.0</v>
      </c>
      <c r="H466" s="277">
        <v>45330.0</v>
      </c>
      <c r="I466" s="278">
        <v>1.0</v>
      </c>
      <c r="J466" s="257" t="s">
        <v>87</v>
      </c>
      <c r="K466" s="253" t="s">
        <v>79</v>
      </c>
      <c r="L466" s="253" t="s">
        <v>1462</v>
      </c>
      <c r="M466" s="275">
        <v>2.0</v>
      </c>
      <c r="N466" s="258">
        <v>0.0</v>
      </c>
      <c r="O466" s="259">
        <v>0.0</v>
      </c>
      <c r="P466" s="259">
        <v>0.0</v>
      </c>
      <c r="Q466" s="262">
        <v>0.0</v>
      </c>
      <c r="R466" s="260">
        <v>0.0</v>
      </c>
      <c r="S466" s="260">
        <v>0.0</v>
      </c>
      <c r="T466" s="273">
        <v>0.0</v>
      </c>
      <c r="U466" s="274" t="s">
        <v>2151</v>
      </c>
      <c r="V466" s="284">
        <v>45329.33560185185</v>
      </c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</row>
    <row r="467">
      <c r="A467" s="289">
        <v>45329.0</v>
      </c>
      <c r="B467" s="290">
        <v>5332087.0</v>
      </c>
      <c r="C467" s="291" t="s">
        <v>82</v>
      </c>
      <c r="D467" s="291" t="s">
        <v>35</v>
      </c>
      <c r="E467" s="290">
        <v>4.003116699E9</v>
      </c>
      <c r="F467" s="291" t="s">
        <v>2152</v>
      </c>
      <c r="G467" s="289">
        <v>45386.0</v>
      </c>
      <c r="H467" s="292">
        <v>45388.0</v>
      </c>
      <c r="I467" s="293">
        <v>2.0</v>
      </c>
      <c r="J467" s="294" t="s">
        <v>114</v>
      </c>
      <c r="K467" s="291" t="s">
        <v>79</v>
      </c>
      <c r="L467" s="291" t="s">
        <v>1411</v>
      </c>
      <c r="M467" s="290">
        <v>2.0</v>
      </c>
      <c r="N467" s="295">
        <v>0.0</v>
      </c>
      <c r="O467" s="296">
        <v>226.85</v>
      </c>
      <c r="P467" s="296">
        <v>181.48000000000002</v>
      </c>
      <c r="Q467" s="301">
        <v>0.0</v>
      </c>
      <c r="R467" s="297">
        <v>362.96000000000004</v>
      </c>
      <c r="S467" s="297">
        <v>0.0</v>
      </c>
      <c r="T467" s="297">
        <v>453.7</v>
      </c>
      <c r="U467" s="298" t="s">
        <v>1412</v>
      </c>
      <c r="V467" s="299">
        <v>45329.925057870365</v>
      </c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</row>
    <row r="468">
      <c r="A468" s="276">
        <v>45329.0</v>
      </c>
      <c r="B468" s="252">
        <v>5329969.0</v>
      </c>
      <c r="C468" s="253" t="s">
        <v>82</v>
      </c>
      <c r="D468" s="253" t="s">
        <v>35</v>
      </c>
      <c r="E468" s="252">
        <v>4.209224945E9</v>
      </c>
      <c r="F468" s="253" t="s">
        <v>2153</v>
      </c>
      <c r="G468" s="276">
        <v>45427.0</v>
      </c>
      <c r="H468" s="277">
        <v>45430.0</v>
      </c>
      <c r="I468" s="278">
        <v>3.0</v>
      </c>
      <c r="J468" s="257" t="s">
        <v>87</v>
      </c>
      <c r="K468" s="253" t="s">
        <v>79</v>
      </c>
      <c r="L468" s="253" t="s">
        <v>1400</v>
      </c>
      <c r="M468" s="252">
        <v>2.0</v>
      </c>
      <c r="N468" s="258">
        <v>0.0</v>
      </c>
      <c r="O468" s="259">
        <v>146.6</v>
      </c>
      <c r="P468" s="259">
        <v>117.28</v>
      </c>
      <c r="Q468" s="262">
        <v>0.0</v>
      </c>
      <c r="R468" s="260">
        <v>351.84000000000003</v>
      </c>
      <c r="S468" s="260">
        <v>0.0</v>
      </c>
      <c r="T468" s="260">
        <v>439.8</v>
      </c>
      <c r="U468" s="261" t="s">
        <v>1401</v>
      </c>
      <c r="V468" s="279">
        <v>45329.46739583333</v>
      </c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</row>
    <row r="469">
      <c r="A469" s="276">
        <v>45329.0</v>
      </c>
      <c r="B469" s="252">
        <v>5329912.0</v>
      </c>
      <c r="C469" s="253" t="s">
        <v>82</v>
      </c>
      <c r="D469" s="253" t="s">
        <v>35</v>
      </c>
      <c r="E469" s="252">
        <v>4.143296261E9</v>
      </c>
      <c r="F469" s="253" t="s">
        <v>2154</v>
      </c>
      <c r="G469" s="276">
        <v>45429.0</v>
      </c>
      <c r="H469" s="277">
        <v>45431.0</v>
      </c>
      <c r="I469" s="278">
        <v>2.0</v>
      </c>
      <c r="J469" s="257" t="s">
        <v>114</v>
      </c>
      <c r="K469" s="253" t="s">
        <v>79</v>
      </c>
      <c r="L469" s="253" t="s">
        <v>1400</v>
      </c>
      <c r="M469" s="252">
        <v>2.0</v>
      </c>
      <c r="N469" s="258">
        <v>0.0</v>
      </c>
      <c r="O469" s="259">
        <v>194.2</v>
      </c>
      <c r="P469" s="259">
        <v>155.36</v>
      </c>
      <c r="Q469" s="262">
        <v>0.0</v>
      </c>
      <c r="R469" s="260">
        <v>310.72</v>
      </c>
      <c r="S469" s="260">
        <v>0.0</v>
      </c>
      <c r="T469" s="260">
        <v>388.4</v>
      </c>
      <c r="U469" s="261" t="s">
        <v>1401</v>
      </c>
      <c r="V469" s="279">
        <v>45329.452835648146</v>
      </c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</row>
    <row r="470">
      <c r="A470" s="276">
        <v>45330.0</v>
      </c>
      <c r="B470" s="252">
        <v>5332458.0</v>
      </c>
      <c r="C470" s="253" t="s">
        <v>82</v>
      </c>
      <c r="D470" s="253" t="s">
        <v>35</v>
      </c>
      <c r="E470" s="252">
        <v>4.143260107E9</v>
      </c>
      <c r="F470" s="253" t="s">
        <v>2156</v>
      </c>
      <c r="G470" s="276">
        <v>45397.0</v>
      </c>
      <c r="H470" s="277">
        <v>45400.0</v>
      </c>
      <c r="I470" s="278">
        <v>3.0</v>
      </c>
      <c r="J470" s="257" t="s">
        <v>87</v>
      </c>
      <c r="K470" s="253" t="s">
        <v>79</v>
      </c>
      <c r="L470" s="253" t="s">
        <v>1443</v>
      </c>
      <c r="M470" s="275">
        <v>2.0</v>
      </c>
      <c r="N470" s="258">
        <v>0.0</v>
      </c>
      <c r="O470" s="259">
        <v>148.06</v>
      </c>
      <c r="P470" s="259">
        <v>118.44800000000001</v>
      </c>
      <c r="Q470" s="262">
        <v>0.0</v>
      </c>
      <c r="R470" s="260">
        <v>355.34400000000005</v>
      </c>
      <c r="S470" s="260">
        <v>0.0</v>
      </c>
      <c r="T470" s="260">
        <v>444.18</v>
      </c>
      <c r="U470" s="261" t="s">
        <v>1444</v>
      </c>
      <c r="V470" s="279">
        <v>45330.067395833335</v>
      </c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</row>
    <row r="471">
      <c r="A471" s="280">
        <v>45330.0</v>
      </c>
      <c r="B471" s="264">
        <v>5334692.0</v>
      </c>
      <c r="C471" s="265" t="s">
        <v>89</v>
      </c>
      <c r="D471" s="265" t="s">
        <v>35</v>
      </c>
      <c r="E471" s="264">
        <v>4.258032379E9</v>
      </c>
      <c r="F471" s="265" t="s">
        <v>2157</v>
      </c>
      <c r="G471" s="280">
        <v>45418.0</v>
      </c>
      <c r="H471" s="281">
        <v>45419.0</v>
      </c>
      <c r="I471" s="282">
        <v>1.0</v>
      </c>
      <c r="J471" s="283" t="s">
        <v>78</v>
      </c>
      <c r="K471" s="265" t="s">
        <v>79</v>
      </c>
      <c r="L471" s="265" t="s">
        <v>1400</v>
      </c>
      <c r="M471" s="269">
        <v>2.0</v>
      </c>
      <c r="N471" s="270">
        <v>0.0</v>
      </c>
      <c r="O471" s="271">
        <v>0.0</v>
      </c>
      <c r="P471" s="271">
        <v>0.0</v>
      </c>
      <c r="Q471" s="272">
        <v>0.0</v>
      </c>
      <c r="R471" s="273">
        <v>0.0</v>
      </c>
      <c r="S471" s="273">
        <v>0.0</v>
      </c>
      <c r="T471" s="273">
        <v>0.0</v>
      </c>
      <c r="U471" s="274" t="s">
        <v>2159</v>
      </c>
      <c r="V471" s="286">
        <v>45330.743101851855</v>
      </c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</row>
    <row r="472">
      <c r="A472" s="280">
        <v>45331.0</v>
      </c>
      <c r="B472" s="264">
        <v>5336850.0</v>
      </c>
      <c r="C472" s="265" t="s">
        <v>82</v>
      </c>
      <c r="D472" s="265" t="s">
        <v>35</v>
      </c>
      <c r="E472" s="264">
        <v>4.189411109E9</v>
      </c>
      <c r="F472" s="265" t="s">
        <v>2161</v>
      </c>
      <c r="G472" s="280">
        <v>45372.0</v>
      </c>
      <c r="H472" s="281">
        <v>45375.0</v>
      </c>
      <c r="I472" s="282">
        <v>3.0</v>
      </c>
      <c r="J472" s="283" t="s">
        <v>87</v>
      </c>
      <c r="K472" s="265" t="s">
        <v>79</v>
      </c>
      <c r="L472" s="265" t="s">
        <v>1724</v>
      </c>
      <c r="M472" s="264">
        <v>2.0</v>
      </c>
      <c r="N472" s="270">
        <v>0.0</v>
      </c>
      <c r="O472" s="271">
        <v>171.13</v>
      </c>
      <c r="P472" s="271">
        <v>136.904</v>
      </c>
      <c r="Q472" s="272">
        <v>0.0</v>
      </c>
      <c r="R472" s="273">
        <v>410.712</v>
      </c>
      <c r="S472" s="273">
        <v>0.0</v>
      </c>
      <c r="T472" s="273">
        <v>513.39</v>
      </c>
      <c r="U472" s="274" t="s">
        <v>1725</v>
      </c>
      <c r="V472" s="286">
        <v>45331.49726851852</v>
      </c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</row>
    <row r="473">
      <c r="A473" s="276">
        <v>45331.0</v>
      </c>
      <c r="B473" s="252">
        <v>5338229.0</v>
      </c>
      <c r="C473" s="253" t="s">
        <v>82</v>
      </c>
      <c r="D473" s="253" t="s">
        <v>35</v>
      </c>
      <c r="E473" s="252">
        <v>4.103065437E9</v>
      </c>
      <c r="F473" s="253" t="s">
        <v>2163</v>
      </c>
      <c r="G473" s="276">
        <v>45417.0</v>
      </c>
      <c r="H473" s="277">
        <v>45419.0</v>
      </c>
      <c r="I473" s="278">
        <v>2.0</v>
      </c>
      <c r="J473" s="257" t="s">
        <v>78</v>
      </c>
      <c r="K473" s="253" t="s">
        <v>138</v>
      </c>
      <c r="L473" s="253" t="s">
        <v>1584</v>
      </c>
      <c r="M473" s="275">
        <v>2.0</v>
      </c>
      <c r="N473" s="258">
        <v>0.0</v>
      </c>
      <c r="O473" s="259">
        <v>225.27999999999997</v>
      </c>
      <c r="P473" s="259">
        <v>180.224</v>
      </c>
      <c r="Q473" s="262">
        <v>36.0</v>
      </c>
      <c r="R473" s="260">
        <v>360.448</v>
      </c>
      <c r="S473" s="260">
        <v>72.0</v>
      </c>
      <c r="T473" s="260">
        <v>522.56</v>
      </c>
      <c r="U473" s="261" t="s">
        <v>1585</v>
      </c>
      <c r="V473" s="279">
        <v>45331.806979166664</v>
      </c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</row>
    <row r="474">
      <c r="A474" s="276">
        <v>45332.0</v>
      </c>
      <c r="B474" s="252">
        <v>5340847.0</v>
      </c>
      <c r="C474" s="253" t="s">
        <v>82</v>
      </c>
      <c r="D474" s="253" t="s">
        <v>94</v>
      </c>
      <c r="E474" s="252">
        <v>5340847.0</v>
      </c>
      <c r="F474" s="253" t="s">
        <v>2165</v>
      </c>
      <c r="G474" s="276">
        <v>45332.0</v>
      </c>
      <c r="H474" s="277">
        <v>45333.0</v>
      </c>
      <c r="I474" s="278">
        <v>1.0</v>
      </c>
      <c r="J474" s="257" t="s">
        <v>87</v>
      </c>
      <c r="K474" s="253" t="s">
        <v>79</v>
      </c>
      <c r="L474" s="253" t="s">
        <v>1462</v>
      </c>
      <c r="M474" s="252">
        <v>2.0</v>
      </c>
      <c r="N474" s="258">
        <v>0.0</v>
      </c>
      <c r="O474" s="259">
        <v>170.0</v>
      </c>
      <c r="P474" s="259">
        <v>168.3</v>
      </c>
      <c r="Q474" s="257">
        <v>0.0</v>
      </c>
      <c r="R474" s="260">
        <v>168.3</v>
      </c>
      <c r="S474" s="260">
        <v>0.0</v>
      </c>
      <c r="T474" s="273">
        <v>170.0</v>
      </c>
      <c r="U474" s="274" t="s">
        <v>1463</v>
      </c>
      <c r="V474" s="284">
        <v>45332.6971412037</v>
      </c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</row>
    <row r="475">
      <c r="A475" s="276">
        <v>45332.0</v>
      </c>
      <c r="B475" s="252">
        <v>5339814.0</v>
      </c>
      <c r="C475" s="253" t="s">
        <v>82</v>
      </c>
      <c r="D475" s="253" t="s">
        <v>35</v>
      </c>
      <c r="E475" s="252">
        <v>4.157146289E9</v>
      </c>
      <c r="F475" s="253" t="s">
        <v>2167</v>
      </c>
      <c r="G475" s="276">
        <v>45332.0</v>
      </c>
      <c r="H475" s="277">
        <v>45333.0</v>
      </c>
      <c r="I475" s="278">
        <v>1.0</v>
      </c>
      <c r="J475" s="257" t="s">
        <v>87</v>
      </c>
      <c r="K475" s="253" t="s">
        <v>79</v>
      </c>
      <c r="L475" s="253" t="s">
        <v>1396</v>
      </c>
      <c r="M475" s="252">
        <v>2.0</v>
      </c>
      <c r="N475" s="258">
        <v>0.0</v>
      </c>
      <c r="O475" s="259">
        <v>162.78</v>
      </c>
      <c r="P475" s="259">
        <v>130.22400000000002</v>
      </c>
      <c r="Q475" s="257">
        <v>0.0</v>
      </c>
      <c r="R475" s="260">
        <v>130.22400000000002</v>
      </c>
      <c r="S475" s="260">
        <v>0.0</v>
      </c>
      <c r="T475" s="260">
        <v>162.78</v>
      </c>
      <c r="U475" s="261" t="s">
        <v>1398</v>
      </c>
      <c r="V475" s="279">
        <v>45332.46604166667</v>
      </c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</row>
    <row r="476">
      <c r="A476" s="276">
        <v>45332.0</v>
      </c>
      <c r="B476" s="252">
        <v>5342068.0</v>
      </c>
      <c r="C476" s="253" t="s">
        <v>82</v>
      </c>
      <c r="D476" s="253" t="s">
        <v>35</v>
      </c>
      <c r="E476" s="252">
        <v>4.090212871E9</v>
      </c>
      <c r="F476" s="253" t="s">
        <v>2169</v>
      </c>
      <c r="G476" s="276">
        <v>45346.0</v>
      </c>
      <c r="H476" s="277">
        <v>45349.0</v>
      </c>
      <c r="I476" s="278">
        <v>3.0</v>
      </c>
      <c r="J476" s="257" t="s">
        <v>78</v>
      </c>
      <c r="K476" s="253" t="s">
        <v>79</v>
      </c>
      <c r="L476" s="253" t="s">
        <v>1443</v>
      </c>
      <c r="M476" s="252">
        <v>2.0</v>
      </c>
      <c r="N476" s="258">
        <v>0.0</v>
      </c>
      <c r="O476" s="259">
        <v>194.34</v>
      </c>
      <c r="P476" s="259">
        <v>155.472</v>
      </c>
      <c r="Q476" s="257">
        <v>0.0</v>
      </c>
      <c r="R476" s="260">
        <v>466.416</v>
      </c>
      <c r="S476" s="260">
        <v>0.0</v>
      </c>
      <c r="T476" s="260">
        <v>583.02</v>
      </c>
      <c r="U476" s="261" t="s">
        <v>1444</v>
      </c>
      <c r="V476" s="279">
        <v>45333.00976851852</v>
      </c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</row>
    <row r="477">
      <c r="A477" s="276">
        <v>45332.0</v>
      </c>
      <c r="B477" s="252">
        <v>5341045.0</v>
      </c>
      <c r="C477" s="253" t="s">
        <v>82</v>
      </c>
      <c r="D477" s="253" t="s">
        <v>35</v>
      </c>
      <c r="E477" s="252">
        <v>4.029436149E9</v>
      </c>
      <c r="F477" s="253" t="s">
        <v>2171</v>
      </c>
      <c r="G477" s="276">
        <v>45354.0</v>
      </c>
      <c r="H477" s="277">
        <v>45358.0</v>
      </c>
      <c r="I477" s="278">
        <v>4.0</v>
      </c>
      <c r="J477" s="257" t="s">
        <v>78</v>
      </c>
      <c r="K477" s="253" t="s">
        <v>79</v>
      </c>
      <c r="L477" s="253" t="s">
        <v>1443</v>
      </c>
      <c r="M477" s="252">
        <v>2.0</v>
      </c>
      <c r="N477" s="258">
        <v>0.0</v>
      </c>
      <c r="O477" s="259">
        <v>161.56</v>
      </c>
      <c r="P477" s="259">
        <v>129.24800000000002</v>
      </c>
      <c r="Q477" s="262">
        <v>0.0</v>
      </c>
      <c r="R477" s="260">
        <v>516.9920000000001</v>
      </c>
      <c r="S477" s="260">
        <v>0.0</v>
      </c>
      <c r="T477" s="260">
        <v>646.24</v>
      </c>
      <c r="U477" s="261" t="s">
        <v>1444</v>
      </c>
      <c r="V477" s="279">
        <v>45332.741006944445</v>
      </c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</row>
    <row r="478">
      <c r="A478" s="276">
        <v>45332.0</v>
      </c>
      <c r="B478" s="252">
        <v>5340602.0</v>
      </c>
      <c r="C478" s="253" t="s">
        <v>82</v>
      </c>
      <c r="D478" s="253" t="s">
        <v>35</v>
      </c>
      <c r="E478" s="252">
        <v>4.208833221E9</v>
      </c>
      <c r="F478" s="253" t="s">
        <v>2172</v>
      </c>
      <c r="G478" s="276">
        <v>45375.0</v>
      </c>
      <c r="H478" s="277">
        <v>45379.0</v>
      </c>
      <c r="I478" s="278">
        <v>4.0</v>
      </c>
      <c r="J478" s="257" t="s">
        <v>87</v>
      </c>
      <c r="K478" s="253" t="s">
        <v>79</v>
      </c>
      <c r="L478" s="253" t="s">
        <v>1396</v>
      </c>
      <c r="M478" s="252">
        <v>2.0</v>
      </c>
      <c r="N478" s="258">
        <v>0.0</v>
      </c>
      <c r="O478" s="259">
        <v>136.7</v>
      </c>
      <c r="P478" s="259">
        <v>109.36</v>
      </c>
      <c r="Q478" s="262">
        <v>0.0</v>
      </c>
      <c r="R478" s="260">
        <v>437.44</v>
      </c>
      <c r="S478" s="260">
        <v>0.0</v>
      </c>
      <c r="T478" s="260">
        <v>546.8</v>
      </c>
      <c r="U478" s="261" t="s">
        <v>1398</v>
      </c>
      <c r="V478" s="279">
        <v>45332.642418981486</v>
      </c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</row>
    <row r="479">
      <c r="A479" s="280">
        <v>45332.0</v>
      </c>
      <c r="B479" s="264">
        <v>5341938.0</v>
      </c>
      <c r="C479" s="265" t="s">
        <v>82</v>
      </c>
      <c r="D479" s="265" t="s">
        <v>35</v>
      </c>
      <c r="E479" s="264">
        <v>4.282035047E9</v>
      </c>
      <c r="F479" s="265" t="s">
        <v>2174</v>
      </c>
      <c r="G479" s="280">
        <v>45377.0</v>
      </c>
      <c r="H479" s="281">
        <v>45379.0</v>
      </c>
      <c r="I479" s="282">
        <v>2.0</v>
      </c>
      <c r="J479" s="283" t="s">
        <v>78</v>
      </c>
      <c r="K479" s="265" t="s">
        <v>79</v>
      </c>
      <c r="L479" s="265" t="s">
        <v>1661</v>
      </c>
      <c r="M479" s="264">
        <v>2.0</v>
      </c>
      <c r="N479" s="270">
        <v>0.0</v>
      </c>
      <c r="O479" s="271">
        <v>152.0</v>
      </c>
      <c r="P479" s="271">
        <v>121.60000000000001</v>
      </c>
      <c r="Q479" s="272">
        <v>0.0</v>
      </c>
      <c r="R479" s="273">
        <v>243.20000000000002</v>
      </c>
      <c r="S479" s="273">
        <v>0.0</v>
      </c>
      <c r="T479" s="273">
        <v>608.0</v>
      </c>
      <c r="U479" s="274" t="s">
        <v>1662</v>
      </c>
      <c r="V479" s="286">
        <v>45332.95280092592</v>
      </c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</row>
    <row r="480">
      <c r="A480" s="276">
        <v>45332.0</v>
      </c>
      <c r="B480" s="252">
        <v>5341938.0</v>
      </c>
      <c r="C480" s="253" t="s">
        <v>82</v>
      </c>
      <c r="D480" s="253" t="s">
        <v>35</v>
      </c>
      <c r="E480" s="252">
        <v>4.282035047E9</v>
      </c>
      <c r="F480" s="253" t="s">
        <v>2174</v>
      </c>
      <c r="G480" s="276">
        <v>45377.0</v>
      </c>
      <c r="H480" s="277">
        <v>45379.0</v>
      </c>
      <c r="I480" s="278">
        <v>2.0</v>
      </c>
      <c r="J480" s="257" t="s">
        <v>78</v>
      </c>
      <c r="K480" s="253" t="s">
        <v>79</v>
      </c>
      <c r="L480" s="253" t="s">
        <v>1661</v>
      </c>
      <c r="M480" s="252">
        <v>2.0</v>
      </c>
      <c r="N480" s="258">
        <v>0.0</v>
      </c>
      <c r="O480" s="259">
        <v>152.0</v>
      </c>
      <c r="P480" s="259">
        <v>121.60000000000001</v>
      </c>
      <c r="Q480" s="257">
        <v>0.0</v>
      </c>
      <c r="R480" s="260">
        <v>243.20000000000002</v>
      </c>
      <c r="S480" s="260">
        <v>0.0</v>
      </c>
      <c r="T480" s="260">
        <v>608.0</v>
      </c>
      <c r="U480" s="261" t="s">
        <v>1662</v>
      </c>
      <c r="V480" s="279">
        <v>45332.95280092592</v>
      </c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</row>
    <row r="481">
      <c r="A481" s="276">
        <v>45332.0</v>
      </c>
      <c r="B481" s="252">
        <v>5341513.0</v>
      </c>
      <c r="C481" s="253" t="s">
        <v>89</v>
      </c>
      <c r="D481" s="253" t="s">
        <v>35</v>
      </c>
      <c r="E481" s="252">
        <v>4.228768115E9</v>
      </c>
      <c r="F481" s="253" t="s">
        <v>2177</v>
      </c>
      <c r="G481" s="276">
        <v>45380.0</v>
      </c>
      <c r="H481" s="277">
        <v>45383.0</v>
      </c>
      <c r="I481" s="278">
        <v>3.0</v>
      </c>
      <c r="J481" s="257" t="s">
        <v>87</v>
      </c>
      <c r="K481" s="253" t="s">
        <v>79</v>
      </c>
      <c r="L481" s="253" t="s">
        <v>2047</v>
      </c>
      <c r="M481" s="252">
        <v>1.0</v>
      </c>
      <c r="N481" s="258">
        <v>0.0</v>
      </c>
      <c r="O481" s="259">
        <v>0.0</v>
      </c>
      <c r="P481" s="259">
        <v>0.0</v>
      </c>
      <c r="Q481" s="262">
        <v>0.0</v>
      </c>
      <c r="R481" s="260">
        <v>0.0</v>
      </c>
      <c r="S481" s="260">
        <v>0.0</v>
      </c>
      <c r="T481" s="260">
        <v>0.0</v>
      </c>
      <c r="U481" s="261" t="s">
        <v>2178</v>
      </c>
      <c r="V481" s="279">
        <v>45332.84244212963</v>
      </c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</row>
    <row r="482">
      <c r="A482" s="276">
        <v>45333.0</v>
      </c>
      <c r="B482" s="252">
        <v>5343300.0</v>
      </c>
      <c r="C482" s="253" t="s">
        <v>82</v>
      </c>
      <c r="D482" s="253" t="s">
        <v>35</v>
      </c>
      <c r="E482" s="252">
        <v>4.010337787E9</v>
      </c>
      <c r="F482" s="253" t="s">
        <v>2179</v>
      </c>
      <c r="G482" s="276">
        <v>45340.0</v>
      </c>
      <c r="H482" s="277">
        <v>45342.0</v>
      </c>
      <c r="I482" s="278">
        <v>2.0</v>
      </c>
      <c r="J482" s="257" t="s">
        <v>78</v>
      </c>
      <c r="K482" s="253" t="s">
        <v>79</v>
      </c>
      <c r="L482" s="253" t="s">
        <v>1396</v>
      </c>
      <c r="M482" s="275">
        <v>2.0</v>
      </c>
      <c r="N482" s="258">
        <v>0.0</v>
      </c>
      <c r="O482" s="259">
        <v>167.3</v>
      </c>
      <c r="P482" s="259">
        <v>133.84</v>
      </c>
      <c r="Q482" s="262">
        <v>0.0</v>
      </c>
      <c r="R482" s="260">
        <v>267.68</v>
      </c>
      <c r="S482" s="260">
        <v>0.0</v>
      </c>
      <c r="T482" s="260">
        <v>334.6</v>
      </c>
      <c r="U482" s="261" t="s">
        <v>1398</v>
      </c>
      <c r="V482" s="279">
        <v>45333.553518518514</v>
      </c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</row>
    <row r="483">
      <c r="A483" s="276">
        <v>45333.0</v>
      </c>
      <c r="B483" s="252">
        <v>5345001.0</v>
      </c>
      <c r="C483" s="253" t="s">
        <v>82</v>
      </c>
      <c r="D483" s="253" t="s">
        <v>35</v>
      </c>
      <c r="E483" s="252">
        <v>4.145871689E9</v>
      </c>
      <c r="F483" s="253" t="s">
        <v>2181</v>
      </c>
      <c r="G483" s="276">
        <v>45341.0</v>
      </c>
      <c r="H483" s="277">
        <v>45343.0</v>
      </c>
      <c r="I483" s="278">
        <v>2.0</v>
      </c>
      <c r="J483" s="257" t="s">
        <v>87</v>
      </c>
      <c r="K483" s="253" t="s">
        <v>79</v>
      </c>
      <c r="L483" s="253" t="s">
        <v>1396</v>
      </c>
      <c r="M483" s="252">
        <v>2.0</v>
      </c>
      <c r="N483" s="258">
        <v>0.0</v>
      </c>
      <c r="O483" s="259">
        <v>139.25</v>
      </c>
      <c r="P483" s="259">
        <v>111.4</v>
      </c>
      <c r="Q483" s="257">
        <v>0.0</v>
      </c>
      <c r="R483" s="260">
        <v>222.8</v>
      </c>
      <c r="S483" s="260">
        <v>0.0</v>
      </c>
      <c r="T483" s="260">
        <v>557.0</v>
      </c>
      <c r="U483" s="261" t="s">
        <v>1398</v>
      </c>
      <c r="V483" s="279">
        <v>45333.90424768519</v>
      </c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</row>
    <row r="484">
      <c r="A484" s="289">
        <v>45333.0</v>
      </c>
      <c r="B484" s="290">
        <v>5345001.0</v>
      </c>
      <c r="C484" s="291" t="s">
        <v>82</v>
      </c>
      <c r="D484" s="291" t="s">
        <v>35</v>
      </c>
      <c r="E484" s="290">
        <v>4.145871689E9</v>
      </c>
      <c r="F484" s="291" t="s">
        <v>2181</v>
      </c>
      <c r="G484" s="289">
        <v>45341.0</v>
      </c>
      <c r="H484" s="292">
        <v>45343.0</v>
      </c>
      <c r="I484" s="293">
        <v>2.0</v>
      </c>
      <c r="J484" s="294" t="s">
        <v>87</v>
      </c>
      <c r="K484" s="291" t="s">
        <v>79</v>
      </c>
      <c r="L484" s="291" t="s">
        <v>1396</v>
      </c>
      <c r="M484" s="290">
        <v>2.0</v>
      </c>
      <c r="N484" s="295">
        <v>0.0</v>
      </c>
      <c r="O484" s="296">
        <v>139.25</v>
      </c>
      <c r="P484" s="296">
        <v>111.4</v>
      </c>
      <c r="Q484" s="301">
        <v>0.0</v>
      </c>
      <c r="R484" s="297">
        <v>222.8</v>
      </c>
      <c r="S484" s="297">
        <v>0.0</v>
      </c>
      <c r="T484" s="297">
        <v>557.0</v>
      </c>
      <c r="U484" s="298" t="s">
        <v>1398</v>
      </c>
      <c r="V484" s="299">
        <v>45333.90424768519</v>
      </c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</row>
    <row r="485">
      <c r="A485" s="276">
        <v>45333.0</v>
      </c>
      <c r="B485" s="252">
        <v>5343856.0</v>
      </c>
      <c r="C485" s="253" t="s">
        <v>82</v>
      </c>
      <c r="D485" s="253" t="s">
        <v>35</v>
      </c>
      <c r="E485" s="252">
        <v>4.083691575E9</v>
      </c>
      <c r="F485" s="253" t="s">
        <v>2182</v>
      </c>
      <c r="G485" s="276">
        <v>45376.0</v>
      </c>
      <c r="H485" s="277">
        <v>45383.0</v>
      </c>
      <c r="I485" s="278">
        <v>7.0</v>
      </c>
      <c r="J485" s="257" t="s">
        <v>78</v>
      </c>
      <c r="K485" s="253" t="s">
        <v>79</v>
      </c>
      <c r="L485" s="253" t="s">
        <v>1567</v>
      </c>
      <c r="M485" s="275">
        <v>2.0</v>
      </c>
      <c r="N485" s="258">
        <v>0.0</v>
      </c>
      <c r="O485" s="259">
        <v>177.13000000000002</v>
      </c>
      <c r="P485" s="259">
        <v>141.70400000000004</v>
      </c>
      <c r="Q485" s="262">
        <v>0.0</v>
      </c>
      <c r="R485" s="260">
        <v>991.9280000000001</v>
      </c>
      <c r="S485" s="260">
        <v>0.0</v>
      </c>
      <c r="T485" s="260">
        <v>2640.47</v>
      </c>
      <c r="U485" s="261" t="s">
        <v>1568</v>
      </c>
      <c r="V485" s="279">
        <v>45333.673668981486</v>
      </c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>
      <c r="A486" s="289">
        <v>45333.0</v>
      </c>
      <c r="B486" s="290">
        <v>5343856.0</v>
      </c>
      <c r="C486" s="291" t="s">
        <v>82</v>
      </c>
      <c r="D486" s="291" t="s">
        <v>35</v>
      </c>
      <c r="E486" s="290">
        <v>4.083691575E9</v>
      </c>
      <c r="F486" s="291" t="s">
        <v>2182</v>
      </c>
      <c r="G486" s="289">
        <v>45376.0</v>
      </c>
      <c r="H486" s="292">
        <v>45383.0</v>
      </c>
      <c r="I486" s="293">
        <v>7.0</v>
      </c>
      <c r="J486" s="294" t="s">
        <v>111</v>
      </c>
      <c r="K486" s="291" t="s">
        <v>79</v>
      </c>
      <c r="L486" s="291" t="s">
        <v>1567</v>
      </c>
      <c r="M486" s="300">
        <v>2.0</v>
      </c>
      <c r="N486" s="295">
        <v>0.0</v>
      </c>
      <c r="O486" s="296">
        <v>200.07999999999998</v>
      </c>
      <c r="P486" s="296">
        <v>160.064</v>
      </c>
      <c r="Q486" s="301">
        <v>0.0</v>
      </c>
      <c r="R486" s="297">
        <v>1120.448</v>
      </c>
      <c r="S486" s="297">
        <v>0.0</v>
      </c>
      <c r="T486" s="297">
        <v>2640.47</v>
      </c>
      <c r="U486" s="298" t="s">
        <v>1568</v>
      </c>
      <c r="V486" s="299">
        <v>45333.673668981486</v>
      </c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</row>
    <row r="487">
      <c r="A487" s="276">
        <v>45333.0</v>
      </c>
      <c r="B487" s="252">
        <v>5342664.0</v>
      </c>
      <c r="C487" s="253" t="s">
        <v>82</v>
      </c>
      <c r="D487" s="253" t="s">
        <v>35</v>
      </c>
      <c r="E487" s="252">
        <v>4.145843378E9</v>
      </c>
      <c r="F487" s="253" t="s">
        <v>2184</v>
      </c>
      <c r="G487" s="276">
        <v>45379.0</v>
      </c>
      <c r="H487" s="277">
        <v>45383.0</v>
      </c>
      <c r="I487" s="278">
        <v>4.0</v>
      </c>
      <c r="J487" s="257" t="s">
        <v>78</v>
      </c>
      <c r="K487" s="253" t="s">
        <v>79</v>
      </c>
      <c r="L487" s="253" t="s">
        <v>1724</v>
      </c>
      <c r="M487" s="252">
        <v>2.0</v>
      </c>
      <c r="N487" s="258">
        <v>0.0</v>
      </c>
      <c r="O487" s="259">
        <v>179.0</v>
      </c>
      <c r="P487" s="259">
        <v>143.20000000000002</v>
      </c>
      <c r="Q487" s="262">
        <v>0.0</v>
      </c>
      <c r="R487" s="260">
        <v>572.8000000000001</v>
      </c>
      <c r="S487" s="260">
        <v>0.0</v>
      </c>
      <c r="T487" s="273">
        <v>716.0</v>
      </c>
      <c r="U487" s="274" t="s">
        <v>1725</v>
      </c>
      <c r="V487" s="284">
        <v>45333.38753472222</v>
      </c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</row>
    <row r="488">
      <c r="A488" s="276">
        <v>45333.0</v>
      </c>
      <c r="B488" s="252">
        <v>5344397.0</v>
      </c>
      <c r="C488" s="253" t="s">
        <v>82</v>
      </c>
      <c r="D488" s="253" t="s">
        <v>35</v>
      </c>
      <c r="E488" s="252">
        <v>4.251272189E9</v>
      </c>
      <c r="F488" s="253" t="s">
        <v>2186</v>
      </c>
      <c r="G488" s="276">
        <v>45379.0</v>
      </c>
      <c r="H488" s="277">
        <v>45383.0</v>
      </c>
      <c r="I488" s="278">
        <v>4.0</v>
      </c>
      <c r="J488" s="257" t="s">
        <v>78</v>
      </c>
      <c r="K488" s="253" t="s">
        <v>79</v>
      </c>
      <c r="L488" s="253" t="s">
        <v>1724</v>
      </c>
      <c r="M488" s="275">
        <v>2.0</v>
      </c>
      <c r="N488" s="258">
        <v>0.0</v>
      </c>
      <c r="O488" s="259">
        <v>241.25</v>
      </c>
      <c r="P488" s="259">
        <v>193.0</v>
      </c>
      <c r="Q488" s="262">
        <v>0.0</v>
      </c>
      <c r="R488" s="260">
        <v>772.0</v>
      </c>
      <c r="S488" s="260">
        <v>0.0</v>
      </c>
      <c r="T488" s="260">
        <v>965.0</v>
      </c>
      <c r="U488" s="261" t="s">
        <v>1725</v>
      </c>
      <c r="V488" s="279">
        <v>45333.78340277778</v>
      </c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</row>
    <row r="489">
      <c r="A489" s="280">
        <v>45333.0</v>
      </c>
      <c r="B489" s="264">
        <v>5343499.0</v>
      </c>
      <c r="C489" s="265" t="s">
        <v>82</v>
      </c>
      <c r="D489" s="265" t="s">
        <v>35</v>
      </c>
      <c r="E489" s="265">
        <v>4.262564413E9</v>
      </c>
      <c r="F489" s="265" t="s">
        <v>2188</v>
      </c>
      <c r="G489" s="280">
        <v>45420.0</v>
      </c>
      <c r="H489" s="281">
        <v>45421.0</v>
      </c>
      <c r="I489" s="282">
        <v>1.0</v>
      </c>
      <c r="J489" s="283" t="s">
        <v>78</v>
      </c>
      <c r="K489" s="265" t="s">
        <v>79</v>
      </c>
      <c r="L489" s="265" t="s">
        <v>1400</v>
      </c>
      <c r="M489" s="264">
        <v>2.0</v>
      </c>
      <c r="N489" s="270">
        <v>0.0</v>
      </c>
      <c r="O489" s="271">
        <v>249.88</v>
      </c>
      <c r="P489" s="271">
        <v>199.904</v>
      </c>
      <c r="Q489" s="272">
        <v>0.0</v>
      </c>
      <c r="R489" s="273">
        <v>199.904</v>
      </c>
      <c r="S489" s="273">
        <v>0.0</v>
      </c>
      <c r="T489" s="273">
        <v>249.88</v>
      </c>
      <c r="U489" s="274" t="s">
        <v>1401</v>
      </c>
      <c r="V489" s="286">
        <v>45333.597291666665</v>
      </c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</row>
    <row r="490">
      <c r="A490" s="280">
        <v>45333.0</v>
      </c>
      <c r="B490" s="264">
        <v>5345138.0</v>
      </c>
      <c r="C490" s="265" t="s">
        <v>82</v>
      </c>
      <c r="D490" s="265" t="s">
        <v>35</v>
      </c>
      <c r="E490" s="264">
        <v>4.187748434E9</v>
      </c>
      <c r="F490" s="265" t="s">
        <v>2190</v>
      </c>
      <c r="G490" s="280">
        <v>45485.0</v>
      </c>
      <c r="H490" s="281">
        <v>45486.0</v>
      </c>
      <c r="I490" s="282">
        <v>1.0</v>
      </c>
      <c r="J490" s="283" t="s">
        <v>87</v>
      </c>
      <c r="K490" s="265" t="s">
        <v>79</v>
      </c>
      <c r="L490" s="265" t="s">
        <v>1396</v>
      </c>
      <c r="M490" s="269">
        <v>2.0</v>
      </c>
      <c r="N490" s="270">
        <v>0.0</v>
      </c>
      <c r="O490" s="271">
        <v>111.84</v>
      </c>
      <c r="P490" s="271">
        <v>89.47200000000001</v>
      </c>
      <c r="Q490" s="272">
        <v>0.0</v>
      </c>
      <c r="R490" s="273">
        <v>89.47200000000001</v>
      </c>
      <c r="S490" s="273">
        <v>0.0</v>
      </c>
      <c r="T490" s="273">
        <v>111.84</v>
      </c>
      <c r="U490" s="274" t="s">
        <v>1398</v>
      </c>
      <c r="V490" s="286">
        <v>45333.93413194444</v>
      </c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</row>
    <row r="491">
      <c r="A491" s="289">
        <v>45334.0</v>
      </c>
      <c r="B491" s="290">
        <v>5347203.0</v>
      </c>
      <c r="C491" s="291" t="s">
        <v>82</v>
      </c>
      <c r="D491" s="291" t="s">
        <v>35</v>
      </c>
      <c r="E491" s="290">
        <v>4.191106327E9</v>
      </c>
      <c r="F491" s="291" t="s">
        <v>2192</v>
      </c>
      <c r="G491" s="289">
        <v>45379.0</v>
      </c>
      <c r="H491" s="292">
        <v>45380.0</v>
      </c>
      <c r="I491" s="293">
        <v>1.0</v>
      </c>
      <c r="J491" s="294" t="s">
        <v>78</v>
      </c>
      <c r="K491" s="291" t="s">
        <v>79</v>
      </c>
      <c r="L491" s="291" t="s">
        <v>1396</v>
      </c>
      <c r="M491" s="290">
        <v>2.0</v>
      </c>
      <c r="N491" s="295">
        <v>0.0</v>
      </c>
      <c r="O491" s="296">
        <v>161.56</v>
      </c>
      <c r="P491" s="296">
        <v>129.24800000000002</v>
      </c>
      <c r="Q491" s="294">
        <v>0.0</v>
      </c>
      <c r="R491" s="297">
        <v>129.24800000000002</v>
      </c>
      <c r="S491" s="297">
        <v>0.0</v>
      </c>
      <c r="T491" s="297">
        <v>161.56</v>
      </c>
      <c r="U491" s="298" t="s">
        <v>1398</v>
      </c>
      <c r="V491" s="299">
        <v>45334.66046296296</v>
      </c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</row>
    <row r="492">
      <c r="A492" s="210">
        <v>45334.0</v>
      </c>
      <c r="B492" s="166">
        <v>5345970.0</v>
      </c>
      <c r="C492" s="166" t="s">
        <v>82</v>
      </c>
      <c r="D492" s="166" t="s">
        <v>35</v>
      </c>
      <c r="E492" s="166">
        <v>4.20879826E9</v>
      </c>
      <c r="F492" s="166" t="s">
        <v>2193</v>
      </c>
      <c r="G492" s="210">
        <v>45393.0</v>
      </c>
      <c r="H492" s="287">
        <v>45394.0</v>
      </c>
      <c r="I492" s="168">
        <v>1.0</v>
      </c>
      <c r="J492" s="169" t="s">
        <v>78</v>
      </c>
      <c r="K492" s="166" t="s">
        <v>138</v>
      </c>
      <c r="L492" s="166" t="s">
        <v>1584</v>
      </c>
      <c r="M492" s="166">
        <v>1.0</v>
      </c>
      <c r="N492" s="170">
        <v>0.0</v>
      </c>
      <c r="O492" s="171">
        <v>212.3</v>
      </c>
      <c r="P492" s="171">
        <v>169.84000000000003</v>
      </c>
      <c r="Q492" s="172">
        <v>18.0</v>
      </c>
      <c r="R492" s="173">
        <v>169.84000000000003</v>
      </c>
      <c r="S492" s="173">
        <v>18.0</v>
      </c>
      <c r="T492" s="173">
        <v>230.3</v>
      </c>
      <c r="U492" s="174" t="s">
        <v>1585</v>
      </c>
      <c r="V492" s="288">
        <v>45334.37225694444</v>
      </c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</row>
    <row r="493">
      <c r="A493" s="276">
        <v>45334.0</v>
      </c>
      <c r="B493" s="252">
        <v>5346005.0</v>
      </c>
      <c r="C493" s="253" t="s">
        <v>82</v>
      </c>
      <c r="D493" s="253" t="s">
        <v>35</v>
      </c>
      <c r="E493" s="252">
        <v>4.193020403E9</v>
      </c>
      <c r="F493" s="253" t="s">
        <v>2196</v>
      </c>
      <c r="G493" s="276">
        <v>45395.0</v>
      </c>
      <c r="H493" s="277">
        <v>45398.0</v>
      </c>
      <c r="I493" s="278">
        <v>3.0</v>
      </c>
      <c r="J493" s="257" t="s">
        <v>78</v>
      </c>
      <c r="K493" s="253" t="s">
        <v>79</v>
      </c>
      <c r="L493" s="253" t="s">
        <v>1400</v>
      </c>
      <c r="M493" s="275">
        <v>2.0</v>
      </c>
      <c r="N493" s="258">
        <v>0.0</v>
      </c>
      <c r="O493" s="259">
        <v>223.03</v>
      </c>
      <c r="P493" s="259">
        <v>178.424</v>
      </c>
      <c r="Q493" s="262">
        <v>0.0</v>
      </c>
      <c r="R493" s="260">
        <v>535.272</v>
      </c>
      <c r="S493" s="260">
        <v>0.0</v>
      </c>
      <c r="T493" s="260">
        <v>669.09</v>
      </c>
      <c r="U493" s="261" t="s">
        <v>1401</v>
      </c>
      <c r="V493" s="279">
        <v>45334.38684027777</v>
      </c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</row>
    <row r="494">
      <c r="A494" s="276">
        <v>45334.0</v>
      </c>
      <c r="B494" s="252">
        <v>5347390.0</v>
      </c>
      <c r="C494" s="253" t="s">
        <v>82</v>
      </c>
      <c r="D494" s="253" t="s">
        <v>35</v>
      </c>
      <c r="E494" s="252">
        <v>4.174747779E9</v>
      </c>
      <c r="F494" s="253" t="s">
        <v>2197</v>
      </c>
      <c r="G494" s="276">
        <v>45449.0</v>
      </c>
      <c r="H494" s="277">
        <v>45451.0</v>
      </c>
      <c r="I494" s="278">
        <v>2.0</v>
      </c>
      <c r="J494" s="257" t="s">
        <v>78</v>
      </c>
      <c r="K494" s="253" t="s">
        <v>79</v>
      </c>
      <c r="L494" s="253" t="s">
        <v>1400</v>
      </c>
      <c r="M494" s="252">
        <v>2.0</v>
      </c>
      <c r="N494" s="258">
        <v>0.0</v>
      </c>
      <c r="O494" s="259">
        <v>196.41</v>
      </c>
      <c r="P494" s="259">
        <v>157.12800000000001</v>
      </c>
      <c r="Q494" s="262">
        <v>0.0</v>
      </c>
      <c r="R494" s="260">
        <v>314.25600000000003</v>
      </c>
      <c r="S494" s="260">
        <v>0.0</v>
      </c>
      <c r="T494" s="260">
        <v>392.82</v>
      </c>
      <c r="U494" s="261" t="s">
        <v>1401</v>
      </c>
      <c r="V494" s="279">
        <v>45334.698645833334</v>
      </c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</row>
    <row r="495">
      <c r="A495" s="280">
        <v>45334.0</v>
      </c>
      <c r="B495" s="264">
        <v>5346226.0</v>
      </c>
      <c r="C495" s="265" t="s">
        <v>82</v>
      </c>
      <c r="D495" s="265" t="s">
        <v>35</v>
      </c>
      <c r="E495" s="265">
        <v>4.241407124E9</v>
      </c>
      <c r="F495" s="265" t="s">
        <v>2199</v>
      </c>
      <c r="G495" s="280">
        <v>45451.0</v>
      </c>
      <c r="H495" s="281">
        <v>45457.0</v>
      </c>
      <c r="I495" s="282">
        <v>6.0</v>
      </c>
      <c r="J495" s="283" t="s">
        <v>78</v>
      </c>
      <c r="K495" s="265" t="s">
        <v>79</v>
      </c>
      <c r="L495" s="265" t="s">
        <v>1400</v>
      </c>
      <c r="M495" s="264">
        <v>2.0</v>
      </c>
      <c r="N495" s="270">
        <v>0.0</v>
      </c>
      <c r="O495" s="271">
        <v>155.95000000000002</v>
      </c>
      <c r="P495" s="271">
        <v>124.76000000000002</v>
      </c>
      <c r="Q495" s="272">
        <v>0.0</v>
      </c>
      <c r="R495" s="273">
        <v>748.5600000000001</v>
      </c>
      <c r="S495" s="273">
        <v>0.0</v>
      </c>
      <c r="T495" s="273">
        <v>935.7</v>
      </c>
      <c r="U495" s="274" t="s">
        <v>1401</v>
      </c>
      <c r="V495" s="286">
        <v>45334.445868055554</v>
      </c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</row>
    <row r="496">
      <c r="A496" s="276">
        <v>45335.0</v>
      </c>
      <c r="B496" s="252">
        <v>5351549.0</v>
      </c>
      <c r="C496" s="253" t="s">
        <v>82</v>
      </c>
      <c r="D496" s="253" t="s">
        <v>35</v>
      </c>
      <c r="E496" s="252">
        <v>4.150040999E9</v>
      </c>
      <c r="F496" s="253" t="s">
        <v>2201</v>
      </c>
      <c r="G496" s="276">
        <v>45343.0</v>
      </c>
      <c r="H496" s="277">
        <v>45345.0</v>
      </c>
      <c r="I496" s="278">
        <v>2.0</v>
      </c>
      <c r="J496" s="257" t="s">
        <v>78</v>
      </c>
      <c r="K496" s="253" t="s">
        <v>79</v>
      </c>
      <c r="L496" s="253" t="s">
        <v>1396</v>
      </c>
      <c r="M496" s="252">
        <v>2.0</v>
      </c>
      <c r="N496" s="258">
        <v>0.0</v>
      </c>
      <c r="O496" s="259">
        <v>177.82</v>
      </c>
      <c r="P496" s="259">
        <v>142.256</v>
      </c>
      <c r="Q496" s="257">
        <v>0.0</v>
      </c>
      <c r="R496" s="260">
        <v>284.512</v>
      </c>
      <c r="S496" s="260">
        <v>0.0</v>
      </c>
      <c r="T496" s="260">
        <v>355.64</v>
      </c>
      <c r="U496" s="261" t="s">
        <v>1398</v>
      </c>
      <c r="V496" s="279">
        <v>45335.88752314815</v>
      </c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</row>
    <row r="497">
      <c r="A497" s="289">
        <v>45336.0</v>
      </c>
      <c r="B497" s="290">
        <v>5354945.0</v>
      </c>
      <c r="C497" s="291" t="s">
        <v>82</v>
      </c>
      <c r="D497" s="291" t="s">
        <v>35</v>
      </c>
      <c r="E497" s="290">
        <v>4.043438739E9</v>
      </c>
      <c r="F497" s="291" t="s">
        <v>2203</v>
      </c>
      <c r="G497" s="289">
        <v>45381.0</v>
      </c>
      <c r="H497" s="292">
        <v>45383.0</v>
      </c>
      <c r="I497" s="293">
        <v>2.0</v>
      </c>
      <c r="J497" s="294" t="s">
        <v>78</v>
      </c>
      <c r="K497" s="291" t="s">
        <v>79</v>
      </c>
      <c r="L497" s="291" t="s">
        <v>1396</v>
      </c>
      <c r="M497" s="290">
        <v>2.0</v>
      </c>
      <c r="N497" s="295">
        <v>0.0</v>
      </c>
      <c r="O497" s="296">
        <v>192.8</v>
      </c>
      <c r="P497" s="296">
        <v>154.24</v>
      </c>
      <c r="Q497" s="301">
        <v>0.0</v>
      </c>
      <c r="R497" s="297">
        <v>308.48</v>
      </c>
      <c r="S497" s="297">
        <v>0.0</v>
      </c>
      <c r="T497" s="297">
        <v>385.6</v>
      </c>
      <c r="U497" s="298" t="s">
        <v>1398</v>
      </c>
      <c r="V497" s="299">
        <v>45336.943148148144</v>
      </c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</row>
    <row r="498">
      <c r="A498" s="210">
        <v>45336.0</v>
      </c>
      <c r="B498" s="166">
        <v>5354828.0</v>
      </c>
      <c r="C498" s="166" t="s">
        <v>82</v>
      </c>
      <c r="D498" s="166" t="s">
        <v>94</v>
      </c>
      <c r="E498" s="166">
        <v>5354828.0</v>
      </c>
      <c r="F498" s="166" t="s">
        <v>2204</v>
      </c>
      <c r="G498" s="210">
        <v>45430.0</v>
      </c>
      <c r="H498" s="287">
        <v>45431.0</v>
      </c>
      <c r="I498" s="168">
        <v>1.0</v>
      </c>
      <c r="J498" s="169" t="s">
        <v>87</v>
      </c>
      <c r="K498" s="166" t="s">
        <v>79</v>
      </c>
      <c r="L498" s="166" t="s">
        <v>1462</v>
      </c>
      <c r="M498" s="205">
        <v>1.0</v>
      </c>
      <c r="N498" s="170">
        <v>0.0</v>
      </c>
      <c r="O498" s="171">
        <v>146.5</v>
      </c>
      <c r="P498" s="171">
        <v>145.035</v>
      </c>
      <c r="Q498" s="172">
        <v>0.0</v>
      </c>
      <c r="R498" s="173">
        <v>145.035</v>
      </c>
      <c r="S498" s="173">
        <v>0.0</v>
      </c>
      <c r="T498" s="173">
        <v>146.5</v>
      </c>
      <c r="U498" s="174" t="s">
        <v>1463</v>
      </c>
      <c r="V498" s="288">
        <v>45336.910729166666</v>
      </c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</row>
    <row r="499">
      <c r="A499" s="276">
        <v>45336.0</v>
      </c>
      <c r="B499" s="252">
        <v>5354677.0</v>
      </c>
      <c r="C499" s="253" t="s">
        <v>82</v>
      </c>
      <c r="D499" s="253" t="s">
        <v>94</v>
      </c>
      <c r="E499" s="252">
        <v>5354677.0</v>
      </c>
      <c r="F499" s="253" t="s">
        <v>2206</v>
      </c>
      <c r="G499" s="276">
        <v>45430.0</v>
      </c>
      <c r="H499" s="277">
        <v>45431.0</v>
      </c>
      <c r="I499" s="278">
        <v>1.0</v>
      </c>
      <c r="J499" s="257" t="s">
        <v>91</v>
      </c>
      <c r="K499" s="253" t="s">
        <v>79</v>
      </c>
      <c r="L499" s="253" t="s">
        <v>1811</v>
      </c>
      <c r="M499" s="252">
        <v>2.0</v>
      </c>
      <c r="N499" s="258">
        <v>0.0</v>
      </c>
      <c r="O499" s="259">
        <v>425.0</v>
      </c>
      <c r="P499" s="259">
        <v>420.75</v>
      </c>
      <c r="Q499" s="262">
        <v>0.0</v>
      </c>
      <c r="R499" s="260">
        <v>420.75</v>
      </c>
      <c r="S499" s="260">
        <v>0.0</v>
      </c>
      <c r="T499" s="260">
        <v>601.0</v>
      </c>
      <c r="U499" s="261" t="s">
        <v>1812</v>
      </c>
      <c r="V499" s="279">
        <v>45336.87377314815</v>
      </c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</row>
    <row r="500">
      <c r="A500" s="276">
        <v>45336.0</v>
      </c>
      <c r="B500" s="252">
        <v>5354677.0</v>
      </c>
      <c r="C500" s="253" t="s">
        <v>82</v>
      </c>
      <c r="D500" s="253" t="s">
        <v>94</v>
      </c>
      <c r="E500" s="252">
        <v>5354677.0</v>
      </c>
      <c r="F500" s="253" t="s">
        <v>2206</v>
      </c>
      <c r="G500" s="276">
        <v>45430.0</v>
      </c>
      <c r="H500" s="277">
        <v>45431.0</v>
      </c>
      <c r="I500" s="278">
        <v>1.0</v>
      </c>
      <c r="J500" s="257" t="s">
        <v>78</v>
      </c>
      <c r="K500" s="253" t="s">
        <v>79</v>
      </c>
      <c r="L500" s="253" t="s">
        <v>1811</v>
      </c>
      <c r="M500" s="252">
        <v>2.0</v>
      </c>
      <c r="N500" s="258">
        <v>0.0</v>
      </c>
      <c r="O500" s="259">
        <v>176.0</v>
      </c>
      <c r="P500" s="259">
        <v>174.24</v>
      </c>
      <c r="Q500" s="262">
        <v>0.0</v>
      </c>
      <c r="R500" s="260">
        <v>174.24</v>
      </c>
      <c r="S500" s="260">
        <v>0.0</v>
      </c>
      <c r="T500" s="260">
        <v>601.0</v>
      </c>
      <c r="U500" s="261" t="s">
        <v>1812</v>
      </c>
      <c r="V500" s="279">
        <v>45336.87377314815</v>
      </c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</row>
    <row r="501">
      <c r="A501" s="276">
        <v>45337.0</v>
      </c>
      <c r="B501" s="252">
        <v>5357697.0</v>
      </c>
      <c r="C501" s="253" t="s">
        <v>82</v>
      </c>
      <c r="D501" s="253" t="s">
        <v>35</v>
      </c>
      <c r="E501" s="252">
        <v>4.208524475E9</v>
      </c>
      <c r="F501" s="253" t="s">
        <v>2208</v>
      </c>
      <c r="G501" s="276">
        <v>45349.0</v>
      </c>
      <c r="H501" s="277">
        <v>45354.0</v>
      </c>
      <c r="I501" s="278">
        <v>5.0</v>
      </c>
      <c r="J501" s="257" t="s">
        <v>91</v>
      </c>
      <c r="K501" s="253" t="s">
        <v>79</v>
      </c>
      <c r="L501" s="253" t="s">
        <v>1396</v>
      </c>
      <c r="M501" s="252">
        <v>5.0</v>
      </c>
      <c r="N501" s="258">
        <v>0.0</v>
      </c>
      <c r="O501" s="259">
        <v>414.57399999999996</v>
      </c>
      <c r="P501" s="259">
        <v>331.6592</v>
      </c>
      <c r="Q501" s="262">
        <v>0.0</v>
      </c>
      <c r="R501" s="260">
        <v>1658.296</v>
      </c>
      <c r="S501" s="260">
        <v>0.0</v>
      </c>
      <c r="T501" s="273">
        <v>2072.87</v>
      </c>
      <c r="U501" s="274" t="s">
        <v>1398</v>
      </c>
      <c r="V501" s="284">
        <v>45337.84307870371</v>
      </c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</row>
    <row r="502">
      <c r="A502" s="276">
        <v>45337.0</v>
      </c>
      <c r="B502" s="252">
        <v>5357935.0</v>
      </c>
      <c r="C502" s="253" t="s">
        <v>82</v>
      </c>
      <c r="D502" s="312" t="s">
        <v>616</v>
      </c>
      <c r="E502" s="252">
        <v>1.75844464E8</v>
      </c>
      <c r="F502" s="253" t="s">
        <v>2210</v>
      </c>
      <c r="G502" s="276">
        <v>45356.0</v>
      </c>
      <c r="H502" s="277">
        <v>45358.0</v>
      </c>
      <c r="I502" s="278">
        <v>2.0</v>
      </c>
      <c r="J502" s="257" t="s">
        <v>78</v>
      </c>
      <c r="K502" s="253" t="s">
        <v>79</v>
      </c>
      <c r="L502" s="253" t="s">
        <v>1436</v>
      </c>
      <c r="M502" s="252">
        <v>2.0</v>
      </c>
      <c r="N502" s="258">
        <v>0.0</v>
      </c>
      <c r="O502" s="259">
        <v>183.6</v>
      </c>
      <c r="P502" s="259">
        <v>146.88</v>
      </c>
      <c r="Q502" s="262">
        <v>0.0</v>
      </c>
      <c r="R502" s="260">
        <v>293.76</v>
      </c>
      <c r="S502" s="260">
        <v>0.0</v>
      </c>
      <c r="T502" s="273">
        <v>367.2</v>
      </c>
      <c r="U502" s="274" t="s">
        <v>1437</v>
      </c>
      <c r="V502" s="284">
        <v>45337.90424768519</v>
      </c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</row>
    <row r="503">
      <c r="A503" s="289">
        <v>45337.0</v>
      </c>
      <c r="B503" s="290">
        <v>5356042.0</v>
      </c>
      <c r="C503" s="291" t="s">
        <v>75</v>
      </c>
      <c r="D503" s="291" t="s">
        <v>35</v>
      </c>
      <c r="E503" s="290">
        <v>4.223356394E9</v>
      </c>
      <c r="F503" s="291" t="s">
        <v>2211</v>
      </c>
      <c r="G503" s="289">
        <v>45366.0</v>
      </c>
      <c r="H503" s="292">
        <v>45368.0</v>
      </c>
      <c r="I503" s="293">
        <v>2.0</v>
      </c>
      <c r="J503" s="294" t="s">
        <v>78</v>
      </c>
      <c r="K503" s="291" t="s">
        <v>79</v>
      </c>
      <c r="L503" s="291" t="s">
        <v>1724</v>
      </c>
      <c r="M503" s="290">
        <v>2.0</v>
      </c>
      <c r="N503" s="295">
        <v>0.0</v>
      </c>
      <c r="O503" s="296">
        <v>179.0</v>
      </c>
      <c r="P503" s="296">
        <v>143.20000000000002</v>
      </c>
      <c r="Q503" s="301">
        <v>0.0</v>
      </c>
      <c r="R503" s="297">
        <v>286.40000000000003</v>
      </c>
      <c r="S503" s="297">
        <v>0.0</v>
      </c>
      <c r="T503" s="297">
        <v>358.0</v>
      </c>
      <c r="U503" s="298" t="s">
        <v>1725</v>
      </c>
      <c r="V503" s="299">
        <v>45362.01739583333</v>
      </c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</row>
    <row r="504">
      <c r="A504" s="276">
        <v>45337.0</v>
      </c>
      <c r="B504" s="252">
        <v>5357792.0</v>
      </c>
      <c r="C504" s="253" t="s">
        <v>82</v>
      </c>
      <c r="D504" s="253" t="s">
        <v>35</v>
      </c>
      <c r="E504" s="252">
        <v>4.208554984E9</v>
      </c>
      <c r="F504" s="253" t="s">
        <v>2213</v>
      </c>
      <c r="G504" s="276">
        <v>45375.0</v>
      </c>
      <c r="H504" s="277">
        <v>45380.0</v>
      </c>
      <c r="I504" s="278">
        <v>5.0</v>
      </c>
      <c r="J504" s="257" t="s">
        <v>78</v>
      </c>
      <c r="K504" s="253" t="s">
        <v>79</v>
      </c>
      <c r="L504" s="253" t="s">
        <v>1396</v>
      </c>
      <c r="M504" s="275">
        <v>2.0</v>
      </c>
      <c r="N504" s="258">
        <v>0.0</v>
      </c>
      <c r="O504" s="259">
        <v>223.01999999999998</v>
      </c>
      <c r="P504" s="259">
        <v>178.416</v>
      </c>
      <c r="Q504" s="262">
        <v>0.0</v>
      </c>
      <c r="R504" s="260">
        <v>892.0799999999999</v>
      </c>
      <c r="S504" s="260">
        <v>0.0</v>
      </c>
      <c r="T504" s="260">
        <v>1115.1</v>
      </c>
      <c r="U504" s="261" t="s">
        <v>1398</v>
      </c>
      <c r="V504" s="279">
        <v>45337.86671296296</v>
      </c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</row>
    <row r="505">
      <c r="A505" s="276">
        <v>45337.0</v>
      </c>
      <c r="B505" s="252">
        <v>5357933.0</v>
      </c>
      <c r="C505" s="253" t="s">
        <v>89</v>
      </c>
      <c r="D505" s="253" t="s">
        <v>35</v>
      </c>
      <c r="E505" s="252">
        <v>4.240590778E9</v>
      </c>
      <c r="F505" s="253" t="s">
        <v>2214</v>
      </c>
      <c r="G505" s="276">
        <v>45391.0</v>
      </c>
      <c r="H505" s="277">
        <v>45395.0</v>
      </c>
      <c r="I505" s="278">
        <v>4.0</v>
      </c>
      <c r="J505" s="257" t="s">
        <v>78</v>
      </c>
      <c r="K505" s="253" t="s">
        <v>79</v>
      </c>
      <c r="L505" s="253" t="s">
        <v>1454</v>
      </c>
      <c r="M505" s="252">
        <v>2.0</v>
      </c>
      <c r="N505" s="258">
        <v>0.0</v>
      </c>
      <c r="O505" s="259">
        <v>0.0</v>
      </c>
      <c r="P505" s="259">
        <v>0.0</v>
      </c>
      <c r="Q505" s="262">
        <v>0.0</v>
      </c>
      <c r="R505" s="260">
        <v>0.0</v>
      </c>
      <c r="S505" s="260">
        <v>0.0</v>
      </c>
      <c r="T505" s="260">
        <v>0.0</v>
      </c>
      <c r="U505" s="261" t="s">
        <v>2216</v>
      </c>
      <c r="V505" s="279">
        <v>45337.90422453704</v>
      </c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</row>
    <row r="506">
      <c r="A506" s="280">
        <v>45337.0</v>
      </c>
      <c r="B506" s="264">
        <v>5357934.0</v>
      </c>
      <c r="C506" s="265" t="s">
        <v>89</v>
      </c>
      <c r="D506" s="265" t="s">
        <v>35</v>
      </c>
      <c r="E506" s="264">
        <v>4.002549922E9</v>
      </c>
      <c r="F506" s="265" t="s">
        <v>2217</v>
      </c>
      <c r="G506" s="280">
        <v>45391.0</v>
      </c>
      <c r="H506" s="281">
        <v>45395.0</v>
      </c>
      <c r="I506" s="282">
        <v>4.0</v>
      </c>
      <c r="J506" s="283" t="s">
        <v>87</v>
      </c>
      <c r="K506" s="265" t="s">
        <v>79</v>
      </c>
      <c r="L506" s="265" t="s">
        <v>1454</v>
      </c>
      <c r="M506" s="264">
        <v>1.0</v>
      </c>
      <c r="N506" s="270">
        <v>0.0</v>
      </c>
      <c r="O506" s="271">
        <v>0.0</v>
      </c>
      <c r="P506" s="271">
        <v>0.0</v>
      </c>
      <c r="Q506" s="272">
        <v>0.0</v>
      </c>
      <c r="R506" s="273">
        <v>0.0</v>
      </c>
      <c r="S506" s="273">
        <v>0.0</v>
      </c>
      <c r="T506" s="273">
        <v>0.0</v>
      </c>
      <c r="U506" s="274" t="s">
        <v>2218</v>
      </c>
      <c r="V506" s="286">
        <v>45337.90422453704</v>
      </c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</row>
    <row r="507">
      <c r="A507" s="280">
        <v>45337.0</v>
      </c>
      <c r="B507" s="264">
        <v>5355162.0</v>
      </c>
      <c r="C507" s="265" t="s">
        <v>82</v>
      </c>
      <c r="D507" s="265" t="s">
        <v>94</v>
      </c>
      <c r="E507" s="264">
        <v>5355162.0</v>
      </c>
      <c r="F507" s="265" t="s">
        <v>2219</v>
      </c>
      <c r="G507" s="280">
        <v>45574.0</v>
      </c>
      <c r="H507" s="313">
        <v>45575.0</v>
      </c>
      <c r="I507" s="282">
        <v>1.0</v>
      </c>
      <c r="J507" s="283" t="s">
        <v>114</v>
      </c>
      <c r="K507" s="265" t="s">
        <v>79</v>
      </c>
      <c r="L507" s="265" t="s">
        <v>1601</v>
      </c>
      <c r="M507" s="264">
        <v>2.0</v>
      </c>
      <c r="N507" s="270">
        <v>0.0</v>
      </c>
      <c r="O507" s="271">
        <v>181.0</v>
      </c>
      <c r="P507" s="271">
        <v>179.19</v>
      </c>
      <c r="Q507" s="272">
        <v>0.0</v>
      </c>
      <c r="R507" s="273">
        <v>179.19</v>
      </c>
      <c r="S507" s="273">
        <v>0.0</v>
      </c>
      <c r="T507" s="273">
        <v>181.0</v>
      </c>
      <c r="U507" s="274" t="s">
        <v>1602</v>
      </c>
      <c r="V507" s="286">
        <v>45337.04539351852</v>
      </c>
      <c r="W507" s="36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>
      <c r="A508" s="276">
        <v>45338.0</v>
      </c>
      <c r="B508" s="252">
        <v>5360914.0</v>
      </c>
      <c r="C508" s="253" t="s">
        <v>82</v>
      </c>
      <c r="D508" s="253" t="s">
        <v>35</v>
      </c>
      <c r="E508" s="252">
        <v>4.101858883E9</v>
      </c>
      <c r="F508" s="253" t="s">
        <v>2221</v>
      </c>
      <c r="G508" s="276">
        <v>45349.0</v>
      </c>
      <c r="H508" s="277">
        <v>45352.0</v>
      </c>
      <c r="I508" s="278">
        <v>3.0</v>
      </c>
      <c r="J508" s="257" t="s">
        <v>78</v>
      </c>
      <c r="K508" s="253" t="s">
        <v>79</v>
      </c>
      <c r="L508" s="253" t="s">
        <v>1396</v>
      </c>
      <c r="M508" s="252">
        <v>3.0</v>
      </c>
      <c r="N508" s="258">
        <v>0.0</v>
      </c>
      <c r="O508" s="259">
        <v>173.30999999999997</v>
      </c>
      <c r="P508" s="259">
        <v>138.648</v>
      </c>
      <c r="Q508" s="262">
        <v>0.0</v>
      </c>
      <c r="R508" s="260">
        <v>415.94399999999996</v>
      </c>
      <c r="S508" s="260">
        <v>0.0</v>
      </c>
      <c r="T508" s="260">
        <v>519.93</v>
      </c>
      <c r="U508" s="261" t="s">
        <v>1398</v>
      </c>
      <c r="V508" s="279">
        <v>45338.87364583333</v>
      </c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</row>
    <row r="509">
      <c r="A509" s="276">
        <v>45338.0</v>
      </c>
      <c r="B509" s="252">
        <v>5361281.0</v>
      </c>
      <c r="C509" s="253" t="s">
        <v>82</v>
      </c>
      <c r="D509" s="253" t="s">
        <v>35</v>
      </c>
      <c r="E509" s="252">
        <v>4.205372522E9</v>
      </c>
      <c r="F509" s="253" t="s">
        <v>2222</v>
      </c>
      <c r="G509" s="276">
        <v>45355.0</v>
      </c>
      <c r="H509" s="277">
        <v>45356.0</v>
      </c>
      <c r="I509" s="278">
        <v>1.0</v>
      </c>
      <c r="J509" s="257" t="s">
        <v>78</v>
      </c>
      <c r="K509" s="253" t="s">
        <v>79</v>
      </c>
      <c r="L509" s="253" t="s">
        <v>1454</v>
      </c>
      <c r="M509" s="252">
        <v>2.0</v>
      </c>
      <c r="N509" s="258">
        <v>0.0</v>
      </c>
      <c r="O509" s="259">
        <v>247.25</v>
      </c>
      <c r="P509" s="259">
        <v>197.8</v>
      </c>
      <c r="Q509" s="262">
        <v>0.0</v>
      </c>
      <c r="R509" s="260">
        <v>197.8</v>
      </c>
      <c r="S509" s="260">
        <v>0.0</v>
      </c>
      <c r="T509" s="260">
        <v>247.25</v>
      </c>
      <c r="U509" s="261" t="s">
        <v>1455</v>
      </c>
      <c r="V509" s="279">
        <v>45338.97782407407</v>
      </c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</row>
    <row r="510">
      <c r="A510" s="280">
        <v>45338.0</v>
      </c>
      <c r="B510" s="264">
        <v>5359532.0</v>
      </c>
      <c r="C510" s="265" t="s">
        <v>75</v>
      </c>
      <c r="D510" s="265" t="s">
        <v>35</v>
      </c>
      <c r="E510" s="265">
        <v>4.185210352E9</v>
      </c>
      <c r="F510" s="265" t="s">
        <v>2223</v>
      </c>
      <c r="G510" s="280">
        <v>45357.0</v>
      </c>
      <c r="H510" s="281">
        <v>45358.0</v>
      </c>
      <c r="I510" s="282">
        <v>1.0</v>
      </c>
      <c r="J510" s="283" t="s">
        <v>78</v>
      </c>
      <c r="K510" s="265" t="s">
        <v>79</v>
      </c>
      <c r="L510" s="265" t="s">
        <v>1724</v>
      </c>
      <c r="M510" s="264">
        <v>2.0</v>
      </c>
      <c r="N510" s="270">
        <v>0.0</v>
      </c>
      <c r="O510" s="271">
        <v>167.75</v>
      </c>
      <c r="P510" s="271">
        <v>134.20000000000002</v>
      </c>
      <c r="Q510" s="283">
        <v>0.0</v>
      </c>
      <c r="R510" s="273">
        <v>134.20000000000002</v>
      </c>
      <c r="S510" s="273">
        <v>0.0</v>
      </c>
      <c r="T510" s="273">
        <v>167.75</v>
      </c>
      <c r="U510" s="274" t="s">
        <v>1725</v>
      </c>
      <c r="V510" s="286">
        <v>45353.0174074074</v>
      </c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</row>
    <row r="511">
      <c r="A511" s="276">
        <v>45338.0</v>
      </c>
      <c r="B511" s="252">
        <v>5359029.0</v>
      </c>
      <c r="C511" s="253" t="s">
        <v>82</v>
      </c>
      <c r="D511" s="253" t="s">
        <v>101</v>
      </c>
      <c r="E511" s="252">
        <v>1.76194254E8</v>
      </c>
      <c r="F511" s="253" t="s">
        <v>2225</v>
      </c>
      <c r="G511" s="276">
        <v>45396.0</v>
      </c>
      <c r="H511" s="277">
        <v>45399.0</v>
      </c>
      <c r="I511" s="278">
        <v>3.0</v>
      </c>
      <c r="J511" s="257" t="s">
        <v>78</v>
      </c>
      <c r="K511" s="253" t="s">
        <v>79</v>
      </c>
      <c r="L511" s="253" t="s">
        <v>2057</v>
      </c>
      <c r="M511" s="252">
        <v>2.0</v>
      </c>
      <c r="N511" s="258">
        <v>0.0</v>
      </c>
      <c r="O511" s="259">
        <v>157.32</v>
      </c>
      <c r="P511" s="259">
        <v>125.856</v>
      </c>
      <c r="Q511" s="262">
        <v>0.0</v>
      </c>
      <c r="R511" s="260">
        <v>377.568</v>
      </c>
      <c r="S511" s="260">
        <v>0.0</v>
      </c>
      <c r="T511" s="260">
        <v>471.96</v>
      </c>
      <c r="U511" s="261" t="s">
        <v>2059</v>
      </c>
      <c r="V511" s="279">
        <v>45338.423680555556</v>
      </c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</row>
    <row r="512">
      <c r="A512" s="276">
        <v>45339.0</v>
      </c>
      <c r="B512" s="252">
        <v>5363765.0</v>
      </c>
      <c r="C512" s="253" t="s">
        <v>82</v>
      </c>
      <c r="D512" s="253" t="s">
        <v>35</v>
      </c>
      <c r="E512" s="252">
        <v>4.20532112E9</v>
      </c>
      <c r="F512" s="253" t="s">
        <v>2226</v>
      </c>
      <c r="G512" s="276">
        <v>45340.0</v>
      </c>
      <c r="H512" s="277">
        <v>45341.0</v>
      </c>
      <c r="I512" s="278">
        <v>1.0</v>
      </c>
      <c r="J512" s="257" t="s">
        <v>87</v>
      </c>
      <c r="K512" s="253" t="s">
        <v>79</v>
      </c>
      <c r="L512" s="253" t="s">
        <v>1396</v>
      </c>
      <c r="M512" s="252">
        <v>2.0</v>
      </c>
      <c r="N512" s="258">
        <v>0.0</v>
      </c>
      <c r="O512" s="259">
        <v>133.99</v>
      </c>
      <c r="P512" s="259">
        <v>107.19200000000001</v>
      </c>
      <c r="Q512" s="262">
        <v>0.0</v>
      </c>
      <c r="R512" s="260">
        <v>107.19200000000001</v>
      </c>
      <c r="S512" s="260">
        <v>0.0</v>
      </c>
      <c r="T512" s="260">
        <v>133.99</v>
      </c>
      <c r="U512" s="261" t="s">
        <v>1398</v>
      </c>
      <c r="V512" s="279">
        <v>45339.81741898148</v>
      </c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</row>
    <row r="513">
      <c r="A513" s="276">
        <v>45339.0</v>
      </c>
      <c r="B513" s="252">
        <v>5363995.0</v>
      </c>
      <c r="C513" s="253" t="s">
        <v>82</v>
      </c>
      <c r="D513" s="253" t="s">
        <v>94</v>
      </c>
      <c r="E513" s="252">
        <v>5363995.0</v>
      </c>
      <c r="F513" s="253" t="s">
        <v>2227</v>
      </c>
      <c r="G513" s="276">
        <v>45360.0</v>
      </c>
      <c r="H513" s="277">
        <v>45364.0</v>
      </c>
      <c r="I513" s="278">
        <v>4.0</v>
      </c>
      <c r="J513" s="257" t="s">
        <v>91</v>
      </c>
      <c r="K513" s="253" t="s">
        <v>79</v>
      </c>
      <c r="L513" s="253" t="s">
        <v>1601</v>
      </c>
      <c r="M513" s="252">
        <v>4.0</v>
      </c>
      <c r="N513" s="258">
        <v>0.0</v>
      </c>
      <c r="O513" s="259">
        <v>466.0</v>
      </c>
      <c r="P513" s="259">
        <v>461.34</v>
      </c>
      <c r="Q513" s="262">
        <v>0.0</v>
      </c>
      <c r="R513" s="260">
        <v>1845.36</v>
      </c>
      <c r="S513" s="260">
        <v>0.0</v>
      </c>
      <c r="T513" s="260">
        <v>1864.0</v>
      </c>
      <c r="U513" s="261" t="s">
        <v>1602</v>
      </c>
      <c r="V513" s="279">
        <v>45339.87363425926</v>
      </c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</row>
    <row r="514">
      <c r="A514" s="280">
        <v>45339.0</v>
      </c>
      <c r="B514" s="264">
        <v>5362054.0</v>
      </c>
      <c r="C514" s="265" t="s">
        <v>82</v>
      </c>
      <c r="D514" s="265" t="s">
        <v>35</v>
      </c>
      <c r="E514" s="264">
        <v>4.024944853E9</v>
      </c>
      <c r="F514" s="265" t="s">
        <v>2229</v>
      </c>
      <c r="G514" s="280">
        <v>45361.0</v>
      </c>
      <c r="H514" s="281">
        <v>45366.0</v>
      </c>
      <c r="I514" s="282">
        <v>5.0</v>
      </c>
      <c r="J514" s="283" t="s">
        <v>78</v>
      </c>
      <c r="K514" s="265" t="s">
        <v>79</v>
      </c>
      <c r="L514" s="265" t="s">
        <v>1414</v>
      </c>
      <c r="M514" s="264">
        <v>2.0</v>
      </c>
      <c r="N514" s="270">
        <v>0.0</v>
      </c>
      <c r="O514" s="271">
        <v>156.97</v>
      </c>
      <c r="P514" s="271">
        <v>125.57600000000001</v>
      </c>
      <c r="Q514" s="272">
        <v>0.0</v>
      </c>
      <c r="R514" s="273">
        <v>627.8800000000001</v>
      </c>
      <c r="S514" s="273">
        <v>0.0</v>
      </c>
      <c r="T514" s="273">
        <v>784.85</v>
      </c>
      <c r="U514" s="274" t="s">
        <v>1415</v>
      </c>
      <c r="V514" s="286">
        <v>45339.412569444445</v>
      </c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</row>
    <row r="515">
      <c r="A515" s="276">
        <v>45339.0</v>
      </c>
      <c r="B515" s="252">
        <v>5363532.0</v>
      </c>
      <c r="C515" s="253" t="s">
        <v>82</v>
      </c>
      <c r="D515" s="253" t="s">
        <v>35</v>
      </c>
      <c r="E515" s="252">
        <v>4.205332648E9</v>
      </c>
      <c r="F515" s="253" t="s">
        <v>2230</v>
      </c>
      <c r="G515" s="276">
        <v>45362.0</v>
      </c>
      <c r="H515" s="277">
        <v>45363.0</v>
      </c>
      <c r="I515" s="278">
        <v>1.0</v>
      </c>
      <c r="J515" s="257" t="s">
        <v>78</v>
      </c>
      <c r="K515" s="253" t="s">
        <v>79</v>
      </c>
      <c r="L515" s="253" t="s">
        <v>1396</v>
      </c>
      <c r="M515" s="252">
        <v>2.0</v>
      </c>
      <c r="N515" s="258">
        <v>0.0</v>
      </c>
      <c r="O515" s="259">
        <v>157.74</v>
      </c>
      <c r="P515" s="259">
        <v>126.19200000000001</v>
      </c>
      <c r="Q515" s="257">
        <v>0.0</v>
      </c>
      <c r="R515" s="260">
        <v>126.19200000000001</v>
      </c>
      <c r="S515" s="260">
        <v>0.0</v>
      </c>
      <c r="T515" s="260">
        <v>157.74</v>
      </c>
      <c r="U515" s="261" t="s">
        <v>1398</v>
      </c>
      <c r="V515" s="279">
        <v>45339.762604166666</v>
      </c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</row>
    <row r="516">
      <c r="A516" s="276">
        <v>45339.0</v>
      </c>
      <c r="B516" s="252">
        <v>5363732.0</v>
      </c>
      <c r="C516" s="253" t="s">
        <v>82</v>
      </c>
      <c r="D516" s="253" t="s">
        <v>35</v>
      </c>
      <c r="E516" s="252">
        <v>4.061535372E9</v>
      </c>
      <c r="F516" s="253" t="s">
        <v>2232</v>
      </c>
      <c r="G516" s="276">
        <v>45440.0</v>
      </c>
      <c r="H516" s="277">
        <v>45444.0</v>
      </c>
      <c r="I516" s="278">
        <v>4.0</v>
      </c>
      <c r="J516" s="257" t="s">
        <v>78</v>
      </c>
      <c r="K516" s="253" t="s">
        <v>79</v>
      </c>
      <c r="L516" s="253" t="s">
        <v>1443</v>
      </c>
      <c r="M516" s="252">
        <v>2.0</v>
      </c>
      <c r="N516" s="258">
        <v>0.0</v>
      </c>
      <c r="O516" s="259">
        <v>156.75</v>
      </c>
      <c r="P516" s="259">
        <v>125.4</v>
      </c>
      <c r="Q516" s="262">
        <v>0.0</v>
      </c>
      <c r="R516" s="260">
        <v>501.6</v>
      </c>
      <c r="S516" s="260">
        <v>0.0</v>
      </c>
      <c r="T516" s="260">
        <v>1153.88</v>
      </c>
      <c r="U516" s="261" t="s">
        <v>1444</v>
      </c>
      <c r="V516" s="279">
        <v>45339.809062500004</v>
      </c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</row>
    <row r="517">
      <c r="A517" s="276">
        <v>45339.0</v>
      </c>
      <c r="B517" s="252">
        <v>5363732.0</v>
      </c>
      <c r="C517" s="253" t="s">
        <v>82</v>
      </c>
      <c r="D517" s="253" t="s">
        <v>35</v>
      </c>
      <c r="E517" s="252">
        <v>4.061535372E9</v>
      </c>
      <c r="F517" s="253" t="s">
        <v>2232</v>
      </c>
      <c r="G517" s="276">
        <v>45440.0</v>
      </c>
      <c r="H517" s="277">
        <v>45444.0</v>
      </c>
      <c r="I517" s="278">
        <v>4.0</v>
      </c>
      <c r="J517" s="257" t="s">
        <v>87</v>
      </c>
      <c r="K517" s="253" t="s">
        <v>79</v>
      </c>
      <c r="L517" s="253" t="s">
        <v>1414</v>
      </c>
      <c r="M517" s="275">
        <v>2.0</v>
      </c>
      <c r="N517" s="258">
        <v>0.0</v>
      </c>
      <c r="O517" s="259">
        <v>131.72</v>
      </c>
      <c r="P517" s="259">
        <v>105.376</v>
      </c>
      <c r="Q517" s="262">
        <v>0.0</v>
      </c>
      <c r="R517" s="260">
        <v>421.504</v>
      </c>
      <c r="S517" s="260">
        <v>0.0</v>
      </c>
      <c r="T517" s="260">
        <v>1153.88</v>
      </c>
      <c r="U517" s="261" t="s">
        <v>1415</v>
      </c>
      <c r="V517" s="279">
        <v>45339.809062500004</v>
      </c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</row>
    <row r="518">
      <c r="A518" s="276">
        <v>45340.0</v>
      </c>
      <c r="B518" s="252">
        <v>5366357.0</v>
      </c>
      <c r="C518" s="253" t="s">
        <v>82</v>
      </c>
      <c r="D518" s="253" t="s">
        <v>35</v>
      </c>
      <c r="E518" s="252">
        <v>4.066963826E9</v>
      </c>
      <c r="F518" s="253" t="s">
        <v>2234</v>
      </c>
      <c r="G518" s="276">
        <v>45340.0</v>
      </c>
      <c r="H518" s="277">
        <v>45342.0</v>
      </c>
      <c r="I518" s="278">
        <v>2.0</v>
      </c>
      <c r="J518" s="257" t="s">
        <v>78</v>
      </c>
      <c r="K518" s="253" t="s">
        <v>79</v>
      </c>
      <c r="L518" s="253" t="s">
        <v>1724</v>
      </c>
      <c r="M518" s="252">
        <v>2.0</v>
      </c>
      <c r="N518" s="258">
        <v>0.0</v>
      </c>
      <c r="O518" s="259">
        <v>172.75</v>
      </c>
      <c r="P518" s="259">
        <v>138.20000000000002</v>
      </c>
      <c r="Q518" s="262">
        <v>0.0</v>
      </c>
      <c r="R518" s="260">
        <v>276.40000000000003</v>
      </c>
      <c r="S518" s="260">
        <v>0.0</v>
      </c>
      <c r="T518" s="260">
        <v>345.5</v>
      </c>
      <c r="U518" s="261" t="s">
        <v>1725</v>
      </c>
      <c r="V518" s="279">
        <v>45340.74797453704</v>
      </c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</row>
    <row r="519">
      <c r="A519" s="289">
        <v>45340.0</v>
      </c>
      <c r="B519" s="290">
        <v>5364492.0</v>
      </c>
      <c r="C519" s="291" t="s">
        <v>82</v>
      </c>
      <c r="D519" s="291" t="s">
        <v>35</v>
      </c>
      <c r="E519" s="290">
        <v>4.075268242E9</v>
      </c>
      <c r="F519" s="291" t="s">
        <v>2236</v>
      </c>
      <c r="G519" s="289">
        <v>45341.0</v>
      </c>
      <c r="H519" s="292">
        <v>45342.0</v>
      </c>
      <c r="I519" s="293">
        <v>1.0</v>
      </c>
      <c r="J519" s="294" t="s">
        <v>111</v>
      </c>
      <c r="K519" s="291" t="s">
        <v>79</v>
      </c>
      <c r="L519" s="291" t="s">
        <v>1396</v>
      </c>
      <c r="M519" s="300">
        <v>2.0</v>
      </c>
      <c r="N519" s="295">
        <v>0.0</v>
      </c>
      <c r="O519" s="296">
        <v>178.27</v>
      </c>
      <c r="P519" s="296">
        <v>142.616</v>
      </c>
      <c r="Q519" s="301">
        <v>0.0</v>
      </c>
      <c r="R519" s="297">
        <v>142.616</v>
      </c>
      <c r="S519" s="297">
        <v>0.0</v>
      </c>
      <c r="T519" s="297">
        <v>178.27</v>
      </c>
      <c r="U519" s="298" t="s">
        <v>1398</v>
      </c>
      <c r="V519" s="299">
        <v>45340.084768518514</v>
      </c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</row>
    <row r="520">
      <c r="A520" s="289">
        <v>45340.0</v>
      </c>
      <c r="B520" s="290">
        <v>5366135.0</v>
      </c>
      <c r="C520" s="291" t="s">
        <v>82</v>
      </c>
      <c r="D520" s="291" t="s">
        <v>35</v>
      </c>
      <c r="E520" s="290">
        <v>4.227683414E9</v>
      </c>
      <c r="F520" s="291" t="s">
        <v>2238</v>
      </c>
      <c r="G520" s="289">
        <v>45360.0</v>
      </c>
      <c r="H520" s="292">
        <v>45361.0</v>
      </c>
      <c r="I520" s="293">
        <v>1.0</v>
      </c>
      <c r="J520" s="294" t="s">
        <v>87</v>
      </c>
      <c r="K520" s="291" t="s">
        <v>79</v>
      </c>
      <c r="L520" s="291" t="s">
        <v>1724</v>
      </c>
      <c r="M520" s="290">
        <v>2.0</v>
      </c>
      <c r="N520" s="295">
        <v>0.0</v>
      </c>
      <c r="O520" s="296">
        <v>150.88</v>
      </c>
      <c r="P520" s="296">
        <v>120.70400000000001</v>
      </c>
      <c r="Q520" s="301">
        <v>0.0</v>
      </c>
      <c r="R520" s="297">
        <v>120.70400000000001</v>
      </c>
      <c r="S520" s="297">
        <v>0.0</v>
      </c>
      <c r="T520" s="297">
        <v>150.88</v>
      </c>
      <c r="U520" s="298" t="s">
        <v>1725</v>
      </c>
      <c r="V520" s="299">
        <v>45340.69519675926</v>
      </c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</row>
    <row r="521">
      <c r="A521" s="276">
        <v>45341.0</v>
      </c>
      <c r="B521" s="252">
        <v>5370395.0</v>
      </c>
      <c r="C521" s="253" t="s">
        <v>82</v>
      </c>
      <c r="D521" s="253" t="s">
        <v>35</v>
      </c>
      <c r="E521" s="252">
        <v>4.207254676E9</v>
      </c>
      <c r="F521" s="253" t="s">
        <v>2240</v>
      </c>
      <c r="G521" s="276">
        <v>45343.0</v>
      </c>
      <c r="H521" s="277">
        <v>45344.0</v>
      </c>
      <c r="I521" s="278">
        <v>1.0</v>
      </c>
      <c r="J521" s="257" t="s">
        <v>87</v>
      </c>
      <c r="K521" s="253" t="s">
        <v>79</v>
      </c>
      <c r="L521" s="253" t="s">
        <v>1724</v>
      </c>
      <c r="M521" s="252">
        <v>2.0</v>
      </c>
      <c r="N521" s="258">
        <v>0.0</v>
      </c>
      <c r="O521" s="259">
        <v>138.22</v>
      </c>
      <c r="P521" s="259">
        <v>110.57600000000001</v>
      </c>
      <c r="Q521" s="262">
        <v>0.0</v>
      </c>
      <c r="R521" s="260">
        <v>110.57600000000001</v>
      </c>
      <c r="S521" s="260">
        <v>0.0</v>
      </c>
      <c r="T521" s="260">
        <v>138.22</v>
      </c>
      <c r="U521" s="261" t="s">
        <v>1725</v>
      </c>
      <c r="V521" s="279">
        <v>45341.879907407405</v>
      </c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</row>
    <row r="522">
      <c r="A522" s="289">
        <v>45341.0</v>
      </c>
      <c r="B522" s="290">
        <v>5370874.0</v>
      </c>
      <c r="C522" s="291" t="s">
        <v>82</v>
      </c>
      <c r="D522" s="291" t="s">
        <v>35</v>
      </c>
      <c r="E522" s="290">
        <v>4.084611207E9</v>
      </c>
      <c r="F522" s="291" t="s">
        <v>2241</v>
      </c>
      <c r="G522" s="289">
        <v>45357.0</v>
      </c>
      <c r="H522" s="292">
        <v>45361.0</v>
      </c>
      <c r="I522" s="293">
        <v>4.0</v>
      </c>
      <c r="J522" s="294" t="s">
        <v>111</v>
      </c>
      <c r="K522" s="291" t="s">
        <v>79</v>
      </c>
      <c r="L522" s="291" t="s">
        <v>1414</v>
      </c>
      <c r="M522" s="290">
        <v>2.0</v>
      </c>
      <c r="N522" s="295">
        <v>0.0</v>
      </c>
      <c r="O522" s="296">
        <v>195.2</v>
      </c>
      <c r="P522" s="296">
        <v>156.16</v>
      </c>
      <c r="Q522" s="301">
        <v>0.0</v>
      </c>
      <c r="R522" s="297">
        <v>624.64</v>
      </c>
      <c r="S522" s="297">
        <v>0.0</v>
      </c>
      <c r="T522" s="297">
        <v>780.8</v>
      </c>
      <c r="U522" s="298" t="s">
        <v>1415</v>
      </c>
      <c r="V522" s="299">
        <v>45342.027812500004</v>
      </c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</row>
    <row r="523">
      <c r="A523" s="280">
        <v>45341.0</v>
      </c>
      <c r="B523" s="264">
        <v>5370532.0</v>
      </c>
      <c r="C523" s="265" t="s">
        <v>75</v>
      </c>
      <c r="D523" s="265" t="s">
        <v>35</v>
      </c>
      <c r="E523" s="264">
        <v>4.083889885E9</v>
      </c>
      <c r="F523" s="265" t="s">
        <v>2243</v>
      </c>
      <c r="G523" s="280">
        <v>45397.0</v>
      </c>
      <c r="H523" s="281">
        <v>45398.0</v>
      </c>
      <c r="I523" s="282">
        <v>1.0</v>
      </c>
      <c r="J523" s="283" t="s">
        <v>114</v>
      </c>
      <c r="K523" s="265" t="s">
        <v>79</v>
      </c>
      <c r="L523" s="265" t="s">
        <v>1400</v>
      </c>
      <c r="M523" s="269">
        <v>2.0</v>
      </c>
      <c r="N523" s="270">
        <v>0.0</v>
      </c>
      <c r="O523" s="271">
        <v>236.2</v>
      </c>
      <c r="P523" s="271">
        <v>188.96</v>
      </c>
      <c r="Q523" s="272">
        <v>0.0</v>
      </c>
      <c r="R523" s="273">
        <v>188.96</v>
      </c>
      <c r="S523" s="273">
        <v>0.0</v>
      </c>
      <c r="T523" s="273">
        <v>236.2</v>
      </c>
      <c r="U523" s="274" t="s">
        <v>1401</v>
      </c>
      <c r="V523" s="286">
        <v>45352.61392361111</v>
      </c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</row>
    <row r="524">
      <c r="A524" s="276">
        <v>45342.0</v>
      </c>
      <c r="B524" s="252">
        <v>5372751.0</v>
      </c>
      <c r="C524" s="253" t="s">
        <v>75</v>
      </c>
      <c r="D524" s="253" t="s">
        <v>35</v>
      </c>
      <c r="E524" s="252">
        <v>4.180940335E9</v>
      </c>
      <c r="F524" s="253" t="s">
        <v>2245</v>
      </c>
      <c r="G524" s="276">
        <v>45347.0</v>
      </c>
      <c r="H524" s="277">
        <v>45349.0</v>
      </c>
      <c r="I524" s="278">
        <v>2.0</v>
      </c>
      <c r="J524" s="257" t="s">
        <v>78</v>
      </c>
      <c r="K524" s="253" t="s">
        <v>79</v>
      </c>
      <c r="L524" s="253" t="s">
        <v>1454</v>
      </c>
      <c r="M524" s="275">
        <v>2.0</v>
      </c>
      <c r="N524" s="258">
        <v>0.0</v>
      </c>
      <c r="O524" s="259">
        <v>260.0</v>
      </c>
      <c r="P524" s="259">
        <v>208.0</v>
      </c>
      <c r="Q524" s="262">
        <v>0.0</v>
      </c>
      <c r="R524" s="260">
        <v>416.0</v>
      </c>
      <c r="S524" s="260">
        <v>0.0</v>
      </c>
      <c r="T524" s="260">
        <v>520.0</v>
      </c>
      <c r="U524" s="261" t="s">
        <v>1455</v>
      </c>
      <c r="V524" s="279">
        <v>45348.552152777775</v>
      </c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</row>
    <row r="525">
      <c r="A525" s="276">
        <v>45342.0</v>
      </c>
      <c r="B525" s="252">
        <v>5372395.0</v>
      </c>
      <c r="C525" s="253" t="s">
        <v>82</v>
      </c>
      <c r="D525" s="253" t="s">
        <v>35</v>
      </c>
      <c r="E525" s="252">
        <v>4.290771115E9</v>
      </c>
      <c r="F525" s="253" t="s">
        <v>2247</v>
      </c>
      <c r="G525" s="276">
        <v>45359.0</v>
      </c>
      <c r="H525" s="277">
        <v>45361.0</v>
      </c>
      <c r="I525" s="278">
        <v>2.0</v>
      </c>
      <c r="J525" s="257" t="s">
        <v>78</v>
      </c>
      <c r="K525" s="253" t="s">
        <v>79</v>
      </c>
      <c r="L525" s="253" t="s">
        <v>1396</v>
      </c>
      <c r="M525" s="252">
        <v>2.0</v>
      </c>
      <c r="N525" s="258">
        <v>0.0</v>
      </c>
      <c r="O525" s="259">
        <v>145.31</v>
      </c>
      <c r="P525" s="259">
        <v>116.248</v>
      </c>
      <c r="Q525" s="257">
        <v>0.0</v>
      </c>
      <c r="R525" s="260">
        <v>232.496</v>
      </c>
      <c r="S525" s="260">
        <v>0.0</v>
      </c>
      <c r="T525" s="260">
        <v>290.62</v>
      </c>
      <c r="U525" s="261" t="s">
        <v>1398</v>
      </c>
      <c r="V525" s="279">
        <v>45342.59934027778</v>
      </c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</row>
    <row r="526">
      <c r="A526" s="280">
        <v>45342.0</v>
      </c>
      <c r="B526" s="264">
        <v>5373807.0</v>
      </c>
      <c r="C526" s="265" t="s">
        <v>82</v>
      </c>
      <c r="D526" s="265" t="s">
        <v>35</v>
      </c>
      <c r="E526" s="265">
        <v>4.003248507E9</v>
      </c>
      <c r="F526" s="265" t="s">
        <v>2249</v>
      </c>
      <c r="G526" s="280">
        <v>45373.0</v>
      </c>
      <c r="H526" s="281">
        <v>45376.0</v>
      </c>
      <c r="I526" s="282">
        <v>3.0</v>
      </c>
      <c r="J526" s="283" t="s">
        <v>111</v>
      </c>
      <c r="K526" s="265" t="s">
        <v>79</v>
      </c>
      <c r="L526" s="265" t="s">
        <v>1396</v>
      </c>
      <c r="M526" s="269">
        <v>2.0</v>
      </c>
      <c r="N526" s="270">
        <v>0.0</v>
      </c>
      <c r="O526" s="271">
        <v>176.73000000000002</v>
      </c>
      <c r="P526" s="271">
        <v>141.38400000000001</v>
      </c>
      <c r="Q526" s="272">
        <v>0.0</v>
      </c>
      <c r="R526" s="273">
        <v>424.15200000000004</v>
      </c>
      <c r="S526" s="273">
        <v>0.0</v>
      </c>
      <c r="T526" s="273">
        <v>530.19</v>
      </c>
      <c r="U526" s="274" t="s">
        <v>1398</v>
      </c>
      <c r="V526" s="286">
        <v>45342.91184027778</v>
      </c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</row>
    <row r="527">
      <c r="A527" s="276">
        <v>45342.0</v>
      </c>
      <c r="B527" s="252">
        <v>5373278.0</v>
      </c>
      <c r="C527" s="253" t="s">
        <v>82</v>
      </c>
      <c r="D527" s="253" t="s">
        <v>35</v>
      </c>
      <c r="E527" s="252">
        <v>4.168127418E9</v>
      </c>
      <c r="F527" s="253" t="s">
        <v>2250</v>
      </c>
      <c r="G527" s="276">
        <v>45376.0</v>
      </c>
      <c r="H527" s="277">
        <v>45379.0</v>
      </c>
      <c r="I527" s="278">
        <v>3.0</v>
      </c>
      <c r="J527" s="257" t="s">
        <v>91</v>
      </c>
      <c r="K527" s="253" t="s">
        <v>79</v>
      </c>
      <c r="L527" s="253" t="s">
        <v>1396</v>
      </c>
      <c r="M527" s="252">
        <v>4.0</v>
      </c>
      <c r="N527" s="258">
        <v>0.0</v>
      </c>
      <c r="O527" s="259">
        <v>412.14000000000004</v>
      </c>
      <c r="P527" s="259">
        <v>329.71200000000005</v>
      </c>
      <c r="Q527" s="262">
        <v>0.0</v>
      </c>
      <c r="R527" s="260">
        <v>989.1360000000001</v>
      </c>
      <c r="S527" s="260">
        <v>0.0</v>
      </c>
      <c r="T527" s="260">
        <v>1236.42</v>
      </c>
      <c r="U527" s="261" t="s">
        <v>1398</v>
      </c>
      <c r="V527" s="279">
        <v>45342.800057870365</v>
      </c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</row>
    <row r="528">
      <c r="A528" s="276">
        <v>45343.0</v>
      </c>
      <c r="B528" s="252">
        <v>5377588.0</v>
      </c>
      <c r="C528" s="253" t="s">
        <v>82</v>
      </c>
      <c r="D528" s="253" t="s">
        <v>35</v>
      </c>
      <c r="E528" s="252">
        <v>4.170955948E9</v>
      </c>
      <c r="F528" s="253" t="s">
        <v>2252</v>
      </c>
      <c r="G528" s="276">
        <v>45347.0</v>
      </c>
      <c r="H528" s="277">
        <v>45350.0</v>
      </c>
      <c r="I528" s="278">
        <v>3.0</v>
      </c>
      <c r="J528" s="257" t="s">
        <v>87</v>
      </c>
      <c r="K528" s="253" t="s">
        <v>79</v>
      </c>
      <c r="L528" s="253" t="s">
        <v>1443</v>
      </c>
      <c r="M528" s="275">
        <v>2.0</v>
      </c>
      <c r="N528" s="258">
        <v>0.0</v>
      </c>
      <c r="O528" s="259">
        <v>138.08</v>
      </c>
      <c r="P528" s="259">
        <v>110.46400000000001</v>
      </c>
      <c r="Q528" s="262">
        <v>0.0</v>
      </c>
      <c r="R528" s="260">
        <v>331.39200000000005</v>
      </c>
      <c r="S528" s="260">
        <v>0.0</v>
      </c>
      <c r="T528" s="260">
        <v>414.24</v>
      </c>
      <c r="U528" s="261" t="s">
        <v>1444</v>
      </c>
      <c r="V528" s="279">
        <v>45343.9903125</v>
      </c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</row>
    <row r="529">
      <c r="A529" s="276">
        <v>45343.0</v>
      </c>
      <c r="B529" s="252">
        <v>5377551.0</v>
      </c>
      <c r="C529" s="253" t="s">
        <v>82</v>
      </c>
      <c r="D529" s="253" t="s">
        <v>35</v>
      </c>
      <c r="E529" s="252">
        <v>4.063380564E9</v>
      </c>
      <c r="F529" s="253" t="s">
        <v>2253</v>
      </c>
      <c r="G529" s="276">
        <v>45356.0</v>
      </c>
      <c r="H529" s="277">
        <v>45359.0</v>
      </c>
      <c r="I529" s="278">
        <v>3.0</v>
      </c>
      <c r="J529" s="257" t="s">
        <v>78</v>
      </c>
      <c r="K529" s="253" t="s">
        <v>79</v>
      </c>
      <c r="L529" s="253" t="s">
        <v>1396</v>
      </c>
      <c r="M529" s="252">
        <v>2.0</v>
      </c>
      <c r="N529" s="258">
        <v>0.0</v>
      </c>
      <c r="O529" s="259">
        <v>157.74</v>
      </c>
      <c r="P529" s="259">
        <v>126.19200000000001</v>
      </c>
      <c r="Q529" s="262">
        <v>0.0</v>
      </c>
      <c r="R529" s="260">
        <v>378.576</v>
      </c>
      <c r="S529" s="260">
        <v>0.0</v>
      </c>
      <c r="T529" s="260">
        <v>473.22</v>
      </c>
      <c r="U529" s="261" t="s">
        <v>1398</v>
      </c>
      <c r="V529" s="279">
        <v>45343.97782407407</v>
      </c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</row>
    <row r="530">
      <c r="A530" s="210">
        <v>45344.0</v>
      </c>
      <c r="B530" s="166">
        <v>5380961.0</v>
      </c>
      <c r="C530" s="166" t="s">
        <v>82</v>
      </c>
      <c r="D530" s="166" t="s">
        <v>35</v>
      </c>
      <c r="E530" s="166">
        <v>4.098303185E9</v>
      </c>
      <c r="F530" s="166" t="s">
        <v>2254</v>
      </c>
      <c r="G530" s="210">
        <v>45444.0</v>
      </c>
      <c r="H530" s="287">
        <v>45445.0</v>
      </c>
      <c r="I530" s="168">
        <v>1.0</v>
      </c>
      <c r="J530" s="169" t="s">
        <v>87</v>
      </c>
      <c r="K530" s="166" t="s">
        <v>79</v>
      </c>
      <c r="L530" s="166" t="s">
        <v>1400</v>
      </c>
      <c r="M530" s="205">
        <v>2.0</v>
      </c>
      <c r="N530" s="170">
        <v>0.0</v>
      </c>
      <c r="O530" s="171">
        <v>128.93</v>
      </c>
      <c r="P530" s="171">
        <v>103.144</v>
      </c>
      <c r="Q530" s="169">
        <v>0.0</v>
      </c>
      <c r="R530" s="173">
        <v>103.144</v>
      </c>
      <c r="S530" s="173">
        <v>0.0</v>
      </c>
      <c r="T530" s="173">
        <v>128.93</v>
      </c>
      <c r="U530" s="174" t="s">
        <v>1401</v>
      </c>
      <c r="V530" s="288">
        <v>45344.97020833333</v>
      </c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</row>
    <row r="531">
      <c r="A531" s="289">
        <v>45344.0</v>
      </c>
      <c r="B531" s="290">
        <v>5379894.0</v>
      </c>
      <c r="C531" s="291" t="s">
        <v>82</v>
      </c>
      <c r="D531" s="291" t="s">
        <v>35</v>
      </c>
      <c r="E531" s="290">
        <v>4.201881546E9</v>
      </c>
      <c r="F531" s="291" t="s">
        <v>2256</v>
      </c>
      <c r="G531" s="289">
        <v>45450.0</v>
      </c>
      <c r="H531" s="292">
        <v>45453.0</v>
      </c>
      <c r="I531" s="293">
        <v>3.0</v>
      </c>
      <c r="J531" s="294" t="s">
        <v>78</v>
      </c>
      <c r="K531" s="291" t="s">
        <v>79</v>
      </c>
      <c r="L531" s="291" t="s">
        <v>1396</v>
      </c>
      <c r="M531" s="300">
        <v>2.0</v>
      </c>
      <c r="N531" s="295">
        <v>0.0</v>
      </c>
      <c r="O531" s="296">
        <v>144.88</v>
      </c>
      <c r="P531" s="296">
        <v>115.904</v>
      </c>
      <c r="Q531" s="301">
        <v>0.0</v>
      </c>
      <c r="R531" s="297">
        <v>347.712</v>
      </c>
      <c r="S531" s="297">
        <v>0.0</v>
      </c>
      <c r="T531" s="297">
        <v>434.64</v>
      </c>
      <c r="U531" s="298" t="s">
        <v>1398</v>
      </c>
      <c r="V531" s="299">
        <v>45344.725740740745</v>
      </c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</row>
    <row r="532">
      <c r="A532" s="276">
        <v>45344.0</v>
      </c>
      <c r="B532" s="252">
        <v>5379324.0</v>
      </c>
      <c r="C532" s="253" t="s">
        <v>82</v>
      </c>
      <c r="D532" s="253" t="s">
        <v>94</v>
      </c>
      <c r="E532" s="252">
        <v>5379324.0</v>
      </c>
      <c r="F532" s="253" t="s">
        <v>2257</v>
      </c>
      <c r="G532" s="276">
        <v>45526.0</v>
      </c>
      <c r="H532" s="277">
        <v>45533.0</v>
      </c>
      <c r="I532" s="278">
        <v>7.0</v>
      </c>
      <c r="J532" s="257" t="s">
        <v>114</v>
      </c>
      <c r="K532" s="253" t="s">
        <v>79</v>
      </c>
      <c r="L532" s="253" t="s">
        <v>1601</v>
      </c>
      <c r="M532" s="275">
        <v>2.0</v>
      </c>
      <c r="N532" s="258">
        <v>0.0</v>
      </c>
      <c r="O532" s="259">
        <v>176.31428571428572</v>
      </c>
      <c r="P532" s="259">
        <v>174.55114285714285</v>
      </c>
      <c r="Q532" s="262">
        <v>0.0</v>
      </c>
      <c r="R532" s="260">
        <v>1221.858</v>
      </c>
      <c r="S532" s="260">
        <v>0.0</v>
      </c>
      <c r="T532" s="260">
        <v>2054.6</v>
      </c>
      <c r="U532" s="261" t="s">
        <v>1602</v>
      </c>
      <c r="V532" s="279">
        <v>45344.608298611114</v>
      </c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</row>
    <row r="533">
      <c r="A533" s="276">
        <v>45344.0</v>
      </c>
      <c r="B533" s="252">
        <v>5379324.0</v>
      </c>
      <c r="C533" s="253" t="s">
        <v>82</v>
      </c>
      <c r="D533" s="253" t="s">
        <v>94</v>
      </c>
      <c r="E533" s="252">
        <v>5379324.0</v>
      </c>
      <c r="F533" s="253" t="s">
        <v>2257</v>
      </c>
      <c r="G533" s="276">
        <v>45526.0</v>
      </c>
      <c r="H533" s="277">
        <v>45533.0</v>
      </c>
      <c r="I533" s="278">
        <v>7.0</v>
      </c>
      <c r="J533" s="257" t="s">
        <v>87</v>
      </c>
      <c r="K533" s="253" t="s">
        <v>79</v>
      </c>
      <c r="L533" s="253" t="s">
        <v>1601</v>
      </c>
      <c r="M533" s="252">
        <v>2.0</v>
      </c>
      <c r="N533" s="258">
        <v>0.0</v>
      </c>
      <c r="O533" s="259">
        <v>117.2</v>
      </c>
      <c r="P533" s="259">
        <v>116.028</v>
      </c>
      <c r="Q533" s="262">
        <v>0.0</v>
      </c>
      <c r="R533" s="260">
        <v>812.196</v>
      </c>
      <c r="S533" s="260">
        <v>0.0</v>
      </c>
      <c r="T533" s="260">
        <v>2054.6</v>
      </c>
      <c r="U533" s="261" t="s">
        <v>1602</v>
      </c>
      <c r="V533" s="279">
        <v>45344.608298611114</v>
      </c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</row>
    <row r="534">
      <c r="A534" s="280">
        <v>45344.0</v>
      </c>
      <c r="B534" s="264">
        <v>5378185.0</v>
      </c>
      <c r="C534" s="265" t="s">
        <v>82</v>
      </c>
      <c r="D534" s="265" t="s">
        <v>35</v>
      </c>
      <c r="E534" s="264">
        <v>4.170900656E9</v>
      </c>
      <c r="F534" s="265" t="s">
        <v>2260</v>
      </c>
      <c r="G534" s="305">
        <v>45595.0</v>
      </c>
      <c r="H534" s="281">
        <v>45598.0</v>
      </c>
      <c r="I534" s="282">
        <v>3.0</v>
      </c>
      <c r="J534" s="283" t="s">
        <v>111</v>
      </c>
      <c r="K534" s="265" t="s">
        <v>79</v>
      </c>
      <c r="L534" s="265" t="s">
        <v>1528</v>
      </c>
      <c r="M534" s="269">
        <v>2.0</v>
      </c>
      <c r="N534" s="270">
        <v>0.0</v>
      </c>
      <c r="O534" s="271">
        <v>205.0</v>
      </c>
      <c r="P534" s="271">
        <v>164.0</v>
      </c>
      <c r="Q534" s="272">
        <v>0.0</v>
      </c>
      <c r="R534" s="273">
        <v>492.0</v>
      </c>
      <c r="S534" s="273">
        <v>0.0</v>
      </c>
      <c r="T534" s="273">
        <v>615.0</v>
      </c>
      <c r="U534" s="274" t="s">
        <v>1529</v>
      </c>
      <c r="V534" s="284">
        <v>45344.37087962963</v>
      </c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</row>
    <row r="535">
      <c r="A535" s="210">
        <v>45345.0</v>
      </c>
      <c r="B535" s="166">
        <v>5384102.0</v>
      </c>
      <c r="C535" s="166" t="s">
        <v>82</v>
      </c>
      <c r="D535" s="166" t="s">
        <v>35</v>
      </c>
      <c r="E535" s="166">
        <v>4.113921523E9</v>
      </c>
      <c r="F535" s="166" t="s">
        <v>2261</v>
      </c>
      <c r="G535" s="210">
        <v>45434.0</v>
      </c>
      <c r="H535" s="287">
        <v>45435.0</v>
      </c>
      <c r="I535" s="168">
        <v>1.0</v>
      </c>
      <c r="J535" s="169" t="s">
        <v>87</v>
      </c>
      <c r="K535" s="166" t="s">
        <v>79</v>
      </c>
      <c r="L535" s="166" t="s">
        <v>1400</v>
      </c>
      <c r="M535" s="166">
        <v>2.0</v>
      </c>
      <c r="N535" s="170">
        <v>0.0</v>
      </c>
      <c r="O535" s="171">
        <v>204.67</v>
      </c>
      <c r="P535" s="171">
        <v>163.736</v>
      </c>
      <c r="Q535" s="172">
        <v>0.0</v>
      </c>
      <c r="R535" s="173">
        <v>163.736</v>
      </c>
      <c r="S535" s="173">
        <v>0.0</v>
      </c>
      <c r="T535" s="173">
        <v>409.34</v>
      </c>
      <c r="U535" s="201" t="s">
        <v>1401</v>
      </c>
      <c r="V535" s="288">
        <v>45345.890335648146</v>
      </c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</row>
    <row r="536">
      <c r="A536" s="210">
        <v>45345.0</v>
      </c>
      <c r="B536" s="166">
        <v>5384102.0</v>
      </c>
      <c r="C536" s="166" t="s">
        <v>82</v>
      </c>
      <c r="D536" s="166" t="s">
        <v>35</v>
      </c>
      <c r="E536" s="166">
        <v>4.113921523E9</v>
      </c>
      <c r="F536" s="166" t="s">
        <v>2261</v>
      </c>
      <c r="G536" s="210">
        <v>45434.0</v>
      </c>
      <c r="H536" s="287">
        <v>45435.0</v>
      </c>
      <c r="I536" s="168">
        <v>1.0</v>
      </c>
      <c r="J536" s="169" t="s">
        <v>87</v>
      </c>
      <c r="K536" s="166" t="s">
        <v>79</v>
      </c>
      <c r="L536" s="166" t="s">
        <v>1400</v>
      </c>
      <c r="M536" s="166">
        <v>2.0</v>
      </c>
      <c r="N536" s="170">
        <v>0.0</v>
      </c>
      <c r="O536" s="171">
        <v>204.67</v>
      </c>
      <c r="P536" s="171">
        <v>163.736</v>
      </c>
      <c r="Q536" s="172">
        <v>0.0</v>
      </c>
      <c r="R536" s="173">
        <v>163.736</v>
      </c>
      <c r="S536" s="173">
        <v>0.0</v>
      </c>
      <c r="T536" s="173">
        <v>409.34</v>
      </c>
      <c r="U536" s="201" t="s">
        <v>1401</v>
      </c>
      <c r="V536" s="288">
        <v>45345.890335648146</v>
      </c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</row>
    <row r="537">
      <c r="A537" s="276">
        <v>45346.0</v>
      </c>
      <c r="B537" s="252">
        <v>5386733.0</v>
      </c>
      <c r="C537" s="253" t="s">
        <v>82</v>
      </c>
      <c r="D537" s="253" t="s">
        <v>35</v>
      </c>
      <c r="E537" s="252">
        <v>4.10948218E9</v>
      </c>
      <c r="F537" s="253" t="s">
        <v>2264</v>
      </c>
      <c r="G537" s="276">
        <v>45375.0</v>
      </c>
      <c r="H537" s="277">
        <v>45377.0</v>
      </c>
      <c r="I537" s="278">
        <v>2.0</v>
      </c>
      <c r="J537" s="257" t="s">
        <v>114</v>
      </c>
      <c r="K537" s="253" t="s">
        <v>79</v>
      </c>
      <c r="L537" s="253" t="s">
        <v>1396</v>
      </c>
      <c r="M537" s="252">
        <v>2.0</v>
      </c>
      <c r="N537" s="258">
        <v>0.0</v>
      </c>
      <c r="O537" s="259">
        <v>202.49</v>
      </c>
      <c r="P537" s="259">
        <v>161.99200000000002</v>
      </c>
      <c r="Q537" s="257">
        <v>0.0</v>
      </c>
      <c r="R537" s="260">
        <v>323.98400000000004</v>
      </c>
      <c r="S537" s="260">
        <v>0.0</v>
      </c>
      <c r="T537" s="260">
        <v>404.98</v>
      </c>
      <c r="U537" s="261" t="s">
        <v>1398</v>
      </c>
      <c r="V537" s="279">
        <v>45346.771574074075</v>
      </c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</row>
    <row r="538">
      <c r="A538" s="280">
        <v>45346.0</v>
      </c>
      <c r="B538" s="264">
        <v>5386712.0</v>
      </c>
      <c r="C538" s="265" t="s">
        <v>82</v>
      </c>
      <c r="D538" s="265" t="s">
        <v>35</v>
      </c>
      <c r="E538" s="265">
        <v>4.249330805E9</v>
      </c>
      <c r="F538" s="265" t="s">
        <v>2264</v>
      </c>
      <c r="G538" s="280">
        <v>45375.0</v>
      </c>
      <c r="H538" s="281">
        <v>45377.0</v>
      </c>
      <c r="I538" s="282">
        <v>2.0</v>
      </c>
      <c r="J538" s="283" t="s">
        <v>78</v>
      </c>
      <c r="K538" s="265" t="s">
        <v>79</v>
      </c>
      <c r="L538" s="265" t="s">
        <v>1396</v>
      </c>
      <c r="M538" s="264">
        <v>2.0</v>
      </c>
      <c r="N538" s="270">
        <v>0.0</v>
      </c>
      <c r="O538" s="271">
        <v>158.89</v>
      </c>
      <c r="P538" s="271">
        <v>127.112</v>
      </c>
      <c r="Q538" s="272">
        <v>0.0</v>
      </c>
      <c r="R538" s="273">
        <v>254.224</v>
      </c>
      <c r="S538" s="273">
        <v>0.0</v>
      </c>
      <c r="T538" s="273">
        <v>317.78</v>
      </c>
      <c r="U538" s="274" t="s">
        <v>1398</v>
      </c>
      <c r="V538" s="284">
        <v>45346.76809027778</v>
      </c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</row>
    <row r="539">
      <c r="A539" s="276">
        <v>45347.0</v>
      </c>
      <c r="B539" s="252">
        <v>5389922.0</v>
      </c>
      <c r="C539" s="253" t="s">
        <v>75</v>
      </c>
      <c r="D539" s="253" t="s">
        <v>35</v>
      </c>
      <c r="E539" s="252">
        <v>4.034102423E9</v>
      </c>
      <c r="F539" s="253" t="s">
        <v>2266</v>
      </c>
      <c r="G539" s="276">
        <v>45375.0</v>
      </c>
      <c r="H539" s="277">
        <v>45376.0</v>
      </c>
      <c r="I539" s="278">
        <v>1.0</v>
      </c>
      <c r="J539" s="257" t="s">
        <v>78</v>
      </c>
      <c r="K539" s="253" t="s">
        <v>79</v>
      </c>
      <c r="L539" s="253" t="s">
        <v>1396</v>
      </c>
      <c r="M539" s="252">
        <v>3.0</v>
      </c>
      <c r="N539" s="258">
        <v>0.0</v>
      </c>
      <c r="O539" s="259">
        <v>176.12</v>
      </c>
      <c r="P539" s="259">
        <v>140.89600000000002</v>
      </c>
      <c r="Q539" s="262">
        <v>0.0</v>
      </c>
      <c r="R539" s="260">
        <v>140.89600000000002</v>
      </c>
      <c r="S539" s="260">
        <v>0.0</v>
      </c>
      <c r="T539" s="260">
        <v>176.12</v>
      </c>
      <c r="U539" s="261" t="s">
        <v>1398</v>
      </c>
      <c r="V539" s="279">
        <v>45347.986168981486</v>
      </c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</row>
    <row r="540">
      <c r="A540" s="280">
        <v>45347.0</v>
      </c>
      <c r="B540" s="264">
        <v>5389147.0</v>
      </c>
      <c r="C540" s="265" t="s">
        <v>82</v>
      </c>
      <c r="D540" s="265" t="s">
        <v>35</v>
      </c>
      <c r="E540" s="264">
        <v>4.249390444E9</v>
      </c>
      <c r="F540" s="265" t="s">
        <v>2268</v>
      </c>
      <c r="G540" s="280">
        <v>45379.0</v>
      </c>
      <c r="H540" s="281">
        <v>45381.0</v>
      </c>
      <c r="I540" s="282">
        <v>2.0</v>
      </c>
      <c r="J540" s="283" t="s">
        <v>87</v>
      </c>
      <c r="K540" s="265" t="s">
        <v>79</v>
      </c>
      <c r="L540" s="265" t="s">
        <v>1454</v>
      </c>
      <c r="M540" s="264">
        <v>2.0</v>
      </c>
      <c r="N540" s="270">
        <v>0.0</v>
      </c>
      <c r="O540" s="271">
        <v>193.06</v>
      </c>
      <c r="P540" s="271">
        <v>154.448</v>
      </c>
      <c r="Q540" s="272">
        <v>0.0</v>
      </c>
      <c r="R540" s="273">
        <v>308.896</v>
      </c>
      <c r="S540" s="273">
        <v>0.0</v>
      </c>
      <c r="T540" s="273">
        <v>386.12</v>
      </c>
      <c r="U540" s="274" t="s">
        <v>1455</v>
      </c>
      <c r="V540" s="284">
        <v>45347.62504629629</v>
      </c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</row>
    <row r="541">
      <c r="A541" s="280">
        <v>45347.0</v>
      </c>
      <c r="B541" s="264">
        <v>5390573.0</v>
      </c>
      <c r="C541" s="265" t="s">
        <v>82</v>
      </c>
      <c r="D541" s="265" t="s">
        <v>35</v>
      </c>
      <c r="E541" s="264">
        <v>4.178321874E9</v>
      </c>
      <c r="F541" s="265" t="s">
        <v>2270</v>
      </c>
      <c r="G541" s="280">
        <v>45384.0</v>
      </c>
      <c r="H541" s="281">
        <v>45387.0</v>
      </c>
      <c r="I541" s="282">
        <v>3.0</v>
      </c>
      <c r="J541" s="283" t="s">
        <v>78</v>
      </c>
      <c r="K541" s="265" t="s">
        <v>79</v>
      </c>
      <c r="L541" s="265" t="s">
        <v>1396</v>
      </c>
      <c r="M541" s="269">
        <v>2.0</v>
      </c>
      <c r="N541" s="270">
        <v>0.0</v>
      </c>
      <c r="O541" s="271">
        <v>217.05999999999997</v>
      </c>
      <c r="P541" s="271">
        <v>173.648</v>
      </c>
      <c r="Q541" s="272">
        <v>0.0</v>
      </c>
      <c r="R541" s="273">
        <v>520.944</v>
      </c>
      <c r="S541" s="273">
        <v>0.0</v>
      </c>
      <c r="T541" s="273">
        <v>651.18</v>
      </c>
      <c r="U541" s="274" t="s">
        <v>1398</v>
      </c>
      <c r="V541" s="286">
        <v>45347.92579861111</v>
      </c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</row>
    <row r="542">
      <c r="A542" s="210">
        <v>45347.0</v>
      </c>
      <c r="B542" s="166">
        <v>5389741.0</v>
      </c>
      <c r="C542" s="166" t="s">
        <v>82</v>
      </c>
      <c r="D542" s="166" t="s">
        <v>35</v>
      </c>
      <c r="E542" s="166">
        <v>4.219359847E9</v>
      </c>
      <c r="F542" s="166" t="s">
        <v>2272</v>
      </c>
      <c r="G542" s="210">
        <v>45432.0</v>
      </c>
      <c r="H542" s="287">
        <v>45437.0</v>
      </c>
      <c r="I542" s="168">
        <v>5.0</v>
      </c>
      <c r="J542" s="169" t="s">
        <v>78</v>
      </c>
      <c r="K542" s="166" t="s">
        <v>79</v>
      </c>
      <c r="L542" s="166" t="s">
        <v>1396</v>
      </c>
      <c r="M542" s="166">
        <v>2.0</v>
      </c>
      <c r="N542" s="169">
        <v>0.0</v>
      </c>
      <c r="O542" s="171">
        <v>170.42000000000002</v>
      </c>
      <c r="P542" s="171">
        <v>136.336</v>
      </c>
      <c r="Q542" s="169">
        <v>0.0</v>
      </c>
      <c r="R542" s="173">
        <v>681.6800000000001</v>
      </c>
      <c r="S542" s="173">
        <v>0.0</v>
      </c>
      <c r="T542" s="260">
        <v>852.1</v>
      </c>
      <c r="U542" s="261" t="s">
        <v>1398</v>
      </c>
      <c r="V542" s="279">
        <v>45347.75421296296</v>
      </c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</row>
    <row r="543">
      <c r="A543" s="210">
        <v>45347.0</v>
      </c>
      <c r="B543" s="166">
        <v>5390420.0</v>
      </c>
      <c r="C543" s="166" t="s">
        <v>82</v>
      </c>
      <c r="D543" s="166" t="s">
        <v>35</v>
      </c>
      <c r="E543" s="166">
        <v>4.133556222E9</v>
      </c>
      <c r="F543" s="166" t="s">
        <v>2273</v>
      </c>
      <c r="G543" s="210">
        <v>45464.0</v>
      </c>
      <c r="H543" s="287">
        <v>45468.0</v>
      </c>
      <c r="I543" s="168">
        <v>4.0</v>
      </c>
      <c r="J543" s="169" t="s">
        <v>87</v>
      </c>
      <c r="K543" s="166" t="s">
        <v>79</v>
      </c>
      <c r="L543" s="166" t="s">
        <v>1414</v>
      </c>
      <c r="M543" s="166">
        <v>2.0</v>
      </c>
      <c r="N543" s="170">
        <v>0.0</v>
      </c>
      <c r="O543" s="171">
        <v>106.44</v>
      </c>
      <c r="P543" s="171">
        <v>85.152</v>
      </c>
      <c r="Q543" s="169">
        <v>0.0</v>
      </c>
      <c r="R543" s="173">
        <v>340.608</v>
      </c>
      <c r="S543" s="173">
        <v>0.0</v>
      </c>
      <c r="T543" s="173">
        <v>425.76</v>
      </c>
      <c r="U543" s="201" t="s">
        <v>1415</v>
      </c>
      <c r="V543" s="288">
        <v>45347.892418981486</v>
      </c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</row>
    <row r="544">
      <c r="A544" s="210">
        <v>45347.0</v>
      </c>
      <c r="B544" s="166">
        <v>5389503.0</v>
      </c>
      <c r="C544" s="166" t="s">
        <v>82</v>
      </c>
      <c r="D544" s="166" t="s">
        <v>94</v>
      </c>
      <c r="E544" s="166">
        <v>5389503.0</v>
      </c>
      <c r="F544" s="166" t="s">
        <v>2276</v>
      </c>
      <c r="G544" s="210">
        <v>45526.0</v>
      </c>
      <c r="H544" s="287">
        <v>45533.0</v>
      </c>
      <c r="I544" s="168">
        <v>7.0</v>
      </c>
      <c r="J544" s="169" t="s">
        <v>78</v>
      </c>
      <c r="K544" s="166" t="s">
        <v>79</v>
      </c>
      <c r="L544" s="166" t="s">
        <v>1601</v>
      </c>
      <c r="M544" s="205">
        <v>2.0</v>
      </c>
      <c r="N544" s="170">
        <v>0.0</v>
      </c>
      <c r="O544" s="171">
        <v>142.71428571428572</v>
      </c>
      <c r="P544" s="171">
        <v>141.28714285714287</v>
      </c>
      <c r="Q544" s="172">
        <v>0.0</v>
      </c>
      <c r="R544" s="173">
        <v>989.01</v>
      </c>
      <c r="S544" s="173">
        <v>0.0</v>
      </c>
      <c r="T544" s="173">
        <v>1859.4</v>
      </c>
      <c r="U544" s="174" t="s">
        <v>1602</v>
      </c>
      <c r="V544" s="288">
        <v>45347.70054398148</v>
      </c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</row>
    <row r="545">
      <c r="A545" s="210">
        <v>45347.0</v>
      </c>
      <c r="B545" s="166">
        <v>5389503.0</v>
      </c>
      <c r="C545" s="166" t="s">
        <v>82</v>
      </c>
      <c r="D545" s="166" t="s">
        <v>94</v>
      </c>
      <c r="E545" s="166">
        <v>5389503.0</v>
      </c>
      <c r="F545" s="166" t="s">
        <v>2276</v>
      </c>
      <c r="G545" s="210">
        <v>45526.0</v>
      </c>
      <c r="H545" s="287">
        <v>45533.0</v>
      </c>
      <c r="I545" s="168">
        <v>7.0</v>
      </c>
      <c r="J545" s="169" t="s">
        <v>87</v>
      </c>
      <c r="K545" s="166" t="s">
        <v>79</v>
      </c>
      <c r="L545" s="166" t="s">
        <v>1601</v>
      </c>
      <c r="M545" s="166">
        <v>2.0</v>
      </c>
      <c r="N545" s="170">
        <v>0.0</v>
      </c>
      <c r="O545" s="171">
        <v>122.91428571428571</v>
      </c>
      <c r="P545" s="171">
        <v>121.68514285714285</v>
      </c>
      <c r="Q545" s="172">
        <v>0.0</v>
      </c>
      <c r="R545" s="173">
        <v>851.7959999999999</v>
      </c>
      <c r="S545" s="173">
        <v>0.0</v>
      </c>
      <c r="T545" s="173">
        <v>1859.4</v>
      </c>
      <c r="U545" s="201" t="s">
        <v>1602</v>
      </c>
      <c r="V545" s="288">
        <v>45347.70054398148</v>
      </c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</row>
    <row r="546">
      <c r="A546" s="276">
        <v>45348.0</v>
      </c>
      <c r="B546" s="252">
        <v>5393431.0</v>
      </c>
      <c r="C546" s="253" t="s">
        <v>82</v>
      </c>
      <c r="D546" s="253" t="s">
        <v>35</v>
      </c>
      <c r="E546" s="252">
        <v>4.09601263E9</v>
      </c>
      <c r="F546" s="253" t="s">
        <v>2279</v>
      </c>
      <c r="G546" s="276">
        <v>45374.0</v>
      </c>
      <c r="H546" s="277">
        <v>45376.0</v>
      </c>
      <c r="I546" s="278">
        <v>2.0</v>
      </c>
      <c r="J546" s="257" t="s">
        <v>114</v>
      </c>
      <c r="K546" s="253" t="s">
        <v>79</v>
      </c>
      <c r="L546" s="253" t="s">
        <v>1396</v>
      </c>
      <c r="M546" s="252">
        <v>2.0</v>
      </c>
      <c r="N546" s="258">
        <v>0.0</v>
      </c>
      <c r="O546" s="259">
        <v>180.69</v>
      </c>
      <c r="P546" s="259">
        <v>144.552</v>
      </c>
      <c r="Q546" s="262">
        <v>0.0</v>
      </c>
      <c r="R546" s="260">
        <v>289.104</v>
      </c>
      <c r="S546" s="260">
        <v>0.0</v>
      </c>
      <c r="T546" s="260">
        <v>361.38</v>
      </c>
      <c r="U546" s="261" t="s">
        <v>1398</v>
      </c>
      <c r="V546" s="279">
        <v>45348.781319444446</v>
      </c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</row>
    <row r="547">
      <c r="A547" s="210">
        <v>45348.0</v>
      </c>
      <c r="B547" s="166">
        <v>5392322.0</v>
      </c>
      <c r="C547" s="166" t="s">
        <v>82</v>
      </c>
      <c r="D547" s="166" t="s">
        <v>94</v>
      </c>
      <c r="E547" s="166">
        <v>5392322.0</v>
      </c>
      <c r="F547" s="166" t="s">
        <v>2280</v>
      </c>
      <c r="G547" s="210">
        <v>45390.0</v>
      </c>
      <c r="H547" s="287">
        <v>45392.0</v>
      </c>
      <c r="I547" s="168">
        <v>2.0</v>
      </c>
      <c r="J547" s="169" t="s">
        <v>87</v>
      </c>
      <c r="K547" s="166" t="s">
        <v>79</v>
      </c>
      <c r="L547" s="166" t="s">
        <v>1462</v>
      </c>
      <c r="M547" s="205">
        <v>2.0</v>
      </c>
      <c r="N547" s="170">
        <v>0.0</v>
      </c>
      <c r="O547" s="171">
        <v>167.0</v>
      </c>
      <c r="P547" s="171">
        <v>165.33</v>
      </c>
      <c r="Q547" s="172">
        <v>0.0</v>
      </c>
      <c r="R547" s="173">
        <v>330.66</v>
      </c>
      <c r="S547" s="173">
        <v>0.0</v>
      </c>
      <c r="T547" s="173">
        <v>334.0</v>
      </c>
      <c r="U547" s="174" t="s">
        <v>1463</v>
      </c>
      <c r="V547" s="288">
        <v>45348.56015046296</v>
      </c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</row>
    <row r="548">
      <c r="A548" s="280">
        <v>45348.0</v>
      </c>
      <c r="B548" s="264">
        <v>5391797.0</v>
      </c>
      <c r="C548" s="265" t="s">
        <v>82</v>
      </c>
      <c r="D548" s="265" t="s">
        <v>35</v>
      </c>
      <c r="E548" s="264">
        <v>4.271112911E9</v>
      </c>
      <c r="F548" s="265" t="s">
        <v>2282</v>
      </c>
      <c r="G548" s="280">
        <v>45462.0</v>
      </c>
      <c r="H548" s="281">
        <v>45465.0</v>
      </c>
      <c r="I548" s="282">
        <v>3.0</v>
      </c>
      <c r="J548" s="283" t="s">
        <v>78</v>
      </c>
      <c r="K548" s="265" t="s">
        <v>79</v>
      </c>
      <c r="L548" s="265" t="s">
        <v>1752</v>
      </c>
      <c r="M548" s="269">
        <v>2.0</v>
      </c>
      <c r="N548" s="270">
        <v>0.0</v>
      </c>
      <c r="O548" s="271">
        <v>197.38</v>
      </c>
      <c r="P548" s="271">
        <v>157.904</v>
      </c>
      <c r="Q548" s="272">
        <v>0.0</v>
      </c>
      <c r="R548" s="273">
        <v>473.712</v>
      </c>
      <c r="S548" s="273">
        <v>0.0</v>
      </c>
      <c r="T548" s="260">
        <v>592.14</v>
      </c>
      <c r="U548" s="261" t="s">
        <v>1753</v>
      </c>
      <c r="V548" s="279">
        <v>45348.445185185185</v>
      </c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</row>
    <row r="549">
      <c r="A549" s="276">
        <v>45349.0</v>
      </c>
      <c r="B549" s="252">
        <v>5395421.0</v>
      </c>
      <c r="C549" s="253" t="s">
        <v>82</v>
      </c>
      <c r="D549" s="253" t="s">
        <v>35</v>
      </c>
      <c r="E549" s="252">
        <v>4.23666909E9</v>
      </c>
      <c r="F549" s="253" t="s">
        <v>2284</v>
      </c>
      <c r="G549" s="276">
        <v>45373.0</v>
      </c>
      <c r="H549" s="277">
        <v>45374.0</v>
      </c>
      <c r="I549" s="278">
        <v>1.0</v>
      </c>
      <c r="J549" s="257" t="s">
        <v>87</v>
      </c>
      <c r="K549" s="253" t="s">
        <v>79</v>
      </c>
      <c r="L549" s="253" t="s">
        <v>1414</v>
      </c>
      <c r="M549" s="275">
        <v>2.0</v>
      </c>
      <c r="N549" s="258">
        <v>0.0</v>
      </c>
      <c r="O549" s="259">
        <v>141.93</v>
      </c>
      <c r="P549" s="259">
        <v>113.54400000000001</v>
      </c>
      <c r="Q549" s="262">
        <v>0.0</v>
      </c>
      <c r="R549" s="260">
        <v>113.54400000000001</v>
      </c>
      <c r="S549" s="260">
        <v>0.0</v>
      </c>
      <c r="T549" s="260">
        <v>141.93</v>
      </c>
      <c r="U549" s="261" t="s">
        <v>1415</v>
      </c>
      <c r="V549" s="279">
        <v>45349.465416666666</v>
      </c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</row>
    <row r="550">
      <c r="A550" s="210">
        <v>45349.0</v>
      </c>
      <c r="B550" s="166">
        <v>5397330.0</v>
      </c>
      <c r="C550" s="166" t="s">
        <v>82</v>
      </c>
      <c r="D550" s="166" t="s">
        <v>94</v>
      </c>
      <c r="E550" s="166">
        <v>5397330.0</v>
      </c>
      <c r="F550" s="166" t="s">
        <v>2285</v>
      </c>
      <c r="G550" s="210">
        <v>45429.0</v>
      </c>
      <c r="H550" s="287">
        <v>45432.0</v>
      </c>
      <c r="I550" s="168">
        <v>3.0</v>
      </c>
      <c r="J550" s="169" t="s">
        <v>114</v>
      </c>
      <c r="K550" s="166" t="s">
        <v>79</v>
      </c>
      <c r="L550" s="166" t="s">
        <v>1462</v>
      </c>
      <c r="M550" s="166">
        <v>2.0</v>
      </c>
      <c r="N550" s="170">
        <v>0.0</v>
      </c>
      <c r="O550" s="171">
        <v>236.0</v>
      </c>
      <c r="P550" s="171">
        <v>233.64</v>
      </c>
      <c r="Q550" s="172">
        <v>0.0</v>
      </c>
      <c r="R550" s="173">
        <v>700.92</v>
      </c>
      <c r="S550" s="173">
        <v>0.0</v>
      </c>
      <c r="T550" s="173">
        <v>708.0</v>
      </c>
      <c r="U550" s="174" t="s">
        <v>1463</v>
      </c>
      <c r="V550" s="288">
        <v>45349.85800925926</v>
      </c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</row>
    <row r="551">
      <c r="A551" s="280">
        <v>45349.0</v>
      </c>
      <c r="B551" s="264">
        <v>5396578.0</v>
      </c>
      <c r="C551" s="265" t="s">
        <v>82</v>
      </c>
      <c r="D551" s="265" t="s">
        <v>35</v>
      </c>
      <c r="E551" s="264">
        <v>4.054461505E9</v>
      </c>
      <c r="F551" s="265" t="s">
        <v>2286</v>
      </c>
      <c r="G551" s="280">
        <v>45453.0</v>
      </c>
      <c r="H551" s="281">
        <v>45456.0</v>
      </c>
      <c r="I551" s="282">
        <v>3.0</v>
      </c>
      <c r="J551" s="283" t="s">
        <v>111</v>
      </c>
      <c r="K551" s="265" t="s">
        <v>79</v>
      </c>
      <c r="L551" s="265" t="s">
        <v>1400</v>
      </c>
      <c r="M551" s="269">
        <v>2.0</v>
      </c>
      <c r="N551" s="270">
        <v>0.0</v>
      </c>
      <c r="O551" s="271">
        <v>158.77</v>
      </c>
      <c r="P551" s="271">
        <v>127.01600000000002</v>
      </c>
      <c r="Q551" s="272">
        <v>0.0</v>
      </c>
      <c r="R551" s="273">
        <v>381.048</v>
      </c>
      <c r="S551" s="273">
        <v>0.0</v>
      </c>
      <c r="T551" s="273">
        <v>476.31</v>
      </c>
      <c r="U551" s="274" t="s">
        <v>1401</v>
      </c>
      <c r="V551" s="284">
        <v>45349.7055787037</v>
      </c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</row>
    <row r="552">
      <c r="A552" s="210">
        <v>45349.0</v>
      </c>
      <c r="B552" s="166">
        <v>5396044.0</v>
      </c>
      <c r="C552" s="166" t="s">
        <v>82</v>
      </c>
      <c r="D552" s="166" t="s">
        <v>35</v>
      </c>
      <c r="E552" s="166">
        <v>4.03670068E9</v>
      </c>
      <c r="F552" s="166" t="s">
        <v>2287</v>
      </c>
      <c r="G552" s="210">
        <v>45473.0</v>
      </c>
      <c r="H552" s="287">
        <v>45480.0</v>
      </c>
      <c r="I552" s="168">
        <v>7.0</v>
      </c>
      <c r="J552" s="169" t="s">
        <v>78</v>
      </c>
      <c r="K552" s="166" t="s">
        <v>79</v>
      </c>
      <c r="L552" s="166" t="s">
        <v>1567</v>
      </c>
      <c r="M552" s="205">
        <v>2.0</v>
      </c>
      <c r="N552" s="170">
        <v>0.0</v>
      </c>
      <c r="O552" s="171">
        <v>122.57000000000001</v>
      </c>
      <c r="P552" s="171">
        <v>98.05600000000001</v>
      </c>
      <c r="Q552" s="172">
        <v>0.0</v>
      </c>
      <c r="R552" s="173">
        <v>686.392</v>
      </c>
      <c r="S552" s="173">
        <v>0.0</v>
      </c>
      <c r="T552" s="173">
        <v>1584.1</v>
      </c>
      <c r="U552" s="174" t="s">
        <v>1568</v>
      </c>
      <c r="V552" s="288">
        <v>45349.590370370366</v>
      </c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</row>
    <row r="553">
      <c r="A553" s="210">
        <v>45349.0</v>
      </c>
      <c r="B553" s="166">
        <v>5396044.0</v>
      </c>
      <c r="C553" s="166" t="s">
        <v>82</v>
      </c>
      <c r="D553" s="166" t="s">
        <v>35</v>
      </c>
      <c r="E553" s="166">
        <v>4.03670068E9</v>
      </c>
      <c r="F553" s="166" t="s">
        <v>2287</v>
      </c>
      <c r="G553" s="210">
        <v>45473.0</v>
      </c>
      <c r="H553" s="287">
        <v>45480.0</v>
      </c>
      <c r="I553" s="168">
        <v>7.0</v>
      </c>
      <c r="J553" s="169" t="s">
        <v>87</v>
      </c>
      <c r="K553" s="166" t="s">
        <v>79</v>
      </c>
      <c r="L553" s="166" t="s">
        <v>1567</v>
      </c>
      <c r="M553" s="166">
        <v>2.0</v>
      </c>
      <c r="N553" s="170">
        <v>0.0</v>
      </c>
      <c r="O553" s="171">
        <v>103.73</v>
      </c>
      <c r="P553" s="171">
        <v>82.98400000000001</v>
      </c>
      <c r="Q553" s="172">
        <v>0.0</v>
      </c>
      <c r="R553" s="173">
        <v>580.888</v>
      </c>
      <c r="S553" s="173">
        <v>0.0</v>
      </c>
      <c r="T553" s="173">
        <v>1584.1</v>
      </c>
      <c r="U553" s="201" t="s">
        <v>1568</v>
      </c>
      <c r="V553" s="288">
        <v>45349.590370370366</v>
      </c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</row>
    <row r="554">
      <c r="A554" s="276">
        <v>45350.0</v>
      </c>
      <c r="B554" s="252">
        <v>5398127.0</v>
      </c>
      <c r="C554" s="253" t="s">
        <v>82</v>
      </c>
      <c r="D554" s="253" t="s">
        <v>35</v>
      </c>
      <c r="E554" s="252">
        <v>4.032606437E9</v>
      </c>
      <c r="F554" s="253" t="s">
        <v>2288</v>
      </c>
      <c r="G554" s="276">
        <v>45374.0</v>
      </c>
      <c r="H554" s="277">
        <v>45375.0</v>
      </c>
      <c r="I554" s="278">
        <v>1.0</v>
      </c>
      <c r="J554" s="257" t="s">
        <v>87</v>
      </c>
      <c r="K554" s="253" t="s">
        <v>79</v>
      </c>
      <c r="L554" s="253" t="s">
        <v>1454</v>
      </c>
      <c r="M554" s="252">
        <v>2.0</v>
      </c>
      <c r="N554" s="258">
        <v>0.0</v>
      </c>
      <c r="O554" s="259">
        <v>193.06</v>
      </c>
      <c r="P554" s="259">
        <v>154.448</v>
      </c>
      <c r="Q554" s="262">
        <v>0.0</v>
      </c>
      <c r="R554" s="260">
        <v>154.448</v>
      </c>
      <c r="S554" s="260">
        <v>0.0</v>
      </c>
      <c r="T554" s="260">
        <v>193.06</v>
      </c>
      <c r="U554" s="261" t="s">
        <v>1455</v>
      </c>
      <c r="V554" s="279">
        <v>45350.16113425926</v>
      </c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</row>
    <row r="555">
      <c r="A555" s="276">
        <v>45350.0</v>
      </c>
      <c r="B555" s="252">
        <v>5400390.0</v>
      </c>
      <c r="C555" s="253" t="s">
        <v>82</v>
      </c>
      <c r="D555" s="253" t="s">
        <v>94</v>
      </c>
      <c r="E555" s="252">
        <v>5400390.0</v>
      </c>
      <c r="F555" s="253" t="s">
        <v>2290</v>
      </c>
      <c r="G555" s="276">
        <v>45427.0</v>
      </c>
      <c r="H555" s="277">
        <v>45430.0</v>
      </c>
      <c r="I555" s="278">
        <v>3.0</v>
      </c>
      <c r="J555" s="257" t="s">
        <v>114</v>
      </c>
      <c r="K555" s="253" t="s">
        <v>79</v>
      </c>
      <c r="L555" s="253" t="s">
        <v>1601</v>
      </c>
      <c r="M555" s="252">
        <v>2.0</v>
      </c>
      <c r="N555" s="258">
        <v>0.0</v>
      </c>
      <c r="O555" s="259">
        <v>236.0</v>
      </c>
      <c r="P555" s="259">
        <v>233.64</v>
      </c>
      <c r="Q555" s="262">
        <v>0.0</v>
      </c>
      <c r="R555" s="260">
        <v>700.92</v>
      </c>
      <c r="S555" s="260">
        <v>0.0</v>
      </c>
      <c r="T555" s="260">
        <v>708.0</v>
      </c>
      <c r="U555" s="261" t="s">
        <v>1602</v>
      </c>
      <c r="V555" s="279">
        <v>45350.7853125</v>
      </c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</row>
    <row r="556">
      <c r="A556" s="210">
        <v>45350.0</v>
      </c>
      <c r="B556" s="166">
        <v>5399977.0</v>
      </c>
      <c r="C556" s="166" t="s">
        <v>82</v>
      </c>
      <c r="D556" s="166" t="s">
        <v>35</v>
      </c>
      <c r="E556" s="166">
        <v>4.067885014E9</v>
      </c>
      <c r="F556" s="166" t="s">
        <v>2291</v>
      </c>
      <c r="G556" s="210">
        <v>45555.0</v>
      </c>
      <c r="H556" s="287">
        <v>45558.0</v>
      </c>
      <c r="I556" s="168">
        <v>3.0</v>
      </c>
      <c r="J556" s="169" t="s">
        <v>78</v>
      </c>
      <c r="K556" s="166" t="s">
        <v>79</v>
      </c>
      <c r="L556" s="166" t="s">
        <v>1414</v>
      </c>
      <c r="M556" s="166">
        <v>2.0</v>
      </c>
      <c r="N556" s="170">
        <v>0.0</v>
      </c>
      <c r="O556" s="171">
        <v>142.52</v>
      </c>
      <c r="P556" s="171">
        <v>114.01600000000002</v>
      </c>
      <c r="Q556" s="172">
        <v>0.0</v>
      </c>
      <c r="R556" s="173">
        <v>342.048</v>
      </c>
      <c r="S556" s="173">
        <v>0.0</v>
      </c>
      <c r="T556" s="173">
        <v>855.12</v>
      </c>
      <c r="U556" s="174" t="s">
        <v>1415</v>
      </c>
      <c r="V556" s="288">
        <v>45350.696608796294</v>
      </c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>
      <c r="A557" s="210">
        <v>45350.0</v>
      </c>
      <c r="B557" s="166">
        <v>5399977.0</v>
      </c>
      <c r="C557" s="166" t="s">
        <v>82</v>
      </c>
      <c r="D557" s="166" t="s">
        <v>35</v>
      </c>
      <c r="E557" s="166">
        <v>4.067885014E9</v>
      </c>
      <c r="F557" s="166" t="s">
        <v>2291</v>
      </c>
      <c r="G557" s="210">
        <v>45555.0</v>
      </c>
      <c r="H557" s="287">
        <v>45558.0</v>
      </c>
      <c r="I557" s="168">
        <v>3.0</v>
      </c>
      <c r="J557" s="169" t="s">
        <v>78</v>
      </c>
      <c r="K557" s="166" t="s">
        <v>79</v>
      </c>
      <c r="L557" s="166" t="s">
        <v>1414</v>
      </c>
      <c r="M557" s="166">
        <v>2.0</v>
      </c>
      <c r="N557" s="170">
        <v>0.0</v>
      </c>
      <c r="O557" s="171">
        <v>142.52</v>
      </c>
      <c r="P557" s="171">
        <v>114.01600000000002</v>
      </c>
      <c r="Q557" s="172">
        <v>0.0</v>
      </c>
      <c r="R557" s="173">
        <v>342.048</v>
      </c>
      <c r="S557" s="173">
        <v>0.0</v>
      </c>
      <c r="T557" s="173">
        <v>855.12</v>
      </c>
      <c r="U557" s="174" t="s">
        <v>1415</v>
      </c>
      <c r="V557" s="288">
        <v>45350.696608796294</v>
      </c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>
      <c r="A558" s="276">
        <v>45351.0</v>
      </c>
      <c r="B558" s="252">
        <v>5402794.0</v>
      </c>
      <c r="C558" s="253" t="s">
        <v>82</v>
      </c>
      <c r="D558" s="253" t="s">
        <v>101</v>
      </c>
      <c r="E558" s="252">
        <v>1.85038978E8</v>
      </c>
      <c r="F558" s="253" t="s">
        <v>2292</v>
      </c>
      <c r="G558" s="276">
        <v>45351.0</v>
      </c>
      <c r="H558" s="277">
        <v>45352.0</v>
      </c>
      <c r="I558" s="278">
        <v>1.0</v>
      </c>
      <c r="J558" s="257" t="s">
        <v>114</v>
      </c>
      <c r="K558" s="253" t="s">
        <v>79</v>
      </c>
      <c r="L558" s="253" t="s">
        <v>1436</v>
      </c>
      <c r="M558" s="252">
        <v>2.0</v>
      </c>
      <c r="N558" s="258">
        <v>0.0</v>
      </c>
      <c r="O558" s="259">
        <v>169.84</v>
      </c>
      <c r="P558" s="259">
        <v>135.872</v>
      </c>
      <c r="Q558" s="262">
        <v>0.0</v>
      </c>
      <c r="R558" s="260">
        <v>135.872</v>
      </c>
      <c r="S558" s="260">
        <v>0.0</v>
      </c>
      <c r="T558" s="260">
        <v>169.84</v>
      </c>
      <c r="U558" s="261" t="s">
        <v>1437</v>
      </c>
      <c r="V558" s="279">
        <v>45351.54591435185</v>
      </c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</row>
    <row r="559">
      <c r="A559" s="276">
        <v>45351.0</v>
      </c>
      <c r="B559" s="252">
        <v>5403879.0</v>
      </c>
      <c r="C559" s="253" t="s">
        <v>82</v>
      </c>
      <c r="D559" s="253" t="s">
        <v>35</v>
      </c>
      <c r="E559" s="252">
        <v>4.028879232E9</v>
      </c>
      <c r="F559" s="253" t="s">
        <v>2293</v>
      </c>
      <c r="G559" s="276">
        <v>45368.0</v>
      </c>
      <c r="H559" s="277">
        <v>45372.0</v>
      </c>
      <c r="I559" s="278">
        <v>4.0</v>
      </c>
      <c r="J559" s="257" t="s">
        <v>87</v>
      </c>
      <c r="K559" s="253" t="s">
        <v>79</v>
      </c>
      <c r="L559" s="253" t="s">
        <v>1661</v>
      </c>
      <c r="M559" s="252">
        <v>1.0</v>
      </c>
      <c r="N559" s="258">
        <v>0.0</v>
      </c>
      <c r="O559" s="259">
        <v>152.13</v>
      </c>
      <c r="P559" s="259">
        <v>121.70400000000001</v>
      </c>
      <c r="Q559" s="262">
        <v>0.0</v>
      </c>
      <c r="R559" s="260">
        <v>486.81600000000003</v>
      </c>
      <c r="S559" s="260">
        <v>0.0</v>
      </c>
      <c r="T559" s="260">
        <v>1227.04</v>
      </c>
      <c r="U559" s="261" t="s">
        <v>1662</v>
      </c>
      <c r="V559" s="279">
        <v>45351.745891203704</v>
      </c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</row>
    <row r="560">
      <c r="A560" s="276">
        <v>45351.0</v>
      </c>
      <c r="B560" s="252">
        <v>5403879.0</v>
      </c>
      <c r="C560" s="253" t="s">
        <v>82</v>
      </c>
      <c r="D560" s="253" t="s">
        <v>35</v>
      </c>
      <c r="E560" s="252">
        <v>4.028879232E9</v>
      </c>
      <c r="F560" s="253" t="s">
        <v>2293</v>
      </c>
      <c r="G560" s="276">
        <v>45368.0</v>
      </c>
      <c r="H560" s="277">
        <v>45372.0</v>
      </c>
      <c r="I560" s="278">
        <v>4.0</v>
      </c>
      <c r="J560" s="257" t="s">
        <v>87</v>
      </c>
      <c r="K560" s="253" t="s">
        <v>79</v>
      </c>
      <c r="L560" s="253" t="s">
        <v>1661</v>
      </c>
      <c r="M560" s="252">
        <v>2.0</v>
      </c>
      <c r="N560" s="258">
        <v>0.0</v>
      </c>
      <c r="O560" s="259">
        <v>154.63</v>
      </c>
      <c r="P560" s="259">
        <v>123.70400000000001</v>
      </c>
      <c r="Q560" s="262">
        <v>0.0</v>
      </c>
      <c r="R560" s="260">
        <v>494.81600000000003</v>
      </c>
      <c r="S560" s="260">
        <v>0.0</v>
      </c>
      <c r="T560" s="260">
        <v>1227.04</v>
      </c>
      <c r="U560" s="261" t="s">
        <v>1662</v>
      </c>
      <c r="V560" s="279">
        <v>45351.745891203704</v>
      </c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</row>
    <row r="561">
      <c r="A561" s="276">
        <v>45351.0</v>
      </c>
      <c r="B561" s="252">
        <v>5404862.0</v>
      </c>
      <c r="C561" s="253" t="s">
        <v>82</v>
      </c>
      <c r="D561" s="253" t="s">
        <v>35</v>
      </c>
      <c r="E561" s="252">
        <v>4.163175483E9</v>
      </c>
      <c r="F561" s="253" t="s">
        <v>2295</v>
      </c>
      <c r="G561" s="276">
        <v>45397.0</v>
      </c>
      <c r="H561" s="277">
        <v>45399.0</v>
      </c>
      <c r="I561" s="278">
        <v>2.0</v>
      </c>
      <c r="J561" s="257" t="s">
        <v>78</v>
      </c>
      <c r="K561" s="253" t="s">
        <v>79</v>
      </c>
      <c r="L561" s="253" t="s">
        <v>1443</v>
      </c>
      <c r="M561" s="275">
        <v>3.0</v>
      </c>
      <c r="N561" s="258">
        <v>0.0</v>
      </c>
      <c r="O561" s="259">
        <v>188.4</v>
      </c>
      <c r="P561" s="259">
        <v>150.72</v>
      </c>
      <c r="Q561" s="262">
        <v>0.0</v>
      </c>
      <c r="R561" s="260">
        <v>301.44</v>
      </c>
      <c r="S561" s="260">
        <v>0.0</v>
      </c>
      <c r="T561" s="260">
        <v>376.8</v>
      </c>
      <c r="U561" s="261" t="s">
        <v>1444</v>
      </c>
      <c r="V561" s="279">
        <v>45351.93475694444</v>
      </c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</row>
    <row r="562">
      <c r="A562" s="276">
        <v>45351.0</v>
      </c>
      <c r="B562" s="252">
        <v>5403292.0</v>
      </c>
      <c r="C562" s="253" t="s">
        <v>82</v>
      </c>
      <c r="D562" s="253" t="s">
        <v>35</v>
      </c>
      <c r="E562" s="252">
        <v>4.079033506E9</v>
      </c>
      <c r="F562" s="253" t="s">
        <v>2297</v>
      </c>
      <c r="G562" s="276">
        <v>45446.0</v>
      </c>
      <c r="H562" s="277">
        <v>45449.0</v>
      </c>
      <c r="I562" s="278">
        <v>3.0</v>
      </c>
      <c r="J562" s="257" t="s">
        <v>78</v>
      </c>
      <c r="K562" s="253" t="s">
        <v>79</v>
      </c>
      <c r="L562" s="253" t="s">
        <v>1414</v>
      </c>
      <c r="M562" s="275">
        <v>2.0</v>
      </c>
      <c r="N562" s="258">
        <v>0.0</v>
      </c>
      <c r="O562" s="259">
        <v>128.93</v>
      </c>
      <c r="P562" s="259">
        <v>103.144</v>
      </c>
      <c r="Q562" s="262">
        <v>0.0</v>
      </c>
      <c r="R562" s="260">
        <v>309.432</v>
      </c>
      <c r="S562" s="260">
        <v>0.0</v>
      </c>
      <c r="T562" s="260">
        <v>386.79</v>
      </c>
      <c r="U562" s="261" t="s">
        <v>1415</v>
      </c>
      <c r="V562" s="279">
        <v>45351.64381944445</v>
      </c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</row>
    <row r="563">
      <c r="A563" s="289">
        <v>45351.0</v>
      </c>
      <c r="B563" s="290">
        <v>5404652.0</v>
      </c>
      <c r="C563" s="291" t="s">
        <v>82</v>
      </c>
      <c r="D563" s="291" t="s">
        <v>35</v>
      </c>
      <c r="E563" s="290">
        <v>4.168950754E9</v>
      </c>
      <c r="F563" s="291" t="s">
        <v>2298</v>
      </c>
      <c r="G563" s="289">
        <v>45478.0</v>
      </c>
      <c r="H563" s="292">
        <v>45486.0</v>
      </c>
      <c r="I563" s="293">
        <v>8.0</v>
      </c>
      <c r="J563" s="294" t="s">
        <v>78</v>
      </c>
      <c r="K563" s="291" t="s">
        <v>79</v>
      </c>
      <c r="L563" s="291" t="s">
        <v>1567</v>
      </c>
      <c r="M563" s="290">
        <v>1.0</v>
      </c>
      <c r="N563" s="295">
        <v>0.0</v>
      </c>
      <c r="O563" s="296">
        <v>124.64</v>
      </c>
      <c r="P563" s="296">
        <v>99.712</v>
      </c>
      <c r="Q563" s="294">
        <v>0.0</v>
      </c>
      <c r="R563" s="297">
        <v>797.696</v>
      </c>
      <c r="S563" s="297">
        <v>0.0</v>
      </c>
      <c r="T563" s="297">
        <v>997.12</v>
      </c>
      <c r="U563" s="298" t="s">
        <v>1568</v>
      </c>
      <c r="V563" s="299">
        <v>45351.88824074074</v>
      </c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</row>
    <row r="564">
      <c r="A564" s="210">
        <v>45351.0</v>
      </c>
      <c r="B564" s="166">
        <v>5403992.0</v>
      </c>
      <c r="C564" s="166" t="s">
        <v>82</v>
      </c>
      <c r="D564" s="166" t="s">
        <v>94</v>
      </c>
      <c r="E564" s="166">
        <v>5403992.0</v>
      </c>
      <c r="F564" s="166" t="s">
        <v>2300</v>
      </c>
      <c r="G564" s="210">
        <v>45550.0</v>
      </c>
      <c r="H564" s="287">
        <v>45551.0</v>
      </c>
      <c r="I564" s="168">
        <v>1.0</v>
      </c>
      <c r="J564" s="169" t="s">
        <v>87</v>
      </c>
      <c r="K564" s="166" t="s">
        <v>79</v>
      </c>
      <c r="L564" s="166" t="s">
        <v>1811</v>
      </c>
      <c r="M564" s="166">
        <v>2.0</v>
      </c>
      <c r="N564" s="170">
        <v>0.0</v>
      </c>
      <c r="O564" s="171">
        <v>126.8</v>
      </c>
      <c r="P564" s="171">
        <v>125.532</v>
      </c>
      <c r="Q564" s="172">
        <v>0.0</v>
      </c>
      <c r="R564" s="173">
        <v>125.532</v>
      </c>
      <c r="S564" s="173">
        <v>0.0</v>
      </c>
      <c r="T564" s="173">
        <v>691.6</v>
      </c>
      <c r="U564" s="201" t="s">
        <v>1812</v>
      </c>
      <c r="V564" s="288">
        <v>45351.76641203703</v>
      </c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</row>
    <row r="565">
      <c r="A565" s="210">
        <v>45351.0</v>
      </c>
      <c r="B565" s="166">
        <v>5403992.0</v>
      </c>
      <c r="C565" s="166" t="s">
        <v>82</v>
      </c>
      <c r="D565" s="166" t="s">
        <v>94</v>
      </c>
      <c r="E565" s="166">
        <v>5403992.0</v>
      </c>
      <c r="F565" s="166" t="s">
        <v>2300</v>
      </c>
      <c r="G565" s="210">
        <v>45550.0</v>
      </c>
      <c r="H565" s="287">
        <v>45551.0</v>
      </c>
      <c r="I565" s="168">
        <v>1.0</v>
      </c>
      <c r="J565" s="169" t="s">
        <v>87</v>
      </c>
      <c r="K565" s="166" t="s">
        <v>79</v>
      </c>
      <c r="L565" s="166" t="s">
        <v>1811</v>
      </c>
      <c r="M565" s="205">
        <v>2.0</v>
      </c>
      <c r="N565" s="170">
        <v>0.0</v>
      </c>
      <c r="O565" s="171">
        <v>126.8</v>
      </c>
      <c r="P565" s="171">
        <v>125.532</v>
      </c>
      <c r="Q565" s="172">
        <v>0.0</v>
      </c>
      <c r="R565" s="173">
        <v>125.532</v>
      </c>
      <c r="S565" s="173">
        <v>0.0</v>
      </c>
      <c r="T565" s="173">
        <v>691.6</v>
      </c>
      <c r="U565" s="174" t="s">
        <v>1812</v>
      </c>
      <c r="V565" s="288">
        <v>45351.76641203703</v>
      </c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</row>
    <row r="566">
      <c r="A566" s="280">
        <v>45351.0</v>
      </c>
      <c r="B566" s="264">
        <v>5403992.0</v>
      </c>
      <c r="C566" s="265" t="s">
        <v>82</v>
      </c>
      <c r="D566" s="265" t="s">
        <v>94</v>
      </c>
      <c r="E566" s="264">
        <v>5403992.0</v>
      </c>
      <c r="F566" s="265" t="s">
        <v>2300</v>
      </c>
      <c r="G566" s="280">
        <v>45550.0</v>
      </c>
      <c r="H566" s="281">
        <v>45551.0</v>
      </c>
      <c r="I566" s="282">
        <v>1.0</v>
      </c>
      <c r="J566" s="283" t="s">
        <v>78</v>
      </c>
      <c r="K566" s="265" t="s">
        <v>79</v>
      </c>
      <c r="L566" s="265" t="s">
        <v>1811</v>
      </c>
      <c r="M566" s="269">
        <v>2.0</v>
      </c>
      <c r="N566" s="270">
        <v>0.0</v>
      </c>
      <c r="O566" s="271">
        <v>146.0</v>
      </c>
      <c r="P566" s="271">
        <v>144.54</v>
      </c>
      <c r="Q566" s="272">
        <v>0.0</v>
      </c>
      <c r="R566" s="273">
        <v>144.54</v>
      </c>
      <c r="S566" s="273">
        <v>0.0</v>
      </c>
      <c r="T566" s="273">
        <v>691.6</v>
      </c>
      <c r="U566" s="274" t="s">
        <v>1812</v>
      </c>
      <c r="V566" s="284">
        <v>45351.76641203703</v>
      </c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</row>
    <row r="567">
      <c r="A567" s="276">
        <v>45351.0</v>
      </c>
      <c r="B567" s="252">
        <v>5403992.0</v>
      </c>
      <c r="C567" s="253" t="s">
        <v>82</v>
      </c>
      <c r="D567" s="253" t="s">
        <v>94</v>
      </c>
      <c r="E567" s="252">
        <v>5403992.0</v>
      </c>
      <c r="F567" s="253" t="s">
        <v>2300</v>
      </c>
      <c r="G567" s="276">
        <v>45550.0</v>
      </c>
      <c r="H567" s="277">
        <v>45551.0</v>
      </c>
      <c r="I567" s="278">
        <v>1.0</v>
      </c>
      <c r="J567" s="257" t="s">
        <v>78</v>
      </c>
      <c r="K567" s="253" t="s">
        <v>79</v>
      </c>
      <c r="L567" s="253" t="s">
        <v>1811</v>
      </c>
      <c r="M567" s="275">
        <v>2.0</v>
      </c>
      <c r="N567" s="258">
        <v>0.0</v>
      </c>
      <c r="O567" s="259">
        <v>146.0</v>
      </c>
      <c r="P567" s="259">
        <v>144.54</v>
      </c>
      <c r="Q567" s="262">
        <v>0.0</v>
      </c>
      <c r="R567" s="260">
        <v>144.54</v>
      </c>
      <c r="S567" s="260">
        <v>0.0</v>
      </c>
      <c r="T567" s="260">
        <v>691.6</v>
      </c>
      <c r="U567" s="261" t="s">
        <v>1812</v>
      </c>
      <c r="V567" s="279">
        <v>45351.76641203703</v>
      </c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</row>
    <row r="568">
      <c r="A568" s="276">
        <v>45351.0</v>
      </c>
      <c r="B568" s="252">
        <v>5403992.0</v>
      </c>
      <c r="C568" s="253" t="s">
        <v>82</v>
      </c>
      <c r="D568" s="253" t="s">
        <v>94</v>
      </c>
      <c r="E568" s="252">
        <v>5403992.0</v>
      </c>
      <c r="F568" s="253" t="s">
        <v>2300</v>
      </c>
      <c r="G568" s="276">
        <v>45550.0</v>
      </c>
      <c r="H568" s="277">
        <v>45551.0</v>
      </c>
      <c r="I568" s="278">
        <v>1.0</v>
      </c>
      <c r="J568" s="257" t="s">
        <v>78</v>
      </c>
      <c r="K568" s="253" t="s">
        <v>79</v>
      </c>
      <c r="L568" s="253" t="s">
        <v>1811</v>
      </c>
      <c r="M568" s="252">
        <v>2.0</v>
      </c>
      <c r="N568" s="258">
        <v>0.0</v>
      </c>
      <c r="O568" s="259">
        <v>146.0</v>
      </c>
      <c r="P568" s="259">
        <v>144.54</v>
      </c>
      <c r="Q568" s="262">
        <v>0.0</v>
      </c>
      <c r="R568" s="260">
        <v>144.54</v>
      </c>
      <c r="S568" s="260">
        <v>0.0</v>
      </c>
      <c r="T568" s="260">
        <v>691.6</v>
      </c>
      <c r="U568" s="261" t="s">
        <v>1812</v>
      </c>
      <c r="V568" s="279">
        <v>45351.76641203703</v>
      </c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</row>
    <row r="569">
      <c r="A569" s="276">
        <v>45351.0</v>
      </c>
      <c r="B569" s="252">
        <v>5404004.0</v>
      </c>
      <c r="C569" s="253" t="s">
        <v>82</v>
      </c>
      <c r="D569" s="253" t="s">
        <v>94</v>
      </c>
      <c r="E569" s="252">
        <v>5404004.0</v>
      </c>
      <c r="F569" s="253" t="s">
        <v>2302</v>
      </c>
      <c r="G569" s="276">
        <v>45561.0</v>
      </c>
      <c r="H569" s="277">
        <v>45562.0</v>
      </c>
      <c r="I569" s="278">
        <v>1.0</v>
      </c>
      <c r="J569" s="257" t="s">
        <v>87</v>
      </c>
      <c r="K569" s="253" t="s">
        <v>79</v>
      </c>
      <c r="L569" s="253" t="s">
        <v>1811</v>
      </c>
      <c r="M569" s="275">
        <v>2.0</v>
      </c>
      <c r="N569" s="258">
        <v>0.0</v>
      </c>
      <c r="O569" s="259">
        <v>126.8</v>
      </c>
      <c r="P569" s="259">
        <v>125.532</v>
      </c>
      <c r="Q569" s="262">
        <v>0.0</v>
      </c>
      <c r="R569" s="260">
        <v>125.532</v>
      </c>
      <c r="S569" s="260">
        <v>0.0</v>
      </c>
      <c r="T569" s="260">
        <v>710.8</v>
      </c>
      <c r="U569" s="261" t="s">
        <v>1812</v>
      </c>
      <c r="V569" s="279">
        <v>45351.767800925925</v>
      </c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>
      <c r="A570" s="280">
        <v>45351.0</v>
      </c>
      <c r="B570" s="264">
        <v>5404004.0</v>
      </c>
      <c r="C570" s="265" t="s">
        <v>82</v>
      </c>
      <c r="D570" s="265" t="s">
        <v>94</v>
      </c>
      <c r="E570" s="264">
        <v>5404004.0</v>
      </c>
      <c r="F570" s="265" t="s">
        <v>2302</v>
      </c>
      <c r="G570" s="280">
        <v>45561.0</v>
      </c>
      <c r="H570" s="281">
        <v>45562.0</v>
      </c>
      <c r="I570" s="282">
        <v>1.0</v>
      </c>
      <c r="J570" s="283" t="s">
        <v>78</v>
      </c>
      <c r="K570" s="265" t="s">
        <v>79</v>
      </c>
      <c r="L570" s="265" t="s">
        <v>1811</v>
      </c>
      <c r="M570" s="269">
        <v>2.0</v>
      </c>
      <c r="N570" s="270">
        <v>0.0</v>
      </c>
      <c r="O570" s="271">
        <v>146.0</v>
      </c>
      <c r="P570" s="271">
        <v>144.54</v>
      </c>
      <c r="Q570" s="272">
        <v>0.0</v>
      </c>
      <c r="R570" s="273">
        <v>144.54</v>
      </c>
      <c r="S570" s="273">
        <v>0.0</v>
      </c>
      <c r="T570" s="273">
        <v>710.8</v>
      </c>
      <c r="U570" s="274" t="s">
        <v>1812</v>
      </c>
      <c r="V570" s="284">
        <v>45351.767800925925</v>
      </c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</row>
    <row r="571">
      <c r="A571" s="276">
        <v>45351.0</v>
      </c>
      <c r="B571" s="252">
        <v>5404004.0</v>
      </c>
      <c r="C571" s="253" t="s">
        <v>82</v>
      </c>
      <c r="D571" s="253" t="s">
        <v>94</v>
      </c>
      <c r="E571" s="252">
        <v>5404004.0</v>
      </c>
      <c r="F571" s="253" t="s">
        <v>2302</v>
      </c>
      <c r="G571" s="276">
        <v>45561.0</v>
      </c>
      <c r="H571" s="277">
        <v>45562.0</v>
      </c>
      <c r="I571" s="278">
        <v>1.0</v>
      </c>
      <c r="J571" s="257" t="s">
        <v>78</v>
      </c>
      <c r="K571" s="253" t="s">
        <v>79</v>
      </c>
      <c r="L571" s="253" t="s">
        <v>1811</v>
      </c>
      <c r="M571" s="275">
        <v>2.0</v>
      </c>
      <c r="N571" s="258">
        <v>0.0</v>
      </c>
      <c r="O571" s="259">
        <v>146.0</v>
      </c>
      <c r="P571" s="259">
        <v>144.54</v>
      </c>
      <c r="Q571" s="262">
        <v>0.0</v>
      </c>
      <c r="R571" s="260">
        <v>144.54</v>
      </c>
      <c r="S571" s="260">
        <v>0.0</v>
      </c>
      <c r="T571" s="260">
        <v>710.8</v>
      </c>
      <c r="U571" s="261" t="s">
        <v>1812</v>
      </c>
      <c r="V571" s="279">
        <v>45351.767800925925</v>
      </c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</row>
    <row r="572">
      <c r="A572" s="210">
        <v>45351.0</v>
      </c>
      <c r="B572" s="166">
        <v>5404004.0</v>
      </c>
      <c r="C572" s="166" t="s">
        <v>82</v>
      </c>
      <c r="D572" s="166" t="s">
        <v>94</v>
      </c>
      <c r="E572" s="166">
        <v>5404004.0</v>
      </c>
      <c r="F572" s="166" t="s">
        <v>2302</v>
      </c>
      <c r="G572" s="210">
        <v>45561.0</v>
      </c>
      <c r="H572" s="287">
        <v>45562.0</v>
      </c>
      <c r="I572" s="168">
        <v>1.0</v>
      </c>
      <c r="J572" s="169" t="s">
        <v>78</v>
      </c>
      <c r="K572" s="166" t="s">
        <v>79</v>
      </c>
      <c r="L572" s="166" t="s">
        <v>1811</v>
      </c>
      <c r="M572" s="166">
        <v>2.0</v>
      </c>
      <c r="N572" s="170">
        <v>0.0</v>
      </c>
      <c r="O572" s="171">
        <v>146.0</v>
      </c>
      <c r="P572" s="171">
        <v>144.54</v>
      </c>
      <c r="Q572" s="172">
        <v>0.0</v>
      </c>
      <c r="R572" s="173">
        <v>144.54</v>
      </c>
      <c r="S572" s="173">
        <v>0.0</v>
      </c>
      <c r="T572" s="173">
        <v>710.8</v>
      </c>
      <c r="U572" s="174" t="s">
        <v>1812</v>
      </c>
      <c r="V572" s="288">
        <v>45351.767800925925</v>
      </c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</row>
    <row r="573">
      <c r="A573" s="210">
        <v>45351.0</v>
      </c>
      <c r="B573" s="166">
        <v>5404004.0</v>
      </c>
      <c r="C573" s="166" t="s">
        <v>82</v>
      </c>
      <c r="D573" s="166" t="s">
        <v>94</v>
      </c>
      <c r="E573" s="166">
        <v>5404004.0</v>
      </c>
      <c r="F573" s="166" t="s">
        <v>2302</v>
      </c>
      <c r="G573" s="210">
        <v>45561.0</v>
      </c>
      <c r="H573" s="287">
        <v>45562.0</v>
      </c>
      <c r="I573" s="168">
        <v>1.0</v>
      </c>
      <c r="J573" s="169" t="s">
        <v>78</v>
      </c>
      <c r="K573" s="166" t="s">
        <v>79</v>
      </c>
      <c r="L573" s="166" t="s">
        <v>1811</v>
      </c>
      <c r="M573" s="166">
        <v>2.0</v>
      </c>
      <c r="N573" s="169">
        <v>0.0</v>
      </c>
      <c r="O573" s="171">
        <v>146.0</v>
      </c>
      <c r="P573" s="171">
        <v>144.54</v>
      </c>
      <c r="Q573" s="169">
        <v>0.0</v>
      </c>
      <c r="R573" s="173">
        <v>144.54</v>
      </c>
      <c r="S573" s="173">
        <v>0.0</v>
      </c>
      <c r="T573" s="173">
        <v>710.8</v>
      </c>
      <c r="U573" s="174" t="s">
        <v>1812</v>
      </c>
      <c r="V573" s="288">
        <v>45351.767800925925</v>
      </c>
      <c r="W573" s="188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</row>
    <row r="574">
      <c r="A574" s="210">
        <v>45351.0</v>
      </c>
      <c r="B574" s="166">
        <v>5404020.0</v>
      </c>
      <c r="C574" s="166" t="s">
        <v>82</v>
      </c>
      <c r="D574" s="166" t="s">
        <v>94</v>
      </c>
      <c r="E574" s="166">
        <v>5404020.0</v>
      </c>
      <c r="F574" s="166" t="s">
        <v>2302</v>
      </c>
      <c r="G574" s="210">
        <v>45571.0</v>
      </c>
      <c r="H574" s="287">
        <v>45572.0</v>
      </c>
      <c r="I574" s="168">
        <v>1.0</v>
      </c>
      <c r="J574" s="169" t="s">
        <v>87</v>
      </c>
      <c r="K574" s="166" t="s">
        <v>79</v>
      </c>
      <c r="L574" s="166" t="s">
        <v>1811</v>
      </c>
      <c r="M574" s="166">
        <v>2.0</v>
      </c>
      <c r="N574" s="170">
        <v>0.0</v>
      </c>
      <c r="O574" s="171">
        <v>140.0</v>
      </c>
      <c r="P574" s="171">
        <v>138.6</v>
      </c>
      <c r="Q574" s="172">
        <v>0.0</v>
      </c>
      <c r="R574" s="173">
        <v>138.6</v>
      </c>
      <c r="S574" s="173">
        <v>0.0</v>
      </c>
      <c r="T574" s="173">
        <v>799.0</v>
      </c>
      <c r="U574" s="174" t="s">
        <v>1812</v>
      </c>
      <c r="V574" s="288">
        <v>45351.77017361111</v>
      </c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>
      <c r="A575" s="280">
        <v>45351.0</v>
      </c>
      <c r="B575" s="264">
        <v>5404020.0</v>
      </c>
      <c r="C575" s="265" t="s">
        <v>82</v>
      </c>
      <c r="D575" s="265" t="s">
        <v>94</v>
      </c>
      <c r="E575" s="264">
        <v>5404020.0</v>
      </c>
      <c r="F575" s="265" t="s">
        <v>2302</v>
      </c>
      <c r="G575" s="280">
        <v>45571.0</v>
      </c>
      <c r="H575" s="281">
        <v>45572.0</v>
      </c>
      <c r="I575" s="282">
        <v>1.0</v>
      </c>
      <c r="J575" s="283" t="s">
        <v>78</v>
      </c>
      <c r="K575" s="265" t="s">
        <v>79</v>
      </c>
      <c r="L575" s="265" t="s">
        <v>1811</v>
      </c>
      <c r="M575" s="269">
        <v>2.0</v>
      </c>
      <c r="N575" s="270">
        <v>0.0</v>
      </c>
      <c r="O575" s="271">
        <v>161.0</v>
      </c>
      <c r="P575" s="271">
        <v>159.39</v>
      </c>
      <c r="Q575" s="272">
        <v>0.0</v>
      </c>
      <c r="R575" s="273">
        <v>159.39</v>
      </c>
      <c r="S575" s="273">
        <v>0.0</v>
      </c>
      <c r="T575" s="273">
        <v>799.0</v>
      </c>
      <c r="U575" s="274" t="s">
        <v>1812</v>
      </c>
      <c r="V575" s="284">
        <v>45351.77017361111</v>
      </c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>
      <c r="A576" s="210">
        <v>45351.0</v>
      </c>
      <c r="B576" s="166">
        <v>5404020.0</v>
      </c>
      <c r="C576" s="166" t="s">
        <v>82</v>
      </c>
      <c r="D576" s="166" t="s">
        <v>94</v>
      </c>
      <c r="E576" s="166">
        <v>5404020.0</v>
      </c>
      <c r="F576" s="166" t="s">
        <v>2302</v>
      </c>
      <c r="G576" s="210">
        <v>45571.0</v>
      </c>
      <c r="H576" s="287">
        <v>45572.0</v>
      </c>
      <c r="I576" s="168">
        <v>1.0</v>
      </c>
      <c r="J576" s="169" t="s">
        <v>78</v>
      </c>
      <c r="K576" s="166" t="s">
        <v>79</v>
      </c>
      <c r="L576" s="166" t="s">
        <v>1811</v>
      </c>
      <c r="M576" s="205">
        <v>2.0</v>
      </c>
      <c r="N576" s="170">
        <v>0.0</v>
      </c>
      <c r="O576" s="171">
        <v>161.0</v>
      </c>
      <c r="P576" s="171">
        <v>159.39</v>
      </c>
      <c r="Q576" s="172">
        <v>0.0</v>
      </c>
      <c r="R576" s="173">
        <v>159.39</v>
      </c>
      <c r="S576" s="173">
        <v>0.0</v>
      </c>
      <c r="T576" s="173">
        <v>799.0</v>
      </c>
      <c r="U576" s="174" t="s">
        <v>1812</v>
      </c>
      <c r="V576" s="288">
        <v>45351.77017361111</v>
      </c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>
      <c r="A577" s="276">
        <v>45351.0</v>
      </c>
      <c r="B577" s="252">
        <v>5404020.0</v>
      </c>
      <c r="C577" s="253" t="s">
        <v>82</v>
      </c>
      <c r="D577" s="253" t="s">
        <v>94</v>
      </c>
      <c r="E577" s="252">
        <v>5404020.0</v>
      </c>
      <c r="F577" s="253" t="s">
        <v>2302</v>
      </c>
      <c r="G577" s="276">
        <v>45571.0</v>
      </c>
      <c r="H577" s="277">
        <v>45572.0</v>
      </c>
      <c r="I577" s="278">
        <v>1.0</v>
      </c>
      <c r="J577" s="257" t="s">
        <v>78</v>
      </c>
      <c r="K577" s="253" t="s">
        <v>79</v>
      </c>
      <c r="L577" s="253" t="s">
        <v>1811</v>
      </c>
      <c r="M577" s="252">
        <v>2.0</v>
      </c>
      <c r="N577" s="258">
        <v>0.0</v>
      </c>
      <c r="O577" s="259">
        <v>161.0</v>
      </c>
      <c r="P577" s="259">
        <v>159.39</v>
      </c>
      <c r="Q577" s="257">
        <v>0.0</v>
      </c>
      <c r="R577" s="260">
        <v>159.39</v>
      </c>
      <c r="S577" s="260">
        <v>0.0</v>
      </c>
      <c r="T577" s="260">
        <v>799.0</v>
      </c>
      <c r="U577" s="261" t="s">
        <v>1812</v>
      </c>
      <c r="V577" s="279">
        <v>45351.77017361111</v>
      </c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</row>
    <row r="578">
      <c r="A578" s="276">
        <v>45351.0</v>
      </c>
      <c r="B578" s="252">
        <v>5404020.0</v>
      </c>
      <c r="C578" s="253" t="s">
        <v>82</v>
      </c>
      <c r="D578" s="253" t="s">
        <v>94</v>
      </c>
      <c r="E578" s="252">
        <v>5404020.0</v>
      </c>
      <c r="F578" s="253" t="s">
        <v>2302</v>
      </c>
      <c r="G578" s="276">
        <v>45571.0</v>
      </c>
      <c r="H578" s="277">
        <v>45572.0</v>
      </c>
      <c r="I578" s="278">
        <v>1.0</v>
      </c>
      <c r="J578" s="257" t="s">
        <v>114</v>
      </c>
      <c r="K578" s="253" t="s">
        <v>79</v>
      </c>
      <c r="L578" s="253" t="s">
        <v>1811</v>
      </c>
      <c r="M578" s="252">
        <v>2.0</v>
      </c>
      <c r="N578" s="258">
        <v>0.0</v>
      </c>
      <c r="O578" s="259">
        <v>176.0</v>
      </c>
      <c r="P578" s="259">
        <v>174.24</v>
      </c>
      <c r="Q578" s="262">
        <v>0.0</v>
      </c>
      <c r="R578" s="260">
        <v>174.24</v>
      </c>
      <c r="S578" s="260">
        <v>0.0</v>
      </c>
      <c r="T578" s="260">
        <v>799.0</v>
      </c>
      <c r="U578" s="261" t="s">
        <v>1812</v>
      </c>
      <c r="V578" s="279">
        <v>45351.77017361111</v>
      </c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>
      <c r="A579" s="210">
        <v>45351.0</v>
      </c>
      <c r="B579" s="166">
        <v>5403876.0</v>
      </c>
      <c r="C579" s="166" t="s">
        <v>82</v>
      </c>
      <c r="D579" s="166" t="s">
        <v>94</v>
      </c>
      <c r="E579" s="166">
        <v>5403876.0</v>
      </c>
      <c r="F579" s="166" t="s">
        <v>2307</v>
      </c>
      <c r="G579" s="210">
        <v>45573.0</v>
      </c>
      <c r="H579" s="310">
        <v>45577.0</v>
      </c>
      <c r="I579" s="168">
        <v>4.0</v>
      </c>
      <c r="J579" s="169" t="s">
        <v>78</v>
      </c>
      <c r="K579" s="166" t="s">
        <v>79</v>
      </c>
      <c r="L579" s="166" t="s">
        <v>1462</v>
      </c>
      <c r="M579" s="205">
        <v>1.0</v>
      </c>
      <c r="N579" s="170">
        <v>0.0</v>
      </c>
      <c r="O579" s="171">
        <v>158.5</v>
      </c>
      <c r="P579" s="171">
        <v>156.915</v>
      </c>
      <c r="Q579" s="172">
        <v>0.0</v>
      </c>
      <c r="R579" s="173">
        <v>627.66</v>
      </c>
      <c r="S579" s="173">
        <v>0.0</v>
      </c>
      <c r="T579" s="173">
        <v>2512.0</v>
      </c>
      <c r="U579" s="174" t="s">
        <v>1463</v>
      </c>
      <c r="V579" s="288">
        <v>45351.744976851856</v>
      </c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</row>
    <row r="580">
      <c r="A580" s="280">
        <v>45351.0</v>
      </c>
      <c r="B580" s="264">
        <v>5403876.0</v>
      </c>
      <c r="C580" s="265" t="s">
        <v>82</v>
      </c>
      <c r="D580" s="265" t="s">
        <v>94</v>
      </c>
      <c r="E580" s="264">
        <v>5403876.0</v>
      </c>
      <c r="F580" s="265" t="s">
        <v>2307</v>
      </c>
      <c r="G580" s="280">
        <v>45573.0</v>
      </c>
      <c r="H580" s="313">
        <v>45577.0</v>
      </c>
      <c r="I580" s="282">
        <v>4.0</v>
      </c>
      <c r="J580" s="283" t="s">
        <v>78</v>
      </c>
      <c r="K580" s="265" t="s">
        <v>79</v>
      </c>
      <c r="L580" s="265" t="s">
        <v>1462</v>
      </c>
      <c r="M580" s="269">
        <v>1.0</v>
      </c>
      <c r="N580" s="270">
        <v>0.0</v>
      </c>
      <c r="O580" s="271">
        <v>158.5</v>
      </c>
      <c r="P580" s="271">
        <v>156.915</v>
      </c>
      <c r="Q580" s="272">
        <v>0.0</v>
      </c>
      <c r="R580" s="273">
        <v>627.66</v>
      </c>
      <c r="S580" s="273">
        <v>0.0</v>
      </c>
      <c r="T580" s="273">
        <v>2512.0</v>
      </c>
      <c r="U580" s="274" t="s">
        <v>1463</v>
      </c>
      <c r="V580" s="284">
        <v>45351.744976851856</v>
      </c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</row>
    <row r="581">
      <c r="A581" s="276">
        <v>45351.0</v>
      </c>
      <c r="B581" s="252">
        <v>5403876.0</v>
      </c>
      <c r="C581" s="253" t="s">
        <v>82</v>
      </c>
      <c r="D581" s="253" t="s">
        <v>94</v>
      </c>
      <c r="E581" s="252">
        <v>5403876.0</v>
      </c>
      <c r="F581" s="253" t="s">
        <v>2307</v>
      </c>
      <c r="G581" s="276">
        <v>45573.0</v>
      </c>
      <c r="H581" s="311">
        <v>45577.0</v>
      </c>
      <c r="I581" s="278">
        <v>4.0</v>
      </c>
      <c r="J581" s="257" t="s">
        <v>87</v>
      </c>
      <c r="K581" s="253" t="s">
        <v>79</v>
      </c>
      <c r="L581" s="253" t="s">
        <v>1462</v>
      </c>
      <c r="M581" s="275">
        <v>1.0</v>
      </c>
      <c r="N581" s="258">
        <v>0.0</v>
      </c>
      <c r="O581" s="259">
        <v>137.5</v>
      </c>
      <c r="P581" s="259">
        <v>136.125</v>
      </c>
      <c r="Q581" s="262">
        <v>0.0</v>
      </c>
      <c r="R581" s="260">
        <v>544.5</v>
      </c>
      <c r="S581" s="260">
        <v>0.0</v>
      </c>
      <c r="T581" s="260">
        <v>2512.0</v>
      </c>
      <c r="U581" s="261" t="s">
        <v>1463</v>
      </c>
      <c r="V581" s="279">
        <v>45351.744976851856</v>
      </c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</row>
    <row r="582">
      <c r="A582" s="280">
        <v>45351.0</v>
      </c>
      <c r="B582" s="264">
        <v>5403876.0</v>
      </c>
      <c r="C582" s="265" t="s">
        <v>82</v>
      </c>
      <c r="D582" s="265" t="s">
        <v>94</v>
      </c>
      <c r="E582" s="264">
        <v>5403876.0</v>
      </c>
      <c r="F582" s="265" t="s">
        <v>2307</v>
      </c>
      <c r="G582" s="280">
        <v>45573.0</v>
      </c>
      <c r="H582" s="313">
        <v>45577.0</v>
      </c>
      <c r="I582" s="282">
        <v>4.0</v>
      </c>
      <c r="J582" s="283" t="s">
        <v>114</v>
      </c>
      <c r="K582" s="265" t="s">
        <v>79</v>
      </c>
      <c r="L582" s="265" t="s">
        <v>1462</v>
      </c>
      <c r="M582" s="264">
        <v>1.0</v>
      </c>
      <c r="N582" s="270">
        <v>0.0</v>
      </c>
      <c r="O582" s="271">
        <v>173.5</v>
      </c>
      <c r="P582" s="271">
        <v>171.765</v>
      </c>
      <c r="Q582" s="283">
        <v>0.0</v>
      </c>
      <c r="R582" s="273">
        <v>687.06</v>
      </c>
      <c r="S582" s="273">
        <v>0.0</v>
      </c>
      <c r="T582" s="273">
        <v>2512.0</v>
      </c>
      <c r="U582" s="274" t="s">
        <v>1463</v>
      </c>
      <c r="V582" s="286">
        <v>45351.744976851856</v>
      </c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</row>
    <row r="583">
      <c r="A583" s="210">
        <v>45351.0</v>
      </c>
      <c r="B583" s="166">
        <v>5404029.0</v>
      </c>
      <c r="C583" s="166" t="s">
        <v>82</v>
      </c>
      <c r="D583" s="166" t="s">
        <v>94</v>
      </c>
      <c r="E583" s="166">
        <v>5404029.0</v>
      </c>
      <c r="F583" s="166" t="s">
        <v>2300</v>
      </c>
      <c r="G583" s="212">
        <v>45582.0</v>
      </c>
      <c r="H583" s="310">
        <v>45583.0</v>
      </c>
      <c r="I583" s="168">
        <v>1.0</v>
      </c>
      <c r="J583" s="169" t="s">
        <v>87</v>
      </c>
      <c r="K583" s="166" t="s">
        <v>79</v>
      </c>
      <c r="L583" s="166" t="s">
        <v>1811</v>
      </c>
      <c r="M583" s="166">
        <v>2.0</v>
      </c>
      <c r="N583" s="170">
        <v>0.0</v>
      </c>
      <c r="O583" s="171">
        <v>140.0</v>
      </c>
      <c r="P583" s="171">
        <v>138.6</v>
      </c>
      <c r="Q583" s="172">
        <v>0.0</v>
      </c>
      <c r="R583" s="173">
        <v>138.6</v>
      </c>
      <c r="S583" s="173">
        <v>0.0</v>
      </c>
      <c r="T583" s="173">
        <v>850.0</v>
      </c>
      <c r="U583" s="201" t="s">
        <v>1812</v>
      </c>
      <c r="V583" s="288">
        <v>45351.77171296296</v>
      </c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>
      <c r="A584" s="210">
        <v>45351.0</v>
      </c>
      <c r="B584" s="166">
        <v>5404029.0</v>
      </c>
      <c r="C584" s="166" t="s">
        <v>82</v>
      </c>
      <c r="D584" s="166" t="s">
        <v>94</v>
      </c>
      <c r="E584" s="166">
        <v>5404029.0</v>
      </c>
      <c r="F584" s="166" t="s">
        <v>2300</v>
      </c>
      <c r="G584" s="212">
        <v>45582.0</v>
      </c>
      <c r="H584" s="310">
        <v>45583.0</v>
      </c>
      <c r="I584" s="168">
        <v>1.0</v>
      </c>
      <c r="J584" s="169" t="s">
        <v>78</v>
      </c>
      <c r="K584" s="166" t="s">
        <v>79</v>
      </c>
      <c r="L584" s="166" t="s">
        <v>1811</v>
      </c>
      <c r="M584" s="166">
        <v>2.0</v>
      </c>
      <c r="N584" s="169">
        <v>0.0</v>
      </c>
      <c r="O584" s="171">
        <v>161.0</v>
      </c>
      <c r="P584" s="171">
        <v>159.39</v>
      </c>
      <c r="Q584" s="169">
        <v>0.0</v>
      </c>
      <c r="R584" s="173">
        <v>159.39</v>
      </c>
      <c r="S584" s="173">
        <v>0.0</v>
      </c>
      <c r="T584" s="173">
        <v>850.0</v>
      </c>
      <c r="U584" s="201" t="s">
        <v>1812</v>
      </c>
      <c r="V584" s="288">
        <v>45351.77171296296</v>
      </c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>
      <c r="A585" s="210">
        <v>45351.0</v>
      </c>
      <c r="B585" s="166">
        <v>5404029.0</v>
      </c>
      <c r="C585" s="166" t="s">
        <v>82</v>
      </c>
      <c r="D585" s="166" t="s">
        <v>94</v>
      </c>
      <c r="E585" s="166">
        <v>5404029.0</v>
      </c>
      <c r="F585" s="166" t="s">
        <v>2300</v>
      </c>
      <c r="G585" s="212">
        <v>45582.0</v>
      </c>
      <c r="H585" s="310">
        <v>45583.0</v>
      </c>
      <c r="I585" s="168">
        <v>1.0</v>
      </c>
      <c r="J585" s="169" t="s">
        <v>114</v>
      </c>
      <c r="K585" s="166" t="s">
        <v>79</v>
      </c>
      <c r="L585" s="166" t="s">
        <v>1811</v>
      </c>
      <c r="M585" s="166">
        <v>2.0</v>
      </c>
      <c r="N585" s="170">
        <v>0.0</v>
      </c>
      <c r="O585" s="171">
        <v>176.0</v>
      </c>
      <c r="P585" s="171">
        <v>174.24</v>
      </c>
      <c r="Q585" s="172">
        <v>0.0</v>
      </c>
      <c r="R585" s="173">
        <v>174.24</v>
      </c>
      <c r="S585" s="173">
        <v>0.0</v>
      </c>
      <c r="T585" s="173">
        <v>850.0</v>
      </c>
      <c r="U585" s="201" t="s">
        <v>1812</v>
      </c>
      <c r="V585" s="288">
        <v>45351.77171296296</v>
      </c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>
      <c r="A586" s="210">
        <v>45351.0</v>
      </c>
      <c r="B586" s="166">
        <v>5404029.0</v>
      </c>
      <c r="C586" s="166" t="s">
        <v>82</v>
      </c>
      <c r="D586" s="166" t="s">
        <v>94</v>
      </c>
      <c r="E586" s="166">
        <v>5404029.0</v>
      </c>
      <c r="F586" s="166" t="s">
        <v>2300</v>
      </c>
      <c r="G586" s="212">
        <v>45582.0</v>
      </c>
      <c r="H586" s="310">
        <v>45583.0</v>
      </c>
      <c r="I586" s="168">
        <v>1.0</v>
      </c>
      <c r="J586" s="169" t="s">
        <v>114</v>
      </c>
      <c r="K586" s="166" t="s">
        <v>79</v>
      </c>
      <c r="L586" s="166" t="s">
        <v>1811</v>
      </c>
      <c r="M586" s="166">
        <v>2.0</v>
      </c>
      <c r="N586" s="170">
        <v>0.0</v>
      </c>
      <c r="O586" s="171">
        <v>176.0</v>
      </c>
      <c r="P586" s="171">
        <v>174.24</v>
      </c>
      <c r="Q586" s="172">
        <v>0.0</v>
      </c>
      <c r="R586" s="173">
        <v>174.24</v>
      </c>
      <c r="S586" s="173">
        <v>0.0</v>
      </c>
      <c r="T586" s="173">
        <v>850.0</v>
      </c>
      <c r="U586" s="201" t="s">
        <v>1812</v>
      </c>
      <c r="V586" s="288">
        <v>45351.77171296296</v>
      </c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>
      <c r="A587" s="276">
        <v>45351.0</v>
      </c>
      <c r="B587" s="252">
        <v>5404029.0</v>
      </c>
      <c r="C587" s="253" t="s">
        <v>82</v>
      </c>
      <c r="D587" s="253" t="s">
        <v>94</v>
      </c>
      <c r="E587" s="252">
        <v>5404029.0</v>
      </c>
      <c r="F587" s="253" t="s">
        <v>2300</v>
      </c>
      <c r="G587" s="304">
        <v>45582.0</v>
      </c>
      <c r="H587" s="311">
        <v>45583.0</v>
      </c>
      <c r="I587" s="278">
        <v>1.0</v>
      </c>
      <c r="J587" s="257" t="s">
        <v>111</v>
      </c>
      <c r="K587" s="253" t="s">
        <v>79</v>
      </c>
      <c r="L587" s="253" t="s">
        <v>1811</v>
      </c>
      <c r="M587" s="252">
        <v>2.0</v>
      </c>
      <c r="N587" s="258">
        <v>0.0</v>
      </c>
      <c r="O587" s="259">
        <v>197.0</v>
      </c>
      <c r="P587" s="259">
        <v>195.03</v>
      </c>
      <c r="Q587" s="262">
        <v>0.0</v>
      </c>
      <c r="R587" s="260">
        <v>195.03</v>
      </c>
      <c r="S587" s="260">
        <v>0.0</v>
      </c>
      <c r="T587" s="260">
        <v>850.0</v>
      </c>
      <c r="U587" s="261" t="s">
        <v>1812</v>
      </c>
      <c r="V587" s="279">
        <v>45351.77171296296</v>
      </c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>
      <c r="A588" s="276">
        <v>45352.0</v>
      </c>
      <c r="B588" s="252">
        <v>5407744.0</v>
      </c>
      <c r="C588" s="253" t="s">
        <v>82</v>
      </c>
      <c r="D588" s="285" t="s">
        <v>35</v>
      </c>
      <c r="E588" s="252">
        <v>4.291629442E9</v>
      </c>
      <c r="F588" s="253" t="s">
        <v>2312</v>
      </c>
      <c r="G588" s="276">
        <v>45381.0</v>
      </c>
      <c r="H588" s="277">
        <v>45384.0</v>
      </c>
      <c r="I588" s="278">
        <v>3.0</v>
      </c>
      <c r="J588" s="257" t="s">
        <v>87</v>
      </c>
      <c r="K588" s="253" t="s">
        <v>79</v>
      </c>
      <c r="L588" s="253" t="s">
        <v>1396</v>
      </c>
      <c r="M588" s="252">
        <v>2.0</v>
      </c>
      <c r="N588" s="258">
        <v>0.0</v>
      </c>
      <c r="O588" s="259">
        <v>169.47666666666666</v>
      </c>
      <c r="P588" s="259">
        <v>135.58133333333333</v>
      </c>
      <c r="Q588" s="257">
        <v>0.0</v>
      </c>
      <c r="R588" s="260">
        <v>406.744</v>
      </c>
      <c r="S588" s="260">
        <v>0.0</v>
      </c>
      <c r="T588" s="260">
        <v>508.43</v>
      </c>
      <c r="U588" s="261" t="s">
        <v>1398</v>
      </c>
      <c r="V588" s="279">
        <v>45352.809062500004</v>
      </c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</row>
    <row r="589">
      <c r="A589" s="210">
        <v>45352.0</v>
      </c>
      <c r="B589" s="166">
        <v>5406841.0</v>
      </c>
      <c r="C589" s="166" t="s">
        <v>82</v>
      </c>
      <c r="D589" s="166" t="s">
        <v>35</v>
      </c>
      <c r="E589" s="166">
        <v>4.050607155E9</v>
      </c>
      <c r="F589" s="166" t="s">
        <v>1902</v>
      </c>
      <c r="G589" s="210">
        <v>45406.0</v>
      </c>
      <c r="H589" s="287">
        <v>45407.0</v>
      </c>
      <c r="I589" s="168">
        <v>1.0</v>
      </c>
      <c r="J589" s="169" t="s">
        <v>87</v>
      </c>
      <c r="K589" s="166" t="s">
        <v>79</v>
      </c>
      <c r="L589" s="166" t="s">
        <v>1400</v>
      </c>
      <c r="M589" s="205">
        <v>2.0</v>
      </c>
      <c r="N589" s="170">
        <v>0.0</v>
      </c>
      <c r="O589" s="171">
        <v>192.08</v>
      </c>
      <c r="P589" s="171">
        <v>153.66400000000002</v>
      </c>
      <c r="Q589" s="172">
        <v>0.0</v>
      </c>
      <c r="R589" s="173">
        <v>153.66400000000002</v>
      </c>
      <c r="S589" s="173">
        <v>0.0</v>
      </c>
      <c r="T589" s="173">
        <v>192.08</v>
      </c>
      <c r="U589" s="174" t="s">
        <v>1401</v>
      </c>
      <c r="V589" s="288">
        <v>45352.61949074074</v>
      </c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</row>
    <row r="590">
      <c r="A590" s="276">
        <v>45352.0</v>
      </c>
      <c r="B590" s="252">
        <v>5408278.0</v>
      </c>
      <c r="C590" s="253" t="s">
        <v>82</v>
      </c>
      <c r="D590" s="253" t="s">
        <v>35</v>
      </c>
      <c r="E590" s="252">
        <v>4.013302623E9</v>
      </c>
      <c r="F590" s="253" t="s">
        <v>2313</v>
      </c>
      <c r="G590" s="276">
        <v>45414.0</v>
      </c>
      <c r="H590" s="277">
        <v>45415.0</v>
      </c>
      <c r="I590" s="278">
        <v>1.0</v>
      </c>
      <c r="J590" s="257" t="s">
        <v>87</v>
      </c>
      <c r="K590" s="253" t="s">
        <v>79</v>
      </c>
      <c r="L590" s="253" t="s">
        <v>1414</v>
      </c>
      <c r="M590" s="252">
        <v>2.0</v>
      </c>
      <c r="N590" s="258">
        <v>0.0</v>
      </c>
      <c r="O590" s="259">
        <v>180.57</v>
      </c>
      <c r="P590" s="259">
        <v>144.456</v>
      </c>
      <c r="Q590" s="262">
        <v>0.0</v>
      </c>
      <c r="R590" s="260">
        <v>144.456</v>
      </c>
      <c r="S590" s="260">
        <v>0.0</v>
      </c>
      <c r="T590" s="260">
        <v>180.57</v>
      </c>
      <c r="U590" s="261" t="s">
        <v>1415</v>
      </c>
      <c r="V590" s="279">
        <v>45352.94454861111</v>
      </c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</row>
    <row r="591">
      <c r="A591" s="276">
        <v>45353.0</v>
      </c>
      <c r="B591" s="252">
        <v>5411042.0</v>
      </c>
      <c r="C591" s="253" t="s">
        <v>82</v>
      </c>
      <c r="D591" s="253" t="s">
        <v>35</v>
      </c>
      <c r="E591" s="252">
        <v>4.051646107E9</v>
      </c>
      <c r="F591" s="253" t="s">
        <v>2314</v>
      </c>
      <c r="G591" s="276">
        <v>45362.0</v>
      </c>
      <c r="H591" s="277">
        <v>45365.0</v>
      </c>
      <c r="I591" s="278">
        <v>3.0</v>
      </c>
      <c r="J591" s="257" t="s">
        <v>87</v>
      </c>
      <c r="K591" s="253" t="s">
        <v>79</v>
      </c>
      <c r="L591" s="253" t="s">
        <v>1396</v>
      </c>
      <c r="M591" s="252">
        <v>2.0</v>
      </c>
      <c r="N591" s="258">
        <v>0.0</v>
      </c>
      <c r="O591" s="259">
        <v>149.45000000000002</v>
      </c>
      <c r="P591" s="259">
        <v>119.56000000000002</v>
      </c>
      <c r="Q591" s="262">
        <v>0.0</v>
      </c>
      <c r="R591" s="260">
        <v>358.68000000000006</v>
      </c>
      <c r="S591" s="260">
        <v>0.0</v>
      </c>
      <c r="T591" s="260">
        <v>448.35</v>
      </c>
      <c r="U591" s="261" t="s">
        <v>1398</v>
      </c>
      <c r="V591" s="279">
        <v>45353.82996527778</v>
      </c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</row>
    <row r="592">
      <c r="A592" s="276">
        <v>45353.0</v>
      </c>
      <c r="B592" s="252">
        <v>5408550.0</v>
      </c>
      <c r="C592" s="253" t="s">
        <v>82</v>
      </c>
      <c r="D592" s="253" t="s">
        <v>35</v>
      </c>
      <c r="E592" s="252">
        <v>4.168496011E9</v>
      </c>
      <c r="F592" s="253" t="s">
        <v>2315</v>
      </c>
      <c r="G592" s="276">
        <v>45367.0</v>
      </c>
      <c r="H592" s="277">
        <v>45368.0</v>
      </c>
      <c r="I592" s="278">
        <v>1.0</v>
      </c>
      <c r="J592" s="257" t="s">
        <v>78</v>
      </c>
      <c r="K592" s="253" t="s">
        <v>79</v>
      </c>
      <c r="L592" s="253" t="s">
        <v>1396</v>
      </c>
      <c r="M592" s="252">
        <v>2.0</v>
      </c>
      <c r="N592" s="258">
        <v>0.0</v>
      </c>
      <c r="O592" s="259">
        <v>167.3</v>
      </c>
      <c r="P592" s="259">
        <v>133.84</v>
      </c>
      <c r="Q592" s="262">
        <v>0.0</v>
      </c>
      <c r="R592" s="260">
        <v>133.84</v>
      </c>
      <c r="S592" s="260">
        <v>0.0</v>
      </c>
      <c r="T592" s="260">
        <v>167.3</v>
      </c>
      <c r="U592" s="261" t="s">
        <v>1398</v>
      </c>
      <c r="V592" s="279">
        <v>45353.07225694445</v>
      </c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</row>
    <row r="593">
      <c r="A593" s="210">
        <v>45353.0</v>
      </c>
      <c r="B593" s="166">
        <v>5410081.0</v>
      </c>
      <c r="C593" s="166" t="s">
        <v>82</v>
      </c>
      <c r="D593" s="166" t="s">
        <v>35</v>
      </c>
      <c r="E593" s="166">
        <v>4.013383798E9</v>
      </c>
      <c r="F593" s="166" t="s">
        <v>2316</v>
      </c>
      <c r="G593" s="210">
        <v>45414.0</v>
      </c>
      <c r="H593" s="287">
        <v>45415.0</v>
      </c>
      <c r="I593" s="168">
        <v>1.0</v>
      </c>
      <c r="J593" s="169" t="s">
        <v>78</v>
      </c>
      <c r="K593" s="166" t="s">
        <v>79</v>
      </c>
      <c r="L593" s="166" t="s">
        <v>1400</v>
      </c>
      <c r="M593" s="205">
        <v>2.0</v>
      </c>
      <c r="N593" s="170">
        <v>0.0</v>
      </c>
      <c r="O593" s="171">
        <v>224.59</v>
      </c>
      <c r="P593" s="171">
        <v>179.67200000000003</v>
      </c>
      <c r="Q593" s="172">
        <v>0.0</v>
      </c>
      <c r="R593" s="173">
        <v>179.67200000000003</v>
      </c>
      <c r="S593" s="173">
        <v>0.0</v>
      </c>
      <c r="T593" s="173">
        <v>224.59</v>
      </c>
      <c r="U593" s="174" t="s">
        <v>1401</v>
      </c>
      <c r="V593" s="288">
        <v>45353.62226851852</v>
      </c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</row>
    <row r="594">
      <c r="A594" s="289">
        <v>45353.0</v>
      </c>
      <c r="B594" s="290">
        <v>5410088.0</v>
      </c>
      <c r="C594" s="291" t="s">
        <v>89</v>
      </c>
      <c r="D594" s="291" t="s">
        <v>35</v>
      </c>
      <c r="E594" s="290">
        <v>4.07696725E9</v>
      </c>
      <c r="F594" s="291" t="s">
        <v>2316</v>
      </c>
      <c r="G594" s="289">
        <v>45416.0</v>
      </c>
      <c r="H594" s="292">
        <v>45418.0</v>
      </c>
      <c r="I594" s="293">
        <v>2.0</v>
      </c>
      <c r="J594" s="294" t="s">
        <v>78</v>
      </c>
      <c r="K594" s="291" t="s">
        <v>79</v>
      </c>
      <c r="L594" s="291" t="s">
        <v>1400</v>
      </c>
      <c r="M594" s="290">
        <v>2.0</v>
      </c>
      <c r="N594" s="295">
        <v>0.0</v>
      </c>
      <c r="O594" s="296">
        <v>0.0</v>
      </c>
      <c r="P594" s="296">
        <v>0.0</v>
      </c>
      <c r="Q594" s="301">
        <v>0.0</v>
      </c>
      <c r="R594" s="297">
        <v>0.0</v>
      </c>
      <c r="S594" s="297">
        <v>0.0</v>
      </c>
      <c r="T594" s="297">
        <v>0.0</v>
      </c>
      <c r="U594" s="298" t="s">
        <v>2317</v>
      </c>
      <c r="V594" s="299">
        <v>45354.464641203704</v>
      </c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</row>
    <row r="595">
      <c r="A595" s="276">
        <v>45353.0</v>
      </c>
      <c r="B595" s="252">
        <v>5409776.0</v>
      </c>
      <c r="C595" s="253" t="s">
        <v>82</v>
      </c>
      <c r="D595" s="253" t="s">
        <v>35</v>
      </c>
      <c r="E595" s="252">
        <v>4.273113344E9</v>
      </c>
      <c r="F595" s="253" t="s">
        <v>2318</v>
      </c>
      <c r="G595" s="276">
        <v>45541.0</v>
      </c>
      <c r="H595" s="277">
        <v>45548.0</v>
      </c>
      <c r="I595" s="278">
        <v>7.0</v>
      </c>
      <c r="J595" s="257" t="s">
        <v>87</v>
      </c>
      <c r="K595" s="253" t="s">
        <v>79</v>
      </c>
      <c r="L595" s="253" t="s">
        <v>1567</v>
      </c>
      <c r="M595" s="275">
        <v>2.0</v>
      </c>
      <c r="N595" s="258">
        <v>0.0</v>
      </c>
      <c r="O595" s="259">
        <v>122.87</v>
      </c>
      <c r="P595" s="259">
        <v>98.296</v>
      </c>
      <c r="Q595" s="262">
        <v>0.0</v>
      </c>
      <c r="R595" s="260">
        <v>688.0720000000001</v>
      </c>
      <c r="S595" s="260">
        <v>0.0</v>
      </c>
      <c r="T595" s="260">
        <v>1857.73</v>
      </c>
      <c r="U595" s="261" t="s">
        <v>1568</v>
      </c>
      <c r="V595" s="279">
        <v>45353.55490740741</v>
      </c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</row>
    <row r="596">
      <c r="A596" s="276">
        <v>45353.0</v>
      </c>
      <c r="B596" s="252">
        <v>5409776.0</v>
      </c>
      <c r="C596" s="253" t="s">
        <v>82</v>
      </c>
      <c r="D596" s="253" t="s">
        <v>35</v>
      </c>
      <c r="E596" s="252">
        <v>4.273113344E9</v>
      </c>
      <c r="F596" s="253" t="s">
        <v>2318</v>
      </c>
      <c r="G596" s="276">
        <v>45541.0</v>
      </c>
      <c r="H596" s="277">
        <v>45548.0</v>
      </c>
      <c r="I596" s="278">
        <v>7.0</v>
      </c>
      <c r="J596" s="257" t="s">
        <v>78</v>
      </c>
      <c r="K596" s="253" t="s">
        <v>79</v>
      </c>
      <c r="L596" s="253" t="s">
        <v>1567</v>
      </c>
      <c r="M596" s="252">
        <v>2.0</v>
      </c>
      <c r="N596" s="258">
        <v>0.0</v>
      </c>
      <c r="O596" s="259">
        <v>142.52</v>
      </c>
      <c r="P596" s="259">
        <v>114.01600000000002</v>
      </c>
      <c r="Q596" s="262">
        <v>0.0</v>
      </c>
      <c r="R596" s="260">
        <v>798.1120000000001</v>
      </c>
      <c r="S596" s="260">
        <v>0.0</v>
      </c>
      <c r="T596" s="260">
        <v>1857.73</v>
      </c>
      <c r="U596" s="261" t="s">
        <v>1568</v>
      </c>
      <c r="V596" s="279">
        <v>45353.55490740741</v>
      </c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</row>
    <row r="597">
      <c r="A597" s="276">
        <v>45354.0</v>
      </c>
      <c r="B597" s="252">
        <v>5413083.0</v>
      </c>
      <c r="C597" s="253" t="s">
        <v>82</v>
      </c>
      <c r="D597" s="253" t="s">
        <v>35</v>
      </c>
      <c r="E597" s="252">
        <v>4.248084524E9</v>
      </c>
      <c r="F597" s="253" t="s">
        <v>2320</v>
      </c>
      <c r="G597" s="276">
        <v>45375.0</v>
      </c>
      <c r="H597" s="277">
        <v>45376.0</v>
      </c>
      <c r="I597" s="278">
        <v>1.0</v>
      </c>
      <c r="J597" s="257" t="s">
        <v>87</v>
      </c>
      <c r="K597" s="253" t="s">
        <v>79</v>
      </c>
      <c r="L597" s="253" t="s">
        <v>1396</v>
      </c>
      <c r="M597" s="252">
        <v>2.0</v>
      </c>
      <c r="N597" s="258">
        <v>0.0</v>
      </c>
      <c r="O597" s="259">
        <v>158.86</v>
      </c>
      <c r="P597" s="259">
        <v>127.08800000000002</v>
      </c>
      <c r="Q597" s="262">
        <v>0.0</v>
      </c>
      <c r="R597" s="260">
        <v>127.08800000000002</v>
      </c>
      <c r="S597" s="260">
        <v>0.0</v>
      </c>
      <c r="T597" s="260">
        <v>158.86</v>
      </c>
      <c r="U597" s="261" t="s">
        <v>1398</v>
      </c>
      <c r="V597" s="279">
        <v>45354.555613425924</v>
      </c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</row>
    <row r="598">
      <c r="A598" s="276">
        <v>45355.0</v>
      </c>
      <c r="B598" s="252">
        <v>5416196.0</v>
      </c>
      <c r="C598" s="253" t="s">
        <v>82</v>
      </c>
      <c r="D598" s="253" t="s">
        <v>35</v>
      </c>
      <c r="E598" s="252">
        <v>4.028798233E9</v>
      </c>
      <c r="F598" s="253" t="s">
        <v>2321</v>
      </c>
      <c r="G598" s="276">
        <v>45365.0</v>
      </c>
      <c r="H598" s="277">
        <v>45366.0</v>
      </c>
      <c r="I598" s="278">
        <v>1.0</v>
      </c>
      <c r="J598" s="257" t="s">
        <v>87</v>
      </c>
      <c r="K598" s="253" t="s">
        <v>79</v>
      </c>
      <c r="L598" s="253" t="s">
        <v>1396</v>
      </c>
      <c r="M598" s="252">
        <v>2.0</v>
      </c>
      <c r="N598" s="258">
        <v>0.0</v>
      </c>
      <c r="O598" s="259">
        <v>174.26</v>
      </c>
      <c r="P598" s="259">
        <v>139.408</v>
      </c>
      <c r="Q598" s="262">
        <v>0.0</v>
      </c>
      <c r="R598" s="260">
        <v>139.408</v>
      </c>
      <c r="S598" s="260">
        <v>0.0</v>
      </c>
      <c r="T598" s="260">
        <v>174.26</v>
      </c>
      <c r="U598" s="261" t="s">
        <v>1398</v>
      </c>
      <c r="V598" s="279">
        <v>45355.45150462963</v>
      </c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</row>
    <row r="599">
      <c r="A599" s="280">
        <v>45355.0</v>
      </c>
      <c r="B599" s="264">
        <v>5416329.0</v>
      </c>
      <c r="C599" s="265" t="s">
        <v>75</v>
      </c>
      <c r="D599" s="265" t="s">
        <v>94</v>
      </c>
      <c r="E599" s="265">
        <v>5416329.0</v>
      </c>
      <c r="F599" s="265" t="s">
        <v>2323</v>
      </c>
      <c r="G599" s="280">
        <v>45380.0</v>
      </c>
      <c r="H599" s="281">
        <v>45384.0</v>
      </c>
      <c r="I599" s="282">
        <v>4.0</v>
      </c>
      <c r="J599" s="283" t="s">
        <v>1425</v>
      </c>
      <c r="K599" s="265" t="s">
        <v>1425</v>
      </c>
      <c r="L599" s="265" t="s">
        <v>1425</v>
      </c>
      <c r="M599" s="264" t="s">
        <v>1425</v>
      </c>
      <c r="N599" s="270">
        <v>0.0</v>
      </c>
      <c r="O599" s="271" t="e">
        <v>#NUM!</v>
      </c>
      <c r="P599" s="271" t="e">
        <v>#NUM!</v>
      </c>
      <c r="Q599" s="272" t="e">
        <v>#NUM!</v>
      </c>
      <c r="R599" s="273" t="e">
        <v>#NUM!</v>
      </c>
      <c r="S599" s="273" t="e">
        <v>#NUM!</v>
      </c>
      <c r="T599" s="273">
        <v>508.5</v>
      </c>
      <c r="U599" s="274" t="s">
        <v>1428</v>
      </c>
      <c r="V599" s="286">
        <v>45355.48060185185</v>
      </c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</row>
    <row r="600">
      <c r="A600" s="276">
        <v>45355.0</v>
      </c>
      <c r="B600" s="252">
        <v>5416021.0</v>
      </c>
      <c r="C600" s="253" t="s">
        <v>82</v>
      </c>
      <c r="D600" s="253" t="s">
        <v>35</v>
      </c>
      <c r="E600" s="252">
        <v>4.157543788E9</v>
      </c>
      <c r="F600" s="253" t="s">
        <v>2324</v>
      </c>
      <c r="G600" s="276">
        <v>45414.0</v>
      </c>
      <c r="H600" s="277">
        <v>45415.0</v>
      </c>
      <c r="I600" s="278">
        <v>1.0</v>
      </c>
      <c r="J600" s="257" t="s">
        <v>87</v>
      </c>
      <c r="K600" s="253" t="s">
        <v>79</v>
      </c>
      <c r="L600" s="253" t="s">
        <v>1411</v>
      </c>
      <c r="M600" s="252">
        <v>2.0</v>
      </c>
      <c r="N600" s="258">
        <v>0.0</v>
      </c>
      <c r="O600" s="259">
        <v>200.08</v>
      </c>
      <c r="P600" s="259">
        <v>160.06400000000002</v>
      </c>
      <c r="Q600" s="262">
        <v>0.0</v>
      </c>
      <c r="R600" s="260">
        <v>160.06400000000002</v>
      </c>
      <c r="S600" s="260">
        <v>0.0</v>
      </c>
      <c r="T600" s="260">
        <v>200.08</v>
      </c>
      <c r="U600" s="261" t="s">
        <v>1412</v>
      </c>
      <c r="V600" s="279">
        <v>45355.40560185185</v>
      </c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</row>
    <row r="601">
      <c r="A601" s="276">
        <v>45356.0</v>
      </c>
      <c r="B601" s="252">
        <v>5422166.0</v>
      </c>
      <c r="C601" s="253" t="s">
        <v>82</v>
      </c>
      <c r="D601" s="253" t="s">
        <v>35</v>
      </c>
      <c r="E601" s="252">
        <v>4.162416183E9</v>
      </c>
      <c r="F601" s="253" t="s">
        <v>2328</v>
      </c>
      <c r="G601" s="276">
        <v>45388.0</v>
      </c>
      <c r="H601" s="277">
        <v>45389.0</v>
      </c>
      <c r="I601" s="278">
        <v>1.0</v>
      </c>
      <c r="J601" s="257" t="s">
        <v>114</v>
      </c>
      <c r="K601" s="253" t="s">
        <v>79</v>
      </c>
      <c r="L601" s="253" t="s">
        <v>1400</v>
      </c>
      <c r="M601" s="252">
        <v>3.0</v>
      </c>
      <c r="N601" s="258">
        <v>0.0</v>
      </c>
      <c r="O601" s="259">
        <v>234.53</v>
      </c>
      <c r="P601" s="259">
        <v>187.62400000000002</v>
      </c>
      <c r="Q601" s="257">
        <v>0.0</v>
      </c>
      <c r="R601" s="260">
        <v>187.62400000000002</v>
      </c>
      <c r="S601" s="260">
        <v>0.0</v>
      </c>
      <c r="T601" s="260">
        <v>234.53</v>
      </c>
      <c r="U601" s="261" t="s">
        <v>1401</v>
      </c>
      <c r="V601" s="279">
        <v>45356.90909722222</v>
      </c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</row>
    <row r="602">
      <c r="A602" s="280">
        <v>45356.0</v>
      </c>
      <c r="B602" s="264">
        <v>5419339.0</v>
      </c>
      <c r="C602" s="265" t="s">
        <v>82</v>
      </c>
      <c r="D602" s="265" t="s">
        <v>35</v>
      </c>
      <c r="E602" s="265">
        <v>4.14810054E9</v>
      </c>
      <c r="F602" s="265" t="s">
        <v>2330</v>
      </c>
      <c r="G602" s="280">
        <v>45450.0</v>
      </c>
      <c r="H602" s="281">
        <v>45452.0</v>
      </c>
      <c r="I602" s="282">
        <v>2.0</v>
      </c>
      <c r="J602" s="283" t="s">
        <v>78</v>
      </c>
      <c r="K602" s="265" t="s">
        <v>79</v>
      </c>
      <c r="L602" s="265" t="s">
        <v>1411</v>
      </c>
      <c r="M602" s="264">
        <v>2.0</v>
      </c>
      <c r="N602" s="270">
        <v>0.0</v>
      </c>
      <c r="O602" s="271">
        <v>147.8</v>
      </c>
      <c r="P602" s="271">
        <v>118.24000000000001</v>
      </c>
      <c r="Q602" s="272">
        <v>0.0</v>
      </c>
      <c r="R602" s="273">
        <v>236.48000000000002</v>
      </c>
      <c r="S602" s="273">
        <v>0.0</v>
      </c>
      <c r="T602" s="273">
        <v>591.2</v>
      </c>
      <c r="U602" s="274" t="s">
        <v>1412</v>
      </c>
      <c r="V602" s="286">
        <v>45356.32574074074</v>
      </c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</row>
    <row r="603">
      <c r="A603" s="210">
        <v>45356.0</v>
      </c>
      <c r="B603" s="166">
        <v>5419339.0</v>
      </c>
      <c r="C603" s="166" t="s">
        <v>82</v>
      </c>
      <c r="D603" s="166" t="s">
        <v>35</v>
      </c>
      <c r="E603" s="166">
        <v>4.14810054E9</v>
      </c>
      <c r="F603" s="166" t="s">
        <v>2330</v>
      </c>
      <c r="G603" s="210">
        <v>45450.0</v>
      </c>
      <c r="H603" s="287">
        <v>45452.0</v>
      </c>
      <c r="I603" s="168">
        <v>2.0</v>
      </c>
      <c r="J603" s="169" t="s">
        <v>78</v>
      </c>
      <c r="K603" s="166" t="s">
        <v>79</v>
      </c>
      <c r="L603" s="166" t="s">
        <v>1411</v>
      </c>
      <c r="M603" s="166">
        <v>2.0</v>
      </c>
      <c r="N603" s="170">
        <v>0.0</v>
      </c>
      <c r="O603" s="171">
        <v>147.8</v>
      </c>
      <c r="P603" s="171">
        <v>118.24000000000001</v>
      </c>
      <c r="Q603" s="172">
        <v>0.0</v>
      </c>
      <c r="R603" s="173">
        <v>236.48000000000002</v>
      </c>
      <c r="S603" s="173">
        <v>0.0</v>
      </c>
      <c r="T603" s="173">
        <v>591.2</v>
      </c>
      <c r="U603" s="201" t="s">
        <v>1412</v>
      </c>
      <c r="V603" s="288">
        <v>45356.32574074074</v>
      </c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</row>
    <row r="604">
      <c r="A604" s="276">
        <v>45357.0</v>
      </c>
      <c r="B604" s="252">
        <v>5425077.0</v>
      </c>
      <c r="C604" s="253" t="s">
        <v>82</v>
      </c>
      <c r="D604" s="253" t="s">
        <v>35</v>
      </c>
      <c r="E604" s="252">
        <v>4.012111699E9</v>
      </c>
      <c r="F604" s="253" t="s">
        <v>2332</v>
      </c>
      <c r="G604" s="276">
        <v>45358.0</v>
      </c>
      <c r="H604" s="277">
        <v>45360.0</v>
      </c>
      <c r="I604" s="278">
        <v>2.0</v>
      </c>
      <c r="J604" s="257" t="s">
        <v>87</v>
      </c>
      <c r="K604" s="253" t="s">
        <v>79</v>
      </c>
      <c r="L604" s="253" t="s">
        <v>1396</v>
      </c>
      <c r="M604" s="252">
        <v>2.0</v>
      </c>
      <c r="N604" s="258">
        <v>0.0</v>
      </c>
      <c r="O604" s="259">
        <v>144.75</v>
      </c>
      <c r="P604" s="259">
        <v>115.80000000000001</v>
      </c>
      <c r="Q604" s="262">
        <v>0.0</v>
      </c>
      <c r="R604" s="260">
        <v>231.60000000000002</v>
      </c>
      <c r="S604" s="260">
        <v>0.0</v>
      </c>
      <c r="T604" s="260">
        <v>289.5</v>
      </c>
      <c r="U604" s="261" t="s">
        <v>1398</v>
      </c>
      <c r="V604" s="279">
        <v>45357.75767361111</v>
      </c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</row>
    <row r="605">
      <c r="A605" s="210">
        <v>45357.0</v>
      </c>
      <c r="B605" s="166">
        <v>5424821.0</v>
      </c>
      <c r="C605" s="166" t="s">
        <v>82</v>
      </c>
      <c r="D605" s="166" t="s">
        <v>94</v>
      </c>
      <c r="E605" s="166">
        <v>5424821.0</v>
      </c>
      <c r="F605" s="166" t="s">
        <v>2334</v>
      </c>
      <c r="G605" s="210">
        <v>45438.0</v>
      </c>
      <c r="H605" s="287">
        <v>45442.0</v>
      </c>
      <c r="I605" s="168">
        <v>4.0</v>
      </c>
      <c r="J605" s="169" t="s">
        <v>114</v>
      </c>
      <c r="K605" s="166" t="s">
        <v>79</v>
      </c>
      <c r="L605" s="166" t="s">
        <v>1601</v>
      </c>
      <c r="M605" s="166">
        <v>2.0</v>
      </c>
      <c r="N605" s="170">
        <v>0.0</v>
      </c>
      <c r="O605" s="171">
        <v>225.0</v>
      </c>
      <c r="P605" s="171">
        <v>222.75</v>
      </c>
      <c r="Q605" s="172">
        <v>0.0</v>
      </c>
      <c r="R605" s="173">
        <v>891.0</v>
      </c>
      <c r="S605" s="173">
        <v>0.0</v>
      </c>
      <c r="T605" s="173">
        <v>900.0</v>
      </c>
      <c r="U605" s="174" t="s">
        <v>1602</v>
      </c>
      <c r="V605" s="288">
        <v>45357.70579861111</v>
      </c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</row>
    <row r="606">
      <c r="A606" s="280">
        <v>45357.0</v>
      </c>
      <c r="B606" s="264">
        <v>5425886.0</v>
      </c>
      <c r="C606" s="265" t="s">
        <v>82</v>
      </c>
      <c r="D606" s="265" t="s">
        <v>35</v>
      </c>
      <c r="E606" s="265">
        <v>4.157845791E9</v>
      </c>
      <c r="F606" s="265" t="s">
        <v>2336</v>
      </c>
      <c r="G606" s="280">
        <v>45442.0</v>
      </c>
      <c r="H606" s="281">
        <v>45445.0</v>
      </c>
      <c r="I606" s="282">
        <v>3.0</v>
      </c>
      <c r="J606" s="283" t="s">
        <v>78</v>
      </c>
      <c r="K606" s="265" t="s">
        <v>79</v>
      </c>
      <c r="L606" s="265" t="s">
        <v>2337</v>
      </c>
      <c r="M606" s="264">
        <v>1.0</v>
      </c>
      <c r="N606" s="270">
        <v>0.0</v>
      </c>
      <c r="O606" s="271">
        <v>298.8666666666667</v>
      </c>
      <c r="P606" s="271">
        <v>239.09333333333336</v>
      </c>
      <c r="Q606" s="272">
        <v>0.0</v>
      </c>
      <c r="R606" s="273">
        <v>717.2800000000001</v>
      </c>
      <c r="S606" s="273">
        <v>0.0</v>
      </c>
      <c r="T606" s="273">
        <v>1793.2</v>
      </c>
      <c r="U606" s="274" t="s">
        <v>2338</v>
      </c>
      <c r="V606" s="286">
        <v>45357.921585648146</v>
      </c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</row>
    <row r="607">
      <c r="A607" s="210">
        <v>45357.0</v>
      </c>
      <c r="B607" s="166">
        <v>5425886.0</v>
      </c>
      <c r="C607" s="166" t="s">
        <v>82</v>
      </c>
      <c r="D607" s="166" t="s">
        <v>35</v>
      </c>
      <c r="E607" s="166">
        <v>4.157845791E9</v>
      </c>
      <c r="F607" s="166" t="s">
        <v>2336</v>
      </c>
      <c r="G607" s="210">
        <v>45442.0</v>
      </c>
      <c r="H607" s="287">
        <v>45445.0</v>
      </c>
      <c r="I607" s="168">
        <v>3.0</v>
      </c>
      <c r="J607" s="169" t="s">
        <v>78</v>
      </c>
      <c r="K607" s="166" t="s">
        <v>79</v>
      </c>
      <c r="L607" s="166" t="s">
        <v>2337</v>
      </c>
      <c r="M607" s="166">
        <v>1.0</v>
      </c>
      <c r="N607" s="170">
        <v>0.0</v>
      </c>
      <c r="O607" s="171">
        <v>298.8666666666667</v>
      </c>
      <c r="P607" s="171">
        <v>239.09333333333336</v>
      </c>
      <c r="Q607" s="172">
        <v>0.0</v>
      </c>
      <c r="R607" s="173">
        <v>717.2800000000001</v>
      </c>
      <c r="S607" s="173">
        <v>0.0</v>
      </c>
      <c r="T607" s="173">
        <v>1793.2</v>
      </c>
      <c r="U607" s="174" t="s">
        <v>2338</v>
      </c>
      <c r="V607" s="288">
        <v>45357.921585648146</v>
      </c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</row>
    <row r="608">
      <c r="A608" s="210">
        <v>45357.0</v>
      </c>
      <c r="B608" s="166">
        <v>5425353.0</v>
      </c>
      <c r="C608" s="166" t="s">
        <v>82</v>
      </c>
      <c r="D608" s="166" t="s">
        <v>35</v>
      </c>
      <c r="E608" s="166">
        <v>4.017323585E9</v>
      </c>
      <c r="F608" s="166" t="s">
        <v>2339</v>
      </c>
      <c r="G608" s="210">
        <v>45554.0</v>
      </c>
      <c r="H608" s="287">
        <v>45564.0</v>
      </c>
      <c r="I608" s="168">
        <v>10.0</v>
      </c>
      <c r="J608" s="169" t="s">
        <v>78</v>
      </c>
      <c r="K608" s="166" t="s">
        <v>79</v>
      </c>
      <c r="L608" s="166" t="s">
        <v>1567</v>
      </c>
      <c r="M608" s="166">
        <v>2.0</v>
      </c>
      <c r="N608" s="170">
        <v>0.0</v>
      </c>
      <c r="O608" s="171">
        <v>176.32</v>
      </c>
      <c r="P608" s="171">
        <v>141.056</v>
      </c>
      <c r="Q608" s="172">
        <v>0.0</v>
      </c>
      <c r="R608" s="173">
        <v>1410.5600000000002</v>
      </c>
      <c r="S608" s="173">
        <v>0.0</v>
      </c>
      <c r="T608" s="173">
        <v>1763.2</v>
      </c>
      <c r="U608" s="174" t="s">
        <v>1568</v>
      </c>
      <c r="V608" s="288">
        <v>45357.81254629629</v>
      </c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</row>
    <row r="609">
      <c r="A609" s="280">
        <v>45358.0</v>
      </c>
      <c r="B609" s="264">
        <v>5429238.0</v>
      </c>
      <c r="C609" s="265" t="s">
        <v>82</v>
      </c>
      <c r="D609" s="265" t="s">
        <v>35</v>
      </c>
      <c r="E609" s="264">
        <v>4.209822364E9</v>
      </c>
      <c r="F609" s="265" t="s">
        <v>2341</v>
      </c>
      <c r="G609" s="280">
        <v>45363.0</v>
      </c>
      <c r="H609" s="281">
        <v>45367.0</v>
      </c>
      <c r="I609" s="282">
        <v>4.0</v>
      </c>
      <c r="J609" s="283" t="s">
        <v>78</v>
      </c>
      <c r="K609" s="265" t="s">
        <v>79</v>
      </c>
      <c r="L609" s="265" t="s">
        <v>1396</v>
      </c>
      <c r="M609" s="269">
        <v>2.0</v>
      </c>
      <c r="N609" s="270">
        <v>0.0</v>
      </c>
      <c r="O609" s="271">
        <v>221.23</v>
      </c>
      <c r="P609" s="271">
        <v>176.984</v>
      </c>
      <c r="Q609" s="272">
        <v>0.0</v>
      </c>
      <c r="R609" s="273">
        <v>707.936</v>
      </c>
      <c r="S609" s="273">
        <v>0.0</v>
      </c>
      <c r="T609" s="273">
        <v>884.92</v>
      </c>
      <c r="U609" s="274" t="s">
        <v>1398</v>
      </c>
      <c r="V609" s="286">
        <v>45358.87296296297</v>
      </c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</row>
    <row r="610">
      <c r="A610" s="276">
        <v>45358.0</v>
      </c>
      <c r="B610" s="252">
        <v>5427958.0</v>
      </c>
      <c r="C610" s="253" t="s">
        <v>75</v>
      </c>
      <c r="D610" s="253" t="s">
        <v>35</v>
      </c>
      <c r="E610" s="252">
        <v>4.218511682E9</v>
      </c>
      <c r="F610" s="253" t="s">
        <v>2342</v>
      </c>
      <c r="G610" s="276">
        <v>45369.0</v>
      </c>
      <c r="H610" s="277">
        <v>45370.0</v>
      </c>
      <c r="I610" s="278">
        <v>1.0</v>
      </c>
      <c r="J610" s="257" t="s">
        <v>78</v>
      </c>
      <c r="K610" s="253" t="s">
        <v>79</v>
      </c>
      <c r="L610" s="253" t="s">
        <v>1396</v>
      </c>
      <c r="M610" s="252">
        <v>2.0</v>
      </c>
      <c r="N610" s="258">
        <v>0.0</v>
      </c>
      <c r="O610" s="259">
        <v>173.62</v>
      </c>
      <c r="P610" s="259">
        <v>138.89600000000002</v>
      </c>
      <c r="Q610" s="262">
        <v>0.0</v>
      </c>
      <c r="R610" s="260">
        <v>138.89600000000002</v>
      </c>
      <c r="S610" s="260">
        <v>0.0</v>
      </c>
      <c r="T610" s="260">
        <v>173.62</v>
      </c>
      <c r="U610" s="261" t="s">
        <v>1398</v>
      </c>
      <c r="V610" s="279">
        <v>45365.0174074074</v>
      </c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</row>
    <row r="611">
      <c r="A611" s="276">
        <v>45358.0</v>
      </c>
      <c r="B611" s="252">
        <v>5426700.0</v>
      </c>
      <c r="C611" s="253" t="s">
        <v>82</v>
      </c>
      <c r="D611" s="253" t="s">
        <v>35</v>
      </c>
      <c r="E611" s="252">
        <v>4.157813483E9</v>
      </c>
      <c r="F611" s="253" t="s">
        <v>2343</v>
      </c>
      <c r="G611" s="276">
        <v>45378.0</v>
      </c>
      <c r="H611" s="277">
        <v>45379.0</v>
      </c>
      <c r="I611" s="278">
        <v>1.0</v>
      </c>
      <c r="J611" s="257" t="s">
        <v>78</v>
      </c>
      <c r="K611" s="253" t="s">
        <v>79</v>
      </c>
      <c r="L611" s="253" t="s">
        <v>1396</v>
      </c>
      <c r="M611" s="252">
        <v>1.0</v>
      </c>
      <c r="N611" s="258">
        <v>0.0</v>
      </c>
      <c r="O611" s="259">
        <v>199.99</v>
      </c>
      <c r="P611" s="259">
        <v>159.99200000000002</v>
      </c>
      <c r="Q611" s="257">
        <v>0.0</v>
      </c>
      <c r="R611" s="260">
        <v>159.99200000000002</v>
      </c>
      <c r="S611" s="260">
        <v>0.0</v>
      </c>
      <c r="T611" s="260">
        <v>199.99</v>
      </c>
      <c r="U611" s="261" t="s">
        <v>1398</v>
      </c>
      <c r="V611" s="279">
        <v>45358.32295138889</v>
      </c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</row>
    <row r="612">
      <c r="A612" s="280">
        <v>45359.0</v>
      </c>
      <c r="B612" s="264">
        <v>5430441.0</v>
      </c>
      <c r="C612" s="265" t="s">
        <v>82</v>
      </c>
      <c r="D612" s="265" t="s">
        <v>35</v>
      </c>
      <c r="E612" s="264">
        <v>4.217015891E9</v>
      </c>
      <c r="F612" s="265" t="s">
        <v>2345</v>
      </c>
      <c r="G612" s="280">
        <v>45359.0</v>
      </c>
      <c r="H612" s="281">
        <v>45360.0</v>
      </c>
      <c r="I612" s="282">
        <v>1.0</v>
      </c>
      <c r="J612" s="283" t="s">
        <v>87</v>
      </c>
      <c r="K612" s="265" t="s">
        <v>79</v>
      </c>
      <c r="L612" s="265" t="s">
        <v>1454</v>
      </c>
      <c r="M612" s="269">
        <v>1.0</v>
      </c>
      <c r="N612" s="270">
        <v>0.0</v>
      </c>
      <c r="O612" s="271">
        <v>190.56</v>
      </c>
      <c r="P612" s="271">
        <v>152.448</v>
      </c>
      <c r="Q612" s="272">
        <v>0.0</v>
      </c>
      <c r="R612" s="273">
        <v>152.448</v>
      </c>
      <c r="S612" s="273">
        <v>0.0</v>
      </c>
      <c r="T612" s="273">
        <v>190.56</v>
      </c>
      <c r="U612" s="274" t="s">
        <v>1455</v>
      </c>
      <c r="V612" s="284">
        <v>45359.379895833335</v>
      </c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</row>
    <row r="613">
      <c r="A613" s="280">
        <v>45359.0</v>
      </c>
      <c r="B613" s="264">
        <v>5432064.0</v>
      </c>
      <c r="C613" s="265" t="s">
        <v>82</v>
      </c>
      <c r="D613" s="265" t="s">
        <v>35</v>
      </c>
      <c r="E613" s="264">
        <v>4.181333665E9</v>
      </c>
      <c r="F613" s="265" t="s">
        <v>2346</v>
      </c>
      <c r="G613" s="280">
        <v>45379.0</v>
      </c>
      <c r="H613" s="281">
        <v>45381.0</v>
      </c>
      <c r="I613" s="282">
        <v>2.0</v>
      </c>
      <c r="J613" s="283" t="s">
        <v>91</v>
      </c>
      <c r="K613" s="265" t="s">
        <v>79</v>
      </c>
      <c r="L613" s="265" t="s">
        <v>1454</v>
      </c>
      <c r="M613" s="269">
        <v>4.0</v>
      </c>
      <c r="N613" s="270">
        <v>0.0</v>
      </c>
      <c r="O613" s="271">
        <v>542.31</v>
      </c>
      <c r="P613" s="271">
        <v>433.84799999999996</v>
      </c>
      <c r="Q613" s="272">
        <v>0.0</v>
      </c>
      <c r="R613" s="273">
        <v>867.6959999999999</v>
      </c>
      <c r="S613" s="273">
        <v>0.0</v>
      </c>
      <c r="T613" s="273">
        <v>1084.62</v>
      </c>
      <c r="U613" s="274" t="s">
        <v>1455</v>
      </c>
      <c r="V613" s="286">
        <v>45359.72642361111</v>
      </c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</row>
    <row r="614">
      <c r="A614" s="276">
        <v>45359.0</v>
      </c>
      <c r="B614" s="252">
        <v>5431129.0</v>
      </c>
      <c r="C614" s="253" t="s">
        <v>82</v>
      </c>
      <c r="D614" s="253" t="s">
        <v>35</v>
      </c>
      <c r="E614" s="252">
        <v>4.284553406E9</v>
      </c>
      <c r="F614" s="253" t="s">
        <v>2348</v>
      </c>
      <c r="G614" s="276">
        <v>45425.0</v>
      </c>
      <c r="H614" s="277">
        <v>45428.0</v>
      </c>
      <c r="I614" s="278">
        <v>3.0</v>
      </c>
      <c r="J614" s="257" t="s">
        <v>87</v>
      </c>
      <c r="K614" s="253" t="s">
        <v>79</v>
      </c>
      <c r="L614" s="253" t="s">
        <v>1752</v>
      </c>
      <c r="M614" s="252">
        <v>2.0</v>
      </c>
      <c r="N614" s="258">
        <v>0.0</v>
      </c>
      <c r="O614" s="259">
        <v>190.59</v>
      </c>
      <c r="P614" s="259">
        <v>152.472</v>
      </c>
      <c r="Q614" s="257">
        <v>0.0</v>
      </c>
      <c r="R614" s="260">
        <v>457.416</v>
      </c>
      <c r="S614" s="260">
        <v>0.0</v>
      </c>
      <c r="T614" s="260">
        <v>571.77</v>
      </c>
      <c r="U614" s="261" t="s">
        <v>1753</v>
      </c>
      <c r="V614" s="279">
        <v>45359.536157407405</v>
      </c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</row>
    <row r="615">
      <c r="A615" s="276">
        <v>45360.0</v>
      </c>
      <c r="B615" s="252">
        <v>5435629.0</v>
      </c>
      <c r="C615" s="253" t="s">
        <v>82</v>
      </c>
      <c r="D615" s="253" t="s">
        <v>35</v>
      </c>
      <c r="E615" s="252">
        <v>4.089823675E9</v>
      </c>
      <c r="F615" s="253" t="s">
        <v>2349</v>
      </c>
      <c r="G615" s="276">
        <v>45362.0</v>
      </c>
      <c r="H615" s="277">
        <v>45364.0</v>
      </c>
      <c r="I615" s="278">
        <v>2.0</v>
      </c>
      <c r="J615" s="257" t="s">
        <v>78</v>
      </c>
      <c r="K615" s="253" t="s">
        <v>79</v>
      </c>
      <c r="L615" s="253" t="s">
        <v>1396</v>
      </c>
      <c r="M615" s="252">
        <v>2.0</v>
      </c>
      <c r="N615" s="258">
        <v>0.0</v>
      </c>
      <c r="O615" s="259">
        <v>164.14</v>
      </c>
      <c r="P615" s="259">
        <v>131.31199999999998</v>
      </c>
      <c r="Q615" s="262">
        <v>0.0</v>
      </c>
      <c r="R615" s="260">
        <v>262.62399999999997</v>
      </c>
      <c r="S615" s="260">
        <v>0.0</v>
      </c>
      <c r="T615" s="260">
        <v>328.28</v>
      </c>
      <c r="U615" s="261" t="s">
        <v>1398</v>
      </c>
      <c r="V615" s="279">
        <v>45360.79106481481</v>
      </c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</row>
    <row r="616">
      <c r="A616" s="280">
        <v>45360.0</v>
      </c>
      <c r="B616" s="264">
        <v>5434960.0</v>
      </c>
      <c r="C616" s="265" t="s">
        <v>75</v>
      </c>
      <c r="D616" s="265" t="s">
        <v>94</v>
      </c>
      <c r="E616" s="264">
        <v>5434960.0</v>
      </c>
      <c r="F616" s="265" t="s">
        <v>2350</v>
      </c>
      <c r="G616" s="280">
        <v>45425.0</v>
      </c>
      <c r="H616" s="281">
        <v>45428.0</v>
      </c>
      <c r="I616" s="282">
        <v>3.0</v>
      </c>
      <c r="J616" s="283" t="s">
        <v>1425</v>
      </c>
      <c r="K616" s="265" t="s">
        <v>1425</v>
      </c>
      <c r="L616" s="265" t="s">
        <v>1425</v>
      </c>
      <c r="M616" s="264">
        <v>1.0</v>
      </c>
      <c r="N616" s="270">
        <v>0.0</v>
      </c>
      <c r="O616" s="271">
        <v>162.0</v>
      </c>
      <c r="P616" s="271">
        <v>160.38</v>
      </c>
      <c r="Q616" s="272" t="e">
        <v>#NUM!</v>
      </c>
      <c r="R616" s="273">
        <v>481.14</v>
      </c>
      <c r="S616" s="273" t="e">
        <v>#NUM!</v>
      </c>
      <c r="T616" s="273">
        <v>486.0</v>
      </c>
      <c r="U616" s="274" t="s">
        <v>1428</v>
      </c>
      <c r="V616" s="286">
        <v>45360.657442129625</v>
      </c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</row>
    <row r="617">
      <c r="A617" s="280">
        <v>45360.0</v>
      </c>
      <c r="B617" s="264">
        <v>5435260.0</v>
      </c>
      <c r="C617" s="265" t="s">
        <v>89</v>
      </c>
      <c r="D617" s="265" t="s">
        <v>35</v>
      </c>
      <c r="E617" s="265">
        <v>4.115195012E9</v>
      </c>
      <c r="F617" s="265" t="s">
        <v>2352</v>
      </c>
      <c r="G617" s="280">
        <v>45453.0</v>
      </c>
      <c r="H617" s="281">
        <v>45456.0</v>
      </c>
      <c r="I617" s="282">
        <v>3.0</v>
      </c>
      <c r="J617" s="283" t="s">
        <v>78</v>
      </c>
      <c r="K617" s="265" t="s">
        <v>79</v>
      </c>
      <c r="L617" s="265" t="s">
        <v>1414</v>
      </c>
      <c r="M617" s="269">
        <v>2.0</v>
      </c>
      <c r="N617" s="270">
        <v>0.0</v>
      </c>
      <c r="O617" s="271">
        <v>0.0</v>
      </c>
      <c r="P617" s="271">
        <v>0.0</v>
      </c>
      <c r="Q617" s="272">
        <v>0.0</v>
      </c>
      <c r="R617" s="273">
        <v>0.0</v>
      </c>
      <c r="S617" s="273">
        <v>0.0</v>
      </c>
      <c r="T617" s="273">
        <v>0.0</v>
      </c>
      <c r="U617" s="274" t="s">
        <v>2353</v>
      </c>
      <c r="V617" s="286">
        <v>45360.71740740741</v>
      </c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</row>
    <row r="618">
      <c r="A618" s="276">
        <v>45361.0</v>
      </c>
      <c r="B618" s="252">
        <v>5439255.0</v>
      </c>
      <c r="C618" s="253" t="s">
        <v>89</v>
      </c>
      <c r="D618" s="253" t="s">
        <v>35</v>
      </c>
      <c r="E618" s="252">
        <v>4.139003561E9</v>
      </c>
      <c r="F618" s="253" t="s">
        <v>2354</v>
      </c>
      <c r="G618" s="276">
        <v>45529.0</v>
      </c>
      <c r="H618" s="277">
        <v>45532.0</v>
      </c>
      <c r="I618" s="278">
        <v>3.0</v>
      </c>
      <c r="J618" s="257" t="s">
        <v>78</v>
      </c>
      <c r="K618" s="253" t="s">
        <v>79</v>
      </c>
      <c r="L618" s="253" t="s">
        <v>1396</v>
      </c>
      <c r="M618" s="275">
        <v>2.0</v>
      </c>
      <c r="N618" s="258">
        <v>0.0</v>
      </c>
      <c r="O618" s="259">
        <v>0.0</v>
      </c>
      <c r="P618" s="259">
        <v>0.0</v>
      </c>
      <c r="Q618" s="262">
        <v>0.0</v>
      </c>
      <c r="R618" s="260">
        <v>0.0</v>
      </c>
      <c r="S618" s="260">
        <v>0.0</v>
      </c>
      <c r="T618" s="260">
        <v>0.0</v>
      </c>
      <c r="U618" s="261" t="s">
        <v>2356</v>
      </c>
      <c r="V618" s="279">
        <v>45361.80354166667</v>
      </c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</row>
    <row r="619">
      <c r="A619" s="276">
        <v>45362.0</v>
      </c>
      <c r="B619" s="252">
        <v>5440963.0</v>
      </c>
      <c r="C619" s="253" t="s">
        <v>82</v>
      </c>
      <c r="D619" s="253" t="s">
        <v>94</v>
      </c>
      <c r="E619" s="252">
        <v>5440963.0</v>
      </c>
      <c r="F619" s="253" t="s">
        <v>2027</v>
      </c>
      <c r="G619" s="276">
        <v>45408.0</v>
      </c>
      <c r="H619" s="277">
        <v>45409.0</v>
      </c>
      <c r="I619" s="278">
        <v>1.0</v>
      </c>
      <c r="J619" s="257" t="s">
        <v>87</v>
      </c>
      <c r="K619" s="253" t="s">
        <v>79</v>
      </c>
      <c r="L619" s="253" t="s">
        <v>1462</v>
      </c>
      <c r="M619" s="252">
        <v>2.0</v>
      </c>
      <c r="N619" s="258">
        <v>0.0</v>
      </c>
      <c r="O619" s="259">
        <v>167.0</v>
      </c>
      <c r="P619" s="259">
        <v>165.33</v>
      </c>
      <c r="Q619" s="257">
        <v>0.0</v>
      </c>
      <c r="R619" s="260">
        <v>165.33</v>
      </c>
      <c r="S619" s="260">
        <v>0.0</v>
      </c>
      <c r="T619" s="260">
        <v>167.0</v>
      </c>
      <c r="U619" s="261" t="s">
        <v>1463</v>
      </c>
      <c r="V619" s="279">
        <v>45362.4234375</v>
      </c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</row>
    <row r="620">
      <c r="A620" s="289">
        <v>45362.0</v>
      </c>
      <c r="B620" s="290">
        <v>5442722.0</v>
      </c>
      <c r="C620" s="291" t="s">
        <v>82</v>
      </c>
      <c r="D620" s="291" t="s">
        <v>35</v>
      </c>
      <c r="E620" s="290">
        <v>4.022109438E9</v>
      </c>
      <c r="F620" s="291" t="s">
        <v>2358</v>
      </c>
      <c r="G620" s="289">
        <v>45436.0</v>
      </c>
      <c r="H620" s="292">
        <v>45439.0</v>
      </c>
      <c r="I620" s="293">
        <v>3.0</v>
      </c>
      <c r="J620" s="294" t="s">
        <v>78</v>
      </c>
      <c r="K620" s="291" t="s">
        <v>79</v>
      </c>
      <c r="L620" s="291" t="s">
        <v>1454</v>
      </c>
      <c r="M620" s="290">
        <v>2.0</v>
      </c>
      <c r="N620" s="295">
        <v>0.0</v>
      </c>
      <c r="O620" s="296">
        <v>232.59</v>
      </c>
      <c r="P620" s="296">
        <v>186.072</v>
      </c>
      <c r="Q620" s="294">
        <v>0.0</v>
      </c>
      <c r="R620" s="297">
        <v>558.216</v>
      </c>
      <c r="S620" s="297">
        <v>0.0</v>
      </c>
      <c r="T620" s="297">
        <v>697.77</v>
      </c>
      <c r="U620" s="298" t="s">
        <v>1455</v>
      </c>
      <c r="V620" s="299">
        <v>45362.81673611111</v>
      </c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</row>
    <row r="621">
      <c r="A621" s="276">
        <v>45364.0</v>
      </c>
      <c r="B621" s="252">
        <v>5447925.0</v>
      </c>
      <c r="C621" s="253" t="s">
        <v>75</v>
      </c>
      <c r="D621" s="253" t="s">
        <v>35</v>
      </c>
      <c r="E621" s="252">
        <v>4.062230116E9</v>
      </c>
      <c r="F621" s="253" t="s">
        <v>2360</v>
      </c>
      <c r="G621" s="276">
        <v>45374.0</v>
      </c>
      <c r="H621" s="277">
        <v>45377.0</v>
      </c>
      <c r="I621" s="278">
        <v>3.0</v>
      </c>
      <c r="J621" s="257" t="s">
        <v>78</v>
      </c>
      <c r="K621" s="253" t="s">
        <v>79</v>
      </c>
      <c r="L621" s="253" t="s">
        <v>1396</v>
      </c>
      <c r="M621" s="252">
        <v>2.0</v>
      </c>
      <c r="N621" s="258">
        <v>0.0</v>
      </c>
      <c r="O621" s="259">
        <v>173.62</v>
      </c>
      <c r="P621" s="259">
        <v>138.89600000000002</v>
      </c>
      <c r="Q621" s="262">
        <v>0.0</v>
      </c>
      <c r="R621" s="260">
        <v>416.68800000000005</v>
      </c>
      <c r="S621" s="260">
        <v>0.0</v>
      </c>
      <c r="T621" s="260">
        <v>520.86</v>
      </c>
      <c r="U621" s="261" t="s">
        <v>1398</v>
      </c>
      <c r="V621" s="279">
        <v>45370.01738425926</v>
      </c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</row>
    <row r="622">
      <c r="A622" s="276">
        <v>45364.0</v>
      </c>
      <c r="B622" s="252">
        <v>5449891.0</v>
      </c>
      <c r="C622" s="253" t="s">
        <v>82</v>
      </c>
      <c r="D622" s="253" t="s">
        <v>35</v>
      </c>
      <c r="E622" s="252">
        <v>4.028230695E9</v>
      </c>
      <c r="F622" s="253" t="s">
        <v>2362</v>
      </c>
      <c r="G622" s="276">
        <v>45392.0</v>
      </c>
      <c r="H622" s="277">
        <v>45393.0</v>
      </c>
      <c r="I622" s="278">
        <v>1.0</v>
      </c>
      <c r="J622" s="257" t="s">
        <v>78</v>
      </c>
      <c r="K622" s="253" t="s">
        <v>79</v>
      </c>
      <c r="L622" s="253" t="s">
        <v>1443</v>
      </c>
      <c r="M622" s="252">
        <v>1.0</v>
      </c>
      <c r="N622" s="258">
        <v>0.0</v>
      </c>
      <c r="O622" s="259">
        <v>182.33</v>
      </c>
      <c r="P622" s="259">
        <v>145.864</v>
      </c>
      <c r="Q622" s="262">
        <v>0.0</v>
      </c>
      <c r="R622" s="260">
        <v>145.864</v>
      </c>
      <c r="S622" s="260">
        <v>0.0</v>
      </c>
      <c r="T622" s="260">
        <v>385.39</v>
      </c>
      <c r="U622" s="261" t="s">
        <v>1444</v>
      </c>
      <c r="V622" s="279">
        <v>45364.84240740741</v>
      </c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</row>
    <row r="623">
      <c r="A623" s="289">
        <v>45364.0</v>
      </c>
      <c r="B623" s="290">
        <v>5449891.0</v>
      </c>
      <c r="C623" s="291" t="s">
        <v>89</v>
      </c>
      <c r="D623" s="291" t="s">
        <v>35</v>
      </c>
      <c r="E623" s="290">
        <v>4.028230695E9</v>
      </c>
      <c r="F623" s="291" t="s">
        <v>2362</v>
      </c>
      <c r="G623" s="289">
        <v>45392.0</v>
      </c>
      <c r="H623" s="292">
        <v>45393.0</v>
      </c>
      <c r="I623" s="293">
        <v>1.0</v>
      </c>
      <c r="J623" s="294" t="s">
        <v>111</v>
      </c>
      <c r="K623" s="291" t="s">
        <v>79</v>
      </c>
      <c r="L623" s="291" t="s">
        <v>1443</v>
      </c>
      <c r="M623" s="290">
        <v>1.0</v>
      </c>
      <c r="N623" s="295">
        <v>0.0</v>
      </c>
      <c r="O623" s="296">
        <v>0.0</v>
      </c>
      <c r="P623" s="296">
        <v>0.0</v>
      </c>
      <c r="Q623" s="301">
        <v>0.0</v>
      </c>
      <c r="R623" s="297">
        <v>0.0</v>
      </c>
      <c r="S623" s="297">
        <v>0.0</v>
      </c>
      <c r="T623" s="297">
        <v>0.0</v>
      </c>
      <c r="U623" s="298" t="s">
        <v>2365</v>
      </c>
      <c r="V623" s="299">
        <v>45364.84240740741</v>
      </c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</row>
    <row r="624">
      <c r="A624" s="276">
        <v>45364.0</v>
      </c>
      <c r="B624" s="252">
        <v>5450101.0</v>
      </c>
      <c r="C624" s="253" t="s">
        <v>82</v>
      </c>
      <c r="D624" s="253" t="s">
        <v>35</v>
      </c>
      <c r="E624" s="252">
        <v>4.243026401E9</v>
      </c>
      <c r="F624" s="253" t="s">
        <v>2367</v>
      </c>
      <c r="G624" s="276">
        <v>45558.0</v>
      </c>
      <c r="H624" s="277">
        <v>45564.0</v>
      </c>
      <c r="I624" s="278">
        <v>6.0</v>
      </c>
      <c r="J624" s="257" t="s">
        <v>78</v>
      </c>
      <c r="K624" s="253" t="s">
        <v>79</v>
      </c>
      <c r="L624" s="253" t="s">
        <v>1396</v>
      </c>
      <c r="M624" s="252">
        <v>2.0</v>
      </c>
      <c r="N624" s="258">
        <v>0.0</v>
      </c>
      <c r="O624" s="259">
        <v>142.52</v>
      </c>
      <c r="P624" s="259">
        <v>114.01600000000002</v>
      </c>
      <c r="Q624" s="262">
        <v>0.0</v>
      </c>
      <c r="R624" s="260">
        <v>684.096</v>
      </c>
      <c r="S624" s="260">
        <v>0.0</v>
      </c>
      <c r="T624" s="260">
        <v>855.12</v>
      </c>
      <c r="U624" s="261" t="s">
        <v>1398</v>
      </c>
      <c r="V624" s="279">
        <v>45364.89246527778</v>
      </c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</row>
    <row r="625">
      <c r="A625" s="280">
        <v>45365.0</v>
      </c>
      <c r="B625" s="264">
        <v>5452741.0</v>
      </c>
      <c r="C625" s="265" t="s">
        <v>82</v>
      </c>
      <c r="D625" s="265" t="s">
        <v>94</v>
      </c>
      <c r="E625" s="264">
        <v>5452741.0</v>
      </c>
      <c r="F625" s="265" t="s">
        <v>2370</v>
      </c>
      <c r="G625" s="280">
        <v>45365.0</v>
      </c>
      <c r="H625" s="281">
        <v>45366.0</v>
      </c>
      <c r="I625" s="282">
        <v>1.0</v>
      </c>
      <c r="J625" s="283" t="s">
        <v>78</v>
      </c>
      <c r="K625" s="265" t="s">
        <v>79</v>
      </c>
      <c r="L625" s="265" t="s">
        <v>1811</v>
      </c>
      <c r="M625" s="264">
        <v>2.0</v>
      </c>
      <c r="N625" s="270">
        <v>0.0</v>
      </c>
      <c r="O625" s="271">
        <v>203.0</v>
      </c>
      <c r="P625" s="271">
        <v>200.97</v>
      </c>
      <c r="Q625" s="283">
        <v>0.0</v>
      </c>
      <c r="R625" s="273">
        <v>200.97</v>
      </c>
      <c r="S625" s="273">
        <v>0.0</v>
      </c>
      <c r="T625" s="273">
        <v>203.0</v>
      </c>
      <c r="U625" s="274" t="s">
        <v>1812</v>
      </c>
      <c r="V625" s="286">
        <v>45365.67586805555</v>
      </c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</row>
    <row r="626">
      <c r="A626" s="276">
        <v>45365.0</v>
      </c>
      <c r="B626" s="252">
        <v>5453597.0</v>
      </c>
      <c r="C626" s="253" t="s">
        <v>75</v>
      </c>
      <c r="D626" s="253" t="s">
        <v>94</v>
      </c>
      <c r="E626" s="252">
        <v>5453597.0</v>
      </c>
      <c r="F626" s="253" t="s">
        <v>2372</v>
      </c>
      <c r="G626" s="276">
        <v>45365.0</v>
      </c>
      <c r="H626" s="277">
        <v>45368.0</v>
      </c>
      <c r="I626" s="278">
        <v>3.0</v>
      </c>
      <c r="J626" s="257" t="s">
        <v>87</v>
      </c>
      <c r="K626" s="253" t="s">
        <v>79</v>
      </c>
      <c r="L626" s="253" t="s">
        <v>1425</v>
      </c>
      <c r="M626" s="252">
        <v>2.0</v>
      </c>
      <c r="N626" s="258">
        <v>0.0</v>
      </c>
      <c r="O626" s="259">
        <v>182.0</v>
      </c>
      <c r="P626" s="259">
        <v>180.18</v>
      </c>
      <c r="Q626" s="262">
        <v>0.0</v>
      </c>
      <c r="R626" s="260">
        <v>540.54</v>
      </c>
      <c r="S626" s="260">
        <v>0.0</v>
      </c>
      <c r="T626" s="260">
        <v>546.0</v>
      </c>
      <c r="U626" s="261" t="s">
        <v>1428</v>
      </c>
      <c r="V626" s="279">
        <v>45368.51462962963</v>
      </c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</row>
    <row r="627">
      <c r="A627" s="280">
        <v>45366.0</v>
      </c>
      <c r="B627" s="264">
        <v>5456521.0</v>
      </c>
      <c r="C627" s="265" t="s">
        <v>82</v>
      </c>
      <c r="D627" s="265" t="s">
        <v>35</v>
      </c>
      <c r="E627" s="265">
        <v>4.279581315E9</v>
      </c>
      <c r="F627" s="265" t="s">
        <v>2373</v>
      </c>
      <c r="G627" s="280">
        <v>45373.0</v>
      </c>
      <c r="H627" s="281">
        <v>45374.0</v>
      </c>
      <c r="I627" s="282">
        <v>1.0</v>
      </c>
      <c r="J627" s="283" t="s">
        <v>78</v>
      </c>
      <c r="K627" s="265" t="s">
        <v>79</v>
      </c>
      <c r="L627" s="265" t="s">
        <v>1396</v>
      </c>
      <c r="M627" s="269">
        <v>2.0</v>
      </c>
      <c r="N627" s="270">
        <v>0.0</v>
      </c>
      <c r="O627" s="271">
        <v>175.72</v>
      </c>
      <c r="P627" s="271">
        <v>140.576</v>
      </c>
      <c r="Q627" s="272">
        <v>0.0</v>
      </c>
      <c r="R627" s="273">
        <v>140.576</v>
      </c>
      <c r="S627" s="273">
        <v>0.0</v>
      </c>
      <c r="T627" s="273">
        <v>175.72</v>
      </c>
      <c r="U627" s="274" t="s">
        <v>1398</v>
      </c>
      <c r="V627" s="286">
        <v>45366.765335648146</v>
      </c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</row>
    <row r="628">
      <c r="A628" s="280">
        <v>45366.0</v>
      </c>
      <c r="B628" s="264">
        <v>5457104.0</v>
      </c>
      <c r="C628" s="265" t="s">
        <v>82</v>
      </c>
      <c r="D628" s="265" t="s">
        <v>35</v>
      </c>
      <c r="E628" s="264">
        <v>4.279509511E9</v>
      </c>
      <c r="F628" s="265" t="s">
        <v>2375</v>
      </c>
      <c r="G628" s="280">
        <v>45383.0</v>
      </c>
      <c r="H628" s="281">
        <v>45385.0</v>
      </c>
      <c r="I628" s="282">
        <v>2.0</v>
      </c>
      <c r="J628" s="283" t="s">
        <v>78</v>
      </c>
      <c r="K628" s="265" t="s">
        <v>79</v>
      </c>
      <c r="L628" s="265" t="s">
        <v>1414</v>
      </c>
      <c r="M628" s="269">
        <v>2.0</v>
      </c>
      <c r="N628" s="270">
        <v>0.0</v>
      </c>
      <c r="O628" s="271">
        <v>187.1</v>
      </c>
      <c r="P628" s="271">
        <v>149.68</v>
      </c>
      <c r="Q628" s="272">
        <v>0.0</v>
      </c>
      <c r="R628" s="273">
        <v>299.36</v>
      </c>
      <c r="S628" s="273">
        <v>0.0</v>
      </c>
      <c r="T628" s="273">
        <v>374.2</v>
      </c>
      <c r="U628" s="274" t="s">
        <v>1415</v>
      </c>
      <c r="V628" s="286">
        <v>45366.908368055556</v>
      </c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</row>
    <row r="629">
      <c r="A629" s="276">
        <v>45366.0</v>
      </c>
      <c r="B629" s="252">
        <v>5455738.0</v>
      </c>
      <c r="C629" s="253" t="s">
        <v>82</v>
      </c>
      <c r="D629" s="253" t="s">
        <v>35</v>
      </c>
      <c r="E629" s="252">
        <v>4.058666155E9</v>
      </c>
      <c r="F629" s="253" t="s">
        <v>2378</v>
      </c>
      <c r="G629" s="276">
        <v>45458.0</v>
      </c>
      <c r="H629" s="277">
        <v>45460.0</v>
      </c>
      <c r="I629" s="278">
        <v>2.0</v>
      </c>
      <c r="J629" s="257" t="s">
        <v>87</v>
      </c>
      <c r="K629" s="253" t="s">
        <v>79</v>
      </c>
      <c r="L629" s="253" t="s">
        <v>1396</v>
      </c>
      <c r="M629" s="252">
        <v>2.0</v>
      </c>
      <c r="N629" s="258">
        <v>0.0</v>
      </c>
      <c r="O629" s="259">
        <v>115.02</v>
      </c>
      <c r="P629" s="259">
        <v>92.016</v>
      </c>
      <c r="Q629" s="262">
        <v>0.0</v>
      </c>
      <c r="R629" s="260">
        <v>184.032</v>
      </c>
      <c r="S629" s="260">
        <v>0.0</v>
      </c>
      <c r="T629" s="260">
        <v>230.04</v>
      </c>
      <c r="U629" s="261" t="s">
        <v>1398</v>
      </c>
      <c r="V629" s="279">
        <v>45366.58200231481</v>
      </c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</row>
    <row r="630">
      <c r="A630" s="276">
        <v>45367.0</v>
      </c>
      <c r="B630" s="252">
        <v>5460473.0</v>
      </c>
      <c r="C630" s="253" t="s">
        <v>82</v>
      </c>
      <c r="D630" s="253" t="s">
        <v>35</v>
      </c>
      <c r="E630" s="252">
        <v>4.27080262E9</v>
      </c>
      <c r="F630" s="253" t="s">
        <v>2380</v>
      </c>
      <c r="G630" s="276">
        <v>45395.0</v>
      </c>
      <c r="H630" s="277">
        <v>45397.0</v>
      </c>
      <c r="I630" s="278">
        <v>2.0</v>
      </c>
      <c r="J630" s="257" t="s">
        <v>111</v>
      </c>
      <c r="K630" s="253" t="s">
        <v>79</v>
      </c>
      <c r="L630" s="253" t="s">
        <v>1400</v>
      </c>
      <c r="M630" s="275">
        <v>2.0</v>
      </c>
      <c r="N630" s="258">
        <v>0.0</v>
      </c>
      <c r="O630" s="259">
        <v>242.44</v>
      </c>
      <c r="P630" s="259">
        <v>193.952</v>
      </c>
      <c r="Q630" s="262">
        <v>0.0</v>
      </c>
      <c r="R630" s="260">
        <v>387.904</v>
      </c>
      <c r="S630" s="260">
        <v>0.0</v>
      </c>
      <c r="T630" s="260">
        <v>484.88</v>
      </c>
      <c r="U630" s="261" t="s">
        <v>1401</v>
      </c>
      <c r="V630" s="279">
        <v>45367.90629629629</v>
      </c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</row>
    <row r="631">
      <c r="A631" s="276">
        <v>45368.0</v>
      </c>
      <c r="B631" s="252">
        <v>5462245.0</v>
      </c>
      <c r="C631" s="253" t="s">
        <v>82</v>
      </c>
      <c r="D631" s="253" t="s">
        <v>35</v>
      </c>
      <c r="E631" s="252">
        <v>4.121642733E9</v>
      </c>
      <c r="F631" s="253" t="s">
        <v>2382</v>
      </c>
      <c r="G631" s="276">
        <v>45383.0</v>
      </c>
      <c r="H631" s="277">
        <v>45384.0</v>
      </c>
      <c r="I631" s="278">
        <v>1.0</v>
      </c>
      <c r="J631" s="257" t="s">
        <v>78</v>
      </c>
      <c r="K631" s="253" t="s">
        <v>79</v>
      </c>
      <c r="L631" s="253" t="s">
        <v>1414</v>
      </c>
      <c r="M631" s="275">
        <v>2.0</v>
      </c>
      <c r="N631" s="258">
        <v>0.0</v>
      </c>
      <c r="O631" s="259">
        <v>207.62</v>
      </c>
      <c r="P631" s="259">
        <v>166.096</v>
      </c>
      <c r="Q631" s="262">
        <v>0.0</v>
      </c>
      <c r="R631" s="260">
        <v>166.096</v>
      </c>
      <c r="S631" s="260">
        <v>0.0</v>
      </c>
      <c r="T631" s="173">
        <v>207.62</v>
      </c>
      <c r="U631" s="174" t="s">
        <v>1415</v>
      </c>
      <c r="V631" s="288">
        <v>45368.55988425926</v>
      </c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</row>
    <row r="632">
      <c r="A632" s="280">
        <v>45368.0</v>
      </c>
      <c r="B632" s="264">
        <v>5463953.0</v>
      </c>
      <c r="C632" s="265" t="s">
        <v>82</v>
      </c>
      <c r="D632" s="265" t="s">
        <v>35</v>
      </c>
      <c r="E632" s="264">
        <v>4.121649286E9</v>
      </c>
      <c r="F632" s="265" t="s">
        <v>2384</v>
      </c>
      <c r="G632" s="280">
        <v>45384.0</v>
      </c>
      <c r="H632" s="281">
        <v>45386.0</v>
      </c>
      <c r="I632" s="282">
        <v>2.0</v>
      </c>
      <c r="J632" s="283" t="s">
        <v>114</v>
      </c>
      <c r="K632" s="265" t="s">
        <v>79</v>
      </c>
      <c r="L632" s="265" t="s">
        <v>1396</v>
      </c>
      <c r="M632" s="264">
        <v>2.0</v>
      </c>
      <c r="N632" s="270">
        <v>0.0</v>
      </c>
      <c r="O632" s="271">
        <v>190.45</v>
      </c>
      <c r="P632" s="271">
        <v>152.35999999999999</v>
      </c>
      <c r="Q632" s="272">
        <v>0.0</v>
      </c>
      <c r="R632" s="273">
        <v>304.71999999999997</v>
      </c>
      <c r="S632" s="273">
        <v>0.0</v>
      </c>
      <c r="T632" s="273">
        <v>380.9</v>
      </c>
      <c r="U632" s="274" t="s">
        <v>1398</v>
      </c>
      <c r="V632" s="284">
        <v>45368.89461805555</v>
      </c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</row>
    <row r="633">
      <c r="A633" s="280">
        <v>45368.0</v>
      </c>
      <c r="B633" s="264">
        <v>5463480.0</v>
      </c>
      <c r="C633" s="265" t="s">
        <v>82</v>
      </c>
      <c r="D633" s="265" t="s">
        <v>35</v>
      </c>
      <c r="E633" s="264">
        <v>4.121773158E9</v>
      </c>
      <c r="F633" s="265" t="s">
        <v>2385</v>
      </c>
      <c r="G633" s="280">
        <v>45416.0</v>
      </c>
      <c r="H633" s="281">
        <v>45420.0</v>
      </c>
      <c r="I633" s="282">
        <v>4.0</v>
      </c>
      <c r="J633" s="283" t="s">
        <v>78</v>
      </c>
      <c r="K633" s="265" t="s">
        <v>79</v>
      </c>
      <c r="L633" s="265" t="s">
        <v>1400</v>
      </c>
      <c r="M633" s="269">
        <v>2.0</v>
      </c>
      <c r="N633" s="270">
        <v>0.0</v>
      </c>
      <c r="O633" s="271">
        <v>219.23</v>
      </c>
      <c r="P633" s="271">
        <v>175.38400000000001</v>
      </c>
      <c r="Q633" s="272">
        <v>0.0</v>
      </c>
      <c r="R633" s="273">
        <v>701.5360000000001</v>
      </c>
      <c r="S633" s="273">
        <v>0.0</v>
      </c>
      <c r="T633" s="273">
        <v>876.92</v>
      </c>
      <c r="U633" s="274" t="s">
        <v>1401</v>
      </c>
      <c r="V633" s="286">
        <v>45368.809849537036</v>
      </c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</row>
    <row r="634">
      <c r="A634" s="276">
        <v>45368.0</v>
      </c>
      <c r="B634" s="252">
        <v>5463788.0</v>
      </c>
      <c r="C634" s="253" t="s">
        <v>82</v>
      </c>
      <c r="D634" s="253" t="s">
        <v>35</v>
      </c>
      <c r="E634" s="252">
        <v>4.033324598E9</v>
      </c>
      <c r="F634" s="253" t="s">
        <v>2387</v>
      </c>
      <c r="G634" s="276">
        <v>45448.0</v>
      </c>
      <c r="H634" s="277">
        <v>45450.0</v>
      </c>
      <c r="I634" s="278">
        <v>2.0</v>
      </c>
      <c r="J634" s="257" t="s">
        <v>78</v>
      </c>
      <c r="K634" s="253" t="s">
        <v>79</v>
      </c>
      <c r="L634" s="253" t="s">
        <v>1414</v>
      </c>
      <c r="M634" s="252">
        <v>3.0</v>
      </c>
      <c r="N634" s="258">
        <v>0.0</v>
      </c>
      <c r="O634" s="259">
        <v>122.69</v>
      </c>
      <c r="P634" s="259">
        <v>98.152</v>
      </c>
      <c r="Q634" s="262">
        <v>0.0</v>
      </c>
      <c r="R634" s="260">
        <v>196.304</v>
      </c>
      <c r="S634" s="260">
        <v>0.0</v>
      </c>
      <c r="T634" s="260">
        <v>245.38</v>
      </c>
      <c r="U634" s="261" t="s">
        <v>1415</v>
      </c>
      <c r="V634" s="279">
        <v>45368.86050925926</v>
      </c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</row>
    <row r="635">
      <c r="A635" s="210">
        <v>45369.0</v>
      </c>
      <c r="B635" s="166">
        <v>5465521.0</v>
      </c>
      <c r="C635" s="166" t="s">
        <v>89</v>
      </c>
      <c r="D635" s="166" t="s">
        <v>35</v>
      </c>
      <c r="E635" s="166">
        <v>4.039075361E9</v>
      </c>
      <c r="F635" s="166" t="s">
        <v>2388</v>
      </c>
      <c r="G635" s="210">
        <v>45388.0</v>
      </c>
      <c r="H635" s="287">
        <v>45389.0</v>
      </c>
      <c r="I635" s="168">
        <v>1.0</v>
      </c>
      <c r="J635" s="169" t="s">
        <v>87</v>
      </c>
      <c r="K635" s="166" t="s">
        <v>79</v>
      </c>
      <c r="L635" s="166" t="s">
        <v>1400</v>
      </c>
      <c r="M635" s="166">
        <v>2.0</v>
      </c>
      <c r="N635" s="170">
        <v>0.0</v>
      </c>
      <c r="O635" s="171">
        <v>0.0</v>
      </c>
      <c r="P635" s="171">
        <v>0.0</v>
      </c>
      <c r="Q635" s="172">
        <v>0.0</v>
      </c>
      <c r="R635" s="173">
        <v>0.0</v>
      </c>
      <c r="S635" s="173">
        <v>0.0</v>
      </c>
      <c r="T635" s="260">
        <v>0.0</v>
      </c>
      <c r="U635" s="261" t="s">
        <v>2390</v>
      </c>
      <c r="V635" s="279">
        <v>45369.47369212963</v>
      </c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</row>
    <row r="636">
      <c r="A636" s="276">
        <v>45369.0</v>
      </c>
      <c r="B636" s="252">
        <v>5465625.0</v>
      </c>
      <c r="C636" s="253" t="s">
        <v>82</v>
      </c>
      <c r="D636" s="253" t="s">
        <v>35</v>
      </c>
      <c r="E636" s="252">
        <v>4.082883124E9</v>
      </c>
      <c r="F636" s="253" t="s">
        <v>2392</v>
      </c>
      <c r="G636" s="276">
        <v>45413.0</v>
      </c>
      <c r="H636" s="277">
        <v>45414.0</v>
      </c>
      <c r="I636" s="278">
        <v>1.0</v>
      </c>
      <c r="J636" s="257" t="s">
        <v>78</v>
      </c>
      <c r="K636" s="253" t="s">
        <v>79</v>
      </c>
      <c r="L636" s="253" t="s">
        <v>1396</v>
      </c>
      <c r="M636" s="252">
        <v>1.0</v>
      </c>
      <c r="N636" s="258">
        <v>0.0</v>
      </c>
      <c r="O636" s="259">
        <v>183.4</v>
      </c>
      <c r="P636" s="259">
        <v>146.72</v>
      </c>
      <c r="Q636" s="262">
        <v>0.0</v>
      </c>
      <c r="R636" s="260">
        <v>146.72</v>
      </c>
      <c r="S636" s="260">
        <v>0.0</v>
      </c>
      <c r="T636" s="260">
        <v>183.4</v>
      </c>
      <c r="U636" s="253" t="s">
        <v>1398</v>
      </c>
      <c r="V636" s="279">
        <v>45369.499375</v>
      </c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</row>
    <row r="637">
      <c r="A637" s="276">
        <v>45369.0</v>
      </c>
      <c r="B637" s="252">
        <v>5466811.0</v>
      </c>
      <c r="C637" s="253" t="s">
        <v>82</v>
      </c>
      <c r="D637" s="253" t="s">
        <v>35</v>
      </c>
      <c r="E637" s="252">
        <v>4.039245255E9</v>
      </c>
      <c r="F637" s="253" t="s">
        <v>2394</v>
      </c>
      <c r="G637" s="276">
        <v>45443.0</v>
      </c>
      <c r="H637" s="277">
        <v>45446.0</v>
      </c>
      <c r="I637" s="278">
        <v>3.0</v>
      </c>
      <c r="J637" s="257" t="s">
        <v>78</v>
      </c>
      <c r="K637" s="253" t="s">
        <v>79</v>
      </c>
      <c r="L637" s="253" t="s">
        <v>1396</v>
      </c>
      <c r="M637" s="275">
        <v>2.0</v>
      </c>
      <c r="N637" s="258">
        <v>0.0</v>
      </c>
      <c r="O637" s="259">
        <v>135.79666666666665</v>
      </c>
      <c r="P637" s="259">
        <v>108.63733333333333</v>
      </c>
      <c r="Q637" s="262">
        <v>0.0</v>
      </c>
      <c r="R637" s="260">
        <v>325.91200000000003</v>
      </c>
      <c r="S637" s="260">
        <v>0.0</v>
      </c>
      <c r="T637" s="273">
        <v>407.39</v>
      </c>
      <c r="U637" s="274" t="s">
        <v>1398</v>
      </c>
      <c r="V637" s="284">
        <v>45369.74732638889</v>
      </c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</row>
    <row r="638">
      <c r="A638" s="276">
        <v>45370.0</v>
      </c>
      <c r="B638" s="252">
        <v>5468320.0</v>
      </c>
      <c r="C638" s="253" t="s">
        <v>82</v>
      </c>
      <c r="D638" s="253" t="s">
        <v>35</v>
      </c>
      <c r="E638" s="252">
        <v>4.023450988E9</v>
      </c>
      <c r="F638" s="253" t="s">
        <v>2396</v>
      </c>
      <c r="G638" s="276">
        <v>45387.0</v>
      </c>
      <c r="H638" s="277">
        <v>45388.0</v>
      </c>
      <c r="I638" s="278">
        <v>1.0</v>
      </c>
      <c r="J638" s="257" t="s">
        <v>78</v>
      </c>
      <c r="K638" s="253" t="s">
        <v>79</v>
      </c>
      <c r="L638" s="253" t="s">
        <v>1411</v>
      </c>
      <c r="M638" s="252">
        <v>3.0</v>
      </c>
      <c r="N638" s="258">
        <v>0.0</v>
      </c>
      <c r="O638" s="259">
        <v>255.96</v>
      </c>
      <c r="P638" s="259">
        <v>204.76800000000003</v>
      </c>
      <c r="Q638" s="262">
        <v>0.0</v>
      </c>
      <c r="R638" s="260">
        <v>204.76800000000003</v>
      </c>
      <c r="S638" s="260">
        <v>0.0</v>
      </c>
      <c r="T638" s="260">
        <v>255.96</v>
      </c>
      <c r="U638" s="261" t="s">
        <v>1412</v>
      </c>
      <c r="V638" s="279">
        <v>45370.28130787037</v>
      </c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</row>
    <row r="639">
      <c r="A639" s="276">
        <v>45370.0</v>
      </c>
      <c r="B639" s="252">
        <v>5470382.0</v>
      </c>
      <c r="C639" s="253" t="s">
        <v>82</v>
      </c>
      <c r="D639" s="253" t="s">
        <v>35</v>
      </c>
      <c r="E639" s="252">
        <v>4.290800256E9</v>
      </c>
      <c r="F639" s="253" t="s">
        <v>2398</v>
      </c>
      <c r="G639" s="276">
        <v>45392.0</v>
      </c>
      <c r="H639" s="277">
        <v>45396.0</v>
      </c>
      <c r="I639" s="278">
        <v>4.0</v>
      </c>
      <c r="J639" s="257" t="s">
        <v>91</v>
      </c>
      <c r="K639" s="253" t="s">
        <v>79</v>
      </c>
      <c r="L639" s="253" t="s">
        <v>1414</v>
      </c>
      <c r="M639" s="252">
        <v>3.0</v>
      </c>
      <c r="N639" s="258">
        <v>0.0</v>
      </c>
      <c r="O639" s="259">
        <v>441.43</v>
      </c>
      <c r="P639" s="259">
        <v>353.144</v>
      </c>
      <c r="Q639" s="262">
        <v>0.0</v>
      </c>
      <c r="R639" s="260">
        <v>1412.576</v>
      </c>
      <c r="S639" s="260">
        <v>0.0</v>
      </c>
      <c r="T639" s="260">
        <v>1765.72</v>
      </c>
      <c r="U639" s="261" t="s">
        <v>1415</v>
      </c>
      <c r="V639" s="279">
        <v>45370.72930555556</v>
      </c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</row>
    <row r="640">
      <c r="A640" s="210">
        <v>45370.0</v>
      </c>
      <c r="B640" s="166">
        <v>5470026.0</v>
      </c>
      <c r="C640" s="166" t="s">
        <v>82</v>
      </c>
      <c r="D640" s="166" t="s">
        <v>35</v>
      </c>
      <c r="E640" s="166">
        <v>4.254471937E9</v>
      </c>
      <c r="F640" s="166" t="s">
        <v>2399</v>
      </c>
      <c r="G640" s="210">
        <v>45446.0</v>
      </c>
      <c r="H640" s="287">
        <v>45451.0</v>
      </c>
      <c r="I640" s="168">
        <v>5.0</v>
      </c>
      <c r="J640" s="169" t="s">
        <v>78</v>
      </c>
      <c r="K640" s="166" t="s">
        <v>79</v>
      </c>
      <c r="L640" s="166" t="s">
        <v>1411</v>
      </c>
      <c r="M640" s="166">
        <v>2.0</v>
      </c>
      <c r="N640" s="170">
        <v>0.0</v>
      </c>
      <c r="O640" s="171">
        <v>153.04000000000002</v>
      </c>
      <c r="P640" s="171">
        <v>122.43200000000002</v>
      </c>
      <c r="Q640" s="172">
        <v>0.0</v>
      </c>
      <c r="R640" s="173">
        <v>612.1600000000001</v>
      </c>
      <c r="S640" s="173">
        <v>0.0</v>
      </c>
      <c r="T640" s="173">
        <v>765.2</v>
      </c>
      <c r="U640" s="201" t="s">
        <v>1412</v>
      </c>
      <c r="V640" s="288">
        <v>45370.66118055556</v>
      </c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</row>
    <row r="641">
      <c r="A641" s="210">
        <v>45370.0</v>
      </c>
      <c r="B641" s="166">
        <v>5469937.0</v>
      </c>
      <c r="C641" s="166" t="s">
        <v>82</v>
      </c>
      <c r="D641" s="166" t="s">
        <v>35</v>
      </c>
      <c r="E641" s="166">
        <v>4.030176542E9</v>
      </c>
      <c r="F641" s="166" t="s">
        <v>2400</v>
      </c>
      <c r="G641" s="210">
        <v>45546.0</v>
      </c>
      <c r="H641" s="287">
        <v>45549.0</v>
      </c>
      <c r="I641" s="168">
        <v>3.0</v>
      </c>
      <c r="J641" s="169" t="s">
        <v>114</v>
      </c>
      <c r="K641" s="166" t="s">
        <v>79</v>
      </c>
      <c r="L641" s="166" t="s">
        <v>1400</v>
      </c>
      <c r="M641" s="166">
        <v>2.0</v>
      </c>
      <c r="N641" s="170">
        <v>0.0</v>
      </c>
      <c r="O641" s="171">
        <v>181.17</v>
      </c>
      <c r="P641" s="171">
        <v>144.936</v>
      </c>
      <c r="Q641" s="172">
        <v>0.0</v>
      </c>
      <c r="R641" s="173">
        <v>434.808</v>
      </c>
      <c r="S641" s="173">
        <v>0.0</v>
      </c>
      <c r="T641" s="173">
        <v>543.51</v>
      </c>
      <c r="U641" s="174" t="s">
        <v>1401</v>
      </c>
      <c r="V641" s="288">
        <v>45370.64381944445</v>
      </c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</row>
    <row r="642">
      <c r="A642" s="280">
        <v>45371.0</v>
      </c>
      <c r="B642" s="264">
        <v>5472767.0</v>
      </c>
      <c r="C642" s="265" t="s">
        <v>82</v>
      </c>
      <c r="D642" s="265" t="s">
        <v>35</v>
      </c>
      <c r="E642" s="264">
        <v>4.249858387E9</v>
      </c>
      <c r="F642" s="265" t="s">
        <v>2402</v>
      </c>
      <c r="G642" s="280">
        <v>45387.0</v>
      </c>
      <c r="H642" s="281">
        <v>45388.0</v>
      </c>
      <c r="I642" s="282">
        <v>1.0</v>
      </c>
      <c r="J642" s="283" t="s">
        <v>87</v>
      </c>
      <c r="K642" s="265" t="s">
        <v>79</v>
      </c>
      <c r="L642" s="265" t="s">
        <v>1396</v>
      </c>
      <c r="M642" s="264">
        <v>2.0</v>
      </c>
      <c r="N642" s="270">
        <v>0.0</v>
      </c>
      <c r="O642" s="271">
        <v>160.86</v>
      </c>
      <c r="P642" s="271">
        <v>128.68800000000002</v>
      </c>
      <c r="Q642" s="272">
        <v>0.0</v>
      </c>
      <c r="R642" s="273">
        <v>128.68800000000002</v>
      </c>
      <c r="S642" s="273">
        <v>0.0</v>
      </c>
      <c r="T642" s="260">
        <v>160.86</v>
      </c>
      <c r="U642" s="261" t="s">
        <v>1398</v>
      </c>
      <c r="V642" s="279">
        <v>45371.45287037037</v>
      </c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</row>
    <row r="643">
      <c r="A643" s="276">
        <v>45372.0</v>
      </c>
      <c r="B643" s="252">
        <v>5478010.0</v>
      </c>
      <c r="C643" s="253" t="s">
        <v>82</v>
      </c>
      <c r="D643" s="253" t="s">
        <v>94</v>
      </c>
      <c r="E643" s="252">
        <v>5478010.0</v>
      </c>
      <c r="F643" s="253" t="s">
        <v>2405</v>
      </c>
      <c r="G643" s="276">
        <v>45374.0</v>
      </c>
      <c r="H643" s="277">
        <v>45375.0</v>
      </c>
      <c r="I643" s="278">
        <v>1.0</v>
      </c>
      <c r="J643" s="257" t="s">
        <v>114</v>
      </c>
      <c r="K643" s="253" t="s">
        <v>79</v>
      </c>
      <c r="L643" s="253" t="s">
        <v>1462</v>
      </c>
      <c r="M643" s="252">
        <v>2.0</v>
      </c>
      <c r="N643" s="258">
        <v>0.0</v>
      </c>
      <c r="O643" s="259">
        <v>257.0</v>
      </c>
      <c r="P643" s="259">
        <v>254.43</v>
      </c>
      <c r="Q643" s="262">
        <v>0.0</v>
      </c>
      <c r="R643" s="260">
        <v>254.43</v>
      </c>
      <c r="S643" s="260">
        <v>0.0</v>
      </c>
      <c r="T643" s="260">
        <v>257.0</v>
      </c>
      <c r="U643" s="261" t="s">
        <v>1463</v>
      </c>
      <c r="V643" s="279">
        <v>45372.82650462963</v>
      </c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</row>
    <row r="644">
      <c r="A644" s="280">
        <v>45372.0</v>
      </c>
      <c r="B644" s="264">
        <v>5477249.0</v>
      </c>
      <c r="C644" s="265" t="s">
        <v>89</v>
      </c>
      <c r="D644" s="265" t="s">
        <v>35</v>
      </c>
      <c r="E644" s="264">
        <v>4.081551724E9</v>
      </c>
      <c r="F644" s="265" t="s">
        <v>2407</v>
      </c>
      <c r="G644" s="280">
        <v>45416.0</v>
      </c>
      <c r="H644" s="281">
        <v>45418.0</v>
      </c>
      <c r="I644" s="282">
        <v>2.0</v>
      </c>
      <c r="J644" s="283" t="s">
        <v>91</v>
      </c>
      <c r="K644" s="265" t="s">
        <v>79</v>
      </c>
      <c r="L644" s="265" t="s">
        <v>1411</v>
      </c>
      <c r="M644" s="264">
        <v>3.0</v>
      </c>
      <c r="N644" s="270">
        <v>0.0</v>
      </c>
      <c r="O644" s="271">
        <v>0.0</v>
      </c>
      <c r="P644" s="271">
        <v>0.0</v>
      </c>
      <c r="Q644" s="272">
        <v>0.0</v>
      </c>
      <c r="R644" s="273">
        <v>0.0</v>
      </c>
      <c r="S644" s="273">
        <v>0.0</v>
      </c>
      <c r="T644" s="273">
        <v>0.0</v>
      </c>
      <c r="U644" s="274" t="s">
        <v>2317</v>
      </c>
      <c r="V644" s="286">
        <v>45372.65975694444</v>
      </c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</row>
    <row r="645">
      <c r="A645" s="280">
        <v>45372.0</v>
      </c>
      <c r="B645" s="264">
        <v>5476582.0</v>
      </c>
      <c r="C645" s="265" t="s">
        <v>82</v>
      </c>
      <c r="D645" s="265" t="s">
        <v>35</v>
      </c>
      <c r="E645" s="265">
        <v>4.059737614E9</v>
      </c>
      <c r="F645" s="265" t="s">
        <v>2409</v>
      </c>
      <c r="G645" s="280">
        <v>45425.0</v>
      </c>
      <c r="H645" s="281">
        <v>45429.0</v>
      </c>
      <c r="I645" s="282">
        <v>4.0</v>
      </c>
      <c r="J645" s="283" t="s">
        <v>78</v>
      </c>
      <c r="K645" s="265" t="s">
        <v>79</v>
      </c>
      <c r="L645" s="265" t="s">
        <v>1396</v>
      </c>
      <c r="M645" s="264">
        <v>2.0</v>
      </c>
      <c r="N645" s="270">
        <v>0.0</v>
      </c>
      <c r="O645" s="271">
        <v>199.14</v>
      </c>
      <c r="P645" s="271">
        <v>159.312</v>
      </c>
      <c r="Q645" s="272">
        <v>0.0</v>
      </c>
      <c r="R645" s="273">
        <v>637.248</v>
      </c>
      <c r="S645" s="273">
        <v>0.0</v>
      </c>
      <c r="T645" s="273">
        <v>796.56</v>
      </c>
      <c r="U645" s="274" t="s">
        <v>1398</v>
      </c>
      <c r="V645" s="286">
        <v>45372.51885416667</v>
      </c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</row>
    <row r="646">
      <c r="A646" s="210">
        <v>45372.0</v>
      </c>
      <c r="B646" s="166">
        <v>5476680.0</v>
      </c>
      <c r="C646" s="166" t="s">
        <v>75</v>
      </c>
      <c r="D646" s="166" t="s">
        <v>94</v>
      </c>
      <c r="E646" s="166">
        <v>5476680.0</v>
      </c>
      <c r="F646" s="166" t="s">
        <v>2410</v>
      </c>
      <c r="G646" s="210">
        <v>45559.0</v>
      </c>
      <c r="H646" s="287">
        <v>45560.0</v>
      </c>
      <c r="I646" s="168">
        <v>1.0</v>
      </c>
      <c r="J646" s="169" t="s">
        <v>78</v>
      </c>
      <c r="K646" s="166" t="s">
        <v>79</v>
      </c>
      <c r="L646" s="166" t="s">
        <v>1811</v>
      </c>
      <c r="M646" s="166">
        <v>2.0</v>
      </c>
      <c r="N646" s="170">
        <v>0.0</v>
      </c>
      <c r="O646" s="171">
        <v>120.2</v>
      </c>
      <c r="P646" s="171">
        <v>118.998</v>
      </c>
      <c r="Q646" s="172">
        <v>0.0</v>
      </c>
      <c r="R646" s="173">
        <v>118.998</v>
      </c>
      <c r="S646" s="173">
        <v>0.0</v>
      </c>
      <c r="T646" s="173">
        <v>240.4</v>
      </c>
      <c r="U646" s="174" t="s">
        <v>1812</v>
      </c>
      <c r="V646" s="288">
        <v>45462.72770833333</v>
      </c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>
      <c r="A647" s="280">
        <v>45372.0</v>
      </c>
      <c r="B647" s="264">
        <v>5476680.0</v>
      </c>
      <c r="C647" s="265" t="s">
        <v>75</v>
      </c>
      <c r="D647" s="265" t="s">
        <v>94</v>
      </c>
      <c r="E647" s="264">
        <v>5476680.0</v>
      </c>
      <c r="F647" s="265" t="s">
        <v>2410</v>
      </c>
      <c r="G647" s="280">
        <v>45559.0</v>
      </c>
      <c r="H647" s="281">
        <v>45560.0</v>
      </c>
      <c r="I647" s="282">
        <v>1.0</v>
      </c>
      <c r="J647" s="283" t="s">
        <v>78</v>
      </c>
      <c r="K647" s="265" t="s">
        <v>79</v>
      </c>
      <c r="L647" s="265" t="s">
        <v>1811</v>
      </c>
      <c r="M647" s="269">
        <v>2.0</v>
      </c>
      <c r="N647" s="270">
        <v>0.0</v>
      </c>
      <c r="O647" s="271">
        <v>120.2</v>
      </c>
      <c r="P647" s="271">
        <v>118.998</v>
      </c>
      <c r="Q647" s="272">
        <v>0.0</v>
      </c>
      <c r="R647" s="273">
        <v>118.998</v>
      </c>
      <c r="S647" s="273">
        <v>0.0</v>
      </c>
      <c r="T647" s="273">
        <v>240.4</v>
      </c>
      <c r="U647" s="274" t="s">
        <v>1812</v>
      </c>
      <c r="V647" s="284">
        <v>45462.72770833333</v>
      </c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</row>
    <row r="648">
      <c r="A648" s="276">
        <v>45373.0</v>
      </c>
      <c r="B648" s="252">
        <v>5481211.0</v>
      </c>
      <c r="C648" s="253" t="s">
        <v>75</v>
      </c>
      <c r="D648" s="253" t="s">
        <v>12</v>
      </c>
      <c r="E648" s="252" t="s">
        <v>2413</v>
      </c>
      <c r="F648" s="253" t="s">
        <v>2414</v>
      </c>
      <c r="G648" s="276">
        <v>45373.0</v>
      </c>
      <c r="H648" s="277">
        <v>45374.0</v>
      </c>
      <c r="I648" s="278">
        <v>1.0</v>
      </c>
      <c r="J648" s="257" t="s">
        <v>78</v>
      </c>
      <c r="K648" s="253" t="s">
        <v>79</v>
      </c>
      <c r="L648" s="253" t="s">
        <v>123</v>
      </c>
      <c r="M648" s="275">
        <v>2.0</v>
      </c>
      <c r="N648" s="258">
        <v>0.0</v>
      </c>
      <c r="O648" s="259">
        <v>330.0</v>
      </c>
      <c r="P648" s="259">
        <v>264.0</v>
      </c>
      <c r="Q648" s="262">
        <v>0.0</v>
      </c>
      <c r="R648" s="260">
        <v>264.0</v>
      </c>
      <c r="S648" s="260">
        <v>0.0</v>
      </c>
      <c r="T648" s="273">
        <v>330.0</v>
      </c>
      <c r="U648" s="274" t="s">
        <v>2416</v>
      </c>
      <c r="V648" s="284">
        <v>45373.77197916667</v>
      </c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</row>
    <row r="649">
      <c r="A649" s="276">
        <v>45373.0</v>
      </c>
      <c r="B649" s="252">
        <v>5479926.0</v>
      </c>
      <c r="C649" s="253" t="s">
        <v>82</v>
      </c>
      <c r="D649" s="253" t="s">
        <v>94</v>
      </c>
      <c r="E649" s="252">
        <v>5479926.0</v>
      </c>
      <c r="F649" s="253" t="s">
        <v>2417</v>
      </c>
      <c r="G649" s="276">
        <v>45374.0</v>
      </c>
      <c r="H649" s="277">
        <v>45375.0</v>
      </c>
      <c r="I649" s="278">
        <v>1.0</v>
      </c>
      <c r="J649" s="257" t="s">
        <v>114</v>
      </c>
      <c r="K649" s="253" t="s">
        <v>79</v>
      </c>
      <c r="L649" s="253" t="s">
        <v>1462</v>
      </c>
      <c r="M649" s="252">
        <v>2.0</v>
      </c>
      <c r="N649" s="258">
        <v>0.0</v>
      </c>
      <c r="O649" s="259">
        <v>257.0</v>
      </c>
      <c r="P649" s="259">
        <v>254.43</v>
      </c>
      <c r="Q649" s="262">
        <v>0.0</v>
      </c>
      <c r="R649" s="260">
        <v>254.43</v>
      </c>
      <c r="S649" s="260">
        <v>0.0</v>
      </c>
      <c r="T649" s="260">
        <v>257.0</v>
      </c>
      <c r="U649" s="261" t="s">
        <v>1463</v>
      </c>
      <c r="V649" s="279">
        <v>45373.492743055554</v>
      </c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</row>
    <row r="650">
      <c r="A650" s="276">
        <v>45373.0</v>
      </c>
      <c r="B650" s="252">
        <v>5481908.0</v>
      </c>
      <c r="C650" s="253" t="s">
        <v>82</v>
      </c>
      <c r="D650" s="253" t="s">
        <v>35</v>
      </c>
      <c r="E650" s="252">
        <v>4.052397437E9</v>
      </c>
      <c r="F650" s="253" t="s">
        <v>2418</v>
      </c>
      <c r="G650" s="276">
        <v>45389.0</v>
      </c>
      <c r="H650" s="277">
        <v>45392.0</v>
      </c>
      <c r="I650" s="278">
        <v>3.0</v>
      </c>
      <c r="J650" s="257" t="s">
        <v>111</v>
      </c>
      <c r="K650" s="253" t="s">
        <v>79</v>
      </c>
      <c r="L650" s="253" t="s">
        <v>1443</v>
      </c>
      <c r="M650" s="252">
        <v>2.0</v>
      </c>
      <c r="N650" s="258">
        <v>0.0</v>
      </c>
      <c r="O650" s="259">
        <v>265.81</v>
      </c>
      <c r="P650" s="259">
        <v>212.64800000000002</v>
      </c>
      <c r="Q650" s="262">
        <v>0.0</v>
      </c>
      <c r="R650" s="260">
        <v>637.944</v>
      </c>
      <c r="S650" s="260">
        <v>0.0</v>
      </c>
      <c r="T650" s="260">
        <v>797.43</v>
      </c>
      <c r="U650" s="261" t="s">
        <v>1444</v>
      </c>
      <c r="V650" s="279">
        <v>45373.96539351852</v>
      </c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</row>
    <row r="651">
      <c r="A651" s="210">
        <v>45373.0</v>
      </c>
      <c r="B651" s="166">
        <v>5481410.0</v>
      </c>
      <c r="C651" s="166" t="s">
        <v>82</v>
      </c>
      <c r="D651" s="166" t="s">
        <v>35</v>
      </c>
      <c r="E651" s="166">
        <v>4.599383811E9</v>
      </c>
      <c r="F651" s="166" t="s">
        <v>2419</v>
      </c>
      <c r="G651" s="210">
        <v>45437.0</v>
      </c>
      <c r="H651" s="287">
        <v>45438.0</v>
      </c>
      <c r="I651" s="168">
        <v>1.0</v>
      </c>
      <c r="J651" s="169" t="s">
        <v>87</v>
      </c>
      <c r="K651" s="166" t="s">
        <v>79</v>
      </c>
      <c r="L651" s="166" t="s">
        <v>1396</v>
      </c>
      <c r="M651" s="205">
        <v>2.0</v>
      </c>
      <c r="N651" s="170">
        <v>0.0</v>
      </c>
      <c r="O651" s="171">
        <v>144.16</v>
      </c>
      <c r="P651" s="171">
        <v>115.328</v>
      </c>
      <c r="Q651" s="172">
        <v>0.0</v>
      </c>
      <c r="R651" s="173">
        <v>115.328</v>
      </c>
      <c r="S651" s="173">
        <v>0.0</v>
      </c>
      <c r="T651" s="173">
        <v>144.16</v>
      </c>
      <c r="U651" s="201" t="s">
        <v>1398</v>
      </c>
      <c r="V651" s="288">
        <v>45373.81953703704</v>
      </c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</row>
    <row r="652">
      <c r="A652" s="210">
        <v>45373.0</v>
      </c>
      <c r="B652" s="166">
        <v>5481435.0</v>
      </c>
      <c r="C652" s="166" t="s">
        <v>82</v>
      </c>
      <c r="D652" s="166" t="s">
        <v>35</v>
      </c>
      <c r="E652" s="166">
        <v>4.226449011E9</v>
      </c>
      <c r="F652" s="166" t="s">
        <v>2422</v>
      </c>
      <c r="G652" s="210">
        <v>45444.0</v>
      </c>
      <c r="H652" s="287">
        <v>45447.0</v>
      </c>
      <c r="I652" s="168">
        <v>3.0</v>
      </c>
      <c r="J652" s="169" t="s">
        <v>78</v>
      </c>
      <c r="K652" s="166" t="s">
        <v>138</v>
      </c>
      <c r="L652" s="166" t="s">
        <v>2423</v>
      </c>
      <c r="M652" s="166">
        <v>2.0</v>
      </c>
      <c r="N652" s="170">
        <v>0.0</v>
      </c>
      <c r="O652" s="171">
        <v>177.48000000000002</v>
      </c>
      <c r="P652" s="171">
        <v>141.984</v>
      </c>
      <c r="Q652" s="172">
        <v>36.0</v>
      </c>
      <c r="R652" s="173">
        <v>425.95200000000006</v>
      </c>
      <c r="S652" s="173">
        <v>108.0</v>
      </c>
      <c r="T652" s="260">
        <v>532.44</v>
      </c>
      <c r="U652" s="261" t="s">
        <v>2424</v>
      </c>
      <c r="V652" s="279">
        <v>45373.82712962963</v>
      </c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</row>
    <row r="653">
      <c r="A653" s="276">
        <v>45374.0</v>
      </c>
      <c r="B653" s="252">
        <v>5482523.0</v>
      </c>
      <c r="C653" s="253" t="s">
        <v>82</v>
      </c>
      <c r="D653" s="253" t="s">
        <v>35</v>
      </c>
      <c r="E653" s="252">
        <v>4.161347827E9</v>
      </c>
      <c r="F653" s="253" t="s">
        <v>2426</v>
      </c>
      <c r="G653" s="276">
        <v>45381.0</v>
      </c>
      <c r="H653" s="277">
        <v>45383.0</v>
      </c>
      <c r="I653" s="278">
        <v>2.0</v>
      </c>
      <c r="J653" s="257" t="s">
        <v>87</v>
      </c>
      <c r="K653" s="253" t="s">
        <v>79</v>
      </c>
      <c r="L653" s="253" t="s">
        <v>1396</v>
      </c>
      <c r="M653" s="252">
        <v>1.0</v>
      </c>
      <c r="N653" s="258">
        <v>0.0</v>
      </c>
      <c r="O653" s="259">
        <v>146.33</v>
      </c>
      <c r="P653" s="259">
        <v>117.06400000000002</v>
      </c>
      <c r="Q653" s="262">
        <v>0.0</v>
      </c>
      <c r="R653" s="260">
        <v>234.12800000000004</v>
      </c>
      <c r="S653" s="260">
        <v>0.0</v>
      </c>
      <c r="T653" s="260">
        <v>292.66</v>
      </c>
      <c r="U653" s="261" t="s">
        <v>1398</v>
      </c>
      <c r="V653" s="279">
        <v>45374.32645833334</v>
      </c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</row>
    <row r="654">
      <c r="A654" s="276">
        <v>45375.0</v>
      </c>
      <c r="B654" s="252">
        <v>5487291.0</v>
      </c>
      <c r="C654" s="253" t="s">
        <v>82</v>
      </c>
      <c r="D654" s="253" t="s">
        <v>35</v>
      </c>
      <c r="E654" s="252">
        <v>4.412661944E9</v>
      </c>
      <c r="F654" s="253" t="s">
        <v>2428</v>
      </c>
      <c r="G654" s="276">
        <v>45375.0</v>
      </c>
      <c r="H654" s="277">
        <v>45376.0</v>
      </c>
      <c r="I654" s="278">
        <v>1.0</v>
      </c>
      <c r="J654" s="257" t="s">
        <v>78</v>
      </c>
      <c r="K654" s="253" t="s">
        <v>138</v>
      </c>
      <c r="L654" s="253" t="s">
        <v>1584</v>
      </c>
      <c r="M654" s="252">
        <v>2.0</v>
      </c>
      <c r="N654" s="258">
        <v>0.0</v>
      </c>
      <c r="O654" s="259">
        <v>196.3</v>
      </c>
      <c r="P654" s="259">
        <v>157.04000000000002</v>
      </c>
      <c r="Q654" s="262">
        <v>36.0</v>
      </c>
      <c r="R654" s="260">
        <v>157.04000000000002</v>
      </c>
      <c r="S654" s="260">
        <v>36.0</v>
      </c>
      <c r="T654" s="260">
        <v>232.3</v>
      </c>
      <c r="U654" s="261" t="s">
        <v>1585</v>
      </c>
      <c r="V654" s="279">
        <v>45375.64877314815</v>
      </c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</row>
    <row r="655">
      <c r="A655" s="276">
        <v>45375.0</v>
      </c>
      <c r="B655" s="252">
        <v>5486266.0</v>
      </c>
      <c r="C655" s="253" t="s">
        <v>82</v>
      </c>
      <c r="D655" s="253" t="s">
        <v>35</v>
      </c>
      <c r="E655" s="252">
        <v>4.904239049E9</v>
      </c>
      <c r="F655" s="253" t="s">
        <v>2431</v>
      </c>
      <c r="G655" s="276">
        <v>45550.0</v>
      </c>
      <c r="H655" s="277">
        <v>45551.0</v>
      </c>
      <c r="I655" s="278">
        <v>1.0</v>
      </c>
      <c r="J655" s="257" t="s">
        <v>111</v>
      </c>
      <c r="K655" s="253" t="s">
        <v>79</v>
      </c>
      <c r="L655" s="253" t="s">
        <v>1396</v>
      </c>
      <c r="M655" s="252">
        <v>2.0</v>
      </c>
      <c r="N655" s="258">
        <v>0.0</v>
      </c>
      <c r="O655" s="259">
        <v>162.09</v>
      </c>
      <c r="P655" s="259">
        <v>129.672</v>
      </c>
      <c r="Q655" s="262">
        <v>0.0</v>
      </c>
      <c r="R655" s="260">
        <v>129.672</v>
      </c>
      <c r="S655" s="260">
        <v>0.0</v>
      </c>
      <c r="T655" s="260">
        <v>162.09</v>
      </c>
      <c r="U655" s="261" t="s">
        <v>1398</v>
      </c>
      <c r="V655" s="279">
        <v>45375.44388888888</v>
      </c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</row>
    <row r="656">
      <c r="A656" s="210">
        <v>45376.0</v>
      </c>
      <c r="B656" s="166">
        <v>5490173.0</v>
      </c>
      <c r="C656" s="166" t="s">
        <v>75</v>
      </c>
      <c r="D656" s="166" t="s">
        <v>35</v>
      </c>
      <c r="E656" s="166">
        <v>4.754322122E9</v>
      </c>
      <c r="F656" s="166" t="s">
        <v>2434</v>
      </c>
      <c r="G656" s="210">
        <v>45498.0</v>
      </c>
      <c r="H656" s="287">
        <v>45502.0</v>
      </c>
      <c r="I656" s="168">
        <v>4.0</v>
      </c>
      <c r="J656" s="169" t="s">
        <v>78</v>
      </c>
      <c r="K656" s="166" t="s">
        <v>79</v>
      </c>
      <c r="L656" s="166" t="s">
        <v>1411</v>
      </c>
      <c r="M656" s="205">
        <v>2.0</v>
      </c>
      <c r="N656" s="170">
        <v>0.0</v>
      </c>
      <c r="O656" s="171">
        <v>144.06</v>
      </c>
      <c r="P656" s="171">
        <v>115.248</v>
      </c>
      <c r="Q656" s="172">
        <v>0.0</v>
      </c>
      <c r="R656" s="173">
        <v>460.992</v>
      </c>
      <c r="S656" s="173">
        <v>0.0</v>
      </c>
      <c r="T656" s="173">
        <v>576.24</v>
      </c>
      <c r="U656" s="174" t="s">
        <v>1412</v>
      </c>
      <c r="V656" s="288">
        <v>45379.468553240746</v>
      </c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</row>
    <row r="657">
      <c r="A657" s="280">
        <v>45378.0</v>
      </c>
      <c r="B657" s="264">
        <v>5496489.0</v>
      </c>
      <c r="C657" s="265" t="s">
        <v>82</v>
      </c>
      <c r="D657" s="265" t="s">
        <v>35</v>
      </c>
      <c r="E657" s="264">
        <v>4.436956856E9</v>
      </c>
      <c r="F657" s="265" t="s">
        <v>2440</v>
      </c>
      <c r="G657" s="280">
        <v>45380.0</v>
      </c>
      <c r="H657" s="281">
        <v>45381.0</v>
      </c>
      <c r="I657" s="282">
        <v>1.0</v>
      </c>
      <c r="J657" s="283" t="s">
        <v>78</v>
      </c>
      <c r="K657" s="265" t="s">
        <v>79</v>
      </c>
      <c r="L657" s="265" t="s">
        <v>1396</v>
      </c>
      <c r="M657" s="264">
        <v>3.0</v>
      </c>
      <c r="N657" s="270">
        <v>0.0</v>
      </c>
      <c r="O657" s="271">
        <v>213.02</v>
      </c>
      <c r="P657" s="271">
        <v>170.41600000000003</v>
      </c>
      <c r="Q657" s="272">
        <v>0.0</v>
      </c>
      <c r="R657" s="273">
        <v>170.41600000000003</v>
      </c>
      <c r="S657" s="273">
        <v>0.0</v>
      </c>
      <c r="T657" s="273">
        <v>213.02</v>
      </c>
      <c r="U657" s="274" t="s">
        <v>1398</v>
      </c>
      <c r="V657" s="284">
        <v>45378.29518518518</v>
      </c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</row>
    <row r="658">
      <c r="A658" s="276">
        <v>45378.0</v>
      </c>
      <c r="B658" s="252">
        <v>5498857.0</v>
      </c>
      <c r="C658" s="253" t="s">
        <v>82</v>
      </c>
      <c r="D658" s="253" t="s">
        <v>35</v>
      </c>
      <c r="E658" s="252">
        <v>4.991872209E9</v>
      </c>
      <c r="F658" s="253" t="s">
        <v>2445</v>
      </c>
      <c r="G658" s="276">
        <v>45400.0</v>
      </c>
      <c r="H658" s="277">
        <v>45402.0</v>
      </c>
      <c r="I658" s="278">
        <v>2.0</v>
      </c>
      <c r="J658" s="257" t="s">
        <v>114</v>
      </c>
      <c r="K658" s="253" t="s">
        <v>79</v>
      </c>
      <c r="L658" s="253" t="s">
        <v>1400</v>
      </c>
      <c r="M658" s="252">
        <v>2.0</v>
      </c>
      <c r="N658" s="258">
        <v>0.0</v>
      </c>
      <c r="O658" s="259">
        <v>249.88</v>
      </c>
      <c r="P658" s="259">
        <v>199.904</v>
      </c>
      <c r="Q658" s="262">
        <v>0.0</v>
      </c>
      <c r="R658" s="260">
        <v>399.808</v>
      </c>
      <c r="S658" s="260">
        <v>0.0</v>
      </c>
      <c r="T658" s="260">
        <v>499.76</v>
      </c>
      <c r="U658" s="261" t="s">
        <v>1401</v>
      </c>
      <c r="V658" s="279">
        <v>45378.8340625</v>
      </c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</row>
    <row r="659">
      <c r="A659" s="210">
        <v>45379.0</v>
      </c>
      <c r="B659" s="166">
        <v>5501681.0</v>
      </c>
      <c r="C659" s="166" t="s">
        <v>82</v>
      </c>
      <c r="D659" s="166" t="s">
        <v>35</v>
      </c>
      <c r="E659" s="166">
        <v>4.503141431E9</v>
      </c>
      <c r="F659" s="166" t="s">
        <v>2447</v>
      </c>
      <c r="G659" s="210">
        <v>45385.0</v>
      </c>
      <c r="H659" s="287">
        <v>45386.0</v>
      </c>
      <c r="I659" s="168">
        <v>1.0</v>
      </c>
      <c r="J659" s="169" t="s">
        <v>78</v>
      </c>
      <c r="K659" s="166" t="s">
        <v>79</v>
      </c>
      <c r="L659" s="166" t="s">
        <v>1396</v>
      </c>
      <c r="M659" s="166">
        <v>2.0</v>
      </c>
      <c r="N659" s="170">
        <v>0.0</v>
      </c>
      <c r="O659" s="171">
        <v>167.69</v>
      </c>
      <c r="P659" s="171">
        <v>134.15200000000002</v>
      </c>
      <c r="Q659" s="172">
        <v>0.0</v>
      </c>
      <c r="R659" s="173">
        <v>134.15200000000002</v>
      </c>
      <c r="S659" s="173">
        <v>0.0</v>
      </c>
      <c r="T659" s="173">
        <v>167.69</v>
      </c>
      <c r="U659" s="174" t="s">
        <v>1398</v>
      </c>
      <c r="V659" s="288">
        <v>45379.70350694444</v>
      </c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</row>
    <row r="660">
      <c r="A660" s="276">
        <v>45379.0</v>
      </c>
      <c r="B660" s="252">
        <v>5502297.0</v>
      </c>
      <c r="C660" s="253" t="s">
        <v>82</v>
      </c>
      <c r="D660" s="253" t="s">
        <v>35</v>
      </c>
      <c r="E660" s="252">
        <v>4.367902826E9</v>
      </c>
      <c r="F660" s="253" t="s">
        <v>2449</v>
      </c>
      <c r="G660" s="276">
        <v>45391.0</v>
      </c>
      <c r="H660" s="277">
        <v>45393.0</v>
      </c>
      <c r="I660" s="278">
        <v>2.0</v>
      </c>
      <c r="J660" s="257" t="s">
        <v>114</v>
      </c>
      <c r="K660" s="253" t="s">
        <v>79</v>
      </c>
      <c r="L660" s="253" t="s">
        <v>1396</v>
      </c>
      <c r="M660" s="252">
        <v>2.0</v>
      </c>
      <c r="N660" s="258">
        <v>0.0</v>
      </c>
      <c r="O660" s="259">
        <v>195.51</v>
      </c>
      <c r="P660" s="259">
        <v>156.40800000000002</v>
      </c>
      <c r="Q660" s="262">
        <v>0.0</v>
      </c>
      <c r="R660" s="260">
        <v>312.81600000000003</v>
      </c>
      <c r="S660" s="260">
        <v>0.0</v>
      </c>
      <c r="T660" s="260">
        <v>391.02</v>
      </c>
      <c r="U660" s="261" t="s">
        <v>1398</v>
      </c>
      <c r="V660" s="279">
        <v>45379.84726851852</v>
      </c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</row>
    <row r="661">
      <c r="A661" s="210">
        <v>45379.0</v>
      </c>
      <c r="B661" s="166">
        <v>5500430.0</v>
      </c>
      <c r="C661" s="166" t="s">
        <v>82</v>
      </c>
      <c r="D661" s="166" t="s">
        <v>35</v>
      </c>
      <c r="E661" s="166">
        <v>4.897273005E9</v>
      </c>
      <c r="F661" s="166" t="s">
        <v>2453</v>
      </c>
      <c r="G661" s="210">
        <v>45433.0</v>
      </c>
      <c r="H661" s="287">
        <v>45437.0</v>
      </c>
      <c r="I661" s="168">
        <v>4.0</v>
      </c>
      <c r="J661" s="169" t="s">
        <v>78</v>
      </c>
      <c r="K661" s="166" t="s">
        <v>79</v>
      </c>
      <c r="L661" s="166" t="s">
        <v>1414</v>
      </c>
      <c r="M661" s="166">
        <v>2.0</v>
      </c>
      <c r="N661" s="170">
        <v>0.0</v>
      </c>
      <c r="O661" s="171">
        <v>191.65</v>
      </c>
      <c r="P661" s="171">
        <v>153.32000000000002</v>
      </c>
      <c r="Q661" s="172">
        <v>0.0</v>
      </c>
      <c r="R661" s="173">
        <v>613.2800000000001</v>
      </c>
      <c r="S661" s="173">
        <v>0.0</v>
      </c>
      <c r="T661" s="173">
        <v>766.6</v>
      </c>
      <c r="U661" s="201" t="s">
        <v>1415</v>
      </c>
      <c r="V661" s="288">
        <v>45379.430601851855</v>
      </c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</row>
    <row r="662">
      <c r="A662" s="280">
        <v>45379.0</v>
      </c>
      <c r="B662" s="264">
        <v>5502541.0</v>
      </c>
      <c r="C662" s="265" t="s">
        <v>82</v>
      </c>
      <c r="D662" s="265" t="s">
        <v>94</v>
      </c>
      <c r="E662" s="264" t="s">
        <v>2459</v>
      </c>
      <c r="F662" s="265" t="s">
        <v>2460</v>
      </c>
      <c r="G662" s="280">
        <v>45473.0</v>
      </c>
      <c r="H662" s="281">
        <v>45476.0</v>
      </c>
      <c r="I662" s="282">
        <v>3.0</v>
      </c>
      <c r="J662" s="283" t="s">
        <v>87</v>
      </c>
      <c r="K662" s="265" t="s">
        <v>79</v>
      </c>
      <c r="L662" s="265" t="s">
        <v>123</v>
      </c>
      <c r="M662" s="269">
        <v>2.0</v>
      </c>
      <c r="N662" s="283">
        <v>0.0</v>
      </c>
      <c r="O662" s="271">
        <v>80.30666666666666</v>
      </c>
      <c r="P662" s="271">
        <v>79.50359999999999</v>
      </c>
      <c r="Q662" s="283">
        <v>0.0</v>
      </c>
      <c r="R662" s="273">
        <v>238.5108</v>
      </c>
      <c r="S662" s="273">
        <v>0.0</v>
      </c>
      <c r="T662" s="273">
        <v>240.92</v>
      </c>
      <c r="U662" s="274" t="s">
        <v>2416</v>
      </c>
      <c r="V662" s="284">
        <v>45379.91881944444</v>
      </c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</row>
    <row r="663">
      <c r="A663" s="276">
        <v>45380.0</v>
      </c>
      <c r="B663" s="252">
        <v>5504472.0</v>
      </c>
      <c r="C663" s="253" t="s">
        <v>82</v>
      </c>
      <c r="D663" s="253" t="s">
        <v>94</v>
      </c>
      <c r="E663" s="252">
        <v>5504472.0</v>
      </c>
      <c r="F663" s="253" t="s">
        <v>2461</v>
      </c>
      <c r="G663" s="276">
        <v>45380.0</v>
      </c>
      <c r="H663" s="277">
        <v>45381.0</v>
      </c>
      <c r="I663" s="278">
        <v>1.0</v>
      </c>
      <c r="J663" s="257" t="s">
        <v>87</v>
      </c>
      <c r="K663" s="253" t="s">
        <v>79</v>
      </c>
      <c r="L663" s="253" t="s">
        <v>1462</v>
      </c>
      <c r="M663" s="275">
        <v>2.0</v>
      </c>
      <c r="N663" s="258">
        <v>0.0</v>
      </c>
      <c r="O663" s="259">
        <v>182.0</v>
      </c>
      <c r="P663" s="259">
        <v>180.18</v>
      </c>
      <c r="Q663" s="262">
        <v>0.0</v>
      </c>
      <c r="R663" s="260">
        <v>180.18</v>
      </c>
      <c r="S663" s="260">
        <v>0.0</v>
      </c>
      <c r="T663" s="260">
        <v>182.0</v>
      </c>
      <c r="U663" s="261" t="s">
        <v>1463</v>
      </c>
      <c r="V663" s="279">
        <v>45380.566307870366</v>
      </c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</row>
    <row r="664">
      <c r="A664" s="276">
        <v>45380.0</v>
      </c>
      <c r="B664" s="252">
        <v>5504831.0</v>
      </c>
      <c r="C664" s="253" t="s">
        <v>82</v>
      </c>
      <c r="D664" s="253" t="s">
        <v>35</v>
      </c>
      <c r="E664" s="252">
        <v>4.794995699E9</v>
      </c>
      <c r="F664" s="253" t="s">
        <v>2466</v>
      </c>
      <c r="G664" s="276">
        <v>45387.0</v>
      </c>
      <c r="H664" s="277">
        <v>45389.0</v>
      </c>
      <c r="I664" s="278">
        <v>2.0</v>
      </c>
      <c r="J664" s="257" t="s">
        <v>78</v>
      </c>
      <c r="K664" s="253" t="s">
        <v>79</v>
      </c>
      <c r="L664" s="253" t="s">
        <v>1400</v>
      </c>
      <c r="M664" s="275">
        <v>2.0</v>
      </c>
      <c r="N664" s="258">
        <v>0.0</v>
      </c>
      <c r="O664" s="259">
        <v>252.26</v>
      </c>
      <c r="P664" s="259">
        <v>201.808</v>
      </c>
      <c r="Q664" s="262">
        <v>0.0</v>
      </c>
      <c r="R664" s="260">
        <v>403.616</v>
      </c>
      <c r="S664" s="260">
        <v>0.0</v>
      </c>
      <c r="T664" s="260">
        <v>504.52</v>
      </c>
      <c r="U664" s="261" t="s">
        <v>1401</v>
      </c>
      <c r="V664" s="279">
        <v>45380.63899305556</v>
      </c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</row>
    <row r="665">
      <c r="A665" s="276">
        <v>45380.0</v>
      </c>
      <c r="B665" s="252">
        <v>5504096.0</v>
      </c>
      <c r="C665" s="253" t="s">
        <v>82</v>
      </c>
      <c r="D665" s="253" t="s">
        <v>35</v>
      </c>
      <c r="E665" s="252">
        <v>4.75092645E9</v>
      </c>
      <c r="F665" s="253" t="s">
        <v>2468</v>
      </c>
      <c r="G665" s="276">
        <v>45389.0</v>
      </c>
      <c r="H665" s="277">
        <v>45391.0</v>
      </c>
      <c r="I665" s="278">
        <v>2.0</v>
      </c>
      <c r="J665" s="257" t="s">
        <v>114</v>
      </c>
      <c r="K665" s="253" t="s">
        <v>79</v>
      </c>
      <c r="L665" s="253" t="s">
        <v>1396</v>
      </c>
      <c r="M665" s="275">
        <v>2.0</v>
      </c>
      <c r="N665" s="258">
        <v>0.0</v>
      </c>
      <c r="O665" s="259">
        <v>203.09</v>
      </c>
      <c r="P665" s="259">
        <v>162.472</v>
      </c>
      <c r="Q665" s="262">
        <v>0.0</v>
      </c>
      <c r="R665" s="260">
        <v>324.944</v>
      </c>
      <c r="S665" s="260">
        <v>0.0</v>
      </c>
      <c r="T665" s="260">
        <v>406.18</v>
      </c>
      <c r="U665" s="261" t="s">
        <v>1398</v>
      </c>
      <c r="V665" s="279">
        <v>45380.49241898148</v>
      </c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</row>
    <row r="666">
      <c r="A666" s="276">
        <v>45380.0</v>
      </c>
      <c r="B666" s="252">
        <v>5503850.0</v>
      </c>
      <c r="C666" s="253" t="s">
        <v>89</v>
      </c>
      <c r="D666" s="253" t="s">
        <v>35</v>
      </c>
      <c r="E666" s="252">
        <v>4.92221401E9</v>
      </c>
      <c r="F666" s="253" t="s">
        <v>2471</v>
      </c>
      <c r="G666" s="276">
        <v>45396.0</v>
      </c>
      <c r="H666" s="277">
        <v>45397.0</v>
      </c>
      <c r="I666" s="278">
        <v>1.0</v>
      </c>
      <c r="J666" s="257" t="s">
        <v>91</v>
      </c>
      <c r="K666" s="253" t="s">
        <v>79</v>
      </c>
      <c r="L666" s="253" t="s">
        <v>1414</v>
      </c>
      <c r="M666" s="275">
        <v>4.0</v>
      </c>
      <c r="N666" s="258">
        <v>0.0</v>
      </c>
      <c r="O666" s="259">
        <v>0.0</v>
      </c>
      <c r="P666" s="259">
        <v>0.0</v>
      </c>
      <c r="Q666" s="262">
        <v>0.0</v>
      </c>
      <c r="R666" s="260">
        <v>0.0</v>
      </c>
      <c r="S666" s="260">
        <v>0.0</v>
      </c>
      <c r="T666" s="260">
        <v>0.0</v>
      </c>
      <c r="U666" s="261" t="s">
        <v>2475</v>
      </c>
      <c r="V666" s="279">
        <v>45380.43407407407</v>
      </c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</row>
    <row r="667">
      <c r="A667" s="210">
        <v>45380.0</v>
      </c>
      <c r="B667" s="166">
        <v>5504310.0</v>
      </c>
      <c r="C667" s="166" t="s">
        <v>82</v>
      </c>
      <c r="D667" s="166" t="s">
        <v>35</v>
      </c>
      <c r="E667" s="166">
        <v>4.534355671E9</v>
      </c>
      <c r="F667" s="166" t="s">
        <v>2479</v>
      </c>
      <c r="G667" s="210">
        <v>45487.0</v>
      </c>
      <c r="H667" s="287">
        <v>45490.0</v>
      </c>
      <c r="I667" s="168">
        <v>3.0</v>
      </c>
      <c r="J667" s="169" t="s">
        <v>78</v>
      </c>
      <c r="K667" s="166" t="s">
        <v>79</v>
      </c>
      <c r="L667" s="166" t="s">
        <v>1396</v>
      </c>
      <c r="M667" s="166">
        <v>2.0</v>
      </c>
      <c r="N667" s="170">
        <v>0.0</v>
      </c>
      <c r="O667" s="171">
        <v>88.41000000000001</v>
      </c>
      <c r="P667" s="171">
        <v>70.72800000000001</v>
      </c>
      <c r="Q667" s="172">
        <v>0.0</v>
      </c>
      <c r="R667" s="173">
        <v>212.18400000000003</v>
      </c>
      <c r="S667" s="173">
        <v>0.0</v>
      </c>
      <c r="T667" s="173">
        <v>265.23</v>
      </c>
      <c r="U667" s="201" t="s">
        <v>1398</v>
      </c>
      <c r="V667" s="288">
        <v>45380.53684027778</v>
      </c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</row>
    <row r="668">
      <c r="A668" s="210">
        <v>45381.0</v>
      </c>
      <c r="B668" s="166">
        <v>5508103.0</v>
      </c>
      <c r="C668" s="166" t="s">
        <v>82</v>
      </c>
      <c r="D668" s="166" t="s">
        <v>35</v>
      </c>
      <c r="E668" s="166">
        <v>4.898284584E9</v>
      </c>
      <c r="F668" s="166" t="s">
        <v>2483</v>
      </c>
      <c r="G668" s="210">
        <v>45437.0</v>
      </c>
      <c r="H668" s="287">
        <v>45439.0</v>
      </c>
      <c r="I668" s="168">
        <v>2.0</v>
      </c>
      <c r="J668" s="169" t="s">
        <v>78</v>
      </c>
      <c r="K668" s="166" t="s">
        <v>79</v>
      </c>
      <c r="L668" s="166" t="s">
        <v>1396</v>
      </c>
      <c r="M668" s="205">
        <v>2.0</v>
      </c>
      <c r="N668" s="170">
        <v>0.0</v>
      </c>
      <c r="O668" s="171">
        <v>174.52</v>
      </c>
      <c r="P668" s="171">
        <v>139.616</v>
      </c>
      <c r="Q668" s="172">
        <v>0.0</v>
      </c>
      <c r="R668" s="173">
        <v>279.232</v>
      </c>
      <c r="S668" s="173">
        <v>0.0</v>
      </c>
      <c r="T668" s="173">
        <v>349.04</v>
      </c>
      <c r="U668" s="174" t="s">
        <v>1398</v>
      </c>
      <c r="V668" s="288">
        <v>45381.640335648146</v>
      </c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</row>
    <row r="669">
      <c r="A669" s="210">
        <v>45381.0</v>
      </c>
      <c r="B669" s="166">
        <v>5508517.0</v>
      </c>
      <c r="C669" s="166" t="s">
        <v>82</v>
      </c>
      <c r="D669" s="166" t="s">
        <v>35</v>
      </c>
      <c r="E669" s="166">
        <v>4.391306175E9</v>
      </c>
      <c r="F669" s="166" t="s">
        <v>2484</v>
      </c>
      <c r="G669" s="210">
        <v>45600.0</v>
      </c>
      <c r="H669" s="310">
        <v>45609.0</v>
      </c>
      <c r="I669" s="168">
        <v>9.0</v>
      </c>
      <c r="J669" s="169" t="s">
        <v>87</v>
      </c>
      <c r="K669" s="166" t="s">
        <v>138</v>
      </c>
      <c r="L669" s="166" t="s">
        <v>1584</v>
      </c>
      <c r="M669" s="166">
        <v>2.0</v>
      </c>
      <c r="N669" s="170">
        <v>0.0</v>
      </c>
      <c r="O669" s="171">
        <v>162.55</v>
      </c>
      <c r="P669" s="171">
        <v>130.04000000000002</v>
      </c>
      <c r="Q669" s="172">
        <v>36.0</v>
      </c>
      <c r="R669" s="173">
        <v>1170.3600000000001</v>
      </c>
      <c r="S669" s="173">
        <v>324.0</v>
      </c>
      <c r="T669" s="173">
        <v>1786.95</v>
      </c>
      <c r="U669" s="174" t="s">
        <v>1585</v>
      </c>
      <c r="V669" s="288">
        <v>45381.74171296296</v>
      </c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</row>
    <row r="670">
      <c r="A670" s="210">
        <v>45382.0</v>
      </c>
      <c r="B670" s="166">
        <v>5511353.0</v>
      </c>
      <c r="C670" s="166" t="s">
        <v>82</v>
      </c>
      <c r="D670" s="166" t="s">
        <v>35</v>
      </c>
      <c r="E670" s="166">
        <v>4.91368866E9</v>
      </c>
      <c r="F670" s="166" t="s">
        <v>2489</v>
      </c>
      <c r="G670" s="210">
        <v>45510.0</v>
      </c>
      <c r="H670" s="287">
        <v>45515.0</v>
      </c>
      <c r="I670" s="168">
        <v>5.0</v>
      </c>
      <c r="J670" s="169" t="s">
        <v>87</v>
      </c>
      <c r="K670" s="166" t="s">
        <v>79</v>
      </c>
      <c r="L670" s="166" t="s">
        <v>2490</v>
      </c>
      <c r="M670" s="166">
        <v>2.0</v>
      </c>
      <c r="N670" s="170">
        <v>0.0</v>
      </c>
      <c r="O670" s="171">
        <v>125.0</v>
      </c>
      <c r="P670" s="171">
        <v>100.0</v>
      </c>
      <c r="Q670" s="172">
        <v>0.0</v>
      </c>
      <c r="R670" s="173">
        <v>500.0</v>
      </c>
      <c r="S670" s="173">
        <v>0.0</v>
      </c>
      <c r="T670" s="173">
        <v>1257.5</v>
      </c>
      <c r="U670" s="201" t="s">
        <v>2492</v>
      </c>
      <c r="V670" s="288">
        <v>45382.631990740745</v>
      </c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</row>
    <row r="671">
      <c r="A671" s="210">
        <v>45382.0</v>
      </c>
      <c r="B671" s="166">
        <v>5511353.0</v>
      </c>
      <c r="C671" s="166" t="s">
        <v>82</v>
      </c>
      <c r="D671" s="166" t="s">
        <v>35</v>
      </c>
      <c r="E671" s="166">
        <v>4.91368866E9</v>
      </c>
      <c r="F671" s="166" t="s">
        <v>2489</v>
      </c>
      <c r="G671" s="210">
        <v>45510.0</v>
      </c>
      <c r="H671" s="287">
        <v>45515.0</v>
      </c>
      <c r="I671" s="168">
        <v>5.0</v>
      </c>
      <c r="J671" s="169" t="s">
        <v>78</v>
      </c>
      <c r="K671" s="166" t="s">
        <v>79</v>
      </c>
      <c r="L671" s="166" t="s">
        <v>2495</v>
      </c>
      <c r="M671" s="166">
        <v>2.0</v>
      </c>
      <c r="N671" s="170">
        <v>0.0</v>
      </c>
      <c r="O671" s="171">
        <v>126.5</v>
      </c>
      <c r="P671" s="171">
        <v>101.2</v>
      </c>
      <c r="Q671" s="172">
        <v>0.0</v>
      </c>
      <c r="R671" s="173">
        <v>506.0</v>
      </c>
      <c r="S671" s="173">
        <v>0.0</v>
      </c>
      <c r="T671" s="173">
        <v>1257.5</v>
      </c>
      <c r="U671" s="201" t="s">
        <v>2498</v>
      </c>
      <c r="V671" s="288">
        <v>45382.631990740745</v>
      </c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>
      <c r="A672" s="210">
        <v>45382.0</v>
      </c>
      <c r="B672" s="166">
        <v>5510588.0</v>
      </c>
      <c r="C672" s="166" t="s">
        <v>89</v>
      </c>
      <c r="D672" s="166" t="s">
        <v>35</v>
      </c>
      <c r="E672" s="166">
        <v>4.46079664E9</v>
      </c>
      <c r="F672" s="166" t="s">
        <v>2500</v>
      </c>
      <c r="G672" s="210">
        <v>45554.0</v>
      </c>
      <c r="H672" s="287">
        <v>45557.0</v>
      </c>
      <c r="I672" s="168">
        <v>3.0</v>
      </c>
      <c r="J672" s="169" t="s">
        <v>78</v>
      </c>
      <c r="K672" s="166" t="s">
        <v>79</v>
      </c>
      <c r="L672" s="166" t="s">
        <v>1400</v>
      </c>
      <c r="M672" s="166">
        <v>2.0</v>
      </c>
      <c r="N672" s="170">
        <v>0.0</v>
      </c>
      <c r="O672" s="171">
        <v>0.0</v>
      </c>
      <c r="P672" s="171">
        <v>0.0</v>
      </c>
      <c r="Q672" s="172">
        <v>0.0</v>
      </c>
      <c r="R672" s="173">
        <v>0.0</v>
      </c>
      <c r="S672" s="173">
        <v>0.0</v>
      </c>
      <c r="T672" s="173">
        <v>0.0</v>
      </c>
      <c r="U672" s="201" t="s">
        <v>2504</v>
      </c>
      <c r="V672" s="288">
        <v>45382.486863425926</v>
      </c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</row>
    <row r="673">
      <c r="A673" s="276">
        <v>45383.0</v>
      </c>
      <c r="B673" s="252">
        <v>5516375.0</v>
      </c>
      <c r="C673" s="253" t="s">
        <v>82</v>
      </c>
      <c r="D673" s="253" t="s">
        <v>94</v>
      </c>
      <c r="E673" s="252">
        <v>4.476787673E9</v>
      </c>
      <c r="F673" s="253" t="s">
        <v>2505</v>
      </c>
      <c r="G673" s="276">
        <v>45394.0</v>
      </c>
      <c r="H673" s="277">
        <v>45395.0</v>
      </c>
      <c r="I673" s="278">
        <v>1.0</v>
      </c>
      <c r="J673" s="257" t="s">
        <v>111</v>
      </c>
      <c r="K673" s="253" t="s">
        <v>79</v>
      </c>
      <c r="L673" s="253" t="s">
        <v>1396</v>
      </c>
      <c r="M673" s="275">
        <v>3.0</v>
      </c>
      <c r="N673" s="258">
        <v>0.0</v>
      </c>
      <c r="O673" s="259">
        <v>210.83</v>
      </c>
      <c r="P673" s="259">
        <v>208.7217</v>
      </c>
      <c r="Q673" s="262">
        <v>0.0</v>
      </c>
      <c r="R673" s="260">
        <v>208.7217</v>
      </c>
      <c r="S673" s="260">
        <v>0.0</v>
      </c>
      <c r="T673" s="260">
        <v>210.83</v>
      </c>
      <c r="U673" s="261" t="s">
        <v>1398</v>
      </c>
      <c r="V673" s="279">
        <v>45383.893784722226</v>
      </c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</row>
    <row r="674">
      <c r="A674" s="276">
        <v>45383.0</v>
      </c>
      <c r="B674" s="252">
        <v>5516192.0</v>
      </c>
      <c r="C674" s="253" t="s">
        <v>82</v>
      </c>
      <c r="D674" s="253" t="s">
        <v>35</v>
      </c>
      <c r="E674" s="252">
        <v>4.70779777E9</v>
      </c>
      <c r="F674" s="253" t="s">
        <v>2505</v>
      </c>
      <c r="G674" s="276">
        <v>45395.0</v>
      </c>
      <c r="H674" s="277">
        <v>45397.0</v>
      </c>
      <c r="I674" s="278">
        <v>2.0</v>
      </c>
      <c r="J674" s="257" t="s">
        <v>87</v>
      </c>
      <c r="K674" s="253" t="s">
        <v>79</v>
      </c>
      <c r="L674" s="253" t="s">
        <v>1396</v>
      </c>
      <c r="M674" s="252">
        <v>2.0</v>
      </c>
      <c r="N674" s="258">
        <v>0.0</v>
      </c>
      <c r="O674" s="259">
        <v>163.9</v>
      </c>
      <c r="P674" s="259">
        <v>131.12</v>
      </c>
      <c r="Q674" s="257">
        <v>0.0</v>
      </c>
      <c r="R674" s="260">
        <v>262.24</v>
      </c>
      <c r="S674" s="260">
        <v>0.0</v>
      </c>
      <c r="T674" s="260">
        <v>327.8</v>
      </c>
      <c r="U674" s="261" t="s">
        <v>1398</v>
      </c>
      <c r="V674" s="279">
        <v>45383.85356481481</v>
      </c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</row>
    <row r="675">
      <c r="A675" s="210">
        <v>45383.0</v>
      </c>
      <c r="B675" s="166">
        <v>5515552.0</v>
      </c>
      <c r="C675" s="166" t="s">
        <v>89</v>
      </c>
      <c r="D675" s="166" t="s">
        <v>35</v>
      </c>
      <c r="E675" s="166">
        <v>4.758034072E9</v>
      </c>
      <c r="F675" s="166" t="s">
        <v>2513</v>
      </c>
      <c r="G675" s="210">
        <v>45399.0</v>
      </c>
      <c r="H675" s="287">
        <v>45402.0</v>
      </c>
      <c r="I675" s="168">
        <v>3.0</v>
      </c>
      <c r="J675" s="169" t="s">
        <v>91</v>
      </c>
      <c r="K675" s="166" t="s">
        <v>79</v>
      </c>
      <c r="L675" s="166" t="s">
        <v>1396</v>
      </c>
      <c r="M675" s="166">
        <v>2.0</v>
      </c>
      <c r="N675" s="170">
        <v>0.0</v>
      </c>
      <c r="O675" s="171">
        <v>0.0</v>
      </c>
      <c r="P675" s="171">
        <v>0.0</v>
      </c>
      <c r="Q675" s="172">
        <v>0.0</v>
      </c>
      <c r="R675" s="173">
        <v>0.0</v>
      </c>
      <c r="S675" s="173">
        <v>0.0</v>
      </c>
      <c r="T675" s="173">
        <v>0.0</v>
      </c>
      <c r="U675" s="174" t="s">
        <v>2515</v>
      </c>
      <c r="V675" s="288">
        <v>45383.73197916667</v>
      </c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</row>
    <row r="676">
      <c r="A676" s="280">
        <v>45383.0</v>
      </c>
      <c r="B676" s="264">
        <v>5516280.0</v>
      </c>
      <c r="C676" s="265" t="s">
        <v>82</v>
      </c>
      <c r="D676" s="265" t="s">
        <v>94</v>
      </c>
      <c r="E676" s="264" t="s">
        <v>2517</v>
      </c>
      <c r="F676" s="265" t="s">
        <v>2518</v>
      </c>
      <c r="G676" s="280">
        <v>45445.0</v>
      </c>
      <c r="H676" s="281">
        <v>45449.0</v>
      </c>
      <c r="I676" s="282">
        <v>4.0</v>
      </c>
      <c r="J676" s="283" t="s">
        <v>78</v>
      </c>
      <c r="K676" s="265" t="s">
        <v>79</v>
      </c>
      <c r="L676" s="265" t="s">
        <v>123</v>
      </c>
      <c r="M676" s="269">
        <v>2.0</v>
      </c>
      <c r="N676" s="270">
        <v>0.0</v>
      </c>
      <c r="O676" s="271">
        <v>125.4</v>
      </c>
      <c r="P676" s="271">
        <v>124.146</v>
      </c>
      <c r="Q676" s="272">
        <v>0.0</v>
      </c>
      <c r="R676" s="273">
        <v>496.584</v>
      </c>
      <c r="S676" s="273">
        <v>0.0</v>
      </c>
      <c r="T676" s="273">
        <v>501.6</v>
      </c>
      <c r="U676" s="274" t="s">
        <v>2416</v>
      </c>
      <c r="V676" s="284">
        <v>45383.870891203704</v>
      </c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</row>
    <row r="677">
      <c r="A677" s="210">
        <v>45383.0</v>
      </c>
      <c r="B677" s="166">
        <v>5515593.0</v>
      </c>
      <c r="C677" s="166" t="s">
        <v>82</v>
      </c>
      <c r="D677" s="166" t="s">
        <v>35</v>
      </c>
      <c r="E677" s="166">
        <v>4.513194931E9</v>
      </c>
      <c r="F677" s="166" t="s">
        <v>2519</v>
      </c>
      <c r="G677" s="210">
        <v>45497.0</v>
      </c>
      <c r="H677" s="287">
        <v>45500.0</v>
      </c>
      <c r="I677" s="168">
        <v>3.0</v>
      </c>
      <c r="J677" s="169" t="s">
        <v>78</v>
      </c>
      <c r="K677" s="166" t="s">
        <v>79</v>
      </c>
      <c r="L677" s="166" t="s">
        <v>1396</v>
      </c>
      <c r="M677" s="205">
        <v>2.0</v>
      </c>
      <c r="N677" s="170">
        <v>0.0</v>
      </c>
      <c r="O677" s="171">
        <v>107.38</v>
      </c>
      <c r="P677" s="171">
        <v>85.904</v>
      </c>
      <c r="Q677" s="172">
        <v>0.0</v>
      </c>
      <c r="R677" s="173">
        <v>257.712</v>
      </c>
      <c r="S677" s="173">
        <v>0.0</v>
      </c>
      <c r="T677" s="173">
        <v>322.14</v>
      </c>
      <c r="U677" s="174" t="s">
        <v>1398</v>
      </c>
      <c r="V677" s="288">
        <v>45383.73893518519</v>
      </c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</row>
    <row r="678">
      <c r="A678" s="210">
        <v>45383.0</v>
      </c>
      <c r="B678" s="166">
        <v>5514844.0</v>
      </c>
      <c r="C678" s="166" t="s">
        <v>82</v>
      </c>
      <c r="D678" s="166" t="s">
        <v>12</v>
      </c>
      <c r="E678" s="166" t="s">
        <v>2521</v>
      </c>
      <c r="F678" s="166" t="s">
        <v>2522</v>
      </c>
      <c r="G678" s="210">
        <v>45508.0</v>
      </c>
      <c r="H678" s="287">
        <v>45512.0</v>
      </c>
      <c r="I678" s="168">
        <v>4.0</v>
      </c>
      <c r="J678" s="169" t="s">
        <v>87</v>
      </c>
      <c r="K678" s="166" t="s">
        <v>79</v>
      </c>
      <c r="L678" s="166" t="s">
        <v>123</v>
      </c>
      <c r="M678" s="166">
        <v>2.0</v>
      </c>
      <c r="N678" s="170">
        <v>0.0</v>
      </c>
      <c r="O678" s="171">
        <v>76.0</v>
      </c>
      <c r="P678" s="171">
        <v>60.800000000000004</v>
      </c>
      <c r="Q678" s="172">
        <v>0.0</v>
      </c>
      <c r="R678" s="173">
        <v>243.20000000000002</v>
      </c>
      <c r="S678" s="173">
        <v>0.0</v>
      </c>
      <c r="T678" s="173">
        <v>304.0</v>
      </c>
      <c r="U678" s="174" t="s">
        <v>2416</v>
      </c>
      <c r="V678" s="288">
        <v>45383.60215277778</v>
      </c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</row>
    <row r="679">
      <c r="A679" s="280">
        <v>45383.0</v>
      </c>
      <c r="B679" s="264">
        <v>5515374.0</v>
      </c>
      <c r="C679" s="265" t="s">
        <v>82</v>
      </c>
      <c r="D679" s="265" t="s">
        <v>35</v>
      </c>
      <c r="E679" s="264">
        <v>4.990673679E9</v>
      </c>
      <c r="F679" s="265" t="s">
        <v>2523</v>
      </c>
      <c r="G679" s="305">
        <v>45588.0</v>
      </c>
      <c r="H679" s="313">
        <v>45593.0</v>
      </c>
      <c r="I679" s="282">
        <v>5.0</v>
      </c>
      <c r="J679" s="283" t="s">
        <v>87</v>
      </c>
      <c r="K679" s="265" t="s">
        <v>79</v>
      </c>
      <c r="L679" s="265" t="s">
        <v>1396</v>
      </c>
      <c r="M679" s="264">
        <v>2.0</v>
      </c>
      <c r="N679" s="270">
        <v>0.0</v>
      </c>
      <c r="O679" s="271">
        <v>150.0</v>
      </c>
      <c r="P679" s="271">
        <v>120.0</v>
      </c>
      <c r="Q679" s="272">
        <v>0.0</v>
      </c>
      <c r="R679" s="273">
        <v>600.0</v>
      </c>
      <c r="S679" s="273">
        <v>0.0</v>
      </c>
      <c r="T679" s="273">
        <v>750.0</v>
      </c>
      <c r="U679" s="274" t="s">
        <v>1398</v>
      </c>
      <c r="V679" s="286">
        <v>45383.69797453703</v>
      </c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>
      <c r="A680" s="280">
        <v>45384.0</v>
      </c>
      <c r="B680" s="264">
        <v>5517062.0</v>
      </c>
      <c r="C680" s="265" t="s">
        <v>82</v>
      </c>
      <c r="D680" s="265" t="s">
        <v>35</v>
      </c>
      <c r="E680" s="264">
        <v>4.321146961E9</v>
      </c>
      <c r="F680" s="265" t="s">
        <v>2525</v>
      </c>
      <c r="G680" s="280">
        <v>45404.0</v>
      </c>
      <c r="H680" s="281">
        <v>45405.0</v>
      </c>
      <c r="I680" s="282">
        <v>1.0</v>
      </c>
      <c r="J680" s="283" t="s">
        <v>78</v>
      </c>
      <c r="K680" s="265" t="s">
        <v>79</v>
      </c>
      <c r="L680" s="265" t="s">
        <v>1396</v>
      </c>
      <c r="M680" s="264">
        <v>2.0</v>
      </c>
      <c r="N680" s="270">
        <v>0.0</v>
      </c>
      <c r="O680" s="271">
        <v>188.94</v>
      </c>
      <c r="P680" s="271">
        <v>151.15200000000002</v>
      </c>
      <c r="Q680" s="272">
        <v>0.0</v>
      </c>
      <c r="R680" s="273">
        <v>151.15200000000002</v>
      </c>
      <c r="S680" s="273">
        <v>0.0</v>
      </c>
      <c r="T680" s="273">
        <v>188.94</v>
      </c>
      <c r="U680" s="274" t="s">
        <v>1398</v>
      </c>
      <c r="V680" s="284">
        <v>45384.24170138889</v>
      </c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</row>
    <row r="681">
      <c r="A681" s="280">
        <v>45384.0</v>
      </c>
      <c r="B681" s="264">
        <v>5519695.0</v>
      </c>
      <c r="C681" s="265" t="s">
        <v>82</v>
      </c>
      <c r="D681" s="265" t="s">
        <v>35</v>
      </c>
      <c r="E681" s="265">
        <v>4.9906234E9</v>
      </c>
      <c r="F681" s="265" t="s">
        <v>2528</v>
      </c>
      <c r="G681" s="280">
        <v>45418.0</v>
      </c>
      <c r="H681" s="281">
        <v>45422.0</v>
      </c>
      <c r="I681" s="282">
        <v>4.0</v>
      </c>
      <c r="J681" s="283" t="s">
        <v>87</v>
      </c>
      <c r="K681" s="265" t="s">
        <v>79</v>
      </c>
      <c r="L681" s="265" t="s">
        <v>1396</v>
      </c>
      <c r="M681" s="264">
        <v>2.0</v>
      </c>
      <c r="N681" s="270">
        <v>0.0</v>
      </c>
      <c r="O681" s="271">
        <v>167.27</v>
      </c>
      <c r="P681" s="271">
        <v>133.816</v>
      </c>
      <c r="Q681" s="283">
        <v>0.0</v>
      </c>
      <c r="R681" s="273">
        <v>535.264</v>
      </c>
      <c r="S681" s="273">
        <v>0.0</v>
      </c>
      <c r="T681" s="260">
        <v>669.08</v>
      </c>
      <c r="U681" s="261" t="s">
        <v>1398</v>
      </c>
      <c r="V681" s="279">
        <v>45384.776446759264</v>
      </c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</row>
    <row r="682">
      <c r="A682" s="276">
        <v>45384.0</v>
      </c>
      <c r="B682" s="252">
        <v>5519772.0</v>
      </c>
      <c r="C682" s="253" t="s">
        <v>82</v>
      </c>
      <c r="D682" s="253" t="s">
        <v>35</v>
      </c>
      <c r="E682" s="252">
        <v>4.737109304E9</v>
      </c>
      <c r="F682" s="253" t="s">
        <v>2531</v>
      </c>
      <c r="G682" s="276">
        <v>45435.0</v>
      </c>
      <c r="H682" s="277">
        <v>45436.0</v>
      </c>
      <c r="I682" s="278">
        <v>1.0</v>
      </c>
      <c r="J682" s="257" t="s">
        <v>87</v>
      </c>
      <c r="K682" s="253" t="s">
        <v>79</v>
      </c>
      <c r="L682" s="253" t="s">
        <v>2532</v>
      </c>
      <c r="M682" s="275">
        <v>2.0</v>
      </c>
      <c r="N682" s="258">
        <v>0.0</v>
      </c>
      <c r="O682" s="259">
        <v>221.75</v>
      </c>
      <c r="P682" s="259">
        <v>177.4</v>
      </c>
      <c r="Q682" s="262">
        <v>0.0</v>
      </c>
      <c r="R682" s="260">
        <v>177.4</v>
      </c>
      <c r="S682" s="260">
        <v>0.0</v>
      </c>
      <c r="T682" s="260">
        <v>221.75</v>
      </c>
      <c r="U682" s="261" t="s">
        <v>2534</v>
      </c>
      <c r="V682" s="279">
        <v>45384.79309027777</v>
      </c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</row>
    <row r="683">
      <c r="A683" s="280">
        <v>45384.0</v>
      </c>
      <c r="B683" s="264">
        <v>5519823.0</v>
      </c>
      <c r="C683" s="265" t="s">
        <v>82</v>
      </c>
      <c r="D683" s="265" t="s">
        <v>35</v>
      </c>
      <c r="E683" s="264">
        <v>4.990624522E9</v>
      </c>
      <c r="F683" s="265" t="s">
        <v>2536</v>
      </c>
      <c r="G683" s="280">
        <v>45435.0</v>
      </c>
      <c r="H683" s="281">
        <v>45436.0</v>
      </c>
      <c r="I683" s="282">
        <v>1.0</v>
      </c>
      <c r="J683" s="283" t="s">
        <v>78</v>
      </c>
      <c r="K683" s="265" t="s">
        <v>79</v>
      </c>
      <c r="L683" s="265" t="s">
        <v>1411</v>
      </c>
      <c r="M683" s="269">
        <v>2.0</v>
      </c>
      <c r="N683" s="270">
        <v>0.0</v>
      </c>
      <c r="O683" s="271">
        <v>257.45</v>
      </c>
      <c r="P683" s="271">
        <v>205.96</v>
      </c>
      <c r="Q683" s="272">
        <v>0.0</v>
      </c>
      <c r="R683" s="273">
        <v>205.96</v>
      </c>
      <c r="S683" s="273">
        <v>0.0</v>
      </c>
      <c r="T683" s="273">
        <v>257.45</v>
      </c>
      <c r="U683" s="339" t="s">
        <v>1412</v>
      </c>
      <c r="V683" s="286">
        <v>45384.80283564815</v>
      </c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</row>
    <row r="684">
      <c r="A684" s="210">
        <v>45384.0</v>
      </c>
      <c r="B684" s="166">
        <v>5519749.0</v>
      </c>
      <c r="C684" s="166" t="s">
        <v>82</v>
      </c>
      <c r="D684" s="166" t="s">
        <v>35</v>
      </c>
      <c r="E684" s="166">
        <v>4.855508227E9</v>
      </c>
      <c r="F684" s="166" t="s">
        <v>2539</v>
      </c>
      <c r="G684" s="210">
        <v>45435.0</v>
      </c>
      <c r="H684" s="287">
        <v>45436.0</v>
      </c>
      <c r="I684" s="168">
        <v>1.0</v>
      </c>
      <c r="J684" s="169" t="s">
        <v>78</v>
      </c>
      <c r="K684" s="166" t="s">
        <v>79</v>
      </c>
      <c r="L684" s="166" t="s">
        <v>1516</v>
      </c>
      <c r="M684" s="205">
        <v>2.0</v>
      </c>
      <c r="N684" s="170">
        <v>0.0</v>
      </c>
      <c r="O684" s="171">
        <v>235.42</v>
      </c>
      <c r="P684" s="171">
        <v>188.336</v>
      </c>
      <c r="Q684" s="172">
        <v>0.0</v>
      </c>
      <c r="R684" s="173">
        <v>188.336</v>
      </c>
      <c r="S684" s="173">
        <v>0.0</v>
      </c>
      <c r="T684" s="173">
        <v>235.42</v>
      </c>
      <c r="U684" s="174" t="s">
        <v>1517</v>
      </c>
      <c r="V684" s="288">
        <v>45384.78962962963</v>
      </c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</row>
    <row r="685">
      <c r="A685" s="289">
        <v>45384.0</v>
      </c>
      <c r="B685" s="290">
        <v>5520168.0</v>
      </c>
      <c r="C685" s="291" t="s">
        <v>82</v>
      </c>
      <c r="D685" s="291" t="s">
        <v>35</v>
      </c>
      <c r="E685" s="290">
        <v>4.99600518E9</v>
      </c>
      <c r="F685" s="291" t="s">
        <v>2543</v>
      </c>
      <c r="G685" s="289">
        <v>45486.0</v>
      </c>
      <c r="H685" s="292">
        <v>45488.0</v>
      </c>
      <c r="I685" s="293">
        <v>2.0</v>
      </c>
      <c r="J685" s="294" t="s">
        <v>78</v>
      </c>
      <c r="K685" s="291" t="s">
        <v>79</v>
      </c>
      <c r="L685" s="291" t="s">
        <v>1396</v>
      </c>
      <c r="M685" s="300">
        <v>2.0</v>
      </c>
      <c r="N685" s="295">
        <v>0.0</v>
      </c>
      <c r="O685" s="296">
        <v>101.0</v>
      </c>
      <c r="P685" s="296">
        <v>80.80000000000001</v>
      </c>
      <c r="Q685" s="301">
        <v>0.0</v>
      </c>
      <c r="R685" s="297">
        <v>161.60000000000002</v>
      </c>
      <c r="S685" s="297">
        <v>0.0</v>
      </c>
      <c r="T685" s="297">
        <v>202.0</v>
      </c>
      <c r="U685" s="298" t="s">
        <v>1398</v>
      </c>
      <c r="V685" s="299">
        <v>45384.874340277776</v>
      </c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</row>
    <row r="686">
      <c r="A686" s="210">
        <v>45384.0</v>
      </c>
      <c r="B686" s="166">
        <v>5517740.0</v>
      </c>
      <c r="C686" s="166" t="s">
        <v>82</v>
      </c>
      <c r="D686" s="166" t="s">
        <v>94</v>
      </c>
      <c r="E686" s="166" t="s">
        <v>2546</v>
      </c>
      <c r="F686" s="166" t="s">
        <v>2547</v>
      </c>
      <c r="G686" s="210">
        <v>45516.0</v>
      </c>
      <c r="H686" s="287">
        <v>45519.0</v>
      </c>
      <c r="I686" s="168">
        <v>3.0</v>
      </c>
      <c r="J686" s="169" t="s">
        <v>78</v>
      </c>
      <c r="K686" s="166" t="s">
        <v>138</v>
      </c>
      <c r="L686" s="166" t="s">
        <v>123</v>
      </c>
      <c r="M686" s="166">
        <v>2.0</v>
      </c>
      <c r="N686" s="170">
        <v>0.0</v>
      </c>
      <c r="O686" s="171">
        <v>107.16000000000001</v>
      </c>
      <c r="P686" s="171">
        <v>106.08840000000001</v>
      </c>
      <c r="Q686" s="172">
        <v>36.0</v>
      </c>
      <c r="R686" s="173">
        <v>318.2652</v>
      </c>
      <c r="S686" s="173">
        <v>108.0</v>
      </c>
      <c r="T686" s="173">
        <v>642.96</v>
      </c>
      <c r="U686" s="174" t="s">
        <v>2416</v>
      </c>
      <c r="V686" s="288">
        <v>45384.40630787037</v>
      </c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</row>
    <row r="687">
      <c r="A687" s="210">
        <v>45384.0</v>
      </c>
      <c r="B687" s="166">
        <v>5517740.0</v>
      </c>
      <c r="C687" s="166" t="s">
        <v>82</v>
      </c>
      <c r="D687" s="166" t="s">
        <v>94</v>
      </c>
      <c r="E687" s="166" t="s">
        <v>2546</v>
      </c>
      <c r="F687" s="166" t="s">
        <v>2547</v>
      </c>
      <c r="G687" s="210">
        <v>45516.0</v>
      </c>
      <c r="H687" s="287">
        <v>45519.0</v>
      </c>
      <c r="I687" s="168">
        <v>3.0</v>
      </c>
      <c r="J687" s="169" t="s">
        <v>78</v>
      </c>
      <c r="K687" s="166" t="s">
        <v>138</v>
      </c>
      <c r="L687" s="166" t="s">
        <v>123</v>
      </c>
      <c r="M687" s="166">
        <v>2.0</v>
      </c>
      <c r="N687" s="170">
        <v>0.0</v>
      </c>
      <c r="O687" s="171">
        <v>107.16000000000001</v>
      </c>
      <c r="P687" s="171">
        <v>106.08840000000001</v>
      </c>
      <c r="Q687" s="172">
        <v>36.0</v>
      </c>
      <c r="R687" s="173">
        <v>318.2652</v>
      </c>
      <c r="S687" s="173">
        <v>108.0</v>
      </c>
      <c r="T687" s="173">
        <v>642.96</v>
      </c>
      <c r="U687" s="201" t="s">
        <v>2416</v>
      </c>
      <c r="V687" s="288">
        <v>45384.40630787037</v>
      </c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</row>
    <row r="688">
      <c r="A688" s="210">
        <v>45384.0</v>
      </c>
      <c r="B688" s="166">
        <v>5519468.0</v>
      </c>
      <c r="C688" s="166" t="s">
        <v>82</v>
      </c>
      <c r="D688" s="166" t="s">
        <v>35</v>
      </c>
      <c r="E688" s="166">
        <v>4.996066908E9</v>
      </c>
      <c r="F688" s="166" t="s">
        <v>2554</v>
      </c>
      <c r="G688" s="212">
        <v>45591.0</v>
      </c>
      <c r="H688" s="310">
        <v>45593.0</v>
      </c>
      <c r="I688" s="168">
        <v>2.0</v>
      </c>
      <c r="J688" s="169" t="s">
        <v>78</v>
      </c>
      <c r="K688" s="166" t="s">
        <v>79</v>
      </c>
      <c r="L688" s="166" t="s">
        <v>1476</v>
      </c>
      <c r="M688" s="166">
        <v>2.0</v>
      </c>
      <c r="N688" s="170">
        <v>0.0</v>
      </c>
      <c r="O688" s="171">
        <v>184.85</v>
      </c>
      <c r="P688" s="171">
        <v>147.88</v>
      </c>
      <c r="Q688" s="172">
        <v>0.0</v>
      </c>
      <c r="R688" s="173">
        <v>295.76</v>
      </c>
      <c r="S688" s="173">
        <v>0.0</v>
      </c>
      <c r="T688" s="173">
        <v>739.4</v>
      </c>
      <c r="U688" s="174" t="s">
        <v>1477</v>
      </c>
      <c r="V688" s="288">
        <v>45384.735451388886</v>
      </c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>
      <c r="A689" s="280">
        <v>45384.0</v>
      </c>
      <c r="B689" s="264">
        <v>5519468.0</v>
      </c>
      <c r="C689" s="265" t="s">
        <v>82</v>
      </c>
      <c r="D689" s="265" t="s">
        <v>35</v>
      </c>
      <c r="E689" s="264">
        <v>4.996066908E9</v>
      </c>
      <c r="F689" s="265" t="s">
        <v>2554</v>
      </c>
      <c r="G689" s="305">
        <v>45591.0</v>
      </c>
      <c r="H689" s="313">
        <v>45593.0</v>
      </c>
      <c r="I689" s="282">
        <v>2.0</v>
      </c>
      <c r="J689" s="283" t="s">
        <v>78</v>
      </c>
      <c r="K689" s="265" t="s">
        <v>79</v>
      </c>
      <c r="L689" s="265" t="s">
        <v>1476</v>
      </c>
      <c r="M689" s="269">
        <v>2.0</v>
      </c>
      <c r="N689" s="270">
        <v>0.0</v>
      </c>
      <c r="O689" s="271">
        <v>184.85</v>
      </c>
      <c r="P689" s="271">
        <v>147.88</v>
      </c>
      <c r="Q689" s="272">
        <v>0.0</v>
      </c>
      <c r="R689" s="273">
        <v>295.76</v>
      </c>
      <c r="S689" s="273">
        <v>0.0</v>
      </c>
      <c r="T689" s="273">
        <v>739.4</v>
      </c>
      <c r="U689" s="274" t="s">
        <v>1477</v>
      </c>
      <c r="V689" s="286">
        <v>45384.735451388886</v>
      </c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>
      <c r="A690" s="280">
        <v>45384.0</v>
      </c>
      <c r="B690" s="264">
        <v>5518229.0</v>
      </c>
      <c r="C690" s="265" t="s">
        <v>82</v>
      </c>
      <c r="D690" s="265" t="s">
        <v>35</v>
      </c>
      <c r="E690" s="264">
        <v>4.558786581E9</v>
      </c>
      <c r="F690" s="265" t="s">
        <v>2562</v>
      </c>
      <c r="G690" s="305">
        <v>45591.0</v>
      </c>
      <c r="H690" s="313">
        <v>45593.0</v>
      </c>
      <c r="I690" s="282">
        <v>2.0</v>
      </c>
      <c r="J690" s="283" t="s">
        <v>78</v>
      </c>
      <c r="K690" s="265" t="s">
        <v>79</v>
      </c>
      <c r="L690" s="265" t="s">
        <v>1400</v>
      </c>
      <c r="M690" s="269">
        <v>2.0</v>
      </c>
      <c r="N690" s="270">
        <v>0.0</v>
      </c>
      <c r="O690" s="271">
        <v>228.2</v>
      </c>
      <c r="P690" s="271">
        <v>182.56</v>
      </c>
      <c r="Q690" s="272">
        <v>0.0</v>
      </c>
      <c r="R690" s="273">
        <v>365.12</v>
      </c>
      <c r="S690" s="273">
        <v>0.0</v>
      </c>
      <c r="T690" s="273">
        <v>456.4</v>
      </c>
      <c r="U690" s="274" t="s">
        <v>1401</v>
      </c>
      <c r="V690" s="284">
        <v>45384.50839120371</v>
      </c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>
      <c r="A691" s="210">
        <v>45384.0</v>
      </c>
      <c r="B691" s="166">
        <v>5519980.0</v>
      </c>
      <c r="C691" s="166" t="s">
        <v>82</v>
      </c>
      <c r="D691" s="166" t="s">
        <v>94</v>
      </c>
      <c r="E691" s="166">
        <v>5519980.0</v>
      </c>
      <c r="F691" s="166" t="s">
        <v>2564</v>
      </c>
      <c r="G691" s="210">
        <v>45605.0</v>
      </c>
      <c r="H691" s="310">
        <v>45606.0</v>
      </c>
      <c r="I691" s="168">
        <v>1.0</v>
      </c>
      <c r="J691" s="169" t="s">
        <v>114</v>
      </c>
      <c r="K691" s="166" t="s">
        <v>79</v>
      </c>
      <c r="L691" s="166" t="s">
        <v>1601</v>
      </c>
      <c r="M691" s="166">
        <v>2.0</v>
      </c>
      <c r="N691" s="169">
        <v>0.0</v>
      </c>
      <c r="O691" s="171">
        <v>161.0</v>
      </c>
      <c r="P691" s="171">
        <v>159.39</v>
      </c>
      <c r="Q691" s="169">
        <v>0.0</v>
      </c>
      <c r="R691" s="173">
        <v>159.39</v>
      </c>
      <c r="S691" s="173">
        <v>0.0</v>
      </c>
      <c r="T691" s="173">
        <v>341.2</v>
      </c>
      <c r="U691" s="174" t="s">
        <v>1602</v>
      </c>
      <c r="V691" s="288">
        <v>45443.70635416667</v>
      </c>
      <c r="W691" s="36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>
      <c r="A692" s="210">
        <v>45384.0</v>
      </c>
      <c r="B692" s="166">
        <v>5519980.0</v>
      </c>
      <c r="C692" s="166" t="s">
        <v>82</v>
      </c>
      <c r="D692" s="166" t="s">
        <v>94</v>
      </c>
      <c r="E692" s="166">
        <v>5519980.0</v>
      </c>
      <c r="F692" s="166" t="s">
        <v>2564</v>
      </c>
      <c r="G692" s="210">
        <v>45605.0</v>
      </c>
      <c r="H692" s="310">
        <v>45606.0</v>
      </c>
      <c r="I692" s="168">
        <v>1.0</v>
      </c>
      <c r="J692" s="169" t="s">
        <v>111</v>
      </c>
      <c r="K692" s="166" t="s">
        <v>79</v>
      </c>
      <c r="L692" s="166" t="s">
        <v>1601</v>
      </c>
      <c r="M692" s="166">
        <v>2.0</v>
      </c>
      <c r="N692" s="169">
        <v>0.0</v>
      </c>
      <c r="O692" s="171">
        <v>180.2</v>
      </c>
      <c r="P692" s="171">
        <v>178.398</v>
      </c>
      <c r="Q692" s="169">
        <v>0.0</v>
      </c>
      <c r="R692" s="173">
        <v>178.398</v>
      </c>
      <c r="S692" s="173">
        <v>0.0</v>
      </c>
      <c r="T692" s="173">
        <v>341.2</v>
      </c>
      <c r="U692" s="201" t="s">
        <v>1602</v>
      </c>
      <c r="V692" s="288">
        <v>45443.70635416667</v>
      </c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>
      <c r="A693" s="210">
        <v>45385.0</v>
      </c>
      <c r="B693" s="166">
        <v>5523016.0</v>
      </c>
      <c r="C693" s="166" t="s">
        <v>82</v>
      </c>
      <c r="D693" s="166" t="s">
        <v>94</v>
      </c>
      <c r="E693" s="166">
        <v>5523016.0</v>
      </c>
      <c r="F693" s="166" t="s">
        <v>2570</v>
      </c>
      <c r="G693" s="210">
        <v>45404.0</v>
      </c>
      <c r="H693" s="287">
        <v>45407.0</v>
      </c>
      <c r="I693" s="168">
        <v>3.0</v>
      </c>
      <c r="J693" s="169" t="s">
        <v>111</v>
      </c>
      <c r="K693" s="166" t="s">
        <v>79</v>
      </c>
      <c r="L693" s="166" t="s">
        <v>1462</v>
      </c>
      <c r="M693" s="166">
        <v>2.0</v>
      </c>
      <c r="N693" s="170">
        <v>0.0</v>
      </c>
      <c r="O693" s="171">
        <v>230.0</v>
      </c>
      <c r="P693" s="171">
        <v>227.7</v>
      </c>
      <c r="Q693" s="172">
        <v>0.0</v>
      </c>
      <c r="R693" s="173">
        <v>683.1</v>
      </c>
      <c r="S693" s="173">
        <v>0.0</v>
      </c>
      <c r="T693" s="173">
        <v>1461.0</v>
      </c>
      <c r="U693" s="174" t="s">
        <v>1463</v>
      </c>
      <c r="V693" s="288">
        <v>45385.65304398148</v>
      </c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</row>
    <row r="694">
      <c r="A694" s="276">
        <v>45385.0</v>
      </c>
      <c r="B694" s="252">
        <v>5523016.0</v>
      </c>
      <c r="C694" s="253" t="s">
        <v>82</v>
      </c>
      <c r="D694" s="253" t="s">
        <v>94</v>
      </c>
      <c r="E694" s="252">
        <v>5523016.0</v>
      </c>
      <c r="F694" s="253" t="s">
        <v>2570</v>
      </c>
      <c r="G694" s="276">
        <v>45404.0</v>
      </c>
      <c r="H694" s="277">
        <v>45407.0</v>
      </c>
      <c r="I694" s="278">
        <v>3.0</v>
      </c>
      <c r="J694" s="257" t="s">
        <v>111</v>
      </c>
      <c r="K694" s="253" t="s">
        <v>79</v>
      </c>
      <c r="L694" s="253" t="s">
        <v>1462</v>
      </c>
      <c r="M694" s="252">
        <v>2.0</v>
      </c>
      <c r="N694" s="258">
        <v>0.0</v>
      </c>
      <c r="O694" s="259">
        <v>257.0</v>
      </c>
      <c r="P694" s="259">
        <v>254.43</v>
      </c>
      <c r="Q694" s="262">
        <v>0.0</v>
      </c>
      <c r="R694" s="260">
        <v>763.29</v>
      </c>
      <c r="S694" s="260">
        <v>0.0</v>
      </c>
      <c r="T694" s="260">
        <v>1461.0</v>
      </c>
      <c r="U694" s="261" t="s">
        <v>1463</v>
      </c>
      <c r="V694" s="279">
        <v>45385.65304398148</v>
      </c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</row>
    <row r="695">
      <c r="A695" s="210">
        <v>45385.0</v>
      </c>
      <c r="B695" s="166">
        <v>5523320.0</v>
      </c>
      <c r="C695" s="166" t="s">
        <v>82</v>
      </c>
      <c r="D695" s="166" t="s">
        <v>35</v>
      </c>
      <c r="E695" s="166">
        <v>4.427917316E9</v>
      </c>
      <c r="F695" s="166" t="s">
        <v>2576</v>
      </c>
      <c r="G695" s="210">
        <v>45417.0</v>
      </c>
      <c r="H695" s="287">
        <v>45419.0</v>
      </c>
      <c r="I695" s="168">
        <v>2.0</v>
      </c>
      <c r="J695" s="169" t="s">
        <v>111</v>
      </c>
      <c r="K695" s="166" t="s">
        <v>79</v>
      </c>
      <c r="L695" s="166" t="s">
        <v>1396</v>
      </c>
      <c r="M695" s="166">
        <v>2.0</v>
      </c>
      <c r="N695" s="170">
        <v>0.0</v>
      </c>
      <c r="O695" s="171">
        <v>243.43</v>
      </c>
      <c r="P695" s="171">
        <v>194.74400000000003</v>
      </c>
      <c r="Q695" s="172">
        <v>0.0</v>
      </c>
      <c r="R695" s="173">
        <v>389.48800000000006</v>
      </c>
      <c r="S695" s="173">
        <v>0.0</v>
      </c>
      <c r="T695" s="173">
        <v>486.86</v>
      </c>
      <c r="U695" s="174" t="s">
        <v>1398</v>
      </c>
      <c r="V695" s="288">
        <v>45385.71884259259</v>
      </c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</row>
    <row r="696">
      <c r="A696" s="276">
        <v>45385.0</v>
      </c>
      <c r="B696" s="252">
        <v>5523170.0</v>
      </c>
      <c r="C696" s="253" t="s">
        <v>82</v>
      </c>
      <c r="D696" s="253" t="s">
        <v>35</v>
      </c>
      <c r="E696" s="252">
        <v>4.545142973E9</v>
      </c>
      <c r="F696" s="253" t="s">
        <v>2579</v>
      </c>
      <c r="G696" s="276">
        <v>45480.0</v>
      </c>
      <c r="H696" s="277">
        <v>45484.0</v>
      </c>
      <c r="I696" s="278">
        <v>4.0</v>
      </c>
      <c r="J696" s="257" t="s">
        <v>87</v>
      </c>
      <c r="K696" s="253" t="s">
        <v>79</v>
      </c>
      <c r="L696" s="253" t="s">
        <v>1396</v>
      </c>
      <c r="M696" s="252">
        <v>2.0</v>
      </c>
      <c r="N696" s="258">
        <v>0.0</v>
      </c>
      <c r="O696" s="259">
        <v>103.55</v>
      </c>
      <c r="P696" s="259">
        <v>82.84</v>
      </c>
      <c r="Q696" s="257">
        <v>0.0</v>
      </c>
      <c r="R696" s="260">
        <v>331.36</v>
      </c>
      <c r="S696" s="260">
        <v>0.0</v>
      </c>
      <c r="T696" s="260">
        <v>414.2</v>
      </c>
      <c r="U696" s="261" t="s">
        <v>1398</v>
      </c>
      <c r="V696" s="279">
        <v>45385.68962962963</v>
      </c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</row>
    <row r="697">
      <c r="A697" s="210">
        <v>45385.0</v>
      </c>
      <c r="B697" s="166">
        <v>5523652.0</v>
      </c>
      <c r="C697" s="166" t="s">
        <v>75</v>
      </c>
      <c r="D697" s="166" t="s">
        <v>35</v>
      </c>
      <c r="E697" s="166">
        <v>4.656954858E9</v>
      </c>
      <c r="F697" s="166" t="s">
        <v>2583</v>
      </c>
      <c r="G697" s="210">
        <v>45499.0</v>
      </c>
      <c r="H697" s="287">
        <v>45503.0</v>
      </c>
      <c r="I697" s="168">
        <v>4.0</v>
      </c>
      <c r="J697" s="169" t="s">
        <v>78</v>
      </c>
      <c r="K697" s="166" t="s">
        <v>79</v>
      </c>
      <c r="L697" s="166" t="s">
        <v>2584</v>
      </c>
      <c r="M697" s="166">
        <v>3.0</v>
      </c>
      <c r="N697" s="170">
        <v>0.0</v>
      </c>
      <c r="O697" s="171">
        <v>167.7</v>
      </c>
      <c r="P697" s="171">
        <v>134.16</v>
      </c>
      <c r="Q697" s="172">
        <v>0.0</v>
      </c>
      <c r="R697" s="173">
        <v>536.64</v>
      </c>
      <c r="S697" s="173">
        <v>0.0</v>
      </c>
      <c r="T697" s="173">
        <v>670.8</v>
      </c>
      <c r="U697" s="201" t="s">
        <v>2586</v>
      </c>
      <c r="V697" s="288">
        <v>45499.500752314816</v>
      </c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</row>
    <row r="698">
      <c r="A698" s="210">
        <v>45385.0</v>
      </c>
      <c r="B698" s="166">
        <v>5523585.0</v>
      </c>
      <c r="C698" s="166" t="s">
        <v>82</v>
      </c>
      <c r="D698" s="166" t="s">
        <v>94</v>
      </c>
      <c r="E698" s="166">
        <v>5523585.0</v>
      </c>
      <c r="F698" s="166" t="s">
        <v>2564</v>
      </c>
      <c r="G698" s="210">
        <v>45605.0</v>
      </c>
      <c r="H698" s="310">
        <v>45609.0</v>
      </c>
      <c r="I698" s="168">
        <v>4.0</v>
      </c>
      <c r="J698" s="169" t="s">
        <v>78</v>
      </c>
      <c r="K698" s="166" t="s">
        <v>79</v>
      </c>
      <c r="L698" s="166" t="s">
        <v>1601</v>
      </c>
      <c r="M698" s="166">
        <v>2.0</v>
      </c>
      <c r="N698" s="169">
        <v>0.0</v>
      </c>
      <c r="O698" s="171">
        <v>146.0</v>
      </c>
      <c r="P698" s="171">
        <v>144.54</v>
      </c>
      <c r="Q698" s="169">
        <v>0.0</v>
      </c>
      <c r="R698" s="173">
        <v>578.16</v>
      </c>
      <c r="S698" s="173">
        <v>0.0</v>
      </c>
      <c r="T698" s="173">
        <v>1228.0</v>
      </c>
      <c r="U698" s="201" t="s">
        <v>1602</v>
      </c>
      <c r="V698" s="288">
        <v>45385.769537037035</v>
      </c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>
      <c r="A699" s="280">
        <v>45385.0</v>
      </c>
      <c r="B699" s="264">
        <v>5523585.0</v>
      </c>
      <c r="C699" s="265" t="s">
        <v>82</v>
      </c>
      <c r="D699" s="265" t="s">
        <v>94</v>
      </c>
      <c r="E699" s="264">
        <v>5523585.0</v>
      </c>
      <c r="F699" s="265" t="s">
        <v>2564</v>
      </c>
      <c r="G699" s="280">
        <v>45605.0</v>
      </c>
      <c r="H699" s="313">
        <v>45609.0</v>
      </c>
      <c r="I699" s="282">
        <v>4.0</v>
      </c>
      <c r="J699" s="283" t="s">
        <v>114</v>
      </c>
      <c r="K699" s="265" t="s">
        <v>79</v>
      </c>
      <c r="L699" s="265" t="s">
        <v>1601</v>
      </c>
      <c r="M699" s="269">
        <v>2.0</v>
      </c>
      <c r="N699" s="270">
        <v>0.0</v>
      </c>
      <c r="O699" s="271">
        <v>161.0</v>
      </c>
      <c r="P699" s="271">
        <v>159.39</v>
      </c>
      <c r="Q699" s="272">
        <v>0.0</v>
      </c>
      <c r="R699" s="273">
        <v>637.56</v>
      </c>
      <c r="S699" s="273">
        <v>0.0</v>
      </c>
      <c r="T699" s="273">
        <v>1228.0</v>
      </c>
      <c r="U699" s="274" t="s">
        <v>1602</v>
      </c>
      <c r="V699" s="284">
        <v>45385.769537037035</v>
      </c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</row>
    <row r="700">
      <c r="A700" s="210">
        <v>45386.0</v>
      </c>
      <c r="B700" s="166">
        <v>5526696.0</v>
      </c>
      <c r="C700" s="166" t="s">
        <v>82</v>
      </c>
      <c r="D700" s="166" t="s">
        <v>35</v>
      </c>
      <c r="E700" s="166">
        <v>4.42854728E9</v>
      </c>
      <c r="F700" s="166" t="s">
        <v>2593</v>
      </c>
      <c r="G700" s="210">
        <v>45388.0</v>
      </c>
      <c r="H700" s="287">
        <v>45389.0</v>
      </c>
      <c r="I700" s="168">
        <v>1.0</v>
      </c>
      <c r="J700" s="169" t="s">
        <v>87</v>
      </c>
      <c r="K700" s="166" t="s">
        <v>79</v>
      </c>
      <c r="L700" s="166" t="s">
        <v>1396</v>
      </c>
      <c r="M700" s="205">
        <v>2.0</v>
      </c>
      <c r="N700" s="170">
        <v>0.0</v>
      </c>
      <c r="O700" s="171">
        <v>180.27</v>
      </c>
      <c r="P700" s="171">
        <v>144.216</v>
      </c>
      <c r="Q700" s="172">
        <v>0.0</v>
      </c>
      <c r="R700" s="173">
        <v>144.216</v>
      </c>
      <c r="S700" s="173">
        <v>0.0</v>
      </c>
      <c r="T700" s="173">
        <v>180.27</v>
      </c>
      <c r="U700" s="174" t="s">
        <v>1398</v>
      </c>
      <c r="V700" s="288">
        <v>45386.611192129625</v>
      </c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</row>
    <row r="701">
      <c r="A701" s="276">
        <v>45386.0</v>
      </c>
      <c r="B701" s="252">
        <v>5527850.0</v>
      </c>
      <c r="C701" s="253" t="s">
        <v>82</v>
      </c>
      <c r="D701" s="253" t="s">
        <v>35</v>
      </c>
      <c r="E701" s="252">
        <v>4.388803034E9</v>
      </c>
      <c r="F701" s="253" t="s">
        <v>2595</v>
      </c>
      <c r="G701" s="276">
        <v>45421.0</v>
      </c>
      <c r="H701" s="277">
        <v>45422.0</v>
      </c>
      <c r="I701" s="278">
        <v>1.0</v>
      </c>
      <c r="J701" s="257" t="s">
        <v>78</v>
      </c>
      <c r="K701" s="253" t="s">
        <v>79</v>
      </c>
      <c r="L701" s="253" t="s">
        <v>1396</v>
      </c>
      <c r="M701" s="252">
        <v>2.0</v>
      </c>
      <c r="N701" s="258">
        <v>0.0</v>
      </c>
      <c r="O701" s="259">
        <v>239.76</v>
      </c>
      <c r="P701" s="259">
        <v>191.808</v>
      </c>
      <c r="Q701" s="262">
        <v>0.0</v>
      </c>
      <c r="R701" s="260">
        <v>191.808</v>
      </c>
      <c r="S701" s="260">
        <v>0.0</v>
      </c>
      <c r="T701" s="260">
        <v>239.76</v>
      </c>
      <c r="U701" s="261" t="s">
        <v>1398</v>
      </c>
      <c r="V701" s="279">
        <v>45386.836863425924</v>
      </c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</row>
    <row r="702">
      <c r="A702" s="276">
        <v>45386.0</v>
      </c>
      <c r="B702" s="252">
        <v>5526808.0</v>
      </c>
      <c r="C702" s="253" t="s">
        <v>82</v>
      </c>
      <c r="D702" s="253" t="s">
        <v>94</v>
      </c>
      <c r="E702" s="252">
        <v>5526808.0</v>
      </c>
      <c r="F702" s="253" t="s">
        <v>2597</v>
      </c>
      <c r="G702" s="276">
        <v>45448.0</v>
      </c>
      <c r="H702" s="277">
        <v>45451.0</v>
      </c>
      <c r="I702" s="278">
        <v>3.0</v>
      </c>
      <c r="J702" s="257" t="s">
        <v>114</v>
      </c>
      <c r="K702" s="253" t="s">
        <v>79</v>
      </c>
      <c r="L702" s="253" t="s">
        <v>1462</v>
      </c>
      <c r="M702" s="252">
        <v>2.0</v>
      </c>
      <c r="N702" s="258">
        <v>0.0</v>
      </c>
      <c r="O702" s="259">
        <v>230.0</v>
      </c>
      <c r="P702" s="259">
        <v>227.7</v>
      </c>
      <c r="Q702" s="262">
        <v>0.0</v>
      </c>
      <c r="R702" s="260">
        <v>683.1</v>
      </c>
      <c r="S702" s="260">
        <v>0.0</v>
      </c>
      <c r="T702" s="260">
        <v>690.0</v>
      </c>
      <c r="U702" s="261" t="s">
        <v>1463</v>
      </c>
      <c r="V702" s="279">
        <v>45386.63259259259</v>
      </c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</row>
    <row r="703">
      <c r="A703" s="280">
        <v>45386.0</v>
      </c>
      <c r="B703" s="264">
        <v>5526497.0</v>
      </c>
      <c r="C703" s="265" t="s">
        <v>82</v>
      </c>
      <c r="D703" s="265" t="s">
        <v>35</v>
      </c>
      <c r="E703" s="264">
        <v>4.310904934E9</v>
      </c>
      <c r="F703" s="265" t="s">
        <v>2601</v>
      </c>
      <c r="G703" s="280">
        <v>45491.0</v>
      </c>
      <c r="H703" s="281">
        <v>45492.0</v>
      </c>
      <c r="I703" s="282">
        <v>1.0</v>
      </c>
      <c r="J703" s="283" t="s">
        <v>114</v>
      </c>
      <c r="K703" s="265" t="s">
        <v>79</v>
      </c>
      <c r="L703" s="265" t="s">
        <v>2495</v>
      </c>
      <c r="M703" s="269">
        <v>3.0</v>
      </c>
      <c r="N703" s="270">
        <v>0.0</v>
      </c>
      <c r="O703" s="271">
        <v>163.5</v>
      </c>
      <c r="P703" s="271">
        <v>130.8</v>
      </c>
      <c r="Q703" s="272">
        <v>0.0</v>
      </c>
      <c r="R703" s="273">
        <v>130.8</v>
      </c>
      <c r="S703" s="273">
        <v>0.0</v>
      </c>
      <c r="T703" s="273">
        <v>163.5</v>
      </c>
      <c r="U703" s="274" t="s">
        <v>2498</v>
      </c>
      <c r="V703" s="284">
        <v>45386.572962962964</v>
      </c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</row>
    <row r="704">
      <c r="A704" s="276">
        <v>45386.0</v>
      </c>
      <c r="B704" s="252">
        <v>5526516.0</v>
      </c>
      <c r="C704" s="253" t="s">
        <v>82</v>
      </c>
      <c r="D704" s="253" t="s">
        <v>35</v>
      </c>
      <c r="E704" s="252">
        <v>4.31095842E9</v>
      </c>
      <c r="F704" s="253" t="s">
        <v>2601</v>
      </c>
      <c r="G704" s="276">
        <v>45494.0</v>
      </c>
      <c r="H704" s="277">
        <v>45495.0</v>
      </c>
      <c r="I704" s="278">
        <v>1.0</v>
      </c>
      <c r="J704" s="257" t="s">
        <v>114</v>
      </c>
      <c r="K704" s="253" t="s">
        <v>79</v>
      </c>
      <c r="L704" s="253" t="s">
        <v>2495</v>
      </c>
      <c r="M704" s="275">
        <v>3.0</v>
      </c>
      <c r="N704" s="258">
        <v>0.0</v>
      </c>
      <c r="O704" s="259">
        <v>163.5</v>
      </c>
      <c r="P704" s="259">
        <v>130.8</v>
      </c>
      <c r="Q704" s="262">
        <v>0.0</v>
      </c>
      <c r="R704" s="260">
        <v>130.8</v>
      </c>
      <c r="S704" s="260">
        <v>0.0</v>
      </c>
      <c r="T704" s="260">
        <v>163.5</v>
      </c>
      <c r="U704" s="261" t="s">
        <v>2498</v>
      </c>
      <c r="V704" s="279">
        <v>45386.57574074074</v>
      </c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</row>
    <row r="705">
      <c r="A705" s="210">
        <v>45386.0</v>
      </c>
      <c r="B705" s="166">
        <v>5527753.0</v>
      </c>
      <c r="C705" s="166" t="s">
        <v>82</v>
      </c>
      <c r="D705" s="166" t="s">
        <v>35</v>
      </c>
      <c r="E705" s="166">
        <v>4.46703541E9</v>
      </c>
      <c r="F705" s="166" t="s">
        <v>2606</v>
      </c>
      <c r="G705" s="210">
        <v>45515.0</v>
      </c>
      <c r="H705" s="287">
        <v>45520.0</v>
      </c>
      <c r="I705" s="168">
        <v>5.0</v>
      </c>
      <c r="J705" s="169" t="s">
        <v>78</v>
      </c>
      <c r="K705" s="166" t="s">
        <v>79</v>
      </c>
      <c r="L705" s="166" t="s">
        <v>1396</v>
      </c>
      <c r="M705" s="205">
        <v>2.0</v>
      </c>
      <c r="N705" s="170">
        <v>0.0</v>
      </c>
      <c r="O705" s="171">
        <v>129.05</v>
      </c>
      <c r="P705" s="171">
        <v>103.24000000000001</v>
      </c>
      <c r="Q705" s="172">
        <v>0.0</v>
      </c>
      <c r="R705" s="173">
        <v>516.2</v>
      </c>
      <c r="S705" s="173">
        <v>0.0</v>
      </c>
      <c r="T705" s="173">
        <v>645.25</v>
      </c>
      <c r="U705" s="174" t="s">
        <v>1398</v>
      </c>
      <c r="V705" s="288">
        <v>45386.819502314815</v>
      </c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</row>
    <row r="706">
      <c r="A706" s="280">
        <v>45386.0</v>
      </c>
      <c r="B706" s="264">
        <v>5527371.0</v>
      </c>
      <c r="C706" s="265" t="s">
        <v>82</v>
      </c>
      <c r="D706" s="265" t="s">
        <v>35</v>
      </c>
      <c r="E706" s="264">
        <v>4.428523965E9</v>
      </c>
      <c r="F706" s="265" t="s">
        <v>2610</v>
      </c>
      <c r="G706" s="280">
        <v>45533.0</v>
      </c>
      <c r="H706" s="281">
        <v>45540.0</v>
      </c>
      <c r="I706" s="282">
        <v>7.0</v>
      </c>
      <c r="J706" s="283" t="s">
        <v>78</v>
      </c>
      <c r="K706" s="265" t="s">
        <v>79</v>
      </c>
      <c r="L706" s="265" t="s">
        <v>1567</v>
      </c>
      <c r="M706" s="269">
        <v>2.0</v>
      </c>
      <c r="N706" s="270">
        <v>0.0</v>
      </c>
      <c r="O706" s="271">
        <v>163.5614285714286</v>
      </c>
      <c r="P706" s="271">
        <v>130.84914285714288</v>
      </c>
      <c r="Q706" s="272">
        <v>0.0</v>
      </c>
      <c r="R706" s="273">
        <v>915.9440000000001</v>
      </c>
      <c r="S706" s="273">
        <v>0.0</v>
      </c>
      <c r="T706" s="273">
        <v>1144.93</v>
      </c>
      <c r="U706" s="274" t="s">
        <v>1568</v>
      </c>
      <c r="V706" s="284">
        <v>45386.745208333334</v>
      </c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</row>
    <row r="707">
      <c r="A707" s="289">
        <v>45387.0</v>
      </c>
      <c r="B707" s="290">
        <v>5530834.0</v>
      </c>
      <c r="C707" s="291" t="s">
        <v>82</v>
      </c>
      <c r="D707" s="291" t="s">
        <v>35</v>
      </c>
      <c r="E707" s="290">
        <v>4.854354387E9</v>
      </c>
      <c r="F707" s="291" t="s">
        <v>2616</v>
      </c>
      <c r="G707" s="289">
        <v>45403.0</v>
      </c>
      <c r="H707" s="292">
        <v>45404.0</v>
      </c>
      <c r="I707" s="293">
        <v>1.0</v>
      </c>
      <c r="J707" s="294" t="s">
        <v>78</v>
      </c>
      <c r="K707" s="291" t="s">
        <v>79</v>
      </c>
      <c r="L707" s="291" t="s">
        <v>1396</v>
      </c>
      <c r="M707" s="290">
        <v>2.0</v>
      </c>
      <c r="N707" s="295">
        <v>0.0</v>
      </c>
      <c r="O707" s="296">
        <v>248.86</v>
      </c>
      <c r="P707" s="296">
        <v>199.08800000000002</v>
      </c>
      <c r="Q707" s="301">
        <v>0.0</v>
      </c>
      <c r="R707" s="297">
        <v>199.08800000000002</v>
      </c>
      <c r="S707" s="297">
        <v>0.0</v>
      </c>
      <c r="T707" s="297">
        <v>248.86</v>
      </c>
      <c r="U707" s="298" t="s">
        <v>1398</v>
      </c>
      <c r="V707" s="299">
        <v>45387.67712962963</v>
      </c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</row>
    <row r="708">
      <c r="A708" s="289">
        <v>45387.0</v>
      </c>
      <c r="B708" s="290">
        <v>5528930.0</v>
      </c>
      <c r="C708" s="291" t="s">
        <v>82</v>
      </c>
      <c r="D708" s="291" t="s">
        <v>35</v>
      </c>
      <c r="E708" s="290">
        <v>4.618860053E9</v>
      </c>
      <c r="F708" s="291" t="s">
        <v>2525</v>
      </c>
      <c r="G708" s="289">
        <v>45405.0</v>
      </c>
      <c r="H708" s="292">
        <v>45406.0</v>
      </c>
      <c r="I708" s="293">
        <v>1.0</v>
      </c>
      <c r="J708" s="294" t="s">
        <v>87</v>
      </c>
      <c r="K708" s="291" t="s">
        <v>79</v>
      </c>
      <c r="L708" s="291" t="s">
        <v>1396</v>
      </c>
      <c r="M708" s="290">
        <v>2.0</v>
      </c>
      <c r="N708" s="295">
        <v>0.0</v>
      </c>
      <c r="O708" s="296">
        <v>158.6</v>
      </c>
      <c r="P708" s="296">
        <v>126.88</v>
      </c>
      <c r="Q708" s="301">
        <v>0.0</v>
      </c>
      <c r="R708" s="297">
        <v>126.88</v>
      </c>
      <c r="S708" s="297">
        <v>0.0</v>
      </c>
      <c r="T708" s="297">
        <v>158.6</v>
      </c>
      <c r="U708" s="298" t="s">
        <v>1398</v>
      </c>
      <c r="V708" s="299">
        <v>45387.275729166664</v>
      </c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</row>
    <row r="709">
      <c r="A709" s="210">
        <v>45387.0</v>
      </c>
      <c r="B709" s="166">
        <v>5530334.0</v>
      </c>
      <c r="C709" s="166" t="s">
        <v>82</v>
      </c>
      <c r="D709" s="166" t="s">
        <v>35</v>
      </c>
      <c r="E709" s="166">
        <v>4.649722188E9</v>
      </c>
      <c r="F709" s="166" t="s">
        <v>2620</v>
      </c>
      <c r="G709" s="210">
        <v>45433.0</v>
      </c>
      <c r="H709" s="287">
        <v>45437.0</v>
      </c>
      <c r="I709" s="168">
        <v>4.0</v>
      </c>
      <c r="J709" s="169" t="s">
        <v>78</v>
      </c>
      <c r="K709" s="166" t="s">
        <v>79</v>
      </c>
      <c r="L709" s="166" t="s">
        <v>1396</v>
      </c>
      <c r="M709" s="166">
        <v>2.0</v>
      </c>
      <c r="N709" s="170">
        <v>0.0</v>
      </c>
      <c r="O709" s="171">
        <v>187.74</v>
      </c>
      <c r="P709" s="171">
        <v>150.192</v>
      </c>
      <c r="Q709" s="172">
        <v>0.0</v>
      </c>
      <c r="R709" s="173">
        <v>600.768</v>
      </c>
      <c r="S709" s="173">
        <v>0.0</v>
      </c>
      <c r="T709" s="173">
        <v>750.96</v>
      </c>
      <c r="U709" s="174" t="s">
        <v>1398</v>
      </c>
      <c r="V709" s="288">
        <v>45387.57644675926</v>
      </c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</row>
    <row r="710">
      <c r="A710" s="280">
        <v>45387.0</v>
      </c>
      <c r="B710" s="264">
        <v>5531107.0</v>
      </c>
      <c r="C710" s="265" t="s">
        <v>82</v>
      </c>
      <c r="D710" s="265" t="s">
        <v>35</v>
      </c>
      <c r="E710" s="264">
        <v>4.403654679E9</v>
      </c>
      <c r="F710" s="265" t="s">
        <v>2623</v>
      </c>
      <c r="G710" s="280">
        <v>45514.0</v>
      </c>
      <c r="H710" s="281">
        <v>45516.0</v>
      </c>
      <c r="I710" s="282">
        <v>2.0</v>
      </c>
      <c r="J710" s="283" t="s">
        <v>78</v>
      </c>
      <c r="K710" s="265" t="s">
        <v>79</v>
      </c>
      <c r="L710" s="265" t="s">
        <v>1443</v>
      </c>
      <c r="M710" s="269">
        <v>2.0</v>
      </c>
      <c r="N710" s="270">
        <v>0.0</v>
      </c>
      <c r="O710" s="271">
        <v>129.05</v>
      </c>
      <c r="P710" s="271">
        <v>103.24000000000001</v>
      </c>
      <c r="Q710" s="272">
        <v>0.0</v>
      </c>
      <c r="R710" s="273">
        <v>206.48000000000002</v>
      </c>
      <c r="S710" s="273">
        <v>0.0</v>
      </c>
      <c r="T710" s="273">
        <v>516.2</v>
      </c>
      <c r="U710" s="274" t="s">
        <v>1444</v>
      </c>
      <c r="V710" s="284">
        <v>45387.7437962963</v>
      </c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</row>
    <row r="711">
      <c r="A711" s="210">
        <v>45387.0</v>
      </c>
      <c r="B711" s="166">
        <v>5531107.0</v>
      </c>
      <c r="C711" s="166" t="s">
        <v>82</v>
      </c>
      <c r="D711" s="166" t="s">
        <v>35</v>
      </c>
      <c r="E711" s="166">
        <v>4.403654679E9</v>
      </c>
      <c r="F711" s="166" t="s">
        <v>2623</v>
      </c>
      <c r="G711" s="210">
        <v>45514.0</v>
      </c>
      <c r="H711" s="287">
        <v>45516.0</v>
      </c>
      <c r="I711" s="168">
        <v>2.0</v>
      </c>
      <c r="J711" s="169" t="s">
        <v>78</v>
      </c>
      <c r="K711" s="166" t="s">
        <v>79</v>
      </c>
      <c r="L711" s="166" t="s">
        <v>1443</v>
      </c>
      <c r="M711" s="205">
        <v>2.0</v>
      </c>
      <c r="N711" s="170">
        <v>0.0</v>
      </c>
      <c r="O711" s="171">
        <v>129.05</v>
      </c>
      <c r="P711" s="171">
        <v>103.24000000000001</v>
      </c>
      <c r="Q711" s="172">
        <v>0.0</v>
      </c>
      <c r="R711" s="173">
        <v>206.48000000000002</v>
      </c>
      <c r="S711" s="173">
        <v>0.0</v>
      </c>
      <c r="T711" s="173">
        <v>516.2</v>
      </c>
      <c r="U711" s="174" t="s">
        <v>1444</v>
      </c>
      <c r="V711" s="288">
        <v>45387.7437962963</v>
      </c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</row>
    <row r="712">
      <c r="A712" s="210">
        <v>45387.0</v>
      </c>
      <c r="B712" s="166">
        <v>5530279.0</v>
      </c>
      <c r="C712" s="166" t="s">
        <v>82</v>
      </c>
      <c r="D712" s="166" t="s">
        <v>35</v>
      </c>
      <c r="E712" s="166">
        <v>4.734716593E9</v>
      </c>
      <c r="F712" s="166" t="s">
        <v>2630</v>
      </c>
      <c r="G712" s="210">
        <v>45573.0</v>
      </c>
      <c r="H712" s="310">
        <v>45577.0</v>
      </c>
      <c r="I712" s="168">
        <v>4.0</v>
      </c>
      <c r="J712" s="169" t="s">
        <v>78</v>
      </c>
      <c r="K712" s="166" t="s">
        <v>79</v>
      </c>
      <c r="L712" s="166" t="s">
        <v>1400</v>
      </c>
      <c r="M712" s="205">
        <v>2.0</v>
      </c>
      <c r="N712" s="170">
        <v>0.0</v>
      </c>
      <c r="O712" s="171">
        <v>173.8</v>
      </c>
      <c r="P712" s="171">
        <v>139.04000000000002</v>
      </c>
      <c r="Q712" s="172">
        <v>0.0</v>
      </c>
      <c r="R712" s="173">
        <v>556.1600000000001</v>
      </c>
      <c r="S712" s="173">
        <v>0.0</v>
      </c>
      <c r="T712" s="173">
        <v>695.2</v>
      </c>
      <c r="U712" s="174" t="s">
        <v>1401</v>
      </c>
      <c r="V712" s="288">
        <v>45387.56671296296</v>
      </c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</row>
    <row r="713">
      <c r="A713" s="276">
        <v>45388.0</v>
      </c>
      <c r="B713" s="252">
        <v>5532991.0</v>
      </c>
      <c r="C713" s="253" t="s">
        <v>82</v>
      </c>
      <c r="D713" s="253" t="s">
        <v>35</v>
      </c>
      <c r="E713" s="252">
        <v>4.33461564E9</v>
      </c>
      <c r="F713" s="253" t="s">
        <v>2633</v>
      </c>
      <c r="G713" s="276">
        <v>45388.0</v>
      </c>
      <c r="H713" s="277">
        <v>45390.0</v>
      </c>
      <c r="I713" s="278">
        <v>2.0</v>
      </c>
      <c r="J713" s="257" t="s">
        <v>91</v>
      </c>
      <c r="K713" s="253" t="s">
        <v>79</v>
      </c>
      <c r="L713" s="253" t="s">
        <v>1396</v>
      </c>
      <c r="M713" s="252">
        <v>4.0</v>
      </c>
      <c r="N713" s="258">
        <v>0.0</v>
      </c>
      <c r="O713" s="259">
        <v>513.73</v>
      </c>
      <c r="P713" s="259">
        <v>410.98400000000004</v>
      </c>
      <c r="Q713" s="257">
        <v>0.0</v>
      </c>
      <c r="R713" s="260">
        <v>821.9680000000001</v>
      </c>
      <c r="S713" s="260">
        <v>0.0</v>
      </c>
      <c r="T713" s="260">
        <v>1027.46</v>
      </c>
      <c r="U713" s="261" t="s">
        <v>1398</v>
      </c>
      <c r="V713" s="279">
        <v>45388.40630787037</v>
      </c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</row>
    <row r="714">
      <c r="A714" s="210">
        <v>45388.0</v>
      </c>
      <c r="B714" s="166">
        <v>5533784.0</v>
      </c>
      <c r="C714" s="166" t="s">
        <v>82</v>
      </c>
      <c r="D714" s="166" t="s">
        <v>35</v>
      </c>
      <c r="E714" s="166">
        <v>4.801977654E9</v>
      </c>
      <c r="F714" s="166" t="s">
        <v>2638</v>
      </c>
      <c r="G714" s="210">
        <v>45506.0</v>
      </c>
      <c r="H714" s="287">
        <v>45508.0</v>
      </c>
      <c r="I714" s="168">
        <v>2.0</v>
      </c>
      <c r="J714" s="169" t="s">
        <v>78</v>
      </c>
      <c r="K714" s="166" t="s">
        <v>79</v>
      </c>
      <c r="L714" s="166" t="s">
        <v>2495</v>
      </c>
      <c r="M714" s="205">
        <v>2.0</v>
      </c>
      <c r="N714" s="170">
        <v>0.0</v>
      </c>
      <c r="O714" s="171">
        <v>116.0</v>
      </c>
      <c r="P714" s="171">
        <v>92.80000000000001</v>
      </c>
      <c r="Q714" s="172">
        <v>0.0</v>
      </c>
      <c r="R714" s="173">
        <v>185.60000000000002</v>
      </c>
      <c r="S714" s="173">
        <v>0.0</v>
      </c>
      <c r="T714" s="173">
        <v>232.0</v>
      </c>
      <c r="U714" s="201" t="s">
        <v>2498</v>
      </c>
      <c r="V714" s="288">
        <v>45388.567395833335</v>
      </c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</row>
    <row r="715">
      <c r="A715" s="276">
        <v>45389.0</v>
      </c>
      <c r="B715" s="252">
        <v>5539204.0</v>
      </c>
      <c r="C715" s="253" t="s">
        <v>82</v>
      </c>
      <c r="D715" s="253" t="s">
        <v>35</v>
      </c>
      <c r="E715" s="252">
        <v>4.732179006E9</v>
      </c>
      <c r="F715" s="253" t="s">
        <v>2642</v>
      </c>
      <c r="G715" s="276">
        <v>45389.0</v>
      </c>
      <c r="H715" s="277">
        <v>45390.0</v>
      </c>
      <c r="I715" s="278">
        <v>1.0</v>
      </c>
      <c r="J715" s="257" t="s">
        <v>78</v>
      </c>
      <c r="K715" s="253" t="s">
        <v>79</v>
      </c>
      <c r="L715" s="253" t="s">
        <v>1454</v>
      </c>
      <c r="M715" s="252">
        <v>3.0</v>
      </c>
      <c r="N715" s="258">
        <v>0.0</v>
      </c>
      <c r="O715" s="259">
        <v>245.92</v>
      </c>
      <c r="P715" s="259">
        <v>196.736</v>
      </c>
      <c r="Q715" s="262">
        <v>0.0</v>
      </c>
      <c r="R715" s="260">
        <v>196.736</v>
      </c>
      <c r="S715" s="260">
        <v>0.0</v>
      </c>
      <c r="T715" s="260">
        <v>245.92</v>
      </c>
      <c r="U715" s="261" t="s">
        <v>1455</v>
      </c>
      <c r="V715" s="279">
        <v>45389.87918981482</v>
      </c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</row>
    <row r="716">
      <c r="A716" s="280">
        <v>45389.0</v>
      </c>
      <c r="B716" s="264">
        <v>5536906.0</v>
      </c>
      <c r="C716" s="265" t="s">
        <v>82</v>
      </c>
      <c r="D716" s="265" t="s">
        <v>35</v>
      </c>
      <c r="E716" s="264">
        <v>4.32808831E9</v>
      </c>
      <c r="F716" s="265" t="s">
        <v>2645</v>
      </c>
      <c r="G716" s="280">
        <v>45390.0</v>
      </c>
      <c r="H716" s="281">
        <v>45392.0</v>
      </c>
      <c r="I716" s="282">
        <v>2.0</v>
      </c>
      <c r="J716" s="283" t="s">
        <v>78</v>
      </c>
      <c r="K716" s="265" t="s">
        <v>79</v>
      </c>
      <c r="L716" s="265" t="s">
        <v>1396</v>
      </c>
      <c r="M716" s="264">
        <v>3.0</v>
      </c>
      <c r="N716" s="270">
        <v>0.0</v>
      </c>
      <c r="O716" s="271">
        <v>227.09</v>
      </c>
      <c r="P716" s="271">
        <v>181.67200000000003</v>
      </c>
      <c r="Q716" s="272">
        <v>0.0</v>
      </c>
      <c r="R716" s="273">
        <v>363.34400000000005</v>
      </c>
      <c r="S716" s="273">
        <v>0.0</v>
      </c>
      <c r="T716" s="273">
        <v>454.18</v>
      </c>
      <c r="U716" s="274" t="s">
        <v>1398</v>
      </c>
      <c r="V716" s="286">
        <v>45389.465312500004</v>
      </c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</row>
    <row r="717">
      <c r="A717" s="276">
        <v>45389.0</v>
      </c>
      <c r="B717" s="252">
        <v>5539015.0</v>
      </c>
      <c r="C717" s="253" t="s">
        <v>82</v>
      </c>
      <c r="D717" s="253" t="s">
        <v>35</v>
      </c>
      <c r="E717" s="252">
        <v>4.640533635E9</v>
      </c>
      <c r="F717" s="253" t="s">
        <v>2648</v>
      </c>
      <c r="G717" s="276">
        <v>45412.0</v>
      </c>
      <c r="H717" s="277">
        <v>45413.0</v>
      </c>
      <c r="I717" s="278">
        <v>1.0</v>
      </c>
      <c r="J717" s="257" t="s">
        <v>78</v>
      </c>
      <c r="K717" s="253" t="s">
        <v>79</v>
      </c>
      <c r="L717" s="253" t="s">
        <v>1400</v>
      </c>
      <c r="M717" s="252">
        <v>3.0</v>
      </c>
      <c r="N717" s="258">
        <v>0.0</v>
      </c>
      <c r="O717" s="259">
        <v>237.92</v>
      </c>
      <c r="P717" s="259">
        <v>190.336</v>
      </c>
      <c r="Q717" s="262">
        <v>0.0</v>
      </c>
      <c r="R717" s="260">
        <v>190.336</v>
      </c>
      <c r="S717" s="260">
        <v>0.0</v>
      </c>
      <c r="T717" s="260">
        <v>237.92</v>
      </c>
      <c r="U717" s="261" t="s">
        <v>1401</v>
      </c>
      <c r="V717" s="279">
        <v>45389.84380787037</v>
      </c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</row>
    <row r="718">
      <c r="A718" s="210">
        <v>45389.0</v>
      </c>
      <c r="B718" s="166">
        <v>5538015.0</v>
      </c>
      <c r="C718" s="166" t="s">
        <v>82</v>
      </c>
      <c r="D718" s="166" t="s">
        <v>35</v>
      </c>
      <c r="E718" s="166">
        <v>4.615070949E9</v>
      </c>
      <c r="F718" s="166" t="s">
        <v>2649</v>
      </c>
      <c r="G718" s="210">
        <v>45483.0</v>
      </c>
      <c r="H718" s="287">
        <v>45484.0</v>
      </c>
      <c r="I718" s="168">
        <v>1.0</v>
      </c>
      <c r="J718" s="169" t="s">
        <v>78</v>
      </c>
      <c r="K718" s="166" t="s">
        <v>79</v>
      </c>
      <c r="L718" s="166" t="s">
        <v>2495</v>
      </c>
      <c r="M718" s="166">
        <v>2.0</v>
      </c>
      <c r="N718" s="170">
        <v>0.0</v>
      </c>
      <c r="O718" s="171">
        <v>125.0</v>
      </c>
      <c r="P718" s="171">
        <v>100.0</v>
      </c>
      <c r="Q718" s="172">
        <v>0.0</v>
      </c>
      <c r="R718" s="173">
        <v>100.0</v>
      </c>
      <c r="S718" s="173">
        <v>0.0</v>
      </c>
      <c r="T718" s="173">
        <v>125.0</v>
      </c>
      <c r="U718" s="174" t="s">
        <v>2498</v>
      </c>
      <c r="V718" s="288">
        <v>45389.662569444445</v>
      </c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</row>
    <row r="719">
      <c r="A719" s="280">
        <v>45389.0</v>
      </c>
      <c r="B719" s="264">
        <v>5537483.0</v>
      </c>
      <c r="C719" s="265" t="s">
        <v>82</v>
      </c>
      <c r="D719" s="265" t="s">
        <v>94</v>
      </c>
      <c r="E719" s="264">
        <v>5537483.0</v>
      </c>
      <c r="F719" s="265" t="s">
        <v>2652</v>
      </c>
      <c r="G719" s="280">
        <v>45599.0</v>
      </c>
      <c r="H719" s="281">
        <v>45603.0</v>
      </c>
      <c r="I719" s="282">
        <v>4.0</v>
      </c>
      <c r="J719" s="283" t="s">
        <v>78</v>
      </c>
      <c r="K719" s="265" t="s">
        <v>79</v>
      </c>
      <c r="L719" s="265" t="s">
        <v>1811</v>
      </c>
      <c r="M719" s="269">
        <v>2.0</v>
      </c>
      <c r="N719" s="270">
        <v>0.0</v>
      </c>
      <c r="O719" s="271">
        <v>146.0</v>
      </c>
      <c r="P719" s="271">
        <v>144.54</v>
      </c>
      <c r="Q719" s="272">
        <v>0.0</v>
      </c>
      <c r="R719" s="273">
        <v>578.16</v>
      </c>
      <c r="S719" s="273">
        <v>0.0</v>
      </c>
      <c r="T719" s="173">
        <v>1091.2</v>
      </c>
      <c r="U719" s="201" t="s">
        <v>1812</v>
      </c>
      <c r="V719" s="288">
        <v>45389.571111111116</v>
      </c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</row>
    <row r="720">
      <c r="A720" s="210">
        <v>45389.0</v>
      </c>
      <c r="B720" s="166">
        <v>5537483.0</v>
      </c>
      <c r="C720" s="166" t="s">
        <v>82</v>
      </c>
      <c r="D720" s="166" t="s">
        <v>94</v>
      </c>
      <c r="E720" s="166">
        <v>5537483.0</v>
      </c>
      <c r="F720" s="166" t="s">
        <v>2652</v>
      </c>
      <c r="G720" s="210">
        <v>45599.0</v>
      </c>
      <c r="H720" s="287">
        <v>45603.0</v>
      </c>
      <c r="I720" s="168">
        <v>4.0</v>
      </c>
      <c r="J720" s="169" t="s">
        <v>87</v>
      </c>
      <c r="K720" s="166" t="s">
        <v>79</v>
      </c>
      <c r="L720" s="166" t="s">
        <v>1811</v>
      </c>
      <c r="M720" s="166">
        <v>2.0</v>
      </c>
      <c r="N720" s="169">
        <v>0.0</v>
      </c>
      <c r="O720" s="171">
        <v>126.8</v>
      </c>
      <c r="P720" s="171">
        <v>125.532</v>
      </c>
      <c r="Q720" s="169">
        <v>0.0</v>
      </c>
      <c r="R720" s="173">
        <v>502.128</v>
      </c>
      <c r="S720" s="173">
        <v>0.0</v>
      </c>
      <c r="T720" s="173">
        <v>1091.2</v>
      </c>
      <c r="U720" s="201" t="s">
        <v>1812</v>
      </c>
      <c r="V720" s="288">
        <v>45389.571111111116</v>
      </c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</row>
    <row r="721">
      <c r="A721" s="280">
        <v>45390.0</v>
      </c>
      <c r="B721" s="264">
        <v>5541664.0</v>
      </c>
      <c r="C721" s="265" t="s">
        <v>75</v>
      </c>
      <c r="D721" s="265" t="s">
        <v>94</v>
      </c>
      <c r="E721" s="265">
        <v>5541664.0</v>
      </c>
      <c r="F721" s="265" t="s">
        <v>2659</v>
      </c>
      <c r="G721" s="280">
        <v>45390.0</v>
      </c>
      <c r="H721" s="281">
        <v>45391.0</v>
      </c>
      <c r="I721" s="282">
        <v>1.0</v>
      </c>
      <c r="J721" s="283" t="s">
        <v>1425</v>
      </c>
      <c r="K721" s="265" t="s">
        <v>1425</v>
      </c>
      <c r="L721" s="265" t="s">
        <v>1425</v>
      </c>
      <c r="M721" s="264">
        <v>1.0</v>
      </c>
      <c r="N721" s="270">
        <v>0.0</v>
      </c>
      <c r="O721" s="271">
        <v>505.5</v>
      </c>
      <c r="P721" s="271">
        <v>500.445</v>
      </c>
      <c r="Q721" s="272" t="e">
        <v>#NUM!</v>
      </c>
      <c r="R721" s="273">
        <v>500.445</v>
      </c>
      <c r="S721" s="273" t="e">
        <v>#NUM!</v>
      </c>
      <c r="T721" s="273">
        <v>505.5</v>
      </c>
      <c r="U721" s="274" t="s">
        <v>1428</v>
      </c>
      <c r="V721" s="286">
        <v>45390.5771412037</v>
      </c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</row>
    <row r="722">
      <c r="A722" s="289">
        <v>45390.0</v>
      </c>
      <c r="B722" s="290">
        <v>5541935.0</v>
      </c>
      <c r="C722" s="291" t="s">
        <v>82</v>
      </c>
      <c r="D722" s="291" t="s">
        <v>35</v>
      </c>
      <c r="E722" s="290">
        <v>4.704129249E9</v>
      </c>
      <c r="F722" s="291" t="s">
        <v>2662</v>
      </c>
      <c r="G722" s="289">
        <v>45424.0</v>
      </c>
      <c r="H722" s="292">
        <v>45427.0</v>
      </c>
      <c r="I722" s="293">
        <v>3.0</v>
      </c>
      <c r="J722" s="294" t="s">
        <v>78</v>
      </c>
      <c r="K722" s="291" t="s">
        <v>79</v>
      </c>
      <c r="L722" s="291" t="s">
        <v>1396</v>
      </c>
      <c r="M722" s="290">
        <v>2.0</v>
      </c>
      <c r="N722" s="295">
        <v>0.0</v>
      </c>
      <c r="O722" s="296">
        <v>239.76</v>
      </c>
      <c r="P722" s="296">
        <v>191.808</v>
      </c>
      <c r="Q722" s="294">
        <v>0.0</v>
      </c>
      <c r="R722" s="297">
        <v>575.424</v>
      </c>
      <c r="S722" s="297">
        <v>0.0</v>
      </c>
      <c r="T722" s="297">
        <v>719.28</v>
      </c>
      <c r="U722" s="298" t="s">
        <v>1398</v>
      </c>
      <c r="V722" s="299">
        <v>45390.624340277776</v>
      </c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</row>
    <row r="723">
      <c r="A723" s="210">
        <v>45390.0</v>
      </c>
      <c r="B723" s="166">
        <v>5543223.0</v>
      </c>
      <c r="C723" s="166" t="s">
        <v>89</v>
      </c>
      <c r="D723" s="166" t="s">
        <v>35</v>
      </c>
      <c r="E723" s="166">
        <v>4.59636846E9</v>
      </c>
      <c r="F723" s="166" t="s">
        <v>2666</v>
      </c>
      <c r="G723" s="210">
        <v>45437.0</v>
      </c>
      <c r="H723" s="287">
        <v>45441.0</v>
      </c>
      <c r="I723" s="168">
        <v>4.0</v>
      </c>
      <c r="J723" s="169" t="s">
        <v>91</v>
      </c>
      <c r="K723" s="166" t="s">
        <v>79</v>
      </c>
      <c r="L723" s="166" t="s">
        <v>1396</v>
      </c>
      <c r="M723" s="205">
        <v>4.0</v>
      </c>
      <c r="N723" s="170">
        <v>0.0</v>
      </c>
      <c r="O723" s="171">
        <v>0.0</v>
      </c>
      <c r="P723" s="171">
        <v>0.0</v>
      </c>
      <c r="Q723" s="169">
        <v>0.0</v>
      </c>
      <c r="R723" s="173">
        <v>0.0</v>
      </c>
      <c r="S723" s="173">
        <v>0.0</v>
      </c>
      <c r="T723" s="173">
        <v>0.0</v>
      </c>
      <c r="U723" s="174" t="s">
        <v>2667</v>
      </c>
      <c r="V723" s="288">
        <v>45397.87365740741</v>
      </c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</row>
    <row r="724">
      <c r="A724" s="210">
        <v>45391.0</v>
      </c>
      <c r="B724" s="166">
        <v>5546334.0</v>
      </c>
      <c r="C724" s="166" t="s">
        <v>82</v>
      </c>
      <c r="D724" s="166" t="s">
        <v>35</v>
      </c>
      <c r="E724" s="166">
        <v>4.517948352E9</v>
      </c>
      <c r="F724" s="166" t="s">
        <v>2671</v>
      </c>
      <c r="G724" s="210">
        <v>45435.0</v>
      </c>
      <c r="H724" s="287">
        <v>45436.0</v>
      </c>
      <c r="I724" s="168">
        <v>1.0</v>
      </c>
      <c r="J724" s="169" t="s">
        <v>111</v>
      </c>
      <c r="K724" s="166" t="s">
        <v>79</v>
      </c>
      <c r="L724" s="166" t="s">
        <v>1443</v>
      </c>
      <c r="M724" s="166">
        <v>2.0</v>
      </c>
      <c r="N724" s="170">
        <v>0.0</v>
      </c>
      <c r="O724" s="171">
        <v>214.95</v>
      </c>
      <c r="P724" s="171">
        <v>171.96</v>
      </c>
      <c r="Q724" s="172">
        <v>0.0</v>
      </c>
      <c r="R724" s="173">
        <v>171.96</v>
      </c>
      <c r="S724" s="173">
        <v>0.0</v>
      </c>
      <c r="T724" s="173">
        <v>214.95</v>
      </c>
      <c r="U724" s="174" t="s">
        <v>1444</v>
      </c>
      <c r="V724" s="288">
        <v>45391.72712962963</v>
      </c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</row>
    <row r="725">
      <c r="A725" s="280">
        <v>45391.0</v>
      </c>
      <c r="B725" s="264">
        <v>5544393.0</v>
      </c>
      <c r="C725" s="265" t="s">
        <v>82</v>
      </c>
      <c r="D725" s="265" t="s">
        <v>35</v>
      </c>
      <c r="E725" s="264">
        <v>4.474962899E9</v>
      </c>
      <c r="F725" s="265" t="s">
        <v>2674</v>
      </c>
      <c r="G725" s="280">
        <v>45542.0</v>
      </c>
      <c r="H725" s="281">
        <v>45545.0</v>
      </c>
      <c r="I725" s="282">
        <v>3.0</v>
      </c>
      <c r="J725" s="283" t="s">
        <v>78</v>
      </c>
      <c r="K725" s="265" t="s">
        <v>79</v>
      </c>
      <c r="L725" s="265" t="s">
        <v>1414</v>
      </c>
      <c r="M725" s="269">
        <v>2.0</v>
      </c>
      <c r="N725" s="270">
        <v>0.0</v>
      </c>
      <c r="O725" s="271">
        <v>156.67</v>
      </c>
      <c r="P725" s="271">
        <v>125.336</v>
      </c>
      <c r="Q725" s="272">
        <v>0.0</v>
      </c>
      <c r="R725" s="273">
        <v>376.00800000000004</v>
      </c>
      <c r="S725" s="273">
        <v>0.0</v>
      </c>
      <c r="T725" s="273">
        <v>470.01</v>
      </c>
      <c r="U725" s="274" t="s">
        <v>1415</v>
      </c>
      <c r="V725" s="284">
        <v>45391.35283564815</v>
      </c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</row>
    <row r="726">
      <c r="A726" s="280">
        <v>45391.0</v>
      </c>
      <c r="B726" s="264">
        <v>5546717.0</v>
      </c>
      <c r="C726" s="265" t="s">
        <v>82</v>
      </c>
      <c r="D726" s="265" t="s">
        <v>35</v>
      </c>
      <c r="E726" s="265">
        <v>4.763306248E9</v>
      </c>
      <c r="F726" s="265" t="s">
        <v>2676</v>
      </c>
      <c r="G726" s="280">
        <v>45558.0</v>
      </c>
      <c r="H726" s="281">
        <v>45565.0</v>
      </c>
      <c r="I726" s="282">
        <v>7.0</v>
      </c>
      <c r="J726" s="283" t="s">
        <v>78</v>
      </c>
      <c r="K726" s="265" t="s">
        <v>79</v>
      </c>
      <c r="L726" s="265" t="s">
        <v>1400</v>
      </c>
      <c r="M726" s="269">
        <v>2.0</v>
      </c>
      <c r="N726" s="270">
        <v>0.0</v>
      </c>
      <c r="O726" s="271">
        <v>257.45</v>
      </c>
      <c r="P726" s="271">
        <v>205.96</v>
      </c>
      <c r="Q726" s="272">
        <v>0.0</v>
      </c>
      <c r="R726" s="273">
        <v>1441.7200000000003</v>
      </c>
      <c r="S726" s="273">
        <v>0.0</v>
      </c>
      <c r="T726" s="273">
        <v>1802.15</v>
      </c>
      <c r="U726" s="274" t="s">
        <v>1401</v>
      </c>
      <c r="V726" s="286">
        <v>45391.80006944445</v>
      </c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</row>
    <row r="727">
      <c r="A727" s="276">
        <v>45391.0</v>
      </c>
      <c r="B727" s="252">
        <v>5546960.0</v>
      </c>
      <c r="C727" s="253" t="s">
        <v>82</v>
      </c>
      <c r="D727" s="253" t="s">
        <v>94</v>
      </c>
      <c r="E727" s="252">
        <v>5546960.0</v>
      </c>
      <c r="F727" s="253" t="s">
        <v>2679</v>
      </c>
      <c r="G727" s="304">
        <v>45581.0</v>
      </c>
      <c r="H727" s="311">
        <v>45585.0</v>
      </c>
      <c r="I727" s="278">
        <v>4.0</v>
      </c>
      <c r="J727" s="257" t="s">
        <v>114</v>
      </c>
      <c r="K727" s="253" t="s">
        <v>79</v>
      </c>
      <c r="L727" s="253" t="s">
        <v>1462</v>
      </c>
      <c r="M727" s="252">
        <v>2.0</v>
      </c>
      <c r="N727" s="258">
        <v>0.0</v>
      </c>
      <c r="O727" s="259">
        <v>197.0</v>
      </c>
      <c r="P727" s="259">
        <v>195.03</v>
      </c>
      <c r="Q727" s="262">
        <v>0.0</v>
      </c>
      <c r="R727" s="260">
        <v>780.12</v>
      </c>
      <c r="S727" s="260">
        <v>0.0</v>
      </c>
      <c r="T727" s="260">
        <v>788.0</v>
      </c>
      <c r="U727" s="261" t="s">
        <v>1463</v>
      </c>
      <c r="V727" s="279">
        <v>45391.847291666665</v>
      </c>
      <c r="W727" s="36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</row>
    <row r="728">
      <c r="A728" s="210">
        <v>45391.0</v>
      </c>
      <c r="B728" s="166">
        <v>5547262.0</v>
      </c>
      <c r="C728" s="166" t="s">
        <v>82</v>
      </c>
      <c r="D728" s="166" t="s">
        <v>35</v>
      </c>
      <c r="E728" s="166">
        <v>4.688603022E9</v>
      </c>
      <c r="F728" s="166" t="s">
        <v>2682</v>
      </c>
      <c r="G728" s="212">
        <v>45592.0</v>
      </c>
      <c r="H728" s="310">
        <v>45594.0</v>
      </c>
      <c r="I728" s="168">
        <v>2.0</v>
      </c>
      <c r="J728" s="169" t="s">
        <v>78</v>
      </c>
      <c r="K728" s="166" t="s">
        <v>79</v>
      </c>
      <c r="L728" s="166" t="s">
        <v>1400</v>
      </c>
      <c r="M728" s="166">
        <v>2.0</v>
      </c>
      <c r="N728" s="170">
        <v>0.0</v>
      </c>
      <c r="O728" s="171">
        <v>214.6</v>
      </c>
      <c r="P728" s="171">
        <v>171.68</v>
      </c>
      <c r="Q728" s="172">
        <v>0.0</v>
      </c>
      <c r="R728" s="173">
        <v>343.36</v>
      </c>
      <c r="S728" s="173">
        <v>0.0</v>
      </c>
      <c r="T728" s="173">
        <v>810.8</v>
      </c>
      <c r="U728" s="174" t="s">
        <v>1401</v>
      </c>
      <c r="V728" s="288">
        <v>45391.9236574074</v>
      </c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</row>
    <row r="729">
      <c r="A729" s="210">
        <v>45391.0</v>
      </c>
      <c r="B729" s="166">
        <v>5547262.0</v>
      </c>
      <c r="C729" s="166" t="s">
        <v>82</v>
      </c>
      <c r="D729" s="166" t="s">
        <v>35</v>
      </c>
      <c r="E729" s="166">
        <v>4.688603022E9</v>
      </c>
      <c r="F729" s="166" t="s">
        <v>2682</v>
      </c>
      <c r="G729" s="212">
        <v>45592.0</v>
      </c>
      <c r="H729" s="310">
        <v>45594.0</v>
      </c>
      <c r="I729" s="168">
        <v>2.0</v>
      </c>
      <c r="J729" s="169" t="s">
        <v>111</v>
      </c>
      <c r="K729" s="166" t="s">
        <v>79</v>
      </c>
      <c r="L729" s="166" t="s">
        <v>1400</v>
      </c>
      <c r="M729" s="166">
        <v>2.0</v>
      </c>
      <c r="N729" s="170">
        <v>0.0</v>
      </c>
      <c r="O729" s="171">
        <v>190.8</v>
      </c>
      <c r="P729" s="171">
        <v>152.64000000000001</v>
      </c>
      <c r="Q729" s="172">
        <v>0.0</v>
      </c>
      <c r="R729" s="173">
        <v>305.28000000000003</v>
      </c>
      <c r="S729" s="173">
        <v>0.0</v>
      </c>
      <c r="T729" s="173">
        <v>810.8</v>
      </c>
      <c r="U729" s="174" t="s">
        <v>1401</v>
      </c>
      <c r="V729" s="288">
        <v>45391.9236574074</v>
      </c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</row>
    <row r="730">
      <c r="A730" s="210">
        <v>45391.0</v>
      </c>
      <c r="B730" s="166">
        <v>5545136.0</v>
      </c>
      <c r="C730" s="166" t="s">
        <v>82</v>
      </c>
      <c r="D730" s="166" t="s">
        <v>35</v>
      </c>
      <c r="E730" s="166">
        <v>4.66164098E9</v>
      </c>
      <c r="F730" s="166" t="s">
        <v>2688</v>
      </c>
      <c r="G730" s="210">
        <v>45597.0</v>
      </c>
      <c r="H730" s="287">
        <v>45601.0</v>
      </c>
      <c r="I730" s="168">
        <v>4.0</v>
      </c>
      <c r="J730" s="169" t="s">
        <v>78</v>
      </c>
      <c r="K730" s="166" t="s">
        <v>79</v>
      </c>
      <c r="L730" s="166" t="s">
        <v>1396</v>
      </c>
      <c r="M730" s="166">
        <v>2.0</v>
      </c>
      <c r="N730" s="170">
        <v>0.0</v>
      </c>
      <c r="O730" s="171">
        <v>157.81</v>
      </c>
      <c r="P730" s="171">
        <v>126.248</v>
      </c>
      <c r="Q730" s="172">
        <v>0.0</v>
      </c>
      <c r="R730" s="173">
        <v>504.992</v>
      </c>
      <c r="S730" s="173">
        <v>0.0</v>
      </c>
      <c r="T730" s="173">
        <v>631.24</v>
      </c>
      <c r="U730" s="174" t="s">
        <v>1398</v>
      </c>
      <c r="V730" s="288">
        <v>45391.50071759259</v>
      </c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</row>
    <row r="731">
      <c r="A731" s="276">
        <v>45392.0</v>
      </c>
      <c r="B731" s="252">
        <v>5549680.0</v>
      </c>
      <c r="C731" s="253" t="s">
        <v>82</v>
      </c>
      <c r="D731" s="253" t="s">
        <v>94</v>
      </c>
      <c r="E731" s="252">
        <v>5549680.0</v>
      </c>
      <c r="F731" s="253" t="s">
        <v>2690</v>
      </c>
      <c r="G731" s="276">
        <v>45406.0</v>
      </c>
      <c r="H731" s="277">
        <v>45409.0</v>
      </c>
      <c r="I731" s="278">
        <v>3.0</v>
      </c>
      <c r="J731" s="257" t="s">
        <v>91</v>
      </c>
      <c r="K731" s="253" t="s">
        <v>79</v>
      </c>
      <c r="L731" s="253" t="s">
        <v>1601</v>
      </c>
      <c r="M731" s="252">
        <v>4.0</v>
      </c>
      <c r="N731" s="258">
        <v>0.0</v>
      </c>
      <c r="O731" s="259">
        <v>514.6666666666666</v>
      </c>
      <c r="P731" s="259">
        <v>509.52</v>
      </c>
      <c r="Q731" s="262">
        <v>0.0</v>
      </c>
      <c r="R731" s="260">
        <v>1528.56</v>
      </c>
      <c r="S731" s="260">
        <v>0.0</v>
      </c>
      <c r="T731" s="260">
        <v>1544.0</v>
      </c>
      <c r="U731" s="261" t="s">
        <v>1602</v>
      </c>
      <c r="V731" s="279">
        <v>45392.722604166665</v>
      </c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</row>
    <row r="732">
      <c r="A732" s="210">
        <v>45392.0</v>
      </c>
      <c r="B732" s="166">
        <v>5549115.0</v>
      </c>
      <c r="C732" s="166" t="s">
        <v>82</v>
      </c>
      <c r="D732" s="166" t="s">
        <v>35</v>
      </c>
      <c r="E732" s="166">
        <v>4.767572089E9</v>
      </c>
      <c r="F732" s="166" t="s">
        <v>2693</v>
      </c>
      <c r="G732" s="210">
        <v>45442.0</v>
      </c>
      <c r="H732" s="287">
        <v>45445.0</v>
      </c>
      <c r="I732" s="168">
        <v>3.0</v>
      </c>
      <c r="J732" s="169" t="s">
        <v>78</v>
      </c>
      <c r="K732" s="166" t="s">
        <v>79</v>
      </c>
      <c r="L732" s="166" t="s">
        <v>1443</v>
      </c>
      <c r="M732" s="166">
        <v>2.0</v>
      </c>
      <c r="N732" s="170">
        <v>0.0</v>
      </c>
      <c r="O732" s="171">
        <v>200.86</v>
      </c>
      <c r="P732" s="171">
        <v>160.68800000000002</v>
      </c>
      <c r="Q732" s="172">
        <v>0.0</v>
      </c>
      <c r="R732" s="173">
        <v>482.0640000000001</v>
      </c>
      <c r="S732" s="173">
        <v>0.0</v>
      </c>
      <c r="T732" s="173">
        <v>1288.08</v>
      </c>
      <c r="U732" s="201" t="s">
        <v>1444</v>
      </c>
      <c r="V732" s="288">
        <v>45392.606307870374</v>
      </c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</row>
    <row r="733">
      <c r="A733" s="210">
        <v>45392.0</v>
      </c>
      <c r="B733" s="166">
        <v>5549115.0</v>
      </c>
      <c r="C733" s="166" t="s">
        <v>82</v>
      </c>
      <c r="D733" s="166" t="s">
        <v>35</v>
      </c>
      <c r="E733" s="166">
        <v>4.767572089E9</v>
      </c>
      <c r="F733" s="166" t="s">
        <v>2693</v>
      </c>
      <c r="G733" s="210">
        <v>45442.0</v>
      </c>
      <c r="H733" s="287">
        <v>45445.0</v>
      </c>
      <c r="I733" s="168">
        <v>3.0</v>
      </c>
      <c r="J733" s="169" t="s">
        <v>111</v>
      </c>
      <c r="K733" s="166" t="s">
        <v>79</v>
      </c>
      <c r="L733" s="166" t="s">
        <v>1414</v>
      </c>
      <c r="M733" s="166">
        <v>2.0</v>
      </c>
      <c r="N733" s="170">
        <v>0.0</v>
      </c>
      <c r="O733" s="171">
        <v>228.5</v>
      </c>
      <c r="P733" s="171">
        <v>182.8</v>
      </c>
      <c r="Q733" s="172">
        <v>0.0</v>
      </c>
      <c r="R733" s="173">
        <v>548.4</v>
      </c>
      <c r="S733" s="173">
        <v>0.0</v>
      </c>
      <c r="T733" s="173">
        <v>1288.08</v>
      </c>
      <c r="U733" s="174" t="s">
        <v>1415</v>
      </c>
      <c r="V733" s="288">
        <v>45392.606307870374</v>
      </c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</row>
    <row r="734">
      <c r="A734" s="210">
        <v>45392.0</v>
      </c>
      <c r="B734" s="166">
        <v>5549902.0</v>
      </c>
      <c r="C734" s="166" t="s">
        <v>82</v>
      </c>
      <c r="D734" s="166" t="s">
        <v>35</v>
      </c>
      <c r="E734" s="166">
        <v>4.755058607E9</v>
      </c>
      <c r="F734" s="166" t="s">
        <v>2698</v>
      </c>
      <c r="G734" s="210">
        <v>45493.0</v>
      </c>
      <c r="H734" s="287">
        <v>45501.0</v>
      </c>
      <c r="I734" s="168">
        <v>8.0</v>
      </c>
      <c r="J734" s="169" t="s">
        <v>114</v>
      </c>
      <c r="K734" s="166" t="s">
        <v>79</v>
      </c>
      <c r="L734" s="166" t="s">
        <v>1396</v>
      </c>
      <c r="M734" s="166">
        <v>2.0</v>
      </c>
      <c r="N734" s="169">
        <v>0.0</v>
      </c>
      <c r="O734" s="171">
        <v>145.31</v>
      </c>
      <c r="P734" s="171">
        <v>116.248</v>
      </c>
      <c r="Q734" s="169">
        <v>0.0</v>
      </c>
      <c r="R734" s="173">
        <v>929.984</v>
      </c>
      <c r="S734" s="173">
        <v>0.0</v>
      </c>
      <c r="T734" s="173">
        <v>1162.48</v>
      </c>
      <c r="U734" s="201" t="s">
        <v>1398</v>
      </c>
      <c r="V734" s="288">
        <v>45392.775717592594</v>
      </c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</row>
    <row r="735">
      <c r="A735" s="276">
        <v>45393.0</v>
      </c>
      <c r="B735" s="252">
        <v>5553170.0</v>
      </c>
      <c r="C735" s="253" t="s">
        <v>82</v>
      </c>
      <c r="D735" s="285" t="s">
        <v>35</v>
      </c>
      <c r="E735" s="252">
        <v>4.936074836E9</v>
      </c>
      <c r="F735" s="253" t="s">
        <v>2701</v>
      </c>
      <c r="G735" s="276">
        <v>45428.0</v>
      </c>
      <c r="H735" s="277">
        <v>45429.0</v>
      </c>
      <c r="I735" s="278">
        <v>1.0</v>
      </c>
      <c r="J735" s="257" t="s">
        <v>87</v>
      </c>
      <c r="K735" s="253" t="s">
        <v>79</v>
      </c>
      <c r="L735" s="253" t="s">
        <v>1400</v>
      </c>
      <c r="M735" s="252">
        <v>2.0</v>
      </c>
      <c r="N735" s="258">
        <v>0.0</v>
      </c>
      <c r="O735" s="259">
        <v>201.0</v>
      </c>
      <c r="P735" s="259">
        <v>160.8</v>
      </c>
      <c r="Q735" s="262">
        <v>0.0</v>
      </c>
      <c r="R735" s="260">
        <v>160.8</v>
      </c>
      <c r="S735" s="260">
        <v>0.0</v>
      </c>
      <c r="T735" s="260">
        <v>201.0</v>
      </c>
      <c r="U735" s="261" t="s">
        <v>1401</v>
      </c>
      <c r="V735" s="279">
        <v>45393.701469907406</v>
      </c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</row>
    <row r="736">
      <c r="A736" s="210">
        <v>45393.0</v>
      </c>
      <c r="B736" s="166">
        <v>5553863.0</v>
      </c>
      <c r="C736" s="166" t="s">
        <v>82</v>
      </c>
      <c r="D736" s="166" t="s">
        <v>35</v>
      </c>
      <c r="E736" s="166">
        <v>4.716959015E9</v>
      </c>
      <c r="F736" s="166" t="s">
        <v>2703</v>
      </c>
      <c r="G736" s="210">
        <v>45439.0</v>
      </c>
      <c r="H736" s="287">
        <v>45441.0</v>
      </c>
      <c r="I736" s="168">
        <v>2.0</v>
      </c>
      <c r="J736" s="169" t="s">
        <v>78</v>
      </c>
      <c r="K736" s="166" t="s">
        <v>79</v>
      </c>
      <c r="L736" s="166" t="s">
        <v>1396</v>
      </c>
      <c r="M736" s="166">
        <v>2.0</v>
      </c>
      <c r="N736" s="170">
        <v>0.0</v>
      </c>
      <c r="O736" s="171">
        <v>254.93</v>
      </c>
      <c r="P736" s="171">
        <v>203.94400000000002</v>
      </c>
      <c r="Q736" s="169">
        <v>0.0</v>
      </c>
      <c r="R736" s="173">
        <v>407.88800000000003</v>
      </c>
      <c r="S736" s="173">
        <v>0.0</v>
      </c>
      <c r="T736" s="173">
        <v>509.86</v>
      </c>
      <c r="U736" s="174" t="s">
        <v>1398</v>
      </c>
      <c r="V736" s="288">
        <v>45393.841736111106</v>
      </c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</row>
    <row r="737">
      <c r="A737" s="280">
        <v>45393.0</v>
      </c>
      <c r="B737" s="264">
        <v>5551394.0</v>
      </c>
      <c r="C737" s="265" t="s">
        <v>82</v>
      </c>
      <c r="D737" s="265" t="s">
        <v>35</v>
      </c>
      <c r="E737" s="265">
        <v>4.694836034E9</v>
      </c>
      <c r="F737" s="265" t="s">
        <v>2706</v>
      </c>
      <c r="G737" s="280">
        <v>45568.0</v>
      </c>
      <c r="H737" s="281">
        <v>45572.0</v>
      </c>
      <c r="I737" s="282">
        <v>4.0</v>
      </c>
      <c r="J737" s="283" t="s">
        <v>78</v>
      </c>
      <c r="K737" s="265" t="s">
        <v>79</v>
      </c>
      <c r="L737" s="265" t="s">
        <v>1396</v>
      </c>
      <c r="M737" s="269">
        <v>2.0</v>
      </c>
      <c r="N737" s="270">
        <v>0.0</v>
      </c>
      <c r="O737" s="271">
        <v>213.08</v>
      </c>
      <c r="P737" s="271">
        <v>170.46400000000003</v>
      </c>
      <c r="Q737" s="272">
        <v>0.0</v>
      </c>
      <c r="R737" s="273">
        <v>681.8560000000001</v>
      </c>
      <c r="S737" s="273">
        <v>0.0</v>
      </c>
      <c r="T737" s="273">
        <v>852.32</v>
      </c>
      <c r="U737" s="274" t="s">
        <v>1398</v>
      </c>
      <c r="V737" s="286">
        <v>45393.3299074074</v>
      </c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</row>
    <row r="738">
      <c r="A738" s="210">
        <v>45394.0</v>
      </c>
      <c r="B738" s="166">
        <v>5556422.0</v>
      </c>
      <c r="C738" s="166" t="s">
        <v>82</v>
      </c>
      <c r="D738" s="166" t="s">
        <v>94</v>
      </c>
      <c r="E738" s="166">
        <v>2.14277826E8</v>
      </c>
      <c r="F738" s="166" t="s">
        <v>2708</v>
      </c>
      <c r="G738" s="210">
        <v>45480.0</v>
      </c>
      <c r="H738" s="287">
        <v>45482.0</v>
      </c>
      <c r="I738" s="168">
        <v>2.0</v>
      </c>
      <c r="J738" s="169" t="s">
        <v>87</v>
      </c>
      <c r="K738" s="166" t="s">
        <v>79</v>
      </c>
      <c r="L738" s="166" t="s">
        <v>1436</v>
      </c>
      <c r="M738" s="205">
        <v>2.0</v>
      </c>
      <c r="N738" s="170">
        <v>0.0</v>
      </c>
      <c r="O738" s="171">
        <v>90.29</v>
      </c>
      <c r="P738" s="171">
        <v>89.3871</v>
      </c>
      <c r="Q738" s="172">
        <v>0.0</v>
      </c>
      <c r="R738" s="173">
        <v>178.7742</v>
      </c>
      <c r="S738" s="173">
        <v>0.0</v>
      </c>
      <c r="T738" s="260">
        <v>180.58</v>
      </c>
      <c r="U738" s="261" t="s">
        <v>1437</v>
      </c>
      <c r="V738" s="279">
        <v>45394.65425925926</v>
      </c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</row>
    <row r="739">
      <c r="A739" s="280">
        <v>45394.0</v>
      </c>
      <c r="B739" s="264">
        <v>5557537.0</v>
      </c>
      <c r="C739" s="265" t="s">
        <v>82</v>
      </c>
      <c r="D739" s="265" t="s">
        <v>35</v>
      </c>
      <c r="E739" s="264">
        <v>4.524639894E9</v>
      </c>
      <c r="F739" s="265" t="s">
        <v>2711</v>
      </c>
      <c r="G739" s="280">
        <v>45554.0</v>
      </c>
      <c r="H739" s="281">
        <v>45558.0</v>
      </c>
      <c r="I739" s="282">
        <v>4.0</v>
      </c>
      <c r="J739" s="283" t="s">
        <v>78</v>
      </c>
      <c r="K739" s="265" t="s">
        <v>79</v>
      </c>
      <c r="L739" s="265" t="s">
        <v>1411</v>
      </c>
      <c r="M739" s="269">
        <v>2.0</v>
      </c>
      <c r="N739" s="283">
        <v>0.0</v>
      </c>
      <c r="O739" s="271">
        <v>147.8</v>
      </c>
      <c r="P739" s="271">
        <v>118.24000000000001</v>
      </c>
      <c r="Q739" s="283">
        <v>0.0</v>
      </c>
      <c r="R739" s="273">
        <v>472.96000000000004</v>
      </c>
      <c r="S739" s="273">
        <v>0.0</v>
      </c>
      <c r="T739" s="273">
        <v>591.2</v>
      </c>
      <c r="U739" s="274" t="s">
        <v>1412</v>
      </c>
      <c r="V739" s="284">
        <v>45394.95559027778</v>
      </c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</row>
    <row r="740">
      <c r="A740" s="276">
        <v>45395.0</v>
      </c>
      <c r="B740" s="252">
        <v>5560321.0</v>
      </c>
      <c r="C740" s="253" t="s">
        <v>82</v>
      </c>
      <c r="D740" s="253" t="s">
        <v>94</v>
      </c>
      <c r="E740" s="252">
        <v>5560321.0</v>
      </c>
      <c r="F740" s="253" t="s">
        <v>2714</v>
      </c>
      <c r="G740" s="276">
        <v>45395.0</v>
      </c>
      <c r="H740" s="277">
        <v>45396.0</v>
      </c>
      <c r="I740" s="278">
        <v>1.0</v>
      </c>
      <c r="J740" s="257" t="s">
        <v>114</v>
      </c>
      <c r="K740" s="253" t="s">
        <v>79</v>
      </c>
      <c r="L740" s="253" t="s">
        <v>1462</v>
      </c>
      <c r="M740" s="275">
        <v>2.0</v>
      </c>
      <c r="N740" s="258">
        <v>0.0</v>
      </c>
      <c r="O740" s="259">
        <v>257.0</v>
      </c>
      <c r="P740" s="259">
        <v>254.43</v>
      </c>
      <c r="Q740" s="262">
        <v>0.0</v>
      </c>
      <c r="R740" s="260">
        <v>254.43</v>
      </c>
      <c r="S740" s="260">
        <v>0.0</v>
      </c>
      <c r="T740" s="260">
        <v>257.0</v>
      </c>
      <c r="U740" s="261" t="s">
        <v>1463</v>
      </c>
      <c r="V740" s="279">
        <v>45395.82876157407</v>
      </c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</row>
    <row r="741">
      <c r="A741" s="280">
        <v>45395.0</v>
      </c>
      <c r="B741" s="264">
        <v>5558434.0</v>
      </c>
      <c r="C741" s="265" t="s">
        <v>82</v>
      </c>
      <c r="D741" s="265" t="s">
        <v>35</v>
      </c>
      <c r="E741" s="264">
        <v>4.745311537E9</v>
      </c>
      <c r="F741" s="265" t="s">
        <v>2717</v>
      </c>
      <c r="G741" s="280">
        <v>45485.0</v>
      </c>
      <c r="H741" s="281">
        <v>45487.0</v>
      </c>
      <c r="I741" s="282">
        <v>2.0</v>
      </c>
      <c r="J741" s="283" t="s">
        <v>111</v>
      </c>
      <c r="K741" s="265" t="s">
        <v>79</v>
      </c>
      <c r="L741" s="265" t="s">
        <v>2495</v>
      </c>
      <c r="M741" s="264">
        <v>2.0</v>
      </c>
      <c r="N741" s="270">
        <v>0.0</v>
      </c>
      <c r="O741" s="271">
        <v>171.13</v>
      </c>
      <c r="P741" s="271">
        <v>136.904</v>
      </c>
      <c r="Q741" s="283">
        <v>0.0</v>
      </c>
      <c r="R741" s="273">
        <v>273.808</v>
      </c>
      <c r="S741" s="273">
        <v>0.0</v>
      </c>
      <c r="T741" s="273">
        <v>342.26</v>
      </c>
      <c r="U741" s="274" t="s">
        <v>2498</v>
      </c>
      <c r="V741" s="286">
        <v>45395.397256944445</v>
      </c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</row>
    <row r="742">
      <c r="A742" s="210">
        <v>45395.0</v>
      </c>
      <c r="B742" s="166">
        <v>5558503.0</v>
      </c>
      <c r="C742" s="166" t="s">
        <v>82</v>
      </c>
      <c r="D742" s="166" t="s">
        <v>35</v>
      </c>
      <c r="E742" s="166">
        <v>4.841763183E9</v>
      </c>
      <c r="F742" s="166" t="s">
        <v>2721</v>
      </c>
      <c r="G742" s="210">
        <v>45510.0</v>
      </c>
      <c r="H742" s="287">
        <v>45514.0</v>
      </c>
      <c r="I742" s="168">
        <v>4.0</v>
      </c>
      <c r="J742" s="169" t="s">
        <v>78</v>
      </c>
      <c r="K742" s="166" t="s">
        <v>79</v>
      </c>
      <c r="L742" s="166" t="s">
        <v>2495</v>
      </c>
      <c r="M742" s="166">
        <v>1.0</v>
      </c>
      <c r="N742" s="170">
        <v>0.0</v>
      </c>
      <c r="O742" s="171">
        <v>140.5</v>
      </c>
      <c r="P742" s="171">
        <v>112.4</v>
      </c>
      <c r="Q742" s="172">
        <v>0.0</v>
      </c>
      <c r="R742" s="173">
        <v>449.6</v>
      </c>
      <c r="S742" s="173">
        <v>0.0</v>
      </c>
      <c r="T742" s="173">
        <v>562.0</v>
      </c>
      <c r="U742" s="174" t="s">
        <v>2498</v>
      </c>
      <c r="V742" s="288">
        <v>45395.413935185185</v>
      </c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</row>
    <row r="743">
      <c r="A743" s="210">
        <v>45395.0</v>
      </c>
      <c r="B743" s="166">
        <v>5559497.0</v>
      </c>
      <c r="C743" s="166" t="s">
        <v>82</v>
      </c>
      <c r="D743" s="166" t="s">
        <v>35</v>
      </c>
      <c r="E743" s="166">
        <v>4.850278411E9</v>
      </c>
      <c r="F743" s="166" t="s">
        <v>2724</v>
      </c>
      <c r="G743" s="210">
        <v>45563.0</v>
      </c>
      <c r="H743" s="287">
        <v>45565.0</v>
      </c>
      <c r="I743" s="168">
        <v>2.0</v>
      </c>
      <c r="J743" s="169" t="s">
        <v>78</v>
      </c>
      <c r="K743" s="166" t="s">
        <v>79</v>
      </c>
      <c r="L743" s="166" t="s">
        <v>1400</v>
      </c>
      <c r="M743" s="166">
        <v>2.0</v>
      </c>
      <c r="N743" s="170">
        <v>0.0</v>
      </c>
      <c r="O743" s="171">
        <v>155.95</v>
      </c>
      <c r="P743" s="171">
        <v>124.75999999999999</v>
      </c>
      <c r="Q743" s="172">
        <v>0.0</v>
      </c>
      <c r="R743" s="173">
        <v>249.51999999999998</v>
      </c>
      <c r="S743" s="173">
        <v>0.0</v>
      </c>
      <c r="T743" s="173">
        <v>311.9</v>
      </c>
      <c r="U743" s="201" t="s">
        <v>1401</v>
      </c>
      <c r="V743" s="288">
        <v>45395.628541666665</v>
      </c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</row>
    <row r="744">
      <c r="A744" s="210">
        <v>45396.0</v>
      </c>
      <c r="B744" s="166">
        <v>5561925.0</v>
      </c>
      <c r="C744" s="166" t="s">
        <v>75</v>
      </c>
      <c r="D744" s="166" t="s">
        <v>94</v>
      </c>
      <c r="E744" s="166">
        <v>5561925.0</v>
      </c>
      <c r="F744" s="166" t="s">
        <v>2727</v>
      </c>
      <c r="G744" s="210">
        <v>45399.0</v>
      </c>
      <c r="H744" s="287">
        <v>45400.0</v>
      </c>
      <c r="I744" s="168">
        <v>1.0</v>
      </c>
      <c r="J744" s="169" t="s">
        <v>1425</v>
      </c>
      <c r="K744" s="166" t="s">
        <v>1425</v>
      </c>
      <c r="L744" s="166" t="s">
        <v>1425</v>
      </c>
      <c r="M744" s="166">
        <v>1.0</v>
      </c>
      <c r="N744" s="170">
        <v>0.0</v>
      </c>
      <c r="O744" s="171">
        <v>160.0</v>
      </c>
      <c r="P744" s="171">
        <v>158.4</v>
      </c>
      <c r="Q744" s="172" t="e">
        <v>#NUM!</v>
      </c>
      <c r="R744" s="173">
        <v>158.4</v>
      </c>
      <c r="S744" s="173" t="e">
        <v>#NUM!</v>
      </c>
      <c r="T744" s="173">
        <v>160.0</v>
      </c>
      <c r="U744" s="174" t="s">
        <v>1428</v>
      </c>
      <c r="V744" s="288">
        <v>45396.51770833333</v>
      </c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</row>
    <row r="745">
      <c r="A745" s="276">
        <v>45396.0</v>
      </c>
      <c r="B745" s="252">
        <v>5563167.0</v>
      </c>
      <c r="C745" s="253" t="s">
        <v>82</v>
      </c>
      <c r="D745" s="253" t="s">
        <v>94</v>
      </c>
      <c r="E745" s="252">
        <v>5563167.0</v>
      </c>
      <c r="F745" s="253" t="s">
        <v>2730</v>
      </c>
      <c r="G745" s="276">
        <v>45444.0</v>
      </c>
      <c r="H745" s="277">
        <v>45445.0</v>
      </c>
      <c r="I745" s="278">
        <v>1.0</v>
      </c>
      <c r="J745" s="257" t="s">
        <v>91</v>
      </c>
      <c r="K745" s="253" t="s">
        <v>79</v>
      </c>
      <c r="L745" s="253" t="s">
        <v>1462</v>
      </c>
      <c r="M745" s="252">
        <v>2.0</v>
      </c>
      <c r="N745" s="258">
        <v>0.0</v>
      </c>
      <c r="O745" s="259">
        <v>503.0</v>
      </c>
      <c r="P745" s="259">
        <v>497.96999999999997</v>
      </c>
      <c r="Q745" s="262">
        <v>0.0</v>
      </c>
      <c r="R745" s="260">
        <v>497.96999999999997</v>
      </c>
      <c r="S745" s="260">
        <v>0.0</v>
      </c>
      <c r="T745" s="260">
        <v>503.0</v>
      </c>
      <c r="U745" s="261" t="s">
        <v>1463</v>
      </c>
      <c r="V745" s="279">
        <v>45396.77840277778</v>
      </c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</row>
    <row r="746">
      <c r="A746" s="210">
        <v>45396.0</v>
      </c>
      <c r="B746" s="166">
        <v>5562222.0</v>
      </c>
      <c r="C746" s="166" t="s">
        <v>82</v>
      </c>
      <c r="D746" s="166" t="s">
        <v>35</v>
      </c>
      <c r="E746" s="166">
        <v>4.44693097E9</v>
      </c>
      <c r="F746" s="166" t="s">
        <v>2734</v>
      </c>
      <c r="G746" s="210">
        <v>45497.0</v>
      </c>
      <c r="H746" s="287">
        <v>45501.0</v>
      </c>
      <c r="I746" s="168">
        <v>4.0</v>
      </c>
      <c r="J746" s="169" t="s">
        <v>114</v>
      </c>
      <c r="K746" s="166" t="s">
        <v>79</v>
      </c>
      <c r="L746" s="166" t="s">
        <v>1396</v>
      </c>
      <c r="M746" s="166">
        <v>3.0</v>
      </c>
      <c r="N746" s="170">
        <v>0.0</v>
      </c>
      <c r="O746" s="171">
        <v>147.81</v>
      </c>
      <c r="P746" s="171">
        <v>118.248</v>
      </c>
      <c r="Q746" s="172">
        <v>0.0</v>
      </c>
      <c r="R746" s="173">
        <v>472.992</v>
      </c>
      <c r="S746" s="173">
        <v>0.0</v>
      </c>
      <c r="T746" s="173">
        <v>591.24</v>
      </c>
      <c r="U746" s="174" t="s">
        <v>1398</v>
      </c>
      <c r="V746" s="288">
        <v>45396.57854166666</v>
      </c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</row>
    <row r="747">
      <c r="A747" s="289">
        <v>45396.0</v>
      </c>
      <c r="B747" s="290">
        <v>5562820.0</v>
      </c>
      <c r="C747" s="291" t="s">
        <v>82</v>
      </c>
      <c r="D747" s="291" t="s">
        <v>35</v>
      </c>
      <c r="E747" s="290">
        <v>4.873375091E9</v>
      </c>
      <c r="F747" s="291" t="s">
        <v>2737</v>
      </c>
      <c r="G747" s="289">
        <v>45603.0</v>
      </c>
      <c r="H747" s="360">
        <v>45607.0</v>
      </c>
      <c r="I747" s="293">
        <v>4.0</v>
      </c>
      <c r="J747" s="294" t="s">
        <v>78</v>
      </c>
      <c r="K747" s="291" t="s">
        <v>79</v>
      </c>
      <c r="L747" s="291" t="s">
        <v>1400</v>
      </c>
      <c r="M747" s="290">
        <v>2.0</v>
      </c>
      <c r="N747" s="295">
        <v>0.0</v>
      </c>
      <c r="O747" s="296">
        <v>156.8</v>
      </c>
      <c r="P747" s="296">
        <v>125.44000000000001</v>
      </c>
      <c r="Q747" s="301">
        <v>0.0</v>
      </c>
      <c r="R747" s="297">
        <v>501.76000000000005</v>
      </c>
      <c r="S747" s="297">
        <v>0.0</v>
      </c>
      <c r="T747" s="297">
        <v>1254.4</v>
      </c>
      <c r="U747" s="298" t="s">
        <v>1401</v>
      </c>
      <c r="V747" s="299">
        <v>45396.706296296295</v>
      </c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</row>
    <row r="748">
      <c r="A748" s="289">
        <v>45396.0</v>
      </c>
      <c r="B748" s="290">
        <v>5562820.0</v>
      </c>
      <c r="C748" s="291" t="s">
        <v>89</v>
      </c>
      <c r="D748" s="291" t="s">
        <v>35</v>
      </c>
      <c r="E748" s="290">
        <v>4.873375091E9</v>
      </c>
      <c r="F748" s="291" t="s">
        <v>2737</v>
      </c>
      <c r="G748" s="289">
        <v>45603.0</v>
      </c>
      <c r="H748" s="360">
        <v>45607.0</v>
      </c>
      <c r="I748" s="293">
        <v>4.0</v>
      </c>
      <c r="J748" s="294" t="s">
        <v>78</v>
      </c>
      <c r="K748" s="291" t="s">
        <v>79</v>
      </c>
      <c r="L748" s="291" t="s">
        <v>1400</v>
      </c>
      <c r="M748" s="290">
        <v>2.0</v>
      </c>
      <c r="N748" s="295">
        <v>0.0</v>
      </c>
      <c r="O748" s="296">
        <v>0.0</v>
      </c>
      <c r="P748" s="296">
        <v>0.0</v>
      </c>
      <c r="Q748" s="301">
        <v>0.0</v>
      </c>
      <c r="R748" s="297">
        <v>0.0</v>
      </c>
      <c r="S748" s="297">
        <v>0.0</v>
      </c>
      <c r="T748" s="297">
        <v>0.0</v>
      </c>
      <c r="U748" s="298" t="s">
        <v>2741</v>
      </c>
      <c r="V748" s="299">
        <v>45396.706296296295</v>
      </c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</row>
    <row r="749">
      <c r="A749" s="280">
        <v>45397.0</v>
      </c>
      <c r="B749" s="264">
        <v>5567215.0</v>
      </c>
      <c r="C749" s="265" t="s">
        <v>82</v>
      </c>
      <c r="D749" s="265" t="s">
        <v>94</v>
      </c>
      <c r="E749" s="265">
        <v>5567215.0</v>
      </c>
      <c r="F749" s="265" t="s">
        <v>2107</v>
      </c>
      <c r="G749" s="280">
        <v>45397.0</v>
      </c>
      <c r="H749" s="281">
        <v>45400.0</v>
      </c>
      <c r="I749" s="282">
        <v>3.0</v>
      </c>
      <c r="J749" s="283" t="s">
        <v>87</v>
      </c>
      <c r="K749" s="265" t="s">
        <v>79</v>
      </c>
      <c r="L749" s="265" t="s">
        <v>1462</v>
      </c>
      <c r="M749" s="264">
        <v>2.0</v>
      </c>
      <c r="N749" s="270">
        <v>0.0</v>
      </c>
      <c r="O749" s="271">
        <v>185.0</v>
      </c>
      <c r="P749" s="271">
        <v>183.15</v>
      </c>
      <c r="Q749" s="283">
        <v>0.0</v>
      </c>
      <c r="R749" s="273">
        <v>549.45</v>
      </c>
      <c r="S749" s="273">
        <v>0.0</v>
      </c>
      <c r="T749" s="273">
        <v>555.0</v>
      </c>
      <c r="U749" s="274" t="s">
        <v>1463</v>
      </c>
      <c r="V749" s="286">
        <v>45397.844305555554</v>
      </c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</row>
    <row r="750">
      <c r="A750" s="210">
        <v>45397.0</v>
      </c>
      <c r="B750" s="166">
        <v>5566761.0</v>
      </c>
      <c r="C750" s="166" t="s">
        <v>82</v>
      </c>
      <c r="D750" s="166" t="s">
        <v>35</v>
      </c>
      <c r="E750" s="166">
        <v>4.623029762E9</v>
      </c>
      <c r="F750" s="166" t="s">
        <v>2747</v>
      </c>
      <c r="G750" s="210">
        <v>45414.0</v>
      </c>
      <c r="H750" s="287">
        <v>45416.0</v>
      </c>
      <c r="I750" s="168">
        <v>2.0</v>
      </c>
      <c r="J750" s="169" t="s">
        <v>78</v>
      </c>
      <c r="K750" s="166" t="s">
        <v>79</v>
      </c>
      <c r="L750" s="166" t="s">
        <v>1443</v>
      </c>
      <c r="M750" s="166">
        <v>2.0</v>
      </c>
      <c r="N750" s="170">
        <v>0.0</v>
      </c>
      <c r="O750" s="171">
        <v>138.77</v>
      </c>
      <c r="P750" s="171">
        <v>111.01600000000002</v>
      </c>
      <c r="Q750" s="172">
        <v>0.0</v>
      </c>
      <c r="R750" s="173">
        <v>222.03200000000004</v>
      </c>
      <c r="S750" s="173">
        <v>0.0</v>
      </c>
      <c r="T750" s="173">
        <v>277.54</v>
      </c>
      <c r="U750" s="174" t="s">
        <v>1444</v>
      </c>
      <c r="V750" s="288">
        <v>45397.74866898148</v>
      </c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</row>
    <row r="751">
      <c r="A751" s="280">
        <v>45397.0</v>
      </c>
      <c r="B751" s="264">
        <v>5567420.0</v>
      </c>
      <c r="C751" s="265" t="s">
        <v>82</v>
      </c>
      <c r="D751" s="265" t="s">
        <v>35</v>
      </c>
      <c r="E751" s="265">
        <v>4.423002463E9</v>
      </c>
      <c r="F751" s="265" t="s">
        <v>2750</v>
      </c>
      <c r="G751" s="280">
        <v>45419.0</v>
      </c>
      <c r="H751" s="281">
        <v>45421.0</v>
      </c>
      <c r="I751" s="282">
        <v>2.0</v>
      </c>
      <c r="J751" s="283" t="s">
        <v>78</v>
      </c>
      <c r="K751" s="265" t="s">
        <v>79</v>
      </c>
      <c r="L751" s="265" t="s">
        <v>1443</v>
      </c>
      <c r="M751" s="264">
        <v>2.0</v>
      </c>
      <c r="N751" s="270">
        <v>0.0</v>
      </c>
      <c r="O751" s="271">
        <v>196.17</v>
      </c>
      <c r="P751" s="271">
        <v>156.936</v>
      </c>
      <c r="Q751" s="272">
        <v>0.0</v>
      </c>
      <c r="R751" s="273">
        <v>313.872</v>
      </c>
      <c r="S751" s="273">
        <v>0.0</v>
      </c>
      <c r="T751" s="273">
        <v>392.34</v>
      </c>
      <c r="U751" s="339" t="s">
        <v>1444</v>
      </c>
      <c r="V751" s="286">
        <v>45397.87851851852</v>
      </c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</row>
    <row r="752">
      <c r="A752" s="276">
        <v>45397.0</v>
      </c>
      <c r="B752" s="252">
        <v>5565665.0</v>
      </c>
      <c r="C752" s="253" t="s">
        <v>82</v>
      </c>
      <c r="D752" s="253" t="s">
        <v>35</v>
      </c>
      <c r="E752" s="252">
        <v>4.675039509E9</v>
      </c>
      <c r="F752" s="253" t="s">
        <v>2701</v>
      </c>
      <c r="G752" s="276">
        <v>45427.0</v>
      </c>
      <c r="H752" s="277">
        <v>45428.0</v>
      </c>
      <c r="I752" s="278">
        <v>1.0</v>
      </c>
      <c r="J752" s="257" t="s">
        <v>78</v>
      </c>
      <c r="K752" s="253" t="s">
        <v>79</v>
      </c>
      <c r="L752" s="253" t="s">
        <v>1400</v>
      </c>
      <c r="M752" s="252">
        <v>2.0</v>
      </c>
      <c r="N752" s="258">
        <v>0.0</v>
      </c>
      <c r="O752" s="259">
        <v>156.48</v>
      </c>
      <c r="P752" s="259">
        <v>125.184</v>
      </c>
      <c r="Q752" s="262">
        <v>0.0</v>
      </c>
      <c r="R752" s="260">
        <v>125.184</v>
      </c>
      <c r="S752" s="260">
        <v>0.0</v>
      </c>
      <c r="T752" s="260">
        <v>156.48</v>
      </c>
      <c r="U752" s="261" t="s">
        <v>1401</v>
      </c>
      <c r="V752" s="279">
        <v>45397.54657407408</v>
      </c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</row>
    <row r="753">
      <c r="A753" s="276">
        <v>45397.0</v>
      </c>
      <c r="B753" s="252">
        <v>5567580.0</v>
      </c>
      <c r="C753" s="253" t="s">
        <v>82</v>
      </c>
      <c r="D753" s="253" t="s">
        <v>35</v>
      </c>
      <c r="E753" s="252">
        <v>4.423095805E9</v>
      </c>
      <c r="F753" s="253" t="s">
        <v>2760</v>
      </c>
      <c r="G753" s="276">
        <v>45434.0</v>
      </c>
      <c r="H753" s="277">
        <v>45436.0</v>
      </c>
      <c r="I753" s="278">
        <v>2.0</v>
      </c>
      <c r="J753" s="257" t="s">
        <v>111</v>
      </c>
      <c r="K753" s="253" t="s">
        <v>79</v>
      </c>
      <c r="L753" s="253" t="s">
        <v>1476</v>
      </c>
      <c r="M753" s="252">
        <v>2.0</v>
      </c>
      <c r="N753" s="258">
        <v>0.0</v>
      </c>
      <c r="O753" s="259">
        <v>217.63</v>
      </c>
      <c r="P753" s="259">
        <v>174.104</v>
      </c>
      <c r="Q753" s="262">
        <v>0.0</v>
      </c>
      <c r="R753" s="260">
        <v>348.208</v>
      </c>
      <c r="S753" s="260">
        <v>0.0</v>
      </c>
      <c r="T753" s="260">
        <v>435.26</v>
      </c>
      <c r="U753" s="261" t="s">
        <v>1477</v>
      </c>
      <c r="V753" s="279">
        <v>45397.90837962963</v>
      </c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</row>
    <row r="754">
      <c r="A754" s="210">
        <v>45397.0</v>
      </c>
      <c r="B754" s="166">
        <v>5567209.0</v>
      </c>
      <c r="C754" s="166" t="s">
        <v>82</v>
      </c>
      <c r="D754" s="166" t="s">
        <v>35</v>
      </c>
      <c r="E754" s="166">
        <v>4.937150681E9</v>
      </c>
      <c r="F754" s="166" t="s">
        <v>2762</v>
      </c>
      <c r="G754" s="210">
        <v>45437.0</v>
      </c>
      <c r="H754" s="287">
        <v>45440.0</v>
      </c>
      <c r="I754" s="168">
        <v>3.0</v>
      </c>
      <c r="J754" s="169" t="s">
        <v>78</v>
      </c>
      <c r="K754" s="166" t="s">
        <v>79</v>
      </c>
      <c r="L754" s="166" t="s">
        <v>1396</v>
      </c>
      <c r="M754" s="166">
        <v>2.0</v>
      </c>
      <c r="N754" s="170">
        <v>0.0</v>
      </c>
      <c r="O754" s="171">
        <v>155.21</v>
      </c>
      <c r="P754" s="171">
        <v>124.168</v>
      </c>
      <c r="Q754" s="172">
        <v>0.0</v>
      </c>
      <c r="R754" s="173">
        <v>372.504</v>
      </c>
      <c r="S754" s="173">
        <v>0.0</v>
      </c>
      <c r="T754" s="173">
        <v>465.63</v>
      </c>
      <c r="U754" s="201" t="s">
        <v>1398</v>
      </c>
      <c r="V754" s="288">
        <v>45397.84241898148</v>
      </c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</row>
    <row r="755">
      <c r="A755" s="280">
        <v>45397.0</v>
      </c>
      <c r="B755" s="264">
        <v>5566363.0</v>
      </c>
      <c r="C755" s="265" t="s">
        <v>82</v>
      </c>
      <c r="D755" s="265" t="s">
        <v>35</v>
      </c>
      <c r="E755" s="264">
        <v>4.911922478E9</v>
      </c>
      <c r="F755" s="265" t="s">
        <v>2766</v>
      </c>
      <c r="G755" s="280">
        <v>45441.0</v>
      </c>
      <c r="H755" s="281">
        <v>45444.0</v>
      </c>
      <c r="I755" s="282">
        <v>3.0</v>
      </c>
      <c r="J755" s="283" t="s">
        <v>78</v>
      </c>
      <c r="K755" s="265" t="s">
        <v>79</v>
      </c>
      <c r="L755" s="265" t="s">
        <v>1516</v>
      </c>
      <c r="M755" s="269">
        <v>2.0</v>
      </c>
      <c r="N755" s="270">
        <v>0.0</v>
      </c>
      <c r="O755" s="271">
        <v>181.72</v>
      </c>
      <c r="P755" s="271">
        <v>145.376</v>
      </c>
      <c r="Q755" s="272">
        <v>0.0</v>
      </c>
      <c r="R755" s="273">
        <v>436.128</v>
      </c>
      <c r="S755" s="273">
        <v>0.0</v>
      </c>
      <c r="T755" s="273">
        <v>545.16</v>
      </c>
      <c r="U755" s="274" t="s">
        <v>1517</v>
      </c>
      <c r="V755" s="286">
        <v>45397.675034722226</v>
      </c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</row>
    <row r="756">
      <c r="A756" s="280">
        <v>45397.0</v>
      </c>
      <c r="B756" s="264">
        <v>5566340.0</v>
      </c>
      <c r="C756" s="265" t="s">
        <v>82</v>
      </c>
      <c r="D756" s="265" t="s">
        <v>35</v>
      </c>
      <c r="E756" s="264">
        <v>4.857766561E9</v>
      </c>
      <c r="F756" s="265" t="s">
        <v>2769</v>
      </c>
      <c r="G756" s="280">
        <v>45486.0</v>
      </c>
      <c r="H756" s="281">
        <v>45489.0</v>
      </c>
      <c r="I756" s="282">
        <v>3.0</v>
      </c>
      <c r="J756" s="283" t="s">
        <v>78</v>
      </c>
      <c r="K756" s="265" t="s">
        <v>79</v>
      </c>
      <c r="L756" s="265" t="s">
        <v>1396</v>
      </c>
      <c r="M756" s="264">
        <v>2.0</v>
      </c>
      <c r="N756" s="270">
        <v>0.0</v>
      </c>
      <c r="O756" s="271">
        <v>90.43</v>
      </c>
      <c r="P756" s="271">
        <v>72.34400000000001</v>
      </c>
      <c r="Q756" s="272">
        <v>0.0</v>
      </c>
      <c r="R756" s="273">
        <v>217.03200000000004</v>
      </c>
      <c r="S756" s="273">
        <v>0.0</v>
      </c>
      <c r="T756" s="273">
        <v>271.29</v>
      </c>
      <c r="U756" s="274" t="s">
        <v>1398</v>
      </c>
      <c r="V756" s="284">
        <v>45397.671585648146</v>
      </c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</row>
    <row r="757">
      <c r="A757" s="210">
        <v>45397.0</v>
      </c>
      <c r="B757" s="166">
        <v>5567658.0</v>
      </c>
      <c r="C757" s="166" t="s">
        <v>89</v>
      </c>
      <c r="D757" s="166" t="s">
        <v>35</v>
      </c>
      <c r="E757" s="166">
        <v>4.750440537E9</v>
      </c>
      <c r="F757" s="166" t="s">
        <v>2771</v>
      </c>
      <c r="G757" s="210">
        <v>45504.0</v>
      </c>
      <c r="H757" s="287">
        <v>45508.0</v>
      </c>
      <c r="I757" s="168">
        <v>4.0</v>
      </c>
      <c r="J757" s="169" t="s">
        <v>114</v>
      </c>
      <c r="K757" s="166" t="s">
        <v>79</v>
      </c>
      <c r="L757" s="166" t="s">
        <v>1443</v>
      </c>
      <c r="M757" s="166">
        <v>3.0</v>
      </c>
      <c r="N757" s="170">
        <v>0.0</v>
      </c>
      <c r="O757" s="171">
        <v>0.0</v>
      </c>
      <c r="P757" s="171">
        <v>0.0</v>
      </c>
      <c r="Q757" s="172">
        <v>0.0</v>
      </c>
      <c r="R757" s="173">
        <v>0.0</v>
      </c>
      <c r="S757" s="173">
        <v>0.0</v>
      </c>
      <c r="T757" s="173">
        <v>0.0</v>
      </c>
      <c r="U757" s="201" t="s">
        <v>2774</v>
      </c>
      <c r="V757" s="288">
        <v>45397.923692129625</v>
      </c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</row>
    <row r="758">
      <c r="A758" s="276">
        <v>45397.0</v>
      </c>
      <c r="B758" s="252">
        <v>5567435.0</v>
      </c>
      <c r="C758" s="253" t="s">
        <v>89</v>
      </c>
      <c r="D758" s="253" t="s">
        <v>35</v>
      </c>
      <c r="E758" s="252">
        <v>4.965388972E9</v>
      </c>
      <c r="F758" s="253" t="s">
        <v>2776</v>
      </c>
      <c r="G758" s="276">
        <v>45520.0</v>
      </c>
      <c r="H758" s="277">
        <v>45523.0</v>
      </c>
      <c r="I758" s="278">
        <v>3.0</v>
      </c>
      <c r="J758" s="257" t="s">
        <v>78</v>
      </c>
      <c r="K758" s="253" t="s">
        <v>138</v>
      </c>
      <c r="L758" s="253" t="s">
        <v>1584</v>
      </c>
      <c r="M758" s="252">
        <v>2.0</v>
      </c>
      <c r="N758" s="258">
        <v>0.0</v>
      </c>
      <c r="O758" s="259">
        <v>0.0</v>
      </c>
      <c r="P758" s="259">
        <v>0.0</v>
      </c>
      <c r="Q758" s="262">
        <v>0.0</v>
      </c>
      <c r="R758" s="260">
        <v>0.0</v>
      </c>
      <c r="S758" s="260">
        <v>0.0</v>
      </c>
      <c r="T758" s="260">
        <v>0.0</v>
      </c>
      <c r="U758" s="261" t="s">
        <v>2778</v>
      </c>
      <c r="V758" s="279">
        <v>45397.880625000005</v>
      </c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</row>
    <row r="759">
      <c r="A759" s="210">
        <v>45397.0</v>
      </c>
      <c r="B759" s="166">
        <v>5564617.0</v>
      </c>
      <c r="C759" s="166" t="s">
        <v>82</v>
      </c>
      <c r="D759" s="166" t="s">
        <v>35</v>
      </c>
      <c r="E759" s="166">
        <v>4.696289904E9</v>
      </c>
      <c r="F759" s="166" t="s">
        <v>2781</v>
      </c>
      <c r="G759" s="212">
        <v>45618.0</v>
      </c>
      <c r="H759" s="310">
        <v>45621.0</v>
      </c>
      <c r="I759" s="168">
        <v>3.0</v>
      </c>
      <c r="J759" s="169" t="s">
        <v>87</v>
      </c>
      <c r="K759" s="166" t="s">
        <v>79</v>
      </c>
      <c r="L759" s="166" t="s">
        <v>1411</v>
      </c>
      <c r="M759" s="166">
        <v>2.0</v>
      </c>
      <c r="N759" s="169">
        <v>0.0</v>
      </c>
      <c r="O759" s="171">
        <v>136.24</v>
      </c>
      <c r="P759" s="171">
        <v>108.99200000000002</v>
      </c>
      <c r="Q759" s="169">
        <v>0.0</v>
      </c>
      <c r="R759" s="173">
        <v>326.97600000000006</v>
      </c>
      <c r="S759" s="173">
        <v>0.0</v>
      </c>
      <c r="T759" s="173">
        <v>408.72</v>
      </c>
      <c r="U759" s="201" t="s">
        <v>1412</v>
      </c>
      <c r="V759" s="288">
        <v>45397.32157407407</v>
      </c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</row>
    <row r="760">
      <c r="A760" s="210">
        <v>45398.0</v>
      </c>
      <c r="B760" s="166">
        <v>5568246.0</v>
      </c>
      <c r="C760" s="166" t="s">
        <v>82</v>
      </c>
      <c r="D760" s="166" t="s">
        <v>35</v>
      </c>
      <c r="E760" s="166">
        <v>4.623001437E9</v>
      </c>
      <c r="F760" s="166" t="s">
        <v>2783</v>
      </c>
      <c r="G760" s="210">
        <v>45413.0</v>
      </c>
      <c r="H760" s="287">
        <v>45414.0</v>
      </c>
      <c r="I760" s="168">
        <v>1.0</v>
      </c>
      <c r="J760" s="169" t="s">
        <v>78</v>
      </c>
      <c r="K760" s="166" t="s">
        <v>79</v>
      </c>
      <c r="L760" s="166" t="s">
        <v>1414</v>
      </c>
      <c r="M760" s="205">
        <v>2.0</v>
      </c>
      <c r="N760" s="170">
        <v>0.0</v>
      </c>
      <c r="O760" s="171">
        <v>151.87</v>
      </c>
      <c r="P760" s="171">
        <v>121.49600000000001</v>
      </c>
      <c r="Q760" s="172">
        <v>0.0</v>
      </c>
      <c r="R760" s="173">
        <v>121.49600000000001</v>
      </c>
      <c r="S760" s="173">
        <v>0.0</v>
      </c>
      <c r="T760" s="173">
        <v>151.87</v>
      </c>
      <c r="U760" s="174" t="s">
        <v>1415</v>
      </c>
      <c r="V760" s="288">
        <v>45398.25559027778</v>
      </c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</row>
    <row r="761">
      <c r="A761" s="276">
        <v>45398.0</v>
      </c>
      <c r="B761" s="252">
        <v>5570792.0</v>
      </c>
      <c r="C761" s="253" t="s">
        <v>82</v>
      </c>
      <c r="D761" s="253" t="s">
        <v>35</v>
      </c>
      <c r="E761" s="252">
        <v>4.619986572E9</v>
      </c>
      <c r="F761" s="253" t="s">
        <v>2787</v>
      </c>
      <c r="G761" s="276">
        <v>45418.0</v>
      </c>
      <c r="H761" s="277">
        <v>45419.0</v>
      </c>
      <c r="I761" s="278">
        <v>1.0</v>
      </c>
      <c r="J761" s="257" t="s">
        <v>78</v>
      </c>
      <c r="K761" s="253" t="s">
        <v>79</v>
      </c>
      <c r="L761" s="253" t="s">
        <v>1414</v>
      </c>
      <c r="M761" s="275">
        <v>1.0</v>
      </c>
      <c r="N761" s="258">
        <v>0.0</v>
      </c>
      <c r="O761" s="259">
        <v>130.42</v>
      </c>
      <c r="P761" s="259">
        <v>104.336</v>
      </c>
      <c r="Q761" s="262">
        <v>0.0</v>
      </c>
      <c r="R761" s="260">
        <v>104.336</v>
      </c>
      <c r="S761" s="260">
        <v>0.0</v>
      </c>
      <c r="T761" s="260">
        <v>130.42</v>
      </c>
      <c r="U761" s="261" t="s">
        <v>1415</v>
      </c>
      <c r="V761" s="279">
        <v>45398.792395833334</v>
      </c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</row>
    <row r="762">
      <c r="A762" s="280">
        <v>45398.0</v>
      </c>
      <c r="B762" s="264">
        <v>5571440.0</v>
      </c>
      <c r="C762" s="265" t="s">
        <v>82</v>
      </c>
      <c r="D762" s="302" t="s">
        <v>35</v>
      </c>
      <c r="E762" s="264">
        <v>4.367115763E9</v>
      </c>
      <c r="F762" s="265" t="s">
        <v>2789</v>
      </c>
      <c r="G762" s="280">
        <v>45463.0</v>
      </c>
      <c r="H762" s="281">
        <v>45466.0</v>
      </c>
      <c r="I762" s="282">
        <v>3.0</v>
      </c>
      <c r="J762" s="283" t="s">
        <v>114</v>
      </c>
      <c r="K762" s="265" t="s">
        <v>138</v>
      </c>
      <c r="L762" s="265" t="s">
        <v>1501</v>
      </c>
      <c r="M762" s="264">
        <v>2.0</v>
      </c>
      <c r="N762" s="270">
        <v>0.0</v>
      </c>
      <c r="O762" s="271">
        <v>183.20000000000002</v>
      </c>
      <c r="P762" s="271">
        <v>146.56000000000003</v>
      </c>
      <c r="Q762" s="272">
        <v>36.0</v>
      </c>
      <c r="R762" s="273">
        <v>439.68000000000006</v>
      </c>
      <c r="S762" s="273">
        <v>108.0</v>
      </c>
      <c r="T762" s="273">
        <v>657.6</v>
      </c>
      <c r="U762" s="274" t="s">
        <v>1502</v>
      </c>
      <c r="V762" s="286">
        <v>45398.91462962963</v>
      </c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</row>
    <row r="763">
      <c r="A763" s="210">
        <v>45398.0</v>
      </c>
      <c r="B763" s="166">
        <v>5571614.0</v>
      </c>
      <c r="C763" s="166" t="s">
        <v>82</v>
      </c>
      <c r="D763" s="166" t="s">
        <v>35</v>
      </c>
      <c r="E763" s="166">
        <v>4.416160146E9</v>
      </c>
      <c r="F763" s="166" t="s">
        <v>2792</v>
      </c>
      <c r="G763" s="210">
        <v>45490.0</v>
      </c>
      <c r="H763" s="287">
        <v>45492.0</v>
      </c>
      <c r="I763" s="168">
        <v>2.0</v>
      </c>
      <c r="J763" s="169" t="s">
        <v>78</v>
      </c>
      <c r="K763" s="166" t="s">
        <v>79</v>
      </c>
      <c r="L763" s="166" t="s">
        <v>1661</v>
      </c>
      <c r="M763" s="166">
        <v>2.0</v>
      </c>
      <c r="N763" s="169">
        <v>0.0</v>
      </c>
      <c r="O763" s="171">
        <v>85.38</v>
      </c>
      <c r="P763" s="171">
        <v>68.304</v>
      </c>
      <c r="Q763" s="169">
        <v>0.0</v>
      </c>
      <c r="R763" s="173">
        <v>136.608</v>
      </c>
      <c r="S763" s="173">
        <v>0.0</v>
      </c>
      <c r="T763" s="173">
        <v>170.76</v>
      </c>
      <c r="U763" s="201" t="s">
        <v>1662</v>
      </c>
      <c r="V763" s="288">
        <v>45398.96045138889</v>
      </c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</row>
    <row r="764">
      <c r="A764" s="280">
        <v>45398.0</v>
      </c>
      <c r="B764" s="264">
        <v>5570044.0</v>
      </c>
      <c r="C764" s="265" t="s">
        <v>75</v>
      </c>
      <c r="D764" s="265" t="s">
        <v>35</v>
      </c>
      <c r="E764" s="264">
        <v>4.625521689E9</v>
      </c>
      <c r="F764" s="265" t="s">
        <v>2796</v>
      </c>
      <c r="G764" s="280">
        <v>45494.0</v>
      </c>
      <c r="H764" s="281">
        <v>45497.0</v>
      </c>
      <c r="I764" s="282">
        <v>3.0</v>
      </c>
      <c r="J764" s="283" t="s">
        <v>78</v>
      </c>
      <c r="K764" s="265" t="s">
        <v>79</v>
      </c>
      <c r="L764" s="265" t="s">
        <v>2798</v>
      </c>
      <c r="M764" s="264">
        <v>2.0</v>
      </c>
      <c r="N764" s="270">
        <v>0.0</v>
      </c>
      <c r="O764" s="271">
        <v>151.13</v>
      </c>
      <c r="P764" s="271">
        <v>120.904</v>
      </c>
      <c r="Q764" s="272">
        <v>0.0</v>
      </c>
      <c r="R764" s="273">
        <v>362.712</v>
      </c>
      <c r="S764" s="273">
        <v>0.0</v>
      </c>
      <c r="T764" s="273">
        <v>453.39</v>
      </c>
      <c r="U764" s="274" t="s">
        <v>2800</v>
      </c>
      <c r="V764" s="286">
        <v>45487.502118055556</v>
      </c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</row>
    <row r="765">
      <c r="A765" s="276">
        <v>45398.0</v>
      </c>
      <c r="B765" s="252">
        <v>5570366.0</v>
      </c>
      <c r="C765" s="253" t="s">
        <v>75</v>
      </c>
      <c r="D765" s="253" t="s">
        <v>35</v>
      </c>
      <c r="E765" s="252">
        <v>4.435242034E9</v>
      </c>
      <c r="F765" s="253" t="s">
        <v>2801</v>
      </c>
      <c r="G765" s="276">
        <v>45501.0</v>
      </c>
      <c r="H765" s="277">
        <v>45503.0</v>
      </c>
      <c r="I765" s="278">
        <v>2.0</v>
      </c>
      <c r="J765" s="257" t="s">
        <v>78</v>
      </c>
      <c r="K765" s="253" t="s">
        <v>79</v>
      </c>
      <c r="L765" s="253" t="s">
        <v>2803</v>
      </c>
      <c r="M765" s="252">
        <v>2.0</v>
      </c>
      <c r="N765" s="258">
        <v>0.0</v>
      </c>
      <c r="O765" s="259">
        <v>96.5</v>
      </c>
      <c r="P765" s="259">
        <v>77.2</v>
      </c>
      <c r="Q765" s="262">
        <v>0.0</v>
      </c>
      <c r="R765" s="260">
        <v>154.4</v>
      </c>
      <c r="S765" s="260">
        <v>0.0</v>
      </c>
      <c r="T765" s="260">
        <v>193.0</v>
      </c>
      <c r="U765" s="261" t="s">
        <v>2804</v>
      </c>
      <c r="V765" s="279">
        <v>45501.58962962963</v>
      </c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</row>
    <row r="766">
      <c r="A766" s="210">
        <v>45398.0</v>
      </c>
      <c r="B766" s="166">
        <v>5571024.0</v>
      </c>
      <c r="C766" s="166" t="s">
        <v>82</v>
      </c>
      <c r="D766" s="166" t="s">
        <v>35</v>
      </c>
      <c r="E766" s="166">
        <v>4.61991797E9</v>
      </c>
      <c r="F766" s="166" t="s">
        <v>2807</v>
      </c>
      <c r="G766" s="210">
        <v>45502.0</v>
      </c>
      <c r="H766" s="287">
        <v>45505.0</v>
      </c>
      <c r="I766" s="168">
        <v>3.0</v>
      </c>
      <c r="J766" s="169" t="s">
        <v>78</v>
      </c>
      <c r="K766" s="166" t="s">
        <v>79</v>
      </c>
      <c r="L766" s="166" t="s">
        <v>2808</v>
      </c>
      <c r="M766" s="166">
        <v>2.0</v>
      </c>
      <c r="N766" s="170">
        <v>0.0</v>
      </c>
      <c r="O766" s="171">
        <v>133.52</v>
      </c>
      <c r="P766" s="171">
        <v>106.81600000000002</v>
      </c>
      <c r="Q766" s="172">
        <v>0.0</v>
      </c>
      <c r="R766" s="173">
        <v>320.44800000000004</v>
      </c>
      <c r="S766" s="173">
        <v>0.0</v>
      </c>
      <c r="T766" s="173">
        <v>1298.07</v>
      </c>
      <c r="U766" s="174" t="s">
        <v>2810</v>
      </c>
      <c r="V766" s="288">
        <v>45398.838946759264</v>
      </c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</row>
    <row r="767">
      <c r="A767" s="210">
        <v>45398.0</v>
      </c>
      <c r="B767" s="166">
        <v>5571024.0</v>
      </c>
      <c r="C767" s="166" t="s">
        <v>82</v>
      </c>
      <c r="D767" s="166" t="s">
        <v>35</v>
      </c>
      <c r="E767" s="166">
        <v>4.61991797E9</v>
      </c>
      <c r="F767" s="166" t="s">
        <v>2807</v>
      </c>
      <c r="G767" s="210">
        <v>45502.0</v>
      </c>
      <c r="H767" s="287">
        <v>45505.0</v>
      </c>
      <c r="I767" s="168">
        <v>3.0</v>
      </c>
      <c r="J767" s="169" t="s">
        <v>78</v>
      </c>
      <c r="K767" s="166" t="s">
        <v>79</v>
      </c>
      <c r="L767" s="166" t="s">
        <v>2808</v>
      </c>
      <c r="M767" s="166">
        <v>2.0</v>
      </c>
      <c r="N767" s="170">
        <v>0.0</v>
      </c>
      <c r="O767" s="171">
        <v>133.52</v>
      </c>
      <c r="P767" s="171">
        <v>106.81600000000002</v>
      </c>
      <c r="Q767" s="172">
        <v>0.0</v>
      </c>
      <c r="R767" s="173">
        <v>320.44800000000004</v>
      </c>
      <c r="S767" s="173">
        <v>0.0</v>
      </c>
      <c r="T767" s="173">
        <v>1298.07</v>
      </c>
      <c r="U767" s="174" t="s">
        <v>2810</v>
      </c>
      <c r="V767" s="288">
        <v>45398.838946759264</v>
      </c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</row>
    <row r="768">
      <c r="A768" s="276">
        <v>45398.0</v>
      </c>
      <c r="B768" s="252">
        <v>5571024.0</v>
      </c>
      <c r="C768" s="253" t="s">
        <v>82</v>
      </c>
      <c r="D768" s="253" t="s">
        <v>35</v>
      </c>
      <c r="E768" s="252">
        <v>4.61991797E9</v>
      </c>
      <c r="F768" s="253" t="s">
        <v>2807</v>
      </c>
      <c r="G768" s="276">
        <v>45502.0</v>
      </c>
      <c r="H768" s="277">
        <v>45505.0</v>
      </c>
      <c r="I768" s="278">
        <v>3.0</v>
      </c>
      <c r="J768" s="257" t="s">
        <v>111</v>
      </c>
      <c r="K768" s="253" t="s">
        <v>79</v>
      </c>
      <c r="L768" s="253" t="s">
        <v>2808</v>
      </c>
      <c r="M768" s="252">
        <v>2.0</v>
      </c>
      <c r="N768" s="258">
        <v>0.0</v>
      </c>
      <c r="O768" s="259">
        <v>165.65</v>
      </c>
      <c r="P768" s="259">
        <v>132.52</v>
      </c>
      <c r="Q768" s="262">
        <v>0.0</v>
      </c>
      <c r="R768" s="260">
        <v>397.56</v>
      </c>
      <c r="S768" s="260">
        <v>0.0</v>
      </c>
      <c r="T768" s="260">
        <v>1298.07</v>
      </c>
      <c r="U768" s="261" t="s">
        <v>2810</v>
      </c>
      <c r="V768" s="279">
        <v>45398.838946759264</v>
      </c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</row>
    <row r="769">
      <c r="A769" s="280">
        <v>45398.0</v>
      </c>
      <c r="B769" s="264">
        <v>5568838.0</v>
      </c>
      <c r="C769" s="265" t="s">
        <v>82</v>
      </c>
      <c r="D769" s="265" t="s">
        <v>35</v>
      </c>
      <c r="E769" s="264">
        <v>4.834437295E9</v>
      </c>
      <c r="F769" s="265" t="s">
        <v>2813</v>
      </c>
      <c r="G769" s="280">
        <v>45549.0</v>
      </c>
      <c r="H769" s="281">
        <v>45552.0</v>
      </c>
      <c r="I769" s="282">
        <v>3.0</v>
      </c>
      <c r="J769" s="283" t="s">
        <v>78</v>
      </c>
      <c r="K769" s="265" t="s">
        <v>79</v>
      </c>
      <c r="L769" s="265" t="s">
        <v>1396</v>
      </c>
      <c r="M769" s="269">
        <v>2.0</v>
      </c>
      <c r="N769" s="270">
        <v>0.0</v>
      </c>
      <c r="O769" s="271">
        <v>111.17</v>
      </c>
      <c r="P769" s="271">
        <v>88.936</v>
      </c>
      <c r="Q769" s="272">
        <v>0.0</v>
      </c>
      <c r="R769" s="273">
        <v>266.808</v>
      </c>
      <c r="S769" s="273">
        <v>0.0</v>
      </c>
      <c r="T769" s="273">
        <v>333.51</v>
      </c>
      <c r="U769" s="274" t="s">
        <v>1398</v>
      </c>
      <c r="V769" s="284">
        <v>45398.413252314815</v>
      </c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</row>
    <row r="770">
      <c r="A770" s="280">
        <v>45399.0</v>
      </c>
      <c r="B770" s="264">
        <v>5573285.0</v>
      </c>
      <c r="C770" s="265" t="s">
        <v>75</v>
      </c>
      <c r="D770" s="265" t="s">
        <v>36</v>
      </c>
      <c r="E770" s="265">
        <v>5573285.0</v>
      </c>
      <c r="F770" s="265" t="s">
        <v>2818</v>
      </c>
      <c r="G770" s="280">
        <v>45400.0</v>
      </c>
      <c r="H770" s="281">
        <v>45401.0</v>
      </c>
      <c r="I770" s="282">
        <v>1.0</v>
      </c>
      <c r="J770" s="283" t="s">
        <v>1425</v>
      </c>
      <c r="K770" s="265" t="s">
        <v>1425</v>
      </c>
      <c r="L770" s="265" t="s">
        <v>1425</v>
      </c>
      <c r="M770" s="264">
        <v>1.0</v>
      </c>
      <c r="N770" s="270">
        <v>0.0</v>
      </c>
      <c r="O770" s="271">
        <v>130.0</v>
      </c>
      <c r="P770" s="271">
        <v>128.7</v>
      </c>
      <c r="Q770" s="272" t="e">
        <v>#NUM!</v>
      </c>
      <c r="R770" s="273">
        <v>128.7</v>
      </c>
      <c r="S770" s="273" t="e">
        <v>#NUM!</v>
      </c>
      <c r="T770" s="273">
        <v>130.0</v>
      </c>
      <c r="U770" s="274" t="s">
        <v>1428</v>
      </c>
      <c r="V770" s="286">
        <v>45400.282534722224</v>
      </c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</row>
    <row r="771">
      <c r="A771" s="276">
        <v>45399.0</v>
      </c>
      <c r="B771" s="252">
        <v>5574291.0</v>
      </c>
      <c r="C771" s="253" t="s">
        <v>82</v>
      </c>
      <c r="D771" s="253" t="s">
        <v>35</v>
      </c>
      <c r="E771" s="252">
        <v>4.338198355E9</v>
      </c>
      <c r="F771" s="253" t="s">
        <v>2822</v>
      </c>
      <c r="G771" s="276">
        <v>45422.0</v>
      </c>
      <c r="H771" s="277">
        <v>45424.0</v>
      </c>
      <c r="I771" s="278">
        <v>2.0</v>
      </c>
      <c r="J771" s="257" t="s">
        <v>78</v>
      </c>
      <c r="K771" s="253" t="s">
        <v>79</v>
      </c>
      <c r="L771" s="253" t="s">
        <v>1414</v>
      </c>
      <c r="M771" s="252">
        <v>2.0</v>
      </c>
      <c r="N771" s="258">
        <v>0.0</v>
      </c>
      <c r="O771" s="259">
        <v>179.33</v>
      </c>
      <c r="P771" s="259">
        <v>143.46400000000003</v>
      </c>
      <c r="Q771" s="257">
        <v>0.0</v>
      </c>
      <c r="R771" s="260">
        <v>286.92800000000005</v>
      </c>
      <c r="S771" s="260">
        <v>0.0</v>
      </c>
      <c r="T771" s="260">
        <v>358.66</v>
      </c>
      <c r="U771" s="261" t="s">
        <v>1415</v>
      </c>
      <c r="V771" s="279">
        <v>45399.75074074074</v>
      </c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</row>
    <row r="772">
      <c r="A772" s="366">
        <v>45399.0</v>
      </c>
      <c r="B772" s="166">
        <v>5574431.0</v>
      </c>
      <c r="C772" s="166" t="s">
        <v>82</v>
      </c>
      <c r="D772" s="166" t="s">
        <v>35</v>
      </c>
      <c r="E772" s="166">
        <v>4.338136664E9</v>
      </c>
      <c r="F772" s="166" t="s">
        <v>2827</v>
      </c>
      <c r="G772" s="210">
        <v>45431.0</v>
      </c>
      <c r="H772" s="287">
        <v>45433.0</v>
      </c>
      <c r="I772" s="168">
        <v>2.0</v>
      </c>
      <c r="J772" s="169" t="s">
        <v>91</v>
      </c>
      <c r="K772" s="166" t="s">
        <v>79</v>
      </c>
      <c r="L772" s="166" t="s">
        <v>1414</v>
      </c>
      <c r="M772" s="166">
        <v>4.0</v>
      </c>
      <c r="N772" s="170">
        <v>0.0</v>
      </c>
      <c r="O772" s="171">
        <v>387.8</v>
      </c>
      <c r="P772" s="171">
        <v>310.24</v>
      </c>
      <c r="Q772" s="172">
        <v>0.0</v>
      </c>
      <c r="R772" s="173">
        <v>620.48</v>
      </c>
      <c r="S772" s="173">
        <v>0.0</v>
      </c>
      <c r="T772" s="173">
        <v>775.6</v>
      </c>
      <c r="U772" s="174" t="s">
        <v>1415</v>
      </c>
      <c r="V772" s="288">
        <v>45399.77853009259</v>
      </c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</row>
    <row r="773">
      <c r="A773" s="280">
        <v>45399.0</v>
      </c>
      <c r="B773" s="264">
        <v>5574998.0</v>
      </c>
      <c r="C773" s="265" t="s">
        <v>82</v>
      </c>
      <c r="D773" s="265" t="s">
        <v>12</v>
      </c>
      <c r="E773" s="264" t="s">
        <v>2831</v>
      </c>
      <c r="F773" s="265" t="s">
        <v>2832</v>
      </c>
      <c r="G773" s="280">
        <v>45453.0</v>
      </c>
      <c r="H773" s="281">
        <v>45457.0</v>
      </c>
      <c r="I773" s="282">
        <v>4.0</v>
      </c>
      <c r="J773" s="283" t="s">
        <v>78</v>
      </c>
      <c r="K773" s="265" t="s">
        <v>138</v>
      </c>
      <c r="L773" s="265" t="s">
        <v>123</v>
      </c>
      <c r="M773" s="269">
        <v>2.0</v>
      </c>
      <c r="N773" s="270">
        <v>0.0</v>
      </c>
      <c r="O773" s="271">
        <v>174.1</v>
      </c>
      <c r="P773" s="271">
        <v>139.28</v>
      </c>
      <c r="Q773" s="272">
        <v>36.0</v>
      </c>
      <c r="R773" s="273">
        <v>557.12</v>
      </c>
      <c r="S773" s="273">
        <v>144.0</v>
      </c>
      <c r="T773" s="273">
        <v>696.4</v>
      </c>
      <c r="U773" s="274" t="s">
        <v>2416</v>
      </c>
      <c r="V773" s="286">
        <v>45399.90217592593</v>
      </c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</row>
    <row r="774">
      <c r="A774" s="276">
        <v>45399.0</v>
      </c>
      <c r="B774" s="252">
        <v>5572191.0</v>
      </c>
      <c r="C774" s="253" t="s">
        <v>82</v>
      </c>
      <c r="D774" s="253" t="s">
        <v>35</v>
      </c>
      <c r="E774" s="252">
        <v>4.875134462E9</v>
      </c>
      <c r="F774" s="253" t="s">
        <v>2835</v>
      </c>
      <c r="G774" s="276">
        <v>45510.0</v>
      </c>
      <c r="H774" s="277">
        <v>45513.0</v>
      </c>
      <c r="I774" s="278">
        <v>3.0</v>
      </c>
      <c r="J774" s="257" t="s">
        <v>114</v>
      </c>
      <c r="K774" s="253" t="s">
        <v>79</v>
      </c>
      <c r="L774" s="253" t="s">
        <v>2337</v>
      </c>
      <c r="M774" s="275">
        <v>2.0</v>
      </c>
      <c r="N774" s="258">
        <v>0.0</v>
      </c>
      <c r="O774" s="259">
        <v>165.65</v>
      </c>
      <c r="P774" s="259">
        <v>132.52</v>
      </c>
      <c r="Q774" s="262">
        <v>0.0</v>
      </c>
      <c r="R774" s="260">
        <v>397.56</v>
      </c>
      <c r="S774" s="260">
        <v>0.0</v>
      </c>
      <c r="T774" s="260">
        <v>993.9</v>
      </c>
      <c r="U774" s="261" t="s">
        <v>2338</v>
      </c>
      <c r="V774" s="279">
        <v>45399.30836805556</v>
      </c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</row>
    <row r="775">
      <c r="A775" s="276">
        <v>45399.0</v>
      </c>
      <c r="B775" s="252">
        <v>5572191.0</v>
      </c>
      <c r="C775" s="253" t="s">
        <v>82</v>
      </c>
      <c r="D775" s="253" t="s">
        <v>35</v>
      </c>
      <c r="E775" s="252">
        <v>4.875134462E9</v>
      </c>
      <c r="F775" s="253" t="s">
        <v>2835</v>
      </c>
      <c r="G775" s="276">
        <v>45510.0</v>
      </c>
      <c r="H775" s="277">
        <v>45513.0</v>
      </c>
      <c r="I775" s="278">
        <v>3.0</v>
      </c>
      <c r="J775" s="257" t="s">
        <v>114</v>
      </c>
      <c r="K775" s="253" t="s">
        <v>79</v>
      </c>
      <c r="L775" s="253" t="s">
        <v>2337</v>
      </c>
      <c r="M775" s="275">
        <v>2.0</v>
      </c>
      <c r="N775" s="258">
        <v>0.0</v>
      </c>
      <c r="O775" s="259">
        <v>165.65</v>
      </c>
      <c r="P775" s="259">
        <v>132.52</v>
      </c>
      <c r="Q775" s="262">
        <v>0.0</v>
      </c>
      <c r="R775" s="260">
        <v>397.56</v>
      </c>
      <c r="S775" s="260">
        <v>0.0</v>
      </c>
      <c r="T775" s="260">
        <v>993.9</v>
      </c>
      <c r="U775" s="261" t="s">
        <v>2338</v>
      </c>
      <c r="V775" s="279">
        <v>45399.30836805556</v>
      </c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</row>
    <row r="776">
      <c r="A776" s="276">
        <v>45399.0</v>
      </c>
      <c r="B776" s="252">
        <v>5572457.0</v>
      </c>
      <c r="C776" s="253" t="s">
        <v>82</v>
      </c>
      <c r="D776" s="253" t="s">
        <v>35</v>
      </c>
      <c r="E776" s="252">
        <v>4.435226283E9</v>
      </c>
      <c r="F776" s="253" t="s">
        <v>2839</v>
      </c>
      <c r="G776" s="276">
        <v>45519.0</v>
      </c>
      <c r="H776" s="277">
        <v>45521.0</v>
      </c>
      <c r="I776" s="278">
        <v>2.0</v>
      </c>
      <c r="J776" s="257" t="s">
        <v>87</v>
      </c>
      <c r="K776" s="253" t="s">
        <v>79</v>
      </c>
      <c r="L776" s="253" t="s">
        <v>1400</v>
      </c>
      <c r="M776" s="275">
        <v>2.0</v>
      </c>
      <c r="N776" s="258">
        <v>0.0</v>
      </c>
      <c r="O776" s="259">
        <v>94.6</v>
      </c>
      <c r="P776" s="259">
        <v>75.67999999999999</v>
      </c>
      <c r="Q776" s="262">
        <v>0.0</v>
      </c>
      <c r="R776" s="260">
        <v>151.35999999999999</v>
      </c>
      <c r="S776" s="260">
        <v>0.0</v>
      </c>
      <c r="T776" s="260">
        <v>189.2</v>
      </c>
      <c r="U776" s="261" t="s">
        <v>1401</v>
      </c>
      <c r="V776" s="279">
        <v>45399.3812962963</v>
      </c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</row>
    <row r="777">
      <c r="A777" s="210">
        <v>45400.0</v>
      </c>
      <c r="B777" s="166">
        <v>5578235.0</v>
      </c>
      <c r="C777" s="166" t="s">
        <v>82</v>
      </c>
      <c r="D777" s="166" t="s">
        <v>94</v>
      </c>
      <c r="E777" s="166">
        <v>5578235.0</v>
      </c>
      <c r="F777" s="166" t="s">
        <v>2841</v>
      </c>
      <c r="G777" s="210">
        <v>45415.0</v>
      </c>
      <c r="H777" s="287">
        <v>45416.0</v>
      </c>
      <c r="I777" s="168">
        <v>1.0</v>
      </c>
      <c r="J777" s="169" t="s">
        <v>78</v>
      </c>
      <c r="K777" s="166" t="s">
        <v>79</v>
      </c>
      <c r="L777" s="166" t="s">
        <v>1462</v>
      </c>
      <c r="M777" s="205">
        <v>2.0</v>
      </c>
      <c r="N777" s="170">
        <v>0.0</v>
      </c>
      <c r="O777" s="171">
        <v>203.0</v>
      </c>
      <c r="P777" s="171">
        <v>200.97</v>
      </c>
      <c r="Q777" s="172">
        <v>0.0</v>
      </c>
      <c r="R777" s="173">
        <v>200.97</v>
      </c>
      <c r="S777" s="173">
        <v>0.0</v>
      </c>
      <c r="T777" s="173">
        <v>203.0</v>
      </c>
      <c r="U777" s="174" t="s">
        <v>1463</v>
      </c>
      <c r="V777" s="288">
        <v>45400.80354166667</v>
      </c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</row>
    <row r="778">
      <c r="A778" s="276">
        <v>45400.0</v>
      </c>
      <c r="B778" s="252">
        <v>5578598.0</v>
      </c>
      <c r="C778" s="253" t="s">
        <v>75</v>
      </c>
      <c r="D778" s="253" t="s">
        <v>35</v>
      </c>
      <c r="E778" s="252">
        <v>4.72956728E9</v>
      </c>
      <c r="F778" s="253" t="s">
        <v>2844</v>
      </c>
      <c r="G778" s="276">
        <v>45417.0</v>
      </c>
      <c r="H778" s="277">
        <v>45419.0</v>
      </c>
      <c r="I778" s="278">
        <v>2.0</v>
      </c>
      <c r="J778" s="257" t="s">
        <v>78</v>
      </c>
      <c r="K778" s="253" t="s">
        <v>79</v>
      </c>
      <c r="L778" s="253" t="s">
        <v>1396</v>
      </c>
      <c r="M778" s="252">
        <v>2.0</v>
      </c>
      <c r="N778" s="258">
        <v>0.0</v>
      </c>
      <c r="O778" s="259">
        <v>137.92</v>
      </c>
      <c r="P778" s="259">
        <v>110.336</v>
      </c>
      <c r="Q778" s="262">
        <v>0.0</v>
      </c>
      <c r="R778" s="260">
        <v>220.672</v>
      </c>
      <c r="S778" s="260">
        <v>0.0</v>
      </c>
      <c r="T778" s="260">
        <v>275.84</v>
      </c>
      <c r="U778" s="261" t="s">
        <v>1398</v>
      </c>
      <c r="V778" s="279">
        <v>45402.46184027778</v>
      </c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</row>
    <row r="779">
      <c r="A779" s="280">
        <v>45400.0</v>
      </c>
      <c r="B779" s="264">
        <v>5576399.0</v>
      </c>
      <c r="C779" s="265" t="s">
        <v>82</v>
      </c>
      <c r="D779" s="265" t="s">
        <v>94</v>
      </c>
      <c r="E779" s="264">
        <v>5576399.0</v>
      </c>
      <c r="F779" s="265" t="s">
        <v>2846</v>
      </c>
      <c r="G779" s="280">
        <v>45424.0</v>
      </c>
      <c r="H779" s="281">
        <v>45425.0</v>
      </c>
      <c r="I779" s="282">
        <v>1.0</v>
      </c>
      <c r="J779" s="283" t="s">
        <v>78</v>
      </c>
      <c r="K779" s="265" t="s">
        <v>79</v>
      </c>
      <c r="L779" s="265" t="s">
        <v>1462</v>
      </c>
      <c r="M779" s="269">
        <v>1.0</v>
      </c>
      <c r="N779" s="270">
        <v>0.0</v>
      </c>
      <c r="O779" s="271">
        <v>200.5</v>
      </c>
      <c r="P779" s="271">
        <v>198.495</v>
      </c>
      <c r="Q779" s="272">
        <v>0.0</v>
      </c>
      <c r="R779" s="273">
        <v>198.495</v>
      </c>
      <c r="S779" s="273">
        <v>0.0</v>
      </c>
      <c r="T779" s="273">
        <v>401.0</v>
      </c>
      <c r="U779" s="274" t="s">
        <v>1463</v>
      </c>
      <c r="V779" s="284">
        <v>45400.44283564815</v>
      </c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</row>
    <row r="780">
      <c r="A780" s="280">
        <v>45400.0</v>
      </c>
      <c r="B780" s="264">
        <v>5576399.0</v>
      </c>
      <c r="C780" s="265" t="s">
        <v>82</v>
      </c>
      <c r="D780" s="265" t="s">
        <v>94</v>
      </c>
      <c r="E780" s="265">
        <v>5576399.0</v>
      </c>
      <c r="F780" s="265" t="s">
        <v>2846</v>
      </c>
      <c r="G780" s="280">
        <v>45424.0</v>
      </c>
      <c r="H780" s="281">
        <v>45425.0</v>
      </c>
      <c r="I780" s="282">
        <v>1.0</v>
      </c>
      <c r="J780" s="283" t="s">
        <v>78</v>
      </c>
      <c r="K780" s="265" t="s">
        <v>79</v>
      </c>
      <c r="L780" s="265" t="s">
        <v>1462</v>
      </c>
      <c r="M780" s="269">
        <v>1.0</v>
      </c>
      <c r="N780" s="270">
        <v>0.0</v>
      </c>
      <c r="O780" s="271">
        <v>200.5</v>
      </c>
      <c r="P780" s="271">
        <v>198.495</v>
      </c>
      <c r="Q780" s="272">
        <v>0.0</v>
      </c>
      <c r="R780" s="273">
        <v>198.495</v>
      </c>
      <c r="S780" s="273">
        <v>0.0</v>
      </c>
      <c r="T780" s="273">
        <v>401.0</v>
      </c>
      <c r="U780" s="274" t="s">
        <v>1463</v>
      </c>
      <c r="V780" s="286">
        <v>45400.44283564815</v>
      </c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</row>
    <row r="781">
      <c r="A781" s="210">
        <v>45400.0</v>
      </c>
      <c r="B781" s="166">
        <v>5578685.0</v>
      </c>
      <c r="C781" s="166" t="s">
        <v>82</v>
      </c>
      <c r="D781" s="166" t="s">
        <v>35</v>
      </c>
      <c r="E781" s="166">
        <v>4.656450643E9</v>
      </c>
      <c r="F781" s="166" t="s">
        <v>2849</v>
      </c>
      <c r="G781" s="210">
        <v>45433.0</v>
      </c>
      <c r="H781" s="287">
        <v>45435.0</v>
      </c>
      <c r="I781" s="168">
        <v>2.0</v>
      </c>
      <c r="J781" s="169" t="s">
        <v>78</v>
      </c>
      <c r="K781" s="166" t="s">
        <v>79</v>
      </c>
      <c r="L781" s="166" t="s">
        <v>2808</v>
      </c>
      <c r="M781" s="166">
        <v>2.0</v>
      </c>
      <c r="N781" s="170">
        <v>0.0</v>
      </c>
      <c r="O781" s="171">
        <v>181.71</v>
      </c>
      <c r="P781" s="171">
        <v>145.36800000000002</v>
      </c>
      <c r="Q781" s="172">
        <v>0.0</v>
      </c>
      <c r="R781" s="173">
        <v>290.73600000000005</v>
      </c>
      <c r="S781" s="173">
        <v>0.0</v>
      </c>
      <c r="T781" s="173">
        <v>775.04</v>
      </c>
      <c r="U781" s="174" t="s">
        <v>2810</v>
      </c>
      <c r="V781" s="288">
        <v>45400.89518518519</v>
      </c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</row>
    <row r="782">
      <c r="A782" s="210">
        <v>45400.0</v>
      </c>
      <c r="B782" s="166">
        <v>5578685.0</v>
      </c>
      <c r="C782" s="166" t="s">
        <v>82</v>
      </c>
      <c r="D782" s="166" t="s">
        <v>35</v>
      </c>
      <c r="E782" s="166">
        <v>4.656450643E9</v>
      </c>
      <c r="F782" s="166" t="s">
        <v>2849</v>
      </c>
      <c r="G782" s="210">
        <v>45433.0</v>
      </c>
      <c r="H782" s="287">
        <v>45435.0</v>
      </c>
      <c r="I782" s="168">
        <v>2.0</v>
      </c>
      <c r="J782" s="169" t="s">
        <v>111</v>
      </c>
      <c r="K782" s="166" t="s">
        <v>79</v>
      </c>
      <c r="L782" s="166" t="s">
        <v>1400</v>
      </c>
      <c r="M782" s="166">
        <v>2.0</v>
      </c>
      <c r="N782" s="170">
        <v>0.0</v>
      </c>
      <c r="O782" s="171">
        <v>205.81</v>
      </c>
      <c r="P782" s="171">
        <v>164.64800000000002</v>
      </c>
      <c r="Q782" s="172">
        <v>0.0</v>
      </c>
      <c r="R782" s="173">
        <v>329.29600000000005</v>
      </c>
      <c r="S782" s="173">
        <v>0.0</v>
      </c>
      <c r="T782" s="173">
        <v>775.04</v>
      </c>
      <c r="U782" s="201" t="s">
        <v>1401</v>
      </c>
      <c r="V782" s="288">
        <v>45400.89518518519</v>
      </c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</row>
    <row r="783">
      <c r="A783" s="210">
        <v>45400.0</v>
      </c>
      <c r="B783" s="166">
        <v>5577037.0</v>
      </c>
      <c r="C783" s="166" t="s">
        <v>82</v>
      </c>
      <c r="D783" s="166" t="s">
        <v>94</v>
      </c>
      <c r="E783" s="166">
        <v>5577037.0</v>
      </c>
      <c r="F783" s="166" t="s">
        <v>2760</v>
      </c>
      <c r="G783" s="210">
        <v>45438.0</v>
      </c>
      <c r="H783" s="287">
        <v>45441.0</v>
      </c>
      <c r="I783" s="168">
        <v>3.0</v>
      </c>
      <c r="J783" s="169" t="s">
        <v>114</v>
      </c>
      <c r="K783" s="166" t="s">
        <v>79</v>
      </c>
      <c r="L783" s="166" t="s">
        <v>1462</v>
      </c>
      <c r="M783" s="166">
        <v>2.0</v>
      </c>
      <c r="N783" s="169">
        <v>0.0</v>
      </c>
      <c r="O783" s="171">
        <v>257.0</v>
      </c>
      <c r="P783" s="171">
        <v>254.43</v>
      </c>
      <c r="Q783" s="169">
        <v>0.0</v>
      </c>
      <c r="R783" s="173">
        <v>763.29</v>
      </c>
      <c r="S783" s="173">
        <v>0.0</v>
      </c>
      <c r="T783" s="173">
        <v>771.0</v>
      </c>
      <c r="U783" s="201" t="s">
        <v>1463</v>
      </c>
      <c r="V783" s="288">
        <v>45400.56317129629</v>
      </c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</row>
    <row r="784">
      <c r="A784" s="280">
        <v>45400.0</v>
      </c>
      <c r="B784" s="264">
        <v>5575436.0</v>
      </c>
      <c r="C784" s="265" t="s">
        <v>82</v>
      </c>
      <c r="D784" s="265" t="s">
        <v>35</v>
      </c>
      <c r="E784" s="264">
        <v>4.908932662E9</v>
      </c>
      <c r="F784" s="265" t="s">
        <v>2853</v>
      </c>
      <c r="G784" s="280">
        <v>45474.0</v>
      </c>
      <c r="H784" s="281">
        <v>45477.0</v>
      </c>
      <c r="I784" s="282">
        <v>3.0</v>
      </c>
      <c r="J784" s="283" t="s">
        <v>78</v>
      </c>
      <c r="K784" s="265" t="s">
        <v>79</v>
      </c>
      <c r="L784" s="265" t="s">
        <v>1396</v>
      </c>
      <c r="M784" s="264">
        <v>2.0</v>
      </c>
      <c r="N784" s="270">
        <v>0.0</v>
      </c>
      <c r="O784" s="271">
        <v>114.24000000000001</v>
      </c>
      <c r="P784" s="271">
        <v>91.39200000000001</v>
      </c>
      <c r="Q784" s="272">
        <v>0.0</v>
      </c>
      <c r="R784" s="273">
        <v>274.17600000000004</v>
      </c>
      <c r="S784" s="273">
        <v>0.0</v>
      </c>
      <c r="T784" s="273">
        <v>342.72</v>
      </c>
      <c r="U784" s="274" t="s">
        <v>1398</v>
      </c>
      <c r="V784" s="286">
        <v>45400.07853009259</v>
      </c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</row>
    <row r="785">
      <c r="A785" s="210">
        <v>45400.0</v>
      </c>
      <c r="B785" s="166">
        <v>5575521.0</v>
      </c>
      <c r="C785" s="166" t="s">
        <v>82</v>
      </c>
      <c r="D785" s="166" t="s">
        <v>35</v>
      </c>
      <c r="E785" s="166">
        <v>4.67691944E9</v>
      </c>
      <c r="F785" s="166" t="s">
        <v>2855</v>
      </c>
      <c r="G785" s="210">
        <v>45476.0</v>
      </c>
      <c r="H785" s="287">
        <v>45483.0</v>
      </c>
      <c r="I785" s="168">
        <v>7.0</v>
      </c>
      <c r="J785" s="169" t="s">
        <v>78</v>
      </c>
      <c r="K785" s="166" t="s">
        <v>79</v>
      </c>
      <c r="L785" s="166" t="s">
        <v>1454</v>
      </c>
      <c r="M785" s="205">
        <v>2.0</v>
      </c>
      <c r="N785" s="170">
        <v>0.0</v>
      </c>
      <c r="O785" s="171">
        <v>165.65</v>
      </c>
      <c r="P785" s="171">
        <v>132.52</v>
      </c>
      <c r="Q785" s="172">
        <v>0.0</v>
      </c>
      <c r="R785" s="173">
        <v>927.64</v>
      </c>
      <c r="S785" s="173">
        <v>0.0</v>
      </c>
      <c r="T785" s="173">
        <v>1159.55</v>
      </c>
      <c r="U785" s="174" t="s">
        <v>1455</v>
      </c>
      <c r="V785" s="288">
        <v>45400.13545138889</v>
      </c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</row>
    <row r="786">
      <c r="A786" s="276">
        <v>45400.0</v>
      </c>
      <c r="B786" s="252">
        <v>5577026.0</v>
      </c>
      <c r="C786" s="253" t="s">
        <v>82</v>
      </c>
      <c r="D786" s="253" t="s">
        <v>35</v>
      </c>
      <c r="E786" s="252">
        <v>4.656498204E9</v>
      </c>
      <c r="F786" s="253" t="s">
        <v>2856</v>
      </c>
      <c r="G786" s="276">
        <v>45492.0</v>
      </c>
      <c r="H786" s="277">
        <v>45495.0</v>
      </c>
      <c r="I786" s="278">
        <v>3.0</v>
      </c>
      <c r="J786" s="257" t="s">
        <v>78</v>
      </c>
      <c r="K786" s="253" t="s">
        <v>79</v>
      </c>
      <c r="L786" s="253" t="s">
        <v>2808</v>
      </c>
      <c r="M786" s="252">
        <v>2.0</v>
      </c>
      <c r="N786" s="258">
        <v>0.0</v>
      </c>
      <c r="O786" s="259">
        <v>101.39</v>
      </c>
      <c r="P786" s="259">
        <v>81.11200000000001</v>
      </c>
      <c r="Q786" s="257">
        <v>0.0</v>
      </c>
      <c r="R786" s="260">
        <v>243.336</v>
      </c>
      <c r="S786" s="260">
        <v>0.0</v>
      </c>
      <c r="T786" s="260">
        <v>304.17</v>
      </c>
      <c r="U786" s="261" t="s">
        <v>2810</v>
      </c>
      <c r="V786" s="279">
        <v>45400.56115740741</v>
      </c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</row>
    <row r="787">
      <c r="A787" s="280">
        <v>45400.0</v>
      </c>
      <c r="B787" s="264">
        <v>5579093.0</v>
      </c>
      <c r="C787" s="265" t="s">
        <v>82</v>
      </c>
      <c r="D787" s="265" t="s">
        <v>35</v>
      </c>
      <c r="E787" s="264">
        <v>4.980431883E9</v>
      </c>
      <c r="F787" s="265" t="s">
        <v>2858</v>
      </c>
      <c r="G787" s="280">
        <v>45504.0</v>
      </c>
      <c r="H787" s="281">
        <v>45508.0</v>
      </c>
      <c r="I787" s="282">
        <v>4.0</v>
      </c>
      <c r="J787" s="283" t="s">
        <v>78</v>
      </c>
      <c r="K787" s="265" t="s">
        <v>79</v>
      </c>
      <c r="L787" s="265" t="s">
        <v>2860</v>
      </c>
      <c r="M787" s="269">
        <v>2.0</v>
      </c>
      <c r="N787" s="270">
        <v>0.0</v>
      </c>
      <c r="O787" s="271">
        <v>100.2</v>
      </c>
      <c r="P787" s="271">
        <v>80.16000000000001</v>
      </c>
      <c r="Q787" s="272">
        <v>0.0</v>
      </c>
      <c r="R787" s="273">
        <v>320.64000000000004</v>
      </c>
      <c r="S787" s="273">
        <v>0.0</v>
      </c>
      <c r="T787" s="273">
        <v>400.8</v>
      </c>
      <c r="U787" s="274" t="s">
        <v>2861</v>
      </c>
      <c r="V787" s="284">
        <v>45401.01045138889</v>
      </c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</row>
    <row r="788">
      <c r="A788" s="210">
        <v>45400.0</v>
      </c>
      <c r="B788" s="166">
        <v>5578924.0</v>
      </c>
      <c r="C788" s="166" t="s">
        <v>75</v>
      </c>
      <c r="D788" s="166" t="s">
        <v>35</v>
      </c>
      <c r="E788" s="166">
        <v>4.729586121E9</v>
      </c>
      <c r="F788" s="166" t="s">
        <v>2862</v>
      </c>
      <c r="G788" s="210">
        <v>45545.0</v>
      </c>
      <c r="H788" s="287">
        <v>45547.0</v>
      </c>
      <c r="I788" s="168">
        <v>2.0</v>
      </c>
      <c r="J788" s="169" t="s">
        <v>78</v>
      </c>
      <c r="K788" s="166" t="s">
        <v>79</v>
      </c>
      <c r="L788" s="166" t="s">
        <v>2803</v>
      </c>
      <c r="M788" s="166">
        <v>2.0</v>
      </c>
      <c r="N788" s="170">
        <v>0.0</v>
      </c>
      <c r="O788" s="171">
        <v>125.0</v>
      </c>
      <c r="P788" s="171">
        <v>100.0</v>
      </c>
      <c r="Q788" s="172">
        <v>0.0</v>
      </c>
      <c r="R788" s="173">
        <v>200.0</v>
      </c>
      <c r="S788" s="173">
        <v>0.0</v>
      </c>
      <c r="T788" s="173">
        <v>250.0</v>
      </c>
      <c r="U788" s="174" t="s">
        <v>2804</v>
      </c>
      <c r="V788" s="288">
        <v>45545.58270833333</v>
      </c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</row>
    <row r="789">
      <c r="A789" s="210">
        <v>45400.0</v>
      </c>
      <c r="B789" s="166">
        <v>5576697.0</v>
      </c>
      <c r="C789" s="166" t="s">
        <v>82</v>
      </c>
      <c r="D789" s="166" t="s">
        <v>35</v>
      </c>
      <c r="E789" s="166">
        <v>4.566821172E9</v>
      </c>
      <c r="F789" s="166" t="s">
        <v>2864</v>
      </c>
      <c r="G789" s="210">
        <v>45557.0</v>
      </c>
      <c r="H789" s="287">
        <v>45559.0</v>
      </c>
      <c r="I789" s="168">
        <v>2.0</v>
      </c>
      <c r="J789" s="169" t="s">
        <v>78</v>
      </c>
      <c r="K789" s="166" t="s">
        <v>79</v>
      </c>
      <c r="L789" s="166" t="s">
        <v>1476</v>
      </c>
      <c r="M789" s="166">
        <v>1.0</v>
      </c>
      <c r="N789" s="170">
        <v>0.0</v>
      </c>
      <c r="O789" s="171">
        <v>114.71</v>
      </c>
      <c r="P789" s="171">
        <v>91.768</v>
      </c>
      <c r="Q789" s="172">
        <v>0.0</v>
      </c>
      <c r="R789" s="173">
        <v>183.536</v>
      </c>
      <c r="S789" s="173">
        <v>0.0</v>
      </c>
      <c r="T789" s="173">
        <v>463.84</v>
      </c>
      <c r="U789" s="201" t="s">
        <v>1477</v>
      </c>
      <c r="V789" s="288">
        <v>45400.499340277776</v>
      </c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</row>
    <row r="790">
      <c r="A790" s="210">
        <v>45400.0</v>
      </c>
      <c r="B790" s="166">
        <v>5576697.0</v>
      </c>
      <c r="C790" s="166" t="s">
        <v>82</v>
      </c>
      <c r="D790" s="166" t="s">
        <v>35</v>
      </c>
      <c r="E790" s="166">
        <v>4.566821172E9</v>
      </c>
      <c r="F790" s="166" t="s">
        <v>2864</v>
      </c>
      <c r="G790" s="210">
        <v>45557.0</v>
      </c>
      <c r="H790" s="287">
        <v>45559.0</v>
      </c>
      <c r="I790" s="168">
        <v>2.0</v>
      </c>
      <c r="J790" s="169" t="s">
        <v>87</v>
      </c>
      <c r="K790" s="166" t="s">
        <v>79</v>
      </c>
      <c r="L790" s="166" t="s">
        <v>1476</v>
      </c>
      <c r="M790" s="166">
        <v>2.0</v>
      </c>
      <c r="N790" s="169">
        <v>0.0</v>
      </c>
      <c r="O790" s="171">
        <v>117.21</v>
      </c>
      <c r="P790" s="171">
        <v>93.768</v>
      </c>
      <c r="Q790" s="169">
        <v>0.0</v>
      </c>
      <c r="R790" s="173">
        <v>187.536</v>
      </c>
      <c r="S790" s="173">
        <v>0.0</v>
      </c>
      <c r="T790" s="173">
        <v>463.84</v>
      </c>
      <c r="U790" s="201" t="s">
        <v>1477</v>
      </c>
      <c r="V790" s="288">
        <v>45400.499340277776</v>
      </c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</row>
    <row r="791">
      <c r="A791" s="280">
        <v>45401.0</v>
      </c>
      <c r="B791" s="264">
        <v>5580833.0</v>
      </c>
      <c r="C791" s="265" t="s">
        <v>89</v>
      </c>
      <c r="D791" s="265" t="s">
        <v>35</v>
      </c>
      <c r="E791" s="264">
        <v>4.448294393E9</v>
      </c>
      <c r="F791" s="265" t="s">
        <v>2867</v>
      </c>
      <c r="G791" s="280">
        <v>45401.0</v>
      </c>
      <c r="H791" s="281">
        <v>45404.0</v>
      </c>
      <c r="I791" s="282">
        <v>3.0</v>
      </c>
      <c r="J791" s="283" t="s">
        <v>87</v>
      </c>
      <c r="K791" s="265" t="s">
        <v>79</v>
      </c>
      <c r="L791" s="265" t="s">
        <v>1396</v>
      </c>
      <c r="M791" s="269">
        <v>2.0</v>
      </c>
      <c r="N791" s="270">
        <v>0.0</v>
      </c>
      <c r="O791" s="271">
        <v>0.0</v>
      </c>
      <c r="P791" s="271">
        <v>0.0</v>
      </c>
      <c r="Q791" s="272">
        <v>0.0</v>
      </c>
      <c r="R791" s="273">
        <v>0.0</v>
      </c>
      <c r="S791" s="273">
        <v>0.0</v>
      </c>
      <c r="T791" s="273">
        <v>0.0</v>
      </c>
      <c r="U791" s="274" t="s">
        <v>2869</v>
      </c>
      <c r="V791" s="286">
        <v>45401.58060185185</v>
      </c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</row>
    <row r="792">
      <c r="A792" s="280">
        <v>45401.0</v>
      </c>
      <c r="B792" s="264">
        <v>5579161.0</v>
      </c>
      <c r="C792" s="265" t="s">
        <v>82</v>
      </c>
      <c r="D792" s="265" t="s">
        <v>35</v>
      </c>
      <c r="E792" s="264">
        <v>4.980441592E9</v>
      </c>
      <c r="F792" s="265" t="s">
        <v>2870</v>
      </c>
      <c r="G792" s="280">
        <v>45416.0</v>
      </c>
      <c r="H792" s="281">
        <v>45418.0</v>
      </c>
      <c r="I792" s="282">
        <v>2.0</v>
      </c>
      <c r="J792" s="283" t="s">
        <v>78</v>
      </c>
      <c r="K792" s="265" t="s">
        <v>79</v>
      </c>
      <c r="L792" s="265" t="s">
        <v>1619</v>
      </c>
      <c r="M792" s="283">
        <v>3.0</v>
      </c>
      <c r="N792" s="270">
        <v>0.0</v>
      </c>
      <c r="O792" s="271">
        <v>174.46</v>
      </c>
      <c r="P792" s="271">
        <v>139.568</v>
      </c>
      <c r="Q792" s="283">
        <v>0.0</v>
      </c>
      <c r="R792" s="273">
        <v>279.136</v>
      </c>
      <c r="S792" s="273">
        <v>0.0</v>
      </c>
      <c r="T792" s="273">
        <v>348.92</v>
      </c>
      <c r="U792" s="274" t="s">
        <v>1620</v>
      </c>
      <c r="V792" s="286">
        <v>45401.050729166665</v>
      </c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</row>
    <row r="793">
      <c r="A793" s="276">
        <v>45401.0</v>
      </c>
      <c r="B793" s="252">
        <v>5582230.0</v>
      </c>
      <c r="C793" s="253" t="s">
        <v>82</v>
      </c>
      <c r="D793" s="253" t="s">
        <v>35</v>
      </c>
      <c r="E793" s="252">
        <v>4.556576882E9</v>
      </c>
      <c r="F793" s="253" t="s">
        <v>2872</v>
      </c>
      <c r="G793" s="276">
        <v>45476.0</v>
      </c>
      <c r="H793" s="277">
        <v>45479.0</v>
      </c>
      <c r="I793" s="278">
        <v>3.0</v>
      </c>
      <c r="J793" s="257" t="s">
        <v>87</v>
      </c>
      <c r="K793" s="253" t="s">
        <v>79</v>
      </c>
      <c r="L793" s="253" t="s">
        <v>1400</v>
      </c>
      <c r="M793" s="252">
        <v>2.0</v>
      </c>
      <c r="N793" s="258">
        <v>0.0</v>
      </c>
      <c r="O793" s="259">
        <v>100.55</v>
      </c>
      <c r="P793" s="259">
        <v>80.44</v>
      </c>
      <c r="Q793" s="262">
        <v>0.0</v>
      </c>
      <c r="R793" s="260">
        <v>241.32</v>
      </c>
      <c r="S793" s="260">
        <v>0.0</v>
      </c>
      <c r="T793" s="260">
        <v>301.65</v>
      </c>
      <c r="U793" s="261" t="s">
        <v>1401</v>
      </c>
      <c r="V793" s="279">
        <v>45401.856307870374</v>
      </c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</row>
    <row r="794">
      <c r="A794" s="210">
        <v>45401.0</v>
      </c>
      <c r="B794" s="166">
        <v>5582550.0</v>
      </c>
      <c r="C794" s="166" t="s">
        <v>82</v>
      </c>
      <c r="D794" s="166" t="s">
        <v>35</v>
      </c>
      <c r="E794" s="166">
        <v>4.420920871E9</v>
      </c>
      <c r="F794" s="166" t="s">
        <v>2875</v>
      </c>
      <c r="G794" s="210">
        <v>45517.0</v>
      </c>
      <c r="H794" s="287">
        <v>45520.0</v>
      </c>
      <c r="I794" s="168">
        <v>3.0</v>
      </c>
      <c r="J794" s="169" t="s">
        <v>111</v>
      </c>
      <c r="K794" s="166" t="s">
        <v>138</v>
      </c>
      <c r="L794" s="166" t="s">
        <v>1584</v>
      </c>
      <c r="M794" s="166">
        <v>3.0</v>
      </c>
      <c r="N794" s="170">
        <v>0.0</v>
      </c>
      <c r="O794" s="171">
        <v>124.86000000000001</v>
      </c>
      <c r="P794" s="171">
        <v>99.88800000000002</v>
      </c>
      <c r="Q794" s="172">
        <v>54.0</v>
      </c>
      <c r="R794" s="173">
        <v>299.66400000000004</v>
      </c>
      <c r="S794" s="173">
        <v>162.0</v>
      </c>
      <c r="T794" s="173">
        <v>536.58</v>
      </c>
      <c r="U794" s="174" t="s">
        <v>1585</v>
      </c>
      <c r="V794" s="288">
        <v>45401.927141203705</v>
      </c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</row>
    <row r="795">
      <c r="A795" s="280">
        <v>45401.0</v>
      </c>
      <c r="B795" s="264">
        <v>5581397.0</v>
      </c>
      <c r="C795" s="265" t="s">
        <v>82</v>
      </c>
      <c r="D795" s="265" t="s">
        <v>35</v>
      </c>
      <c r="E795" s="264">
        <v>4.866259683E9</v>
      </c>
      <c r="F795" s="265" t="s">
        <v>2878</v>
      </c>
      <c r="G795" s="280">
        <v>45633.0</v>
      </c>
      <c r="H795" s="313">
        <v>45640.0</v>
      </c>
      <c r="I795" s="282">
        <v>7.0</v>
      </c>
      <c r="J795" s="283" t="s">
        <v>87</v>
      </c>
      <c r="K795" s="265" t="s">
        <v>79</v>
      </c>
      <c r="L795" s="265" t="s">
        <v>1400</v>
      </c>
      <c r="M795" s="269">
        <v>1.0</v>
      </c>
      <c r="N795" s="283">
        <v>0.0</v>
      </c>
      <c r="O795" s="271">
        <v>132.54</v>
      </c>
      <c r="P795" s="271">
        <v>106.032</v>
      </c>
      <c r="Q795" s="283">
        <v>0.0</v>
      </c>
      <c r="R795" s="273">
        <v>742.224</v>
      </c>
      <c r="S795" s="273">
        <v>0.0</v>
      </c>
      <c r="T795" s="273">
        <v>927.78</v>
      </c>
      <c r="U795" s="274" t="s">
        <v>1401</v>
      </c>
      <c r="V795" s="284">
        <v>45401.68408564814</v>
      </c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</row>
    <row r="796">
      <c r="A796" s="276">
        <v>45402.0</v>
      </c>
      <c r="B796" s="252">
        <v>5583662.0</v>
      </c>
      <c r="C796" s="253" t="s">
        <v>82</v>
      </c>
      <c r="D796" s="253" t="s">
        <v>35</v>
      </c>
      <c r="E796" s="252">
        <v>4.69546263E9</v>
      </c>
      <c r="F796" s="253" t="s">
        <v>2881</v>
      </c>
      <c r="G796" s="276">
        <v>45458.0</v>
      </c>
      <c r="H796" s="277">
        <v>45463.0</v>
      </c>
      <c r="I796" s="278">
        <v>5.0</v>
      </c>
      <c r="J796" s="257" t="s">
        <v>78</v>
      </c>
      <c r="K796" s="253" t="s">
        <v>79</v>
      </c>
      <c r="L796" s="253" t="s">
        <v>1443</v>
      </c>
      <c r="M796" s="252">
        <v>2.0</v>
      </c>
      <c r="N796" s="258">
        <v>0.0</v>
      </c>
      <c r="O796" s="259">
        <v>141.26</v>
      </c>
      <c r="P796" s="259">
        <v>113.008</v>
      </c>
      <c r="Q796" s="262">
        <v>0.0</v>
      </c>
      <c r="R796" s="260">
        <v>565.04</v>
      </c>
      <c r="S796" s="260">
        <v>0.0</v>
      </c>
      <c r="T796" s="260">
        <v>706.3</v>
      </c>
      <c r="U796" s="261" t="s">
        <v>1444</v>
      </c>
      <c r="V796" s="279">
        <v>45402.42920138889</v>
      </c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</row>
    <row r="797">
      <c r="A797" s="289">
        <v>45403.0</v>
      </c>
      <c r="B797" s="290">
        <v>5587007.0</v>
      </c>
      <c r="C797" s="291" t="s">
        <v>82</v>
      </c>
      <c r="D797" s="291" t="s">
        <v>35</v>
      </c>
      <c r="E797" s="290">
        <v>4.98426298E9</v>
      </c>
      <c r="F797" s="291" t="s">
        <v>2882</v>
      </c>
      <c r="G797" s="289">
        <v>45413.0</v>
      </c>
      <c r="H797" s="292">
        <v>45414.0</v>
      </c>
      <c r="I797" s="293">
        <v>1.0</v>
      </c>
      <c r="J797" s="294" t="s">
        <v>78</v>
      </c>
      <c r="K797" s="291" t="s">
        <v>79</v>
      </c>
      <c r="L797" s="291" t="s">
        <v>1454</v>
      </c>
      <c r="M797" s="290">
        <v>2.0</v>
      </c>
      <c r="N797" s="295">
        <v>0.0</v>
      </c>
      <c r="O797" s="296">
        <v>217.41</v>
      </c>
      <c r="P797" s="296">
        <v>173.928</v>
      </c>
      <c r="Q797" s="301">
        <v>0.0</v>
      </c>
      <c r="R797" s="297">
        <v>173.928</v>
      </c>
      <c r="S797" s="297">
        <v>0.0</v>
      </c>
      <c r="T797" s="297">
        <v>217.41</v>
      </c>
      <c r="U797" s="298" t="s">
        <v>1455</v>
      </c>
      <c r="V797" s="299">
        <v>45403.41045138889</v>
      </c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</row>
    <row r="798">
      <c r="A798" s="210">
        <v>45403.0</v>
      </c>
      <c r="B798" s="166">
        <v>5587194.0</v>
      </c>
      <c r="C798" s="166" t="s">
        <v>82</v>
      </c>
      <c r="D798" s="166" t="s">
        <v>35</v>
      </c>
      <c r="E798" s="166">
        <v>4.984282236E9</v>
      </c>
      <c r="F798" s="166" t="s">
        <v>2801</v>
      </c>
      <c r="G798" s="210">
        <v>45492.0</v>
      </c>
      <c r="H798" s="287">
        <v>45494.0</v>
      </c>
      <c r="I798" s="168">
        <v>2.0</v>
      </c>
      <c r="J798" s="169" t="s">
        <v>78</v>
      </c>
      <c r="K798" s="166" t="s">
        <v>79</v>
      </c>
      <c r="L798" s="166" t="s">
        <v>1396</v>
      </c>
      <c r="M798" s="205">
        <v>2.0</v>
      </c>
      <c r="N798" s="170">
        <v>0.0</v>
      </c>
      <c r="O798" s="171">
        <v>80.32</v>
      </c>
      <c r="P798" s="171">
        <v>64.256</v>
      </c>
      <c r="Q798" s="172">
        <v>0.0</v>
      </c>
      <c r="R798" s="173">
        <v>128.512</v>
      </c>
      <c r="S798" s="173">
        <v>0.0</v>
      </c>
      <c r="T798" s="173">
        <v>160.64</v>
      </c>
      <c r="U798" s="201" t="s">
        <v>1398</v>
      </c>
      <c r="V798" s="288">
        <v>45403.46605324074</v>
      </c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</row>
    <row r="799">
      <c r="A799" s="210">
        <v>45403.0</v>
      </c>
      <c r="B799" s="166">
        <v>5589010.0</v>
      </c>
      <c r="C799" s="166" t="s">
        <v>82</v>
      </c>
      <c r="D799" s="166" t="s">
        <v>35</v>
      </c>
      <c r="E799" s="166">
        <v>4.867838607E9</v>
      </c>
      <c r="F799" s="166" t="s">
        <v>2884</v>
      </c>
      <c r="G799" s="210">
        <v>45503.0</v>
      </c>
      <c r="H799" s="287">
        <v>45506.0</v>
      </c>
      <c r="I799" s="168">
        <v>3.0</v>
      </c>
      <c r="J799" s="169" t="s">
        <v>78</v>
      </c>
      <c r="K799" s="166" t="s">
        <v>79</v>
      </c>
      <c r="L799" s="166" t="s">
        <v>1400</v>
      </c>
      <c r="M799" s="205">
        <v>2.0</v>
      </c>
      <c r="N799" s="170">
        <v>0.0</v>
      </c>
      <c r="O799" s="171">
        <v>94.60000000000001</v>
      </c>
      <c r="P799" s="171">
        <v>75.68</v>
      </c>
      <c r="Q799" s="172">
        <v>0.0</v>
      </c>
      <c r="R799" s="173">
        <v>227.04000000000002</v>
      </c>
      <c r="S799" s="173">
        <v>0.0</v>
      </c>
      <c r="T799" s="173">
        <v>283.8</v>
      </c>
      <c r="U799" s="201" t="s">
        <v>1401</v>
      </c>
      <c r="V799" s="288">
        <v>45403.82157407407</v>
      </c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</row>
    <row r="800">
      <c r="A800" s="280">
        <v>45403.0</v>
      </c>
      <c r="B800" s="264">
        <v>5586985.0</v>
      </c>
      <c r="C800" s="265" t="s">
        <v>82</v>
      </c>
      <c r="D800" s="265" t="s">
        <v>35</v>
      </c>
      <c r="E800" s="264">
        <v>4.58207769E8</v>
      </c>
      <c r="F800" s="265" t="s">
        <v>2886</v>
      </c>
      <c r="G800" s="280">
        <v>45547.0</v>
      </c>
      <c r="H800" s="281">
        <v>45549.0</v>
      </c>
      <c r="I800" s="282">
        <v>2.0</v>
      </c>
      <c r="J800" s="283" t="s">
        <v>78</v>
      </c>
      <c r="K800" s="265" t="s">
        <v>79</v>
      </c>
      <c r="L800" s="265" t="s">
        <v>1400</v>
      </c>
      <c r="M800" s="269">
        <v>2.0</v>
      </c>
      <c r="N800" s="270">
        <v>0.0</v>
      </c>
      <c r="O800" s="271">
        <v>130.89</v>
      </c>
      <c r="P800" s="271">
        <v>104.71199999999999</v>
      </c>
      <c r="Q800" s="272">
        <v>0.0</v>
      </c>
      <c r="R800" s="273">
        <v>209.42399999999998</v>
      </c>
      <c r="S800" s="273">
        <v>0.0</v>
      </c>
      <c r="T800" s="273">
        <v>261.78</v>
      </c>
      <c r="U800" s="274" t="s">
        <v>1401</v>
      </c>
      <c r="V800" s="284">
        <v>45403.40491898148</v>
      </c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</row>
    <row r="801">
      <c r="A801" s="210">
        <v>45403.0</v>
      </c>
      <c r="B801" s="166">
        <v>5586909.0</v>
      </c>
      <c r="C801" s="166" t="s">
        <v>82</v>
      </c>
      <c r="D801" s="166" t="s">
        <v>35</v>
      </c>
      <c r="E801" s="166">
        <v>4.745655332E9</v>
      </c>
      <c r="F801" s="166" t="s">
        <v>2887</v>
      </c>
      <c r="G801" s="210">
        <v>45563.0</v>
      </c>
      <c r="H801" s="287">
        <v>45565.0</v>
      </c>
      <c r="I801" s="168">
        <v>2.0</v>
      </c>
      <c r="J801" s="169" t="s">
        <v>87</v>
      </c>
      <c r="K801" s="166" t="s">
        <v>79</v>
      </c>
      <c r="L801" s="166" t="s">
        <v>2888</v>
      </c>
      <c r="M801" s="205">
        <v>2.0</v>
      </c>
      <c r="N801" s="170">
        <v>0.0</v>
      </c>
      <c r="O801" s="171">
        <v>105.14</v>
      </c>
      <c r="P801" s="171">
        <v>84.11200000000001</v>
      </c>
      <c r="Q801" s="172">
        <v>0.0</v>
      </c>
      <c r="R801" s="173">
        <v>168.22400000000002</v>
      </c>
      <c r="S801" s="173">
        <v>0.0</v>
      </c>
      <c r="T801" s="173">
        <v>950.38</v>
      </c>
      <c r="U801" s="174" t="s">
        <v>2889</v>
      </c>
      <c r="V801" s="288">
        <v>45403.38615740741</v>
      </c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</row>
    <row r="802">
      <c r="A802" s="276">
        <v>45403.0</v>
      </c>
      <c r="B802" s="252">
        <v>5586909.0</v>
      </c>
      <c r="C802" s="253" t="s">
        <v>82</v>
      </c>
      <c r="D802" s="253" t="s">
        <v>35</v>
      </c>
      <c r="E802" s="252">
        <v>4.745655332E9</v>
      </c>
      <c r="F802" s="253" t="s">
        <v>2887</v>
      </c>
      <c r="G802" s="276">
        <v>45563.0</v>
      </c>
      <c r="H802" s="277">
        <v>45565.0</v>
      </c>
      <c r="I802" s="278">
        <v>2.0</v>
      </c>
      <c r="J802" s="257" t="s">
        <v>78</v>
      </c>
      <c r="K802" s="253" t="s">
        <v>79</v>
      </c>
      <c r="L802" s="253" t="s">
        <v>1479</v>
      </c>
      <c r="M802" s="252">
        <v>2.0</v>
      </c>
      <c r="N802" s="258">
        <v>0.0</v>
      </c>
      <c r="O802" s="259">
        <v>123.35</v>
      </c>
      <c r="P802" s="259">
        <v>98.68</v>
      </c>
      <c r="Q802" s="262">
        <v>0.0</v>
      </c>
      <c r="R802" s="260">
        <v>197.36</v>
      </c>
      <c r="S802" s="260">
        <v>0.0</v>
      </c>
      <c r="T802" s="260">
        <v>950.38</v>
      </c>
      <c r="U802" s="261" t="s">
        <v>1481</v>
      </c>
      <c r="V802" s="279">
        <v>45403.38615740741</v>
      </c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</row>
    <row r="803">
      <c r="A803" s="280">
        <v>45403.0</v>
      </c>
      <c r="B803" s="264">
        <v>5586909.0</v>
      </c>
      <c r="C803" s="265" t="s">
        <v>82</v>
      </c>
      <c r="D803" s="265" t="s">
        <v>35</v>
      </c>
      <c r="E803" s="264">
        <v>4.745655332E9</v>
      </c>
      <c r="F803" s="265" t="s">
        <v>2887</v>
      </c>
      <c r="G803" s="280">
        <v>45563.0</v>
      </c>
      <c r="H803" s="281">
        <v>45565.0</v>
      </c>
      <c r="I803" s="282">
        <v>2.0</v>
      </c>
      <c r="J803" s="283" t="s">
        <v>78</v>
      </c>
      <c r="K803" s="265" t="s">
        <v>79</v>
      </c>
      <c r="L803" s="265" t="s">
        <v>1479</v>
      </c>
      <c r="M803" s="269">
        <v>2.0</v>
      </c>
      <c r="N803" s="270">
        <v>0.0</v>
      </c>
      <c r="O803" s="271">
        <v>123.35</v>
      </c>
      <c r="P803" s="271">
        <v>98.68</v>
      </c>
      <c r="Q803" s="272">
        <v>0.0</v>
      </c>
      <c r="R803" s="273">
        <v>197.36</v>
      </c>
      <c r="S803" s="273">
        <v>0.0</v>
      </c>
      <c r="T803" s="273">
        <v>950.38</v>
      </c>
      <c r="U803" s="274" t="s">
        <v>1481</v>
      </c>
      <c r="V803" s="284">
        <v>45403.38615740741</v>
      </c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</row>
    <row r="804">
      <c r="A804" s="210">
        <v>45403.0</v>
      </c>
      <c r="B804" s="166">
        <v>5586909.0</v>
      </c>
      <c r="C804" s="166" t="s">
        <v>82</v>
      </c>
      <c r="D804" s="166" t="s">
        <v>35</v>
      </c>
      <c r="E804" s="166">
        <v>4.745655332E9</v>
      </c>
      <c r="F804" s="166" t="s">
        <v>2887</v>
      </c>
      <c r="G804" s="210">
        <v>45563.0</v>
      </c>
      <c r="H804" s="287">
        <v>45565.0</v>
      </c>
      <c r="I804" s="168">
        <v>2.0</v>
      </c>
      <c r="J804" s="169" t="s">
        <v>78</v>
      </c>
      <c r="K804" s="166" t="s">
        <v>79</v>
      </c>
      <c r="L804" s="166" t="s">
        <v>1479</v>
      </c>
      <c r="M804" s="166">
        <v>2.0</v>
      </c>
      <c r="N804" s="170">
        <v>0.0</v>
      </c>
      <c r="O804" s="171">
        <v>123.35</v>
      </c>
      <c r="P804" s="171">
        <v>98.68</v>
      </c>
      <c r="Q804" s="172">
        <v>0.0</v>
      </c>
      <c r="R804" s="173">
        <v>197.36</v>
      </c>
      <c r="S804" s="173">
        <v>0.0</v>
      </c>
      <c r="T804" s="173">
        <v>950.38</v>
      </c>
      <c r="U804" s="201" t="s">
        <v>1481</v>
      </c>
      <c r="V804" s="288">
        <v>45403.38615740741</v>
      </c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</row>
    <row r="805">
      <c r="A805" s="210">
        <v>45403.0</v>
      </c>
      <c r="B805" s="166">
        <v>5587872.0</v>
      </c>
      <c r="C805" s="166" t="s">
        <v>82</v>
      </c>
      <c r="D805" s="166" t="s">
        <v>35</v>
      </c>
      <c r="E805" s="166">
        <v>4.456645564E9</v>
      </c>
      <c r="F805" s="166" t="s">
        <v>2893</v>
      </c>
      <c r="G805" s="210">
        <v>45563.0</v>
      </c>
      <c r="H805" s="287">
        <v>45564.0</v>
      </c>
      <c r="I805" s="168">
        <v>1.0</v>
      </c>
      <c r="J805" s="169" t="s">
        <v>111</v>
      </c>
      <c r="K805" s="166" t="s">
        <v>79</v>
      </c>
      <c r="L805" s="166" t="s">
        <v>2808</v>
      </c>
      <c r="M805" s="166">
        <v>2.0</v>
      </c>
      <c r="N805" s="170">
        <v>0.0</v>
      </c>
      <c r="O805" s="171">
        <v>138.28</v>
      </c>
      <c r="P805" s="171">
        <v>110.62400000000001</v>
      </c>
      <c r="Q805" s="172">
        <v>0.0</v>
      </c>
      <c r="R805" s="173">
        <v>110.62400000000001</v>
      </c>
      <c r="S805" s="173">
        <v>0.0</v>
      </c>
      <c r="T805" s="173">
        <v>138.28</v>
      </c>
      <c r="U805" s="174" t="s">
        <v>2810</v>
      </c>
      <c r="V805" s="288">
        <v>45403.60350694445</v>
      </c>
      <c r="W805" s="36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</row>
    <row r="806">
      <c r="A806" s="276">
        <v>45404.0</v>
      </c>
      <c r="B806" s="252">
        <v>5590277.0</v>
      </c>
      <c r="C806" s="253" t="s">
        <v>82</v>
      </c>
      <c r="D806" s="253" t="s">
        <v>35</v>
      </c>
      <c r="E806" s="252">
        <v>4.456695891E9</v>
      </c>
      <c r="F806" s="253" t="s">
        <v>2895</v>
      </c>
      <c r="G806" s="276">
        <v>45426.0</v>
      </c>
      <c r="H806" s="277">
        <v>45429.0</v>
      </c>
      <c r="I806" s="278">
        <v>3.0</v>
      </c>
      <c r="J806" s="257" t="s">
        <v>111</v>
      </c>
      <c r="K806" s="253" t="s">
        <v>79</v>
      </c>
      <c r="L806" s="253" t="s">
        <v>1454</v>
      </c>
      <c r="M806" s="275">
        <v>2.0</v>
      </c>
      <c r="N806" s="258">
        <v>0.0</v>
      </c>
      <c r="O806" s="259">
        <v>194.66</v>
      </c>
      <c r="P806" s="259">
        <v>155.728</v>
      </c>
      <c r="Q806" s="262">
        <v>0.0</v>
      </c>
      <c r="R806" s="260">
        <v>467.184</v>
      </c>
      <c r="S806" s="260">
        <v>0.0</v>
      </c>
      <c r="T806" s="260">
        <v>583.98</v>
      </c>
      <c r="U806" s="261" t="s">
        <v>1455</v>
      </c>
      <c r="V806" s="279">
        <v>45404.3062962963</v>
      </c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</row>
    <row r="807">
      <c r="A807" s="276">
        <v>45404.0</v>
      </c>
      <c r="B807" s="252">
        <v>5590338.0</v>
      </c>
      <c r="C807" s="253" t="s">
        <v>82</v>
      </c>
      <c r="D807" s="253" t="s">
        <v>35</v>
      </c>
      <c r="E807" s="252">
        <v>4.456628946E9</v>
      </c>
      <c r="F807" s="253" t="s">
        <v>2897</v>
      </c>
      <c r="G807" s="276">
        <v>45427.0</v>
      </c>
      <c r="H807" s="277">
        <v>45429.0</v>
      </c>
      <c r="I807" s="278">
        <v>2.0</v>
      </c>
      <c r="J807" s="257" t="s">
        <v>78</v>
      </c>
      <c r="K807" s="253" t="s">
        <v>79</v>
      </c>
      <c r="L807" s="253" t="s">
        <v>1400</v>
      </c>
      <c r="M807" s="252">
        <v>2.0</v>
      </c>
      <c r="N807" s="258">
        <v>0.0</v>
      </c>
      <c r="O807" s="259">
        <v>156.48</v>
      </c>
      <c r="P807" s="259">
        <v>125.184</v>
      </c>
      <c r="Q807" s="262">
        <v>0.0</v>
      </c>
      <c r="R807" s="260">
        <v>250.368</v>
      </c>
      <c r="S807" s="260">
        <v>0.0</v>
      </c>
      <c r="T807" s="260">
        <v>312.96</v>
      </c>
      <c r="U807" s="261" t="s">
        <v>1401</v>
      </c>
      <c r="V807" s="279">
        <v>45404.32434027777</v>
      </c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</row>
    <row r="808">
      <c r="A808" s="210">
        <v>45404.0</v>
      </c>
      <c r="B808" s="166">
        <v>5590889.0</v>
      </c>
      <c r="C808" s="166" t="s">
        <v>82</v>
      </c>
      <c r="D808" s="166" t="s">
        <v>94</v>
      </c>
      <c r="E808" s="166">
        <v>4.636890301E9</v>
      </c>
      <c r="F808" s="166" t="s">
        <v>2899</v>
      </c>
      <c r="G808" s="210">
        <v>45457.0</v>
      </c>
      <c r="H808" s="287">
        <v>45462.0</v>
      </c>
      <c r="I808" s="168">
        <v>5.0</v>
      </c>
      <c r="J808" s="169" t="s">
        <v>114</v>
      </c>
      <c r="K808" s="166" t="s">
        <v>79</v>
      </c>
      <c r="L808" s="166" t="s">
        <v>1396</v>
      </c>
      <c r="M808" s="166">
        <v>2.0</v>
      </c>
      <c r="N808" s="170">
        <v>0.0</v>
      </c>
      <c r="O808" s="171">
        <v>160.60999999999999</v>
      </c>
      <c r="P808" s="171">
        <v>159.0039</v>
      </c>
      <c r="Q808" s="172">
        <v>0.0</v>
      </c>
      <c r="R808" s="173">
        <v>795.0195</v>
      </c>
      <c r="S808" s="173">
        <v>0.0</v>
      </c>
      <c r="T808" s="173">
        <v>803.05</v>
      </c>
      <c r="U808" s="201" t="s">
        <v>1398</v>
      </c>
      <c r="V808" s="288">
        <v>45404.46115740741</v>
      </c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</row>
    <row r="809">
      <c r="A809" s="280">
        <v>45404.0</v>
      </c>
      <c r="B809" s="264">
        <v>5593126.0</v>
      </c>
      <c r="C809" s="265" t="s">
        <v>82</v>
      </c>
      <c r="D809" s="265" t="s">
        <v>35</v>
      </c>
      <c r="E809" s="264">
        <v>4.586792782E9</v>
      </c>
      <c r="F809" s="265" t="s">
        <v>2901</v>
      </c>
      <c r="G809" s="280">
        <v>45463.0</v>
      </c>
      <c r="H809" s="281">
        <v>45466.0</v>
      </c>
      <c r="I809" s="282">
        <v>3.0</v>
      </c>
      <c r="J809" s="283" t="s">
        <v>78</v>
      </c>
      <c r="K809" s="265" t="s">
        <v>79</v>
      </c>
      <c r="L809" s="265" t="s">
        <v>1400</v>
      </c>
      <c r="M809" s="269">
        <v>2.0</v>
      </c>
      <c r="N809" s="270">
        <v>0.0</v>
      </c>
      <c r="O809" s="271">
        <v>211.80999999999997</v>
      </c>
      <c r="P809" s="271">
        <v>169.44799999999998</v>
      </c>
      <c r="Q809" s="272">
        <v>0.0</v>
      </c>
      <c r="R809" s="273">
        <v>508.344</v>
      </c>
      <c r="S809" s="273">
        <v>0.0</v>
      </c>
      <c r="T809" s="273">
        <v>635.43</v>
      </c>
      <c r="U809" s="274" t="s">
        <v>1401</v>
      </c>
      <c r="V809" s="286">
        <v>45404.901446759264</v>
      </c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</row>
    <row r="810">
      <c r="A810" s="280">
        <v>45404.0</v>
      </c>
      <c r="B810" s="264">
        <v>5593345.0</v>
      </c>
      <c r="C810" s="265" t="s">
        <v>82</v>
      </c>
      <c r="D810" s="265" t="s">
        <v>35</v>
      </c>
      <c r="E810" s="264">
        <v>4.349010127E9</v>
      </c>
      <c r="F810" s="265" t="s">
        <v>2903</v>
      </c>
      <c r="G810" s="280">
        <v>45463.0</v>
      </c>
      <c r="H810" s="281">
        <v>45467.0</v>
      </c>
      <c r="I810" s="282">
        <v>4.0</v>
      </c>
      <c r="J810" s="283" t="s">
        <v>78</v>
      </c>
      <c r="K810" s="265" t="s">
        <v>79</v>
      </c>
      <c r="L810" s="265" t="s">
        <v>1396</v>
      </c>
      <c r="M810" s="264">
        <v>2.0</v>
      </c>
      <c r="N810" s="270">
        <v>0.0</v>
      </c>
      <c r="O810" s="271">
        <v>132.92</v>
      </c>
      <c r="P810" s="271">
        <v>106.336</v>
      </c>
      <c r="Q810" s="272">
        <v>0.0</v>
      </c>
      <c r="R810" s="273">
        <v>425.344</v>
      </c>
      <c r="S810" s="273">
        <v>0.0</v>
      </c>
      <c r="T810" s="273">
        <v>531.68</v>
      </c>
      <c r="U810" s="274" t="s">
        <v>1398</v>
      </c>
      <c r="V810" s="286">
        <v>45404.95701388889</v>
      </c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</row>
    <row r="811">
      <c r="A811" s="210">
        <v>45404.0</v>
      </c>
      <c r="B811" s="166">
        <v>5593300.0</v>
      </c>
      <c r="C811" s="166" t="s">
        <v>82</v>
      </c>
      <c r="D811" s="166" t="s">
        <v>35</v>
      </c>
      <c r="E811" s="166">
        <v>4.939999302E9</v>
      </c>
      <c r="F811" s="166" t="s">
        <v>2905</v>
      </c>
      <c r="G811" s="210">
        <v>45489.0</v>
      </c>
      <c r="H811" s="287">
        <v>45491.0</v>
      </c>
      <c r="I811" s="168">
        <v>2.0</v>
      </c>
      <c r="J811" s="169" t="s">
        <v>78</v>
      </c>
      <c r="K811" s="166" t="s">
        <v>79</v>
      </c>
      <c r="L811" s="166" t="s">
        <v>1414</v>
      </c>
      <c r="M811" s="166">
        <v>2.0</v>
      </c>
      <c r="N811" s="170">
        <v>0.0</v>
      </c>
      <c r="O811" s="171">
        <v>90.43</v>
      </c>
      <c r="P811" s="171">
        <v>72.34400000000001</v>
      </c>
      <c r="Q811" s="172">
        <v>0.0</v>
      </c>
      <c r="R811" s="173">
        <v>144.68800000000002</v>
      </c>
      <c r="S811" s="173">
        <v>0.0</v>
      </c>
      <c r="T811" s="173">
        <v>180.86</v>
      </c>
      <c r="U811" s="174" t="s">
        <v>1415</v>
      </c>
      <c r="V811" s="288">
        <v>45404.94310185185</v>
      </c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</row>
    <row r="812">
      <c r="A812" s="280">
        <v>45404.0</v>
      </c>
      <c r="B812" s="264">
        <v>5591996.0</v>
      </c>
      <c r="C812" s="265" t="s">
        <v>82</v>
      </c>
      <c r="D812" s="265" t="s">
        <v>35</v>
      </c>
      <c r="E812" s="264">
        <v>4.636844507E9</v>
      </c>
      <c r="F812" s="265" t="s">
        <v>2907</v>
      </c>
      <c r="G812" s="280">
        <v>45529.0</v>
      </c>
      <c r="H812" s="281">
        <v>45534.0</v>
      </c>
      <c r="I812" s="282">
        <v>5.0</v>
      </c>
      <c r="J812" s="283" t="s">
        <v>78</v>
      </c>
      <c r="K812" s="265" t="s">
        <v>79</v>
      </c>
      <c r="L812" s="265" t="s">
        <v>2808</v>
      </c>
      <c r="M812" s="269">
        <v>2.0</v>
      </c>
      <c r="N812" s="270">
        <v>0.0</v>
      </c>
      <c r="O812" s="271">
        <v>143.04000000000002</v>
      </c>
      <c r="P812" s="271">
        <v>114.43200000000002</v>
      </c>
      <c r="Q812" s="272">
        <v>0.0</v>
      </c>
      <c r="R812" s="273">
        <v>572.1600000000001</v>
      </c>
      <c r="S812" s="273">
        <v>0.0</v>
      </c>
      <c r="T812" s="273">
        <v>715.2</v>
      </c>
      <c r="U812" s="274" t="s">
        <v>2810</v>
      </c>
      <c r="V812" s="284">
        <v>45404.67989583334</v>
      </c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</row>
    <row r="813">
      <c r="A813" s="276">
        <v>45405.0</v>
      </c>
      <c r="B813" s="252">
        <v>5595233.0</v>
      </c>
      <c r="C813" s="253" t="s">
        <v>82</v>
      </c>
      <c r="D813" s="253" t="s">
        <v>35</v>
      </c>
      <c r="E813" s="252">
        <v>4.505706112E9</v>
      </c>
      <c r="F813" s="253" t="s">
        <v>2909</v>
      </c>
      <c r="G813" s="276">
        <v>45405.0</v>
      </c>
      <c r="H813" s="277">
        <v>45406.0</v>
      </c>
      <c r="I813" s="278">
        <v>1.0</v>
      </c>
      <c r="J813" s="257" t="s">
        <v>78</v>
      </c>
      <c r="K813" s="253" t="s">
        <v>79</v>
      </c>
      <c r="L813" s="253" t="s">
        <v>1443</v>
      </c>
      <c r="M813" s="252">
        <v>2.0</v>
      </c>
      <c r="N813" s="258">
        <v>0.0</v>
      </c>
      <c r="O813" s="259">
        <v>171.05</v>
      </c>
      <c r="P813" s="259">
        <v>136.84</v>
      </c>
      <c r="Q813" s="257">
        <v>0.0</v>
      </c>
      <c r="R813" s="260">
        <v>136.84</v>
      </c>
      <c r="S813" s="260">
        <v>0.0</v>
      </c>
      <c r="T813" s="260">
        <v>171.05</v>
      </c>
      <c r="U813" s="261" t="s">
        <v>1444</v>
      </c>
      <c r="V813" s="279">
        <v>45405.57643518518</v>
      </c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</row>
    <row r="814">
      <c r="A814" s="210">
        <v>45405.0</v>
      </c>
      <c r="B814" s="166">
        <v>5596874.0</v>
      </c>
      <c r="C814" s="166" t="s">
        <v>75</v>
      </c>
      <c r="D814" s="166" t="s">
        <v>35</v>
      </c>
      <c r="E814" s="166">
        <v>4.618505967E9</v>
      </c>
      <c r="F814" s="166" t="s">
        <v>2912</v>
      </c>
      <c r="G814" s="210">
        <v>45415.0</v>
      </c>
      <c r="H814" s="287">
        <v>45416.0</v>
      </c>
      <c r="I814" s="168">
        <v>1.0</v>
      </c>
      <c r="J814" s="169" t="s">
        <v>78</v>
      </c>
      <c r="K814" s="166" t="s">
        <v>79</v>
      </c>
      <c r="L814" s="166" t="s">
        <v>1396</v>
      </c>
      <c r="M814" s="166">
        <v>2.0</v>
      </c>
      <c r="N814" s="170">
        <v>0.0</v>
      </c>
      <c r="O814" s="171">
        <v>162.96</v>
      </c>
      <c r="P814" s="171">
        <v>130.36800000000002</v>
      </c>
      <c r="Q814" s="172">
        <v>0.0</v>
      </c>
      <c r="R814" s="173">
        <v>130.36800000000002</v>
      </c>
      <c r="S814" s="173">
        <v>0.0</v>
      </c>
      <c r="T814" s="173">
        <v>162.96</v>
      </c>
      <c r="U814" s="174" t="s">
        <v>1398</v>
      </c>
      <c r="V814" s="288">
        <v>45411.01739583333</v>
      </c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</row>
    <row r="815">
      <c r="A815" s="280">
        <v>45405.0</v>
      </c>
      <c r="B815" s="166">
        <v>5596714.0</v>
      </c>
      <c r="C815" s="166" t="s">
        <v>82</v>
      </c>
      <c r="D815" s="166" t="s">
        <v>35</v>
      </c>
      <c r="E815" s="166">
        <v>4.371704247E9</v>
      </c>
      <c r="F815" s="166" t="s">
        <v>2914</v>
      </c>
      <c r="G815" s="210">
        <v>45506.0</v>
      </c>
      <c r="H815" s="287">
        <v>45507.0</v>
      </c>
      <c r="I815" s="168">
        <v>1.0</v>
      </c>
      <c r="J815" s="169" t="s">
        <v>78</v>
      </c>
      <c r="K815" s="166" t="s">
        <v>79</v>
      </c>
      <c r="L815" s="166" t="s">
        <v>1396</v>
      </c>
      <c r="M815" s="166">
        <v>2.0</v>
      </c>
      <c r="N815" s="170">
        <v>0.0</v>
      </c>
      <c r="O815" s="171">
        <v>80.32</v>
      </c>
      <c r="P815" s="171">
        <v>64.256</v>
      </c>
      <c r="Q815" s="172">
        <v>0.0</v>
      </c>
      <c r="R815" s="173">
        <v>64.256</v>
      </c>
      <c r="S815" s="173">
        <v>0.0</v>
      </c>
      <c r="T815" s="173">
        <v>80.32</v>
      </c>
      <c r="U815" s="174" t="s">
        <v>1398</v>
      </c>
      <c r="V815" s="288">
        <v>45405.863229166665</v>
      </c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</row>
    <row r="816">
      <c r="A816" s="210">
        <v>45405.0</v>
      </c>
      <c r="B816" s="166">
        <v>5597099.0</v>
      </c>
      <c r="C816" s="166" t="s">
        <v>82</v>
      </c>
      <c r="D816" s="166" t="s">
        <v>35</v>
      </c>
      <c r="E816" s="166">
        <v>4.666627937E9</v>
      </c>
      <c r="F816" s="166" t="s">
        <v>2915</v>
      </c>
      <c r="G816" s="210">
        <v>45508.0</v>
      </c>
      <c r="H816" s="287">
        <v>45512.0</v>
      </c>
      <c r="I816" s="168">
        <v>4.0</v>
      </c>
      <c r="J816" s="169" t="s">
        <v>78</v>
      </c>
      <c r="K816" s="166" t="s">
        <v>79</v>
      </c>
      <c r="L816" s="166" t="s">
        <v>2079</v>
      </c>
      <c r="M816" s="205">
        <v>3.0</v>
      </c>
      <c r="N816" s="170">
        <v>0.0</v>
      </c>
      <c r="O816" s="171">
        <v>150.3</v>
      </c>
      <c r="P816" s="171">
        <v>120.24000000000001</v>
      </c>
      <c r="Q816" s="172">
        <v>0.0</v>
      </c>
      <c r="R816" s="173">
        <v>480.96000000000004</v>
      </c>
      <c r="S816" s="173">
        <v>0.0</v>
      </c>
      <c r="T816" s="173">
        <v>601.2</v>
      </c>
      <c r="U816" s="174" t="s">
        <v>2916</v>
      </c>
      <c r="V816" s="288">
        <v>45405.95559027778</v>
      </c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</row>
    <row r="817">
      <c r="A817" s="210">
        <v>45405.0</v>
      </c>
      <c r="B817" s="166">
        <v>5595578.0</v>
      </c>
      <c r="C817" s="166" t="s">
        <v>82</v>
      </c>
      <c r="D817" s="166" t="s">
        <v>35</v>
      </c>
      <c r="E817" s="166">
        <v>4.939940907E9</v>
      </c>
      <c r="F817" s="166" t="s">
        <v>2917</v>
      </c>
      <c r="G817" s="210">
        <v>45524.0</v>
      </c>
      <c r="H817" s="287">
        <v>45525.0</v>
      </c>
      <c r="I817" s="168">
        <v>1.0</v>
      </c>
      <c r="J817" s="169" t="s">
        <v>78</v>
      </c>
      <c r="K817" s="166" t="s">
        <v>79</v>
      </c>
      <c r="L817" s="166" t="s">
        <v>1400</v>
      </c>
      <c r="M817" s="166">
        <v>2.0</v>
      </c>
      <c r="N817" s="170">
        <v>0.0</v>
      </c>
      <c r="O817" s="171">
        <v>94.6</v>
      </c>
      <c r="P817" s="171">
        <v>75.67999999999999</v>
      </c>
      <c r="Q817" s="172">
        <v>0.0</v>
      </c>
      <c r="R817" s="173">
        <v>75.67999999999999</v>
      </c>
      <c r="S817" s="173">
        <v>0.0</v>
      </c>
      <c r="T817" s="173">
        <v>218.6</v>
      </c>
      <c r="U817" s="174" t="s">
        <v>1401</v>
      </c>
      <c r="V817" s="288">
        <v>45405.64171296296</v>
      </c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</row>
    <row r="818">
      <c r="A818" s="210">
        <v>45405.0</v>
      </c>
      <c r="B818" s="166">
        <v>5595578.0</v>
      </c>
      <c r="C818" s="166" t="s">
        <v>82</v>
      </c>
      <c r="D818" s="166" t="s">
        <v>35</v>
      </c>
      <c r="E818" s="166">
        <v>4.939940907E9</v>
      </c>
      <c r="F818" s="166" t="s">
        <v>2917</v>
      </c>
      <c r="G818" s="210">
        <v>45524.0</v>
      </c>
      <c r="H818" s="287">
        <v>45525.0</v>
      </c>
      <c r="I818" s="168">
        <v>1.0</v>
      </c>
      <c r="J818" s="169" t="s">
        <v>78</v>
      </c>
      <c r="K818" s="166" t="s">
        <v>138</v>
      </c>
      <c r="L818" s="166" t="s">
        <v>2423</v>
      </c>
      <c r="M818" s="166">
        <v>2.0</v>
      </c>
      <c r="N818" s="170">
        <v>0.0</v>
      </c>
      <c r="O818" s="171">
        <v>124.0</v>
      </c>
      <c r="P818" s="171">
        <v>99.2</v>
      </c>
      <c r="Q818" s="172">
        <v>36.0</v>
      </c>
      <c r="R818" s="173">
        <v>99.2</v>
      </c>
      <c r="S818" s="173">
        <v>36.0</v>
      </c>
      <c r="T818" s="173">
        <v>218.6</v>
      </c>
      <c r="U818" s="174" t="s">
        <v>2424</v>
      </c>
      <c r="V818" s="288">
        <v>45405.64171296296</v>
      </c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</row>
    <row r="819">
      <c r="A819" s="276">
        <v>45405.0</v>
      </c>
      <c r="B819" s="252">
        <v>5595045.0</v>
      </c>
      <c r="C819" s="253" t="s">
        <v>82</v>
      </c>
      <c r="D819" s="253" t="s">
        <v>35</v>
      </c>
      <c r="E819" s="252">
        <v>4.530384725E9</v>
      </c>
      <c r="F819" s="253" t="s">
        <v>2920</v>
      </c>
      <c r="G819" s="276">
        <v>45536.0</v>
      </c>
      <c r="H819" s="277">
        <v>45540.0</v>
      </c>
      <c r="I819" s="278">
        <v>4.0</v>
      </c>
      <c r="J819" s="257" t="s">
        <v>78</v>
      </c>
      <c r="K819" s="253" t="s">
        <v>79</v>
      </c>
      <c r="L819" s="253" t="s">
        <v>2808</v>
      </c>
      <c r="M819" s="252">
        <v>2.0</v>
      </c>
      <c r="N819" s="258">
        <v>0.0</v>
      </c>
      <c r="O819" s="259">
        <v>111.51</v>
      </c>
      <c r="P819" s="259">
        <v>89.20800000000001</v>
      </c>
      <c r="Q819" s="262">
        <v>0.0</v>
      </c>
      <c r="R819" s="260">
        <v>356.83200000000005</v>
      </c>
      <c r="S819" s="260">
        <v>0.0</v>
      </c>
      <c r="T819" s="260">
        <v>446.04</v>
      </c>
      <c r="U819" s="261" t="s">
        <v>2810</v>
      </c>
      <c r="V819" s="279">
        <v>45405.54033564815</v>
      </c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</row>
    <row r="820">
      <c r="A820" s="280">
        <v>45405.0</v>
      </c>
      <c r="B820" s="264">
        <v>5596102.0</v>
      </c>
      <c r="C820" s="265" t="s">
        <v>89</v>
      </c>
      <c r="D820" s="265" t="s">
        <v>35</v>
      </c>
      <c r="E820" s="264">
        <v>4.771943476E9</v>
      </c>
      <c r="F820" s="265" t="s">
        <v>2922</v>
      </c>
      <c r="G820" s="280">
        <v>45538.0</v>
      </c>
      <c r="H820" s="281">
        <v>45540.0</v>
      </c>
      <c r="I820" s="282">
        <v>2.0</v>
      </c>
      <c r="J820" s="283" t="s">
        <v>87</v>
      </c>
      <c r="K820" s="265" t="s">
        <v>79</v>
      </c>
      <c r="L820" s="265" t="s">
        <v>2808</v>
      </c>
      <c r="M820" s="269">
        <v>2.0</v>
      </c>
      <c r="N820" s="270">
        <v>0.0</v>
      </c>
      <c r="O820" s="271">
        <v>0.0</v>
      </c>
      <c r="P820" s="271">
        <v>0.0</v>
      </c>
      <c r="Q820" s="272">
        <v>0.0</v>
      </c>
      <c r="R820" s="273">
        <v>0.0</v>
      </c>
      <c r="S820" s="273">
        <v>0.0</v>
      </c>
      <c r="T820" s="273">
        <v>0.0</v>
      </c>
      <c r="U820" s="274" t="s">
        <v>2924</v>
      </c>
      <c r="V820" s="284">
        <v>45405.74658564814</v>
      </c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</row>
    <row r="821">
      <c r="A821" s="276">
        <v>45406.0</v>
      </c>
      <c r="B821" s="252">
        <v>5598371.0</v>
      </c>
      <c r="C821" s="253" t="s">
        <v>82</v>
      </c>
      <c r="D821" s="253" t="s">
        <v>94</v>
      </c>
      <c r="E821" s="252">
        <v>5598371.0</v>
      </c>
      <c r="F821" s="253" t="s">
        <v>2925</v>
      </c>
      <c r="G821" s="276">
        <v>45414.0</v>
      </c>
      <c r="H821" s="277">
        <v>45415.0</v>
      </c>
      <c r="I821" s="278">
        <v>1.0</v>
      </c>
      <c r="J821" s="257" t="s">
        <v>114</v>
      </c>
      <c r="K821" s="253" t="s">
        <v>79</v>
      </c>
      <c r="L821" s="253" t="s">
        <v>1462</v>
      </c>
      <c r="M821" s="252">
        <v>2.0</v>
      </c>
      <c r="N821" s="258">
        <v>0.0</v>
      </c>
      <c r="O821" s="259">
        <v>257.0</v>
      </c>
      <c r="P821" s="259">
        <v>254.43</v>
      </c>
      <c r="Q821" s="257">
        <v>0.0</v>
      </c>
      <c r="R821" s="260">
        <v>254.43</v>
      </c>
      <c r="S821" s="260">
        <v>0.0</v>
      </c>
      <c r="T821" s="260">
        <v>257.0</v>
      </c>
      <c r="U821" s="253" t="s">
        <v>1463</v>
      </c>
      <c r="V821" s="279">
        <v>45406.45966435185</v>
      </c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</row>
    <row r="822">
      <c r="A822" s="210">
        <v>45406.0</v>
      </c>
      <c r="B822" s="166">
        <v>5600350.0</v>
      </c>
      <c r="C822" s="166" t="s">
        <v>82</v>
      </c>
      <c r="D822" s="166" t="s">
        <v>35</v>
      </c>
      <c r="E822" s="166">
        <v>4.666682953E9</v>
      </c>
      <c r="F822" s="166" t="s">
        <v>2927</v>
      </c>
      <c r="G822" s="210">
        <v>45417.0</v>
      </c>
      <c r="H822" s="287">
        <v>45418.0</v>
      </c>
      <c r="I822" s="168">
        <v>1.0</v>
      </c>
      <c r="J822" s="169" t="s">
        <v>78</v>
      </c>
      <c r="K822" s="166" t="s">
        <v>138</v>
      </c>
      <c r="L822" s="166" t="s">
        <v>1584</v>
      </c>
      <c r="M822" s="166">
        <v>2.0</v>
      </c>
      <c r="N822" s="170">
        <v>0.0</v>
      </c>
      <c r="O822" s="171">
        <v>179.67</v>
      </c>
      <c r="P822" s="171">
        <v>143.736</v>
      </c>
      <c r="Q822" s="172">
        <v>36.0</v>
      </c>
      <c r="R822" s="173">
        <v>143.736</v>
      </c>
      <c r="S822" s="173">
        <v>36.0</v>
      </c>
      <c r="T822" s="173">
        <v>215.67</v>
      </c>
      <c r="U822" s="174" t="s">
        <v>1585</v>
      </c>
      <c r="V822" s="288">
        <v>45406.820185185185</v>
      </c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</row>
    <row r="823">
      <c r="A823" s="210">
        <v>45406.0</v>
      </c>
      <c r="B823" s="166">
        <v>5597824.0</v>
      </c>
      <c r="C823" s="166" t="s">
        <v>82</v>
      </c>
      <c r="D823" s="166" t="s">
        <v>35</v>
      </c>
      <c r="E823" s="166">
        <v>4.575906066E9</v>
      </c>
      <c r="F823" s="166" t="s">
        <v>2928</v>
      </c>
      <c r="G823" s="210">
        <v>45464.0</v>
      </c>
      <c r="H823" s="287">
        <v>45468.0</v>
      </c>
      <c r="I823" s="168">
        <v>4.0</v>
      </c>
      <c r="J823" s="169" t="s">
        <v>78</v>
      </c>
      <c r="K823" s="166" t="s">
        <v>79</v>
      </c>
      <c r="L823" s="166" t="s">
        <v>1400</v>
      </c>
      <c r="M823" s="166">
        <v>2.0</v>
      </c>
      <c r="N823" s="170">
        <v>0.0</v>
      </c>
      <c r="O823" s="171">
        <v>156.48</v>
      </c>
      <c r="P823" s="171">
        <v>125.184</v>
      </c>
      <c r="Q823" s="172">
        <v>0.0</v>
      </c>
      <c r="R823" s="173">
        <v>500.736</v>
      </c>
      <c r="S823" s="173">
        <v>0.0</v>
      </c>
      <c r="T823" s="173">
        <v>625.92</v>
      </c>
      <c r="U823" s="174" t="s">
        <v>1401</v>
      </c>
      <c r="V823" s="288">
        <v>45406.34034722223</v>
      </c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</row>
    <row r="824">
      <c r="A824" s="280">
        <v>45406.0</v>
      </c>
      <c r="B824" s="264">
        <v>5601063.0</v>
      </c>
      <c r="C824" s="265" t="s">
        <v>82</v>
      </c>
      <c r="D824" s="265" t="s">
        <v>35</v>
      </c>
      <c r="E824" s="264">
        <v>4.765997806E9</v>
      </c>
      <c r="F824" s="265" t="s">
        <v>2930</v>
      </c>
      <c r="G824" s="280">
        <v>45483.0</v>
      </c>
      <c r="H824" s="281">
        <v>45486.0</v>
      </c>
      <c r="I824" s="282">
        <v>3.0</v>
      </c>
      <c r="J824" s="283" t="s">
        <v>78</v>
      </c>
      <c r="K824" s="265" t="s">
        <v>79</v>
      </c>
      <c r="L824" s="265" t="s">
        <v>2808</v>
      </c>
      <c r="M824" s="264">
        <v>2.0</v>
      </c>
      <c r="N824" s="270">
        <v>0.0</v>
      </c>
      <c r="O824" s="271">
        <v>121.62</v>
      </c>
      <c r="P824" s="271">
        <v>97.296</v>
      </c>
      <c r="Q824" s="272">
        <v>0.0</v>
      </c>
      <c r="R824" s="273">
        <v>291.88800000000003</v>
      </c>
      <c r="S824" s="273">
        <v>0.0</v>
      </c>
      <c r="T824" s="273">
        <v>364.86</v>
      </c>
      <c r="U824" s="274" t="s">
        <v>2810</v>
      </c>
      <c r="V824" s="286">
        <v>45407.00697916667</v>
      </c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</row>
    <row r="825">
      <c r="A825" s="276">
        <v>45406.0</v>
      </c>
      <c r="B825" s="252">
        <v>5598738.0</v>
      </c>
      <c r="C825" s="253" t="s">
        <v>82</v>
      </c>
      <c r="D825" s="253" t="s">
        <v>35</v>
      </c>
      <c r="E825" s="252">
        <v>4.841947363E9</v>
      </c>
      <c r="F825" s="253" t="s">
        <v>2932</v>
      </c>
      <c r="G825" s="276">
        <v>45488.0</v>
      </c>
      <c r="H825" s="277">
        <v>45491.0</v>
      </c>
      <c r="I825" s="278">
        <v>3.0</v>
      </c>
      <c r="J825" s="257" t="s">
        <v>78</v>
      </c>
      <c r="K825" s="253" t="s">
        <v>79</v>
      </c>
      <c r="L825" s="253" t="s">
        <v>1396</v>
      </c>
      <c r="M825" s="252">
        <v>2.0</v>
      </c>
      <c r="N825" s="258">
        <v>0.0</v>
      </c>
      <c r="O825" s="259">
        <v>85.38</v>
      </c>
      <c r="P825" s="259">
        <v>68.304</v>
      </c>
      <c r="Q825" s="262">
        <v>0.0</v>
      </c>
      <c r="R825" s="260">
        <v>204.912</v>
      </c>
      <c r="S825" s="260">
        <v>0.0</v>
      </c>
      <c r="T825" s="260">
        <v>256.14</v>
      </c>
      <c r="U825" s="261" t="s">
        <v>1398</v>
      </c>
      <c r="V825" s="279">
        <v>45406.53476851852</v>
      </c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</row>
    <row r="826">
      <c r="A826" s="210">
        <v>45406.0</v>
      </c>
      <c r="B826" s="166">
        <v>5600054.0</v>
      </c>
      <c r="C826" s="166" t="s">
        <v>82</v>
      </c>
      <c r="D826" s="166" t="s">
        <v>35</v>
      </c>
      <c r="E826" s="166">
        <v>4.624901038E9</v>
      </c>
      <c r="F826" s="166" t="s">
        <v>2934</v>
      </c>
      <c r="G826" s="210">
        <v>45491.0</v>
      </c>
      <c r="H826" s="287">
        <v>45495.0</v>
      </c>
      <c r="I826" s="168">
        <v>4.0</v>
      </c>
      <c r="J826" s="169" t="s">
        <v>78</v>
      </c>
      <c r="K826" s="166" t="s">
        <v>79</v>
      </c>
      <c r="L826" s="166" t="s">
        <v>1454</v>
      </c>
      <c r="M826" s="205">
        <v>2.0</v>
      </c>
      <c r="N826" s="170">
        <v>0.0</v>
      </c>
      <c r="O826" s="171">
        <v>133.52</v>
      </c>
      <c r="P826" s="171">
        <v>106.81600000000002</v>
      </c>
      <c r="Q826" s="172">
        <v>0.0</v>
      </c>
      <c r="R826" s="173">
        <v>427.26400000000007</v>
      </c>
      <c r="S826" s="173">
        <v>0.0</v>
      </c>
      <c r="T826" s="173">
        <v>534.08</v>
      </c>
      <c r="U826" s="174" t="s">
        <v>1455</v>
      </c>
      <c r="V826" s="288">
        <v>45406.761875</v>
      </c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</row>
    <row r="827">
      <c r="A827" s="210">
        <v>45406.0</v>
      </c>
      <c r="B827" s="166">
        <v>5598375.0</v>
      </c>
      <c r="C827" s="166" t="s">
        <v>82</v>
      </c>
      <c r="D827" s="166" t="s">
        <v>35</v>
      </c>
      <c r="E827" s="166">
        <v>4.426203498E9</v>
      </c>
      <c r="F827" s="166" t="s">
        <v>2936</v>
      </c>
      <c r="G827" s="210">
        <v>45563.0</v>
      </c>
      <c r="H827" s="287">
        <v>45564.0</v>
      </c>
      <c r="I827" s="168">
        <v>1.0</v>
      </c>
      <c r="J827" s="169" t="s">
        <v>114</v>
      </c>
      <c r="K827" s="166" t="s">
        <v>79</v>
      </c>
      <c r="L827" s="166" t="s">
        <v>1400</v>
      </c>
      <c r="M827" s="166">
        <v>2.0</v>
      </c>
      <c r="N827" s="170">
        <v>0.0</v>
      </c>
      <c r="O827" s="171">
        <v>137.44</v>
      </c>
      <c r="P827" s="171">
        <v>109.952</v>
      </c>
      <c r="Q827" s="172">
        <v>0.0</v>
      </c>
      <c r="R827" s="173">
        <v>109.952</v>
      </c>
      <c r="S827" s="173">
        <v>0.0</v>
      </c>
      <c r="T827" s="173">
        <v>137.44</v>
      </c>
      <c r="U827" s="174" t="s">
        <v>1401</v>
      </c>
      <c r="V827" s="288">
        <v>45406.460486111115</v>
      </c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</row>
    <row r="828">
      <c r="A828" s="210">
        <v>45407.0</v>
      </c>
      <c r="B828" s="166">
        <v>5603788.0</v>
      </c>
      <c r="C828" s="166" t="s">
        <v>82</v>
      </c>
      <c r="D828" s="166" t="s">
        <v>35</v>
      </c>
      <c r="E828" s="166">
        <v>4.765318812E9</v>
      </c>
      <c r="F828" s="166" t="s">
        <v>2937</v>
      </c>
      <c r="G828" s="210">
        <v>45475.0</v>
      </c>
      <c r="H828" s="287">
        <v>45477.0</v>
      </c>
      <c r="I828" s="168">
        <v>2.0</v>
      </c>
      <c r="J828" s="169" t="s">
        <v>78</v>
      </c>
      <c r="K828" s="166" t="s">
        <v>79</v>
      </c>
      <c r="L828" s="166" t="s">
        <v>1443</v>
      </c>
      <c r="M828" s="205">
        <v>2.0</v>
      </c>
      <c r="N828" s="170">
        <v>0.0</v>
      </c>
      <c r="O828" s="171">
        <v>102.57</v>
      </c>
      <c r="P828" s="171">
        <v>82.056</v>
      </c>
      <c r="Q828" s="172">
        <v>0.0</v>
      </c>
      <c r="R828" s="173">
        <v>164.112</v>
      </c>
      <c r="S828" s="173">
        <v>0.0</v>
      </c>
      <c r="T828" s="173">
        <v>205.14</v>
      </c>
      <c r="U828" s="174" t="s">
        <v>1444</v>
      </c>
      <c r="V828" s="288">
        <v>45407.77575231482</v>
      </c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</row>
    <row r="829">
      <c r="A829" s="276">
        <v>45407.0</v>
      </c>
      <c r="B829" s="252">
        <v>5603099.0</v>
      </c>
      <c r="C829" s="253" t="s">
        <v>82</v>
      </c>
      <c r="D829" s="253" t="s">
        <v>35</v>
      </c>
      <c r="E829" s="252">
        <v>4.523656483E9</v>
      </c>
      <c r="F829" s="253" t="s">
        <v>2938</v>
      </c>
      <c r="G829" s="276">
        <v>45494.0</v>
      </c>
      <c r="H829" s="277">
        <v>45495.0</v>
      </c>
      <c r="I829" s="278">
        <v>1.0</v>
      </c>
      <c r="J829" s="257" t="s">
        <v>78</v>
      </c>
      <c r="K829" s="253" t="s">
        <v>79</v>
      </c>
      <c r="L829" s="253" t="s">
        <v>2808</v>
      </c>
      <c r="M829" s="252">
        <v>2.0</v>
      </c>
      <c r="N829" s="258">
        <v>0.0</v>
      </c>
      <c r="O829" s="259">
        <v>151.96</v>
      </c>
      <c r="P829" s="259">
        <v>121.56800000000001</v>
      </c>
      <c r="Q829" s="257">
        <v>0.0</v>
      </c>
      <c r="R829" s="260">
        <v>121.56800000000001</v>
      </c>
      <c r="S829" s="260">
        <v>0.0</v>
      </c>
      <c r="T829" s="260">
        <v>151.96</v>
      </c>
      <c r="U829" s="261" t="s">
        <v>2810</v>
      </c>
      <c r="V829" s="279">
        <v>45407.6375462963</v>
      </c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</row>
    <row r="830">
      <c r="A830" s="280">
        <v>45407.0</v>
      </c>
      <c r="B830" s="264">
        <v>5603856.0</v>
      </c>
      <c r="C830" s="265" t="s">
        <v>82</v>
      </c>
      <c r="D830" s="265" t="s">
        <v>35</v>
      </c>
      <c r="E830" s="264">
        <v>4.62419347E9</v>
      </c>
      <c r="F830" s="265" t="s">
        <v>2940</v>
      </c>
      <c r="G830" s="280">
        <v>45501.0</v>
      </c>
      <c r="H830" s="281">
        <v>45505.0</v>
      </c>
      <c r="I830" s="282">
        <v>4.0</v>
      </c>
      <c r="J830" s="283" t="s">
        <v>87</v>
      </c>
      <c r="K830" s="265" t="s">
        <v>79</v>
      </c>
      <c r="L830" s="265" t="s">
        <v>1414</v>
      </c>
      <c r="M830" s="264">
        <v>2.0</v>
      </c>
      <c r="N830" s="270">
        <v>0.0</v>
      </c>
      <c r="O830" s="271">
        <v>80.32</v>
      </c>
      <c r="P830" s="271">
        <v>64.256</v>
      </c>
      <c r="Q830" s="272">
        <v>0.0</v>
      </c>
      <c r="R830" s="273">
        <v>257.024</v>
      </c>
      <c r="S830" s="273">
        <v>0.0</v>
      </c>
      <c r="T830" s="273">
        <v>321.28</v>
      </c>
      <c r="U830" s="274" t="s">
        <v>1415</v>
      </c>
      <c r="V830" s="286">
        <v>45407.78964120371</v>
      </c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</row>
    <row r="831">
      <c r="A831" s="210">
        <v>45407.0</v>
      </c>
      <c r="B831" s="166">
        <v>5603832.0</v>
      </c>
      <c r="C831" s="166" t="s">
        <v>82</v>
      </c>
      <c r="D831" s="166" t="s">
        <v>35</v>
      </c>
      <c r="E831" s="166">
        <v>4.523675274E9</v>
      </c>
      <c r="F831" s="166" t="s">
        <v>2943</v>
      </c>
      <c r="G831" s="210">
        <v>45547.0</v>
      </c>
      <c r="H831" s="287">
        <v>45554.0</v>
      </c>
      <c r="I831" s="168">
        <v>7.0</v>
      </c>
      <c r="J831" s="169" t="s">
        <v>78</v>
      </c>
      <c r="K831" s="166" t="s">
        <v>79</v>
      </c>
      <c r="L831" s="166" t="s">
        <v>1567</v>
      </c>
      <c r="M831" s="205">
        <v>2.0</v>
      </c>
      <c r="N831" s="170">
        <v>0.0</v>
      </c>
      <c r="O831" s="171">
        <v>111.17</v>
      </c>
      <c r="P831" s="171">
        <v>88.936</v>
      </c>
      <c r="Q831" s="172">
        <v>0.0</v>
      </c>
      <c r="R831" s="173">
        <v>622.5520000000001</v>
      </c>
      <c r="S831" s="173">
        <v>0.0</v>
      </c>
      <c r="T831" s="173">
        <v>778.19</v>
      </c>
      <c r="U831" s="201" t="s">
        <v>1568</v>
      </c>
      <c r="V831" s="288">
        <v>45407.784050925926</v>
      </c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</row>
    <row r="832">
      <c r="A832" s="276">
        <v>45407.0</v>
      </c>
      <c r="B832" s="252">
        <v>5603556.0</v>
      </c>
      <c r="C832" s="253" t="s">
        <v>82</v>
      </c>
      <c r="D832" s="253" t="s">
        <v>35</v>
      </c>
      <c r="E832" s="252">
        <v>4.532305128E9</v>
      </c>
      <c r="F832" s="253" t="s">
        <v>2946</v>
      </c>
      <c r="G832" s="276">
        <v>45559.0</v>
      </c>
      <c r="H832" s="277">
        <v>45561.0</v>
      </c>
      <c r="I832" s="278">
        <v>2.0</v>
      </c>
      <c r="J832" s="257" t="s">
        <v>87</v>
      </c>
      <c r="K832" s="253" t="s">
        <v>79</v>
      </c>
      <c r="L832" s="253" t="s">
        <v>1443</v>
      </c>
      <c r="M832" s="275">
        <v>2.0</v>
      </c>
      <c r="N832" s="258">
        <v>0.0</v>
      </c>
      <c r="O832" s="259">
        <v>105.14</v>
      </c>
      <c r="P832" s="259">
        <v>84.11200000000001</v>
      </c>
      <c r="Q832" s="262">
        <v>0.0</v>
      </c>
      <c r="R832" s="260">
        <v>168.22400000000002</v>
      </c>
      <c r="S832" s="260">
        <v>0.0</v>
      </c>
      <c r="T832" s="260">
        <v>210.28</v>
      </c>
      <c r="U832" s="261" t="s">
        <v>1444</v>
      </c>
      <c r="V832" s="279">
        <v>45407.729212962964</v>
      </c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</row>
    <row r="833">
      <c r="A833" s="210">
        <v>45408.0</v>
      </c>
      <c r="B833" s="166">
        <v>5607690.0</v>
      </c>
      <c r="C833" s="166" t="s">
        <v>82</v>
      </c>
      <c r="D833" s="166" t="s">
        <v>94</v>
      </c>
      <c r="E833" s="166">
        <v>5607690.0</v>
      </c>
      <c r="F833" s="166" t="s">
        <v>2949</v>
      </c>
      <c r="G833" s="210">
        <v>45445.0</v>
      </c>
      <c r="H833" s="287">
        <v>45446.0</v>
      </c>
      <c r="I833" s="168">
        <v>1.0</v>
      </c>
      <c r="J833" s="169" t="s">
        <v>114</v>
      </c>
      <c r="K833" s="166" t="s">
        <v>79</v>
      </c>
      <c r="L833" s="166" t="s">
        <v>1462</v>
      </c>
      <c r="M833" s="166">
        <v>2.0</v>
      </c>
      <c r="N833" s="170">
        <v>0.0</v>
      </c>
      <c r="O833" s="171">
        <v>257.0</v>
      </c>
      <c r="P833" s="171">
        <v>254.43</v>
      </c>
      <c r="Q833" s="172">
        <v>0.0</v>
      </c>
      <c r="R833" s="173">
        <v>254.43</v>
      </c>
      <c r="S833" s="173">
        <v>0.0</v>
      </c>
      <c r="T833" s="173">
        <v>257.0</v>
      </c>
      <c r="U833" s="174" t="s">
        <v>1463</v>
      </c>
      <c r="V833" s="288">
        <v>45408.845671296294</v>
      </c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</row>
    <row r="834">
      <c r="A834" s="289">
        <v>45408.0</v>
      </c>
      <c r="B834" s="290">
        <v>5604852.0</v>
      </c>
      <c r="C834" s="291" t="s">
        <v>82</v>
      </c>
      <c r="D834" s="291" t="s">
        <v>35</v>
      </c>
      <c r="E834" s="290">
        <v>4.641533349E9</v>
      </c>
      <c r="F834" s="291" t="s">
        <v>2950</v>
      </c>
      <c r="G834" s="289">
        <v>45476.0</v>
      </c>
      <c r="H834" s="292">
        <v>45479.0</v>
      </c>
      <c r="I834" s="293">
        <v>3.0</v>
      </c>
      <c r="J834" s="294" t="s">
        <v>78</v>
      </c>
      <c r="K834" s="291" t="s">
        <v>79</v>
      </c>
      <c r="L834" s="291" t="s">
        <v>2532</v>
      </c>
      <c r="M834" s="290">
        <v>2.0</v>
      </c>
      <c r="N834" s="295">
        <v>0.0</v>
      </c>
      <c r="O834" s="296">
        <v>147.79999999999998</v>
      </c>
      <c r="P834" s="296">
        <v>118.24</v>
      </c>
      <c r="Q834" s="301">
        <v>0.0</v>
      </c>
      <c r="R834" s="297">
        <v>354.72</v>
      </c>
      <c r="S834" s="297">
        <v>0.0</v>
      </c>
      <c r="T834" s="297">
        <v>443.4</v>
      </c>
      <c r="U834" s="298" t="s">
        <v>2534</v>
      </c>
      <c r="V834" s="299">
        <v>45408.065300925926</v>
      </c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</row>
    <row r="835">
      <c r="A835" s="210">
        <v>45408.0</v>
      </c>
      <c r="B835" s="166">
        <v>5607225.0</v>
      </c>
      <c r="C835" s="166" t="s">
        <v>82</v>
      </c>
      <c r="D835" s="166" t="s">
        <v>35</v>
      </c>
      <c r="E835" s="166">
        <v>4.409728896E9</v>
      </c>
      <c r="F835" s="166" t="s">
        <v>2953</v>
      </c>
      <c r="G835" s="210">
        <v>45545.0</v>
      </c>
      <c r="H835" s="287">
        <v>45547.0</v>
      </c>
      <c r="I835" s="168">
        <v>2.0</v>
      </c>
      <c r="J835" s="169" t="s">
        <v>78</v>
      </c>
      <c r="K835" s="166" t="s">
        <v>79</v>
      </c>
      <c r="L835" s="166" t="s">
        <v>1396</v>
      </c>
      <c r="M835" s="205">
        <v>2.0</v>
      </c>
      <c r="N835" s="170">
        <v>0.0</v>
      </c>
      <c r="O835" s="171">
        <v>133.76</v>
      </c>
      <c r="P835" s="171">
        <v>107.008</v>
      </c>
      <c r="Q835" s="172">
        <v>0.0</v>
      </c>
      <c r="R835" s="173">
        <v>214.016</v>
      </c>
      <c r="S835" s="173">
        <v>0.0</v>
      </c>
      <c r="T835" s="173">
        <v>267.52</v>
      </c>
      <c r="U835" s="174" t="s">
        <v>1398</v>
      </c>
      <c r="V835" s="288">
        <v>45408.7361574074</v>
      </c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</row>
    <row r="836">
      <c r="A836" s="276">
        <v>45408.0</v>
      </c>
      <c r="B836" s="252">
        <v>5607999.0</v>
      </c>
      <c r="C836" s="253" t="s">
        <v>82</v>
      </c>
      <c r="D836" s="253" t="s">
        <v>35</v>
      </c>
      <c r="E836" s="252">
        <v>4.989382299E9</v>
      </c>
      <c r="F836" s="253" t="s">
        <v>2955</v>
      </c>
      <c r="G836" s="276">
        <v>45551.0</v>
      </c>
      <c r="H836" s="277">
        <v>45555.0</v>
      </c>
      <c r="I836" s="278">
        <v>4.0</v>
      </c>
      <c r="J836" s="257" t="s">
        <v>78</v>
      </c>
      <c r="K836" s="253" t="s">
        <v>79</v>
      </c>
      <c r="L836" s="253" t="s">
        <v>1414</v>
      </c>
      <c r="M836" s="275">
        <v>2.0</v>
      </c>
      <c r="N836" s="258">
        <v>0.0</v>
      </c>
      <c r="O836" s="259">
        <v>120.78</v>
      </c>
      <c r="P836" s="259">
        <v>96.62400000000001</v>
      </c>
      <c r="Q836" s="262">
        <v>0.0</v>
      </c>
      <c r="R836" s="260">
        <v>386.49600000000004</v>
      </c>
      <c r="S836" s="260">
        <v>0.0</v>
      </c>
      <c r="T836" s="260">
        <v>483.12</v>
      </c>
      <c r="U836" s="261" t="s">
        <v>1415</v>
      </c>
      <c r="V836" s="279">
        <v>45408.92087962963</v>
      </c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</row>
    <row r="837">
      <c r="A837" s="280">
        <v>45409.0</v>
      </c>
      <c r="B837" s="264">
        <v>5609402.0</v>
      </c>
      <c r="C837" s="265" t="s">
        <v>89</v>
      </c>
      <c r="D837" s="265" t="s">
        <v>35</v>
      </c>
      <c r="E837" s="265">
        <v>4.444258982E9</v>
      </c>
      <c r="F837" s="265" t="s">
        <v>2958</v>
      </c>
      <c r="G837" s="280">
        <v>45415.0</v>
      </c>
      <c r="H837" s="281">
        <v>45419.0</v>
      </c>
      <c r="I837" s="282">
        <v>4.0</v>
      </c>
      <c r="J837" s="283" t="s">
        <v>87</v>
      </c>
      <c r="K837" s="265" t="s">
        <v>79</v>
      </c>
      <c r="L837" s="265" t="s">
        <v>1443</v>
      </c>
      <c r="M837" s="269">
        <v>2.0</v>
      </c>
      <c r="N837" s="270">
        <v>0.0</v>
      </c>
      <c r="O837" s="271">
        <v>0.0</v>
      </c>
      <c r="P837" s="271">
        <v>0.0</v>
      </c>
      <c r="Q837" s="272">
        <v>0.0</v>
      </c>
      <c r="R837" s="273">
        <v>0.0</v>
      </c>
      <c r="S837" s="273">
        <v>0.0</v>
      </c>
      <c r="T837" s="273">
        <v>0.0</v>
      </c>
      <c r="U837" s="274" t="s">
        <v>2960</v>
      </c>
      <c r="V837" s="286">
        <v>45411.01739583333</v>
      </c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</row>
    <row r="838">
      <c r="A838" s="280">
        <v>45409.0</v>
      </c>
      <c r="B838" s="264">
        <v>5609506.0</v>
      </c>
      <c r="C838" s="265" t="s">
        <v>82</v>
      </c>
      <c r="D838" s="265" t="s">
        <v>35</v>
      </c>
      <c r="E838" s="264">
        <v>4.340815398E9</v>
      </c>
      <c r="F838" s="265" t="s">
        <v>2962</v>
      </c>
      <c r="G838" s="280">
        <v>45417.0</v>
      </c>
      <c r="H838" s="281">
        <v>45418.0</v>
      </c>
      <c r="I838" s="282">
        <v>1.0</v>
      </c>
      <c r="J838" s="283" t="s">
        <v>87</v>
      </c>
      <c r="K838" s="265" t="s">
        <v>79</v>
      </c>
      <c r="L838" s="265" t="s">
        <v>1443</v>
      </c>
      <c r="M838" s="264">
        <v>2.0</v>
      </c>
      <c r="N838" s="270">
        <v>0.0</v>
      </c>
      <c r="O838" s="271">
        <v>128.37</v>
      </c>
      <c r="P838" s="271">
        <v>102.69600000000001</v>
      </c>
      <c r="Q838" s="272">
        <v>0.0</v>
      </c>
      <c r="R838" s="273">
        <v>102.69600000000001</v>
      </c>
      <c r="S838" s="273">
        <v>0.0</v>
      </c>
      <c r="T838" s="273">
        <v>128.37</v>
      </c>
      <c r="U838" s="274" t="s">
        <v>1444</v>
      </c>
      <c r="V838" s="284">
        <v>45409.51605324074</v>
      </c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</row>
    <row r="839">
      <c r="A839" s="280">
        <v>45409.0</v>
      </c>
      <c r="B839" s="264">
        <v>5611431.0</v>
      </c>
      <c r="C839" s="265" t="s">
        <v>89</v>
      </c>
      <c r="D839" s="265" t="s">
        <v>35</v>
      </c>
      <c r="E839" s="264">
        <v>4.848731061E9</v>
      </c>
      <c r="F839" s="265" t="s">
        <v>2964</v>
      </c>
      <c r="G839" s="280">
        <v>45421.0</v>
      </c>
      <c r="H839" s="281">
        <v>45424.0</v>
      </c>
      <c r="I839" s="282">
        <v>3.0</v>
      </c>
      <c r="J839" s="283" t="s">
        <v>91</v>
      </c>
      <c r="K839" s="265" t="s">
        <v>79</v>
      </c>
      <c r="L839" s="265" t="s">
        <v>2808</v>
      </c>
      <c r="M839" s="264">
        <v>2.0</v>
      </c>
      <c r="N839" s="270">
        <v>0.0</v>
      </c>
      <c r="O839" s="271">
        <v>0.0</v>
      </c>
      <c r="P839" s="271">
        <v>0.0</v>
      </c>
      <c r="Q839" s="283">
        <v>0.0</v>
      </c>
      <c r="R839" s="273">
        <v>0.0</v>
      </c>
      <c r="S839" s="273">
        <v>0.0</v>
      </c>
      <c r="T839" s="273">
        <v>0.0</v>
      </c>
      <c r="U839" s="274" t="s">
        <v>2966</v>
      </c>
      <c r="V839" s="286">
        <v>45409.96600694444</v>
      </c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</row>
    <row r="840">
      <c r="A840" s="210">
        <v>45409.0</v>
      </c>
      <c r="B840" s="166">
        <v>5611566.0</v>
      </c>
      <c r="C840" s="166" t="s">
        <v>82</v>
      </c>
      <c r="D840" s="166" t="s">
        <v>35</v>
      </c>
      <c r="E840" s="166">
        <v>4.818952182E9</v>
      </c>
      <c r="F840" s="166" t="s">
        <v>2967</v>
      </c>
      <c r="G840" s="210">
        <v>45452.0</v>
      </c>
      <c r="H840" s="287">
        <v>45455.0</v>
      </c>
      <c r="I840" s="168">
        <v>3.0</v>
      </c>
      <c r="J840" s="169" t="s">
        <v>78</v>
      </c>
      <c r="K840" s="166" t="s">
        <v>79</v>
      </c>
      <c r="L840" s="166" t="s">
        <v>1400</v>
      </c>
      <c r="M840" s="166">
        <v>2.0</v>
      </c>
      <c r="N840" s="170">
        <v>0.0</v>
      </c>
      <c r="O840" s="171">
        <v>199.32000000000002</v>
      </c>
      <c r="P840" s="171">
        <v>159.45600000000002</v>
      </c>
      <c r="Q840" s="172">
        <v>0.0</v>
      </c>
      <c r="R840" s="173">
        <v>478.36800000000005</v>
      </c>
      <c r="S840" s="173">
        <v>0.0</v>
      </c>
      <c r="T840" s="173">
        <v>1067.4</v>
      </c>
      <c r="U840" s="174" t="s">
        <v>1401</v>
      </c>
      <c r="V840" s="288">
        <v>45410.03475694444</v>
      </c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</row>
    <row r="841">
      <c r="A841" s="280">
        <v>45409.0</v>
      </c>
      <c r="B841" s="264">
        <v>5611566.0</v>
      </c>
      <c r="C841" s="265" t="s">
        <v>82</v>
      </c>
      <c r="D841" s="265" t="s">
        <v>35</v>
      </c>
      <c r="E841" s="264">
        <v>4.818952182E9</v>
      </c>
      <c r="F841" s="265" t="s">
        <v>2967</v>
      </c>
      <c r="G841" s="280">
        <v>45452.0</v>
      </c>
      <c r="H841" s="281">
        <v>45455.0</v>
      </c>
      <c r="I841" s="282">
        <v>3.0</v>
      </c>
      <c r="J841" s="283" t="s">
        <v>78</v>
      </c>
      <c r="K841" s="265" t="s">
        <v>79</v>
      </c>
      <c r="L841" s="265" t="s">
        <v>1400</v>
      </c>
      <c r="M841" s="269">
        <v>2.0</v>
      </c>
      <c r="N841" s="270">
        <v>0.0</v>
      </c>
      <c r="O841" s="271">
        <v>156.48</v>
      </c>
      <c r="P841" s="271">
        <v>125.184</v>
      </c>
      <c r="Q841" s="272">
        <v>0.0</v>
      </c>
      <c r="R841" s="273">
        <v>375.552</v>
      </c>
      <c r="S841" s="273">
        <v>0.0</v>
      </c>
      <c r="T841" s="273">
        <v>1067.4</v>
      </c>
      <c r="U841" s="274" t="s">
        <v>1401</v>
      </c>
      <c r="V841" s="284">
        <v>45410.03475694444</v>
      </c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</row>
    <row r="842">
      <c r="A842" s="276">
        <v>45409.0</v>
      </c>
      <c r="B842" s="252">
        <v>5610474.0</v>
      </c>
      <c r="C842" s="253" t="s">
        <v>82</v>
      </c>
      <c r="D842" s="253" t="s">
        <v>35</v>
      </c>
      <c r="E842" s="252">
        <v>4.519482767E9</v>
      </c>
      <c r="F842" s="253" t="s">
        <v>2968</v>
      </c>
      <c r="G842" s="276">
        <v>45500.0</v>
      </c>
      <c r="H842" s="277">
        <v>45502.0</v>
      </c>
      <c r="I842" s="278">
        <v>2.0</v>
      </c>
      <c r="J842" s="257" t="s">
        <v>78</v>
      </c>
      <c r="K842" s="253" t="s">
        <v>79</v>
      </c>
      <c r="L842" s="253" t="s">
        <v>1443</v>
      </c>
      <c r="M842" s="252">
        <v>2.0</v>
      </c>
      <c r="N842" s="258">
        <v>0.0</v>
      </c>
      <c r="O842" s="259">
        <v>155.21</v>
      </c>
      <c r="P842" s="259">
        <v>124.168</v>
      </c>
      <c r="Q842" s="262">
        <v>0.0</v>
      </c>
      <c r="R842" s="260">
        <v>248.336</v>
      </c>
      <c r="S842" s="260">
        <v>0.0</v>
      </c>
      <c r="T842" s="260">
        <v>310.42</v>
      </c>
      <c r="U842" s="261" t="s">
        <v>1444</v>
      </c>
      <c r="V842" s="279">
        <v>45409.73476851852</v>
      </c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</row>
    <row r="843">
      <c r="A843" s="210">
        <v>45409.0</v>
      </c>
      <c r="B843" s="166">
        <v>5609759.0</v>
      </c>
      <c r="C843" s="166" t="s">
        <v>82</v>
      </c>
      <c r="D843" s="166" t="s">
        <v>35</v>
      </c>
      <c r="E843" s="166">
        <v>4.489761681E9</v>
      </c>
      <c r="F843" s="166" t="s">
        <v>2970</v>
      </c>
      <c r="G843" s="210">
        <v>45505.0</v>
      </c>
      <c r="H843" s="287">
        <v>45510.0</v>
      </c>
      <c r="I843" s="168">
        <v>5.0</v>
      </c>
      <c r="J843" s="169" t="s">
        <v>78</v>
      </c>
      <c r="K843" s="166" t="s">
        <v>79</v>
      </c>
      <c r="L843" s="166" t="s">
        <v>1619</v>
      </c>
      <c r="M843" s="205">
        <v>2.0</v>
      </c>
      <c r="N843" s="170">
        <v>0.0</v>
      </c>
      <c r="O843" s="171">
        <v>160.05</v>
      </c>
      <c r="P843" s="171">
        <v>128.04000000000002</v>
      </c>
      <c r="Q843" s="172">
        <v>0.0</v>
      </c>
      <c r="R843" s="173">
        <v>640.2</v>
      </c>
      <c r="S843" s="173">
        <v>0.0</v>
      </c>
      <c r="T843" s="173">
        <v>800.25</v>
      </c>
      <c r="U843" s="201" t="s">
        <v>1620</v>
      </c>
      <c r="V843" s="288">
        <v>45409.57503472222</v>
      </c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</row>
    <row r="844">
      <c r="A844" s="210">
        <v>45409.0</v>
      </c>
      <c r="B844" s="166">
        <v>5610451.0</v>
      </c>
      <c r="C844" s="166" t="s">
        <v>82</v>
      </c>
      <c r="D844" s="166" t="s">
        <v>35</v>
      </c>
      <c r="E844" s="166">
        <v>4.66477684E9</v>
      </c>
      <c r="F844" s="166" t="s">
        <v>2971</v>
      </c>
      <c r="G844" s="210">
        <v>45544.0</v>
      </c>
      <c r="H844" s="287">
        <v>45546.0</v>
      </c>
      <c r="I844" s="168">
        <v>2.0</v>
      </c>
      <c r="J844" s="169" t="s">
        <v>78</v>
      </c>
      <c r="K844" s="166" t="s">
        <v>79</v>
      </c>
      <c r="L844" s="166" t="s">
        <v>1400</v>
      </c>
      <c r="M844" s="166">
        <v>2.0</v>
      </c>
      <c r="N844" s="170">
        <v>0.0</v>
      </c>
      <c r="O844" s="171">
        <v>166.29</v>
      </c>
      <c r="P844" s="171">
        <v>133.032</v>
      </c>
      <c r="Q844" s="172">
        <v>0.0</v>
      </c>
      <c r="R844" s="173">
        <v>266.064</v>
      </c>
      <c r="S844" s="173">
        <v>0.0</v>
      </c>
      <c r="T844" s="173">
        <v>332.58</v>
      </c>
      <c r="U844" s="201" t="s">
        <v>1401</v>
      </c>
      <c r="V844" s="288">
        <v>45409.72990740741</v>
      </c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</row>
    <row r="845">
      <c r="A845" s="276">
        <v>45410.0</v>
      </c>
      <c r="B845" s="252">
        <v>5612325.0</v>
      </c>
      <c r="C845" s="253" t="s">
        <v>82</v>
      </c>
      <c r="D845" s="253" t="s">
        <v>94</v>
      </c>
      <c r="E845" s="252">
        <v>5612325.0</v>
      </c>
      <c r="F845" s="253" t="s">
        <v>2974</v>
      </c>
      <c r="G845" s="276">
        <v>45410.0</v>
      </c>
      <c r="H845" s="277">
        <v>45416.0</v>
      </c>
      <c r="I845" s="278">
        <v>6.0</v>
      </c>
      <c r="J845" s="257" t="s">
        <v>91</v>
      </c>
      <c r="K845" s="253" t="s">
        <v>79</v>
      </c>
      <c r="L845" s="253" t="s">
        <v>1462</v>
      </c>
      <c r="M845" s="252">
        <v>2.0</v>
      </c>
      <c r="N845" s="258">
        <v>0.0</v>
      </c>
      <c r="O845" s="259">
        <v>503.0</v>
      </c>
      <c r="P845" s="259">
        <v>497.96999999999997</v>
      </c>
      <c r="Q845" s="262">
        <v>0.0</v>
      </c>
      <c r="R845" s="260">
        <v>2987.82</v>
      </c>
      <c r="S845" s="260">
        <v>0.0</v>
      </c>
      <c r="T845" s="260">
        <v>3018.0</v>
      </c>
      <c r="U845" s="261" t="s">
        <v>1463</v>
      </c>
      <c r="V845" s="279">
        <v>45410.43063657408</v>
      </c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</row>
    <row r="846">
      <c r="A846" s="210">
        <v>45410.0</v>
      </c>
      <c r="B846" s="166">
        <v>5612758.0</v>
      </c>
      <c r="C846" s="166" t="s">
        <v>82</v>
      </c>
      <c r="D846" s="166" t="s">
        <v>94</v>
      </c>
      <c r="E846" s="166">
        <v>5612758.0</v>
      </c>
      <c r="F846" s="166" t="s">
        <v>2977</v>
      </c>
      <c r="G846" s="210">
        <v>45410.0</v>
      </c>
      <c r="H846" s="287">
        <v>45413.0</v>
      </c>
      <c r="I846" s="168">
        <v>3.0</v>
      </c>
      <c r="J846" s="169" t="s">
        <v>78</v>
      </c>
      <c r="K846" s="166" t="s">
        <v>79</v>
      </c>
      <c r="L846" s="166" t="s">
        <v>1462</v>
      </c>
      <c r="M846" s="166">
        <v>2.0</v>
      </c>
      <c r="N846" s="170">
        <v>0.0</v>
      </c>
      <c r="O846" s="171">
        <v>203.0</v>
      </c>
      <c r="P846" s="171">
        <v>200.97</v>
      </c>
      <c r="Q846" s="172">
        <v>0.0</v>
      </c>
      <c r="R846" s="173">
        <v>602.91</v>
      </c>
      <c r="S846" s="173">
        <v>0.0</v>
      </c>
      <c r="T846" s="173">
        <v>609.0</v>
      </c>
      <c r="U846" s="174" t="s">
        <v>1463</v>
      </c>
      <c r="V846" s="288">
        <v>45410.51771990741</v>
      </c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</row>
    <row r="847">
      <c r="A847" s="276">
        <v>45410.0</v>
      </c>
      <c r="B847" s="252">
        <v>5613057.0</v>
      </c>
      <c r="C847" s="253" t="s">
        <v>82</v>
      </c>
      <c r="D847" s="253" t="s">
        <v>35</v>
      </c>
      <c r="E847" s="252">
        <v>4.978991498E9</v>
      </c>
      <c r="F847" s="253" t="s">
        <v>2979</v>
      </c>
      <c r="G847" s="276">
        <v>45410.0</v>
      </c>
      <c r="H847" s="277">
        <v>45413.0</v>
      </c>
      <c r="I847" s="278">
        <v>3.0</v>
      </c>
      <c r="J847" s="257" t="s">
        <v>78</v>
      </c>
      <c r="K847" s="253" t="s">
        <v>79</v>
      </c>
      <c r="L847" s="253" t="s">
        <v>1396</v>
      </c>
      <c r="M847" s="252">
        <v>3.0</v>
      </c>
      <c r="N847" s="258">
        <v>0.0</v>
      </c>
      <c r="O847" s="259">
        <v>280.61</v>
      </c>
      <c r="P847" s="259">
        <v>224.48800000000003</v>
      </c>
      <c r="Q847" s="262">
        <v>0.0</v>
      </c>
      <c r="R847" s="260">
        <v>673.464</v>
      </c>
      <c r="S847" s="260">
        <v>0.0</v>
      </c>
      <c r="T847" s="260">
        <v>841.83</v>
      </c>
      <c r="U847" s="261" t="s">
        <v>1398</v>
      </c>
      <c r="V847" s="279">
        <v>45410.5840625</v>
      </c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</row>
    <row r="848">
      <c r="A848" s="210">
        <v>45410.0</v>
      </c>
      <c r="B848" s="166">
        <v>5613445.0</v>
      </c>
      <c r="C848" s="166" t="s">
        <v>89</v>
      </c>
      <c r="D848" s="166" t="s">
        <v>35</v>
      </c>
      <c r="E848" s="166">
        <v>4.295215931E9</v>
      </c>
      <c r="F848" s="166" t="s">
        <v>2980</v>
      </c>
      <c r="G848" s="210">
        <v>45413.0</v>
      </c>
      <c r="H848" s="287">
        <v>45414.0</v>
      </c>
      <c r="I848" s="168">
        <v>1.0</v>
      </c>
      <c r="J848" s="169" t="s">
        <v>78</v>
      </c>
      <c r="K848" s="166" t="s">
        <v>1492</v>
      </c>
      <c r="L848" s="166" t="s">
        <v>2981</v>
      </c>
      <c r="M848" s="166">
        <v>2.0</v>
      </c>
      <c r="N848" s="170">
        <v>0.0</v>
      </c>
      <c r="O848" s="171">
        <v>0.0</v>
      </c>
      <c r="P848" s="171">
        <v>0.0</v>
      </c>
      <c r="Q848" s="172">
        <v>0.0</v>
      </c>
      <c r="R848" s="173">
        <v>0.0</v>
      </c>
      <c r="S848" s="173">
        <v>0.0</v>
      </c>
      <c r="T848" s="173">
        <v>0.0</v>
      </c>
      <c r="U848" s="174" t="s">
        <v>2982</v>
      </c>
      <c r="V848" s="288">
        <v>45410.66255787037</v>
      </c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</row>
    <row r="849">
      <c r="A849" s="210">
        <v>45410.0</v>
      </c>
      <c r="B849" s="166">
        <v>5612859.0</v>
      </c>
      <c r="C849" s="166" t="s">
        <v>82</v>
      </c>
      <c r="D849" s="166" t="s">
        <v>35</v>
      </c>
      <c r="E849" s="166">
        <v>4.895114623E9</v>
      </c>
      <c r="F849" s="166" t="s">
        <v>2983</v>
      </c>
      <c r="G849" s="210">
        <v>45419.0</v>
      </c>
      <c r="H849" s="287">
        <v>45420.0</v>
      </c>
      <c r="I849" s="168">
        <v>1.0</v>
      </c>
      <c r="J849" s="169" t="s">
        <v>111</v>
      </c>
      <c r="K849" s="166" t="s">
        <v>79</v>
      </c>
      <c r="L849" s="166" t="s">
        <v>1443</v>
      </c>
      <c r="M849" s="205">
        <v>2.0</v>
      </c>
      <c r="N849" s="170">
        <v>0.0</v>
      </c>
      <c r="O849" s="171">
        <v>160.61</v>
      </c>
      <c r="P849" s="171">
        <v>128.48800000000003</v>
      </c>
      <c r="Q849" s="172">
        <v>0.0</v>
      </c>
      <c r="R849" s="173">
        <v>128.48800000000003</v>
      </c>
      <c r="S849" s="173">
        <v>0.0</v>
      </c>
      <c r="T849" s="173">
        <v>160.61</v>
      </c>
      <c r="U849" s="174" t="s">
        <v>1444</v>
      </c>
      <c r="V849" s="288">
        <v>45410.538263888884</v>
      </c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</row>
    <row r="850">
      <c r="A850" s="210">
        <v>45410.0</v>
      </c>
      <c r="B850" s="166">
        <v>5614493.0</v>
      </c>
      <c r="C850" s="166" t="s">
        <v>82</v>
      </c>
      <c r="D850" s="166" t="s">
        <v>35</v>
      </c>
      <c r="E850" s="166">
        <v>4.451257456E9</v>
      </c>
      <c r="F850" s="166" t="s">
        <v>2985</v>
      </c>
      <c r="G850" s="210">
        <v>45431.0</v>
      </c>
      <c r="H850" s="287">
        <v>45432.0</v>
      </c>
      <c r="I850" s="168">
        <v>1.0</v>
      </c>
      <c r="J850" s="169" t="s">
        <v>78</v>
      </c>
      <c r="K850" s="166" t="s">
        <v>79</v>
      </c>
      <c r="L850" s="166" t="s">
        <v>2079</v>
      </c>
      <c r="M850" s="166">
        <v>2.0</v>
      </c>
      <c r="N850" s="170">
        <v>0.0</v>
      </c>
      <c r="O850" s="171">
        <v>201.35</v>
      </c>
      <c r="P850" s="171">
        <v>161.08</v>
      </c>
      <c r="Q850" s="172">
        <v>0.0</v>
      </c>
      <c r="R850" s="173">
        <v>161.08</v>
      </c>
      <c r="S850" s="173">
        <v>0.0</v>
      </c>
      <c r="T850" s="173">
        <v>201.35</v>
      </c>
      <c r="U850" s="201" t="s">
        <v>2916</v>
      </c>
      <c r="V850" s="288">
        <v>45410.868125</v>
      </c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</row>
    <row r="851">
      <c r="A851" s="280">
        <v>45410.0</v>
      </c>
      <c r="B851" s="264">
        <v>5614939.0</v>
      </c>
      <c r="C851" s="265" t="s">
        <v>82</v>
      </c>
      <c r="D851" s="265" t="s">
        <v>35</v>
      </c>
      <c r="E851" s="264">
        <v>4.295251315E9</v>
      </c>
      <c r="F851" s="265" t="s">
        <v>2987</v>
      </c>
      <c r="G851" s="280">
        <v>45454.0</v>
      </c>
      <c r="H851" s="281">
        <v>45458.0</v>
      </c>
      <c r="I851" s="282">
        <v>4.0</v>
      </c>
      <c r="J851" s="283" t="s">
        <v>87</v>
      </c>
      <c r="K851" s="265" t="s">
        <v>79</v>
      </c>
      <c r="L851" s="265" t="s">
        <v>1443</v>
      </c>
      <c r="M851" s="269">
        <v>2.0</v>
      </c>
      <c r="N851" s="270">
        <v>0.0</v>
      </c>
      <c r="O851" s="271">
        <v>149.59</v>
      </c>
      <c r="P851" s="271">
        <v>119.67200000000001</v>
      </c>
      <c r="Q851" s="272">
        <v>0.0</v>
      </c>
      <c r="R851" s="273">
        <v>478.68800000000005</v>
      </c>
      <c r="S851" s="273">
        <v>0.0</v>
      </c>
      <c r="T851" s="273">
        <v>598.36</v>
      </c>
      <c r="U851" s="274" t="s">
        <v>1444</v>
      </c>
      <c r="V851" s="286">
        <v>45410.97923611111</v>
      </c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</row>
    <row r="852">
      <c r="A852" s="210">
        <v>45410.0</v>
      </c>
      <c r="B852" s="166">
        <v>5612420.0</v>
      </c>
      <c r="C852" s="166" t="s">
        <v>82</v>
      </c>
      <c r="D852" s="166" t="s">
        <v>35</v>
      </c>
      <c r="E852" s="166">
        <v>4.958943379E9</v>
      </c>
      <c r="F852" s="166" t="s">
        <v>2989</v>
      </c>
      <c r="G852" s="212">
        <v>45591.0</v>
      </c>
      <c r="H852" s="310">
        <v>45592.0</v>
      </c>
      <c r="I852" s="168">
        <v>1.0</v>
      </c>
      <c r="J852" s="169" t="s">
        <v>111</v>
      </c>
      <c r="K852" s="166" t="s">
        <v>79</v>
      </c>
      <c r="L852" s="166" t="s">
        <v>1443</v>
      </c>
      <c r="M852" s="205">
        <v>2.0</v>
      </c>
      <c r="N852" s="170">
        <v>0.0</v>
      </c>
      <c r="O852" s="171">
        <v>173.22</v>
      </c>
      <c r="P852" s="171">
        <v>138.576</v>
      </c>
      <c r="Q852" s="172">
        <v>0.0</v>
      </c>
      <c r="R852" s="173">
        <v>138.576</v>
      </c>
      <c r="S852" s="173">
        <v>0.0</v>
      </c>
      <c r="T852" s="173">
        <v>173.22</v>
      </c>
      <c r="U852" s="174" t="s">
        <v>1444</v>
      </c>
      <c r="V852" s="288">
        <v>45410.45003472222</v>
      </c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</row>
    <row r="853">
      <c r="A853" s="276">
        <v>45411.0</v>
      </c>
      <c r="B853" s="252">
        <v>5618324.0</v>
      </c>
      <c r="C853" s="253" t="s">
        <v>82</v>
      </c>
      <c r="D853" s="253" t="s">
        <v>35</v>
      </c>
      <c r="E853" s="252">
        <v>4.473353767E9</v>
      </c>
      <c r="F853" s="253" t="s">
        <v>2992</v>
      </c>
      <c r="G853" s="276">
        <v>45423.0</v>
      </c>
      <c r="H853" s="277">
        <v>45426.0</v>
      </c>
      <c r="I853" s="278">
        <v>3.0</v>
      </c>
      <c r="J853" s="257" t="s">
        <v>111</v>
      </c>
      <c r="K853" s="253" t="s">
        <v>79</v>
      </c>
      <c r="L853" s="253" t="s">
        <v>1396</v>
      </c>
      <c r="M853" s="275">
        <v>2.0</v>
      </c>
      <c r="N853" s="258">
        <v>0.0</v>
      </c>
      <c r="O853" s="259">
        <v>151.13</v>
      </c>
      <c r="P853" s="259">
        <v>120.904</v>
      </c>
      <c r="Q853" s="262">
        <v>0.0</v>
      </c>
      <c r="R853" s="260">
        <v>362.712</v>
      </c>
      <c r="S853" s="260">
        <v>0.0</v>
      </c>
      <c r="T853" s="260">
        <v>453.39</v>
      </c>
      <c r="U853" s="261" t="s">
        <v>1398</v>
      </c>
      <c r="V853" s="279">
        <v>45411.84798611111</v>
      </c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</row>
    <row r="854">
      <c r="A854" s="280">
        <v>45411.0</v>
      </c>
      <c r="B854" s="264">
        <v>5618372.0</v>
      </c>
      <c r="C854" s="265" t="s">
        <v>82</v>
      </c>
      <c r="D854" s="265" t="s">
        <v>35</v>
      </c>
      <c r="E854" s="264">
        <v>4.446400493E9</v>
      </c>
      <c r="F854" s="265" t="s">
        <v>2994</v>
      </c>
      <c r="G854" s="280">
        <v>45426.0</v>
      </c>
      <c r="H854" s="281">
        <v>45428.0</v>
      </c>
      <c r="I854" s="282">
        <v>2.0</v>
      </c>
      <c r="J854" s="283" t="s">
        <v>114</v>
      </c>
      <c r="K854" s="265" t="s">
        <v>79</v>
      </c>
      <c r="L854" s="265" t="s">
        <v>1443</v>
      </c>
      <c r="M854" s="269">
        <v>2.0</v>
      </c>
      <c r="N854" s="270">
        <v>0.0</v>
      </c>
      <c r="O854" s="271">
        <v>175.69</v>
      </c>
      <c r="P854" s="271">
        <v>140.552</v>
      </c>
      <c r="Q854" s="272">
        <v>0.0</v>
      </c>
      <c r="R854" s="273">
        <v>281.104</v>
      </c>
      <c r="S854" s="273">
        <v>0.0</v>
      </c>
      <c r="T854" s="273">
        <v>351.38</v>
      </c>
      <c r="U854" s="274" t="s">
        <v>1444</v>
      </c>
      <c r="V854" s="286">
        <v>45411.85837962963</v>
      </c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</row>
    <row r="855">
      <c r="A855" s="276">
        <v>45411.0</v>
      </c>
      <c r="B855" s="252">
        <v>5616451.0</v>
      </c>
      <c r="C855" s="253" t="s">
        <v>82</v>
      </c>
      <c r="D855" s="253" t="s">
        <v>35</v>
      </c>
      <c r="E855" s="252">
        <v>4.744290795E9</v>
      </c>
      <c r="F855" s="253" t="s">
        <v>2996</v>
      </c>
      <c r="G855" s="276">
        <v>45436.0</v>
      </c>
      <c r="H855" s="277">
        <v>45438.0</v>
      </c>
      <c r="I855" s="278">
        <v>2.0</v>
      </c>
      <c r="J855" s="257" t="s">
        <v>78</v>
      </c>
      <c r="K855" s="253" t="s">
        <v>79</v>
      </c>
      <c r="L855" s="253" t="s">
        <v>1396</v>
      </c>
      <c r="M855" s="275">
        <v>2.0</v>
      </c>
      <c r="N855" s="258">
        <v>0.0</v>
      </c>
      <c r="O855" s="259">
        <v>169.33</v>
      </c>
      <c r="P855" s="259">
        <v>135.46400000000003</v>
      </c>
      <c r="Q855" s="262">
        <v>0.0</v>
      </c>
      <c r="R855" s="260">
        <v>270.92800000000005</v>
      </c>
      <c r="S855" s="260">
        <v>0.0</v>
      </c>
      <c r="T855" s="260">
        <v>338.66</v>
      </c>
      <c r="U855" s="261" t="s">
        <v>1398</v>
      </c>
      <c r="V855" s="279">
        <v>45411.491018518514</v>
      </c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</row>
    <row r="856">
      <c r="A856" s="210">
        <v>45411.0</v>
      </c>
      <c r="B856" s="166">
        <v>5617640.0</v>
      </c>
      <c r="C856" s="166" t="s">
        <v>82</v>
      </c>
      <c r="D856" s="166" t="s">
        <v>35</v>
      </c>
      <c r="E856" s="166">
        <v>4.922590766E9</v>
      </c>
      <c r="F856" s="166" t="s">
        <v>2998</v>
      </c>
      <c r="G856" s="210">
        <v>45464.0</v>
      </c>
      <c r="H856" s="287">
        <v>45467.0</v>
      </c>
      <c r="I856" s="168">
        <v>3.0</v>
      </c>
      <c r="J856" s="169" t="s">
        <v>78</v>
      </c>
      <c r="K856" s="166" t="s">
        <v>79</v>
      </c>
      <c r="L856" s="166" t="s">
        <v>1396</v>
      </c>
      <c r="M856" s="166">
        <v>2.0</v>
      </c>
      <c r="N856" s="169">
        <v>0.0</v>
      </c>
      <c r="O856" s="171">
        <v>146.85999999999999</v>
      </c>
      <c r="P856" s="171">
        <v>117.488</v>
      </c>
      <c r="Q856" s="169">
        <v>0.0</v>
      </c>
      <c r="R856" s="173">
        <v>352.464</v>
      </c>
      <c r="S856" s="173">
        <v>0.0</v>
      </c>
      <c r="T856" s="173">
        <v>440.58</v>
      </c>
      <c r="U856" s="174" t="s">
        <v>1398</v>
      </c>
      <c r="V856" s="288">
        <v>45411.71324074074</v>
      </c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</row>
    <row r="857">
      <c r="A857" s="276">
        <v>45411.0</v>
      </c>
      <c r="B857" s="252">
        <v>5618630.0</v>
      </c>
      <c r="C857" s="253" t="s">
        <v>82</v>
      </c>
      <c r="D857" s="253" t="s">
        <v>35</v>
      </c>
      <c r="E857" s="252">
        <v>4.958126225E9</v>
      </c>
      <c r="F857" s="253" t="s">
        <v>3000</v>
      </c>
      <c r="G857" s="276">
        <v>45468.0</v>
      </c>
      <c r="H857" s="277">
        <v>45473.0</v>
      </c>
      <c r="I857" s="278">
        <v>5.0</v>
      </c>
      <c r="J857" s="257" t="s">
        <v>87</v>
      </c>
      <c r="K857" s="253" t="s">
        <v>79</v>
      </c>
      <c r="L857" s="253" t="s">
        <v>1396</v>
      </c>
      <c r="M857" s="252">
        <v>2.0</v>
      </c>
      <c r="N857" s="258">
        <v>0.0</v>
      </c>
      <c r="O857" s="259">
        <v>141.55</v>
      </c>
      <c r="P857" s="259">
        <v>113.24000000000001</v>
      </c>
      <c r="Q857" s="262">
        <v>0.0</v>
      </c>
      <c r="R857" s="260">
        <v>566.2</v>
      </c>
      <c r="S857" s="260">
        <v>0.0</v>
      </c>
      <c r="T857" s="260">
        <v>707.75</v>
      </c>
      <c r="U857" s="261" t="s">
        <v>1398</v>
      </c>
      <c r="V857" s="279">
        <v>45411.90490740741</v>
      </c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</row>
    <row r="858">
      <c r="A858" s="210">
        <v>45411.0</v>
      </c>
      <c r="B858" s="166">
        <v>5615711.0</v>
      </c>
      <c r="C858" s="166" t="s">
        <v>82</v>
      </c>
      <c r="D858" s="166" t="s">
        <v>35</v>
      </c>
      <c r="E858" s="166">
        <v>4.599763943E9</v>
      </c>
      <c r="F858" s="166" t="s">
        <v>3002</v>
      </c>
      <c r="G858" s="210">
        <v>45569.0</v>
      </c>
      <c r="H858" s="287">
        <v>45571.0</v>
      </c>
      <c r="I858" s="168">
        <v>2.0</v>
      </c>
      <c r="J858" s="169" t="s">
        <v>78</v>
      </c>
      <c r="K858" s="166" t="s">
        <v>79</v>
      </c>
      <c r="L858" s="166" t="s">
        <v>3004</v>
      </c>
      <c r="M858" s="205">
        <v>2.0</v>
      </c>
      <c r="N858" s="170">
        <v>0.0</v>
      </c>
      <c r="O858" s="171">
        <v>239.0</v>
      </c>
      <c r="P858" s="171">
        <v>191.20000000000002</v>
      </c>
      <c r="Q858" s="172">
        <v>0.0</v>
      </c>
      <c r="R858" s="173">
        <v>382.40000000000003</v>
      </c>
      <c r="S858" s="173">
        <v>0.0</v>
      </c>
      <c r="T858" s="173">
        <v>1064.0</v>
      </c>
      <c r="U858" s="201" t="s">
        <v>3005</v>
      </c>
      <c r="V858" s="288">
        <v>45411.35837962963</v>
      </c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</row>
    <row r="859">
      <c r="A859" s="280">
        <v>45411.0</v>
      </c>
      <c r="B859" s="264">
        <v>5615711.0</v>
      </c>
      <c r="C859" s="265" t="s">
        <v>89</v>
      </c>
      <c r="D859" s="265" t="s">
        <v>35</v>
      </c>
      <c r="E859" s="264">
        <v>4.599763943E9</v>
      </c>
      <c r="F859" s="265" t="s">
        <v>3002</v>
      </c>
      <c r="G859" s="280">
        <v>45569.0</v>
      </c>
      <c r="H859" s="281">
        <v>45571.0</v>
      </c>
      <c r="I859" s="282">
        <v>2.0</v>
      </c>
      <c r="J859" s="283" t="s">
        <v>114</v>
      </c>
      <c r="K859" s="265" t="s">
        <v>79</v>
      </c>
      <c r="L859" s="265" t="s">
        <v>3004</v>
      </c>
      <c r="M859" s="269">
        <v>2.0</v>
      </c>
      <c r="N859" s="270">
        <v>0.0</v>
      </c>
      <c r="O859" s="271">
        <v>0.0</v>
      </c>
      <c r="P859" s="271">
        <v>0.0</v>
      </c>
      <c r="Q859" s="272">
        <v>0.0</v>
      </c>
      <c r="R859" s="273">
        <v>0.0</v>
      </c>
      <c r="S859" s="273">
        <v>0.0</v>
      </c>
      <c r="T859" s="273">
        <v>0.0</v>
      </c>
      <c r="U859" s="274" t="s">
        <v>3008</v>
      </c>
      <c r="V859" s="284">
        <v>45411.35837962963</v>
      </c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</row>
    <row r="860">
      <c r="A860" s="210">
        <v>45412.0</v>
      </c>
      <c r="B860" s="166">
        <v>5622508.0</v>
      </c>
      <c r="C860" s="166" t="s">
        <v>82</v>
      </c>
      <c r="D860" s="166" t="s">
        <v>35</v>
      </c>
      <c r="E860" s="166">
        <v>4.70089908E9</v>
      </c>
      <c r="F860" s="166" t="s">
        <v>3012</v>
      </c>
      <c r="G860" s="210">
        <v>45423.0</v>
      </c>
      <c r="H860" s="287">
        <v>45424.0</v>
      </c>
      <c r="I860" s="168">
        <v>1.0</v>
      </c>
      <c r="J860" s="169" t="s">
        <v>87</v>
      </c>
      <c r="K860" s="166" t="s">
        <v>79</v>
      </c>
      <c r="L860" s="166" t="s">
        <v>1396</v>
      </c>
      <c r="M860" s="205">
        <v>2.0</v>
      </c>
      <c r="N860" s="170">
        <v>0.0</v>
      </c>
      <c r="O860" s="171">
        <v>120.78</v>
      </c>
      <c r="P860" s="171">
        <v>96.62400000000001</v>
      </c>
      <c r="Q860" s="172">
        <v>0.0</v>
      </c>
      <c r="R860" s="173">
        <v>96.62400000000001</v>
      </c>
      <c r="S860" s="173">
        <v>0.0</v>
      </c>
      <c r="T860" s="173">
        <v>120.78</v>
      </c>
      <c r="U860" s="174" t="s">
        <v>1398</v>
      </c>
      <c r="V860" s="288">
        <v>45412.90075231482</v>
      </c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</row>
    <row r="861">
      <c r="A861" s="276">
        <v>45412.0</v>
      </c>
      <c r="B861" s="252">
        <v>5620481.0</v>
      </c>
      <c r="C861" s="253" t="s">
        <v>82</v>
      </c>
      <c r="D861" s="253" t="s">
        <v>35</v>
      </c>
      <c r="E861" s="252">
        <v>4.827245903E9</v>
      </c>
      <c r="F861" s="253" t="s">
        <v>3014</v>
      </c>
      <c r="G861" s="276">
        <v>45465.0</v>
      </c>
      <c r="H861" s="277">
        <v>45470.0</v>
      </c>
      <c r="I861" s="278">
        <v>5.0</v>
      </c>
      <c r="J861" s="257" t="s">
        <v>114</v>
      </c>
      <c r="K861" s="253" t="s">
        <v>79</v>
      </c>
      <c r="L861" s="253" t="s">
        <v>1396</v>
      </c>
      <c r="M861" s="275">
        <v>3.0</v>
      </c>
      <c r="N861" s="258">
        <v>0.0</v>
      </c>
      <c r="O861" s="259">
        <v>188.23</v>
      </c>
      <c r="P861" s="259">
        <v>150.584</v>
      </c>
      <c r="Q861" s="262">
        <v>0.0</v>
      </c>
      <c r="R861" s="260">
        <v>752.9200000000001</v>
      </c>
      <c r="S861" s="260">
        <v>0.0</v>
      </c>
      <c r="T861" s="260">
        <v>941.15</v>
      </c>
      <c r="U861" s="261" t="s">
        <v>1398</v>
      </c>
      <c r="V861" s="279">
        <v>45412.52364583334</v>
      </c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</row>
    <row r="862">
      <c r="A862" s="280">
        <v>45412.0</v>
      </c>
      <c r="B862" s="264">
        <v>5622068.0</v>
      </c>
      <c r="C862" s="265" t="s">
        <v>82</v>
      </c>
      <c r="D862" s="265" t="s">
        <v>35</v>
      </c>
      <c r="E862" s="264">
        <v>4.883406807E9</v>
      </c>
      <c r="F862" s="265" t="s">
        <v>3017</v>
      </c>
      <c r="G862" s="280">
        <v>45468.0</v>
      </c>
      <c r="H862" s="281">
        <v>45471.0</v>
      </c>
      <c r="I862" s="282">
        <v>3.0</v>
      </c>
      <c r="J862" s="283" t="s">
        <v>78</v>
      </c>
      <c r="K862" s="265" t="s">
        <v>79</v>
      </c>
      <c r="L862" s="265" t="s">
        <v>1396</v>
      </c>
      <c r="M862" s="269">
        <v>2.0</v>
      </c>
      <c r="N862" s="270">
        <v>0.0</v>
      </c>
      <c r="O862" s="271">
        <v>132.92</v>
      </c>
      <c r="P862" s="271">
        <v>106.336</v>
      </c>
      <c r="Q862" s="272">
        <v>0.0</v>
      </c>
      <c r="R862" s="273">
        <v>319.00800000000004</v>
      </c>
      <c r="S862" s="273">
        <v>0.0</v>
      </c>
      <c r="T862" s="273">
        <v>398.76</v>
      </c>
      <c r="U862" s="274" t="s">
        <v>1398</v>
      </c>
      <c r="V862" s="284">
        <v>45412.81947916667</v>
      </c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</row>
    <row r="863">
      <c r="A863" s="280">
        <v>45412.0</v>
      </c>
      <c r="B863" s="264">
        <v>5621853.0</v>
      </c>
      <c r="C863" s="265" t="s">
        <v>82</v>
      </c>
      <c r="D863" s="265" t="s">
        <v>94</v>
      </c>
      <c r="E863" s="264">
        <v>5621853.0</v>
      </c>
      <c r="F863" s="265" t="s">
        <v>3019</v>
      </c>
      <c r="G863" s="280">
        <v>45480.0</v>
      </c>
      <c r="H863" s="281">
        <v>45484.0</v>
      </c>
      <c r="I863" s="282">
        <v>4.0</v>
      </c>
      <c r="J863" s="283" t="s">
        <v>78</v>
      </c>
      <c r="K863" s="265" t="s">
        <v>79</v>
      </c>
      <c r="L863" s="265" t="s">
        <v>1462</v>
      </c>
      <c r="M863" s="269">
        <v>2.0</v>
      </c>
      <c r="N863" s="283">
        <v>0.0</v>
      </c>
      <c r="O863" s="271">
        <v>203.0</v>
      </c>
      <c r="P863" s="271">
        <v>200.97</v>
      </c>
      <c r="Q863" s="283">
        <v>0.0</v>
      </c>
      <c r="R863" s="273">
        <v>803.88</v>
      </c>
      <c r="S863" s="273">
        <v>0.0</v>
      </c>
      <c r="T863" s="273">
        <v>812.0</v>
      </c>
      <c r="U863" s="274" t="s">
        <v>1463</v>
      </c>
      <c r="V863" s="284">
        <v>45412.775254629625</v>
      </c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</row>
    <row r="864">
      <c r="A864" s="276">
        <v>45413.0</v>
      </c>
      <c r="B864" s="252">
        <v>5624290.0</v>
      </c>
      <c r="C864" s="253" t="s">
        <v>82</v>
      </c>
      <c r="D864" s="253" t="s">
        <v>35</v>
      </c>
      <c r="E864" s="252">
        <v>4.460449793E9</v>
      </c>
      <c r="F864" s="253" t="s">
        <v>3021</v>
      </c>
      <c r="G864" s="276">
        <v>45436.0</v>
      </c>
      <c r="H864" s="277">
        <v>45438.0</v>
      </c>
      <c r="I864" s="278">
        <v>2.0</v>
      </c>
      <c r="J864" s="257" t="s">
        <v>111</v>
      </c>
      <c r="K864" s="253" t="s">
        <v>79</v>
      </c>
      <c r="L864" s="253" t="s">
        <v>1396</v>
      </c>
      <c r="M864" s="252">
        <v>2.0</v>
      </c>
      <c r="N864" s="258">
        <v>0.0</v>
      </c>
      <c r="O864" s="259">
        <v>151.13</v>
      </c>
      <c r="P864" s="259">
        <v>120.904</v>
      </c>
      <c r="Q864" s="257">
        <v>0.0</v>
      </c>
      <c r="R864" s="260">
        <v>241.808</v>
      </c>
      <c r="S864" s="260">
        <v>0.0</v>
      </c>
      <c r="T864" s="260">
        <v>302.26</v>
      </c>
      <c r="U864" s="261" t="s">
        <v>1398</v>
      </c>
      <c r="V864" s="279">
        <v>45413.51604166666</v>
      </c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</row>
    <row r="865">
      <c r="A865" s="280">
        <v>45413.0</v>
      </c>
      <c r="B865" s="264">
        <v>5625650.0</v>
      </c>
      <c r="C865" s="265" t="s">
        <v>82</v>
      </c>
      <c r="D865" s="265" t="s">
        <v>94</v>
      </c>
      <c r="E865" s="264">
        <v>5625650.0</v>
      </c>
      <c r="F865" s="265" t="s">
        <v>3023</v>
      </c>
      <c r="G865" s="305">
        <v>45580.0</v>
      </c>
      <c r="H865" s="313">
        <v>45581.0</v>
      </c>
      <c r="I865" s="282">
        <v>1.0</v>
      </c>
      <c r="J865" s="283" t="s">
        <v>87</v>
      </c>
      <c r="K865" s="265" t="s">
        <v>79</v>
      </c>
      <c r="L865" s="265" t="s">
        <v>1462</v>
      </c>
      <c r="M865" s="269">
        <v>1.0</v>
      </c>
      <c r="N865" s="270">
        <v>0.0</v>
      </c>
      <c r="O865" s="271">
        <v>137.5</v>
      </c>
      <c r="P865" s="271">
        <v>136.125</v>
      </c>
      <c r="Q865" s="272">
        <v>0.0</v>
      </c>
      <c r="R865" s="273">
        <v>136.125</v>
      </c>
      <c r="S865" s="273">
        <v>0.0</v>
      </c>
      <c r="T865" s="273">
        <v>1526.0</v>
      </c>
      <c r="U865" s="274" t="s">
        <v>1463</v>
      </c>
      <c r="V865" s="284">
        <v>45413.757002314815</v>
      </c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</row>
    <row r="866">
      <c r="A866" s="280">
        <v>45413.0</v>
      </c>
      <c r="B866" s="264">
        <v>5625650.0</v>
      </c>
      <c r="C866" s="265" t="s">
        <v>82</v>
      </c>
      <c r="D866" s="265" t="s">
        <v>94</v>
      </c>
      <c r="E866" s="264">
        <v>5625650.0</v>
      </c>
      <c r="F866" s="265" t="s">
        <v>3023</v>
      </c>
      <c r="G866" s="305">
        <v>45580.0</v>
      </c>
      <c r="H866" s="313">
        <v>45581.0</v>
      </c>
      <c r="I866" s="282">
        <v>1.0</v>
      </c>
      <c r="J866" s="283" t="s">
        <v>78</v>
      </c>
      <c r="K866" s="265" t="s">
        <v>79</v>
      </c>
      <c r="L866" s="265" t="s">
        <v>1462</v>
      </c>
      <c r="M866" s="269">
        <v>1.0</v>
      </c>
      <c r="N866" s="270">
        <v>0.0</v>
      </c>
      <c r="O866" s="271">
        <v>158.5</v>
      </c>
      <c r="P866" s="271">
        <v>156.915</v>
      </c>
      <c r="Q866" s="272">
        <v>0.0</v>
      </c>
      <c r="R866" s="273">
        <v>156.915</v>
      </c>
      <c r="S866" s="273">
        <v>0.0</v>
      </c>
      <c r="T866" s="273">
        <v>1526.0</v>
      </c>
      <c r="U866" s="274" t="s">
        <v>1463</v>
      </c>
      <c r="V866" s="284">
        <v>45413.757002314815</v>
      </c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</row>
    <row r="867">
      <c r="A867" s="280">
        <v>45413.0</v>
      </c>
      <c r="B867" s="264">
        <v>5625650.0</v>
      </c>
      <c r="C867" s="265" t="s">
        <v>82</v>
      </c>
      <c r="D867" s="265" t="s">
        <v>94</v>
      </c>
      <c r="E867" s="264">
        <v>5625650.0</v>
      </c>
      <c r="F867" s="265" t="s">
        <v>3023</v>
      </c>
      <c r="G867" s="305">
        <v>45580.0</v>
      </c>
      <c r="H867" s="313">
        <v>45581.0</v>
      </c>
      <c r="I867" s="282">
        <v>1.0</v>
      </c>
      <c r="J867" s="283" t="s">
        <v>78</v>
      </c>
      <c r="K867" s="265" t="s">
        <v>79</v>
      </c>
      <c r="L867" s="265" t="s">
        <v>1462</v>
      </c>
      <c r="M867" s="269">
        <v>1.0</v>
      </c>
      <c r="N867" s="270">
        <v>0.0</v>
      </c>
      <c r="O867" s="271">
        <v>158.5</v>
      </c>
      <c r="P867" s="271">
        <v>156.915</v>
      </c>
      <c r="Q867" s="272">
        <v>0.0</v>
      </c>
      <c r="R867" s="273">
        <v>156.915</v>
      </c>
      <c r="S867" s="273">
        <v>0.0</v>
      </c>
      <c r="T867" s="273">
        <v>1526.0</v>
      </c>
      <c r="U867" s="274" t="s">
        <v>1463</v>
      </c>
      <c r="V867" s="284">
        <v>45413.757002314815</v>
      </c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</row>
    <row r="868">
      <c r="A868" s="210">
        <v>45413.0</v>
      </c>
      <c r="B868" s="166">
        <v>5625650.0</v>
      </c>
      <c r="C868" s="166" t="s">
        <v>82</v>
      </c>
      <c r="D868" s="166" t="s">
        <v>94</v>
      </c>
      <c r="E868" s="166">
        <v>5625650.0</v>
      </c>
      <c r="F868" s="166" t="s">
        <v>3023</v>
      </c>
      <c r="G868" s="212">
        <v>45580.0</v>
      </c>
      <c r="H868" s="310">
        <v>45581.0</v>
      </c>
      <c r="I868" s="168">
        <v>1.0</v>
      </c>
      <c r="J868" s="169" t="s">
        <v>78</v>
      </c>
      <c r="K868" s="166" t="s">
        <v>79</v>
      </c>
      <c r="L868" s="166" t="s">
        <v>1462</v>
      </c>
      <c r="M868" s="166">
        <v>1.0</v>
      </c>
      <c r="N868" s="170">
        <v>0.0</v>
      </c>
      <c r="O868" s="171">
        <v>158.5</v>
      </c>
      <c r="P868" s="171">
        <v>156.915</v>
      </c>
      <c r="Q868" s="172">
        <v>0.0</v>
      </c>
      <c r="R868" s="173">
        <v>156.915</v>
      </c>
      <c r="S868" s="173">
        <v>0.0</v>
      </c>
      <c r="T868" s="173">
        <v>1526.0</v>
      </c>
      <c r="U868" s="201" t="s">
        <v>1463</v>
      </c>
      <c r="V868" s="288">
        <v>45413.757002314815</v>
      </c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</row>
    <row r="869">
      <c r="A869" s="280">
        <v>45413.0</v>
      </c>
      <c r="B869" s="264">
        <v>5625650.0</v>
      </c>
      <c r="C869" s="265" t="s">
        <v>82</v>
      </c>
      <c r="D869" s="265" t="s">
        <v>94</v>
      </c>
      <c r="E869" s="264">
        <v>5625650.0</v>
      </c>
      <c r="F869" s="265" t="s">
        <v>3023</v>
      </c>
      <c r="G869" s="305">
        <v>45580.0</v>
      </c>
      <c r="H869" s="313">
        <v>45581.0</v>
      </c>
      <c r="I869" s="282">
        <v>1.0</v>
      </c>
      <c r="J869" s="283" t="s">
        <v>78</v>
      </c>
      <c r="K869" s="265" t="s">
        <v>79</v>
      </c>
      <c r="L869" s="265" t="s">
        <v>1462</v>
      </c>
      <c r="M869" s="269">
        <v>1.0</v>
      </c>
      <c r="N869" s="270">
        <v>0.0</v>
      </c>
      <c r="O869" s="271">
        <v>158.5</v>
      </c>
      <c r="P869" s="271">
        <v>156.915</v>
      </c>
      <c r="Q869" s="272">
        <v>0.0</v>
      </c>
      <c r="R869" s="273">
        <v>156.915</v>
      </c>
      <c r="S869" s="273">
        <v>0.0</v>
      </c>
      <c r="T869" s="273">
        <v>1526.0</v>
      </c>
      <c r="U869" s="274" t="s">
        <v>1463</v>
      </c>
      <c r="V869" s="284">
        <v>45413.757002314815</v>
      </c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</row>
    <row r="870">
      <c r="A870" s="280">
        <v>45413.0</v>
      </c>
      <c r="B870" s="264">
        <v>5625650.0</v>
      </c>
      <c r="C870" s="265" t="s">
        <v>82</v>
      </c>
      <c r="D870" s="265" t="s">
        <v>94</v>
      </c>
      <c r="E870" s="264">
        <v>5625650.0</v>
      </c>
      <c r="F870" s="265" t="s">
        <v>3023</v>
      </c>
      <c r="G870" s="305">
        <v>45580.0</v>
      </c>
      <c r="H870" s="313">
        <v>45581.0</v>
      </c>
      <c r="I870" s="282">
        <v>1.0</v>
      </c>
      <c r="J870" s="283" t="s">
        <v>114</v>
      </c>
      <c r="K870" s="265" t="s">
        <v>79</v>
      </c>
      <c r="L870" s="265" t="s">
        <v>1462</v>
      </c>
      <c r="M870" s="269">
        <v>1.0</v>
      </c>
      <c r="N870" s="270">
        <v>0.0</v>
      </c>
      <c r="O870" s="271">
        <v>173.5</v>
      </c>
      <c r="P870" s="271">
        <v>171.765</v>
      </c>
      <c r="Q870" s="272">
        <v>0.0</v>
      </c>
      <c r="R870" s="273">
        <v>171.765</v>
      </c>
      <c r="S870" s="273">
        <v>0.0</v>
      </c>
      <c r="T870" s="273">
        <v>1526.0</v>
      </c>
      <c r="U870" s="274" t="s">
        <v>1463</v>
      </c>
      <c r="V870" s="284">
        <v>45413.757002314815</v>
      </c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</row>
    <row r="871">
      <c r="A871" s="280">
        <v>45413.0</v>
      </c>
      <c r="B871" s="264">
        <v>5625650.0</v>
      </c>
      <c r="C871" s="265" t="s">
        <v>82</v>
      </c>
      <c r="D871" s="265" t="s">
        <v>94</v>
      </c>
      <c r="E871" s="264">
        <v>5625650.0</v>
      </c>
      <c r="F871" s="265" t="s">
        <v>3023</v>
      </c>
      <c r="G871" s="305">
        <v>45580.0</v>
      </c>
      <c r="H871" s="313">
        <v>45581.0</v>
      </c>
      <c r="I871" s="282">
        <v>1.0</v>
      </c>
      <c r="J871" s="283" t="s">
        <v>111</v>
      </c>
      <c r="K871" s="265" t="s">
        <v>79</v>
      </c>
      <c r="L871" s="265" t="s">
        <v>1462</v>
      </c>
      <c r="M871" s="269">
        <v>1.0</v>
      </c>
      <c r="N871" s="283">
        <v>0.0</v>
      </c>
      <c r="O871" s="271">
        <v>194.5</v>
      </c>
      <c r="P871" s="271">
        <v>192.555</v>
      </c>
      <c r="Q871" s="283">
        <v>0.0</v>
      </c>
      <c r="R871" s="273">
        <v>192.555</v>
      </c>
      <c r="S871" s="273">
        <v>0.0</v>
      </c>
      <c r="T871" s="273">
        <v>1526.0</v>
      </c>
      <c r="U871" s="274" t="s">
        <v>1463</v>
      </c>
      <c r="V871" s="284">
        <v>45413.757002314815</v>
      </c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</row>
    <row r="872">
      <c r="A872" s="280">
        <v>45413.0</v>
      </c>
      <c r="B872" s="264">
        <v>5625650.0</v>
      </c>
      <c r="C872" s="265" t="s">
        <v>82</v>
      </c>
      <c r="D872" s="265" t="s">
        <v>94</v>
      </c>
      <c r="E872" s="264">
        <v>5625650.0</v>
      </c>
      <c r="F872" s="265" t="s">
        <v>3023</v>
      </c>
      <c r="G872" s="305">
        <v>45580.0</v>
      </c>
      <c r="H872" s="313">
        <v>45581.0</v>
      </c>
      <c r="I872" s="282">
        <v>1.0</v>
      </c>
      <c r="J872" s="283" t="s">
        <v>91</v>
      </c>
      <c r="K872" s="265" t="s">
        <v>79</v>
      </c>
      <c r="L872" s="265" t="s">
        <v>1462</v>
      </c>
      <c r="M872" s="269">
        <v>1.0</v>
      </c>
      <c r="N872" s="270">
        <v>0.0</v>
      </c>
      <c r="O872" s="271">
        <v>386.5</v>
      </c>
      <c r="P872" s="271">
        <v>382.635</v>
      </c>
      <c r="Q872" s="272">
        <v>0.0</v>
      </c>
      <c r="R872" s="273">
        <v>382.635</v>
      </c>
      <c r="S872" s="273">
        <v>0.0</v>
      </c>
      <c r="T872" s="273">
        <v>1526.0</v>
      </c>
      <c r="U872" s="274" t="s">
        <v>1463</v>
      </c>
      <c r="V872" s="284">
        <v>45413.757002314815</v>
      </c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</row>
    <row r="873">
      <c r="A873" s="280">
        <v>45414.0</v>
      </c>
      <c r="B873" s="264">
        <v>5630208.0</v>
      </c>
      <c r="C873" s="265" t="s">
        <v>82</v>
      </c>
      <c r="D873" s="265" t="s">
        <v>35</v>
      </c>
      <c r="E873" s="264">
        <v>4.404561784E9</v>
      </c>
      <c r="F873" s="265" t="s">
        <v>3036</v>
      </c>
      <c r="G873" s="280">
        <v>45471.0</v>
      </c>
      <c r="H873" s="281">
        <v>45474.0</v>
      </c>
      <c r="I873" s="282">
        <v>3.0</v>
      </c>
      <c r="J873" s="283" t="s">
        <v>111</v>
      </c>
      <c r="K873" s="265" t="s">
        <v>79</v>
      </c>
      <c r="L873" s="265" t="s">
        <v>1396</v>
      </c>
      <c r="M873" s="269">
        <v>2.0</v>
      </c>
      <c r="N873" s="270">
        <v>0.0</v>
      </c>
      <c r="O873" s="271">
        <v>151.96</v>
      </c>
      <c r="P873" s="271">
        <v>121.56800000000001</v>
      </c>
      <c r="Q873" s="272">
        <v>0.0</v>
      </c>
      <c r="R873" s="273">
        <v>364.704</v>
      </c>
      <c r="S873" s="273">
        <v>0.0</v>
      </c>
      <c r="T873" s="273">
        <v>455.88</v>
      </c>
      <c r="U873" s="274" t="s">
        <v>1398</v>
      </c>
      <c r="V873" s="284">
        <v>45414.83614583334</v>
      </c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</row>
    <row r="874">
      <c r="A874" s="280">
        <v>45414.0</v>
      </c>
      <c r="B874" s="264">
        <v>5630609.0</v>
      </c>
      <c r="C874" s="265" t="s">
        <v>82</v>
      </c>
      <c r="D874" s="265" t="s">
        <v>35</v>
      </c>
      <c r="E874" s="264">
        <v>4.962983182E9</v>
      </c>
      <c r="F874" s="265" t="s">
        <v>3038</v>
      </c>
      <c r="G874" s="280">
        <v>45480.0</v>
      </c>
      <c r="H874" s="281">
        <v>45483.0</v>
      </c>
      <c r="I874" s="282">
        <v>3.0</v>
      </c>
      <c r="J874" s="283" t="s">
        <v>111</v>
      </c>
      <c r="K874" s="265" t="s">
        <v>79</v>
      </c>
      <c r="L874" s="265" t="s">
        <v>1396</v>
      </c>
      <c r="M874" s="269">
        <v>2.0</v>
      </c>
      <c r="N874" s="270">
        <v>0.0</v>
      </c>
      <c r="O874" s="271">
        <v>175.69000000000003</v>
      </c>
      <c r="P874" s="271">
        <v>140.55200000000002</v>
      </c>
      <c r="Q874" s="272">
        <v>0.0</v>
      </c>
      <c r="R874" s="273">
        <v>421.65600000000006</v>
      </c>
      <c r="S874" s="273">
        <v>0.0</v>
      </c>
      <c r="T874" s="273">
        <v>527.07</v>
      </c>
      <c r="U874" s="274" t="s">
        <v>1398</v>
      </c>
      <c r="V874" s="286">
        <v>45414.91185185185</v>
      </c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</row>
    <row r="875">
      <c r="A875" s="280">
        <v>45415.0</v>
      </c>
      <c r="B875" s="264">
        <v>5632631.0</v>
      </c>
      <c r="C875" s="265" t="s">
        <v>82</v>
      </c>
      <c r="D875" s="265" t="s">
        <v>94</v>
      </c>
      <c r="E875" s="264">
        <v>4.429678272E9</v>
      </c>
      <c r="F875" s="265" t="s">
        <v>3039</v>
      </c>
      <c r="G875" s="280">
        <v>45535.0</v>
      </c>
      <c r="H875" s="281">
        <v>45538.0</v>
      </c>
      <c r="I875" s="282">
        <v>3.0</v>
      </c>
      <c r="J875" s="283" t="s">
        <v>78</v>
      </c>
      <c r="K875" s="265" t="s">
        <v>79</v>
      </c>
      <c r="L875" s="265" t="s">
        <v>1396</v>
      </c>
      <c r="M875" s="269">
        <v>2.0</v>
      </c>
      <c r="N875" s="270">
        <v>0.0</v>
      </c>
      <c r="O875" s="271">
        <v>132.92</v>
      </c>
      <c r="P875" s="271">
        <v>131.59079999999997</v>
      </c>
      <c r="Q875" s="272">
        <v>0.0</v>
      </c>
      <c r="R875" s="273">
        <v>394.7724</v>
      </c>
      <c r="S875" s="273">
        <v>0.0</v>
      </c>
      <c r="T875" s="273">
        <v>398.76</v>
      </c>
      <c r="U875" s="274" t="s">
        <v>1398</v>
      </c>
      <c r="V875" s="284">
        <v>45415.5333912037</v>
      </c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</row>
    <row r="876">
      <c r="A876" s="276">
        <v>45416.0</v>
      </c>
      <c r="B876" s="252">
        <v>5637044.0</v>
      </c>
      <c r="C876" s="253" t="s">
        <v>82</v>
      </c>
      <c r="D876" s="253" t="s">
        <v>35</v>
      </c>
      <c r="E876" s="252">
        <v>4.896563855E9</v>
      </c>
      <c r="F876" s="253" t="s">
        <v>3041</v>
      </c>
      <c r="G876" s="276">
        <v>45425.0</v>
      </c>
      <c r="H876" s="277">
        <v>45427.0</v>
      </c>
      <c r="I876" s="278">
        <v>2.0</v>
      </c>
      <c r="J876" s="257" t="s">
        <v>78</v>
      </c>
      <c r="K876" s="253" t="s">
        <v>79</v>
      </c>
      <c r="L876" s="253" t="s">
        <v>1396</v>
      </c>
      <c r="M876" s="252">
        <v>2.0</v>
      </c>
      <c r="N876" s="258">
        <v>0.0</v>
      </c>
      <c r="O876" s="259">
        <v>132.92</v>
      </c>
      <c r="P876" s="259">
        <v>106.336</v>
      </c>
      <c r="Q876" s="262">
        <v>0.0</v>
      </c>
      <c r="R876" s="260">
        <v>212.672</v>
      </c>
      <c r="S876" s="260">
        <v>0.0</v>
      </c>
      <c r="T876" s="260">
        <v>265.84</v>
      </c>
      <c r="U876" s="261" t="s">
        <v>1398</v>
      </c>
      <c r="V876" s="279">
        <v>45416.7000462963</v>
      </c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</row>
    <row r="877">
      <c r="A877" s="210">
        <v>45416.0</v>
      </c>
      <c r="B877" s="166">
        <v>5637801.0</v>
      </c>
      <c r="C877" s="166" t="s">
        <v>82</v>
      </c>
      <c r="D877" s="166" t="s">
        <v>35</v>
      </c>
      <c r="E877" s="166">
        <v>4.693181963E9</v>
      </c>
      <c r="F877" s="166" t="s">
        <v>3043</v>
      </c>
      <c r="G877" s="210">
        <v>45460.0</v>
      </c>
      <c r="H877" s="287">
        <v>45463.0</v>
      </c>
      <c r="I877" s="168">
        <v>3.0</v>
      </c>
      <c r="J877" s="169" t="s">
        <v>78</v>
      </c>
      <c r="K877" s="166" t="s">
        <v>79</v>
      </c>
      <c r="L877" s="166" t="s">
        <v>1414</v>
      </c>
      <c r="M877" s="205">
        <v>2.0</v>
      </c>
      <c r="N877" s="170">
        <v>0.0</v>
      </c>
      <c r="O877" s="171">
        <v>141.26</v>
      </c>
      <c r="P877" s="171">
        <v>113.008</v>
      </c>
      <c r="Q877" s="172">
        <v>0.0</v>
      </c>
      <c r="R877" s="173">
        <v>339.024</v>
      </c>
      <c r="S877" s="173">
        <v>0.0</v>
      </c>
      <c r="T877" s="173">
        <v>423.78</v>
      </c>
      <c r="U877" s="174" t="s">
        <v>1415</v>
      </c>
      <c r="V877" s="288">
        <v>45416.85563657407</v>
      </c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</row>
    <row r="878">
      <c r="A878" s="280">
        <v>45416.0</v>
      </c>
      <c r="B878" s="264">
        <v>5635650.0</v>
      </c>
      <c r="C878" s="265" t="s">
        <v>82</v>
      </c>
      <c r="D878" s="265" t="s">
        <v>35</v>
      </c>
      <c r="E878" s="264">
        <v>4.580225467E9</v>
      </c>
      <c r="F878" s="265" t="s">
        <v>3046</v>
      </c>
      <c r="G878" s="280">
        <v>45542.0</v>
      </c>
      <c r="H878" s="281">
        <v>45545.0</v>
      </c>
      <c r="I878" s="282">
        <v>3.0</v>
      </c>
      <c r="J878" s="283" t="s">
        <v>78</v>
      </c>
      <c r="K878" s="265" t="s">
        <v>79</v>
      </c>
      <c r="L878" s="265" t="s">
        <v>1454</v>
      </c>
      <c r="M878" s="269">
        <v>3.0</v>
      </c>
      <c r="N878" s="270">
        <v>0.0</v>
      </c>
      <c r="O878" s="271">
        <v>174.4</v>
      </c>
      <c r="P878" s="271">
        <v>139.52</v>
      </c>
      <c r="Q878" s="272">
        <v>0.0</v>
      </c>
      <c r="R878" s="273">
        <v>418.56000000000006</v>
      </c>
      <c r="S878" s="273">
        <v>0.0</v>
      </c>
      <c r="T878" s="273">
        <v>523.2</v>
      </c>
      <c r="U878" s="274" t="s">
        <v>1455</v>
      </c>
      <c r="V878" s="284">
        <v>45416.41048611111</v>
      </c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</row>
    <row r="879">
      <c r="A879" s="280">
        <v>45417.0</v>
      </c>
      <c r="B879" s="264">
        <v>5641391.0</v>
      </c>
      <c r="C879" s="265" t="s">
        <v>82</v>
      </c>
      <c r="D879" s="265" t="s">
        <v>35</v>
      </c>
      <c r="E879" s="264">
        <v>4.71425786E9</v>
      </c>
      <c r="F879" s="265" t="s">
        <v>3050</v>
      </c>
      <c r="G879" s="280">
        <v>45436.0</v>
      </c>
      <c r="H879" s="281">
        <v>45437.0</v>
      </c>
      <c r="I879" s="282">
        <v>1.0</v>
      </c>
      <c r="J879" s="283" t="s">
        <v>87</v>
      </c>
      <c r="K879" s="265" t="s">
        <v>79</v>
      </c>
      <c r="L879" s="265" t="s">
        <v>1414</v>
      </c>
      <c r="M879" s="264">
        <v>2.0</v>
      </c>
      <c r="N879" s="270">
        <v>0.0</v>
      </c>
      <c r="O879" s="271">
        <v>121.62</v>
      </c>
      <c r="P879" s="271">
        <v>97.296</v>
      </c>
      <c r="Q879" s="272">
        <v>0.0</v>
      </c>
      <c r="R879" s="273">
        <v>97.296</v>
      </c>
      <c r="S879" s="273">
        <v>0.0</v>
      </c>
      <c r="T879" s="273">
        <v>121.62</v>
      </c>
      <c r="U879" s="274" t="s">
        <v>1415</v>
      </c>
      <c r="V879" s="286">
        <v>45417.91185185185</v>
      </c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</row>
    <row r="880">
      <c r="A880" s="276">
        <v>45417.0</v>
      </c>
      <c r="B880" s="252">
        <v>5640879.0</v>
      </c>
      <c r="C880" s="253" t="s">
        <v>82</v>
      </c>
      <c r="D880" s="253" t="s">
        <v>35</v>
      </c>
      <c r="E880" s="252">
        <v>4.313551743E9</v>
      </c>
      <c r="F880" s="253" t="s">
        <v>3054</v>
      </c>
      <c r="G880" s="276">
        <v>45469.0</v>
      </c>
      <c r="H880" s="277">
        <v>45473.0</v>
      </c>
      <c r="I880" s="278">
        <v>4.0</v>
      </c>
      <c r="J880" s="257" t="s">
        <v>78</v>
      </c>
      <c r="K880" s="253" t="s">
        <v>79</v>
      </c>
      <c r="L880" s="253" t="s">
        <v>2532</v>
      </c>
      <c r="M880" s="252">
        <v>2.0</v>
      </c>
      <c r="N880" s="258">
        <v>0.0</v>
      </c>
      <c r="O880" s="259">
        <v>171.9</v>
      </c>
      <c r="P880" s="259">
        <v>137.52</v>
      </c>
      <c r="Q880" s="262">
        <v>0.0</v>
      </c>
      <c r="R880" s="260">
        <v>550.08</v>
      </c>
      <c r="S880" s="260">
        <v>0.0</v>
      </c>
      <c r="T880" s="260">
        <v>687.6</v>
      </c>
      <c r="U880" s="261" t="s">
        <v>2534</v>
      </c>
      <c r="V880" s="279">
        <v>45417.798668981486</v>
      </c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</row>
    <row r="881">
      <c r="A881" s="276">
        <v>45417.0</v>
      </c>
      <c r="B881" s="252">
        <v>5639273.0</v>
      </c>
      <c r="C881" s="253" t="s">
        <v>82</v>
      </c>
      <c r="D881" s="253" t="s">
        <v>35</v>
      </c>
      <c r="E881" s="252">
        <v>4.998290198E9</v>
      </c>
      <c r="F881" s="253" t="s">
        <v>3056</v>
      </c>
      <c r="G881" s="276">
        <v>45471.0</v>
      </c>
      <c r="H881" s="277">
        <v>45473.0</v>
      </c>
      <c r="I881" s="278">
        <v>2.0</v>
      </c>
      <c r="J881" s="257" t="s">
        <v>78</v>
      </c>
      <c r="K881" s="253" t="s">
        <v>79</v>
      </c>
      <c r="L881" s="253" t="s">
        <v>1396</v>
      </c>
      <c r="M881" s="275">
        <v>2.0</v>
      </c>
      <c r="N881" s="258">
        <v>0.0</v>
      </c>
      <c r="O881" s="259">
        <v>142.1</v>
      </c>
      <c r="P881" s="259">
        <v>113.68</v>
      </c>
      <c r="Q881" s="262">
        <v>0.0</v>
      </c>
      <c r="R881" s="260">
        <v>227.36</v>
      </c>
      <c r="S881" s="260">
        <v>0.0</v>
      </c>
      <c r="T881" s="260">
        <v>284.2</v>
      </c>
      <c r="U881" s="261" t="s">
        <v>1398</v>
      </c>
      <c r="V881" s="279">
        <v>45417.46879629629</v>
      </c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</row>
    <row r="882">
      <c r="A882" s="210">
        <v>45417.0</v>
      </c>
      <c r="B882" s="166">
        <v>5640071.0</v>
      </c>
      <c r="C882" s="166" t="s">
        <v>82</v>
      </c>
      <c r="D882" s="166" t="s">
        <v>35</v>
      </c>
      <c r="E882" s="166">
        <v>4.867347086E9</v>
      </c>
      <c r="F882" s="166" t="s">
        <v>3059</v>
      </c>
      <c r="G882" s="210">
        <v>45472.0</v>
      </c>
      <c r="H882" s="287">
        <v>45475.0</v>
      </c>
      <c r="I882" s="168">
        <v>3.0</v>
      </c>
      <c r="J882" s="169" t="s">
        <v>78</v>
      </c>
      <c r="K882" s="166" t="s">
        <v>79</v>
      </c>
      <c r="L882" s="166" t="s">
        <v>1400</v>
      </c>
      <c r="M882" s="205">
        <v>3.0</v>
      </c>
      <c r="N882" s="170">
        <v>0.0</v>
      </c>
      <c r="O882" s="171">
        <v>168.79</v>
      </c>
      <c r="P882" s="171">
        <v>135.032</v>
      </c>
      <c r="Q882" s="172">
        <v>0.0</v>
      </c>
      <c r="R882" s="173">
        <v>405.096</v>
      </c>
      <c r="S882" s="173">
        <v>0.0</v>
      </c>
      <c r="T882" s="173">
        <v>506.37</v>
      </c>
      <c r="U882" s="174" t="s">
        <v>1401</v>
      </c>
      <c r="V882" s="288">
        <v>45417.634780092594</v>
      </c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</row>
    <row r="883">
      <c r="A883" s="210">
        <v>45417.0</v>
      </c>
      <c r="B883" s="166">
        <v>5640050.0</v>
      </c>
      <c r="C883" s="166" t="s">
        <v>82</v>
      </c>
      <c r="D883" s="166" t="s">
        <v>35</v>
      </c>
      <c r="E883" s="166">
        <v>4.831190678E9</v>
      </c>
      <c r="F883" s="166" t="s">
        <v>3062</v>
      </c>
      <c r="G883" s="210">
        <v>45554.0</v>
      </c>
      <c r="H883" s="287">
        <v>45557.0</v>
      </c>
      <c r="I883" s="168">
        <v>3.0</v>
      </c>
      <c r="J883" s="169" t="s">
        <v>87</v>
      </c>
      <c r="K883" s="166" t="s">
        <v>138</v>
      </c>
      <c r="L883" s="166" t="s">
        <v>1584</v>
      </c>
      <c r="M883" s="166">
        <v>2.0</v>
      </c>
      <c r="N883" s="170">
        <v>0.0</v>
      </c>
      <c r="O883" s="171">
        <v>146.01</v>
      </c>
      <c r="P883" s="171">
        <v>116.80799999999999</v>
      </c>
      <c r="Q883" s="172">
        <v>36.0</v>
      </c>
      <c r="R883" s="173">
        <v>350.424</v>
      </c>
      <c r="S883" s="173">
        <v>108.0</v>
      </c>
      <c r="T883" s="173">
        <v>546.03</v>
      </c>
      <c r="U883" s="174" t="s">
        <v>1585</v>
      </c>
      <c r="V883" s="288">
        <v>45417.63059027778</v>
      </c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</row>
    <row r="884">
      <c r="A884" s="210">
        <v>45418.0</v>
      </c>
      <c r="B884" s="166">
        <v>5642208.0</v>
      </c>
      <c r="C884" s="166" t="s">
        <v>82</v>
      </c>
      <c r="D884" s="166" t="s">
        <v>35</v>
      </c>
      <c r="E884" s="166">
        <v>4.640421222E9</v>
      </c>
      <c r="F884" s="166" t="s">
        <v>3065</v>
      </c>
      <c r="G884" s="210">
        <v>45423.0</v>
      </c>
      <c r="H884" s="287">
        <v>45425.0</v>
      </c>
      <c r="I884" s="168">
        <v>2.0</v>
      </c>
      <c r="J884" s="169" t="s">
        <v>78</v>
      </c>
      <c r="K884" s="166" t="s">
        <v>79</v>
      </c>
      <c r="L884" s="166" t="s">
        <v>1443</v>
      </c>
      <c r="M884" s="166">
        <v>2.0</v>
      </c>
      <c r="N884" s="170">
        <v>0.0</v>
      </c>
      <c r="O884" s="171">
        <v>155.21</v>
      </c>
      <c r="P884" s="171">
        <v>124.168</v>
      </c>
      <c r="Q884" s="169">
        <v>0.0</v>
      </c>
      <c r="R884" s="173">
        <v>248.336</v>
      </c>
      <c r="S884" s="173">
        <v>0.0</v>
      </c>
      <c r="T884" s="173">
        <v>310.42</v>
      </c>
      <c r="U884" s="174" t="s">
        <v>1444</v>
      </c>
      <c r="V884" s="288">
        <v>45418.309062500004</v>
      </c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</row>
    <row r="885">
      <c r="A885" s="210">
        <v>45418.0</v>
      </c>
      <c r="B885" s="166">
        <v>5643922.0</v>
      </c>
      <c r="C885" s="166" t="s">
        <v>82</v>
      </c>
      <c r="D885" s="166" t="s">
        <v>35</v>
      </c>
      <c r="E885" s="166">
        <v>4.731832623E9</v>
      </c>
      <c r="F885" s="166" t="s">
        <v>3068</v>
      </c>
      <c r="G885" s="210">
        <v>45424.0</v>
      </c>
      <c r="H885" s="287">
        <v>45426.0</v>
      </c>
      <c r="I885" s="168">
        <v>2.0</v>
      </c>
      <c r="J885" s="169" t="s">
        <v>111</v>
      </c>
      <c r="K885" s="166" t="s">
        <v>79</v>
      </c>
      <c r="L885" s="166" t="s">
        <v>1396</v>
      </c>
      <c r="M885" s="166">
        <v>2.0</v>
      </c>
      <c r="N885" s="170">
        <v>0.0</v>
      </c>
      <c r="O885" s="171">
        <v>160.61</v>
      </c>
      <c r="P885" s="171">
        <v>128.48800000000003</v>
      </c>
      <c r="Q885" s="172">
        <v>0.0</v>
      </c>
      <c r="R885" s="173">
        <v>256.97600000000006</v>
      </c>
      <c r="S885" s="173">
        <v>0.0</v>
      </c>
      <c r="T885" s="173">
        <v>321.22</v>
      </c>
      <c r="U885" s="201" t="s">
        <v>1398</v>
      </c>
      <c r="V885" s="288">
        <v>45418.64037037037</v>
      </c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</row>
    <row r="886">
      <c r="A886" s="210">
        <v>45418.0</v>
      </c>
      <c r="B886" s="166">
        <v>5645708.0</v>
      </c>
      <c r="C886" s="166" t="s">
        <v>82</v>
      </c>
      <c r="D886" s="166" t="s">
        <v>35</v>
      </c>
      <c r="E886" s="166">
        <v>4.64048126E9</v>
      </c>
      <c r="F886" s="166" t="s">
        <v>3070</v>
      </c>
      <c r="G886" s="210">
        <v>45486.0</v>
      </c>
      <c r="H886" s="287">
        <v>45488.0</v>
      </c>
      <c r="I886" s="168">
        <v>2.0</v>
      </c>
      <c r="J886" s="169" t="s">
        <v>111</v>
      </c>
      <c r="K886" s="166" t="s">
        <v>79</v>
      </c>
      <c r="L886" s="166" t="s">
        <v>1414</v>
      </c>
      <c r="M886" s="166">
        <v>1.0</v>
      </c>
      <c r="N886" s="170">
        <v>0.0</v>
      </c>
      <c r="O886" s="171">
        <v>157.55</v>
      </c>
      <c r="P886" s="171">
        <v>126.04000000000002</v>
      </c>
      <c r="Q886" s="172">
        <v>0.0</v>
      </c>
      <c r="R886" s="173">
        <v>252.08000000000004</v>
      </c>
      <c r="S886" s="173">
        <v>0.0</v>
      </c>
      <c r="T886" s="173">
        <v>668.76</v>
      </c>
      <c r="U886" s="174" t="s">
        <v>1415</v>
      </c>
      <c r="V886" s="288">
        <v>45418.96674768519</v>
      </c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</row>
    <row r="887">
      <c r="A887" s="276">
        <v>45418.0</v>
      </c>
      <c r="B887" s="252">
        <v>5645708.0</v>
      </c>
      <c r="C887" s="253" t="s">
        <v>82</v>
      </c>
      <c r="D887" s="253" t="s">
        <v>35</v>
      </c>
      <c r="E887" s="252">
        <v>4.64048126E9</v>
      </c>
      <c r="F887" s="253" t="s">
        <v>3070</v>
      </c>
      <c r="G887" s="276">
        <v>45486.0</v>
      </c>
      <c r="H887" s="277">
        <v>45488.0</v>
      </c>
      <c r="I887" s="278">
        <v>2.0</v>
      </c>
      <c r="J887" s="257" t="s">
        <v>111</v>
      </c>
      <c r="K887" s="253" t="s">
        <v>79</v>
      </c>
      <c r="L887" s="253" t="s">
        <v>1396</v>
      </c>
      <c r="M887" s="252">
        <v>1.0</v>
      </c>
      <c r="N887" s="258">
        <v>0.0</v>
      </c>
      <c r="O887" s="259">
        <v>176.83</v>
      </c>
      <c r="P887" s="259">
        <v>141.46400000000003</v>
      </c>
      <c r="Q887" s="262">
        <v>0.0</v>
      </c>
      <c r="R887" s="260">
        <v>282.92800000000005</v>
      </c>
      <c r="S887" s="260">
        <v>0.0</v>
      </c>
      <c r="T887" s="260">
        <v>668.76</v>
      </c>
      <c r="U887" s="261" t="s">
        <v>1398</v>
      </c>
      <c r="V887" s="279">
        <v>45418.96674768519</v>
      </c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</row>
    <row r="888">
      <c r="A888" s="210">
        <v>45418.0</v>
      </c>
      <c r="B888" s="166">
        <v>5643596.0</v>
      </c>
      <c r="C888" s="166" t="s">
        <v>82</v>
      </c>
      <c r="D888" s="166" t="s">
        <v>35</v>
      </c>
      <c r="E888" s="166">
        <v>4.584010622E9</v>
      </c>
      <c r="F888" s="166" t="s">
        <v>3075</v>
      </c>
      <c r="G888" s="210">
        <v>45516.0</v>
      </c>
      <c r="H888" s="287">
        <v>45518.0</v>
      </c>
      <c r="I888" s="168">
        <v>2.0</v>
      </c>
      <c r="J888" s="169" t="s">
        <v>78</v>
      </c>
      <c r="K888" s="166" t="s">
        <v>79</v>
      </c>
      <c r="L888" s="166" t="s">
        <v>1400</v>
      </c>
      <c r="M888" s="205">
        <v>2.0</v>
      </c>
      <c r="N888" s="170">
        <v>0.0</v>
      </c>
      <c r="O888" s="171">
        <v>199.32</v>
      </c>
      <c r="P888" s="171">
        <v>159.45600000000002</v>
      </c>
      <c r="Q888" s="172">
        <v>0.0</v>
      </c>
      <c r="R888" s="173">
        <v>318.91200000000003</v>
      </c>
      <c r="S888" s="173">
        <v>0.0</v>
      </c>
      <c r="T888" s="173">
        <v>398.64</v>
      </c>
      <c r="U888" s="174" t="s">
        <v>1401</v>
      </c>
      <c r="V888" s="288">
        <v>45418.58824074074</v>
      </c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</row>
    <row r="889">
      <c r="A889" s="289">
        <v>45418.0</v>
      </c>
      <c r="B889" s="290">
        <v>5644117.0</v>
      </c>
      <c r="C889" s="291" t="s">
        <v>82</v>
      </c>
      <c r="D889" s="291" t="s">
        <v>35</v>
      </c>
      <c r="E889" s="290">
        <v>4.818218611E9</v>
      </c>
      <c r="F889" s="291" t="s">
        <v>3078</v>
      </c>
      <c r="G889" s="303">
        <v>45647.0</v>
      </c>
      <c r="H889" s="360">
        <v>45649.0</v>
      </c>
      <c r="I889" s="293">
        <v>2.0</v>
      </c>
      <c r="J889" s="294" t="s">
        <v>87</v>
      </c>
      <c r="K889" s="291" t="s">
        <v>79</v>
      </c>
      <c r="L889" s="291" t="s">
        <v>1619</v>
      </c>
      <c r="M889" s="290">
        <v>2.0</v>
      </c>
      <c r="N889" s="295">
        <v>0.0</v>
      </c>
      <c r="O889" s="296">
        <v>213.0</v>
      </c>
      <c r="P889" s="296">
        <v>170.4</v>
      </c>
      <c r="Q889" s="301">
        <v>0.0</v>
      </c>
      <c r="R889" s="297">
        <v>340.8</v>
      </c>
      <c r="S889" s="297">
        <v>0.0</v>
      </c>
      <c r="T889" s="297">
        <v>1489.0</v>
      </c>
      <c r="U889" s="298" t="s">
        <v>1620</v>
      </c>
      <c r="V889" s="299">
        <v>45418.67576388889</v>
      </c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</row>
    <row r="890">
      <c r="A890" s="210">
        <v>45418.0</v>
      </c>
      <c r="B890" s="166">
        <v>5644117.0</v>
      </c>
      <c r="C890" s="166" t="s">
        <v>82</v>
      </c>
      <c r="D890" s="166" t="s">
        <v>35</v>
      </c>
      <c r="E890" s="166">
        <v>4.818218611E9</v>
      </c>
      <c r="F890" s="166" t="s">
        <v>3078</v>
      </c>
      <c r="G890" s="212">
        <v>45647.0</v>
      </c>
      <c r="H890" s="310">
        <v>45649.0</v>
      </c>
      <c r="I890" s="168">
        <v>2.0</v>
      </c>
      <c r="J890" s="169" t="s">
        <v>78</v>
      </c>
      <c r="K890" s="166" t="s">
        <v>79</v>
      </c>
      <c r="L890" s="166" t="s">
        <v>1619</v>
      </c>
      <c r="M890" s="205">
        <v>2.0</v>
      </c>
      <c r="N890" s="170">
        <v>0.0</v>
      </c>
      <c r="O890" s="171">
        <v>234.6</v>
      </c>
      <c r="P890" s="171">
        <v>187.68</v>
      </c>
      <c r="Q890" s="172">
        <v>0.0</v>
      </c>
      <c r="R890" s="173">
        <v>375.36</v>
      </c>
      <c r="S890" s="173">
        <v>0.0</v>
      </c>
      <c r="T890" s="173">
        <v>1489.0</v>
      </c>
      <c r="U890" s="174" t="s">
        <v>1620</v>
      </c>
      <c r="V890" s="288">
        <v>45418.67576388889</v>
      </c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</row>
    <row r="891">
      <c r="A891" s="210">
        <v>45418.0</v>
      </c>
      <c r="B891" s="166">
        <v>5644117.0</v>
      </c>
      <c r="C891" s="166" t="s">
        <v>89</v>
      </c>
      <c r="D891" s="166" t="s">
        <v>35</v>
      </c>
      <c r="E891" s="166">
        <v>4.818218611E9</v>
      </c>
      <c r="F891" s="166" t="s">
        <v>3078</v>
      </c>
      <c r="G891" s="212">
        <v>45647.0</v>
      </c>
      <c r="H891" s="310">
        <v>45649.0</v>
      </c>
      <c r="I891" s="168">
        <v>2.0</v>
      </c>
      <c r="J891" s="169" t="s">
        <v>114</v>
      </c>
      <c r="K891" s="166" t="s">
        <v>79</v>
      </c>
      <c r="L891" s="166" t="s">
        <v>1619</v>
      </c>
      <c r="M891" s="166">
        <v>1.0</v>
      </c>
      <c r="N891" s="170">
        <v>0.0</v>
      </c>
      <c r="O891" s="171">
        <v>0.0</v>
      </c>
      <c r="P891" s="171">
        <v>0.0</v>
      </c>
      <c r="Q891" s="172">
        <v>0.0</v>
      </c>
      <c r="R891" s="173">
        <v>0.0</v>
      </c>
      <c r="S891" s="173">
        <v>0.0</v>
      </c>
      <c r="T891" s="173">
        <v>0.0</v>
      </c>
      <c r="U891" s="201" t="s">
        <v>3083</v>
      </c>
      <c r="V891" s="288">
        <v>45418.67576388889</v>
      </c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</row>
    <row r="892">
      <c r="A892" s="276">
        <v>45419.0</v>
      </c>
      <c r="B892" s="252">
        <v>5648595.0</v>
      </c>
      <c r="C892" s="253" t="s">
        <v>75</v>
      </c>
      <c r="D892" s="253" t="s">
        <v>94</v>
      </c>
      <c r="E892" s="252">
        <v>5648595.0</v>
      </c>
      <c r="F892" s="253" t="s">
        <v>3085</v>
      </c>
      <c r="G892" s="276">
        <v>45419.0</v>
      </c>
      <c r="H892" s="277">
        <v>45420.0</v>
      </c>
      <c r="I892" s="278">
        <v>1.0</v>
      </c>
      <c r="J892" s="257" t="s">
        <v>1425</v>
      </c>
      <c r="K892" s="253" t="s">
        <v>1425</v>
      </c>
      <c r="L892" s="253" t="s">
        <v>1425</v>
      </c>
      <c r="M892" s="252">
        <v>1.0</v>
      </c>
      <c r="N892" s="258">
        <v>0.0</v>
      </c>
      <c r="O892" s="259">
        <v>150.0</v>
      </c>
      <c r="P892" s="259">
        <v>148.5</v>
      </c>
      <c r="Q892" s="262" t="e">
        <v>#NUM!</v>
      </c>
      <c r="R892" s="260">
        <v>148.5</v>
      </c>
      <c r="S892" s="260" t="e">
        <v>#NUM!</v>
      </c>
      <c r="T892" s="260">
        <v>150.0</v>
      </c>
      <c r="U892" s="261" t="s">
        <v>1428</v>
      </c>
      <c r="V892" s="279">
        <v>45419.74392361111</v>
      </c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</row>
    <row r="893">
      <c r="A893" s="210">
        <v>45419.0</v>
      </c>
      <c r="B893" s="166">
        <v>5647883.0</v>
      </c>
      <c r="C893" s="166" t="s">
        <v>82</v>
      </c>
      <c r="D893" s="166" t="s">
        <v>35</v>
      </c>
      <c r="E893" s="166">
        <v>4.547825938E9</v>
      </c>
      <c r="F893" s="166" t="s">
        <v>3088</v>
      </c>
      <c r="G893" s="210">
        <v>45426.0</v>
      </c>
      <c r="H893" s="287">
        <v>45427.0</v>
      </c>
      <c r="I893" s="168">
        <v>1.0</v>
      </c>
      <c r="J893" s="169" t="s">
        <v>78</v>
      </c>
      <c r="K893" s="166" t="s">
        <v>79</v>
      </c>
      <c r="L893" s="166" t="s">
        <v>1396</v>
      </c>
      <c r="M893" s="205">
        <v>1.0</v>
      </c>
      <c r="N893" s="170">
        <v>0.0</v>
      </c>
      <c r="O893" s="171">
        <v>130.42</v>
      </c>
      <c r="P893" s="171">
        <v>104.336</v>
      </c>
      <c r="Q893" s="172">
        <v>0.0</v>
      </c>
      <c r="R893" s="173">
        <v>104.336</v>
      </c>
      <c r="S893" s="173">
        <v>0.0</v>
      </c>
      <c r="T893" s="173">
        <v>130.42</v>
      </c>
      <c r="U893" s="174" t="s">
        <v>1398</v>
      </c>
      <c r="V893" s="288">
        <v>45419.61259259259</v>
      </c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</row>
    <row r="894">
      <c r="A894" s="210">
        <v>45419.0</v>
      </c>
      <c r="B894" s="166">
        <v>5647845.0</v>
      </c>
      <c r="C894" s="166" t="s">
        <v>82</v>
      </c>
      <c r="D894" s="166" t="s">
        <v>35</v>
      </c>
      <c r="E894" s="166">
        <v>4.999217724E9</v>
      </c>
      <c r="F894" s="166" t="s">
        <v>3093</v>
      </c>
      <c r="G894" s="210">
        <v>45439.0</v>
      </c>
      <c r="H894" s="287">
        <v>45440.0</v>
      </c>
      <c r="I894" s="168">
        <v>1.0</v>
      </c>
      <c r="J894" s="169" t="s">
        <v>87</v>
      </c>
      <c r="K894" s="166" t="s">
        <v>79</v>
      </c>
      <c r="L894" s="166" t="s">
        <v>1414</v>
      </c>
      <c r="M894" s="166">
        <v>2.0</v>
      </c>
      <c r="N894" s="170">
        <v>0.0</v>
      </c>
      <c r="O894" s="171">
        <v>141.55</v>
      </c>
      <c r="P894" s="171">
        <v>113.24000000000001</v>
      </c>
      <c r="Q894" s="172">
        <v>0.0</v>
      </c>
      <c r="R894" s="173">
        <v>113.24000000000001</v>
      </c>
      <c r="S894" s="173">
        <v>0.0</v>
      </c>
      <c r="T894" s="173">
        <v>141.55</v>
      </c>
      <c r="U894" s="201" t="s">
        <v>1415</v>
      </c>
      <c r="V894" s="288">
        <v>45419.60769675926</v>
      </c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</row>
    <row r="895">
      <c r="A895" s="280">
        <v>45419.0</v>
      </c>
      <c r="B895" s="264">
        <v>5647300.0</v>
      </c>
      <c r="C895" s="265" t="s">
        <v>82</v>
      </c>
      <c r="D895" s="265" t="s">
        <v>35</v>
      </c>
      <c r="E895" s="264">
        <v>4.387233485E9</v>
      </c>
      <c r="F895" s="265" t="s">
        <v>3095</v>
      </c>
      <c r="G895" s="280">
        <v>45442.0</v>
      </c>
      <c r="H895" s="281">
        <v>45443.0</v>
      </c>
      <c r="I895" s="282">
        <v>1.0</v>
      </c>
      <c r="J895" s="283" t="s">
        <v>78</v>
      </c>
      <c r="K895" s="265" t="s">
        <v>79</v>
      </c>
      <c r="L895" s="265" t="s">
        <v>1454</v>
      </c>
      <c r="M895" s="269">
        <v>2.0</v>
      </c>
      <c r="N895" s="270">
        <v>0.0</v>
      </c>
      <c r="O895" s="271">
        <v>171.9</v>
      </c>
      <c r="P895" s="271">
        <v>137.52</v>
      </c>
      <c r="Q895" s="272">
        <v>0.0</v>
      </c>
      <c r="R895" s="273">
        <v>137.52</v>
      </c>
      <c r="S895" s="273">
        <v>0.0</v>
      </c>
      <c r="T895" s="273">
        <v>171.9</v>
      </c>
      <c r="U895" s="274" t="s">
        <v>1455</v>
      </c>
      <c r="V895" s="286">
        <v>45419.51185185185</v>
      </c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</row>
    <row r="896">
      <c r="A896" s="210">
        <v>45419.0</v>
      </c>
      <c r="B896" s="166">
        <v>5649648.0</v>
      </c>
      <c r="C896" s="166" t="s">
        <v>82</v>
      </c>
      <c r="D896" s="166" t="s">
        <v>12</v>
      </c>
      <c r="E896" s="166" t="s">
        <v>3098</v>
      </c>
      <c r="F896" s="166" t="s">
        <v>3099</v>
      </c>
      <c r="G896" s="210">
        <v>45564.0</v>
      </c>
      <c r="H896" s="287">
        <v>45566.0</v>
      </c>
      <c r="I896" s="168">
        <v>2.0</v>
      </c>
      <c r="J896" s="169" t="s">
        <v>78</v>
      </c>
      <c r="K896" s="166" t="s">
        <v>79</v>
      </c>
      <c r="L896" s="166" t="s">
        <v>123</v>
      </c>
      <c r="M896" s="166">
        <v>2.0</v>
      </c>
      <c r="N896" s="169">
        <v>0.0</v>
      </c>
      <c r="O896" s="171">
        <v>196.56</v>
      </c>
      <c r="P896" s="171">
        <v>157.24800000000002</v>
      </c>
      <c r="Q896" s="169">
        <v>0.0</v>
      </c>
      <c r="R896" s="173">
        <v>314.49600000000004</v>
      </c>
      <c r="S896" s="173">
        <v>0.0</v>
      </c>
      <c r="T896" s="173">
        <v>393.12</v>
      </c>
      <c r="U896" s="174" t="s">
        <v>2416</v>
      </c>
      <c r="V896" s="288">
        <v>45419.93962962963</v>
      </c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</row>
    <row r="897">
      <c r="A897" s="210">
        <v>45420.0</v>
      </c>
      <c r="B897" s="166">
        <v>5653061.0</v>
      </c>
      <c r="C897" s="166" t="s">
        <v>82</v>
      </c>
      <c r="D897" s="166" t="s">
        <v>35</v>
      </c>
      <c r="E897" s="166">
        <v>4.515368441E9</v>
      </c>
      <c r="F897" s="166" t="s">
        <v>3101</v>
      </c>
      <c r="G897" s="210">
        <v>45597.0</v>
      </c>
      <c r="H897" s="287">
        <v>45602.0</v>
      </c>
      <c r="I897" s="168">
        <v>5.0</v>
      </c>
      <c r="J897" s="169" t="s">
        <v>78</v>
      </c>
      <c r="K897" s="166" t="s">
        <v>79</v>
      </c>
      <c r="L897" s="166" t="s">
        <v>1400</v>
      </c>
      <c r="M897" s="166">
        <v>1.0</v>
      </c>
      <c r="N897" s="169">
        <v>0.0</v>
      </c>
      <c r="O897" s="171">
        <v>193.4</v>
      </c>
      <c r="P897" s="171">
        <v>154.72000000000003</v>
      </c>
      <c r="Q897" s="169">
        <v>0.0</v>
      </c>
      <c r="R897" s="173">
        <v>773.6</v>
      </c>
      <c r="S897" s="173">
        <v>0.0</v>
      </c>
      <c r="T897" s="173">
        <v>967.0</v>
      </c>
      <c r="U897" s="174" t="s">
        <v>1401</v>
      </c>
      <c r="V897" s="288">
        <v>45420.79518518518</v>
      </c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</row>
    <row r="898">
      <c r="A898" s="276">
        <v>45421.0</v>
      </c>
      <c r="B898" s="252">
        <v>5655007.0</v>
      </c>
      <c r="C898" s="253" t="s">
        <v>82</v>
      </c>
      <c r="D898" s="253" t="s">
        <v>35</v>
      </c>
      <c r="E898" s="252">
        <v>4.368766584E9</v>
      </c>
      <c r="F898" s="253" t="s">
        <v>3012</v>
      </c>
      <c r="G898" s="276">
        <v>45427.0</v>
      </c>
      <c r="H898" s="277">
        <v>45428.0</v>
      </c>
      <c r="I898" s="278">
        <v>1.0</v>
      </c>
      <c r="J898" s="257" t="s">
        <v>78</v>
      </c>
      <c r="K898" s="253" t="s">
        <v>79</v>
      </c>
      <c r="L898" s="253" t="s">
        <v>1396</v>
      </c>
      <c r="M898" s="252">
        <v>2.0</v>
      </c>
      <c r="N898" s="258">
        <v>0.0</v>
      </c>
      <c r="O898" s="259">
        <v>169.33</v>
      </c>
      <c r="P898" s="259">
        <v>135.46400000000003</v>
      </c>
      <c r="Q898" s="262">
        <v>0.0</v>
      </c>
      <c r="R898" s="260">
        <v>135.46400000000003</v>
      </c>
      <c r="S898" s="260">
        <v>0.0</v>
      </c>
      <c r="T898" s="260">
        <v>169.33</v>
      </c>
      <c r="U898" s="261" t="s">
        <v>1398</v>
      </c>
      <c r="V898" s="279">
        <v>45421.43268518518</v>
      </c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</row>
    <row r="899">
      <c r="A899" s="276">
        <v>45421.0</v>
      </c>
      <c r="B899" s="252">
        <v>5654318.0</v>
      </c>
      <c r="C899" s="253" t="s">
        <v>82</v>
      </c>
      <c r="D899" s="253" t="s">
        <v>35</v>
      </c>
      <c r="E899" s="252">
        <v>4.472910705E9</v>
      </c>
      <c r="F899" s="253" t="s">
        <v>3105</v>
      </c>
      <c r="G899" s="276">
        <v>45435.0</v>
      </c>
      <c r="H899" s="277">
        <v>45436.0</v>
      </c>
      <c r="I899" s="278">
        <v>1.0</v>
      </c>
      <c r="J899" s="257" t="s">
        <v>78</v>
      </c>
      <c r="K899" s="253" t="s">
        <v>79</v>
      </c>
      <c r="L899" s="253" t="s">
        <v>1396</v>
      </c>
      <c r="M899" s="252">
        <v>2.0</v>
      </c>
      <c r="N899" s="258">
        <v>0.0</v>
      </c>
      <c r="O899" s="259">
        <v>169.33</v>
      </c>
      <c r="P899" s="259">
        <v>135.46400000000003</v>
      </c>
      <c r="Q899" s="262">
        <v>0.0</v>
      </c>
      <c r="R899" s="260">
        <v>135.46400000000003</v>
      </c>
      <c r="S899" s="260">
        <v>0.0</v>
      </c>
      <c r="T899" s="260">
        <v>169.33</v>
      </c>
      <c r="U899" s="261" t="s">
        <v>1398</v>
      </c>
      <c r="V899" s="279">
        <v>45421.23961805555</v>
      </c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</row>
    <row r="900">
      <c r="A900" s="280">
        <v>45421.0</v>
      </c>
      <c r="B900" s="264">
        <v>5656172.0</v>
      </c>
      <c r="C900" s="265" t="s">
        <v>82</v>
      </c>
      <c r="D900" s="265" t="s">
        <v>35</v>
      </c>
      <c r="E900" s="264">
        <v>4.447412983E9</v>
      </c>
      <c r="F900" s="265" t="s">
        <v>3107</v>
      </c>
      <c r="G900" s="280">
        <v>45450.0</v>
      </c>
      <c r="H900" s="281">
        <v>45452.0</v>
      </c>
      <c r="I900" s="282">
        <v>2.0</v>
      </c>
      <c r="J900" s="283" t="s">
        <v>111</v>
      </c>
      <c r="K900" s="265" t="s">
        <v>79</v>
      </c>
      <c r="L900" s="265" t="s">
        <v>1443</v>
      </c>
      <c r="M900" s="264">
        <v>2.0</v>
      </c>
      <c r="N900" s="270">
        <v>0.0</v>
      </c>
      <c r="O900" s="271">
        <v>163.5</v>
      </c>
      <c r="P900" s="271">
        <v>130.8</v>
      </c>
      <c r="Q900" s="272">
        <v>0.0</v>
      </c>
      <c r="R900" s="273">
        <v>261.6</v>
      </c>
      <c r="S900" s="273">
        <v>0.0</v>
      </c>
      <c r="T900" s="273">
        <v>327.0</v>
      </c>
      <c r="U900" s="274" t="s">
        <v>1444</v>
      </c>
      <c r="V900" s="286">
        <v>45421.652141203704</v>
      </c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</row>
    <row r="901">
      <c r="A901" s="280">
        <v>45421.0</v>
      </c>
      <c r="B901" s="264">
        <v>5655501.0</v>
      </c>
      <c r="C901" s="265" t="s">
        <v>82</v>
      </c>
      <c r="D901" s="265" t="s">
        <v>35</v>
      </c>
      <c r="E901" s="264">
        <v>4.486341076E9</v>
      </c>
      <c r="F901" s="265" t="s">
        <v>3108</v>
      </c>
      <c r="G901" s="280">
        <v>45532.0</v>
      </c>
      <c r="H901" s="281">
        <v>45539.0</v>
      </c>
      <c r="I901" s="282">
        <v>7.0</v>
      </c>
      <c r="J901" s="283" t="s">
        <v>78</v>
      </c>
      <c r="K901" s="265" t="s">
        <v>79</v>
      </c>
      <c r="L901" s="265" t="s">
        <v>1619</v>
      </c>
      <c r="M901" s="269">
        <v>2.0</v>
      </c>
      <c r="N901" s="270">
        <v>0.0</v>
      </c>
      <c r="O901" s="271">
        <v>156.48</v>
      </c>
      <c r="P901" s="271">
        <v>125.184</v>
      </c>
      <c r="Q901" s="272">
        <v>0.0</v>
      </c>
      <c r="R901" s="273">
        <v>876.288</v>
      </c>
      <c r="S901" s="273">
        <v>0.0</v>
      </c>
      <c r="T901" s="273">
        <v>1095.36</v>
      </c>
      <c r="U901" s="274" t="s">
        <v>1620</v>
      </c>
      <c r="V901" s="284">
        <v>45421.532696759255</v>
      </c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</row>
    <row r="902">
      <c r="A902" s="276">
        <v>45421.0</v>
      </c>
      <c r="B902" s="252">
        <v>5655864.0</v>
      </c>
      <c r="C902" s="253" t="s">
        <v>82</v>
      </c>
      <c r="D902" s="253" t="s">
        <v>35</v>
      </c>
      <c r="E902" s="252">
        <v>4.483672712E9</v>
      </c>
      <c r="F902" s="253" t="s">
        <v>3111</v>
      </c>
      <c r="G902" s="276">
        <v>45555.0</v>
      </c>
      <c r="H902" s="277">
        <v>45558.0</v>
      </c>
      <c r="I902" s="278">
        <v>3.0</v>
      </c>
      <c r="J902" s="257" t="s">
        <v>114</v>
      </c>
      <c r="K902" s="253" t="s">
        <v>79</v>
      </c>
      <c r="L902" s="253" t="s">
        <v>1396</v>
      </c>
      <c r="M902" s="275">
        <v>2.0</v>
      </c>
      <c r="N902" s="258">
        <v>0.0</v>
      </c>
      <c r="O902" s="259">
        <v>140.69</v>
      </c>
      <c r="P902" s="259">
        <v>112.552</v>
      </c>
      <c r="Q902" s="262">
        <v>0.0</v>
      </c>
      <c r="R902" s="260">
        <v>337.656</v>
      </c>
      <c r="S902" s="260">
        <v>0.0</v>
      </c>
      <c r="T902" s="260">
        <v>422.07</v>
      </c>
      <c r="U902" s="261" t="s">
        <v>1398</v>
      </c>
      <c r="V902" s="279">
        <v>45421.59171296297</v>
      </c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</row>
    <row r="903">
      <c r="A903" s="210">
        <v>45422.0</v>
      </c>
      <c r="B903" s="166">
        <v>5661222.0</v>
      </c>
      <c r="C903" s="166" t="s">
        <v>82</v>
      </c>
      <c r="D903" s="166" t="s">
        <v>35</v>
      </c>
      <c r="E903" s="166">
        <v>4.355025262E9</v>
      </c>
      <c r="F903" s="166" t="s">
        <v>3113</v>
      </c>
      <c r="G903" s="210">
        <v>45456.0</v>
      </c>
      <c r="H903" s="287">
        <v>45459.0</v>
      </c>
      <c r="I903" s="168">
        <v>3.0</v>
      </c>
      <c r="J903" s="169" t="s">
        <v>114</v>
      </c>
      <c r="K903" s="166" t="s">
        <v>79</v>
      </c>
      <c r="L903" s="166" t="s">
        <v>1396</v>
      </c>
      <c r="M903" s="166">
        <v>2.0</v>
      </c>
      <c r="N903" s="170">
        <v>0.0</v>
      </c>
      <c r="O903" s="171">
        <v>140.69</v>
      </c>
      <c r="P903" s="171">
        <v>112.552</v>
      </c>
      <c r="Q903" s="172">
        <v>0.0</v>
      </c>
      <c r="R903" s="173">
        <v>337.656</v>
      </c>
      <c r="S903" s="173">
        <v>0.0</v>
      </c>
      <c r="T903" s="173">
        <v>422.07</v>
      </c>
      <c r="U903" s="174" t="s">
        <v>1398</v>
      </c>
      <c r="V903" s="288">
        <v>45422.98128472222</v>
      </c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</row>
    <row r="904">
      <c r="A904" s="280">
        <v>45423.0</v>
      </c>
      <c r="B904" s="264">
        <v>5664498.0</v>
      </c>
      <c r="C904" s="265" t="s">
        <v>82</v>
      </c>
      <c r="D904" s="265" t="s">
        <v>94</v>
      </c>
      <c r="E904" s="265">
        <v>5664498.0</v>
      </c>
      <c r="F904" s="265" t="s">
        <v>1793</v>
      </c>
      <c r="G904" s="280">
        <v>45424.0</v>
      </c>
      <c r="H904" s="281">
        <v>45425.0</v>
      </c>
      <c r="I904" s="282">
        <v>1.0</v>
      </c>
      <c r="J904" s="283" t="s">
        <v>114</v>
      </c>
      <c r="K904" s="265" t="s">
        <v>79</v>
      </c>
      <c r="L904" s="265" t="s">
        <v>1462</v>
      </c>
      <c r="M904" s="264">
        <v>2.0</v>
      </c>
      <c r="N904" s="270">
        <v>0.0</v>
      </c>
      <c r="O904" s="271">
        <v>257.0</v>
      </c>
      <c r="P904" s="271">
        <v>254.43</v>
      </c>
      <c r="Q904" s="272">
        <v>0.0</v>
      </c>
      <c r="R904" s="273">
        <v>254.43</v>
      </c>
      <c r="S904" s="273">
        <v>0.0</v>
      </c>
      <c r="T904" s="273">
        <v>257.0</v>
      </c>
      <c r="U904" s="274" t="s">
        <v>1463</v>
      </c>
      <c r="V904" s="286">
        <v>45423.93640046296</v>
      </c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</row>
    <row r="905">
      <c r="A905" s="280">
        <v>45423.0</v>
      </c>
      <c r="B905" s="264">
        <v>5663792.0</v>
      </c>
      <c r="C905" s="265" t="s">
        <v>82</v>
      </c>
      <c r="D905" s="265" t="s">
        <v>35</v>
      </c>
      <c r="E905" s="264">
        <v>4.563557007E9</v>
      </c>
      <c r="F905" s="265" t="s">
        <v>3117</v>
      </c>
      <c r="G905" s="280">
        <v>45492.0</v>
      </c>
      <c r="H905" s="281">
        <v>45493.0</v>
      </c>
      <c r="I905" s="282">
        <v>1.0</v>
      </c>
      <c r="J905" s="283" t="s">
        <v>78</v>
      </c>
      <c r="K905" s="265" t="s">
        <v>138</v>
      </c>
      <c r="L905" s="265" t="s">
        <v>1584</v>
      </c>
      <c r="M905" s="269">
        <v>2.0</v>
      </c>
      <c r="N905" s="283">
        <v>0.0</v>
      </c>
      <c r="O905" s="271">
        <v>135.6</v>
      </c>
      <c r="P905" s="271">
        <v>108.48</v>
      </c>
      <c r="Q905" s="283">
        <v>36.0</v>
      </c>
      <c r="R905" s="273">
        <v>108.48</v>
      </c>
      <c r="S905" s="273">
        <v>36.0</v>
      </c>
      <c r="T905" s="273">
        <v>171.6</v>
      </c>
      <c r="U905" s="274" t="s">
        <v>1585</v>
      </c>
      <c r="V905" s="284">
        <v>45423.76949074074</v>
      </c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</row>
    <row r="906">
      <c r="A906" s="276">
        <v>45424.0</v>
      </c>
      <c r="B906" s="252">
        <v>5666223.0</v>
      </c>
      <c r="C906" s="253" t="s">
        <v>82</v>
      </c>
      <c r="D906" s="253" t="s">
        <v>35</v>
      </c>
      <c r="E906" s="252">
        <v>4.898896861E9</v>
      </c>
      <c r="F906" s="253" t="s">
        <v>3120</v>
      </c>
      <c r="G906" s="276">
        <v>45445.0</v>
      </c>
      <c r="H906" s="277">
        <v>45449.0</v>
      </c>
      <c r="I906" s="278">
        <v>4.0</v>
      </c>
      <c r="J906" s="257" t="s">
        <v>78</v>
      </c>
      <c r="K906" s="253" t="s">
        <v>79</v>
      </c>
      <c r="L906" s="253" t="s">
        <v>1396</v>
      </c>
      <c r="M906" s="275">
        <v>2.0</v>
      </c>
      <c r="N906" s="258">
        <v>0.0</v>
      </c>
      <c r="O906" s="259">
        <v>157.59</v>
      </c>
      <c r="P906" s="259">
        <v>126.072</v>
      </c>
      <c r="Q906" s="262">
        <v>0.0</v>
      </c>
      <c r="R906" s="260">
        <v>504.288</v>
      </c>
      <c r="S906" s="260">
        <v>0.0</v>
      </c>
      <c r="T906" s="260">
        <v>630.36</v>
      </c>
      <c r="U906" s="261" t="s">
        <v>1398</v>
      </c>
      <c r="V906" s="279">
        <v>45424.594502314816</v>
      </c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</row>
    <row r="907">
      <c r="A907" s="210">
        <v>45424.0</v>
      </c>
      <c r="B907" s="166">
        <v>5666914.0</v>
      </c>
      <c r="C907" s="166" t="s">
        <v>82</v>
      </c>
      <c r="D907" s="166" t="s">
        <v>35</v>
      </c>
      <c r="E907" s="166">
        <v>4.461173527E9</v>
      </c>
      <c r="F907" s="166" t="s">
        <v>3121</v>
      </c>
      <c r="G907" s="210">
        <v>45459.0</v>
      </c>
      <c r="H907" s="287">
        <v>45461.0</v>
      </c>
      <c r="I907" s="168">
        <v>2.0</v>
      </c>
      <c r="J907" s="169" t="s">
        <v>111</v>
      </c>
      <c r="K907" s="166" t="s">
        <v>79</v>
      </c>
      <c r="L907" s="166" t="s">
        <v>1400</v>
      </c>
      <c r="M907" s="166">
        <v>2.0</v>
      </c>
      <c r="N907" s="170">
        <v>0.0</v>
      </c>
      <c r="O907" s="171">
        <v>205.81</v>
      </c>
      <c r="P907" s="171">
        <v>164.64800000000002</v>
      </c>
      <c r="Q907" s="172">
        <v>0.0</v>
      </c>
      <c r="R907" s="173">
        <v>329.29600000000005</v>
      </c>
      <c r="S907" s="173">
        <v>0.0</v>
      </c>
      <c r="T907" s="173">
        <v>411.62</v>
      </c>
      <c r="U907" s="174" t="s">
        <v>1401</v>
      </c>
      <c r="V907" s="288">
        <v>45424.73337962963</v>
      </c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</row>
    <row r="908">
      <c r="A908" s="210">
        <v>45424.0</v>
      </c>
      <c r="B908" s="166">
        <v>5666725.0</v>
      </c>
      <c r="C908" s="166" t="s">
        <v>82</v>
      </c>
      <c r="D908" s="166" t="s">
        <v>35</v>
      </c>
      <c r="E908" s="166">
        <v>4.851479301E9</v>
      </c>
      <c r="F908" s="166" t="s">
        <v>3123</v>
      </c>
      <c r="G908" s="210">
        <v>45463.0</v>
      </c>
      <c r="H908" s="287">
        <v>45465.0</v>
      </c>
      <c r="I908" s="168">
        <v>2.0</v>
      </c>
      <c r="J908" s="169" t="s">
        <v>78</v>
      </c>
      <c r="K908" s="166" t="s">
        <v>79</v>
      </c>
      <c r="L908" s="166" t="s">
        <v>1396</v>
      </c>
      <c r="M908" s="205">
        <v>2.0</v>
      </c>
      <c r="N908" s="170">
        <v>0.0</v>
      </c>
      <c r="O908" s="171">
        <v>128.98</v>
      </c>
      <c r="P908" s="171">
        <v>103.184</v>
      </c>
      <c r="Q908" s="172">
        <v>0.0</v>
      </c>
      <c r="R908" s="173">
        <v>206.368</v>
      </c>
      <c r="S908" s="173">
        <v>0.0</v>
      </c>
      <c r="T908" s="173">
        <v>257.96</v>
      </c>
      <c r="U908" s="174" t="s">
        <v>1398</v>
      </c>
      <c r="V908" s="288">
        <v>45424.697280092594</v>
      </c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</row>
    <row r="909">
      <c r="A909" s="280">
        <v>45424.0</v>
      </c>
      <c r="B909" s="264">
        <v>5667096.0</v>
      </c>
      <c r="C909" s="265" t="s">
        <v>82</v>
      </c>
      <c r="D909" s="265" t="s">
        <v>35</v>
      </c>
      <c r="E909" s="264">
        <v>4.537761441E9</v>
      </c>
      <c r="F909" s="265" t="s">
        <v>3125</v>
      </c>
      <c r="G909" s="280">
        <v>45471.0</v>
      </c>
      <c r="H909" s="281">
        <v>45474.0</v>
      </c>
      <c r="I909" s="282">
        <v>3.0</v>
      </c>
      <c r="J909" s="283" t="s">
        <v>78</v>
      </c>
      <c r="K909" s="265" t="s">
        <v>79</v>
      </c>
      <c r="L909" s="265" t="s">
        <v>1443</v>
      </c>
      <c r="M909" s="269">
        <v>2.0</v>
      </c>
      <c r="N909" s="270">
        <v>0.0</v>
      </c>
      <c r="O909" s="271">
        <v>131.53</v>
      </c>
      <c r="P909" s="271">
        <v>105.224</v>
      </c>
      <c r="Q909" s="272">
        <v>0.0</v>
      </c>
      <c r="R909" s="273">
        <v>315.672</v>
      </c>
      <c r="S909" s="273">
        <v>0.0</v>
      </c>
      <c r="T909" s="273">
        <v>394.59</v>
      </c>
      <c r="U909" s="274" t="s">
        <v>1444</v>
      </c>
      <c r="V909" s="286">
        <v>45424.77086805555</v>
      </c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</row>
    <row r="910">
      <c r="A910" s="210">
        <v>45424.0</v>
      </c>
      <c r="B910" s="166">
        <v>5665167.0</v>
      </c>
      <c r="C910" s="166" t="s">
        <v>82</v>
      </c>
      <c r="D910" s="166" t="s">
        <v>35</v>
      </c>
      <c r="E910" s="166">
        <v>4.476032241E9</v>
      </c>
      <c r="F910" s="166" t="s">
        <v>3127</v>
      </c>
      <c r="G910" s="210">
        <v>45495.0</v>
      </c>
      <c r="H910" s="287">
        <v>45501.0</v>
      </c>
      <c r="I910" s="168">
        <v>6.0</v>
      </c>
      <c r="J910" s="169" t="s">
        <v>78</v>
      </c>
      <c r="K910" s="166" t="s">
        <v>138</v>
      </c>
      <c r="L910" s="166" t="s">
        <v>1584</v>
      </c>
      <c r="M910" s="166">
        <v>2.0</v>
      </c>
      <c r="N910" s="170">
        <v>0.0</v>
      </c>
      <c r="O910" s="171">
        <v>265.09999999999997</v>
      </c>
      <c r="P910" s="171">
        <v>212.07999999999998</v>
      </c>
      <c r="Q910" s="169">
        <v>36.0</v>
      </c>
      <c r="R910" s="173">
        <v>1272.48</v>
      </c>
      <c r="S910" s="173">
        <v>216.0</v>
      </c>
      <c r="T910" s="173">
        <v>1806.6</v>
      </c>
      <c r="U910" s="201" t="s">
        <v>1585</v>
      </c>
      <c r="V910" s="288">
        <v>45424.34101851852</v>
      </c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</row>
    <row r="911">
      <c r="A911" s="210">
        <v>45424.0</v>
      </c>
      <c r="B911" s="166">
        <v>5667245.0</v>
      </c>
      <c r="C911" s="166" t="s">
        <v>82</v>
      </c>
      <c r="D911" s="166" t="s">
        <v>35</v>
      </c>
      <c r="E911" s="166">
        <v>4.925673209E9</v>
      </c>
      <c r="F911" s="166" t="s">
        <v>3130</v>
      </c>
      <c r="G911" s="210">
        <v>45546.0</v>
      </c>
      <c r="H911" s="287">
        <v>45547.0</v>
      </c>
      <c r="I911" s="168">
        <v>1.0</v>
      </c>
      <c r="J911" s="169" t="s">
        <v>78</v>
      </c>
      <c r="K911" s="166" t="s">
        <v>138</v>
      </c>
      <c r="L911" s="166" t="s">
        <v>1584</v>
      </c>
      <c r="M911" s="166">
        <v>3.0</v>
      </c>
      <c r="N911" s="170">
        <v>0.0</v>
      </c>
      <c r="O911" s="171">
        <v>192.9</v>
      </c>
      <c r="P911" s="171">
        <v>154.32000000000002</v>
      </c>
      <c r="Q911" s="172">
        <v>54.0</v>
      </c>
      <c r="R911" s="173">
        <v>154.32000000000002</v>
      </c>
      <c r="S911" s="173">
        <v>54.0</v>
      </c>
      <c r="T911" s="173">
        <v>246.9</v>
      </c>
      <c r="U911" s="201" t="s">
        <v>1585</v>
      </c>
      <c r="V911" s="288">
        <v>45424.800057870365</v>
      </c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</row>
    <row r="912">
      <c r="A912" s="276">
        <v>45424.0</v>
      </c>
      <c r="B912" s="252">
        <v>5667376.0</v>
      </c>
      <c r="C912" s="253" t="s">
        <v>82</v>
      </c>
      <c r="D912" s="253" t="s">
        <v>35</v>
      </c>
      <c r="E912" s="252">
        <v>4.537785552E9</v>
      </c>
      <c r="F912" s="253" t="s">
        <v>3132</v>
      </c>
      <c r="G912" s="276">
        <v>45568.0</v>
      </c>
      <c r="H912" s="277">
        <v>45571.0</v>
      </c>
      <c r="I912" s="278">
        <v>3.0</v>
      </c>
      <c r="J912" s="257" t="s">
        <v>78</v>
      </c>
      <c r="K912" s="253" t="s">
        <v>79</v>
      </c>
      <c r="L912" s="253" t="s">
        <v>1396</v>
      </c>
      <c r="M912" s="252">
        <v>3.0</v>
      </c>
      <c r="N912" s="258">
        <v>0.0</v>
      </c>
      <c r="O912" s="259">
        <v>106.08999999999999</v>
      </c>
      <c r="P912" s="259">
        <v>84.872</v>
      </c>
      <c r="Q912" s="257">
        <v>0.0</v>
      </c>
      <c r="R912" s="260">
        <v>254.61599999999999</v>
      </c>
      <c r="S912" s="260">
        <v>0.0</v>
      </c>
      <c r="T912" s="260">
        <v>318.27</v>
      </c>
      <c r="U912" s="261" t="s">
        <v>1398</v>
      </c>
      <c r="V912" s="279">
        <v>45424.822962962964</v>
      </c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</row>
    <row r="913">
      <c r="A913" s="210">
        <v>45425.0</v>
      </c>
      <c r="B913" s="166">
        <v>5671698.0</v>
      </c>
      <c r="C913" s="166" t="s">
        <v>82</v>
      </c>
      <c r="D913" s="166" t="s">
        <v>35</v>
      </c>
      <c r="E913" s="166">
        <v>4.592483658E9</v>
      </c>
      <c r="F913" s="166" t="s">
        <v>3135</v>
      </c>
      <c r="G913" s="210">
        <v>45428.0</v>
      </c>
      <c r="H913" s="287">
        <v>45429.0</v>
      </c>
      <c r="I913" s="168">
        <v>1.0</v>
      </c>
      <c r="J913" s="169" t="s">
        <v>78</v>
      </c>
      <c r="K913" s="166" t="s">
        <v>79</v>
      </c>
      <c r="L913" s="166" t="s">
        <v>1396</v>
      </c>
      <c r="M913" s="166">
        <v>2.0</v>
      </c>
      <c r="N913" s="170">
        <v>0.0</v>
      </c>
      <c r="O913" s="171">
        <v>132.92</v>
      </c>
      <c r="P913" s="171">
        <v>106.336</v>
      </c>
      <c r="Q913" s="172">
        <v>0.0</v>
      </c>
      <c r="R913" s="173">
        <v>106.336</v>
      </c>
      <c r="S913" s="173">
        <v>0.0</v>
      </c>
      <c r="T913" s="173">
        <v>132.92</v>
      </c>
      <c r="U913" s="201" t="s">
        <v>1398</v>
      </c>
      <c r="V913" s="288">
        <v>45425.92086805556</v>
      </c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</row>
    <row r="914">
      <c r="A914" s="210">
        <v>45425.0</v>
      </c>
      <c r="B914" s="166">
        <v>5671788.0</v>
      </c>
      <c r="C914" s="166" t="s">
        <v>82</v>
      </c>
      <c r="D914" s="166" t="s">
        <v>35</v>
      </c>
      <c r="E914" s="166">
        <v>4.446185992E9</v>
      </c>
      <c r="F914" s="166" t="s">
        <v>3137</v>
      </c>
      <c r="G914" s="210">
        <v>45432.0</v>
      </c>
      <c r="H914" s="287">
        <v>45436.0</v>
      </c>
      <c r="I914" s="168">
        <v>4.0</v>
      </c>
      <c r="J914" s="169" t="s">
        <v>78</v>
      </c>
      <c r="K914" s="166" t="s">
        <v>79</v>
      </c>
      <c r="L914" s="166" t="s">
        <v>1396</v>
      </c>
      <c r="M914" s="205">
        <v>2.0</v>
      </c>
      <c r="N914" s="170">
        <v>0.0</v>
      </c>
      <c r="O914" s="171">
        <v>179.95</v>
      </c>
      <c r="P914" s="171">
        <v>143.96</v>
      </c>
      <c r="Q914" s="172">
        <v>0.0</v>
      </c>
      <c r="R914" s="173">
        <v>575.84</v>
      </c>
      <c r="S914" s="173">
        <v>0.0</v>
      </c>
      <c r="T914" s="173">
        <v>719.8</v>
      </c>
      <c r="U914" s="174" t="s">
        <v>1398</v>
      </c>
      <c r="V914" s="288">
        <v>45425.938935185186</v>
      </c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</row>
    <row r="915">
      <c r="A915" s="276">
        <v>45425.0</v>
      </c>
      <c r="B915" s="252">
        <v>5668244.0</v>
      </c>
      <c r="C915" s="253" t="s">
        <v>82</v>
      </c>
      <c r="D915" s="253" t="s">
        <v>35</v>
      </c>
      <c r="E915" s="252">
        <v>4.649074522E9</v>
      </c>
      <c r="F915" s="253" t="s">
        <v>3139</v>
      </c>
      <c r="G915" s="276">
        <v>45440.0</v>
      </c>
      <c r="H915" s="277">
        <v>45441.0</v>
      </c>
      <c r="I915" s="278">
        <v>1.0</v>
      </c>
      <c r="J915" s="257" t="s">
        <v>87</v>
      </c>
      <c r="K915" s="253" t="s">
        <v>79</v>
      </c>
      <c r="L915" s="253" t="s">
        <v>1454</v>
      </c>
      <c r="M915" s="275">
        <v>2.0</v>
      </c>
      <c r="N915" s="258">
        <v>0.0</v>
      </c>
      <c r="O915" s="259">
        <v>145.89</v>
      </c>
      <c r="P915" s="259">
        <v>116.71199999999999</v>
      </c>
      <c r="Q915" s="262">
        <v>0.0</v>
      </c>
      <c r="R915" s="260">
        <v>116.71199999999999</v>
      </c>
      <c r="S915" s="260">
        <v>0.0</v>
      </c>
      <c r="T915" s="273">
        <v>145.89</v>
      </c>
      <c r="U915" s="274" t="s">
        <v>1455</v>
      </c>
      <c r="V915" s="284">
        <v>45425.07989583333</v>
      </c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</row>
    <row r="916">
      <c r="A916" s="289">
        <v>45426.0</v>
      </c>
      <c r="B916" s="290">
        <v>5675315.0</v>
      </c>
      <c r="C916" s="291" t="s">
        <v>82</v>
      </c>
      <c r="D916" s="291" t="s">
        <v>35</v>
      </c>
      <c r="E916" s="290">
        <v>4.386629417E9</v>
      </c>
      <c r="F916" s="291" t="s">
        <v>3142</v>
      </c>
      <c r="G916" s="303">
        <v>45584.0</v>
      </c>
      <c r="H916" s="360">
        <v>45588.0</v>
      </c>
      <c r="I916" s="293">
        <v>4.0</v>
      </c>
      <c r="J916" s="294" t="s">
        <v>78</v>
      </c>
      <c r="K916" s="291" t="s">
        <v>79</v>
      </c>
      <c r="L916" s="291" t="s">
        <v>1400</v>
      </c>
      <c r="M916" s="290">
        <v>2.0</v>
      </c>
      <c r="N916" s="295">
        <v>0.0</v>
      </c>
      <c r="O916" s="296">
        <v>130.89</v>
      </c>
      <c r="P916" s="296">
        <v>104.71199999999999</v>
      </c>
      <c r="Q916" s="301">
        <v>0.0</v>
      </c>
      <c r="R916" s="297">
        <v>418.84799999999996</v>
      </c>
      <c r="S916" s="297">
        <v>0.0</v>
      </c>
      <c r="T916" s="297">
        <v>523.56</v>
      </c>
      <c r="U916" s="298" t="s">
        <v>1401</v>
      </c>
      <c r="V916" s="299">
        <v>45426.87503472222</v>
      </c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</row>
    <row r="917">
      <c r="A917" s="210">
        <v>45427.0</v>
      </c>
      <c r="B917" s="166">
        <v>5676344.0</v>
      </c>
      <c r="C917" s="166" t="s">
        <v>82</v>
      </c>
      <c r="D917" s="166" t="s">
        <v>35</v>
      </c>
      <c r="E917" s="166">
        <v>4.975549551E9</v>
      </c>
      <c r="F917" s="166" t="s">
        <v>3145</v>
      </c>
      <c r="G917" s="210">
        <v>45432.0</v>
      </c>
      <c r="H917" s="287">
        <v>45434.0</v>
      </c>
      <c r="I917" s="168">
        <v>2.0</v>
      </c>
      <c r="J917" s="169" t="s">
        <v>111</v>
      </c>
      <c r="K917" s="166" t="s">
        <v>79</v>
      </c>
      <c r="L917" s="166" t="s">
        <v>1396</v>
      </c>
      <c r="M917" s="166">
        <v>2.0</v>
      </c>
      <c r="N917" s="170">
        <v>0.0</v>
      </c>
      <c r="O917" s="171">
        <v>161.45</v>
      </c>
      <c r="P917" s="171">
        <v>129.16</v>
      </c>
      <c r="Q917" s="172">
        <v>0.0</v>
      </c>
      <c r="R917" s="173">
        <v>258.32</v>
      </c>
      <c r="S917" s="173">
        <v>0.0</v>
      </c>
      <c r="T917" s="173">
        <v>322.9</v>
      </c>
      <c r="U917" s="174" t="s">
        <v>1398</v>
      </c>
      <c r="V917" s="288">
        <v>45427.31115740741</v>
      </c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</row>
    <row r="918">
      <c r="A918" s="280">
        <v>45427.0</v>
      </c>
      <c r="B918" s="264">
        <v>5679725.0</v>
      </c>
      <c r="C918" s="265" t="s">
        <v>82</v>
      </c>
      <c r="D918" s="265" t="s">
        <v>35</v>
      </c>
      <c r="E918" s="264">
        <v>4.381056038E9</v>
      </c>
      <c r="F918" s="265" t="s">
        <v>3147</v>
      </c>
      <c r="G918" s="280">
        <v>45441.0</v>
      </c>
      <c r="H918" s="281">
        <v>45442.0</v>
      </c>
      <c r="I918" s="282">
        <v>1.0</v>
      </c>
      <c r="J918" s="283" t="s">
        <v>78</v>
      </c>
      <c r="K918" s="265" t="s">
        <v>79</v>
      </c>
      <c r="L918" s="265" t="s">
        <v>1443</v>
      </c>
      <c r="M918" s="264">
        <v>1.0</v>
      </c>
      <c r="N918" s="270">
        <v>0.0</v>
      </c>
      <c r="O918" s="271">
        <v>130.42</v>
      </c>
      <c r="P918" s="271">
        <v>104.336</v>
      </c>
      <c r="Q918" s="272">
        <v>0.0</v>
      </c>
      <c r="R918" s="273">
        <v>104.336</v>
      </c>
      <c r="S918" s="273">
        <v>0.0</v>
      </c>
      <c r="T918" s="273">
        <v>260.84</v>
      </c>
      <c r="U918" s="274" t="s">
        <v>1444</v>
      </c>
      <c r="V918" s="284">
        <v>45428.0153125</v>
      </c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</row>
    <row r="919">
      <c r="A919" s="280">
        <v>45427.0</v>
      </c>
      <c r="B919" s="264">
        <v>5679725.0</v>
      </c>
      <c r="C919" s="265" t="s">
        <v>82</v>
      </c>
      <c r="D919" s="265" t="s">
        <v>35</v>
      </c>
      <c r="E919" s="265">
        <v>4.381056038E9</v>
      </c>
      <c r="F919" s="265" t="s">
        <v>3147</v>
      </c>
      <c r="G919" s="280">
        <v>45441.0</v>
      </c>
      <c r="H919" s="281">
        <v>45442.0</v>
      </c>
      <c r="I919" s="282">
        <v>1.0</v>
      </c>
      <c r="J919" s="283" t="s">
        <v>78</v>
      </c>
      <c r="K919" s="265" t="s">
        <v>79</v>
      </c>
      <c r="L919" s="265" t="s">
        <v>1443</v>
      </c>
      <c r="M919" s="264">
        <v>1.0</v>
      </c>
      <c r="N919" s="270">
        <v>0.0</v>
      </c>
      <c r="O919" s="271">
        <v>130.42</v>
      </c>
      <c r="P919" s="271">
        <v>104.336</v>
      </c>
      <c r="Q919" s="272">
        <v>0.0</v>
      </c>
      <c r="R919" s="273">
        <v>104.336</v>
      </c>
      <c r="S919" s="273">
        <v>0.0</v>
      </c>
      <c r="T919" s="273">
        <v>260.84</v>
      </c>
      <c r="U919" s="274" t="s">
        <v>1444</v>
      </c>
      <c r="V919" s="286">
        <v>45428.0153125</v>
      </c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</row>
    <row r="920">
      <c r="A920" s="280">
        <v>45427.0</v>
      </c>
      <c r="B920" s="264">
        <v>5679177.0</v>
      </c>
      <c r="C920" s="265" t="s">
        <v>82</v>
      </c>
      <c r="D920" s="265" t="s">
        <v>35</v>
      </c>
      <c r="E920" s="264">
        <v>4.975533399E9</v>
      </c>
      <c r="F920" s="265" t="s">
        <v>3151</v>
      </c>
      <c r="G920" s="305">
        <v>45575.0</v>
      </c>
      <c r="H920" s="313">
        <v>45578.0</v>
      </c>
      <c r="I920" s="282">
        <v>3.0</v>
      </c>
      <c r="J920" s="283" t="s">
        <v>114</v>
      </c>
      <c r="K920" s="265" t="s">
        <v>79</v>
      </c>
      <c r="L920" s="265" t="s">
        <v>1396</v>
      </c>
      <c r="M920" s="269">
        <v>2.0</v>
      </c>
      <c r="N920" s="270">
        <v>0.0</v>
      </c>
      <c r="O920" s="271">
        <v>125.46</v>
      </c>
      <c r="P920" s="271">
        <v>100.368</v>
      </c>
      <c r="Q920" s="272">
        <v>0.0</v>
      </c>
      <c r="R920" s="273">
        <v>301.104</v>
      </c>
      <c r="S920" s="273">
        <v>0.0</v>
      </c>
      <c r="T920" s="273">
        <v>376.38</v>
      </c>
      <c r="U920" s="274" t="s">
        <v>1398</v>
      </c>
      <c r="V920" s="284">
        <v>45427.8675</v>
      </c>
      <c r="W920" s="36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</row>
    <row r="921">
      <c r="A921" s="280">
        <v>45427.0</v>
      </c>
      <c r="B921" s="264">
        <v>5677276.0</v>
      </c>
      <c r="C921" s="265" t="s">
        <v>82</v>
      </c>
      <c r="D921" s="265" t="s">
        <v>94</v>
      </c>
      <c r="E921" s="264">
        <v>5677276.0</v>
      </c>
      <c r="F921" s="265" t="s">
        <v>3153</v>
      </c>
      <c r="G921" s="280">
        <v>45604.0</v>
      </c>
      <c r="H921" s="313">
        <v>45607.0</v>
      </c>
      <c r="I921" s="282">
        <v>3.0</v>
      </c>
      <c r="J921" s="283" t="s">
        <v>78</v>
      </c>
      <c r="K921" s="265" t="s">
        <v>79</v>
      </c>
      <c r="L921" s="265" t="s">
        <v>1601</v>
      </c>
      <c r="M921" s="269">
        <v>2.0</v>
      </c>
      <c r="N921" s="283">
        <v>0.0</v>
      </c>
      <c r="O921" s="271">
        <v>161.0</v>
      </c>
      <c r="P921" s="271">
        <v>159.39</v>
      </c>
      <c r="Q921" s="283">
        <v>0.0</v>
      </c>
      <c r="R921" s="273">
        <v>478.17</v>
      </c>
      <c r="S921" s="273">
        <v>0.0</v>
      </c>
      <c r="T921" s="273">
        <v>1074.0</v>
      </c>
      <c r="U921" s="274" t="s">
        <v>1602</v>
      </c>
      <c r="V921" s="284">
        <v>45427.51946759259</v>
      </c>
      <c r="W921" s="36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</row>
    <row r="922">
      <c r="A922" s="210">
        <v>45427.0</v>
      </c>
      <c r="B922" s="166">
        <v>5677276.0</v>
      </c>
      <c r="C922" s="166" t="s">
        <v>82</v>
      </c>
      <c r="D922" s="166" t="s">
        <v>94</v>
      </c>
      <c r="E922" s="166">
        <v>5677276.0</v>
      </c>
      <c r="F922" s="166" t="s">
        <v>3153</v>
      </c>
      <c r="G922" s="210">
        <v>45604.0</v>
      </c>
      <c r="H922" s="310">
        <v>45607.0</v>
      </c>
      <c r="I922" s="168">
        <v>3.0</v>
      </c>
      <c r="J922" s="169" t="s">
        <v>111</v>
      </c>
      <c r="K922" s="166" t="s">
        <v>79</v>
      </c>
      <c r="L922" s="166" t="s">
        <v>1601</v>
      </c>
      <c r="M922" s="166">
        <v>2.0</v>
      </c>
      <c r="N922" s="170">
        <v>0.0</v>
      </c>
      <c r="O922" s="171">
        <v>197.0</v>
      </c>
      <c r="P922" s="171">
        <v>195.03</v>
      </c>
      <c r="Q922" s="172">
        <v>0.0</v>
      </c>
      <c r="R922" s="173">
        <v>585.09</v>
      </c>
      <c r="S922" s="173">
        <v>0.0</v>
      </c>
      <c r="T922" s="173">
        <v>1074.0</v>
      </c>
      <c r="U922" s="201" t="s">
        <v>1602</v>
      </c>
      <c r="V922" s="288">
        <v>45427.51946759259</v>
      </c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</row>
    <row r="923">
      <c r="A923" s="280">
        <v>45428.0</v>
      </c>
      <c r="B923" s="264">
        <v>5682114.0</v>
      </c>
      <c r="C923" s="265" t="s">
        <v>82</v>
      </c>
      <c r="D923" s="265" t="s">
        <v>35</v>
      </c>
      <c r="E923" s="264">
        <v>4.934975789E9</v>
      </c>
      <c r="F923" s="265" t="s">
        <v>3158</v>
      </c>
      <c r="G923" s="280">
        <v>45468.0</v>
      </c>
      <c r="H923" s="281">
        <v>45472.0</v>
      </c>
      <c r="I923" s="282">
        <v>4.0</v>
      </c>
      <c r="J923" s="283" t="s">
        <v>78</v>
      </c>
      <c r="K923" s="265" t="s">
        <v>79</v>
      </c>
      <c r="L923" s="265" t="s">
        <v>1454</v>
      </c>
      <c r="M923" s="269">
        <v>2.0</v>
      </c>
      <c r="N923" s="270">
        <v>0.0</v>
      </c>
      <c r="O923" s="271">
        <v>159.98</v>
      </c>
      <c r="P923" s="271">
        <v>127.984</v>
      </c>
      <c r="Q923" s="272">
        <v>0.0</v>
      </c>
      <c r="R923" s="273">
        <v>511.936</v>
      </c>
      <c r="S923" s="273">
        <v>0.0</v>
      </c>
      <c r="T923" s="273">
        <v>639.92</v>
      </c>
      <c r="U923" s="274" t="s">
        <v>1455</v>
      </c>
      <c r="V923" s="284">
        <v>45428.677824074075</v>
      </c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</row>
    <row r="924">
      <c r="A924" s="210">
        <v>45428.0</v>
      </c>
      <c r="B924" s="166">
        <v>5683191.0</v>
      </c>
      <c r="C924" s="166" t="s">
        <v>82</v>
      </c>
      <c r="D924" s="166" t="s">
        <v>35</v>
      </c>
      <c r="E924" s="166">
        <v>4.737239189E9</v>
      </c>
      <c r="F924" s="166" t="s">
        <v>3160</v>
      </c>
      <c r="G924" s="212">
        <v>45588.0</v>
      </c>
      <c r="H924" s="310">
        <v>45593.0</v>
      </c>
      <c r="I924" s="168">
        <v>5.0</v>
      </c>
      <c r="J924" s="169" t="s">
        <v>78</v>
      </c>
      <c r="K924" s="166" t="s">
        <v>79</v>
      </c>
      <c r="L924" s="166" t="s">
        <v>1396</v>
      </c>
      <c r="M924" s="205">
        <v>2.0</v>
      </c>
      <c r="N924" s="170">
        <v>0.0</v>
      </c>
      <c r="O924" s="171">
        <v>103.59</v>
      </c>
      <c r="P924" s="171">
        <v>82.87200000000001</v>
      </c>
      <c r="Q924" s="172">
        <v>0.0</v>
      </c>
      <c r="R924" s="173">
        <v>414.36000000000007</v>
      </c>
      <c r="S924" s="173">
        <v>0.0</v>
      </c>
      <c r="T924" s="173">
        <v>517.95</v>
      </c>
      <c r="U924" s="174" t="s">
        <v>1398</v>
      </c>
      <c r="V924" s="288">
        <v>45428.911145833335</v>
      </c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</row>
    <row r="925">
      <c r="A925" s="280">
        <v>45429.0</v>
      </c>
      <c r="B925" s="264">
        <v>5686925.0</v>
      </c>
      <c r="C925" s="265" t="s">
        <v>82</v>
      </c>
      <c r="D925" s="265" t="s">
        <v>35</v>
      </c>
      <c r="E925" s="264">
        <v>4.45517474E9</v>
      </c>
      <c r="F925" s="265" t="s">
        <v>3162</v>
      </c>
      <c r="G925" s="280">
        <v>45433.0</v>
      </c>
      <c r="H925" s="281">
        <v>45434.0</v>
      </c>
      <c r="I925" s="282">
        <v>1.0</v>
      </c>
      <c r="J925" s="283" t="s">
        <v>78</v>
      </c>
      <c r="K925" s="265" t="s">
        <v>79</v>
      </c>
      <c r="L925" s="265" t="s">
        <v>1396</v>
      </c>
      <c r="M925" s="269">
        <v>2.0</v>
      </c>
      <c r="N925" s="270">
        <v>0.0</v>
      </c>
      <c r="O925" s="271">
        <v>133.76</v>
      </c>
      <c r="P925" s="271">
        <v>107.008</v>
      </c>
      <c r="Q925" s="272">
        <v>0.0</v>
      </c>
      <c r="R925" s="273">
        <v>107.008</v>
      </c>
      <c r="S925" s="273">
        <v>0.0</v>
      </c>
      <c r="T925" s="273">
        <v>133.76</v>
      </c>
      <c r="U925" s="274" t="s">
        <v>1398</v>
      </c>
      <c r="V925" s="286">
        <v>45430.04101851852</v>
      </c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</row>
    <row r="926">
      <c r="A926" s="210">
        <v>45429.0</v>
      </c>
      <c r="B926" s="166">
        <v>5685149.0</v>
      </c>
      <c r="C926" s="166" t="s">
        <v>82</v>
      </c>
      <c r="D926" s="166" t="s">
        <v>35</v>
      </c>
      <c r="E926" s="166">
        <v>4.982986823E9</v>
      </c>
      <c r="F926" s="166" t="s">
        <v>3164</v>
      </c>
      <c r="G926" s="210">
        <v>45445.0</v>
      </c>
      <c r="H926" s="287">
        <v>45446.0</v>
      </c>
      <c r="I926" s="168">
        <v>1.0</v>
      </c>
      <c r="J926" s="169" t="s">
        <v>78</v>
      </c>
      <c r="K926" s="166" t="s">
        <v>79</v>
      </c>
      <c r="L926" s="166" t="s">
        <v>1396</v>
      </c>
      <c r="M926" s="166">
        <v>2.0</v>
      </c>
      <c r="N926" s="170">
        <v>0.0</v>
      </c>
      <c r="O926" s="171">
        <v>128.98</v>
      </c>
      <c r="P926" s="171">
        <v>103.184</v>
      </c>
      <c r="Q926" s="172">
        <v>0.0</v>
      </c>
      <c r="R926" s="173">
        <v>103.184</v>
      </c>
      <c r="S926" s="173">
        <v>0.0</v>
      </c>
      <c r="T926" s="173">
        <v>128.98</v>
      </c>
      <c r="U926" s="174" t="s">
        <v>1398</v>
      </c>
      <c r="V926" s="288">
        <v>45429.58961805556</v>
      </c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</row>
    <row r="927">
      <c r="A927" s="210">
        <v>45430.0</v>
      </c>
      <c r="B927" s="166">
        <v>5687954.0</v>
      </c>
      <c r="C927" s="166" t="s">
        <v>82</v>
      </c>
      <c r="D927" s="166" t="s">
        <v>35</v>
      </c>
      <c r="E927" s="166">
        <v>4.353547596E9</v>
      </c>
      <c r="F927" s="166" t="s">
        <v>3165</v>
      </c>
      <c r="G927" s="210">
        <v>45456.0</v>
      </c>
      <c r="H927" s="287">
        <v>45457.0</v>
      </c>
      <c r="I927" s="168">
        <v>1.0</v>
      </c>
      <c r="J927" s="169" t="s">
        <v>114</v>
      </c>
      <c r="K927" s="166" t="s">
        <v>79</v>
      </c>
      <c r="L927" s="166" t="s">
        <v>1396</v>
      </c>
      <c r="M927" s="205">
        <v>2.0</v>
      </c>
      <c r="N927" s="170">
        <v>0.0</v>
      </c>
      <c r="O927" s="171">
        <v>175.91</v>
      </c>
      <c r="P927" s="171">
        <v>140.728</v>
      </c>
      <c r="Q927" s="172">
        <v>0.0</v>
      </c>
      <c r="R927" s="173">
        <v>140.728</v>
      </c>
      <c r="S927" s="173">
        <v>0.0</v>
      </c>
      <c r="T927" s="173">
        <v>175.91</v>
      </c>
      <c r="U927" s="174" t="s">
        <v>1398</v>
      </c>
      <c r="V927" s="288">
        <v>45430.47990740741</v>
      </c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</row>
    <row r="928">
      <c r="A928" s="280">
        <v>45430.0</v>
      </c>
      <c r="B928" s="264">
        <v>5688005.0</v>
      </c>
      <c r="C928" s="265" t="s">
        <v>82</v>
      </c>
      <c r="D928" s="265" t="s">
        <v>94</v>
      </c>
      <c r="E928" s="265">
        <v>5688005.0</v>
      </c>
      <c r="F928" s="265" t="s">
        <v>3166</v>
      </c>
      <c r="G928" s="280">
        <v>45460.0</v>
      </c>
      <c r="H928" s="281">
        <v>45461.0</v>
      </c>
      <c r="I928" s="282">
        <v>1.0</v>
      </c>
      <c r="J928" s="283" t="s">
        <v>78</v>
      </c>
      <c r="K928" s="265" t="s">
        <v>79</v>
      </c>
      <c r="L928" s="265" t="s">
        <v>1811</v>
      </c>
      <c r="M928" s="269">
        <v>2.0</v>
      </c>
      <c r="N928" s="270">
        <v>0.0</v>
      </c>
      <c r="O928" s="271">
        <v>203.0</v>
      </c>
      <c r="P928" s="271">
        <v>200.97</v>
      </c>
      <c r="Q928" s="272">
        <v>0.0</v>
      </c>
      <c r="R928" s="273">
        <v>200.97</v>
      </c>
      <c r="S928" s="273">
        <v>0.0</v>
      </c>
      <c r="T928" s="273">
        <v>203.0</v>
      </c>
      <c r="U928" s="274" t="s">
        <v>1812</v>
      </c>
      <c r="V928" s="286">
        <v>45430.493935185186</v>
      </c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</row>
    <row r="929">
      <c r="A929" s="280">
        <v>45430.0</v>
      </c>
      <c r="B929" s="264">
        <v>5688488.0</v>
      </c>
      <c r="C929" s="265" t="s">
        <v>82</v>
      </c>
      <c r="D929" s="265" t="s">
        <v>35</v>
      </c>
      <c r="E929" s="264">
        <v>4.584890371E9</v>
      </c>
      <c r="F929" s="265" t="s">
        <v>3167</v>
      </c>
      <c r="G929" s="280">
        <v>45460.0</v>
      </c>
      <c r="H929" s="281">
        <v>45462.0</v>
      </c>
      <c r="I929" s="282">
        <v>2.0</v>
      </c>
      <c r="J929" s="283" t="s">
        <v>78</v>
      </c>
      <c r="K929" s="265" t="s">
        <v>79</v>
      </c>
      <c r="L929" s="265" t="s">
        <v>1396</v>
      </c>
      <c r="M929" s="269">
        <v>2.0</v>
      </c>
      <c r="N929" s="270">
        <v>0.0</v>
      </c>
      <c r="O929" s="271">
        <v>123.78</v>
      </c>
      <c r="P929" s="271">
        <v>99.024</v>
      </c>
      <c r="Q929" s="272">
        <v>0.0</v>
      </c>
      <c r="R929" s="273">
        <v>198.048</v>
      </c>
      <c r="S929" s="273">
        <v>0.0</v>
      </c>
      <c r="T929" s="273">
        <v>247.56</v>
      </c>
      <c r="U929" s="274" t="s">
        <v>1398</v>
      </c>
      <c r="V929" s="284">
        <v>45430.597280092596</v>
      </c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</row>
    <row r="930">
      <c r="A930" s="280">
        <v>45430.0</v>
      </c>
      <c r="B930" s="264">
        <v>5689947.0</v>
      </c>
      <c r="C930" s="265" t="s">
        <v>82</v>
      </c>
      <c r="D930" s="265" t="s">
        <v>35</v>
      </c>
      <c r="E930" s="264">
        <v>4.464491853E9</v>
      </c>
      <c r="F930" s="265" t="s">
        <v>3168</v>
      </c>
      <c r="G930" s="280">
        <v>45467.0</v>
      </c>
      <c r="H930" s="281">
        <v>45468.0</v>
      </c>
      <c r="I930" s="282">
        <v>1.0</v>
      </c>
      <c r="J930" s="283" t="s">
        <v>78</v>
      </c>
      <c r="K930" s="265" t="s">
        <v>79</v>
      </c>
      <c r="L930" s="265" t="s">
        <v>1396</v>
      </c>
      <c r="M930" s="264">
        <v>2.0</v>
      </c>
      <c r="N930" s="270">
        <v>0.0</v>
      </c>
      <c r="O930" s="271">
        <v>123.78</v>
      </c>
      <c r="P930" s="271">
        <v>99.024</v>
      </c>
      <c r="Q930" s="272">
        <v>0.0</v>
      </c>
      <c r="R930" s="273">
        <v>99.024</v>
      </c>
      <c r="S930" s="273">
        <v>0.0</v>
      </c>
      <c r="T930" s="273">
        <v>123.78</v>
      </c>
      <c r="U930" s="274" t="s">
        <v>1398</v>
      </c>
      <c r="V930" s="286">
        <v>45430.925034722226</v>
      </c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</row>
    <row r="931">
      <c r="A931" s="210">
        <v>45430.0</v>
      </c>
      <c r="B931" s="166">
        <v>5688964.0</v>
      </c>
      <c r="C931" s="166" t="s">
        <v>89</v>
      </c>
      <c r="D931" s="166" t="s">
        <v>35</v>
      </c>
      <c r="E931" s="166">
        <v>4.617963963E9</v>
      </c>
      <c r="F931" s="166" t="s">
        <v>3169</v>
      </c>
      <c r="G931" s="210">
        <v>45470.0</v>
      </c>
      <c r="H931" s="287">
        <v>45473.0</v>
      </c>
      <c r="I931" s="168">
        <v>3.0</v>
      </c>
      <c r="J931" s="169" t="s">
        <v>111</v>
      </c>
      <c r="K931" s="166" t="s">
        <v>79</v>
      </c>
      <c r="L931" s="166" t="s">
        <v>1396</v>
      </c>
      <c r="M931" s="166">
        <v>2.0</v>
      </c>
      <c r="N931" s="170">
        <v>0.0</v>
      </c>
      <c r="O931" s="171">
        <v>0.0</v>
      </c>
      <c r="P931" s="171">
        <v>0.0</v>
      </c>
      <c r="Q931" s="172">
        <v>0.0</v>
      </c>
      <c r="R931" s="173">
        <v>0.0</v>
      </c>
      <c r="S931" s="173">
        <v>0.0</v>
      </c>
      <c r="T931" s="173">
        <v>0.0</v>
      </c>
      <c r="U931" s="174" t="s">
        <v>3171</v>
      </c>
      <c r="V931" s="288">
        <v>45430.69589120371</v>
      </c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</row>
    <row r="932">
      <c r="A932" s="210">
        <v>45430.0</v>
      </c>
      <c r="B932" s="166">
        <v>5689457.0</v>
      </c>
      <c r="C932" s="166" t="s">
        <v>82</v>
      </c>
      <c r="D932" s="166" t="s">
        <v>35</v>
      </c>
      <c r="E932" s="166">
        <v>4.485076371E9</v>
      </c>
      <c r="F932" s="166" t="s">
        <v>3172</v>
      </c>
      <c r="G932" s="210">
        <v>45492.0</v>
      </c>
      <c r="H932" s="287">
        <v>45495.0</v>
      </c>
      <c r="I932" s="168">
        <v>3.0</v>
      </c>
      <c r="J932" s="169" t="s">
        <v>78</v>
      </c>
      <c r="K932" s="166" t="s">
        <v>79</v>
      </c>
      <c r="L932" s="166" t="s">
        <v>1400</v>
      </c>
      <c r="M932" s="205">
        <v>2.0</v>
      </c>
      <c r="N932" s="170">
        <v>0.0</v>
      </c>
      <c r="O932" s="171">
        <v>142.20000000000002</v>
      </c>
      <c r="P932" s="171">
        <v>113.76000000000002</v>
      </c>
      <c r="Q932" s="172">
        <v>0.0</v>
      </c>
      <c r="R932" s="173">
        <v>341.28000000000003</v>
      </c>
      <c r="S932" s="173">
        <v>0.0</v>
      </c>
      <c r="T932" s="173">
        <v>426.6</v>
      </c>
      <c r="U932" s="174" t="s">
        <v>1401</v>
      </c>
      <c r="V932" s="288">
        <v>45430.80701388889</v>
      </c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</row>
    <row r="933">
      <c r="A933" s="210">
        <v>45430.0</v>
      </c>
      <c r="B933" s="166">
        <v>5689643.0</v>
      </c>
      <c r="C933" s="166" t="s">
        <v>82</v>
      </c>
      <c r="D933" s="166" t="s">
        <v>35</v>
      </c>
      <c r="E933" s="166">
        <v>4.617999018E9</v>
      </c>
      <c r="F933" s="166" t="s">
        <v>3173</v>
      </c>
      <c r="G933" s="210">
        <v>45573.0</v>
      </c>
      <c r="H933" s="310">
        <v>45575.0</v>
      </c>
      <c r="I933" s="168">
        <v>2.0</v>
      </c>
      <c r="J933" s="169" t="s">
        <v>78</v>
      </c>
      <c r="K933" s="166" t="s">
        <v>79</v>
      </c>
      <c r="L933" s="166" t="s">
        <v>1443</v>
      </c>
      <c r="M933" s="166">
        <v>2.0</v>
      </c>
      <c r="N933" s="170">
        <v>0.0</v>
      </c>
      <c r="O933" s="171">
        <v>127.54</v>
      </c>
      <c r="P933" s="171">
        <v>102.03200000000001</v>
      </c>
      <c r="Q933" s="172">
        <v>0.0</v>
      </c>
      <c r="R933" s="173">
        <v>204.06400000000002</v>
      </c>
      <c r="S933" s="173">
        <v>0.0</v>
      </c>
      <c r="T933" s="173">
        <v>510.16</v>
      </c>
      <c r="U933" s="201" t="s">
        <v>1444</v>
      </c>
      <c r="V933" s="288">
        <v>45430.847280092596</v>
      </c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</row>
    <row r="934">
      <c r="A934" s="210">
        <v>45430.0</v>
      </c>
      <c r="B934" s="166">
        <v>5689643.0</v>
      </c>
      <c r="C934" s="166" t="s">
        <v>82</v>
      </c>
      <c r="D934" s="166" t="s">
        <v>35</v>
      </c>
      <c r="E934" s="166">
        <v>4.617999018E9</v>
      </c>
      <c r="F934" s="166" t="s">
        <v>3173</v>
      </c>
      <c r="G934" s="210">
        <v>45573.0</v>
      </c>
      <c r="H934" s="310">
        <v>45575.0</v>
      </c>
      <c r="I934" s="168">
        <v>2.0</v>
      </c>
      <c r="J934" s="169" t="s">
        <v>78</v>
      </c>
      <c r="K934" s="166" t="s">
        <v>79</v>
      </c>
      <c r="L934" s="166" t="s">
        <v>1443</v>
      </c>
      <c r="M934" s="205">
        <v>2.0</v>
      </c>
      <c r="N934" s="170">
        <v>0.0</v>
      </c>
      <c r="O934" s="171">
        <v>127.54</v>
      </c>
      <c r="P934" s="171">
        <v>102.03200000000001</v>
      </c>
      <c r="Q934" s="172">
        <v>0.0</v>
      </c>
      <c r="R934" s="173">
        <v>204.06400000000002</v>
      </c>
      <c r="S934" s="173">
        <v>0.0</v>
      </c>
      <c r="T934" s="173">
        <v>510.16</v>
      </c>
      <c r="U934" s="201" t="s">
        <v>1444</v>
      </c>
      <c r="V934" s="288">
        <v>45430.847280092596</v>
      </c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</row>
    <row r="935">
      <c r="A935" s="210">
        <v>45431.0</v>
      </c>
      <c r="B935" s="166">
        <v>5691617.0</v>
      </c>
      <c r="C935" s="166" t="s">
        <v>89</v>
      </c>
      <c r="D935" s="166" t="s">
        <v>94</v>
      </c>
      <c r="E935" s="166">
        <v>4.695240695E9</v>
      </c>
      <c r="F935" s="166" t="s">
        <v>3176</v>
      </c>
      <c r="G935" s="210">
        <v>45469.0</v>
      </c>
      <c r="H935" s="287">
        <v>45471.0</v>
      </c>
      <c r="I935" s="168">
        <v>2.0</v>
      </c>
      <c r="J935" s="169" t="s">
        <v>78</v>
      </c>
      <c r="K935" s="166" t="s">
        <v>79</v>
      </c>
      <c r="L935" s="166" t="s">
        <v>1454</v>
      </c>
      <c r="M935" s="166">
        <v>2.0</v>
      </c>
      <c r="N935" s="170">
        <v>0.0</v>
      </c>
      <c r="O935" s="171">
        <v>0.0</v>
      </c>
      <c r="P935" s="171">
        <v>0.0</v>
      </c>
      <c r="Q935" s="172">
        <v>0.0</v>
      </c>
      <c r="R935" s="173">
        <v>0.0</v>
      </c>
      <c r="S935" s="173">
        <v>0.0</v>
      </c>
      <c r="T935" s="173">
        <v>0.0</v>
      </c>
      <c r="U935" s="174" t="s">
        <v>3177</v>
      </c>
      <c r="V935" s="288">
        <v>45431.56883101852</v>
      </c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</row>
    <row r="936">
      <c r="A936" s="276">
        <v>45431.0</v>
      </c>
      <c r="B936" s="252">
        <v>5692631.0</v>
      </c>
      <c r="C936" s="253" t="s">
        <v>89</v>
      </c>
      <c r="D936" s="253" t="s">
        <v>35</v>
      </c>
      <c r="E936" s="252">
        <v>4.580546661E9</v>
      </c>
      <c r="F936" s="253" t="s">
        <v>3178</v>
      </c>
      <c r="G936" s="276">
        <v>45562.0</v>
      </c>
      <c r="H936" s="277">
        <v>45563.0</v>
      </c>
      <c r="I936" s="278">
        <v>1.0</v>
      </c>
      <c r="J936" s="257" t="s">
        <v>78</v>
      </c>
      <c r="K936" s="253" t="s">
        <v>1492</v>
      </c>
      <c r="L936" s="253" t="s">
        <v>2981</v>
      </c>
      <c r="M936" s="252">
        <v>2.0</v>
      </c>
      <c r="N936" s="258">
        <v>0.0</v>
      </c>
      <c r="O936" s="259">
        <v>0.0</v>
      </c>
      <c r="P936" s="259">
        <v>0.0</v>
      </c>
      <c r="Q936" s="262">
        <v>0.0</v>
      </c>
      <c r="R936" s="260">
        <v>0.0</v>
      </c>
      <c r="S936" s="260">
        <v>0.0</v>
      </c>
      <c r="T936" s="260">
        <v>0.0</v>
      </c>
      <c r="U936" s="261" t="s">
        <v>3179</v>
      </c>
      <c r="V936" s="279">
        <v>45431.78895833333</v>
      </c>
      <c r="W936" s="36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</row>
    <row r="937">
      <c r="A937" s="210">
        <v>45431.0</v>
      </c>
      <c r="B937" s="166">
        <v>5692588.0</v>
      </c>
      <c r="C937" s="166" t="s">
        <v>89</v>
      </c>
      <c r="D937" s="166" t="s">
        <v>35</v>
      </c>
      <c r="E937" s="166">
        <v>4.73318817E9</v>
      </c>
      <c r="F937" s="166" t="s">
        <v>3178</v>
      </c>
      <c r="G937" s="210">
        <v>45566.0</v>
      </c>
      <c r="H937" s="287">
        <v>45569.0</v>
      </c>
      <c r="I937" s="168">
        <v>3.0</v>
      </c>
      <c r="J937" s="169" t="s">
        <v>87</v>
      </c>
      <c r="K937" s="166" t="s">
        <v>1492</v>
      </c>
      <c r="L937" s="166" t="s">
        <v>2981</v>
      </c>
      <c r="M937" s="166">
        <v>2.0</v>
      </c>
      <c r="N937" s="170">
        <v>0.0</v>
      </c>
      <c r="O937" s="171">
        <v>0.0</v>
      </c>
      <c r="P937" s="171">
        <v>0.0</v>
      </c>
      <c r="Q937" s="172">
        <v>0.0</v>
      </c>
      <c r="R937" s="173">
        <v>0.0</v>
      </c>
      <c r="S937" s="173">
        <v>0.0</v>
      </c>
      <c r="T937" s="173">
        <v>0.0</v>
      </c>
      <c r="U937" s="201" t="s">
        <v>3181</v>
      </c>
      <c r="V937" s="288">
        <v>45431.780590277776</v>
      </c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</row>
    <row r="938">
      <c r="A938" s="280">
        <v>45431.0</v>
      </c>
      <c r="B938" s="264">
        <v>5693360.0</v>
      </c>
      <c r="C938" s="265" t="s">
        <v>82</v>
      </c>
      <c r="D938" s="265" t="s">
        <v>35</v>
      </c>
      <c r="E938" s="264">
        <v>4.783039179E9</v>
      </c>
      <c r="F938" s="265" t="s">
        <v>3183</v>
      </c>
      <c r="G938" s="305">
        <v>45575.0</v>
      </c>
      <c r="H938" s="313">
        <v>45579.0</v>
      </c>
      <c r="I938" s="282">
        <v>4.0</v>
      </c>
      <c r="J938" s="283" t="s">
        <v>78</v>
      </c>
      <c r="K938" s="265" t="s">
        <v>79</v>
      </c>
      <c r="L938" s="265" t="s">
        <v>1396</v>
      </c>
      <c r="M938" s="269">
        <v>2.0</v>
      </c>
      <c r="N938" s="270">
        <v>0.0</v>
      </c>
      <c r="O938" s="271">
        <v>140.25</v>
      </c>
      <c r="P938" s="271">
        <v>112.2</v>
      </c>
      <c r="Q938" s="272">
        <v>0.0</v>
      </c>
      <c r="R938" s="273">
        <v>448.8</v>
      </c>
      <c r="S938" s="273">
        <v>0.0</v>
      </c>
      <c r="T938" s="273">
        <v>561.0</v>
      </c>
      <c r="U938" s="274" t="s">
        <v>1398</v>
      </c>
      <c r="V938" s="284">
        <v>45431.94168981482</v>
      </c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</row>
    <row r="939">
      <c r="A939" s="280">
        <v>45431.0</v>
      </c>
      <c r="B939" s="264">
        <v>5693363.0</v>
      </c>
      <c r="C939" s="265" t="s">
        <v>82</v>
      </c>
      <c r="D939" s="265" t="s">
        <v>35</v>
      </c>
      <c r="E939" s="264">
        <v>4.868651306E9</v>
      </c>
      <c r="F939" s="265" t="s">
        <v>3186</v>
      </c>
      <c r="G939" s="305">
        <v>45575.0</v>
      </c>
      <c r="H939" s="313">
        <v>45579.0</v>
      </c>
      <c r="I939" s="282">
        <v>4.0</v>
      </c>
      <c r="J939" s="283" t="s">
        <v>78</v>
      </c>
      <c r="K939" s="265" t="s">
        <v>79</v>
      </c>
      <c r="L939" s="265" t="s">
        <v>1396</v>
      </c>
      <c r="M939" s="269">
        <v>2.0</v>
      </c>
      <c r="N939" s="270">
        <v>0.0</v>
      </c>
      <c r="O939" s="271">
        <v>127.54</v>
      </c>
      <c r="P939" s="271">
        <v>102.03200000000001</v>
      </c>
      <c r="Q939" s="272">
        <v>0.0</v>
      </c>
      <c r="R939" s="273">
        <v>408.12800000000004</v>
      </c>
      <c r="S939" s="273">
        <v>0.0</v>
      </c>
      <c r="T939" s="273">
        <v>510.16</v>
      </c>
      <c r="U939" s="274" t="s">
        <v>1398</v>
      </c>
      <c r="V939" s="284">
        <v>45431.94309027778</v>
      </c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</row>
    <row r="940">
      <c r="A940" s="210">
        <v>45431.0</v>
      </c>
      <c r="B940" s="166">
        <v>5691433.0</v>
      </c>
      <c r="C940" s="166" t="s">
        <v>82</v>
      </c>
      <c r="D940" s="166" t="s">
        <v>35</v>
      </c>
      <c r="E940" s="166">
        <v>4.783099126E9</v>
      </c>
      <c r="F940" s="166" t="s">
        <v>3187</v>
      </c>
      <c r="G940" s="212">
        <v>45591.0</v>
      </c>
      <c r="H940" s="310">
        <v>45592.0</v>
      </c>
      <c r="I940" s="168">
        <v>1.0</v>
      </c>
      <c r="J940" s="169" t="s">
        <v>78</v>
      </c>
      <c r="K940" s="166" t="s">
        <v>79</v>
      </c>
      <c r="L940" s="166" t="s">
        <v>1400</v>
      </c>
      <c r="M940" s="166">
        <v>2.0</v>
      </c>
      <c r="N940" s="170">
        <v>0.0</v>
      </c>
      <c r="O940" s="171">
        <v>130.89</v>
      </c>
      <c r="P940" s="171">
        <v>104.71199999999999</v>
      </c>
      <c r="Q940" s="172">
        <v>0.0</v>
      </c>
      <c r="R940" s="173">
        <v>104.71199999999999</v>
      </c>
      <c r="S940" s="173">
        <v>0.0</v>
      </c>
      <c r="T940" s="173">
        <v>130.89</v>
      </c>
      <c r="U940" s="174" t="s">
        <v>1401</v>
      </c>
      <c r="V940" s="288">
        <v>45431.532685185186</v>
      </c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</row>
    <row r="941">
      <c r="A941" s="276">
        <v>45432.0</v>
      </c>
      <c r="B941" s="252">
        <v>5696263.0</v>
      </c>
      <c r="C941" s="253" t="s">
        <v>82</v>
      </c>
      <c r="D941" s="253" t="s">
        <v>94</v>
      </c>
      <c r="E941" s="252">
        <v>5696263.0</v>
      </c>
      <c r="F941" s="253" t="s">
        <v>3190</v>
      </c>
      <c r="G941" s="276">
        <v>45441.0</v>
      </c>
      <c r="H941" s="277">
        <v>45442.0</v>
      </c>
      <c r="I941" s="278">
        <v>1.0</v>
      </c>
      <c r="J941" s="257" t="s">
        <v>78</v>
      </c>
      <c r="K941" s="253" t="s">
        <v>79</v>
      </c>
      <c r="L941" s="253" t="s">
        <v>1462</v>
      </c>
      <c r="M941" s="252">
        <v>2.0</v>
      </c>
      <c r="N941" s="258">
        <v>0.0</v>
      </c>
      <c r="O941" s="259">
        <v>203.0</v>
      </c>
      <c r="P941" s="259">
        <v>200.97</v>
      </c>
      <c r="Q941" s="262">
        <v>0.0</v>
      </c>
      <c r="R941" s="260">
        <v>200.97</v>
      </c>
      <c r="S941" s="260">
        <v>0.0</v>
      </c>
      <c r="T941" s="260">
        <v>203.0</v>
      </c>
      <c r="U941" s="261" t="s">
        <v>1463</v>
      </c>
      <c r="V941" s="279">
        <v>45432.74377314815</v>
      </c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</row>
    <row r="942">
      <c r="A942" s="210">
        <v>45432.0</v>
      </c>
      <c r="B942" s="166">
        <v>5696558.0</v>
      </c>
      <c r="C942" s="166" t="s">
        <v>82</v>
      </c>
      <c r="D942" s="166" t="s">
        <v>94</v>
      </c>
      <c r="E942" s="166">
        <v>5696558.0</v>
      </c>
      <c r="F942" s="166" t="s">
        <v>3192</v>
      </c>
      <c r="G942" s="210">
        <v>45452.0</v>
      </c>
      <c r="H942" s="287">
        <v>45454.0</v>
      </c>
      <c r="I942" s="168">
        <v>2.0</v>
      </c>
      <c r="J942" s="169" t="s">
        <v>78</v>
      </c>
      <c r="K942" s="166" t="s">
        <v>79</v>
      </c>
      <c r="L942" s="166" t="s">
        <v>1462</v>
      </c>
      <c r="M942" s="166">
        <v>2.0</v>
      </c>
      <c r="N942" s="170">
        <v>0.0</v>
      </c>
      <c r="O942" s="171">
        <v>203.0</v>
      </c>
      <c r="P942" s="171">
        <v>200.97</v>
      </c>
      <c r="Q942" s="172">
        <v>0.0</v>
      </c>
      <c r="R942" s="173">
        <v>401.94</v>
      </c>
      <c r="S942" s="173">
        <v>0.0</v>
      </c>
      <c r="T942" s="173">
        <v>406.0</v>
      </c>
      <c r="U942" s="174" t="s">
        <v>1463</v>
      </c>
      <c r="V942" s="288">
        <v>45432.79204861111</v>
      </c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</row>
    <row r="943">
      <c r="A943" s="210">
        <v>45432.0</v>
      </c>
      <c r="B943" s="166">
        <v>5696619.0</v>
      </c>
      <c r="C943" s="166" t="s">
        <v>82</v>
      </c>
      <c r="D943" s="166" t="s">
        <v>94</v>
      </c>
      <c r="E943" s="166">
        <v>5696619.0</v>
      </c>
      <c r="F943" s="166" t="s">
        <v>3192</v>
      </c>
      <c r="G943" s="210">
        <v>45454.0</v>
      </c>
      <c r="H943" s="287">
        <v>45455.0</v>
      </c>
      <c r="I943" s="168">
        <v>1.0</v>
      </c>
      <c r="J943" s="169" t="s">
        <v>78</v>
      </c>
      <c r="K943" s="166" t="s">
        <v>79</v>
      </c>
      <c r="L943" s="166" t="s">
        <v>1462</v>
      </c>
      <c r="M943" s="166">
        <v>2.0</v>
      </c>
      <c r="N943" s="170">
        <v>0.0</v>
      </c>
      <c r="O943" s="171">
        <v>203.0</v>
      </c>
      <c r="P943" s="171">
        <v>200.97</v>
      </c>
      <c r="Q943" s="172">
        <v>0.0</v>
      </c>
      <c r="R943" s="173">
        <v>200.97</v>
      </c>
      <c r="S943" s="173">
        <v>0.0</v>
      </c>
      <c r="T943" s="173">
        <v>203.0</v>
      </c>
      <c r="U943" s="201" t="s">
        <v>1463</v>
      </c>
      <c r="V943" s="288">
        <v>45432.80337962963</v>
      </c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</row>
    <row r="944">
      <c r="A944" s="289">
        <v>45432.0</v>
      </c>
      <c r="B944" s="290">
        <v>5695830.0</v>
      </c>
      <c r="C944" s="291" t="s">
        <v>82</v>
      </c>
      <c r="D944" s="291" t="s">
        <v>35</v>
      </c>
      <c r="E944" s="290">
        <v>4.568240814E9</v>
      </c>
      <c r="F944" s="291" t="s">
        <v>3193</v>
      </c>
      <c r="G944" s="289">
        <v>45479.0</v>
      </c>
      <c r="H944" s="292">
        <v>45483.0</v>
      </c>
      <c r="I944" s="293">
        <v>4.0</v>
      </c>
      <c r="J944" s="294" t="s">
        <v>78</v>
      </c>
      <c r="K944" s="291" t="s">
        <v>138</v>
      </c>
      <c r="L944" s="291" t="s">
        <v>1501</v>
      </c>
      <c r="M944" s="290">
        <v>3.0</v>
      </c>
      <c r="N944" s="295">
        <v>0.0</v>
      </c>
      <c r="O944" s="296">
        <v>134.38</v>
      </c>
      <c r="P944" s="296">
        <v>107.504</v>
      </c>
      <c r="Q944" s="301">
        <v>54.0</v>
      </c>
      <c r="R944" s="297">
        <v>430.016</v>
      </c>
      <c r="S944" s="297">
        <v>216.0</v>
      </c>
      <c r="T944" s="297">
        <v>753.52</v>
      </c>
      <c r="U944" s="291" t="s">
        <v>1502</v>
      </c>
      <c r="V944" s="299">
        <v>45432.66878472222</v>
      </c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</row>
    <row r="945">
      <c r="A945" s="276">
        <v>45432.0</v>
      </c>
      <c r="B945" s="252">
        <v>5696886.0</v>
      </c>
      <c r="C945" s="253" t="s">
        <v>75</v>
      </c>
      <c r="D945" s="253" t="s">
        <v>35</v>
      </c>
      <c r="E945" s="252">
        <v>4.953890643E9</v>
      </c>
      <c r="F945" s="253" t="s">
        <v>3194</v>
      </c>
      <c r="G945" s="276">
        <v>45571.0</v>
      </c>
      <c r="H945" s="277">
        <v>45574.0</v>
      </c>
      <c r="I945" s="278">
        <v>3.0</v>
      </c>
      <c r="J945" s="257" t="s">
        <v>114</v>
      </c>
      <c r="K945" s="253" t="s">
        <v>79</v>
      </c>
      <c r="L945" s="253" t="s">
        <v>2803</v>
      </c>
      <c r="M945" s="252">
        <v>2.0</v>
      </c>
      <c r="N945" s="258">
        <v>0.0</v>
      </c>
      <c r="O945" s="259">
        <v>114.35000000000001</v>
      </c>
      <c r="P945" s="259">
        <v>91.48000000000002</v>
      </c>
      <c r="Q945" s="262">
        <v>0.0</v>
      </c>
      <c r="R945" s="260">
        <v>274.44</v>
      </c>
      <c r="S945" s="260">
        <v>0.0</v>
      </c>
      <c r="T945" s="260">
        <v>343.05</v>
      </c>
      <c r="U945" s="261" t="s">
        <v>2804</v>
      </c>
      <c r="V945" s="279">
        <v>45491.524351851855</v>
      </c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</row>
    <row r="946">
      <c r="A946" s="210">
        <v>45432.0</v>
      </c>
      <c r="B946" s="166">
        <v>5696837.0</v>
      </c>
      <c r="C946" s="166" t="s">
        <v>75</v>
      </c>
      <c r="D946" s="166" t="s">
        <v>35</v>
      </c>
      <c r="E946" s="166">
        <v>4.838348762E9</v>
      </c>
      <c r="F946" s="166" t="s">
        <v>3195</v>
      </c>
      <c r="G946" s="212">
        <v>45588.0</v>
      </c>
      <c r="H946" s="310">
        <v>45591.0</v>
      </c>
      <c r="I946" s="168">
        <v>3.0</v>
      </c>
      <c r="J946" s="169" t="s">
        <v>114</v>
      </c>
      <c r="K946" s="166" t="s">
        <v>79</v>
      </c>
      <c r="L946" s="166" t="s">
        <v>2803</v>
      </c>
      <c r="M946" s="166">
        <v>2.0</v>
      </c>
      <c r="N946" s="170">
        <v>0.0</v>
      </c>
      <c r="O946" s="171">
        <v>125.46</v>
      </c>
      <c r="P946" s="171">
        <v>100.368</v>
      </c>
      <c r="Q946" s="172">
        <v>0.0</v>
      </c>
      <c r="R946" s="173">
        <v>301.104</v>
      </c>
      <c r="S946" s="173">
        <v>0.0</v>
      </c>
      <c r="T946" s="173">
        <v>376.38</v>
      </c>
      <c r="U946" s="174" t="s">
        <v>2804</v>
      </c>
      <c r="V946" s="288">
        <v>45565.847280092596</v>
      </c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</row>
    <row r="947">
      <c r="A947" s="276">
        <v>45432.0</v>
      </c>
      <c r="B947" s="252">
        <v>5696853.0</v>
      </c>
      <c r="C947" s="253" t="s">
        <v>75</v>
      </c>
      <c r="D947" s="253" t="s">
        <v>35</v>
      </c>
      <c r="E947" s="252">
        <v>4.659980358E9</v>
      </c>
      <c r="F947" s="253" t="s">
        <v>3198</v>
      </c>
      <c r="G947" s="304">
        <v>45588.0</v>
      </c>
      <c r="H947" s="311">
        <v>45590.0</v>
      </c>
      <c r="I947" s="278">
        <v>2.0</v>
      </c>
      <c r="J947" s="257" t="s">
        <v>111</v>
      </c>
      <c r="K947" s="253" t="s">
        <v>79</v>
      </c>
      <c r="L947" s="253" t="s">
        <v>2803</v>
      </c>
      <c r="M947" s="252">
        <v>2.0</v>
      </c>
      <c r="N947" s="258">
        <v>0.0</v>
      </c>
      <c r="O947" s="259">
        <v>125.46</v>
      </c>
      <c r="P947" s="259">
        <v>100.368</v>
      </c>
      <c r="Q947" s="262">
        <v>0.0</v>
      </c>
      <c r="R947" s="260">
        <v>200.736</v>
      </c>
      <c r="S947" s="260">
        <v>0.0</v>
      </c>
      <c r="T947" s="260">
        <v>250.92</v>
      </c>
      <c r="U947" s="261" t="s">
        <v>2804</v>
      </c>
      <c r="V947" s="279">
        <v>45565.84587962963</v>
      </c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</row>
    <row r="948">
      <c r="A948" s="210">
        <v>45432.0</v>
      </c>
      <c r="B948" s="166">
        <v>5694966.0</v>
      </c>
      <c r="C948" s="166" t="s">
        <v>82</v>
      </c>
      <c r="D948" s="166" t="s">
        <v>35</v>
      </c>
      <c r="E948" s="166">
        <v>4.534558331E9</v>
      </c>
      <c r="F948" s="166" t="s">
        <v>3201</v>
      </c>
      <c r="G948" s="212">
        <v>45609.0</v>
      </c>
      <c r="H948" s="310">
        <v>45612.0</v>
      </c>
      <c r="I948" s="168">
        <v>3.0</v>
      </c>
      <c r="J948" s="169" t="s">
        <v>114</v>
      </c>
      <c r="K948" s="166" t="s">
        <v>79</v>
      </c>
      <c r="L948" s="166" t="s">
        <v>1396</v>
      </c>
      <c r="M948" s="205">
        <v>2.0</v>
      </c>
      <c r="N948" s="170">
        <v>0.0</v>
      </c>
      <c r="O948" s="171">
        <v>190.32000000000002</v>
      </c>
      <c r="P948" s="171">
        <v>152.25600000000003</v>
      </c>
      <c r="Q948" s="172">
        <v>0.0</v>
      </c>
      <c r="R948" s="173">
        <v>456.76800000000003</v>
      </c>
      <c r="S948" s="173">
        <v>0.0</v>
      </c>
      <c r="T948" s="173">
        <v>570.96</v>
      </c>
      <c r="U948" s="174" t="s">
        <v>1398</v>
      </c>
      <c r="V948" s="288">
        <v>45432.517418981486</v>
      </c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</row>
    <row r="949">
      <c r="A949" s="276">
        <v>45434.0</v>
      </c>
      <c r="B949" s="252">
        <v>5702253.0</v>
      </c>
      <c r="C949" s="253" t="s">
        <v>82</v>
      </c>
      <c r="D949" s="253" t="s">
        <v>94</v>
      </c>
      <c r="E949" s="252">
        <v>5702253.0</v>
      </c>
      <c r="F949" s="253" t="s">
        <v>3203</v>
      </c>
      <c r="G949" s="276">
        <v>45434.0</v>
      </c>
      <c r="H949" s="277">
        <v>45435.0</v>
      </c>
      <c r="I949" s="278">
        <v>1.0</v>
      </c>
      <c r="J949" s="257" t="s">
        <v>114</v>
      </c>
      <c r="K949" s="253" t="s">
        <v>79</v>
      </c>
      <c r="L949" s="253" t="s">
        <v>1462</v>
      </c>
      <c r="M949" s="252">
        <v>2.0</v>
      </c>
      <c r="N949" s="258">
        <v>0.0</v>
      </c>
      <c r="O949" s="259">
        <v>257.0</v>
      </c>
      <c r="P949" s="259">
        <v>254.43</v>
      </c>
      <c r="Q949" s="257">
        <v>0.0</v>
      </c>
      <c r="R949" s="260">
        <v>254.43</v>
      </c>
      <c r="S949" s="260">
        <v>0.0</v>
      </c>
      <c r="T949" s="260">
        <v>257.0</v>
      </c>
      <c r="U949" s="261" t="s">
        <v>1463</v>
      </c>
      <c r="V949" s="279">
        <v>45434.41527777778</v>
      </c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</row>
    <row r="950">
      <c r="A950" s="210">
        <v>45434.0</v>
      </c>
      <c r="B950" s="166">
        <v>5703597.0</v>
      </c>
      <c r="C950" s="166" t="s">
        <v>82</v>
      </c>
      <c r="D950" s="166" t="s">
        <v>35</v>
      </c>
      <c r="E950" s="166">
        <v>4.840384645E9</v>
      </c>
      <c r="F950" s="166" t="s">
        <v>3205</v>
      </c>
      <c r="G950" s="210">
        <v>45439.0</v>
      </c>
      <c r="H950" s="287">
        <v>45440.0</v>
      </c>
      <c r="I950" s="168">
        <v>1.0</v>
      </c>
      <c r="J950" s="169" t="s">
        <v>78</v>
      </c>
      <c r="K950" s="166" t="s">
        <v>79</v>
      </c>
      <c r="L950" s="166" t="s">
        <v>1396</v>
      </c>
      <c r="M950" s="205">
        <v>2.0</v>
      </c>
      <c r="N950" s="170">
        <v>0.0</v>
      </c>
      <c r="O950" s="171">
        <v>141.26</v>
      </c>
      <c r="P950" s="171">
        <v>113.008</v>
      </c>
      <c r="Q950" s="172">
        <v>0.0</v>
      </c>
      <c r="R950" s="173">
        <v>113.008</v>
      </c>
      <c r="S950" s="173">
        <v>0.0</v>
      </c>
      <c r="T950" s="173">
        <v>141.26</v>
      </c>
      <c r="U950" s="174" t="s">
        <v>1398</v>
      </c>
      <c r="V950" s="288">
        <v>45434.663935185185</v>
      </c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</row>
    <row r="951">
      <c r="A951" s="280">
        <v>45434.0</v>
      </c>
      <c r="B951" s="264">
        <v>5701472.0</v>
      </c>
      <c r="C951" s="265" t="s">
        <v>82</v>
      </c>
      <c r="D951" s="265" t="s">
        <v>35</v>
      </c>
      <c r="E951" s="265">
        <v>4.794299153E9</v>
      </c>
      <c r="F951" s="265" t="s">
        <v>3207</v>
      </c>
      <c r="G951" s="280">
        <v>45451.0</v>
      </c>
      <c r="H951" s="281">
        <v>45453.0</v>
      </c>
      <c r="I951" s="282">
        <v>2.0</v>
      </c>
      <c r="J951" s="283" t="s">
        <v>114</v>
      </c>
      <c r="K951" s="265" t="s">
        <v>79</v>
      </c>
      <c r="L951" s="265" t="s">
        <v>1396</v>
      </c>
      <c r="M951" s="264">
        <v>2.0</v>
      </c>
      <c r="N951" s="270">
        <v>0.0</v>
      </c>
      <c r="O951" s="271">
        <v>140.69</v>
      </c>
      <c r="P951" s="271">
        <v>112.552</v>
      </c>
      <c r="Q951" s="272">
        <v>0.0</v>
      </c>
      <c r="R951" s="273">
        <v>225.104</v>
      </c>
      <c r="S951" s="273">
        <v>0.0</v>
      </c>
      <c r="T951" s="273">
        <v>281.38</v>
      </c>
      <c r="U951" s="274" t="s">
        <v>1398</v>
      </c>
      <c r="V951" s="286">
        <v>45434.111180555556</v>
      </c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</row>
    <row r="952">
      <c r="A952" s="210">
        <v>45434.0</v>
      </c>
      <c r="B952" s="166">
        <v>5705135.0</v>
      </c>
      <c r="C952" s="166" t="s">
        <v>82</v>
      </c>
      <c r="D952" s="166" t="s">
        <v>35</v>
      </c>
      <c r="E952" s="166">
        <v>4.347348869E9</v>
      </c>
      <c r="F952" s="166" t="s">
        <v>3209</v>
      </c>
      <c r="G952" s="210">
        <v>45494.0</v>
      </c>
      <c r="H952" s="287">
        <v>45497.0</v>
      </c>
      <c r="I952" s="168">
        <v>3.0</v>
      </c>
      <c r="J952" s="169" t="s">
        <v>78</v>
      </c>
      <c r="K952" s="166" t="s">
        <v>79</v>
      </c>
      <c r="L952" s="166" t="s">
        <v>1400</v>
      </c>
      <c r="M952" s="166">
        <v>2.0</v>
      </c>
      <c r="N952" s="170">
        <v>0.0</v>
      </c>
      <c r="O952" s="171">
        <v>156.48</v>
      </c>
      <c r="P952" s="171">
        <v>125.184</v>
      </c>
      <c r="Q952" s="172">
        <v>0.0</v>
      </c>
      <c r="R952" s="173">
        <v>375.552</v>
      </c>
      <c r="S952" s="173">
        <v>0.0</v>
      </c>
      <c r="T952" s="173">
        <v>469.44</v>
      </c>
      <c r="U952" s="174" t="s">
        <v>1401</v>
      </c>
      <c r="V952" s="288">
        <v>45434.984085648146</v>
      </c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</row>
    <row r="953">
      <c r="A953" s="210">
        <v>45434.0</v>
      </c>
      <c r="B953" s="166">
        <v>5703138.0</v>
      </c>
      <c r="C953" s="166" t="s">
        <v>82</v>
      </c>
      <c r="D953" s="166" t="s">
        <v>35</v>
      </c>
      <c r="E953" s="166">
        <v>4.735164135E9</v>
      </c>
      <c r="F953" s="166" t="s">
        <v>3210</v>
      </c>
      <c r="G953" s="210">
        <v>45555.0</v>
      </c>
      <c r="H953" s="287">
        <v>45557.0</v>
      </c>
      <c r="I953" s="168">
        <v>2.0</v>
      </c>
      <c r="J953" s="169" t="s">
        <v>91</v>
      </c>
      <c r="K953" s="166" t="s">
        <v>79</v>
      </c>
      <c r="L953" s="166" t="s">
        <v>1454</v>
      </c>
      <c r="M953" s="166">
        <v>2.0</v>
      </c>
      <c r="N953" s="170">
        <v>0.0</v>
      </c>
      <c r="O953" s="171">
        <v>394.79</v>
      </c>
      <c r="P953" s="171">
        <v>315.83200000000005</v>
      </c>
      <c r="Q953" s="169">
        <v>0.0</v>
      </c>
      <c r="R953" s="173">
        <v>631.6640000000001</v>
      </c>
      <c r="S953" s="173">
        <v>0.0</v>
      </c>
      <c r="T953" s="173">
        <v>789.58</v>
      </c>
      <c r="U953" s="174" t="s">
        <v>1455</v>
      </c>
      <c r="V953" s="288">
        <v>45434.57925925926</v>
      </c>
      <c r="W953" s="36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</row>
    <row r="954">
      <c r="A954" s="210">
        <v>45434.0</v>
      </c>
      <c r="B954" s="166">
        <v>5703831.0</v>
      </c>
      <c r="C954" s="166" t="s">
        <v>89</v>
      </c>
      <c r="D954" s="166" t="s">
        <v>35</v>
      </c>
      <c r="E954" s="166">
        <v>4.364303696E9</v>
      </c>
      <c r="F954" s="166" t="s">
        <v>3211</v>
      </c>
      <c r="G954" s="212">
        <v>45592.0</v>
      </c>
      <c r="H954" s="310">
        <v>45593.0</v>
      </c>
      <c r="I954" s="168">
        <v>1.0</v>
      </c>
      <c r="J954" s="169" t="s">
        <v>78</v>
      </c>
      <c r="K954" s="166" t="s">
        <v>79</v>
      </c>
      <c r="L954" s="166" t="s">
        <v>1396</v>
      </c>
      <c r="M954" s="166">
        <v>2.0</v>
      </c>
      <c r="N954" s="170">
        <v>0.0</v>
      </c>
      <c r="O954" s="171">
        <v>0.0</v>
      </c>
      <c r="P954" s="171">
        <v>0.0</v>
      </c>
      <c r="Q954" s="172">
        <v>0.0</v>
      </c>
      <c r="R954" s="173">
        <v>0.0</v>
      </c>
      <c r="S954" s="173">
        <v>0.0</v>
      </c>
      <c r="T954" s="173">
        <v>0.0</v>
      </c>
      <c r="U954" s="174" t="s">
        <v>3212</v>
      </c>
      <c r="V954" s="288">
        <v>45434.705625</v>
      </c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</row>
    <row r="955">
      <c r="A955" s="210">
        <v>45434.0</v>
      </c>
      <c r="B955" s="166">
        <v>5702779.0</v>
      </c>
      <c r="C955" s="166" t="s">
        <v>82</v>
      </c>
      <c r="D955" s="166" t="s">
        <v>35</v>
      </c>
      <c r="E955" s="166">
        <v>4.654397128E9</v>
      </c>
      <c r="F955" s="166" t="s">
        <v>3214</v>
      </c>
      <c r="G955" s="212">
        <v>45595.0</v>
      </c>
      <c r="H955" s="310">
        <v>45596.0</v>
      </c>
      <c r="I955" s="168">
        <v>1.0</v>
      </c>
      <c r="J955" s="169" t="s">
        <v>91</v>
      </c>
      <c r="K955" s="166" t="s">
        <v>79</v>
      </c>
      <c r="L955" s="166" t="s">
        <v>1400</v>
      </c>
      <c r="M955" s="205">
        <v>4.0</v>
      </c>
      <c r="N955" s="170">
        <v>0.0</v>
      </c>
      <c r="O955" s="171">
        <v>333.68</v>
      </c>
      <c r="P955" s="171">
        <v>266.944</v>
      </c>
      <c r="Q955" s="172">
        <v>0.0</v>
      </c>
      <c r="R955" s="173">
        <v>266.944</v>
      </c>
      <c r="S955" s="173">
        <v>0.0</v>
      </c>
      <c r="T955" s="173">
        <v>333.68</v>
      </c>
      <c r="U955" s="174" t="s">
        <v>1401</v>
      </c>
      <c r="V955" s="288">
        <v>45434.51604166666</v>
      </c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</row>
    <row r="956">
      <c r="A956" s="210">
        <v>45435.0</v>
      </c>
      <c r="B956" s="166">
        <v>5708021.0</v>
      </c>
      <c r="C956" s="166" t="s">
        <v>82</v>
      </c>
      <c r="D956" s="166" t="s">
        <v>35</v>
      </c>
      <c r="E956" s="166">
        <v>4.984009533E9</v>
      </c>
      <c r="F956" s="166" t="s">
        <v>3215</v>
      </c>
      <c r="G956" s="210">
        <v>45483.0</v>
      </c>
      <c r="H956" s="287">
        <v>45490.0</v>
      </c>
      <c r="I956" s="168">
        <v>7.0</v>
      </c>
      <c r="J956" s="169" t="s">
        <v>78</v>
      </c>
      <c r="K956" s="166" t="s">
        <v>79</v>
      </c>
      <c r="L956" s="166" t="s">
        <v>1396</v>
      </c>
      <c r="M956" s="166">
        <v>2.0</v>
      </c>
      <c r="N956" s="170">
        <v>0.0</v>
      </c>
      <c r="O956" s="171">
        <v>182.52</v>
      </c>
      <c r="P956" s="171">
        <v>146.01600000000002</v>
      </c>
      <c r="Q956" s="172">
        <v>0.0</v>
      </c>
      <c r="R956" s="173">
        <v>1022.1120000000001</v>
      </c>
      <c r="S956" s="173">
        <v>0.0</v>
      </c>
      <c r="T956" s="173">
        <v>1277.64</v>
      </c>
      <c r="U956" s="201" t="s">
        <v>1398</v>
      </c>
      <c r="V956" s="288">
        <v>45435.807696759264</v>
      </c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</row>
    <row r="957">
      <c r="A957" s="210">
        <v>45435.0</v>
      </c>
      <c r="B957" s="166">
        <v>5708708.0</v>
      </c>
      <c r="C957" s="166" t="s">
        <v>82</v>
      </c>
      <c r="D957" s="166" t="s">
        <v>35</v>
      </c>
      <c r="E957" s="166">
        <v>4.960948978E9</v>
      </c>
      <c r="F957" s="166" t="s">
        <v>3219</v>
      </c>
      <c r="G957" s="210">
        <v>45602.0</v>
      </c>
      <c r="H957" s="310">
        <v>45606.0</v>
      </c>
      <c r="I957" s="168">
        <v>4.0</v>
      </c>
      <c r="J957" s="169" t="s">
        <v>78</v>
      </c>
      <c r="K957" s="166" t="s">
        <v>79</v>
      </c>
      <c r="L957" s="166" t="s">
        <v>1400</v>
      </c>
      <c r="M957" s="166">
        <v>2.0</v>
      </c>
      <c r="N957" s="170">
        <v>0.0</v>
      </c>
      <c r="O957" s="171">
        <v>173.8</v>
      </c>
      <c r="P957" s="171">
        <v>139.04000000000002</v>
      </c>
      <c r="Q957" s="172">
        <v>0.0</v>
      </c>
      <c r="R957" s="173">
        <v>556.1600000000001</v>
      </c>
      <c r="S957" s="173">
        <v>0.0</v>
      </c>
      <c r="T957" s="173">
        <v>695.2</v>
      </c>
      <c r="U957" s="174" t="s">
        <v>1401</v>
      </c>
      <c r="V957" s="288">
        <v>45435.959074074075</v>
      </c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</row>
    <row r="958">
      <c r="A958" s="210">
        <v>45436.0</v>
      </c>
      <c r="B958" s="166">
        <v>5711207.0</v>
      </c>
      <c r="C958" s="166" t="s">
        <v>82</v>
      </c>
      <c r="D958" s="166" t="s">
        <v>35</v>
      </c>
      <c r="E958" s="166">
        <v>4.424351112E9</v>
      </c>
      <c r="F958" s="166" t="s">
        <v>3222</v>
      </c>
      <c r="G958" s="210">
        <v>45457.0</v>
      </c>
      <c r="H958" s="287">
        <v>45460.0</v>
      </c>
      <c r="I958" s="168">
        <v>3.0</v>
      </c>
      <c r="J958" s="169" t="s">
        <v>78</v>
      </c>
      <c r="K958" s="166" t="s">
        <v>79</v>
      </c>
      <c r="L958" s="166" t="s">
        <v>1400</v>
      </c>
      <c r="M958" s="205">
        <v>2.0</v>
      </c>
      <c r="N958" s="170">
        <v>0.0</v>
      </c>
      <c r="O958" s="171">
        <v>211.80999999999997</v>
      </c>
      <c r="P958" s="171">
        <v>169.44799999999998</v>
      </c>
      <c r="Q958" s="172">
        <v>0.0</v>
      </c>
      <c r="R958" s="173">
        <v>508.344</v>
      </c>
      <c r="S958" s="173">
        <v>0.0</v>
      </c>
      <c r="T958" s="173">
        <v>635.43</v>
      </c>
      <c r="U958" s="201" t="s">
        <v>1401</v>
      </c>
      <c r="V958" s="288">
        <v>45436.70837962963</v>
      </c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</row>
    <row r="959">
      <c r="A959" s="280">
        <v>45436.0</v>
      </c>
      <c r="B959" s="166">
        <v>5711398.0</v>
      </c>
      <c r="C959" s="166" t="s">
        <v>82</v>
      </c>
      <c r="D959" s="166" t="s">
        <v>35</v>
      </c>
      <c r="E959" s="166">
        <v>4.671292678E9</v>
      </c>
      <c r="F959" s="166" t="s">
        <v>3223</v>
      </c>
      <c r="G959" s="210">
        <v>45462.0</v>
      </c>
      <c r="H959" s="287">
        <v>45465.0</v>
      </c>
      <c r="I959" s="168">
        <v>3.0</v>
      </c>
      <c r="J959" s="169" t="s">
        <v>114</v>
      </c>
      <c r="K959" s="166" t="s">
        <v>79</v>
      </c>
      <c r="L959" s="166" t="s">
        <v>1454</v>
      </c>
      <c r="M959" s="166">
        <v>2.0</v>
      </c>
      <c r="N959" s="170">
        <v>0.0</v>
      </c>
      <c r="O959" s="171">
        <v>181.11</v>
      </c>
      <c r="P959" s="171">
        <v>144.888</v>
      </c>
      <c r="Q959" s="172">
        <v>0.0</v>
      </c>
      <c r="R959" s="173">
        <v>434.66400000000004</v>
      </c>
      <c r="S959" s="173">
        <v>0.0</v>
      </c>
      <c r="T959" s="173">
        <v>543.33</v>
      </c>
      <c r="U959" s="174" t="s">
        <v>1455</v>
      </c>
      <c r="V959" s="288">
        <v>45436.75005787037</v>
      </c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</row>
    <row r="960">
      <c r="A960" s="210">
        <v>45437.0</v>
      </c>
      <c r="B960" s="166">
        <v>5714452.0</v>
      </c>
      <c r="C960" s="166" t="s">
        <v>82</v>
      </c>
      <c r="D960" s="166" t="s">
        <v>94</v>
      </c>
      <c r="E960" s="166">
        <v>5714452.0</v>
      </c>
      <c r="F960" s="166" t="s">
        <v>3226</v>
      </c>
      <c r="G960" s="210">
        <v>45461.0</v>
      </c>
      <c r="H960" s="287">
        <v>45462.0</v>
      </c>
      <c r="I960" s="168">
        <v>1.0</v>
      </c>
      <c r="J960" s="169" t="s">
        <v>114</v>
      </c>
      <c r="K960" s="166" t="s">
        <v>79</v>
      </c>
      <c r="L960" s="166" t="s">
        <v>1462</v>
      </c>
      <c r="M960" s="205">
        <v>2.0</v>
      </c>
      <c r="N960" s="170">
        <v>0.0</v>
      </c>
      <c r="O960" s="171">
        <v>125.0</v>
      </c>
      <c r="P960" s="171">
        <v>123.75</v>
      </c>
      <c r="Q960" s="172">
        <v>0.0</v>
      </c>
      <c r="R960" s="173">
        <v>123.75</v>
      </c>
      <c r="S960" s="173">
        <v>0.0</v>
      </c>
      <c r="T960" s="173">
        <v>125.0</v>
      </c>
      <c r="U960" s="174" t="s">
        <v>1463</v>
      </c>
      <c r="V960" s="288">
        <v>45437.67836805555</v>
      </c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</row>
    <row r="961">
      <c r="A961" s="210">
        <v>45437.0</v>
      </c>
      <c r="B961" s="166">
        <v>5714241.0</v>
      </c>
      <c r="C961" s="166" t="s">
        <v>89</v>
      </c>
      <c r="D961" s="166" t="s">
        <v>35</v>
      </c>
      <c r="E961" s="166">
        <v>4.526673254E9</v>
      </c>
      <c r="F961" s="166" t="s">
        <v>3228</v>
      </c>
      <c r="G961" s="210">
        <v>45515.0</v>
      </c>
      <c r="H961" s="287">
        <v>45517.0</v>
      </c>
      <c r="I961" s="168">
        <v>2.0</v>
      </c>
      <c r="J961" s="169" t="s">
        <v>114</v>
      </c>
      <c r="K961" s="166" t="s">
        <v>79</v>
      </c>
      <c r="L961" s="166" t="s">
        <v>1396</v>
      </c>
      <c r="M961" s="166">
        <v>3.0</v>
      </c>
      <c r="N961" s="170">
        <v>0.0</v>
      </c>
      <c r="O961" s="171">
        <v>0.0</v>
      </c>
      <c r="P961" s="171">
        <v>0.0</v>
      </c>
      <c r="Q961" s="172">
        <v>0.0</v>
      </c>
      <c r="R961" s="173">
        <v>0.0</v>
      </c>
      <c r="S961" s="173">
        <v>0.0</v>
      </c>
      <c r="T961" s="173">
        <v>0.0</v>
      </c>
      <c r="U961" s="201" t="s">
        <v>3230</v>
      </c>
      <c r="V961" s="288">
        <v>45437.634780092594</v>
      </c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</row>
    <row r="962">
      <c r="A962" s="210">
        <v>45437.0</v>
      </c>
      <c r="B962" s="166">
        <v>5715305.0</v>
      </c>
      <c r="C962" s="166" t="s">
        <v>89</v>
      </c>
      <c r="D962" s="166" t="s">
        <v>35</v>
      </c>
      <c r="E962" s="166">
        <v>4.590984448E9</v>
      </c>
      <c r="F962" s="166" t="s">
        <v>3231</v>
      </c>
      <c r="G962" s="210">
        <v>45538.0</v>
      </c>
      <c r="H962" s="287">
        <v>45540.0</v>
      </c>
      <c r="I962" s="168">
        <v>2.0</v>
      </c>
      <c r="J962" s="169" t="s">
        <v>78</v>
      </c>
      <c r="K962" s="166" t="s">
        <v>79</v>
      </c>
      <c r="L962" s="166" t="s">
        <v>2798</v>
      </c>
      <c r="M962" s="166">
        <v>2.0</v>
      </c>
      <c r="N962" s="170">
        <v>0.0</v>
      </c>
      <c r="O962" s="171">
        <v>0.0</v>
      </c>
      <c r="P962" s="171">
        <v>0.0</v>
      </c>
      <c r="Q962" s="172">
        <v>0.0</v>
      </c>
      <c r="R962" s="173">
        <v>0.0</v>
      </c>
      <c r="S962" s="173">
        <v>0.0</v>
      </c>
      <c r="T962" s="173">
        <v>0.0</v>
      </c>
      <c r="U962" s="174" t="s">
        <v>3234</v>
      </c>
      <c r="V962" s="288">
        <v>45532.207662037035</v>
      </c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</row>
    <row r="963">
      <c r="A963" s="210">
        <v>45437.0</v>
      </c>
      <c r="B963" s="166">
        <v>5713853.0</v>
      </c>
      <c r="C963" s="166" t="s">
        <v>82</v>
      </c>
      <c r="D963" s="166" t="s">
        <v>35</v>
      </c>
      <c r="E963" s="166">
        <v>4.460901936E9</v>
      </c>
      <c r="F963" s="166" t="s">
        <v>3237</v>
      </c>
      <c r="G963" s="210">
        <v>45566.0</v>
      </c>
      <c r="H963" s="287">
        <v>45569.0</v>
      </c>
      <c r="I963" s="168">
        <v>3.0</v>
      </c>
      <c r="J963" s="169" t="s">
        <v>78</v>
      </c>
      <c r="K963" s="166" t="s">
        <v>79</v>
      </c>
      <c r="L963" s="166" t="s">
        <v>1400</v>
      </c>
      <c r="M963" s="205">
        <v>2.0</v>
      </c>
      <c r="N963" s="170">
        <v>0.0</v>
      </c>
      <c r="O963" s="171">
        <v>130.89000000000001</v>
      </c>
      <c r="P963" s="171">
        <v>104.71200000000002</v>
      </c>
      <c r="Q963" s="172">
        <v>0.0</v>
      </c>
      <c r="R963" s="173">
        <v>314.136</v>
      </c>
      <c r="S963" s="173">
        <v>0.0</v>
      </c>
      <c r="T963" s="173">
        <v>392.67</v>
      </c>
      <c r="U963" s="174" t="s">
        <v>1401</v>
      </c>
      <c r="V963" s="288">
        <v>45437.550729166665</v>
      </c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</row>
    <row r="964">
      <c r="A964" s="280">
        <v>45438.0</v>
      </c>
      <c r="B964" s="264">
        <v>5717233.0</v>
      </c>
      <c r="C964" s="265" t="s">
        <v>82</v>
      </c>
      <c r="D964" s="265" t="s">
        <v>35</v>
      </c>
      <c r="E964" s="265">
        <v>4.40592621E9</v>
      </c>
      <c r="F964" s="265" t="s">
        <v>3239</v>
      </c>
      <c r="G964" s="280">
        <v>45438.0</v>
      </c>
      <c r="H964" s="281">
        <v>45439.0</v>
      </c>
      <c r="I964" s="282">
        <v>1.0</v>
      </c>
      <c r="J964" s="283" t="s">
        <v>78</v>
      </c>
      <c r="K964" s="265" t="s">
        <v>79</v>
      </c>
      <c r="L964" s="265" t="s">
        <v>1396</v>
      </c>
      <c r="M964" s="264">
        <v>2.0</v>
      </c>
      <c r="N964" s="270">
        <v>0.0</v>
      </c>
      <c r="O964" s="271">
        <v>169.33</v>
      </c>
      <c r="P964" s="271">
        <v>135.46400000000003</v>
      </c>
      <c r="Q964" s="272">
        <v>0.0</v>
      </c>
      <c r="R964" s="273">
        <v>135.46400000000003</v>
      </c>
      <c r="S964" s="273">
        <v>0.0</v>
      </c>
      <c r="T964" s="273">
        <v>169.33</v>
      </c>
      <c r="U964" s="274" t="s">
        <v>1398</v>
      </c>
      <c r="V964" s="286">
        <v>45438.5862037037</v>
      </c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</row>
    <row r="965">
      <c r="A965" s="276">
        <v>45438.0</v>
      </c>
      <c r="B965" s="252">
        <v>5718130.0</v>
      </c>
      <c r="C965" s="253" t="s">
        <v>82</v>
      </c>
      <c r="D965" s="253" t="s">
        <v>94</v>
      </c>
      <c r="E965" s="252">
        <v>5718130.0</v>
      </c>
      <c r="F965" s="253" t="s">
        <v>3242</v>
      </c>
      <c r="G965" s="276">
        <v>45484.0</v>
      </c>
      <c r="H965" s="277">
        <v>45487.0</v>
      </c>
      <c r="I965" s="278">
        <v>3.0</v>
      </c>
      <c r="J965" s="257" t="s">
        <v>78</v>
      </c>
      <c r="K965" s="253" t="s">
        <v>79</v>
      </c>
      <c r="L965" s="253" t="s">
        <v>2699</v>
      </c>
      <c r="M965" s="252">
        <v>2.0</v>
      </c>
      <c r="N965" s="258">
        <v>0.0</v>
      </c>
      <c r="O965" s="259">
        <v>110.60000000000001</v>
      </c>
      <c r="P965" s="259">
        <v>109.49400000000001</v>
      </c>
      <c r="Q965" s="262">
        <v>0.0</v>
      </c>
      <c r="R965" s="260">
        <v>328.482</v>
      </c>
      <c r="S965" s="260">
        <v>0.0</v>
      </c>
      <c r="T965" s="260">
        <v>331.8</v>
      </c>
      <c r="U965" s="261" t="s">
        <v>3244</v>
      </c>
      <c r="V965" s="279">
        <v>45438.76859953704</v>
      </c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</row>
    <row r="966">
      <c r="A966" s="210">
        <v>45438.0</v>
      </c>
      <c r="B966" s="166">
        <v>5717098.0</v>
      </c>
      <c r="C966" s="166" t="s">
        <v>82</v>
      </c>
      <c r="D966" s="166" t="s">
        <v>35</v>
      </c>
      <c r="E966" s="166">
        <v>4.902453875E9</v>
      </c>
      <c r="F966" s="166" t="s">
        <v>3245</v>
      </c>
      <c r="G966" s="210">
        <v>45533.0</v>
      </c>
      <c r="H966" s="287">
        <v>45535.0</v>
      </c>
      <c r="I966" s="168">
        <v>2.0</v>
      </c>
      <c r="J966" s="169" t="s">
        <v>114</v>
      </c>
      <c r="K966" s="166" t="s">
        <v>79</v>
      </c>
      <c r="L966" s="166" t="s">
        <v>1396</v>
      </c>
      <c r="M966" s="166">
        <v>3.0</v>
      </c>
      <c r="N966" s="170">
        <v>0.0</v>
      </c>
      <c r="O966" s="171">
        <v>143.19</v>
      </c>
      <c r="P966" s="171">
        <v>114.552</v>
      </c>
      <c r="Q966" s="172">
        <v>0.0</v>
      </c>
      <c r="R966" s="173">
        <v>229.104</v>
      </c>
      <c r="S966" s="173">
        <v>0.0</v>
      </c>
      <c r="T966" s="173">
        <v>286.38</v>
      </c>
      <c r="U966" s="174" t="s">
        <v>1398</v>
      </c>
      <c r="V966" s="288">
        <v>45438.56186342593</v>
      </c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</row>
    <row r="967">
      <c r="A967" s="276">
        <v>45438.0</v>
      </c>
      <c r="B967" s="252">
        <v>5716566.0</v>
      </c>
      <c r="C967" s="253" t="s">
        <v>82</v>
      </c>
      <c r="D967" s="253" t="s">
        <v>35</v>
      </c>
      <c r="E967" s="252">
        <v>4.464535195E9</v>
      </c>
      <c r="F967" s="253" t="s">
        <v>3249</v>
      </c>
      <c r="G967" s="276">
        <v>45538.0</v>
      </c>
      <c r="H967" s="277">
        <v>45540.0</v>
      </c>
      <c r="I967" s="278">
        <v>2.0</v>
      </c>
      <c r="J967" s="257" t="s">
        <v>78</v>
      </c>
      <c r="K967" s="253" t="s">
        <v>79</v>
      </c>
      <c r="L967" s="253" t="s">
        <v>1400</v>
      </c>
      <c r="M967" s="275">
        <v>2.0</v>
      </c>
      <c r="N967" s="258">
        <v>0.0</v>
      </c>
      <c r="O967" s="259">
        <v>166.29</v>
      </c>
      <c r="P967" s="259">
        <v>133.032</v>
      </c>
      <c r="Q967" s="262">
        <v>0.0</v>
      </c>
      <c r="R967" s="260">
        <v>266.064</v>
      </c>
      <c r="S967" s="260">
        <v>0.0</v>
      </c>
      <c r="T967" s="260">
        <v>332.58</v>
      </c>
      <c r="U967" s="261" t="s">
        <v>1401</v>
      </c>
      <c r="V967" s="279">
        <v>45438.4528125</v>
      </c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</row>
    <row r="968">
      <c r="A968" s="210">
        <v>45438.0</v>
      </c>
      <c r="B968" s="166">
        <v>5719037.0</v>
      </c>
      <c r="C968" s="166" t="s">
        <v>89</v>
      </c>
      <c r="D968" s="166" t="s">
        <v>35</v>
      </c>
      <c r="E968" s="166">
        <v>4.940677988E9</v>
      </c>
      <c r="F968" s="166" t="s">
        <v>3250</v>
      </c>
      <c r="G968" s="210">
        <v>45567.0</v>
      </c>
      <c r="H968" s="287">
        <v>45568.0</v>
      </c>
      <c r="I968" s="168">
        <v>1.0</v>
      </c>
      <c r="J968" s="169" t="s">
        <v>78</v>
      </c>
      <c r="K968" s="166" t="s">
        <v>79</v>
      </c>
      <c r="L968" s="166" t="s">
        <v>1396</v>
      </c>
      <c r="M968" s="205">
        <v>2.0</v>
      </c>
      <c r="N968" s="170">
        <v>0.0</v>
      </c>
      <c r="O968" s="171">
        <v>0.0</v>
      </c>
      <c r="P968" s="171">
        <v>0.0</v>
      </c>
      <c r="Q968" s="172">
        <v>0.0</v>
      </c>
      <c r="R968" s="173">
        <v>0.0</v>
      </c>
      <c r="S968" s="173">
        <v>0.0</v>
      </c>
      <c r="T968" s="173">
        <v>0.0</v>
      </c>
      <c r="U968" s="174" t="s">
        <v>3252</v>
      </c>
      <c r="V968" s="288">
        <v>45438.97434027778</v>
      </c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</row>
    <row r="969">
      <c r="A969" s="210">
        <v>45439.0</v>
      </c>
      <c r="B969" s="166">
        <v>5719435.0</v>
      </c>
      <c r="C969" s="166" t="s">
        <v>82</v>
      </c>
      <c r="D969" s="166" t="s">
        <v>35</v>
      </c>
      <c r="E969" s="166">
        <v>4.405998684E9</v>
      </c>
      <c r="F969" s="166" t="s">
        <v>3253</v>
      </c>
      <c r="G969" s="210">
        <v>45445.0</v>
      </c>
      <c r="H969" s="287">
        <v>45447.0</v>
      </c>
      <c r="I969" s="168">
        <v>2.0</v>
      </c>
      <c r="J969" s="169" t="s">
        <v>87</v>
      </c>
      <c r="K969" s="166" t="s">
        <v>79</v>
      </c>
      <c r="L969" s="166" t="s">
        <v>1396</v>
      </c>
      <c r="M969" s="166">
        <v>2.0</v>
      </c>
      <c r="N969" s="170">
        <v>0.0</v>
      </c>
      <c r="O969" s="171">
        <v>141.55</v>
      </c>
      <c r="P969" s="171">
        <v>113.24000000000001</v>
      </c>
      <c r="Q969" s="172">
        <v>0.0</v>
      </c>
      <c r="R969" s="173">
        <v>226.48000000000002</v>
      </c>
      <c r="S969" s="173">
        <v>0.0</v>
      </c>
      <c r="T969" s="173">
        <v>283.1</v>
      </c>
      <c r="U969" s="174" t="s">
        <v>1398</v>
      </c>
      <c r="V969" s="288">
        <v>45439.26184027777</v>
      </c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</row>
    <row r="970">
      <c r="A970" s="280">
        <v>45439.0</v>
      </c>
      <c r="B970" s="264">
        <v>5723018.0</v>
      </c>
      <c r="C970" s="265" t="s">
        <v>82</v>
      </c>
      <c r="D970" s="265" t="s">
        <v>35</v>
      </c>
      <c r="E970" s="264">
        <v>4.637096739E9</v>
      </c>
      <c r="F970" s="265" t="s">
        <v>3256</v>
      </c>
      <c r="G970" s="280">
        <v>45448.0</v>
      </c>
      <c r="H970" s="281">
        <v>45451.0</v>
      </c>
      <c r="I970" s="282">
        <v>3.0</v>
      </c>
      <c r="J970" s="283" t="s">
        <v>78</v>
      </c>
      <c r="K970" s="265" t="s">
        <v>79</v>
      </c>
      <c r="L970" s="265" t="s">
        <v>1454</v>
      </c>
      <c r="M970" s="269">
        <v>1.0</v>
      </c>
      <c r="N970" s="270">
        <v>0.0</v>
      </c>
      <c r="O970" s="271">
        <v>156.78</v>
      </c>
      <c r="P970" s="271">
        <v>125.424</v>
      </c>
      <c r="Q970" s="272">
        <v>0.0</v>
      </c>
      <c r="R970" s="273">
        <v>376.272</v>
      </c>
      <c r="S970" s="273">
        <v>0.0</v>
      </c>
      <c r="T970" s="273">
        <v>470.34</v>
      </c>
      <c r="U970" s="274" t="s">
        <v>1455</v>
      </c>
      <c r="V970" s="284">
        <v>45439.99449074074</v>
      </c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</row>
    <row r="971">
      <c r="A971" s="276">
        <v>45439.0</v>
      </c>
      <c r="B971" s="252">
        <v>5721429.0</v>
      </c>
      <c r="C971" s="253" t="s">
        <v>82</v>
      </c>
      <c r="D971" s="253" t="s">
        <v>35</v>
      </c>
      <c r="E971" s="252">
        <v>4.98856828E9</v>
      </c>
      <c r="F971" s="253" t="s">
        <v>3258</v>
      </c>
      <c r="G971" s="276">
        <v>45457.0</v>
      </c>
      <c r="H971" s="277">
        <v>45459.0</v>
      </c>
      <c r="I971" s="278">
        <v>2.0</v>
      </c>
      <c r="J971" s="257" t="s">
        <v>91</v>
      </c>
      <c r="K971" s="253" t="s">
        <v>79</v>
      </c>
      <c r="L971" s="253" t="s">
        <v>1396</v>
      </c>
      <c r="M971" s="252">
        <v>4.0</v>
      </c>
      <c r="N971" s="258">
        <v>0.0</v>
      </c>
      <c r="O971" s="259">
        <v>321.83</v>
      </c>
      <c r="P971" s="259">
        <v>257.464</v>
      </c>
      <c r="Q971" s="262">
        <v>0.0</v>
      </c>
      <c r="R971" s="260">
        <v>514.928</v>
      </c>
      <c r="S971" s="260">
        <v>0.0</v>
      </c>
      <c r="T971" s="260">
        <v>643.66</v>
      </c>
      <c r="U971" s="261" t="s">
        <v>1398</v>
      </c>
      <c r="V971" s="279">
        <v>45439.66811342593</v>
      </c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</row>
    <row r="972">
      <c r="A972" s="276">
        <v>45439.0</v>
      </c>
      <c r="B972" s="252">
        <v>5720715.0</v>
      </c>
      <c r="C972" s="253" t="s">
        <v>82</v>
      </c>
      <c r="D972" s="253" t="s">
        <v>35</v>
      </c>
      <c r="E972" s="252">
        <v>4.91586731E9</v>
      </c>
      <c r="F972" s="253" t="s">
        <v>3259</v>
      </c>
      <c r="G972" s="304">
        <v>45583.0</v>
      </c>
      <c r="H972" s="311">
        <v>45586.0</v>
      </c>
      <c r="I972" s="278">
        <v>3.0</v>
      </c>
      <c r="J972" s="257" t="s">
        <v>87</v>
      </c>
      <c r="K972" s="253" t="s">
        <v>79</v>
      </c>
      <c r="L972" s="253" t="s">
        <v>1443</v>
      </c>
      <c r="M972" s="252">
        <v>2.0</v>
      </c>
      <c r="N972" s="258">
        <v>0.0</v>
      </c>
      <c r="O972" s="259">
        <v>84.33</v>
      </c>
      <c r="P972" s="259">
        <v>67.464</v>
      </c>
      <c r="Q972" s="262">
        <v>0.0</v>
      </c>
      <c r="R972" s="260">
        <v>202.39200000000002</v>
      </c>
      <c r="S972" s="260">
        <v>0.0</v>
      </c>
      <c r="T972" s="260">
        <v>894.21</v>
      </c>
      <c r="U972" s="261" t="s">
        <v>1444</v>
      </c>
      <c r="V972" s="279">
        <v>45439.56671296296</v>
      </c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</row>
    <row r="973">
      <c r="A973" s="276">
        <v>45439.0</v>
      </c>
      <c r="B973" s="252">
        <v>5720715.0</v>
      </c>
      <c r="C973" s="253" t="s">
        <v>82</v>
      </c>
      <c r="D973" s="253" t="s">
        <v>35</v>
      </c>
      <c r="E973" s="252">
        <v>4.91586731E9</v>
      </c>
      <c r="F973" s="253" t="s">
        <v>3259</v>
      </c>
      <c r="G973" s="304">
        <v>45583.0</v>
      </c>
      <c r="H973" s="311">
        <v>45586.0</v>
      </c>
      <c r="I973" s="278">
        <v>3.0</v>
      </c>
      <c r="J973" s="257" t="s">
        <v>111</v>
      </c>
      <c r="K973" s="253" t="s">
        <v>79</v>
      </c>
      <c r="L973" s="253" t="s">
        <v>1443</v>
      </c>
      <c r="M973" s="252">
        <v>2.0</v>
      </c>
      <c r="N973" s="258">
        <v>0.0</v>
      </c>
      <c r="O973" s="259">
        <v>106.87</v>
      </c>
      <c r="P973" s="259">
        <v>85.49600000000001</v>
      </c>
      <c r="Q973" s="262">
        <v>0.0</v>
      </c>
      <c r="R973" s="260">
        <v>256.488</v>
      </c>
      <c r="S973" s="260">
        <v>0.0</v>
      </c>
      <c r="T973" s="260">
        <v>894.21</v>
      </c>
      <c r="U973" s="261" t="s">
        <v>1444</v>
      </c>
      <c r="V973" s="279">
        <v>45439.56671296296</v>
      </c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</row>
    <row r="974">
      <c r="A974" s="276">
        <v>45439.0</v>
      </c>
      <c r="B974" s="252">
        <v>5720715.0</v>
      </c>
      <c r="C974" s="253" t="s">
        <v>82</v>
      </c>
      <c r="D974" s="253" t="s">
        <v>35</v>
      </c>
      <c r="E974" s="252">
        <v>4.91586731E9</v>
      </c>
      <c r="F974" s="253" t="s">
        <v>3259</v>
      </c>
      <c r="G974" s="304">
        <v>45583.0</v>
      </c>
      <c r="H974" s="311">
        <v>45586.0</v>
      </c>
      <c r="I974" s="278">
        <v>3.0</v>
      </c>
      <c r="J974" s="257" t="s">
        <v>111</v>
      </c>
      <c r="K974" s="253" t="s">
        <v>79</v>
      </c>
      <c r="L974" s="253" t="s">
        <v>1443</v>
      </c>
      <c r="M974" s="252">
        <v>2.0</v>
      </c>
      <c r="N974" s="258">
        <v>0.0</v>
      </c>
      <c r="O974" s="259">
        <v>106.87</v>
      </c>
      <c r="P974" s="259">
        <v>85.49600000000001</v>
      </c>
      <c r="Q974" s="257">
        <v>0.0</v>
      </c>
      <c r="R974" s="260">
        <v>256.488</v>
      </c>
      <c r="S974" s="260">
        <v>0.0</v>
      </c>
      <c r="T974" s="260">
        <v>894.21</v>
      </c>
      <c r="U974" s="261" t="s">
        <v>1444</v>
      </c>
      <c r="V974" s="279">
        <v>45439.56671296296</v>
      </c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</row>
    <row r="975">
      <c r="A975" s="210">
        <v>45439.0</v>
      </c>
      <c r="B975" s="166">
        <v>5719664.0</v>
      </c>
      <c r="C975" s="166" t="s">
        <v>82</v>
      </c>
      <c r="D975" s="166" t="s">
        <v>35</v>
      </c>
      <c r="E975" s="166">
        <v>4.381708059E9</v>
      </c>
      <c r="F975" s="166" t="s">
        <v>3263</v>
      </c>
      <c r="G975" s="212">
        <v>45589.0</v>
      </c>
      <c r="H975" s="310">
        <v>45592.0</v>
      </c>
      <c r="I975" s="168">
        <v>3.0</v>
      </c>
      <c r="J975" s="169" t="s">
        <v>78</v>
      </c>
      <c r="K975" s="166" t="s">
        <v>79</v>
      </c>
      <c r="L975" s="166" t="s">
        <v>1619</v>
      </c>
      <c r="M975" s="205">
        <v>2.0</v>
      </c>
      <c r="N975" s="170">
        <v>0.0</v>
      </c>
      <c r="O975" s="171">
        <v>130.89000000000001</v>
      </c>
      <c r="P975" s="171">
        <v>104.71200000000002</v>
      </c>
      <c r="Q975" s="172">
        <v>0.0</v>
      </c>
      <c r="R975" s="173">
        <v>314.136</v>
      </c>
      <c r="S975" s="173">
        <v>0.0</v>
      </c>
      <c r="T975" s="173">
        <v>392.67</v>
      </c>
      <c r="U975" s="201" t="s">
        <v>1620</v>
      </c>
      <c r="V975" s="288">
        <v>45439.34587962963</v>
      </c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</row>
    <row r="976">
      <c r="A976" s="210">
        <v>45440.0</v>
      </c>
      <c r="B976" s="166">
        <v>5724397.0</v>
      </c>
      <c r="C976" s="166" t="s">
        <v>82</v>
      </c>
      <c r="D976" s="166" t="s">
        <v>94</v>
      </c>
      <c r="E976" s="166">
        <v>5724397.0</v>
      </c>
      <c r="F976" s="166" t="s">
        <v>3266</v>
      </c>
      <c r="G976" s="210">
        <v>45446.0</v>
      </c>
      <c r="H976" s="287">
        <v>45448.0</v>
      </c>
      <c r="I976" s="168">
        <v>2.0</v>
      </c>
      <c r="J976" s="169" t="s">
        <v>114</v>
      </c>
      <c r="K976" s="166" t="s">
        <v>79</v>
      </c>
      <c r="L976" s="166" t="s">
        <v>1601</v>
      </c>
      <c r="M976" s="205">
        <v>2.0</v>
      </c>
      <c r="N976" s="170">
        <v>0.0</v>
      </c>
      <c r="O976" s="171">
        <v>139.4</v>
      </c>
      <c r="P976" s="171">
        <v>138.006</v>
      </c>
      <c r="Q976" s="172">
        <v>0.0</v>
      </c>
      <c r="R976" s="173">
        <v>276.012</v>
      </c>
      <c r="S976" s="173">
        <v>0.0</v>
      </c>
      <c r="T976" s="173">
        <v>278.8</v>
      </c>
      <c r="U976" s="174" t="s">
        <v>1602</v>
      </c>
      <c r="V976" s="288">
        <v>45440.48574074074</v>
      </c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</row>
    <row r="977">
      <c r="A977" s="289">
        <v>45440.0</v>
      </c>
      <c r="B977" s="290">
        <v>5725495.0</v>
      </c>
      <c r="C977" s="291" t="s">
        <v>82</v>
      </c>
      <c r="D977" s="291" t="s">
        <v>35</v>
      </c>
      <c r="E977" s="290">
        <v>4.866775906E9</v>
      </c>
      <c r="F977" s="291" t="s">
        <v>2872</v>
      </c>
      <c r="G977" s="289">
        <v>45479.0</v>
      </c>
      <c r="H977" s="292">
        <v>45480.0</v>
      </c>
      <c r="I977" s="293">
        <v>1.0</v>
      </c>
      <c r="J977" s="294" t="s">
        <v>111</v>
      </c>
      <c r="K977" s="291" t="s">
        <v>79</v>
      </c>
      <c r="L977" s="291" t="s">
        <v>1400</v>
      </c>
      <c r="M977" s="290">
        <v>2.0</v>
      </c>
      <c r="N977" s="295">
        <v>0.0</v>
      </c>
      <c r="O977" s="296">
        <v>189.06</v>
      </c>
      <c r="P977" s="296">
        <v>151.24800000000002</v>
      </c>
      <c r="Q977" s="301">
        <v>0.0</v>
      </c>
      <c r="R977" s="297">
        <v>151.24800000000002</v>
      </c>
      <c r="S977" s="297">
        <v>0.0</v>
      </c>
      <c r="T977" s="297">
        <v>189.06</v>
      </c>
      <c r="U977" s="298" t="s">
        <v>1401</v>
      </c>
      <c r="V977" s="299">
        <v>45440.697280092594</v>
      </c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</row>
    <row r="978">
      <c r="A978" s="280">
        <v>45440.0</v>
      </c>
      <c r="B978" s="264">
        <v>5725857.0</v>
      </c>
      <c r="C978" s="265" t="s">
        <v>89</v>
      </c>
      <c r="D978" s="265" t="s">
        <v>35</v>
      </c>
      <c r="E978" s="264">
        <v>4.346602184E9</v>
      </c>
      <c r="F978" s="265" t="s">
        <v>3271</v>
      </c>
      <c r="G978" s="280">
        <v>45543.0</v>
      </c>
      <c r="H978" s="281">
        <v>45546.0</v>
      </c>
      <c r="I978" s="282">
        <v>3.0</v>
      </c>
      <c r="J978" s="283" t="s">
        <v>111</v>
      </c>
      <c r="K978" s="265" t="s">
        <v>79</v>
      </c>
      <c r="L978" s="265" t="s">
        <v>1396</v>
      </c>
      <c r="M978" s="269">
        <v>2.0</v>
      </c>
      <c r="N978" s="270">
        <v>0.0</v>
      </c>
      <c r="O978" s="271">
        <v>0.0</v>
      </c>
      <c r="P978" s="271">
        <v>0.0</v>
      </c>
      <c r="Q978" s="272">
        <v>0.0</v>
      </c>
      <c r="R978" s="273">
        <v>0.0</v>
      </c>
      <c r="S978" s="273">
        <v>0.0</v>
      </c>
      <c r="T978" s="273">
        <v>0.0</v>
      </c>
      <c r="U978" s="274" t="s">
        <v>3273</v>
      </c>
      <c r="V978" s="284">
        <v>45440.768125</v>
      </c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</row>
    <row r="979">
      <c r="A979" s="280">
        <v>45440.0</v>
      </c>
      <c r="B979" s="264">
        <v>5726754.0</v>
      </c>
      <c r="C979" s="265" t="s">
        <v>82</v>
      </c>
      <c r="D979" s="265" t="s">
        <v>35</v>
      </c>
      <c r="E979" s="264">
        <v>4.564989301E9</v>
      </c>
      <c r="F979" s="265" t="s">
        <v>3275</v>
      </c>
      <c r="G979" s="305">
        <v>45607.0</v>
      </c>
      <c r="H979" s="313">
        <v>45611.0</v>
      </c>
      <c r="I979" s="282">
        <v>4.0</v>
      </c>
      <c r="J979" s="283" t="s">
        <v>87</v>
      </c>
      <c r="K979" s="265" t="s">
        <v>79</v>
      </c>
      <c r="L979" s="265" t="s">
        <v>3277</v>
      </c>
      <c r="M979" s="269">
        <v>2.0</v>
      </c>
      <c r="N979" s="270">
        <v>0.0</v>
      </c>
      <c r="O979" s="271">
        <v>128.75</v>
      </c>
      <c r="P979" s="271">
        <v>103.0</v>
      </c>
      <c r="Q979" s="272">
        <v>0.0</v>
      </c>
      <c r="R979" s="273">
        <v>412.0</v>
      </c>
      <c r="S979" s="273">
        <v>0.0</v>
      </c>
      <c r="T979" s="273">
        <v>515.0</v>
      </c>
      <c r="U979" s="274" t="s">
        <v>3278</v>
      </c>
      <c r="V979" s="284">
        <v>45440.93128472222</v>
      </c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</row>
    <row r="980">
      <c r="A980" s="210">
        <v>45440.0</v>
      </c>
      <c r="B980" s="166">
        <v>5726011.0</v>
      </c>
      <c r="C980" s="166" t="s">
        <v>82</v>
      </c>
      <c r="D980" s="166" t="s">
        <v>12</v>
      </c>
      <c r="E980" s="166" t="s">
        <v>3280</v>
      </c>
      <c r="F980" s="166" t="s">
        <v>3281</v>
      </c>
      <c r="G980" s="212">
        <v>45611.0</v>
      </c>
      <c r="H980" s="310">
        <v>45614.0</v>
      </c>
      <c r="I980" s="168">
        <v>3.0</v>
      </c>
      <c r="J980" s="169" t="s">
        <v>78</v>
      </c>
      <c r="K980" s="166" t="s">
        <v>79</v>
      </c>
      <c r="L980" s="166" t="s">
        <v>123</v>
      </c>
      <c r="M980" s="166">
        <v>2.0</v>
      </c>
      <c r="N980" s="170">
        <v>0.0</v>
      </c>
      <c r="O980" s="171">
        <v>159.12</v>
      </c>
      <c r="P980" s="171">
        <v>127.296</v>
      </c>
      <c r="Q980" s="172">
        <v>0.0</v>
      </c>
      <c r="R980" s="173">
        <v>381.88800000000003</v>
      </c>
      <c r="S980" s="173">
        <v>0.0</v>
      </c>
      <c r="T980" s="173">
        <v>477.36</v>
      </c>
      <c r="U980" s="174" t="s">
        <v>2416</v>
      </c>
      <c r="V980" s="288">
        <v>45440.80006944445</v>
      </c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</row>
    <row r="981">
      <c r="A981" s="210">
        <v>45440.0</v>
      </c>
      <c r="B981" s="166">
        <v>5726012.0</v>
      </c>
      <c r="C981" s="166" t="s">
        <v>82</v>
      </c>
      <c r="D981" s="166" t="s">
        <v>94</v>
      </c>
      <c r="E981" s="166" t="s">
        <v>3284</v>
      </c>
      <c r="F981" s="166" t="s">
        <v>3285</v>
      </c>
      <c r="G981" s="212">
        <v>45611.0</v>
      </c>
      <c r="H981" s="310">
        <v>45614.0</v>
      </c>
      <c r="I981" s="168">
        <v>3.0</v>
      </c>
      <c r="J981" s="169" t="s">
        <v>78</v>
      </c>
      <c r="K981" s="166" t="s">
        <v>79</v>
      </c>
      <c r="L981" s="166" t="s">
        <v>123</v>
      </c>
      <c r="M981" s="166">
        <v>2.0</v>
      </c>
      <c r="N981" s="170">
        <v>0.0</v>
      </c>
      <c r="O981" s="171">
        <v>159.12</v>
      </c>
      <c r="P981" s="171">
        <v>157.5288</v>
      </c>
      <c r="Q981" s="172">
        <v>0.0</v>
      </c>
      <c r="R981" s="173">
        <v>472.5864</v>
      </c>
      <c r="S981" s="173">
        <v>0.0</v>
      </c>
      <c r="T981" s="173">
        <v>477.36</v>
      </c>
      <c r="U981" s="174" t="s">
        <v>2416</v>
      </c>
      <c r="V981" s="288">
        <v>45440.80006944445</v>
      </c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</row>
    <row r="982">
      <c r="A982" s="210">
        <v>45440.0</v>
      </c>
      <c r="B982" s="166">
        <v>5726034.0</v>
      </c>
      <c r="C982" s="166" t="s">
        <v>82</v>
      </c>
      <c r="D982" s="166" t="s">
        <v>94</v>
      </c>
      <c r="E982" s="166" t="s">
        <v>3287</v>
      </c>
      <c r="F982" s="166" t="s">
        <v>3285</v>
      </c>
      <c r="G982" s="212">
        <v>45618.0</v>
      </c>
      <c r="H982" s="310">
        <v>45619.0</v>
      </c>
      <c r="I982" s="168">
        <v>1.0</v>
      </c>
      <c r="J982" s="169" t="s">
        <v>78</v>
      </c>
      <c r="K982" s="166" t="s">
        <v>79</v>
      </c>
      <c r="L982" s="166" t="s">
        <v>123</v>
      </c>
      <c r="M982" s="166">
        <v>2.0</v>
      </c>
      <c r="N982" s="170">
        <v>0.0</v>
      </c>
      <c r="O982" s="171">
        <v>159.12</v>
      </c>
      <c r="P982" s="171">
        <v>157.5288</v>
      </c>
      <c r="Q982" s="172">
        <v>0.0</v>
      </c>
      <c r="R982" s="173">
        <v>157.5288</v>
      </c>
      <c r="S982" s="173">
        <v>0.0</v>
      </c>
      <c r="T982" s="173">
        <v>159.12</v>
      </c>
      <c r="U982" s="174" t="s">
        <v>2416</v>
      </c>
      <c r="V982" s="288">
        <v>45440.804236111115</v>
      </c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</row>
    <row r="983">
      <c r="A983" s="280">
        <v>45440.0</v>
      </c>
      <c r="B983" s="264">
        <v>5726033.0</v>
      </c>
      <c r="C983" s="265" t="s">
        <v>82</v>
      </c>
      <c r="D983" s="265" t="s">
        <v>12</v>
      </c>
      <c r="E983" s="265" t="s">
        <v>3290</v>
      </c>
      <c r="F983" s="265" t="s">
        <v>3281</v>
      </c>
      <c r="G983" s="305">
        <v>45618.0</v>
      </c>
      <c r="H983" s="313">
        <v>45619.0</v>
      </c>
      <c r="I983" s="282">
        <v>1.0</v>
      </c>
      <c r="J983" s="283" t="s">
        <v>78</v>
      </c>
      <c r="K983" s="265" t="s">
        <v>79</v>
      </c>
      <c r="L983" s="265" t="s">
        <v>123</v>
      </c>
      <c r="M983" s="264">
        <v>2.0</v>
      </c>
      <c r="N983" s="270">
        <v>0.0</v>
      </c>
      <c r="O983" s="271">
        <v>159.12</v>
      </c>
      <c r="P983" s="271">
        <v>127.296</v>
      </c>
      <c r="Q983" s="272">
        <v>0.0</v>
      </c>
      <c r="R983" s="273">
        <v>127.296</v>
      </c>
      <c r="S983" s="273">
        <v>0.0</v>
      </c>
      <c r="T983" s="273">
        <v>159.12</v>
      </c>
      <c r="U983" s="274" t="s">
        <v>2416</v>
      </c>
      <c r="V983" s="286">
        <v>45440.804236111115</v>
      </c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</row>
    <row r="984">
      <c r="A984" s="280">
        <v>45441.0</v>
      </c>
      <c r="B984" s="264">
        <v>5727040.0</v>
      </c>
      <c r="C984" s="265" t="s">
        <v>82</v>
      </c>
      <c r="D984" s="265" t="s">
        <v>35</v>
      </c>
      <c r="E984" s="264">
        <v>4.567922853E9</v>
      </c>
      <c r="F984" s="265" t="s">
        <v>3293</v>
      </c>
      <c r="G984" s="280">
        <v>45441.0</v>
      </c>
      <c r="H984" s="281">
        <v>45442.0</v>
      </c>
      <c r="I984" s="282">
        <v>1.0</v>
      </c>
      <c r="J984" s="283" t="s">
        <v>78</v>
      </c>
      <c r="K984" s="265" t="s">
        <v>79</v>
      </c>
      <c r="L984" s="265" t="s">
        <v>1396</v>
      </c>
      <c r="M984" s="264">
        <v>2.0</v>
      </c>
      <c r="N984" s="270">
        <v>0.0</v>
      </c>
      <c r="O984" s="271">
        <v>169.33</v>
      </c>
      <c r="P984" s="271">
        <v>135.46400000000003</v>
      </c>
      <c r="Q984" s="283">
        <v>0.0</v>
      </c>
      <c r="R984" s="273">
        <v>135.46400000000003</v>
      </c>
      <c r="S984" s="273">
        <v>0.0</v>
      </c>
      <c r="T984" s="273">
        <v>169.33</v>
      </c>
      <c r="U984" s="274" t="s">
        <v>1398</v>
      </c>
      <c r="V984" s="286">
        <v>45441.043078703704</v>
      </c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</row>
    <row r="985">
      <c r="A985" s="210">
        <v>45441.0</v>
      </c>
      <c r="B985" s="166">
        <v>5727455.0</v>
      </c>
      <c r="C985" s="166" t="s">
        <v>82</v>
      </c>
      <c r="D985" s="166" t="s">
        <v>35</v>
      </c>
      <c r="E985" s="166">
        <v>4.587112861E9</v>
      </c>
      <c r="F985" s="166" t="s">
        <v>3294</v>
      </c>
      <c r="G985" s="210">
        <v>45445.0</v>
      </c>
      <c r="H985" s="287">
        <v>45447.0</v>
      </c>
      <c r="I985" s="168">
        <v>2.0</v>
      </c>
      <c r="J985" s="169" t="s">
        <v>78</v>
      </c>
      <c r="K985" s="166" t="s">
        <v>79</v>
      </c>
      <c r="L985" s="166" t="s">
        <v>1396</v>
      </c>
      <c r="M985" s="166">
        <v>2.0</v>
      </c>
      <c r="N985" s="170">
        <v>0.0</v>
      </c>
      <c r="O985" s="171">
        <v>155.21</v>
      </c>
      <c r="P985" s="171">
        <v>124.168</v>
      </c>
      <c r="Q985" s="172">
        <v>0.0</v>
      </c>
      <c r="R985" s="173">
        <v>248.336</v>
      </c>
      <c r="S985" s="173">
        <v>0.0</v>
      </c>
      <c r="T985" s="173">
        <v>310.42</v>
      </c>
      <c r="U985" s="174" t="s">
        <v>1398</v>
      </c>
      <c r="V985" s="288">
        <v>45441.28199074074</v>
      </c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</row>
    <row r="986">
      <c r="A986" s="280">
        <v>45441.0</v>
      </c>
      <c r="B986" s="264">
        <v>5728871.0</v>
      </c>
      <c r="C986" s="265" t="s">
        <v>82</v>
      </c>
      <c r="D986" s="265" t="s">
        <v>35</v>
      </c>
      <c r="E986" s="264">
        <v>4.798019614E9</v>
      </c>
      <c r="F986" s="265" t="s">
        <v>3296</v>
      </c>
      <c r="G986" s="280">
        <v>45470.0</v>
      </c>
      <c r="H986" s="281">
        <v>45473.0</v>
      </c>
      <c r="I986" s="282">
        <v>3.0</v>
      </c>
      <c r="J986" s="283" t="s">
        <v>78</v>
      </c>
      <c r="K986" s="265" t="s">
        <v>79</v>
      </c>
      <c r="L986" s="265" t="s">
        <v>1396</v>
      </c>
      <c r="M986" s="269">
        <v>2.0</v>
      </c>
      <c r="N986" s="270">
        <v>0.0</v>
      </c>
      <c r="O986" s="271">
        <v>182.51999999999998</v>
      </c>
      <c r="P986" s="271">
        <v>146.016</v>
      </c>
      <c r="Q986" s="272">
        <v>0.0</v>
      </c>
      <c r="R986" s="273">
        <v>438.048</v>
      </c>
      <c r="S986" s="273">
        <v>0.0</v>
      </c>
      <c r="T986" s="273">
        <v>547.56</v>
      </c>
      <c r="U986" s="274" t="s">
        <v>1398</v>
      </c>
      <c r="V986" s="284">
        <v>45441.57989583333</v>
      </c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</row>
    <row r="987">
      <c r="A987" s="210">
        <v>45441.0</v>
      </c>
      <c r="B987" s="166">
        <v>5730647.0</v>
      </c>
      <c r="C987" s="166" t="s">
        <v>82</v>
      </c>
      <c r="D987" s="166" t="s">
        <v>94</v>
      </c>
      <c r="E987" s="166" t="s">
        <v>3297</v>
      </c>
      <c r="F987" s="166" t="s">
        <v>3298</v>
      </c>
      <c r="G987" s="212">
        <v>45609.0</v>
      </c>
      <c r="H987" s="310">
        <v>45612.0</v>
      </c>
      <c r="I987" s="168">
        <v>3.0</v>
      </c>
      <c r="J987" s="169" t="s">
        <v>78</v>
      </c>
      <c r="K987" s="166" t="s">
        <v>79</v>
      </c>
      <c r="L987" s="166" t="s">
        <v>123</v>
      </c>
      <c r="M987" s="166">
        <v>2.0</v>
      </c>
      <c r="N987" s="170">
        <v>0.0</v>
      </c>
      <c r="O987" s="171">
        <v>159.12</v>
      </c>
      <c r="P987" s="171">
        <v>157.5288</v>
      </c>
      <c r="Q987" s="172">
        <v>0.0</v>
      </c>
      <c r="R987" s="173">
        <v>472.5864</v>
      </c>
      <c r="S987" s="173">
        <v>0.0</v>
      </c>
      <c r="T987" s="173">
        <v>477.36</v>
      </c>
      <c r="U987" s="201" t="s">
        <v>2416</v>
      </c>
      <c r="V987" s="288">
        <v>45441.94800925926</v>
      </c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</row>
    <row r="988">
      <c r="A988" s="280">
        <v>45442.0</v>
      </c>
      <c r="B988" s="264">
        <v>5732681.0</v>
      </c>
      <c r="C988" s="265" t="s">
        <v>82</v>
      </c>
      <c r="D988" s="265" t="s">
        <v>35</v>
      </c>
      <c r="E988" s="265">
        <v>4.458918558E9</v>
      </c>
      <c r="F988" s="265" t="s">
        <v>3299</v>
      </c>
      <c r="G988" s="280">
        <v>45442.0</v>
      </c>
      <c r="H988" s="281">
        <v>45443.0</v>
      </c>
      <c r="I988" s="282">
        <v>1.0</v>
      </c>
      <c r="J988" s="283" t="s">
        <v>78</v>
      </c>
      <c r="K988" s="265" t="s">
        <v>79</v>
      </c>
      <c r="L988" s="265" t="s">
        <v>1396</v>
      </c>
      <c r="M988" s="264">
        <v>1.0</v>
      </c>
      <c r="N988" s="270">
        <v>0.0</v>
      </c>
      <c r="O988" s="271">
        <v>138.76</v>
      </c>
      <c r="P988" s="271">
        <v>111.008</v>
      </c>
      <c r="Q988" s="283">
        <v>0.0</v>
      </c>
      <c r="R988" s="273">
        <v>111.008</v>
      </c>
      <c r="S988" s="273">
        <v>0.0</v>
      </c>
      <c r="T988" s="273">
        <v>138.76</v>
      </c>
      <c r="U988" s="274" t="s">
        <v>1398</v>
      </c>
      <c r="V988" s="286">
        <v>45442.57782407408</v>
      </c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</row>
    <row r="989">
      <c r="A989" s="210">
        <v>45442.0</v>
      </c>
      <c r="B989" s="166">
        <v>5733259.0</v>
      </c>
      <c r="C989" s="166" t="s">
        <v>82</v>
      </c>
      <c r="D989" s="166" t="s">
        <v>94</v>
      </c>
      <c r="E989" s="166">
        <v>5733259.0</v>
      </c>
      <c r="F989" s="166" t="s">
        <v>3301</v>
      </c>
      <c r="G989" s="210">
        <v>45444.0</v>
      </c>
      <c r="H989" s="287">
        <v>45445.0</v>
      </c>
      <c r="I989" s="168">
        <v>1.0</v>
      </c>
      <c r="J989" s="169" t="s">
        <v>78</v>
      </c>
      <c r="K989" s="166" t="s">
        <v>79</v>
      </c>
      <c r="L989" s="166" t="s">
        <v>1462</v>
      </c>
      <c r="M989" s="166">
        <v>2.0</v>
      </c>
      <c r="N989" s="170">
        <v>0.0</v>
      </c>
      <c r="O989" s="171">
        <v>110.6</v>
      </c>
      <c r="P989" s="171">
        <v>109.494</v>
      </c>
      <c r="Q989" s="172">
        <v>0.0</v>
      </c>
      <c r="R989" s="173">
        <v>109.494</v>
      </c>
      <c r="S989" s="173">
        <v>0.0</v>
      </c>
      <c r="T989" s="173">
        <v>110.6</v>
      </c>
      <c r="U989" s="174" t="s">
        <v>1463</v>
      </c>
      <c r="V989" s="288">
        <v>45442.62040509259</v>
      </c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</row>
    <row r="990">
      <c r="A990" s="280">
        <v>45442.0</v>
      </c>
      <c r="B990" s="264">
        <v>5732711.0</v>
      </c>
      <c r="C990" s="265" t="s">
        <v>82</v>
      </c>
      <c r="D990" s="265" t="s">
        <v>94</v>
      </c>
      <c r="E990" s="264">
        <v>5732711.0</v>
      </c>
      <c r="F990" s="265" t="s">
        <v>3304</v>
      </c>
      <c r="G990" s="280">
        <v>45451.0</v>
      </c>
      <c r="H990" s="281">
        <v>45453.0</v>
      </c>
      <c r="I990" s="282">
        <v>2.0</v>
      </c>
      <c r="J990" s="283" t="s">
        <v>78</v>
      </c>
      <c r="K990" s="265" t="s">
        <v>79</v>
      </c>
      <c r="L990" s="265" t="s">
        <v>1462</v>
      </c>
      <c r="M990" s="264">
        <v>2.0</v>
      </c>
      <c r="N990" s="270">
        <v>0.0</v>
      </c>
      <c r="O990" s="271">
        <v>110.6</v>
      </c>
      <c r="P990" s="271">
        <v>109.494</v>
      </c>
      <c r="Q990" s="272">
        <v>0.0</v>
      </c>
      <c r="R990" s="273">
        <v>218.988</v>
      </c>
      <c r="S990" s="273">
        <v>0.0</v>
      </c>
      <c r="T990" s="273">
        <v>221.2</v>
      </c>
      <c r="U990" s="274" t="s">
        <v>1463</v>
      </c>
      <c r="V990" s="286">
        <v>45442.58484953704</v>
      </c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</row>
    <row r="991">
      <c r="A991" s="276">
        <v>45442.0</v>
      </c>
      <c r="B991" s="252">
        <v>5732876.0</v>
      </c>
      <c r="C991" s="253" t="s">
        <v>82</v>
      </c>
      <c r="D991" s="253" t="s">
        <v>94</v>
      </c>
      <c r="E991" s="252">
        <v>5732876.0</v>
      </c>
      <c r="F991" s="253" t="s">
        <v>3306</v>
      </c>
      <c r="G991" s="276">
        <v>45469.0</v>
      </c>
      <c r="H991" s="277">
        <v>45470.0</v>
      </c>
      <c r="I991" s="278">
        <v>1.0</v>
      </c>
      <c r="J991" s="257" t="s">
        <v>78</v>
      </c>
      <c r="K991" s="253" t="s">
        <v>79</v>
      </c>
      <c r="L991" s="253" t="s">
        <v>1462</v>
      </c>
      <c r="M991" s="252">
        <v>2.0</v>
      </c>
      <c r="N991" s="258">
        <v>0.0</v>
      </c>
      <c r="O991" s="259">
        <v>110.6</v>
      </c>
      <c r="P991" s="259">
        <v>109.494</v>
      </c>
      <c r="Q991" s="262">
        <v>0.0</v>
      </c>
      <c r="R991" s="260">
        <v>109.494</v>
      </c>
      <c r="S991" s="260">
        <v>0.0</v>
      </c>
      <c r="T991" s="260">
        <v>110.6</v>
      </c>
      <c r="U991" s="261" t="s">
        <v>1463</v>
      </c>
      <c r="V991" s="279">
        <v>45442.59428240741</v>
      </c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</row>
    <row r="992">
      <c r="A992" s="210">
        <v>45442.0</v>
      </c>
      <c r="B992" s="166">
        <v>5731070.0</v>
      </c>
      <c r="C992" s="166" t="s">
        <v>82</v>
      </c>
      <c r="D992" s="166" t="s">
        <v>35</v>
      </c>
      <c r="E992" s="166">
        <v>4.680025218E9</v>
      </c>
      <c r="F992" s="166" t="s">
        <v>3307</v>
      </c>
      <c r="G992" s="210">
        <v>45494.0</v>
      </c>
      <c r="H992" s="287">
        <v>45497.0</v>
      </c>
      <c r="I992" s="168">
        <v>3.0</v>
      </c>
      <c r="J992" s="169" t="s">
        <v>78</v>
      </c>
      <c r="K992" s="166" t="s">
        <v>79</v>
      </c>
      <c r="L992" s="166" t="s">
        <v>1396</v>
      </c>
      <c r="M992" s="205">
        <v>2.0</v>
      </c>
      <c r="N992" s="170">
        <v>0.0</v>
      </c>
      <c r="O992" s="171">
        <v>144.48</v>
      </c>
      <c r="P992" s="171">
        <v>115.584</v>
      </c>
      <c r="Q992" s="172">
        <v>0.0</v>
      </c>
      <c r="R992" s="173">
        <v>346.752</v>
      </c>
      <c r="S992" s="173">
        <v>0.0</v>
      </c>
      <c r="T992" s="173">
        <v>433.44</v>
      </c>
      <c r="U992" s="174" t="s">
        <v>1398</v>
      </c>
      <c r="V992" s="288">
        <v>45442.19309027778</v>
      </c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</row>
    <row r="993">
      <c r="A993" s="210">
        <v>45442.0</v>
      </c>
      <c r="B993" s="166">
        <v>5731852.0</v>
      </c>
      <c r="C993" s="166" t="s">
        <v>82</v>
      </c>
      <c r="D993" s="166" t="s">
        <v>35</v>
      </c>
      <c r="E993" s="166">
        <v>4.689914204E9</v>
      </c>
      <c r="F993" s="166" t="s">
        <v>3309</v>
      </c>
      <c r="G993" s="210">
        <v>45523.0</v>
      </c>
      <c r="H993" s="287">
        <v>45525.0</v>
      </c>
      <c r="I993" s="168">
        <v>2.0</v>
      </c>
      <c r="J993" s="169" t="s">
        <v>78</v>
      </c>
      <c r="K993" s="166" t="s">
        <v>79</v>
      </c>
      <c r="L993" s="166" t="s">
        <v>1396</v>
      </c>
      <c r="M993" s="166">
        <v>2.0</v>
      </c>
      <c r="N993" s="170">
        <v>0.0</v>
      </c>
      <c r="O993" s="171">
        <v>132.4</v>
      </c>
      <c r="P993" s="171">
        <v>105.92000000000002</v>
      </c>
      <c r="Q993" s="172">
        <v>0.0</v>
      </c>
      <c r="R993" s="173">
        <v>211.84000000000003</v>
      </c>
      <c r="S993" s="173">
        <v>0.0</v>
      </c>
      <c r="T993" s="173">
        <v>264.8</v>
      </c>
      <c r="U993" s="201" t="s">
        <v>1398</v>
      </c>
      <c r="V993" s="288">
        <v>45442.431979166664</v>
      </c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</row>
    <row r="994">
      <c r="A994" s="276">
        <v>45443.0</v>
      </c>
      <c r="B994" s="252">
        <v>5735675.0</v>
      </c>
      <c r="C994" s="253" t="s">
        <v>89</v>
      </c>
      <c r="D994" s="253" t="s">
        <v>35</v>
      </c>
      <c r="E994" s="252">
        <v>4.381391157E9</v>
      </c>
      <c r="F994" s="253" t="s">
        <v>3311</v>
      </c>
      <c r="G994" s="276">
        <v>45445.0</v>
      </c>
      <c r="H994" s="277">
        <v>45449.0</v>
      </c>
      <c r="I994" s="278">
        <v>4.0</v>
      </c>
      <c r="J994" s="257" t="s">
        <v>114</v>
      </c>
      <c r="K994" s="253" t="s">
        <v>79</v>
      </c>
      <c r="L994" s="253" t="s">
        <v>1396</v>
      </c>
      <c r="M994" s="252">
        <v>2.0</v>
      </c>
      <c r="N994" s="258">
        <v>0.0</v>
      </c>
      <c r="O994" s="259">
        <v>0.0</v>
      </c>
      <c r="P994" s="259">
        <v>0.0</v>
      </c>
      <c r="Q994" s="262">
        <v>0.0</v>
      </c>
      <c r="R994" s="260">
        <v>0.0</v>
      </c>
      <c r="S994" s="260">
        <v>0.0</v>
      </c>
      <c r="T994" s="260">
        <v>0.0</v>
      </c>
      <c r="U994" s="261" t="s">
        <v>3313</v>
      </c>
      <c r="V994" s="279">
        <v>45443.354212962964</v>
      </c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</row>
    <row r="995">
      <c r="A995" s="210">
        <v>45443.0</v>
      </c>
      <c r="B995" s="166">
        <v>5737794.0</v>
      </c>
      <c r="C995" s="166" t="s">
        <v>82</v>
      </c>
      <c r="D995" s="166" t="s">
        <v>94</v>
      </c>
      <c r="E995" s="166">
        <v>5737794.0</v>
      </c>
      <c r="F995" s="166" t="s">
        <v>3314</v>
      </c>
      <c r="G995" s="212">
        <v>45594.0</v>
      </c>
      <c r="H995" s="310">
        <v>45595.0</v>
      </c>
      <c r="I995" s="168">
        <v>1.0</v>
      </c>
      <c r="J995" s="169" t="s">
        <v>87</v>
      </c>
      <c r="K995" s="166" t="s">
        <v>79</v>
      </c>
      <c r="L995" s="166" t="s">
        <v>3316</v>
      </c>
      <c r="M995" s="205">
        <v>2.0</v>
      </c>
      <c r="N995" s="170">
        <v>0.0</v>
      </c>
      <c r="O995" s="171">
        <v>77.0</v>
      </c>
      <c r="P995" s="171">
        <v>76.23</v>
      </c>
      <c r="Q995" s="172">
        <v>0.0</v>
      </c>
      <c r="R995" s="173">
        <v>76.23</v>
      </c>
      <c r="S995" s="173">
        <v>0.0</v>
      </c>
      <c r="T995" s="173">
        <v>490.4</v>
      </c>
      <c r="U995" s="201" t="s">
        <v>3317</v>
      </c>
      <c r="V995" s="288">
        <v>45443.814618055556</v>
      </c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</row>
    <row r="996">
      <c r="A996" s="210">
        <v>45443.0</v>
      </c>
      <c r="B996" s="166">
        <v>5737794.0</v>
      </c>
      <c r="C996" s="166" t="s">
        <v>82</v>
      </c>
      <c r="D996" s="166" t="s">
        <v>94</v>
      </c>
      <c r="E996" s="166">
        <v>5737794.0</v>
      </c>
      <c r="F996" s="166" t="s">
        <v>3314</v>
      </c>
      <c r="G996" s="212">
        <v>45594.0</v>
      </c>
      <c r="H996" s="310">
        <v>45595.0</v>
      </c>
      <c r="I996" s="168">
        <v>1.0</v>
      </c>
      <c r="J996" s="169" t="s">
        <v>78</v>
      </c>
      <c r="K996" s="166" t="s">
        <v>79</v>
      </c>
      <c r="L996" s="166" t="s">
        <v>3316</v>
      </c>
      <c r="M996" s="166">
        <v>2.0</v>
      </c>
      <c r="N996" s="170">
        <v>0.0</v>
      </c>
      <c r="O996" s="171">
        <v>96.2</v>
      </c>
      <c r="P996" s="171">
        <v>95.238</v>
      </c>
      <c r="Q996" s="172">
        <v>0.0</v>
      </c>
      <c r="R996" s="173">
        <v>95.238</v>
      </c>
      <c r="S996" s="173">
        <v>0.0</v>
      </c>
      <c r="T996" s="173">
        <v>490.4</v>
      </c>
      <c r="U996" s="201" t="s">
        <v>3317</v>
      </c>
      <c r="V996" s="288">
        <v>45443.814618055556</v>
      </c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</row>
    <row r="997">
      <c r="A997" s="210">
        <v>45443.0</v>
      </c>
      <c r="B997" s="166">
        <v>5737794.0</v>
      </c>
      <c r="C997" s="166" t="s">
        <v>82</v>
      </c>
      <c r="D997" s="166" t="s">
        <v>94</v>
      </c>
      <c r="E997" s="166">
        <v>5737794.0</v>
      </c>
      <c r="F997" s="166" t="s">
        <v>3314</v>
      </c>
      <c r="G997" s="212">
        <v>45594.0</v>
      </c>
      <c r="H997" s="310">
        <v>45595.0</v>
      </c>
      <c r="I997" s="168">
        <v>1.0</v>
      </c>
      <c r="J997" s="169" t="s">
        <v>111</v>
      </c>
      <c r="K997" s="166" t="s">
        <v>79</v>
      </c>
      <c r="L997" s="166" t="s">
        <v>3316</v>
      </c>
      <c r="M997" s="166">
        <v>2.0</v>
      </c>
      <c r="N997" s="169">
        <v>0.0</v>
      </c>
      <c r="O997" s="171">
        <v>107.4</v>
      </c>
      <c r="P997" s="171">
        <v>106.32600000000001</v>
      </c>
      <c r="Q997" s="169">
        <v>0.0</v>
      </c>
      <c r="R997" s="173">
        <v>106.32600000000001</v>
      </c>
      <c r="S997" s="173">
        <v>0.0</v>
      </c>
      <c r="T997" s="173">
        <v>490.4</v>
      </c>
      <c r="U997" s="201" t="s">
        <v>3317</v>
      </c>
      <c r="V997" s="288">
        <v>45443.814618055556</v>
      </c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</row>
    <row r="998">
      <c r="A998" s="210">
        <v>45443.0</v>
      </c>
      <c r="B998" s="166">
        <v>5737794.0</v>
      </c>
      <c r="C998" s="166" t="s">
        <v>82</v>
      </c>
      <c r="D998" s="166" t="s">
        <v>94</v>
      </c>
      <c r="E998" s="166">
        <v>5737794.0</v>
      </c>
      <c r="F998" s="166" t="s">
        <v>3314</v>
      </c>
      <c r="G998" s="212">
        <v>45594.0</v>
      </c>
      <c r="H998" s="310">
        <v>45595.0</v>
      </c>
      <c r="I998" s="168">
        <v>1.0</v>
      </c>
      <c r="J998" s="169" t="s">
        <v>91</v>
      </c>
      <c r="K998" s="166" t="s">
        <v>79</v>
      </c>
      <c r="L998" s="166" t="s">
        <v>3316</v>
      </c>
      <c r="M998" s="166">
        <v>2.0</v>
      </c>
      <c r="N998" s="170">
        <v>0.0</v>
      </c>
      <c r="O998" s="171">
        <v>209.8</v>
      </c>
      <c r="P998" s="171">
        <v>207.702</v>
      </c>
      <c r="Q998" s="172">
        <v>0.0</v>
      </c>
      <c r="R998" s="173">
        <v>207.702</v>
      </c>
      <c r="S998" s="173">
        <v>0.0</v>
      </c>
      <c r="T998" s="173">
        <v>490.4</v>
      </c>
      <c r="U998" s="201" t="s">
        <v>3317</v>
      </c>
      <c r="V998" s="288">
        <v>45443.814618055556</v>
      </c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</row>
    <row r="999">
      <c r="A999" s="276">
        <v>45444.0</v>
      </c>
      <c r="B999" s="252">
        <v>5740797.0</v>
      </c>
      <c r="C999" s="253" t="s">
        <v>82</v>
      </c>
      <c r="D999" s="253" t="s">
        <v>35</v>
      </c>
      <c r="E999" s="252">
        <v>4.310632067E9</v>
      </c>
      <c r="F999" s="253" t="s">
        <v>3321</v>
      </c>
      <c r="G999" s="276">
        <v>45465.0</v>
      </c>
      <c r="H999" s="277">
        <v>45468.0</v>
      </c>
      <c r="I999" s="278">
        <v>3.0</v>
      </c>
      <c r="J999" s="257" t="s">
        <v>78</v>
      </c>
      <c r="K999" s="253" t="s">
        <v>79</v>
      </c>
      <c r="L999" s="253" t="s">
        <v>1454</v>
      </c>
      <c r="M999" s="252">
        <v>2.0</v>
      </c>
      <c r="N999" s="258">
        <v>0.0</v>
      </c>
      <c r="O999" s="259">
        <v>202.24</v>
      </c>
      <c r="P999" s="259">
        <v>161.79200000000003</v>
      </c>
      <c r="Q999" s="262">
        <v>0.0</v>
      </c>
      <c r="R999" s="260">
        <v>485.37600000000003</v>
      </c>
      <c r="S999" s="260">
        <v>0.0</v>
      </c>
      <c r="T999" s="260">
        <v>606.72</v>
      </c>
      <c r="U999" s="261" t="s">
        <v>1455</v>
      </c>
      <c r="V999" s="279">
        <v>45444.720185185186</v>
      </c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</row>
    <row r="1000">
      <c r="A1000" s="210">
        <v>45444.0</v>
      </c>
      <c r="B1000" s="166">
        <v>5740372.0</v>
      </c>
      <c r="C1000" s="166" t="s">
        <v>82</v>
      </c>
      <c r="D1000" s="166" t="s">
        <v>94</v>
      </c>
      <c r="E1000" s="166">
        <v>5740372.0</v>
      </c>
      <c r="F1000" s="166" t="s">
        <v>3323</v>
      </c>
      <c r="G1000" s="210">
        <v>45561.0</v>
      </c>
      <c r="H1000" s="287">
        <v>45563.0</v>
      </c>
      <c r="I1000" s="168">
        <v>2.0</v>
      </c>
      <c r="J1000" s="169" t="s">
        <v>91</v>
      </c>
      <c r="K1000" s="166" t="s">
        <v>79</v>
      </c>
      <c r="L1000" s="166" t="s">
        <v>1462</v>
      </c>
      <c r="M1000" s="166">
        <v>4.0</v>
      </c>
      <c r="N1000" s="170">
        <v>0.0</v>
      </c>
      <c r="O1000" s="171">
        <v>275.6</v>
      </c>
      <c r="P1000" s="171">
        <v>272.844</v>
      </c>
      <c r="Q1000" s="172">
        <v>0.0</v>
      </c>
      <c r="R1000" s="173">
        <v>545.688</v>
      </c>
      <c r="S1000" s="173">
        <v>0.0</v>
      </c>
      <c r="T1000" s="173">
        <v>551.2</v>
      </c>
      <c r="U1000" s="174" t="s">
        <v>1463</v>
      </c>
      <c r="V1000" s="288">
        <v>45444.63212962963</v>
      </c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</row>
    <row r="1001">
      <c r="A1001" s="276">
        <v>45444.0</v>
      </c>
      <c r="B1001" s="252">
        <v>5741561.0</v>
      </c>
      <c r="C1001" s="253" t="s">
        <v>82</v>
      </c>
      <c r="D1001" s="253" t="s">
        <v>94</v>
      </c>
      <c r="E1001" s="252">
        <v>5741561.0</v>
      </c>
      <c r="F1001" s="253" t="s">
        <v>3326</v>
      </c>
      <c r="G1001" s="304">
        <v>45578.0</v>
      </c>
      <c r="H1001" s="311">
        <v>45579.0</v>
      </c>
      <c r="I1001" s="278">
        <v>1.0</v>
      </c>
      <c r="J1001" s="257" t="s">
        <v>78</v>
      </c>
      <c r="K1001" s="253" t="s">
        <v>79</v>
      </c>
      <c r="L1001" s="253" t="s">
        <v>3316</v>
      </c>
      <c r="M1001" s="252">
        <v>2.0</v>
      </c>
      <c r="N1001" s="258">
        <v>0.0</v>
      </c>
      <c r="O1001" s="259">
        <v>88.2</v>
      </c>
      <c r="P1001" s="259">
        <v>87.318</v>
      </c>
      <c r="Q1001" s="262">
        <v>0.0</v>
      </c>
      <c r="R1001" s="260">
        <v>87.318</v>
      </c>
      <c r="S1001" s="260">
        <v>0.0</v>
      </c>
      <c r="T1001" s="260">
        <v>449.0</v>
      </c>
      <c r="U1001" s="261" t="s">
        <v>3317</v>
      </c>
      <c r="V1001" s="279">
        <v>45444.896157407406</v>
      </c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</row>
    <row r="1002">
      <c r="A1002" s="280">
        <v>45444.0</v>
      </c>
      <c r="B1002" s="264">
        <v>5741561.0</v>
      </c>
      <c r="C1002" s="265" t="s">
        <v>82</v>
      </c>
      <c r="D1002" s="265" t="s">
        <v>94</v>
      </c>
      <c r="E1002" s="264">
        <v>5741561.0</v>
      </c>
      <c r="F1002" s="265" t="s">
        <v>3326</v>
      </c>
      <c r="G1002" s="305">
        <v>45578.0</v>
      </c>
      <c r="H1002" s="313">
        <v>45579.0</v>
      </c>
      <c r="I1002" s="282">
        <v>1.0</v>
      </c>
      <c r="J1002" s="283" t="s">
        <v>78</v>
      </c>
      <c r="K1002" s="265" t="s">
        <v>79</v>
      </c>
      <c r="L1002" s="265" t="s">
        <v>3316</v>
      </c>
      <c r="M1002" s="264">
        <v>2.0</v>
      </c>
      <c r="N1002" s="270">
        <v>0.0</v>
      </c>
      <c r="O1002" s="271">
        <v>88.2</v>
      </c>
      <c r="P1002" s="271">
        <v>87.318</v>
      </c>
      <c r="Q1002" s="272">
        <v>0.0</v>
      </c>
      <c r="R1002" s="273">
        <v>87.318</v>
      </c>
      <c r="S1002" s="273">
        <v>0.0</v>
      </c>
      <c r="T1002" s="273">
        <v>449.0</v>
      </c>
      <c r="U1002" s="274" t="s">
        <v>3317</v>
      </c>
      <c r="V1002" s="286">
        <v>45444.896157407406</v>
      </c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</row>
    <row r="1003">
      <c r="A1003" s="280">
        <v>45444.0</v>
      </c>
      <c r="B1003" s="264">
        <v>5741561.0</v>
      </c>
      <c r="C1003" s="265" t="s">
        <v>82</v>
      </c>
      <c r="D1003" s="265" t="s">
        <v>94</v>
      </c>
      <c r="E1003" s="264">
        <v>5741561.0</v>
      </c>
      <c r="F1003" s="265" t="s">
        <v>3326</v>
      </c>
      <c r="G1003" s="305">
        <v>45578.0</v>
      </c>
      <c r="H1003" s="313">
        <v>45579.0</v>
      </c>
      <c r="I1003" s="282">
        <v>1.0</v>
      </c>
      <c r="J1003" s="283" t="s">
        <v>78</v>
      </c>
      <c r="K1003" s="265" t="s">
        <v>79</v>
      </c>
      <c r="L1003" s="265" t="s">
        <v>3316</v>
      </c>
      <c r="M1003" s="269">
        <v>2.0</v>
      </c>
      <c r="N1003" s="270">
        <v>0.0</v>
      </c>
      <c r="O1003" s="271">
        <v>88.2</v>
      </c>
      <c r="P1003" s="271">
        <v>87.318</v>
      </c>
      <c r="Q1003" s="272">
        <v>0.0</v>
      </c>
      <c r="R1003" s="273">
        <v>87.318</v>
      </c>
      <c r="S1003" s="273">
        <v>0.0</v>
      </c>
      <c r="T1003" s="273">
        <v>449.0</v>
      </c>
      <c r="U1003" s="274" t="s">
        <v>3317</v>
      </c>
      <c r="V1003" s="284">
        <v>45444.896157407406</v>
      </c>
      <c r="W1003" s="36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</row>
    <row r="1004">
      <c r="A1004" s="210">
        <v>45444.0</v>
      </c>
      <c r="B1004" s="166">
        <v>5741561.0</v>
      </c>
      <c r="C1004" s="166" t="s">
        <v>82</v>
      </c>
      <c r="D1004" s="166" t="s">
        <v>94</v>
      </c>
      <c r="E1004" s="166">
        <v>5741561.0</v>
      </c>
      <c r="F1004" s="166" t="s">
        <v>3326</v>
      </c>
      <c r="G1004" s="212">
        <v>45578.0</v>
      </c>
      <c r="H1004" s="310">
        <v>45579.0</v>
      </c>
      <c r="I1004" s="168">
        <v>1.0</v>
      </c>
      <c r="J1004" s="169" t="s">
        <v>78</v>
      </c>
      <c r="K1004" s="166" t="s">
        <v>79</v>
      </c>
      <c r="L1004" s="166" t="s">
        <v>3316</v>
      </c>
      <c r="M1004" s="205">
        <v>2.0</v>
      </c>
      <c r="N1004" s="170">
        <v>0.0</v>
      </c>
      <c r="O1004" s="171">
        <v>88.2</v>
      </c>
      <c r="P1004" s="171">
        <v>87.318</v>
      </c>
      <c r="Q1004" s="172">
        <v>0.0</v>
      </c>
      <c r="R1004" s="173">
        <v>87.318</v>
      </c>
      <c r="S1004" s="173">
        <v>0.0</v>
      </c>
      <c r="T1004" s="173">
        <v>449.0</v>
      </c>
      <c r="U1004" s="174" t="s">
        <v>3317</v>
      </c>
      <c r="V1004" s="288">
        <v>45444.896157407406</v>
      </c>
      <c r="W1004" s="36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</row>
    <row r="1005">
      <c r="A1005" s="280">
        <v>45444.0</v>
      </c>
      <c r="B1005" s="264">
        <v>5741561.0</v>
      </c>
      <c r="C1005" s="265" t="s">
        <v>82</v>
      </c>
      <c r="D1005" s="265" t="s">
        <v>94</v>
      </c>
      <c r="E1005" s="264">
        <v>5741561.0</v>
      </c>
      <c r="F1005" s="265" t="s">
        <v>3326</v>
      </c>
      <c r="G1005" s="305">
        <v>45578.0</v>
      </c>
      <c r="H1005" s="313">
        <v>45579.0</v>
      </c>
      <c r="I1005" s="282">
        <v>1.0</v>
      </c>
      <c r="J1005" s="283" t="s">
        <v>114</v>
      </c>
      <c r="K1005" s="265" t="s">
        <v>79</v>
      </c>
      <c r="L1005" s="265" t="s">
        <v>3316</v>
      </c>
      <c r="M1005" s="269">
        <v>2.0</v>
      </c>
      <c r="N1005" s="270">
        <v>0.0</v>
      </c>
      <c r="O1005" s="271">
        <v>96.2</v>
      </c>
      <c r="P1005" s="271">
        <v>95.238</v>
      </c>
      <c r="Q1005" s="272">
        <v>0.0</v>
      </c>
      <c r="R1005" s="273">
        <v>95.238</v>
      </c>
      <c r="S1005" s="273">
        <v>0.0</v>
      </c>
      <c r="T1005" s="273">
        <v>449.0</v>
      </c>
      <c r="U1005" s="274" t="s">
        <v>3317</v>
      </c>
      <c r="V1005" s="284">
        <v>45444.896157407406</v>
      </c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  <c r="AG1005" s="188"/>
      <c r="AH1005" s="188"/>
      <c r="AI1005" s="188"/>
    </row>
    <row r="1006">
      <c r="A1006" s="280">
        <v>45445.0</v>
      </c>
      <c r="B1006" s="264">
        <v>5744490.0</v>
      </c>
      <c r="C1006" s="265" t="s">
        <v>82</v>
      </c>
      <c r="D1006" s="265" t="s">
        <v>35</v>
      </c>
      <c r="E1006" s="264">
        <v>4.375981599E9</v>
      </c>
      <c r="F1006" s="265" t="s">
        <v>3333</v>
      </c>
      <c r="G1006" s="280">
        <v>45480.0</v>
      </c>
      <c r="H1006" s="281">
        <v>45481.0</v>
      </c>
      <c r="I1006" s="282">
        <v>1.0</v>
      </c>
      <c r="J1006" s="283" t="s">
        <v>114</v>
      </c>
      <c r="K1006" s="265" t="s">
        <v>79</v>
      </c>
      <c r="L1006" s="265" t="s">
        <v>1396</v>
      </c>
      <c r="M1006" s="269">
        <v>2.0</v>
      </c>
      <c r="N1006" s="270">
        <v>0.0</v>
      </c>
      <c r="O1006" s="271">
        <v>140.69</v>
      </c>
      <c r="P1006" s="271">
        <v>112.552</v>
      </c>
      <c r="Q1006" s="272">
        <v>0.0</v>
      </c>
      <c r="R1006" s="273">
        <v>112.552</v>
      </c>
      <c r="S1006" s="273">
        <v>0.0</v>
      </c>
      <c r="T1006" s="273">
        <v>140.69</v>
      </c>
      <c r="U1006" s="274" t="s">
        <v>1398</v>
      </c>
      <c r="V1006" s="286">
        <v>45445.77642361111</v>
      </c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</row>
    <row r="1007">
      <c r="A1007" s="210">
        <v>45445.0</v>
      </c>
      <c r="B1007" s="166">
        <v>5743562.0</v>
      </c>
      <c r="C1007" s="166" t="s">
        <v>82</v>
      </c>
      <c r="D1007" s="166" t="s">
        <v>35</v>
      </c>
      <c r="E1007" s="166">
        <v>4.998889392E9</v>
      </c>
      <c r="F1007" s="166" t="s">
        <v>3337</v>
      </c>
      <c r="G1007" s="210">
        <v>45541.0</v>
      </c>
      <c r="H1007" s="287">
        <v>45545.0</v>
      </c>
      <c r="I1007" s="168">
        <v>4.0</v>
      </c>
      <c r="J1007" s="169" t="s">
        <v>78</v>
      </c>
      <c r="K1007" s="166" t="s">
        <v>79</v>
      </c>
      <c r="L1007" s="166" t="s">
        <v>1396</v>
      </c>
      <c r="M1007" s="166">
        <v>2.0</v>
      </c>
      <c r="N1007" s="170">
        <v>0.0</v>
      </c>
      <c r="O1007" s="171">
        <v>182.52</v>
      </c>
      <c r="P1007" s="171">
        <v>146.01600000000002</v>
      </c>
      <c r="Q1007" s="172">
        <v>0.0</v>
      </c>
      <c r="R1007" s="173">
        <v>584.0640000000001</v>
      </c>
      <c r="S1007" s="173">
        <v>0.0</v>
      </c>
      <c r="T1007" s="173">
        <v>730.08</v>
      </c>
      <c r="U1007" s="174" t="s">
        <v>1398</v>
      </c>
      <c r="V1007" s="288">
        <v>45445.597291666665</v>
      </c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</row>
    <row r="1008">
      <c r="A1008" s="276">
        <v>45445.0</v>
      </c>
      <c r="B1008" s="252">
        <v>5744951.0</v>
      </c>
      <c r="C1008" s="253" t="s">
        <v>82</v>
      </c>
      <c r="D1008" s="253" t="s">
        <v>35</v>
      </c>
      <c r="E1008" s="252">
        <v>4.375961522E9</v>
      </c>
      <c r="F1008" s="253" t="s">
        <v>3339</v>
      </c>
      <c r="G1008" s="276">
        <v>45568.0</v>
      </c>
      <c r="H1008" s="277">
        <v>45572.0</v>
      </c>
      <c r="I1008" s="278">
        <v>4.0</v>
      </c>
      <c r="J1008" s="257" t="s">
        <v>87</v>
      </c>
      <c r="K1008" s="253" t="s">
        <v>138</v>
      </c>
      <c r="L1008" s="253" t="s">
        <v>1584</v>
      </c>
      <c r="M1008" s="252">
        <v>2.0</v>
      </c>
      <c r="N1008" s="258">
        <v>0.0</v>
      </c>
      <c r="O1008" s="259">
        <v>108.08000000000001</v>
      </c>
      <c r="P1008" s="259">
        <v>86.46400000000001</v>
      </c>
      <c r="Q1008" s="262">
        <v>36.0</v>
      </c>
      <c r="R1008" s="260">
        <v>345.85600000000005</v>
      </c>
      <c r="S1008" s="260">
        <v>144.0</v>
      </c>
      <c r="T1008" s="260">
        <v>576.32</v>
      </c>
      <c r="U1008" s="261" t="s">
        <v>1585</v>
      </c>
      <c r="V1008" s="279">
        <v>45445.86814814815</v>
      </c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</row>
    <row r="1009">
      <c r="A1009" s="276">
        <v>45446.0</v>
      </c>
      <c r="B1009" s="252">
        <v>5745652.0</v>
      </c>
      <c r="C1009" s="253" t="s">
        <v>82</v>
      </c>
      <c r="D1009" s="253" t="s">
        <v>94</v>
      </c>
      <c r="E1009" s="252">
        <v>5745652.0</v>
      </c>
      <c r="F1009" s="253" t="s">
        <v>3341</v>
      </c>
      <c r="G1009" s="276">
        <v>45447.0</v>
      </c>
      <c r="H1009" s="277">
        <v>45448.0</v>
      </c>
      <c r="I1009" s="278">
        <v>1.0</v>
      </c>
      <c r="J1009" s="257" t="s">
        <v>78</v>
      </c>
      <c r="K1009" s="253" t="s">
        <v>79</v>
      </c>
      <c r="L1009" s="253" t="s">
        <v>1601</v>
      </c>
      <c r="M1009" s="275">
        <v>1.0</v>
      </c>
      <c r="N1009" s="258">
        <v>0.0</v>
      </c>
      <c r="O1009" s="259">
        <v>128.1</v>
      </c>
      <c r="P1009" s="259">
        <v>126.81899999999999</v>
      </c>
      <c r="Q1009" s="262">
        <v>0.0</v>
      </c>
      <c r="R1009" s="260">
        <v>126.81899999999999</v>
      </c>
      <c r="S1009" s="260">
        <v>0.0</v>
      </c>
      <c r="T1009" s="260">
        <v>128.1</v>
      </c>
      <c r="U1009" s="261" t="s">
        <v>1602</v>
      </c>
      <c r="V1009" s="279">
        <v>45446.11097222222</v>
      </c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</row>
    <row r="1010">
      <c r="A1010" s="210">
        <v>45446.0</v>
      </c>
      <c r="B1010" s="166">
        <v>5746681.0</v>
      </c>
      <c r="C1010" s="166" t="s">
        <v>82</v>
      </c>
      <c r="D1010" s="166" t="s">
        <v>35</v>
      </c>
      <c r="E1010" s="166">
        <v>4.595204267E9</v>
      </c>
      <c r="F1010" s="166" t="s">
        <v>3344</v>
      </c>
      <c r="G1010" s="210">
        <v>45457.0</v>
      </c>
      <c r="H1010" s="287">
        <v>45459.0</v>
      </c>
      <c r="I1010" s="168">
        <v>2.0</v>
      </c>
      <c r="J1010" s="169" t="s">
        <v>78</v>
      </c>
      <c r="K1010" s="166" t="s">
        <v>79</v>
      </c>
      <c r="L1010" s="166" t="s">
        <v>1396</v>
      </c>
      <c r="M1010" s="166">
        <v>2.0</v>
      </c>
      <c r="N1010" s="169">
        <v>0.0</v>
      </c>
      <c r="O1010" s="171">
        <v>132.92</v>
      </c>
      <c r="P1010" s="171">
        <v>106.336</v>
      </c>
      <c r="Q1010" s="169">
        <v>0.0</v>
      </c>
      <c r="R1010" s="173">
        <v>212.672</v>
      </c>
      <c r="S1010" s="173">
        <v>0.0</v>
      </c>
      <c r="T1010" s="173">
        <v>265.84</v>
      </c>
      <c r="U1010" s="201" t="s">
        <v>1398</v>
      </c>
      <c r="V1010" s="288">
        <v>45446.45559027778</v>
      </c>
      <c r="W1010" s="188"/>
      <c r="X1010" s="188"/>
      <c r="Y1010" s="188"/>
      <c r="Z1010" s="188"/>
      <c r="AA1010" s="188"/>
      <c r="AB1010" s="188"/>
      <c r="AC1010" s="188"/>
      <c r="AD1010" s="188"/>
      <c r="AE1010" s="188"/>
      <c r="AF1010" s="188"/>
      <c r="AG1010" s="188"/>
      <c r="AH1010" s="188"/>
      <c r="AI1010" s="188"/>
    </row>
    <row r="1011">
      <c r="A1011" s="280">
        <v>45446.0</v>
      </c>
      <c r="B1011" s="264">
        <v>5746604.0</v>
      </c>
      <c r="C1011" s="265" t="s">
        <v>82</v>
      </c>
      <c r="D1011" s="265" t="s">
        <v>35</v>
      </c>
      <c r="E1011" s="264">
        <v>4.814324331E9</v>
      </c>
      <c r="F1011" s="265" t="s">
        <v>3346</v>
      </c>
      <c r="G1011" s="280">
        <v>45538.0</v>
      </c>
      <c r="H1011" s="281">
        <v>45539.0</v>
      </c>
      <c r="I1011" s="282">
        <v>1.0</v>
      </c>
      <c r="J1011" s="283" t="s">
        <v>78</v>
      </c>
      <c r="K1011" s="265" t="s">
        <v>79</v>
      </c>
      <c r="L1011" s="265" t="s">
        <v>1443</v>
      </c>
      <c r="M1011" s="269">
        <v>2.0</v>
      </c>
      <c r="N1011" s="270">
        <v>0.0</v>
      </c>
      <c r="O1011" s="271">
        <v>123.78</v>
      </c>
      <c r="P1011" s="271">
        <v>99.024</v>
      </c>
      <c r="Q1011" s="272">
        <v>0.0</v>
      </c>
      <c r="R1011" s="273">
        <v>99.024</v>
      </c>
      <c r="S1011" s="273">
        <v>0.0</v>
      </c>
      <c r="T1011" s="273">
        <v>123.78</v>
      </c>
      <c r="U1011" s="274" t="s">
        <v>1444</v>
      </c>
      <c r="V1011" s="286">
        <v>45446.441030092596</v>
      </c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</row>
    <row r="1012">
      <c r="A1012" s="280">
        <v>45446.0</v>
      </c>
      <c r="B1012" s="264">
        <v>5746778.0</v>
      </c>
      <c r="C1012" s="265" t="s">
        <v>82</v>
      </c>
      <c r="D1012" s="265" t="s">
        <v>35</v>
      </c>
      <c r="E1012" s="264">
        <v>4.897954472E9</v>
      </c>
      <c r="F1012" s="265" t="s">
        <v>3346</v>
      </c>
      <c r="G1012" s="280">
        <v>45538.0</v>
      </c>
      <c r="H1012" s="281">
        <v>45539.0</v>
      </c>
      <c r="I1012" s="282">
        <v>1.0</v>
      </c>
      <c r="J1012" s="283" t="s">
        <v>114</v>
      </c>
      <c r="K1012" s="265" t="s">
        <v>79</v>
      </c>
      <c r="L1012" s="265" t="s">
        <v>1396</v>
      </c>
      <c r="M1012" s="269">
        <v>1.0</v>
      </c>
      <c r="N1012" s="270">
        <v>0.0</v>
      </c>
      <c r="O1012" s="271">
        <v>138.19</v>
      </c>
      <c r="P1012" s="271">
        <v>110.552</v>
      </c>
      <c r="Q1012" s="272">
        <v>0.0</v>
      </c>
      <c r="R1012" s="273">
        <v>110.552</v>
      </c>
      <c r="S1012" s="273">
        <v>0.0</v>
      </c>
      <c r="T1012" s="273">
        <v>138.19</v>
      </c>
      <c r="U1012" s="274" t="s">
        <v>1398</v>
      </c>
      <c r="V1012" s="284">
        <v>45446.47505787037</v>
      </c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</row>
    <row r="1013">
      <c r="A1013" s="276">
        <v>45447.0</v>
      </c>
      <c r="B1013" s="252">
        <v>5753812.0</v>
      </c>
      <c r="C1013" s="253" t="s">
        <v>82</v>
      </c>
      <c r="D1013" s="253" t="s">
        <v>35</v>
      </c>
      <c r="E1013" s="252">
        <v>4.655676423E9</v>
      </c>
      <c r="F1013" s="253" t="s">
        <v>3349</v>
      </c>
      <c r="G1013" s="304">
        <v>45623.0</v>
      </c>
      <c r="H1013" s="311">
        <v>45626.0</v>
      </c>
      <c r="I1013" s="278">
        <v>3.0</v>
      </c>
      <c r="J1013" s="257" t="s">
        <v>78</v>
      </c>
      <c r="K1013" s="253" t="s">
        <v>79</v>
      </c>
      <c r="L1013" s="253" t="s">
        <v>1414</v>
      </c>
      <c r="M1013" s="252">
        <v>2.0</v>
      </c>
      <c r="N1013" s="258">
        <v>0.0</v>
      </c>
      <c r="O1013" s="259">
        <v>147.28</v>
      </c>
      <c r="P1013" s="259">
        <v>117.82400000000001</v>
      </c>
      <c r="Q1013" s="257">
        <v>0.0</v>
      </c>
      <c r="R1013" s="260">
        <v>353.472</v>
      </c>
      <c r="S1013" s="260">
        <v>0.0</v>
      </c>
      <c r="T1013" s="260">
        <v>441.84</v>
      </c>
      <c r="U1013" s="261" t="s">
        <v>1415</v>
      </c>
      <c r="V1013" s="279">
        <v>45447.95212962963</v>
      </c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</row>
    <row r="1014">
      <c r="A1014" s="276">
        <v>45448.0</v>
      </c>
      <c r="B1014" s="252">
        <v>5757624.0</v>
      </c>
      <c r="C1014" s="253" t="s">
        <v>82</v>
      </c>
      <c r="D1014" s="253" t="s">
        <v>35</v>
      </c>
      <c r="E1014" s="252">
        <v>4.829063677E9</v>
      </c>
      <c r="F1014" s="253" t="s">
        <v>3351</v>
      </c>
      <c r="G1014" s="276">
        <v>45514.0</v>
      </c>
      <c r="H1014" s="277">
        <v>45517.0</v>
      </c>
      <c r="I1014" s="278">
        <v>3.0</v>
      </c>
      <c r="J1014" s="257" t="s">
        <v>78</v>
      </c>
      <c r="K1014" s="253" t="s">
        <v>79</v>
      </c>
      <c r="L1014" s="253" t="s">
        <v>1396</v>
      </c>
      <c r="M1014" s="275">
        <v>2.0</v>
      </c>
      <c r="N1014" s="258">
        <v>0.0</v>
      </c>
      <c r="O1014" s="259">
        <v>168.24</v>
      </c>
      <c r="P1014" s="259">
        <v>134.592</v>
      </c>
      <c r="Q1014" s="262">
        <v>0.0</v>
      </c>
      <c r="R1014" s="260">
        <v>403.77600000000007</v>
      </c>
      <c r="S1014" s="260">
        <v>0.0</v>
      </c>
      <c r="T1014" s="260">
        <v>504.72</v>
      </c>
      <c r="U1014" s="261" t="s">
        <v>1398</v>
      </c>
      <c r="V1014" s="279">
        <v>45448.930601851855</v>
      </c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</row>
    <row r="1015">
      <c r="A1015" s="276">
        <v>45448.0</v>
      </c>
      <c r="B1015" s="252">
        <v>5756045.0</v>
      </c>
      <c r="C1015" s="253" t="s">
        <v>82</v>
      </c>
      <c r="D1015" s="253" t="s">
        <v>35</v>
      </c>
      <c r="E1015" s="252">
        <v>4.726674316E9</v>
      </c>
      <c r="F1015" s="253" t="s">
        <v>3354</v>
      </c>
      <c r="G1015" s="276">
        <v>45529.0</v>
      </c>
      <c r="H1015" s="277">
        <v>45532.0</v>
      </c>
      <c r="I1015" s="278">
        <v>3.0</v>
      </c>
      <c r="J1015" s="257" t="s">
        <v>78</v>
      </c>
      <c r="K1015" s="253" t="s">
        <v>79</v>
      </c>
      <c r="L1015" s="253" t="s">
        <v>2808</v>
      </c>
      <c r="M1015" s="275">
        <v>2.0</v>
      </c>
      <c r="N1015" s="258">
        <v>0.0</v>
      </c>
      <c r="O1015" s="259">
        <v>157.32</v>
      </c>
      <c r="P1015" s="259">
        <v>125.856</v>
      </c>
      <c r="Q1015" s="262">
        <v>0.0</v>
      </c>
      <c r="R1015" s="260">
        <v>377.568</v>
      </c>
      <c r="S1015" s="260">
        <v>0.0</v>
      </c>
      <c r="T1015" s="260">
        <v>471.96</v>
      </c>
      <c r="U1015" s="261" t="s">
        <v>2810</v>
      </c>
      <c r="V1015" s="279">
        <v>45448.63547453703</v>
      </c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</row>
    <row r="1016">
      <c r="A1016" s="276">
        <v>45448.0</v>
      </c>
      <c r="B1016" s="252">
        <v>5756530.0</v>
      </c>
      <c r="C1016" s="253" t="s">
        <v>82</v>
      </c>
      <c r="D1016" s="253" t="s">
        <v>94</v>
      </c>
      <c r="E1016" s="252">
        <v>5756530.0</v>
      </c>
      <c r="F1016" s="253" t="s">
        <v>3356</v>
      </c>
      <c r="G1016" s="276">
        <v>45545.0</v>
      </c>
      <c r="H1016" s="277">
        <v>45548.0</v>
      </c>
      <c r="I1016" s="278">
        <v>3.0</v>
      </c>
      <c r="J1016" s="257" t="s">
        <v>78</v>
      </c>
      <c r="K1016" s="253" t="s">
        <v>79</v>
      </c>
      <c r="L1016" s="253" t="s">
        <v>1601</v>
      </c>
      <c r="M1016" s="252">
        <v>2.0</v>
      </c>
      <c r="N1016" s="258">
        <v>0.0</v>
      </c>
      <c r="O1016" s="259">
        <v>117.26666666666667</v>
      </c>
      <c r="P1016" s="259">
        <v>116.094</v>
      </c>
      <c r="Q1016" s="262">
        <v>0.0</v>
      </c>
      <c r="R1016" s="260">
        <v>348.282</v>
      </c>
      <c r="S1016" s="260">
        <v>0.0</v>
      </c>
      <c r="T1016" s="260">
        <v>351.8</v>
      </c>
      <c r="U1016" s="261" t="s">
        <v>1602</v>
      </c>
      <c r="V1016" s="279">
        <v>45448.71959490741</v>
      </c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</row>
    <row r="1017">
      <c r="A1017" s="276">
        <v>45449.0</v>
      </c>
      <c r="B1017" s="252">
        <v>5759069.0</v>
      </c>
      <c r="C1017" s="253" t="s">
        <v>82</v>
      </c>
      <c r="D1017" s="253" t="s">
        <v>35</v>
      </c>
      <c r="E1017" s="252">
        <v>4.78216058E9</v>
      </c>
      <c r="F1017" s="253" t="s">
        <v>3357</v>
      </c>
      <c r="G1017" s="276">
        <v>45449.0</v>
      </c>
      <c r="H1017" s="277">
        <v>45450.0</v>
      </c>
      <c r="I1017" s="278">
        <v>1.0</v>
      </c>
      <c r="J1017" s="257" t="s">
        <v>111</v>
      </c>
      <c r="K1017" s="253" t="s">
        <v>79</v>
      </c>
      <c r="L1017" s="253" t="s">
        <v>2803</v>
      </c>
      <c r="M1017" s="252">
        <v>2.0</v>
      </c>
      <c r="N1017" s="258">
        <v>0.0</v>
      </c>
      <c r="O1017" s="259">
        <v>160.61</v>
      </c>
      <c r="P1017" s="259">
        <v>128.48800000000003</v>
      </c>
      <c r="Q1017" s="257">
        <v>0.0</v>
      </c>
      <c r="R1017" s="260">
        <v>128.48800000000003</v>
      </c>
      <c r="S1017" s="260">
        <v>0.0</v>
      </c>
      <c r="T1017" s="260">
        <v>160.61</v>
      </c>
      <c r="U1017" s="261" t="s">
        <v>2804</v>
      </c>
      <c r="V1017" s="279">
        <v>45449.46949074074</v>
      </c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</row>
    <row r="1018">
      <c r="A1018" s="210">
        <v>45449.0</v>
      </c>
      <c r="B1018" s="166">
        <v>5760473.0</v>
      </c>
      <c r="C1018" s="166" t="s">
        <v>82</v>
      </c>
      <c r="D1018" s="166" t="s">
        <v>35</v>
      </c>
      <c r="E1018" s="166">
        <v>4.305924739E9</v>
      </c>
      <c r="F1018" s="166" t="s">
        <v>3358</v>
      </c>
      <c r="G1018" s="210">
        <v>45469.0</v>
      </c>
      <c r="H1018" s="287">
        <v>45471.0</v>
      </c>
      <c r="I1018" s="168">
        <v>2.0</v>
      </c>
      <c r="J1018" s="169" t="s">
        <v>78</v>
      </c>
      <c r="K1018" s="166" t="s">
        <v>79</v>
      </c>
      <c r="L1018" s="166" t="s">
        <v>2803</v>
      </c>
      <c r="M1018" s="166">
        <v>2.0</v>
      </c>
      <c r="N1018" s="170">
        <v>0.0</v>
      </c>
      <c r="O1018" s="171">
        <v>167.45</v>
      </c>
      <c r="P1018" s="171">
        <v>133.96</v>
      </c>
      <c r="Q1018" s="172">
        <v>0.0</v>
      </c>
      <c r="R1018" s="173">
        <v>267.92</v>
      </c>
      <c r="S1018" s="173">
        <v>0.0</v>
      </c>
      <c r="T1018" s="173">
        <v>334.9</v>
      </c>
      <c r="U1018" s="201" t="s">
        <v>2804</v>
      </c>
      <c r="V1018" s="288">
        <v>45449.741006944445</v>
      </c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</row>
    <row r="1019">
      <c r="A1019" s="280">
        <v>45450.0</v>
      </c>
      <c r="B1019" s="264">
        <v>5763533.0</v>
      </c>
      <c r="C1019" s="265" t="s">
        <v>82</v>
      </c>
      <c r="D1019" s="265" t="s">
        <v>94</v>
      </c>
      <c r="E1019" s="264">
        <v>5763533.0</v>
      </c>
      <c r="F1019" s="265" t="s">
        <v>3359</v>
      </c>
      <c r="G1019" s="280">
        <v>45451.0</v>
      </c>
      <c r="H1019" s="281">
        <v>45452.0</v>
      </c>
      <c r="I1019" s="282">
        <v>1.0</v>
      </c>
      <c r="J1019" s="283" t="s">
        <v>114</v>
      </c>
      <c r="K1019" s="265" t="s">
        <v>79</v>
      </c>
      <c r="L1019" s="265" t="s">
        <v>1462</v>
      </c>
      <c r="M1019" s="269">
        <v>2.0</v>
      </c>
      <c r="N1019" s="270">
        <v>0.0</v>
      </c>
      <c r="O1019" s="271">
        <v>139.4</v>
      </c>
      <c r="P1019" s="271">
        <v>138.006</v>
      </c>
      <c r="Q1019" s="272">
        <v>0.0</v>
      </c>
      <c r="R1019" s="273">
        <v>138.006</v>
      </c>
      <c r="S1019" s="273">
        <v>0.0</v>
      </c>
      <c r="T1019" s="273">
        <v>139.4</v>
      </c>
      <c r="U1019" s="274" t="s">
        <v>1463</v>
      </c>
      <c r="V1019" s="286">
        <v>45450.59585648148</v>
      </c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</row>
    <row r="1020">
      <c r="A1020" s="210">
        <v>45450.0</v>
      </c>
      <c r="B1020" s="166">
        <v>5762401.0</v>
      </c>
      <c r="C1020" s="166" t="s">
        <v>89</v>
      </c>
      <c r="D1020" s="166" t="s">
        <v>94</v>
      </c>
      <c r="E1020" s="166">
        <v>5762401.0</v>
      </c>
      <c r="F1020" s="166" t="s">
        <v>3360</v>
      </c>
      <c r="G1020" s="210">
        <v>45456.0</v>
      </c>
      <c r="H1020" s="287">
        <v>45459.0</v>
      </c>
      <c r="I1020" s="168">
        <v>3.0</v>
      </c>
      <c r="J1020" s="169" t="s">
        <v>78</v>
      </c>
      <c r="K1020" s="166" t="s">
        <v>79</v>
      </c>
      <c r="L1020" s="166" t="s">
        <v>1462</v>
      </c>
      <c r="M1020" s="166">
        <v>2.0</v>
      </c>
      <c r="N1020" s="170">
        <v>0.0</v>
      </c>
      <c r="O1020" s="171">
        <v>0.0</v>
      </c>
      <c r="P1020" s="171">
        <v>0.0</v>
      </c>
      <c r="Q1020" s="172">
        <v>0.0</v>
      </c>
      <c r="R1020" s="173">
        <v>0.0</v>
      </c>
      <c r="S1020" s="173">
        <v>0.0</v>
      </c>
      <c r="T1020" s="173">
        <v>0.0</v>
      </c>
      <c r="U1020" s="174" t="s">
        <v>3361</v>
      </c>
      <c r="V1020" s="288">
        <v>45450.36858796296</v>
      </c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</row>
    <row r="1021">
      <c r="A1021" s="210">
        <v>45450.0</v>
      </c>
      <c r="B1021" s="166">
        <v>5761945.0</v>
      </c>
      <c r="C1021" s="166" t="s">
        <v>82</v>
      </c>
      <c r="D1021" s="166" t="s">
        <v>94</v>
      </c>
      <c r="E1021" s="166">
        <v>5761945.0</v>
      </c>
      <c r="F1021" s="166" t="s">
        <v>3362</v>
      </c>
      <c r="G1021" s="210">
        <v>45565.0</v>
      </c>
      <c r="H1021" s="287">
        <v>45567.0</v>
      </c>
      <c r="I1021" s="168">
        <v>2.0</v>
      </c>
      <c r="J1021" s="169" t="s">
        <v>78</v>
      </c>
      <c r="K1021" s="166" t="s">
        <v>79</v>
      </c>
      <c r="L1021" s="166" t="s">
        <v>1601</v>
      </c>
      <c r="M1021" s="205">
        <v>2.0</v>
      </c>
      <c r="N1021" s="170">
        <v>0.0</v>
      </c>
      <c r="O1021" s="171">
        <v>109.4</v>
      </c>
      <c r="P1021" s="171">
        <v>108.30600000000001</v>
      </c>
      <c r="Q1021" s="172">
        <v>0.0</v>
      </c>
      <c r="R1021" s="173">
        <v>216.61200000000002</v>
      </c>
      <c r="S1021" s="173">
        <v>0.0</v>
      </c>
      <c r="T1021" s="173">
        <v>218.8</v>
      </c>
      <c r="U1021" s="174" t="s">
        <v>1602</v>
      </c>
      <c r="V1021" s="288">
        <v>45450.19108796296</v>
      </c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</row>
    <row r="1022">
      <c r="A1022" s="276">
        <v>45451.0</v>
      </c>
      <c r="B1022" s="252">
        <v>5766267.0</v>
      </c>
      <c r="C1022" s="253" t="s">
        <v>82</v>
      </c>
      <c r="D1022" s="285" t="s">
        <v>35</v>
      </c>
      <c r="E1022" s="252">
        <v>4.456884582E9</v>
      </c>
      <c r="F1022" s="253" t="s">
        <v>3363</v>
      </c>
      <c r="G1022" s="276">
        <v>45465.0</v>
      </c>
      <c r="H1022" s="277">
        <v>45469.0</v>
      </c>
      <c r="I1022" s="278">
        <v>4.0</v>
      </c>
      <c r="J1022" s="257" t="s">
        <v>78</v>
      </c>
      <c r="K1022" s="253" t="s">
        <v>79</v>
      </c>
      <c r="L1022" s="253" t="s">
        <v>3364</v>
      </c>
      <c r="M1022" s="275">
        <v>2.0</v>
      </c>
      <c r="N1022" s="258">
        <v>0.0</v>
      </c>
      <c r="O1022" s="259">
        <v>171.9</v>
      </c>
      <c r="P1022" s="259">
        <v>137.52</v>
      </c>
      <c r="Q1022" s="262">
        <v>0.0</v>
      </c>
      <c r="R1022" s="260">
        <v>550.08</v>
      </c>
      <c r="S1022" s="260">
        <v>0.0</v>
      </c>
      <c r="T1022" s="260">
        <v>687.6</v>
      </c>
      <c r="U1022" s="261" t="s">
        <v>3365</v>
      </c>
      <c r="V1022" s="279">
        <v>45451.425034722226</v>
      </c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</row>
    <row r="1023">
      <c r="A1023" s="210">
        <v>45451.0</v>
      </c>
      <c r="B1023" s="166">
        <v>5767826.0</v>
      </c>
      <c r="C1023" s="166" t="s">
        <v>82</v>
      </c>
      <c r="D1023" s="166" t="s">
        <v>35</v>
      </c>
      <c r="E1023" s="166">
        <v>4.893339408E9</v>
      </c>
      <c r="F1023" s="166" t="s">
        <v>3366</v>
      </c>
      <c r="G1023" s="210">
        <v>45469.0</v>
      </c>
      <c r="H1023" s="287">
        <v>45471.0</v>
      </c>
      <c r="I1023" s="168">
        <v>2.0</v>
      </c>
      <c r="J1023" s="169" t="s">
        <v>114</v>
      </c>
      <c r="K1023" s="166" t="s">
        <v>79</v>
      </c>
      <c r="L1023" s="166" t="s">
        <v>2803</v>
      </c>
      <c r="M1023" s="166">
        <v>2.0</v>
      </c>
      <c r="N1023" s="170">
        <v>0.0</v>
      </c>
      <c r="O1023" s="171">
        <v>149.5</v>
      </c>
      <c r="P1023" s="171">
        <v>119.60000000000001</v>
      </c>
      <c r="Q1023" s="172">
        <v>0.0</v>
      </c>
      <c r="R1023" s="173">
        <v>239.20000000000002</v>
      </c>
      <c r="S1023" s="173">
        <v>0.0</v>
      </c>
      <c r="T1023" s="173">
        <v>299.0</v>
      </c>
      <c r="U1023" s="174" t="s">
        <v>2804</v>
      </c>
      <c r="V1023" s="288">
        <v>45451.74517361111</v>
      </c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</row>
    <row r="1024">
      <c r="A1024" s="210">
        <v>45451.0</v>
      </c>
      <c r="B1024" s="166">
        <v>5767158.0</v>
      </c>
      <c r="C1024" s="166" t="s">
        <v>82</v>
      </c>
      <c r="D1024" s="166" t="s">
        <v>35</v>
      </c>
      <c r="E1024" s="166">
        <v>4.65304968E9</v>
      </c>
      <c r="F1024" s="166" t="s">
        <v>3367</v>
      </c>
      <c r="G1024" s="210">
        <v>45548.0</v>
      </c>
      <c r="H1024" s="287">
        <v>45549.0</v>
      </c>
      <c r="I1024" s="168">
        <v>1.0</v>
      </c>
      <c r="J1024" s="169" t="s">
        <v>78</v>
      </c>
      <c r="K1024" s="166" t="s">
        <v>79</v>
      </c>
      <c r="L1024" s="166" t="s">
        <v>2803</v>
      </c>
      <c r="M1024" s="166">
        <v>2.0</v>
      </c>
      <c r="N1024" s="169">
        <v>0.0</v>
      </c>
      <c r="O1024" s="171">
        <v>119.56</v>
      </c>
      <c r="P1024" s="171">
        <v>95.64800000000001</v>
      </c>
      <c r="Q1024" s="169">
        <v>0.0</v>
      </c>
      <c r="R1024" s="173">
        <v>95.64800000000001</v>
      </c>
      <c r="S1024" s="173">
        <v>0.0</v>
      </c>
      <c r="T1024" s="173">
        <v>119.56</v>
      </c>
      <c r="U1024" s="201" t="s">
        <v>2804</v>
      </c>
      <c r="V1024" s="288">
        <v>45451.60700231481</v>
      </c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</row>
    <row r="1025">
      <c r="A1025" s="210">
        <v>45452.0</v>
      </c>
      <c r="B1025" s="166">
        <v>5771416.0</v>
      </c>
      <c r="C1025" s="166" t="s">
        <v>82</v>
      </c>
      <c r="D1025" s="166" t="s">
        <v>94</v>
      </c>
      <c r="E1025" s="166">
        <v>5771416.0</v>
      </c>
      <c r="F1025" s="166" t="s">
        <v>3207</v>
      </c>
      <c r="G1025" s="210">
        <v>45454.0</v>
      </c>
      <c r="H1025" s="287">
        <v>45455.0</v>
      </c>
      <c r="I1025" s="168">
        <v>1.0</v>
      </c>
      <c r="J1025" s="169" t="s">
        <v>78</v>
      </c>
      <c r="K1025" s="166" t="s">
        <v>79</v>
      </c>
      <c r="L1025" s="166" t="s">
        <v>1462</v>
      </c>
      <c r="M1025" s="166">
        <v>2.0</v>
      </c>
      <c r="N1025" s="170">
        <v>0.0</v>
      </c>
      <c r="O1025" s="171">
        <v>110.6</v>
      </c>
      <c r="P1025" s="171">
        <v>109.494</v>
      </c>
      <c r="Q1025" s="172">
        <v>0.0</v>
      </c>
      <c r="R1025" s="173">
        <v>109.494</v>
      </c>
      <c r="S1025" s="173">
        <v>0.0</v>
      </c>
      <c r="T1025" s="173">
        <v>110.6</v>
      </c>
      <c r="U1025" s="201" t="s">
        <v>1463</v>
      </c>
      <c r="V1025" s="288">
        <v>45452.74667824074</v>
      </c>
      <c r="W1025" s="188"/>
      <c r="X1025" s="188"/>
      <c r="Y1025" s="188"/>
      <c r="Z1025" s="188"/>
      <c r="AA1025" s="188"/>
      <c r="AB1025" s="188"/>
      <c r="AC1025" s="188"/>
      <c r="AD1025" s="188"/>
      <c r="AE1025" s="188"/>
      <c r="AF1025" s="188"/>
      <c r="AG1025" s="188"/>
      <c r="AH1025" s="188"/>
      <c r="AI1025" s="188"/>
    </row>
    <row r="1026">
      <c r="A1026" s="276">
        <v>45452.0</v>
      </c>
      <c r="B1026" s="252">
        <v>5770421.0</v>
      </c>
      <c r="C1026" s="253" t="s">
        <v>82</v>
      </c>
      <c r="D1026" s="253" t="s">
        <v>35</v>
      </c>
      <c r="E1026" s="252">
        <v>4.588300122E9</v>
      </c>
      <c r="F1026" s="253" t="s">
        <v>3368</v>
      </c>
      <c r="G1026" s="276">
        <v>45545.0</v>
      </c>
      <c r="H1026" s="277">
        <v>45549.0</v>
      </c>
      <c r="I1026" s="278">
        <v>4.0</v>
      </c>
      <c r="J1026" s="257" t="s">
        <v>78</v>
      </c>
      <c r="K1026" s="253" t="s">
        <v>79</v>
      </c>
      <c r="L1026" s="253" t="s">
        <v>2803</v>
      </c>
      <c r="M1026" s="252">
        <v>2.0</v>
      </c>
      <c r="N1026" s="258">
        <v>0.0</v>
      </c>
      <c r="O1026" s="259">
        <v>123.78</v>
      </c>
      <c r="P1026" s="259">
        <v>99.024</v>
      </c>
      <c r="Q1026" s="262">
        <v>0.0</v>
      </c>
      <c r="R1026" s="260">
        <v>396.096</v>
      </c>
      <c r="S1026" s="260">
        <v>0.0</v>
      </c>
      <c r="T1026" s="260">
        <v>495.12</v>
      </c>
      <c r="U1026" s="261" t="s">
        <v>2804</v>
      </c>
      <c r="V1026" s="279">
        <v>45452.568773148145</v>
      </c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</row>
    <row r="1027">
      <c r="A1027" s="210">
        <v>45452.0</v>
      </c>
      <c r="B1027" s="166">
        <v>5771611.0</v>
      </c>
      <c r="C1027" s="166" t="s">
        <v>82</v>
      </c>
      <c r="D1027" s="166" t="s">
        <v>35</v>
      </c>
      <c r="E1027" s="166">
        <v>4.993678328E9</v>
      </c>
      <c r="F1027" s="166" t="s">
        <v>3369</v>
      </c>
      <c r="G1027" s="212">
        <v>45621.0</v>
      </c>
      <c r="H1027" s="310">
        <v>45625.0</v>
      </c>
      <c r="I1027" s="168">
        <v>4.0</v>
      </c>
      <c r="J1027" s="169" t="s">
        <v>111</v>
      </c>
      <c r="K1027" s="166" t="s">
        <v>79</v>
      </c>
      <c r="L1027" s="166" t="s">
        <v>3370</v>
      </c>
      <c r="M1027" s="166">
        <v>2.0</v>
      </c>
      <c r="N1027" s="170">
        <v>0.0</v>
      </c>
      <c r="O1027" s="171">
        <v>190.8</v>
      </c>
      <c r="P1027" s="171">
        <v>152.64000000000001</v>
      </c>
      <c r="Q1027" s="172">
        <v>0.0</v>
      </c>
      <c r="R1027" s="173">
        <v>610.5600000000001</v>
      </c>
      <c r="S1027" s="173">
        <v>0.0</v>
      </c>
      <c r="T1027" s="173">
        <v>763.2</v>
      </c>
      <c r="U1027" s="174" t="s">
        <v>3371</v>
      </c>
      <c r="V1027" s="288">
        <v>45452.78199074074</v>
      </c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</row>
    <row r="1028">
      <c r="A1028" s="210">
        <v>45453.0</v>
      </c>
      <c r="B1028" s="166">
        <v>5775513.0</v>
      </c>
      <c r="C1028" s="166" t="s">
        <v>82</v>
      </c>
      <c r="D1028" s="166" t="s">
        <v>35</v>
      </c>
      <c r="E1028" s="166">
        <v>4.574589519E9</v>
      </c>
      <c r="F1028" s="166" t="s">
        <v>3372</v>
      </c>
      <c r="G1028" s="210">
        <v>45457.0</v>
      </c>
      <c r="H1028" s="287">
        <v>45458.0</v>
      </c>
      <c r="I1028" s="168">
        <v>1.0</v>
      </c>
      <c r="J1028" s="169" t="s">
        <v>78</v>
      </c>
      <c r="K1028" s="166" t="s">
        <v>79</v>
      </c>
      <c r="L1028" s="166" t="s">
        <v>2803</v>
      </c>
      <c r="M1028" s="166">
        <v>2.0</v>
      </c>
      <c r="N1028" s="170">
        <v>0.0</v>
      </c>
      <c r="O1028" s="171">
        <v>179.95</v>
      </c>
      <c r="P1028" s="171">
        <v>143.96</v>
      </c>
      <c r="Q1028" s="172">
        <v>0.0</v>
      </c>
      <c r="R1028" s="173">
        <v>143.96</v>
      </c>
      <c r="S1028" s="173">
        <v>0.0</v>
      </c>
      <c r="T1028" s="173">
        <v>179.95</v>
      </c>
      <c r="U1028" s="201" t="s">
        <v>2804</v>
      </c>
      <c r="V1028" s="288">
        <v>45453.81672453704</v>
      </c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</row>
    <row r="1029">
      <c r="A1029" s="210">
        <v>45453.0</v>
      </c>
      <c r="B1029" s="166">
        <v>5774302.0</v>
      </c>
      <c r="C1029" s="166" t="s">
        <v>82</v>
      </c>
      <c r="D1029" s="166" t="s">
        <v>94</v>
      </c>
      <c r="E1029" s="166">
        <v>5774302.0</v>
      </c>
      <c r="F1029" s="166" t="s">
        <v>3373</v>
      </c>
      <c r="G1029" s="210">
        <v>45459.0</v>
      </c>
      <c r="H1029" s="287">
        <v>45463.0</v>
      </c>
      <c r="I1029" s="168">
        <v>4.0</v>
      </c>
      <c r="J1029" s="169" t="s">
        <v>91</v>
      </c>
      <c r="K1029" s="166" t="s">
        <v>79</v>
      </c>
      <c r="L1029" s="166" t="s">
        <v>1462</v>
      </c>
      <c r="M1029" s="166">
        <v>2.0</v>
      </c>
      <c r="N1029" s="170">
        <v>0.0</v>
      </c>
      <c r="O1029" s="171">
        <v>270.6</v>
      </c>
      <c r="P1029" s="171">
        <v>267.894</v>
      </c>
      <c r="Q1029" s="172">
        <v>0.0</v>
      </c>
      <c r="R1029" s="173">
        <v>1071.576</v>
      </c>
      <c r="S1029" s="173">
        <v>0.0</v>
      </c>
      <c r="T1029" s="173">
        <v>1082.4</v>
      </c>
      <c r="U1029" s="174" t="s">
        <v>1463</v>
      </c>
      <c r="V1029" s="288">
        <v>45453.591458333336</v>
      </c>
      <c r="W1029" s="188"/>
      <c r="X1029" s="188"/>
      <c r="Y1029" s="188"/>
      <c r="Z1029" s="188"/>
      <c r="AA1029" s="188"/>
      <c r="AB1029" s="188"/>
      <c r="AC1029" s="188"/>
      <c r="AD1029" s="188"/>
      <c r="AE1029" s="188"/>
      <c r="AF1029" s="188"/>
      <c r="AG1029" s="188"/>
      <c r="AH1029" s="188"/>
      <c r="AI1029" s="188"/>
    </row>
    <row r="1030">
      <c r="A1030" s="280">
        <v>45453.0</v>
      </c>
      <c r="B1030" s="264">
        <v>5775042.0</v>
      </c>
      <c r="C1030" s="265" t="s">
        <v>82</v>
      </c>
      <c r="D1030" s="265" t="s">
        <v>35</v>
      </c>
      <c r="E1030" s="264">
        <v>4.664264588E9</v>
      </c>
      <c r="F1030" s="265" t="s">
        <v>3368</v>
      </c>
      <c r="G1030" s="280">
        <v>45542.0</v>
      </c>
      <c r="H1030" s="281">
        <v>45543.0</v>
      </c>
      <c r="I1030" s="282">
        <v>1.0</v>
      </c>
      <c r="J1030" s="283" t="s">
        <v>78</v>
      </c>
      <c r="K1030" s="265" t="s">
        <v>79</v>
      </c>
      <c r="L1030" s="265" t="s">
        <v>2803</v>
      </c>
      <c r="M1030" s="269">
        <v>2.0</v>
      </c>
      <c r="N1030" s="270">
        <v>0.0</v>
      </c>
      <c r="O1030" s="271">
        <v>123.78</v>
      </c>
      <c r="P1030" s="271">
        <v>99.024</v>
      </c>
      <c r="Q1030" s="272">
        <v>0.0</v>
      </c>
      <c r="R1030" s="273">
        <v>99.024</v>
      </c>
      <c r="S1030" s="273">
        <v>0.0</v>
      </c>
      <c r="T1030" s="273">
        <v>123.78</v>
      </c>
      <c r="U1030" s="274" t="s">
        <v>2804</v>
      </c>
      <c r="V1030" s="284">
        <v>45453.723645833335</v>
      </c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</row>
    <row r="1031">
      <c r="A1031" s="210">
        <v>45453.0</v>
      </c>
      <c r="B1031" s="166">
        <v>5774348.0</v>
      </c>
      <c r="C1031" s="166" t="s">
        <v>82</v>
      </c>
      <c r="D1031" s="166" t="s">
        <v>35</v>
      </c>
      <c r="E1031" s="166">
        <v>4.609144037E9</v>
      </c>
      <c r="F1031" s="166" t="s">
        <v>3374</v>
      </c>
      <c r="G1031" s="210">
        <v>45566.0</v>
      </c>
      <c r="H1031" s="287">
        <v>45569.0</v>
      </c>
      <c r="I1031" s="168">
        <v>3.0</v>
      </c>
      <c r="J1031" s="169" t="s">
        <v>78</v>
      </c>
      <c r="K1031" s="166" t="s">
        <v>79</v>
      </c>
      <c r="L1031" s="166" t="s">
        <v>3375</v>
      </c>
      <c r="M1031" s="205">
        <v>2.0</v>
      </c>
      <c r="N1031" s="170">
        <v>0.0</v>
      </c>
      <c r="O1031" s="171">
        <v>97.48</v>
      </c>
      <c r="P1031" s="171">
        <v>77.98400000000001</v>
      </c>
      <c r="Q1031" s="172">
        <v>0.0</v>
      </c>
      <c r="R1031" s="173">
        <v>233.952</v>
      </c>
      <c r="S1031" s="173">
        <v>0.0</v>
      </c>
      <c r="T1031" s="173">
        <v>292.44</v>
      </c>
      <c r="U1031" s="174" t="s">
        <v>3376</v>
      </c>
      <c r="V1031" s="288">
        <v>45453.60214120371</v>
      </c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</row>
    <row r="1032">
      <c r="A1032" s="276">
        <v>45454.0</v>
      </c>
      <c r="B1032" s="252">
        <v>5778289.0</v>
      </c>
      <c r="C1032" s="253" t="s">
        <v>82</v>
      </c>
      <c r="D1032" s="253" t="s">
        <v>94</v>
      </c>
      <c r="E1032" s="252">
        <v>4.42088455E8</v>
      </c>
      <c r="F1032" s="253" t="s">
        <v>3377</v>
      </c>
      <c r="G1032" s="276">
        <v>45471.0</v>
      </c>
      <c r="H1032" s="277">
        <v>45473.0</v>
      </c>
      <c r="I1032" s="278">
        <v>2.0</v>
      </c>
      <c r="J1032" s="257" t="s">
        <v>78</v>
      </c>
      <c r="K1032" s="253" t="s">
        <v>79</v>
      </c>
      <c r="L1032" s="253" t="s">
        <v>3378</v>
      </c>
      <c r="M1032" s="275">
        <v>2.0</v>
      </c>
      <c r="N1032" s="258">
        <v>0.0</v>
      </c>
      <c r="O1032" s="259">
        <v>164.22</v>
      </c>
      <c r="P1032" s="259">
        <v>162.5778</v>
      </c>
      <c r="Q1032" s="262">
        <v>0.0</v>
      </c>
      <c r="R1032" s="260">
        <v>325.1556</v>
      </c>
      <c r="S1032" s="260">
        <v>0.0</v>
      </c>
      <c r="T1032" s="260">
        <v>328.44</v>
      </c>
      <c r="U1032" s="261" t="s">
        <v>3379</v>
      </c>
      <c r="V1032" s="279">
        <v>45454.59725694444</v>
      </c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</row>
    <row r="1033">
      <c r="A1033" s="210">
        <v>45454.0</v>
      </c>
      <c r="B1033" s="166">
        <v>5777402.0</v>
      </c>
      <c r="C1033" s="166" t="s">
        <v>82</v>
      </c>
      <c r="D1033" s="166" t="s">
        <v>35</v>
      </c>
      <c r="E1033" s="166">
        <v>4.757581766E9</v>
      </c>
      <c r="F1033" s="166" t="s">
        <v>3380</v>
      </c>
      <c r="G1033" s="210">
        <v>45481.0</v>
      </c>
      <c r="H1033" s="287">
        <v>45486.0</v>
      </c>
      <c r="I1033" s="168">
        <v>5.0</v>
      </c>
      <c r="J1033" s="169" t="s">
        <v>78</v>
      </c>
      <c r="K1033" s="166" t="s">
        <v>79</v>
      </c>
      <c r="L1033" s="166" t="s">
        <v>2803</v>
      </c>
      <c r="M1033" s="166">
        <v>2.0</v>
      </c>
      <c r="N1033" s="170">
        <v>0.0</v>
      </c>
      <c r="O1033" s="171">
        <v>131.53</v>
      </c>
      <c r="P1033" s="171">
        <v>105.224</v>
      </c>
      <c r="Q1033" s="172">
        <v>0.0</v>
      </c>
      <c r="R1033" s="173">
        <v>526.12</v>
      </c>
      <c r="S1033" s="173">
        <v>0.0</v>
      </c>
      <c r="T1033" s="173">
        <v>657.65</v>
      </c>
      <c r="U1033" s="201" t="s">
        <v>2804</v>
      </c>
      <c r="V1033" s="288">
        <v>45454.430613425924</v>
      </c>
      <c r="W1033" s="188"/>
      <c r="X1033" s="188"/>
      <c r="Y1033" s="188"/>
      <c r="Z1033" s="188"/>
      <c r="AA1033" s="188"/>
      <c r="AB1033" s="188"/>
      <c r="AC1033" s="188"/>
      <c r="AD1033" s="188"/>
      <c r="AE1033" s="188"/>
      <c r="AF1033" s="188"/>
      <c r="AG1033" s="188"/>
      <c r="AH1033" s="188"/>
      <c r="AI1033" s="188"/>
    </row>
    <row r="1034">
      <c r="A1034" s="210">
        <v>45454.0</v>
      </c>
      <c r="B1034" s="166">
        <v>5780092.0</v>
      </c>
      <c r="C1034" s="166" t="s">
        <v>82</v>
      </c>
      <c r="D1034" s="166" t="s">
        <v>35</v>
      </c>
      <c r="E1034" s="166">
        <v>4.777815821E9</v>
      </c>
      <c r="F1034" s="166" t="s">
        <v>3381</v>
      </c>
      <c r="G1034" s="210">
        <v>45496.0</v>
      </c>
      <c r="H1034" s="287">
        <v>45499.0</v>
      </c>
      <c r="I1034" s="168">
        <v>3.0</v>
      </c>
      <c r="J1034" s="169" t="s">
        <v>78</v>
      </c>
      <c r="K1034" s="166" t="s">
        <v>79</v>
      </c>
      <c r="L1034" s="166" t="s">
        <v>2803</v>
      </c>
      <c r="M1034" s="205">
        <v>2.0</v>
      </c>
      <c r="N1034" s="170">
        <v>0.0</v>
      </c>
      <c r="O1034" s="171">
        <v>131.53</v>
      </c>
      <c r="P1034" s="171">
        <v>105.224</v>
      </c>
      <c r="Q1034" s="172">
        <v>0.0</v>
      </c>
      <c r="R1034" s="173">
        <v>315.672</v>
      </c>
      <c r="S1034" s="173">
        <v>0.0</v>
      </c>
      <c r="T1034" s="173">
        <v>394.59</v>
      </c>
      <c r="U1034" s="201" t="s">
        <v>2804</v>
      </c>
      <c r="V1034" s="288">
        <v>45454.916712962964</v>
      </c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</row>
    <row r="1035">
      <c r="A1035" s="210">
        <v>45454.0</v>
      </c>
      <c r="B1035" s="166">
        <v>5778549.0</v>
      </c>
      <c r="C1035" s="166" t="s">
        <v>82</v>
      </c>
      <c r="D1035" s="166" t="s">
        <v>94</v>
      </c>
      <c r="E1035" s="166">
        <v>5778549.0</v>
      </c>
      <c r="F1035" s="166" t="s">
        <v>3382</v>
      </c>
      <c r="G1035" s="212">
        <v>45611.0</v>
      </c>
      <c r="H1035" s="310">
        <v>45614.0</v>
      </c>
      <c r="I1035" s="168">
        <v>3.0</v>
      </c>
      <c r="J1035" s="169" t="s">
        <v>78</v>
      </c>
      <c r="K1035" s="166" t="s">
        <v>79</v>
      </c>
      <c r="L1035" s="166" t="s">
        <v>1447</v>
      </c>
      <c r="M1035" s="166">
        <v>2.0</v>
      </c>
      <c r="N1035" s="170">
        <v>0.0</v>
      </c>
      <c r="O1035" s="171">
        <v>101.53333333333335</v>
      </c>
      <c r="P1035" s="171">
        <v>100.51800000000001</v>
      </c>
      <c r="Q1035" s="172">
        <v>0.0</v>
      </c>
      <c r="R1035" s="173">
        <v>301.55400000000003</v>
      </c>
      <c r="S1035" s="173">
        <v>0.0</v>
      </c>
      <c r="T1035" s="173">
        <v>304.6</v>
      </c>
      <c r="U1035" s="174" t="s">
        <v>1448</v>
      </c>
      <c r="V1035" s="288">
        <v>45454.63899305556</v>
      </c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</row>
    <row r="1036">
      <c r="A1036" s="276">
        <v>45455.0</v>
      </c>
      <c r="B1036" s="252">
        <v>5784143.0</v>
      </c>
      <c r="C1036" s="253" t="s">
        <v>82</v>
      </c>
      <c r="D1036" s="253" t="s">
        <v>35</v>
      </c>
      <c r="E1036" s="252">
        <v>4.602165726E9</v>
      </c>
      <c r="F1036" s="253" t="s">
        <v>3383</v>
      </c>
      <c r="G1036" s="276">
        <v>45455.0</v>
      </c>
      <c r="H1036" s="277">
        <v>45457.0</v>
      </c>
      <c r="I1036" s="278">
        <v>2.0</v>
      </c>
      <c r="J1036" s="257" t="s">
        <v>78</v>
      </c>
      <c r="K1036" s="253" t="s">
        <v>79</v>
      </c>
      <c r="L1036" s="253" t="s">
        <v>2803</v>
      </c>
      <c r="M1036" s="252">
        <v>1.0</v>
      </c>
      <c r="N1036" s="258">
        <v>0.0</v>
      </c>
      <c r="O1036" s="259">
        <v>150.9</v>
      </c>
      <c r="P1036" s="259">
        <v>120.72000000000001</v>
      </c>
      <c r="Q1036" s="262">
        <v>0.0</v>
      </c>
      <c r="R1036" s="260">
        <v>241.44000000000003</v>
      </c>
      <c r="S1036" s="260">
        <v>0.0</v>
      </c>
      <c r="T1036" s="260">
        <v>301.8</v>
      </c>
      <c r="U1036" s="261" t="s">
        <v>2804</v>
      </c>
      <c r="V1036" s="279">
        <v>45455.93545138889</v>
      </c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</row>
    <row r="1037">
      <c r="A1037" s="276">
        <v>45455.0</v>
      </c>
      <c r="B1037" s="252">
        <v>5783796.0</v>
      </c>
      <c r="C1037" s="253" t="s">
        <v>82</v>
      </c>
      <c r="D1037" s="253" t="s">
        <v>94</v>
      </c>
      <c r="E1037" s="252">
        <v>5783796.0</v>
      </c>
      <c r="F1037" s="253" t="s">
        <v>3384</v>
      </c>
      <c r="G1037" s="276">
        <v>45458.0</v>
      </c>
      <c r="H1037" s="277">
        <v>45459.0</v>
      </c>
      <c r="I1037" s="278">
        <v>1.0</v>
      </c>
      <c r="J1037" s="257" t="s">
        <v>114</v>
      </c>
      <c r="K1037" s="253" t="s">
        <v>79</v>
      </c>
      <c r="L1037" s="253" t="s">
        <v>1462</v>
      </c>
      <c r="M1037" s="252">
        <v>2.0</v>
      </c>
      <c r="N1037" s="258">
        <v>0.0</v>
      </c>
      <c r="O1037" s="259">
        <v>139.4</v>
      </c>
      <c r="P1037" s="259">
        <v>138.006</v>
      </c>
      <c r="Q1037" s="262">
        <v>0.0</v>
      </c>
      <c r="R1037" s="260">
        <v>138.006</v>
      </c>
      <c r="S1037" s="260">
        <v>0.0</v>
      </c>
      <c r="T1037" s="260">
        <v>139.4</v>
      </c>
      <c r="U1037" s="261" t="s">
        <v>1463</v>
      </c>
      <c r="V1037" s="279">
        <v>45455.87532407408</v>
      </c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</row>
    <row r="1038">
      <c r="A1038" s="276">
        <v>45455.0</v>
      </c>
      <c r="B1038" s="252">
        <v>5782948.0</v>
      </c>
      <c r="C1038" s="253" t="s">
        <v>82</v>
      </c>
      <c r="D1038" s="253" t="s">
        <v>35</v>
      </c>
      <c r="E1038" s="252">
        <v>4.947286098E9</v>
      </c>
      <c r="F1038" s="253" t="s">
        <v>3385</v>
      </c>
      <c r="G1038" s="276">
        <v>45465.0</v>
      </c>
      <c r="H1038" s="277">
        <v>45466.0</v>
      </c>
      <c r="I1038" s="278">
        <v>1.0</v>
      </c>
      <c r="J1038" s="257" t="s">
        <v>78</v>
      </c>
      <c r="K1038" s="253" t="s">
        <v>79</v>
      </c>
      <c r="L1038" s="253" t="s">
        <v>2803</v>
      </c>
      <c r="M1038" s="275">
        <v>2.0</v>
      </c>
      <c r="N1038" s="258">
        <v>0.0</v>
      </c>
      <c r="O1038" s="259">
        <v>155.21</v>
      </c>
      <c r="P1038" s="259">
        <v>124.168</v>
      </c>
      <c r="Q1038" s="262">
        <v>0.0</v>
      </c>
      <c r="R1038" s="260">
        <v>124.168</v>
      </c>
      <c r="S1038" s="260">
        <v>0.0</v>
      </c>
      <c r="T1038" s="260">
        <v>155.21</v>
      </c>
      <c r="U1038" s="261" t="s">
        <v>2804</v>
      </c>
      <c r="V1038" s="279">
        <v>45455.71671296297</v>
      </c>
      <c r="W1038" s="188"/>
      <c r="X1038" s="188"/>
      <c r="Y1038" s="188"/>
      <c r="Z1038" s="188"/>
      <c r="AA1038" s="188"/>
      <c r="AB1038" s="188"/>
      <c r="AC1038" s="188"/>
      <c r="AD1038" s="188"/>
      <c r="AE1038" s="188"/>
      <c r="AF1038" s="188"/>
      <c r="AG1038" s="188"/>
      <c r="AH1038" s="188"/>
      <c r="AI1038" s="188"/>
    </row>
    <row r="1039">
      <c r="A1039" s="210">
        <v>45455.0</v>
      </c>
      <c r="B1039" s="166">
        <v>5781571.0</v>
      </c>
      <c r="C1039" s="166" t="s">
        <v>82</v>
      </c>
      <c r="D1039" s="166" t="s">
        <v>35</v>
      </c>
      <c r="E1039" s="166">
        <v>4.735247302E9</v>
      </c>
      <c r="F1039" s="166" t="s">
        <v>3386</v>
      </c>
      <c r="G1039" s="210">
        <v>45546.0</v>
      </c>
      <c r="H1039" s="287">
        <v>45548.0</v>
      </c>
      <c r="I1039" s="168">
        <v>2.0</v>
      </c>
      <c r="J1039" s="169" t="s">
        <v>114</v>
      </c>
      <c r="K1039" s="166" t="s">
        <v>79</v>
      </c>
      <c r="L1039" s="166" t="s">
        <v>2803</v>
      </c>
      <c r="M1039" s="166">
        <v>2.0</v>
      </c>
      <c r="N1039" s="170">
        <v>0.0</v>
      </c>
      <c r="O1039" s="171">
        <v>150.27</v>
      </c>
      <c r="P1039" s="171">
        <v>120.21600000000001</v>
      </c>
      <c r="Q1039" s="172">
        <v>0.0</v>
      </c>
      <c r="R1039" s="173">
        <v>240.43200000000002</v>
      </c>
      <c r="S1039" s="173">
        <v>0.0</v>
      </c>
      <c r="T1039" s="173">
        <v>300.54</v>
      </c>
      <c r="U1039" s="174" t="s">
        <v>2804</v>
      </c>
      <c r="V1039" s="288">
        <v>45455.45699074074</v>
      </c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</row>
    <row r="1040">
      <c r="A1040" s="210">
        <v>45455.0</v>
      </c>
      <c r="B1040" s="166">
        <v>5783127.0</v>
      </c>
      <c r="C1040" s="166" t="s">
        <v>82</v>
      </c>
      <c r="D1040" s="166" t="s">
        <v>94</v>
      </c>
      <c r="E1040" s="166">
        <v>4.42346691E8</v>
      </c>
      <c r="F1040" s="166" t="s">
        <v>3387</v>
      </c>
      <c r="G1040" s="210">
        <v>45551.0</v>
      </c>
      <c r="H1040" s="287">
        <v>45554.0</v>
      </c>
      <c r="I1040" s="168">
        <v>3.0</v>
      </c>
      <c r="J1040" s="169" t="s">
        <v>78</v>
      </c>
      <c r="K1040" s="166" t="s">
        <v>79</v>
      </c>
      <c r="L1040" s="166" t="s">
        <v>3388</v>
      </c>
      <c r="M1040" s="166">
        <v>2.0</v>
      </c>
      <c r="N1040" s="170">
        <v>0.0</v>
      </c>
      <c r="O1040" s="171">
        <v>151.79999999999998</v>
      </c>
      <c r="P1040" s="171">
        <v>150.28199999999998</v>
      </c>
      <c r="Q1040" s="172">
        <v>0.0</v>
      </c>
      <c r="R1040" s="173">
        <v>450.84599999999995</v>
      </c>
      <c r="S1040" s="173">
        <v>0.0</v>
      </c>
      <c r="T1040" s="173">
        <v>455.4</v>
      </c>
      <c r="U1040" s="174" t="s">
        <v>3389</v>
      </c>
      <c r="V1040" s="288">
        <v>45455.750069444446</v>
      </c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</row>
    <row r="1041">
      <c r="A1041" s="280">
        <v>45455.0</v>
      </c>
      <c r="B1041" s="264">
        <v>5780833.0</v>
      </c>
      <c r="C1041" s="265" t="s">
        <v>82</v>
      </c>
      <c r="D1041" s="265" t="s">
        <v>35</v>
      </c>
      <c r="E1041" s="264">
        <v>4.6735725E9</v>
      </c>
      <c r="F1041" s="265" t="s">
        <v>3390</v>
      </c>
      <c r="G1041" s="280">
        <v>45566.0</v>
      </c>
      <c r="H1041" s="281">
        <v>45569.0</v>
      </c>
      <c r="I1041" s="282">
        <v>3.0</v>
      </c>
      <c r="J1041" s="283" t="s">
        <v>78</v>
      </c>
      <c r="K1041" s="265" t="s">
        <v>79</v>
      </c>
      <c r="L1041" s="265" t="s">
        <v>3391</v>
      </c>
      <c r="M1041" s="269">
        <v>1.0</v>
      </c>
      <c r="N1041" s="270">
        <v>0.0</v>
      </c>
      <c r="O1041" s="271">
        <v>120.66000000000001</v>
      </c>
      <c r="P1041" s="271">
        <v>96.52800000000002</v>
      </c>
      <c r="Q1041" s="272">
        <v>0.0</v>
      </c>
      <c r="R1041" s="273">
        <v>289.584</v>
      </c>
      <c r="S1041" s="273">
        <v>0.0</v>
      </c>
      <c r="T1041" s="273">
        <v>361.98</v>
      </c>
      <c r="U1041" s="274" t="s">
        <v>3392</v>
      </c>
      <c r="V1041" s="284">
        <v>45455.28892361111</v>
      </c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</row>
    <row r="1042">
      <c r="A1042" s="210">
        <v>45455.0</v>
      </c>
      <c r="B1042" s="166">
        <v>5783208.0</v>
      </c>
      <c r="C1042" s="166" t="s">
        <v>82</v>
      </c>
      <c r="D1042" s="166" t="s">
        <v>35</v>
      </c>
      <c r="E1042" s="166">
        <v>4.463802679E9</v>
      </c>
      <c r="F1042" s="166" t="s">
        <v>3393</v>
      </c>
      <c r="G1042" s="210">
        <v>45566.0</v>
      </c>
      <c r="H1042" s="287">
        <v>45569.0</v>
      </c>
      <c r="I1042" s="168">
        <v>3.0</v>
      </c>
      <c r="J1042" s="169" t="s">
        <v>78</v>
      </c>
      <c r="K1042" s="166" t="s">
        <v>79</v>
      </c>
      <c r="L1042" s="166" t="s">
        <v>2803</v>
      </c>
      <c r="M1042" s="166">
        <v>1.0</v>
      </c>
      <c r="N1042" s="170">
        <v>0.0</v>
      </c>
      <c r="O1042" s="171">
        <v>137.75</v>
      </c>
      <c r="P1042" s="171">
        <v>110.2</v>
      </c>
      <c r="Q1042" s="172">
        <v>0.0</v>
      </c>
      <c r="R1042" s="173">
        <v>330.6</v>
      </c>
      <c r="S1042" s="173">
        <v>0.0</v>
      </c>
      <c r="T1042" s="173">
        <v>413.25</v>
      </c>
      <c r="U1042" s="201" t="s">
        <v>2804</v>
      </c>
      <c r="V1042" s="288">
        <v>45455.76462962963</v>
      </c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</row>
    <row r="1043">
      <c r="A1043" s="276">
        <v>45457.0</v>
      </c>
      <c r="B1043" s="252">
        <v>5790899.0</v>
      </c>
      <c r="C1043" s="253" t="s">
        <v>82</v>
      </c>
      <c r="D1043" s="253" t="s">
        <v>35</v>
      </c>
      <c r="E1043" s="252">
        <v>4.574876466E9</v>
      </c>
      <c r="F1043" s="253" t="s">
        <v>3394</v>
      </c>
      <c r="G1043" s="276">
        <v>45466.0</v>
      </c>
      <c r="H1043" s="277">
        <v>45468.0</v>
      </c>
      <c r="I1043" s="278">
        <v>2.0</v>
      </c>
      <c r="J1043" s="257" t="s">
        <v>114</v>
      </c>
      <c r="K1043" s="253" t="s">
        <v>79</v>
      </c>
      <c r="L1043" s="253" t="s">
        <v>2803</v>
      </c>
      <c r="M1043" s="252">
        <v>2.0</v>
      </c>
      <c r="N1043" s="258">
        <v>0.0</v>
      </c>
      <c r="O1043" s="259">
        <v>136.79</v>
      </c>
      <c r="P1043" s="259">
        <v>109.432</v>
      </c>
      <c r="Q1043" s="257">
        <v>0.0</v>
      </c>
      <c r="R1043" s="260">
        <v>218.864</v>
      </c>
      <c r="S1043" s="260">
        <v>0.0</v>
      </c>
      <c r="T1043" s="260">
        <v>273.58</v>
      </c>
      <c r="U1043" s="261" t="s">
        <v>2804</v>
      </c>
      <c r="V1043" s="279">
        <v>45457.7437962963</v>
      </c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</row>
    <row r="1044">
      <c r="A1044" s="280">
        <v>45457.0</v>
      </c>
      <c r="B1044" s="264">
        <v>5789738.0</v>
      </c>
      <c r="C1044" s="265" t="s">
        <v>82</v>
      </c>
      <c r="D1044" s="265" t="s">
        <v>35</v>
      </c>
      <c r="E1044" s="264">
        <v>4.954436019E9</v>
      </c>
      <c r="F1044" s="265" t="s">
        <v>3326</v>
      </c>
      <c r="G1044" s="305">
        <v>45578.0</v>
      </c>
      <c r="H1044" s="313">
        <v>45579.0</v>
      </c>
      <c r="I1044" s="282">
        <v>1.0</v>
      </c>
      <c r="J1044" s="283" t="s">
        <v>87</v>
      </c>
      <c r="K1044" s="265" t="s">
        <v>79</v>
      </c>
      <c r="L1044" s="265" t="s">
        <v>2803</v>
      </c>
      <c r="M1044" s="269">
        <v>1.0</v>
      </c>
      <c r="N1044" s="270">
        <v>0.0</v>
      </c>
      <c r="O1044" s="271">
        <v>82.61</v>
      </c>
      <c r="P1044" s="271">
        <v>66.08800000000001</v>
      </c>
      <c r="Q1044" s="272">
        <v>0.0</v>
      </c>
      <c r="R1044" s="273">
        <v>66.08800000000001</v>
      </c>
      <c r="S1044" s="273">
        <v>0.0</v>
      </c>
      <c r="T1044" s="273">
        <v>82.61</v>
      </c>
      <c r="U1044" s="274" t="s">
        <v>2804</v>
      </c>
      <c r="V1044" s="284">
        <v>45457.513969907406</v>
      </c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</row>
    <row r="1045">
      <c r="A1045" s="210">
        <v>45458.0</v>
      </c>
      <c r="B1045" s="166">
        <v>5793422.0</v>
      </c>
      <c r="C1045" s="166" t="s">
        <v>82</v>
      </c>
      <c r="D1045" s="166" t="s">
        <v>94</v>
      </c>
      <c r="E1045" s="166">
        <v>4.42942747E8</v>
      </c>
      <c r="F1045" s="166" t="s">
        <v>3395</v>
      </c>
      <c r="G1045" s="210">
        <v>45461.0</v>
      </c>
      <c r="H1045" s="287">
        <v>45462.0</v>
      </c>
      <c r="I1045" s="168">
        <v>1.0</v>
      </c>
      <c r="J1045" s="169" t="s">
        <v>87</v>
      </c>
      <c r="K1045" s="166" t="s">
        <v>79</v>
      </c>
      <c r="L1045" s="166" t="s">
        <v>3396</v>
      </c>
      <c r="M1045" s="166">
        <v>2.0</v>
      </c>
      <c r="N1045" s="170">
        <v>0.0</v>
      </c>
      <c r="O1045" s="171">
        <v>140.25</v>
      </c>
      <c r="P1045" s="171">
        <v>138.8475</v>
      </c>
      <c r="Q1045" s="172">
        <v>0.0</v>
      </c>
      <c r="R1045" s="173">
        <v>138.8475</v>
      </c>
      <c r="S1045" s="173">
        <v>0.0</v>
      </c>
      <c r="T1045" s="173">
        <v>140.25</v>
      </c>
      <c r="U1045" s="174" t="s">
        <v>3397</v>
      </c>
      <c r="V1045" s="288">
        <v>45458.548680555556</v>
      </c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  <c r="AH1045" s="35"/>
      <c r="AI1045" s="35"/>
    </row>
    <row r="1046">
      <c r="A1046" s="276">
        <v>45458.0</v>
      </c>
      <c r="B1046" s="252">
        <v>5794472.0</v>
      </c>
      <c r="C1046" s="253" t="s">
        <v>82</v>
      </c>
      <c r="D1046" s="253" t="s">
        <v>35</v>
      </c>
      <c r="E1046" s="252">
        <v>4.450485845E9</v>
      </c>
      <c r="F1046" s="253" t="s">
        <v>3398</v>
      </c>
      <c r="G1046" s="276">
        <v>45492.0</v>
      </c>
      <c r="H1046" s="277">
        <v>45495.0</v>
      </c>
      <c r="I1046" s="278">
        <v>3.0</v>
      </c>
      <c r="J1046" s="257" t="s">
        <v>87</v>
      </c>
      <c r="K1046" s="253" t="s">
        <v>79</v>
      </c>
      <c r="L1046" s="253" t="s">
        <v>2803</v>
      </c>
      <c r="M1046" s="252">
        <v>2.0</v>
      </c>
      <c r="N1046" s="258">
        <v>0.0</v>
      </c>
      <c r="O1046" s="259">
        <v>112.50999999999999</v>
      </c>
      <c r="P1046" s="259">
        <v>90.008</v>
      </c>
      <c r="Q1046" s="262">
        <v>0.0</v>
      </c>
      <c r="R1046" s="260">
        <v>270.024</v>
      </c>
      <c r="S1046" s="260">
        <v>0.0</v>
      </c>
      <c r="T1046" s="260">
        <v>337.53</v>
      </c>
      <c r="U1046" s="261" t="s">
        <v>2804</v>
      </c>
      <c r="V1046" s="279">
        <v>45458.76043981481</v>
      </c>
      <c r="W1046" s="188"/>
      <c r="X1046" s="188"/>
      <c r="Y1046" s="188"/>
      <c r="Z1046" s="188"/>
      <c r="AA1046" s="188"/>
      <c r="AB1046" s="188"/>
      <c r="AC1046" s="188"/>
      <c r="AD1046" s="188"/>
      <c r="AE1046" s="188"/>
      <c r="AF1046" s="188"/>
      <c r="AG1046" s="188"/>
      <c r="AH1046" s="188"/>
      <c r="AI1046" s="188"/>
    </row>
    <row r="1047">
      <c r="A1047" s="210">
        <v>45458.0</v>
      </c>
      <c r="B1047" s="166">
        <v>5795175.0</v>
      </c>
      <c r="C1047" s="166" t="s">
        <v>82</v>
      </c>
      <c r="D1047" s="166" t="s">
        <v>94</v>
      </c>
      <c r="E1047" s="166">
        <v>5795175.0</v>
      </c>
      <c r="F1047" s="166" t="s">
        <v>3399</v>
      </c>
      <c r="G1047" s="210">
        <v>45517.0</v>
      </c>
      <c r="H1047" s="287">
        <v>45520.0</v>
      </c>
      <c r="I1047" s="168">
        <v>3.0</v>
      </c>
      <c r="J1047" s="169" t="s">
        <v>114</v>
      </c>
      <c r="K1047" s="166" t="s">
        <v>79</v>
      </c>
      <c r="L1047" s="166" t="s">
        <v>1907</v>
      </c>
      <c r="M1047" s="166">
        <v>2.0</v>
      </c>
      <c r="N1047" s="169">
        <v>0.0</v>
      </c>
      <c r="O1047" s="171">
        <v>125.0</v>
      </c>
      <c r="P1047" s="171">
        <v>123.75</v>
      </c>
      <c r="Q1047" s="169">
        <v>0.0</v>
      </c>
      <c r="R1047" s="173">
        <v>371.25</v>
      </c>
      <c r="S1047" s="173">
        <v>0.0</v>
      </c>
      <c r="T1047" s="173">
        <v>375.0</v>
      </c>
      <c r="U1047" s="201" t="s">
        <v>1908</v>
      </c>
      <c r="V1047" s="288">
        <v>45458.92056712963</v>
      </c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</row>
    <row r="1048">
      <c r="A1048" s="210">
        <v>45458.0</v>
      </c>
      <c r="B1048" s="166">
        <v>5792660.0</v>
      </c>
      <c r="C1048" s="166" t="s">
        <v>82</v>
      </c>
      <c r="D1048" s="166" t="s">
        <v>35</v>
      </c>
      <c r="E1048" s="166">
        <v>4.981241242E9</v>
      </c>
      <c r="F1048" s="166" t="s">
        <v>2431</v>
      </c>
      <c r="G1048" s="210">
        <v>45553.0</v>
      </c>
      <c r="H1048" s="287">
        <v>45554.0</v>
      </c>
      <c r="I1048" s="168">
        <v>1.0</v>
      </c>
      <c r="J1048" s="169" t="s">
        <v>114</v>
      </c>
      <c r="K1048" s="166" t="s">
        <v>79</v>
      </c>
      <c r="L1048" s="166" t="s">
        <v>2803</v>
      </c>
      <c r="M1048" s="166">
        <v>2.0</v>
      </c>
      <c r="N1048" s="170">
        <v>0.0</v>
      </c>
      <c r="O1048" s="171">
        <v>175.91</v>
      </c>
      <c r="P1048" s="171">
        <v>140.728</v>
      </c>
      <c r="Q1048" s="172">
        <v>0.0</v>
      </c>
      <c r="R1048" s="173">
        <v>140.728</v>
      </c>
      <c r="S1048" s="173">
        <v>0.0</v>
      </c>
      <c r="T1048" s="173">
        <v>175.91</v>
      </c>
      <c r="U1048" s="174" t="s">
        <v>2804</v>
      </c>
      <c r="V1048" s="288">
        <v>45458.39171296296</v>
      </c>
      <c r="W1048" s="188"/>
      <c r="X1048" s="188"/>
      <c r="Y1048" s="188"/>
      <c r="Z1048" s="188"/>
      <c r="AA1048" s="188"/>
      <c r="AB1048" s="188"/>
      <c r="AC1048" s="188"/>
      <c r="AD1048" s="188"/>
      <c r="AE1048" s="188"/>
      <c r="AF1048" s="188"/>
      <c r="AG1048" s="188"/>
      <c r="AH1048" s="188"/>
      <c r="AI1048" s="188"/>
    </row>
    <row r="1049">
      <c r="A1049" s="276">
        <v>45458.0</v>
      </c>
      <c r="B1049" s="252">
        <v>5792736.0</v>
      </c>
      <c r="C1049" s="253" t="s">
        <v>82</v>
      </c>
      <c r="D1049" s="253" t="s">
        <v>94</v>
      </c>
      <c r="E1049" s="252">
        <v>5792736.0</v>
      </c>
      <c r="F1049" s="253" t="s">
        <v>3400</v>
      </c>
      <c r="G1049" s="304">
        <v>45579.0</v>
      </c>
      <c r="H1049" s="311">
        <v>45582.0</v>
      </c>
      <c r="I1049" s="278">
        <v>3.0</v>
      </c>
      <c r="J1049" s="257" t="s">
        <v>114</v>
      </c>
      <c r="K1049" s="253" t="s">
        <v>79</v>
      </c>
      <c r="L1049" s="253" t="s">
        <v>1462</v>
      </c>
      <c r="M1049" s="252">
        <v>2.0</v>
      </c>
      <c r="N1049" s="258">
        <v>0.0</v>
      </c>
      <c r="O1049" s="259">
        <v>144.06666666666666</v>
      </c>
      <c r="P1049" s="259">
        <v>142.626</v>
      </c>
      <c r="Q1049" s="257">
        <v>0.0</v>
      </c>
      <c r="R1049" s="260">
        <v>427.878</v>
      </c>
      <c r="S1049" s="260">
        <v>0.0</v>
      </c>
      <c r="T1049" s="260">
        <v>432.2</v>
      </c>
      <c r="U1049" s="261" t="s">
        <v>1463</v>
      </c>
      <c r="V1049" s="279">
        <v>45458.40939814815</v>
      </c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</row>
    <row r="1050">
      <c r="A1050" s="289">
        <v>45459.0</v>
      </c>
      <c r="B1050" s="290">
        <v>5797739.0</v>
      </c>
      <c r="C1050" s="291" t="s">
        <v>82</v>
      </c>
      <c r="D1050" s="291" t="s">
        <v>35</v>
      </c>
      <c r="E1050" s="290">
        <v>4.70942618E9</v>
      </c>
      <c r="F1050" s="291" t="s">
        <v>3401</v>
      </c>
      <c r="G1050" s="303">
        <v>45626.0</v>
      </c>
      <c r="H1050" s="292">
        <v>45627.0</v>
      </c>
      <c r="I1050" s="293">
        <v>1.0</v>
      </c>
      <c r="J1050" s="294" t="s">
        <v>87</v>
      </c>
      <c r="K1050" s="291" t="s">
        <v>79</v>
      </c>
      <c r="L1050" s="291" t="s">
        <v>3370</v>
      </c>
      <c r="M1050" s="290">
        <v>2.0</v>
      </c>
      <c r="N1050" s="295">
        <v>0.0</v>
      </c>
      <c r="O1050" s="296">
        <v>150.0</v>
      </c>
      <c r="P1050" s="296">
        <v>120.0</v>
      </c>
      <c r="Q1050" s="301">
        <v>0.0</v>
      </c>
      <c r="R1050" s="297">
        <v>120.0</v>
      </c>
      <c r="S1050" s="297">
        <v>0.0</v>
      </c>
      <c r="T1050" s="297">
        <v>495.1</v>
      </c>
      <c r="U1050" s="298" t="s">
        <v>3371</v>
      </c>
      <c r="V1050" s="299">
        <v>45459.75005787037</v>
      </c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</row>
    <row r="1051">
      <c r="A1051" s="280">
        <v>45459.0</v>
      </c>
      <c r="B1051" s="264">
        <v>5797739.0</v>
      </c>
      <c r="C1051" s="265" t="s">
        <v>82</v>
      </c>
      <c r="D1051" s="265" t="s">
        <v>35</v>
      </c>
      <c r="E1051" s="264">
        <v>4.70942618E9</v>
      </c>
      <c r="F1051" s="265" t="s">
        <v>3401</v>
      </c>
      <c r="G1051" s="305">
        <v>45626.0</v>
      </c>
      <c r="H1051" s="281">
        <v>45627.0</v>
      </c>
      <c r="I1051" s="282">
        <v>1.0</v>
      </c>
      <c r="J1051" s="283" t="s">
        <v>78</v>
      </c>
      <c r="K1051" s="265" t="s">
        <v>79</v>
      </c>
      <c r="L1051" s="265" t="s">
        <v>3370</v>
      </c>
      <c r="M1051" s="269">
        <v>2.0</v>
      </c>
      <c r="N1051" s="283">
        <v>0.0</v>
      </c>
      <c r="O1051" s="271">
        <v>173.8</v>
      </c>
      <c r="P1051" s="271">
        <v>139.04000000000002</v>
      </c>
      <c r="Q1051" s="283">
        <v>0.0</v>
      </c>
      <c r="R1051" s="273">
        <v>139.04000000000002</v>
      </c>
      <c r="S1051" s="273">
        <v>0.0</v>
      </c>
      <c r="T1051" s="273">
        <v>495.1</v>
      </c>
      <c r="U1051" s="274" t="s">
        <v>3371</v>
      </c>
      <c r="V1051" s="284">
        <v>45459.75005787037</v>
      </c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</row>
    <row r="1052">
      <c r="A1052" s="276">
        <v>45459.0</v>
      </c>
      <c r="B1052" s="252">
        <v>5797739.0</v>
      </c>
      <c r="C1052" s="253" t="s">
        <v>82</v>
      </c>
      <c r="D1052" s="253" t="s">
        <v>35</v>
      </c>
      <c r="E1052" s="252">
        <v>4.70942618E9</v>
      </c>
      <c r="F1052" s="253" t="s">
        <v>3401</v>
      </c>
      <c r="G1052" s="304">
        <v>45626.0</v>
      </c>
      <c r="H1052" s="277">
        <v>45627.0</v>
      </c>
      <c r="I1052" s="278">
        <v>1.0</v>
      </c>
      <c r="J1052" s="257" t="s">
        <v>78</v>
      </c>
      <c r="K1052" s="253" t="s">
        <v>79</v>
      </c>
      <c r="L1052" s="253" t="s">
        <v>3370</v>
      </c>
      <c r="M1052" s="252">
        <v>1.0</v>
      </c>
      <c r="N1052" s="258">
        <v>0.0</v>
      </c>
      <c r="O1052" s="259">
        <v>171.3</v>
      </c>
      <c r="P1052" s="259">
        <v>137.04000000000002</v>
      </c>
      <c r="Q1052" s="262">
        <v>0.0</v>
      </c>
      <c r="R1052" s="260">
        <v>137.04000000000002</v>
      </c>
      <c r="S1052" s="260">
        <v>0.0</v>
      </c>
      <c r="T1052" s="260">
        <v>495.1</v>
      </c>
      <c r="U1052" s="261" t="s">
        <v>3371</v>
      </c>
      <c r="V1052" s="279">
        <v>45459.75005787037</v>
      </c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</row>
    <row r="1053">
      <c r="A1053" s="210">
        <v>45460.0</v>
      </c>
      <c r="B1053" s="166">
        <v>5799065.0</v>
      </c>
      <c r="C1053" s="166" t="s">
        <v>82</v>
      </c>
      <c r="D1053" s="166" t="s">
        <v>35</v>
      </c>
      <c r="E1053" s="166">
        <v>4.861515589E9</v>
      </c>
      <c r="F1053" s="166" t="s">
        <v>3402</v>
      </c>
      <c r="G1053" s="210">
        <v>45514.0</v>
      </c>
      <c r="H1053" s="287">
        <v>45516.0</v>
      </c>
      <c r="I1053" s="168">
        <v>2.0</v>
      </c>
      <c r="J1053" s="169" t="s">
        <v>111</v>
      </c>
      <c r="K1053" s="166" t="s">
        <v>79</v>
      </c>
      <c r="L1053" s="166" t="s">
        <v>2803</v>
      </c>
      <c r="M1053" s="166">
        <v>1.0</v>
      </c>
      <c r="N1053" s="170">
        <v>0.0</v>
      </c>
      <c r="O1053" s="171">
        <v>147.77</v>
      </c>
      <c r="P1053" s="171">
        <v>118.21600000000001</v>
      </c>
      <c r="Q1053" s="172">
        <v>0.0</v>
      </c>
      <c r="R1053" s="173">
        <v>236.43200000000002</v>
      </c>
      <c r="S1053" s="173">
        <v>0.0</v>
      </c>
      <c r="T1053" s="173">
        <v>295.54</v>
      </c>
      <c r="U1053" s="174" t="s">
        <v>2804</v>
      </c>
      <c r="V1053" s="288">
        <v>45460.18127314815</v>
      </c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</row>
    <row r="1054">
      <c r="A1054" s="280">
        <v>45461.0</v>
      </c>
      <c r="B1054" s="264">
        <v>5804227.0</v>
      </c>
      <c r="C1054" s="265" t="s">
        <v>82</v>
      </c>
      <c r="D1054" s="265" t="s">
        <v>35</v>
      </c>
      <c r="E1054" s="264">
        <v>4.607126903E9</v>
      </c>
      <c r="F1054" s="265" t="s">
        <v>3403</v>
      </c>
      <c r="G1054" s="280">
        <v>45466.0</v>
      </c>
      <c r="H1054" s="281">
        <v>45468.0</v>
      </c>
      <c r="I1054" s="282">
        <v>2.0</v>
      </c>
      <c r="J1054" s="283" t="s">
        <v>78</v>
      </c>
      <c r="K1054" s="265" t="s">
        <v>79</v>
      </c>
      <c r="L1054" s="265" t="s">
        <v>2803</v>
      </c>
      <c r="M1054" s="269">
        <v>2.0</v>
      </c>
      <c r="N1054" s="270">
        <v>0.0</v>
      </c>
      <c r="O1054" s="271">
        <v>187.77</v>
      </c>
      <c r="P1054" s="271">
        <v>150.216</v>
      </c>
      <c r="Q1054" s="272">
        <v>0.0</v>
      </c>
      <c r="R1054" s="273">
        <v>300.432</v>
      </c>
      <c r="S1054" s="273">
        <v>0.0</v>
      </c>
      <c r="T1054" s="273">
        <v>375.54</v>
      </c>
      <c r="U1054" s="274" t="s">
        <v>2804</v>
      </c>
      <c r="V1054" s="284">
        <v>45461.60560185185</v>
      </c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</row>
    <row r="1055">
      <c r="A1055" s="280">
        <v>45461.0</v>
      </c>
      <c r="B1055" s="264">
        <v>5804862.0</v>
      </c>
      <c r="C1055" s="265" t="s">
        <v>89</v>
      </c>
      <c r="D1055" s="265" t="s">
        <v>35</v>
      </c>
      <c r="E1055" s="264">
        <v>4.777259384E9</v>
      </c>
      <c r="F1055" s="265" t="s">
        <v>3404</v>
      </c>
      <c r="G1055" s="280">
        <v>45466.0</v>
      </c>
      <c r="H1055" s="281">
        <v>45473.0</v>
      </c>
      <c r="I1055" s="282">
        <v>7.0</v>
      </c>
      <c r="J1055" s="283" t="s">
        <v>91</v>
      </c>
      <c r="K1055" s="265" t="s">
        <v>138</v>
      </c>
      <c r="L1055" s="265" t="s">
        <v>3405</v>
      </c>
      <c r="M1055" s="269">
        <v>3.0</v>
      </c>
      <c r="N1055" s="270">
        <v>0.0</v>
      </c>
      <c r="O1055" s="271">
        <v>0.0</v>
      </c>
      <c r="P1055" s="271">
        <v>0.0</v>
      </c>
      <c r="Q1055" s="272">
        <v>0.0</v>
      </c>
      <c r="R1055" s="273">
        <v>0.0</v>
      </c>
      <c r="S1055" s="273">
        <v>0.0</v>
      </c>
      <c r="T1055" s="273">
        <v>0.0</v>
      </c>
      <c r="U1055" s="274" t="s">
        <v>3406</v>
      </c>
      <c r="V1055" s="284">
        <v>45461.73826388889</v>
      </c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</row>
    <row r="1056">
      <c r="A1056" s="210">
        <v>45461.0</v>
      </c>
      <c r="B1056" s="166">
        <v>5805306.0</v>
      </c>
      <c r="C1056" s="166" t="s">
        <v>82</v>
      </c>
      <c r="D1056" s="166" t="s">
        <v>35</v>
      </c>
      <c r="E1056" s="166">
        <v>4.766723761E9</v>
      </c>
      <c r="F1056" s="166" t="s">
        <v>3407</v>
      </c>
      <c r="G1056" s="210">
        <v>45534.0</v>
      </c>
      <c r="H1056" s="287">
        <v>45535.0</v>
      </c>
      <c r="I1056" s="168">
        <v>1.0</v>
      </c>
      <c r="J1056" s="169" t="s">
        <v>87</v>
      </c>
      <c r="K1056" s="166" t="s">
        <v>79</v>
      </c>
      <c r="L1056" s="166" t="s">
        <v>2803</v>
      </c>
      <c r="M1056" s="166">
        <v>2.0</v>
      </c>
      <c r="N1056" s="170">
        <v>0.0</v>
      </c>
      <c r="O1056" s="171">
        <v>106.38</v>
      </c>
      <c r="P1056" s="171">
        <v>85.104</v>
      </c>
      <c r="Q1056" s="172">
        <v>0.0</v>
      </c>
      <c r="R1056" s="173">
        <v>85.104</v>
      </c>
      <c r="S1056" s="173">
        <v>0.0</v>
      </c>
      <c r="T1056" s="173">
        <v>106.38</v>
      </c>
      <c r="U1056" s="174" t="s">
        <v>2804</v>
      </c>
      <c r="V1056" s="288">
        <v>45461.838229166664</v>
      </c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</row>
    <row r="1057">
      <c r="A1057" s="276">
        <v>45461.0</v>
      </c>
      <c r="B1057" s="252">
        <v>5804874.0</v>
      </c>
      <c r="C1057" s="253" t="s">
        <v>82</v>
      </c>
      <c r="D1057" s="253" t="s">
        <v>12</v>
      </c>
      <c r="E1057" s="252" t="s">
        <v>3408</v>
      </c>
      <c r="F1057" s="253" t="s">
        <v>3387</v>
      </c>
      <c r="G1057" s="276">
        <v>45549.0</v>
      </c>
      <c r="H1057" s="277">
        <v>45550.0</v>
      </c>
      <c r="I1057" s="278">
        <v>1.0</v>
      </c>
      <c r="J1057" s="257" t="s">
        <v>78</v>
      </c>
      <c r="K1057" s="253" t="s">
        <v>79</v>
      </c>
      <c r="L1057" s="253" t="s">
        <v>123</v>
      </c>
      <c r="M1057" s="252">
        <v>2.0</v>
      </c>
      <c r="N1057" s="258">
        <v>0.0</v>
      </c>
      <c r="O1057" s="259">
        <v>159.12</v>
      </c>
      <c r="P1057" s="259">
        <v>127.296</v>
      </c>
      <c r="Q1057" s="262">
        <v>0.0</v>
      </c>
      <c r="R1057" s="260">
        <v>127.296</v>
      </c>
      <c r="S1057" s="260">
        <v>0.0</v>
      </c>
      <c r="T1057" s="260">
        <v>159.12</v>
      </c>
      <c r="U1057" s="261" t="s">
        <v>2416</v>
      </c>
      <c r="V1057" s="279">
        <v>45461.741736111115</v>
      </c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</row>
    <row r="1058">
      <c r="A1058" s="210">
        <v>45462.0</v>
      </c>
      <c r="B1058" s="166">
        <v>5809486.0</v>
      </c>
      <c r="C1058" s="166" t="s">
        <v>82</v>
      </c>
      <c r="D1058" s="166" t="s">
        <v>35</v>
      </c>
      <c r="E1058" s="166">
        <v>4.688795432E9</v>
      </c>
      <c r="F1058" s="166" t="s">
        <v>3409</v>
      </c>
      <c r="G1058" s="210">
        <v>45463.0</v>
      </c>
      <c r="H1058" s="287">
        <v>45464.0</v>
      </c>
      <c r="I1058" s="168">
        <v>1.0</v>
      </c>
      <c r="J1058" s="169" t="s">
        <v>78</v>
      </c>
      <c r="K1058" s="166" t="s">
        <v>79</v>
      </c>
      <c r="L1058" s="166" t="s">
        <v>3364</v>
      </c>
      <c r="M1058" s="166">
        <v>2.0</v>
      </c>
      <c r="N1058" s="170">
        <v>0.0</v>
      </c>
      <c r="O1058" s="171">
        <v>166.84</v>
      </c>
      <c r="P1058" s="171">
        <v>133.472</v>
      </c>
      <c r="Q1058" s="172">
        <v>0.0</v>
      </c>
      <c r="R1058" s="173">
        <v>133.472</v>
      </c>
      <c r="S1058" s="173">
        <v>0.0</v>
      </c>
      <c r="T1058" s="173">
        <v>166.84</v>
      </c>
      <c r="U1058" s="201" t="s">
        <v>3365</v>
      </c>
      <c r="V1058" s="288">
        <v>45462.99517361111</v>
      </c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  <c r="AH1058" s="35"/>
      <c r="AI1058" s="35"/>
    </row>
    <row r="1059">
      <c r="A1059" s="210">
        <v>45462.0</v>
      </c>
      <c r="B1059" s="166">
        <v>5808075.0</v>
      </c>
      <c r="C1059" s="166" t="s">
        <v>82</v>
      </c>
      <c r="D1059" s="166" t="s">
        <v>35</v>
      </c>
      <c r="E1059" s="166">
        <v>4.888520224E9</v>
      </c>
      <c r="F1059" s="166" t="s">
        <v>3410</v>
      </c>
      <c r="G1059" s="210">
        <v>45467.0</v>
      </c>
      <c r="H1059" s="287">
        <v>45469.0</v>
      </c>
      <c r="I1059" s="168">
        <v>2.0</v>
      </c>
      <c r="J1059" s="169" t="s">
        <v>78</v>
      </c>
      <c r="K1059" s="166" t="s">
        <v>79</v>
      </c>
      <c r="L1059" s="166" t="s">
        <v>2803</v>
      </c>
      <c r="M1059" s="166">
        <v>1.0</v>
      </c>
      <c r="N1059" s="170">
        <v>0.0</v>
      </c>
      <c r="O1059" s="171">
        <v>119.09</v>
      </c>
      <c r="P1059" s="171">
        <v>95.272</v>
      </c>
      <c r="Q1059" s="172">
        <v>0.0</v>
      </c>
      <c r="R1059" s="173">
        <v>190.544</v>
      </c>
      <c r="S1059" s="173">
        <v>0.0</v>
      </c>
      <c r="T1059" s="173">
        <v>238.18</v>
      </c>
      <c r="U1059" s="201" t="s">
        <v>2804</v>
      </c>
      <c r="V1059" s="288">
        <v>45462.6625462963</v>
      </c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</row>
    <row r="1060">
      <c r="A1060" s="289">
        <v>45463.0</v>
      </c>
      <c r="B1060" s="290">
        <v>5810617.0</v>
      </c>
      <c r="C1060" s="291" t="s">
        <v>82</v>
      </c>
      <c r="D1060" s="291" t="s">
        <v>35</v>
      </c>
      <c r="E1060" s="290">
        <v>4.559234867E9</v>
      </c>
      <c r="F1060" s="291" t="s">
        <v>3411</v>
      </c>
      <c r="G1060" s="303">
        <v>45584.0</v>
      </c>
      <c r="H1060" s="360">
        <v>45586.0</v>
      </c>
      <c r="I1060" s="293">
        <v>2.0</v>
      </c>
      <c r="J1060" s="294" t="s">
        <v>78</v>
      </c>
      <c r="K1060" s="291" t="s">
        <v>79</v>
      </c>
      <c r="L1060" s="291" t="s">
        <v>3375</v>
      </c>
      <c r="M1060" s="290">
        <v>2.0</v>
      </c>
      <c r="N1060" s="295">
        <v>0.0</v>
      </c>
      <c r="O1060" s="296">
        <v>135.05</v>
      </c>
      <c r="P1060" s="296">
        <v>108.04000000000002</v>
      </c>
      <c r="Q1060" s="301">
        <v>0.0</v>
      </c>
      <c r="R1060" s="297">
        <v>216.08000000000004</v>
      </c>
      <c r="S1060" s="297">
        <v>0.0</v>
      </c>
      <c r="T1060" s="297">
        <v>810.3</v>
      </c>
      <c r="U1060" s="298" t="s">
        <v>3376</v>
      </c>
      <c r="V1060" s="299">
        <v>45463.46879629629</v>
      </c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</row>
    <row r="1061">
      <c r="A1061" s="289">
        <v>45463.0</v>
      </c>
      <c r="B1061" s="290">
        <v>5810617.0</v>
      </c>
      <c r="C1061" s="291" t="s">
        <v>82</v>
      </c>
      <c r="D1061" s="291" t="s">
        <v>35</v>
      </c>
      <c r="E1061" s="290">
        <v>4.559234867E9</v>
      </c>
      <c r="F1061" s="291" t="s">
        <v>3411</v>
      </c>
      <c r="G1061" s="303">
        <v>45584.0</v>
      </c>
      <c r="H1061" s="360">
        <v>45586.0</v>
      </c>
      <c r="I1061" s="293">
        <v>2.0</v>
      </c>
      <c r="J1061" s="294" t="s">
        <v>78</v>
      </c>
      <c r="K1061" s="291" t="s">
        <v>79</v>
      </c>
      <c r="L1061" s="291" t="s">
        <v>3375</v>
      </c>
      <c r="M1061" s="300">
        <v>2.0</v>
      </c>
      <c r="N1061" s="295">
        <v>0.0</v>
      </c>
      <c r="O1061" s="296">
        <v>135.05</v>
      </c>
      <c r="P1061" s="296">
        <v>108.04000000000002</v>
      </c>
      <c r="Q1061" s="301">
        <v>0.0</v>
      </c>
      <c r="R1061" s="297">
        <v>216.08000000000004</v>
      </c>
      <c r="S1061" s="297">
        <v>0.0</v>
      </c>
      <c r="T1061" s="297">
        <v>810.3</v>
      </c>
      <c r="U1061" s="298" t="s">
        <v>3376</v>
      </c>
      <c r="V1061" s="299">
        <v>45463.46879629629</v>
      </c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</row>
    <row r="1062">
      <c r="A1062" s="280">
        <v>45463.0</v>
      </c>
      <c r="B1062" s="264">
        <v>5810617.0</v>
      </c>
      <c r="C1062" s="265" t="s">
        <v>82</v>
      </c>
      <c r="D1062" s="265" t="s">
        <v>35</v>
      </c>
      <c r="E1062" s="264">
        <v>4.559234867E9</v>
      </c>
      <c r="F1062" s="265" t="s">
        <v>3411</v>
      </c>
      <c r="G1062" s="305">
        <v>45584.0</v>
      </c>
      <c r="H1062" s="313">
        <v>45586.0</v>
      </c>
      <c r="I1062" s="282">
        <v>2.0</v>
      </c>
      <c r="J1062" s="283" t="s">
        <v>78</v>
      </c>
      <c r="K1062" s="265" t="s">
        <v>79</v>
      </c>
      <c r="L1062" s="265" t="s">
        <v>3375</v>
      </c>
      <c r="M1062" s="269">
        <v>2.0</v>
      </c>
      <c r="N1062" s="270">
        <v>0.0</v>
      </c>
      <c r="O1062" s="271">
        <v>135.05</v>
      </c>
      <c r="P1062" s="271">
        <v>108.04000000000002</v>
      </c>
      <c r="Q1062" s="272">
        <v>0.0</v>
      </c>
      <c r="R1062" s="273">
        <v>216.08000000000004</v>
      </c>
      <c r="S1062" s="273">
        <v>0.0</v>
      </c>
      <c r="T1062" s="273">
        <v>810.3</v>
      </c>
      <c r="U1062" s="274" t="s">
        <v>3376</v>
      </c>
      <c r="V1062" s="284">
        <v>45463.46879629629</v>
      </c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</row>
    <row r="1063">
      <c r="A1063" s="276">
        <v>45464.0</v>
      </c>
      <c r="B1063" s="252">
        <v>5815592.0</v>
      </c>
      <c r="C1063" s="253" t="s">
        <v>82</v>
      </c>
      <c r="D1063" s="253" t="s">
        <v>35</v>
      </c>
      <c r="E1063" s="252">
        <v>4.740190213E9</v>
      </c>
      <c r="F1063" s="253" t="s">
        <v>3412</v>
      </c>
      <c r="G1063" s="276">
        <v>45501.0</v>
      </c>
      <c r="H1063" s="277">
        <v>45503.0</v>
      </c>
      <c r="I1063" s="278">
        <v>2.0</v>
      </c>
      <c r="J1063" s="257" t="s">
        <v>111</v>
      </c>
      <c r="K1063" s="253" t="s">
        <v>79</v>
      </c>
      <c r="L1063" s="253" t="s">
        <v>3375</v>
      </c>
      <c r="M1063" s="252">
        <v>3.0</v>
      </c>
      <c r="N1063" s="258">
        <v>0.0</v>
      </c>
      <c r="O1063" s="259">
        <v>146.0</v>
      </c>
      <c r="P1063" s="259">
        <v>116.80000000000001</v>
      </c>
      <c r="Q1063" s="262">
        <v>0.0</v>
      </c>
      <c r="R1063" s="260">
        <v>233.60000000000002</v>
      </c>
      <c r="S1063" s="260">
        <v>0.0</v>
      </c>
      <c r="T1063" s="260">
        <v>839.08</v>
      </c>
      <c r="U1063" s="261" t="s">
        <v>3376</v>
      </c>
      <c r="V1063" s="279">
        <v>45464.751435185186</v>
      </c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</row>
    <row r="1064">
      <c r="A1064" s="210">
        <v>45464.0</v>
      </c>
      <c r="B1064" s="166">
        <v>5815592.0</v>
      </c>
      <c r="C1064" s="166" t="s">
        <v>82</v>
      </c>
      <c r="D1064" s="166" t="s">
        <v>35</v>
      </c>
      <c r="E1064" s="166">
        <v>4.740190213E9</v>
      </c>
      <c r="F1064" s="166" t="s">
        <v>3412</v>
      </c>
      <c r="G1064" s="210">
        <v>45501.0</v>
      </c>
      <c r="H1064" s="287">
        <v>45503.0</v>
      </c>
      <c r="I1064" s="168">
        <v>2.0</v>
      </c>
      <c r="J1064" s="169" t="s">
        <v>78</v>
      </c>
      <c r="K1064" s="166" t="s">
        <v>79</v>
      </c>
      <c r="L1064" s="166" t="s">
        <v>3375</v>
      </c>
      <c r="M1064" s="205">
        <v>3.0</v>
      </c>
      <c r="N1064" s="170">
        <v>0.0</v>
      </c>
      <c r="O1064" s="171">
        <v>130.04</v>
      </c>
      <c r="P1064" s="171">
        <v>104.032</v>
      </c>
      <c r="Q1064" s="172">
        <v>0.0</v>
      </c>
      <c r="R1064" s="173">
        <v>208.064</v>
      </c>
      <c r="S1064" s="173">
        <v>0.0</v>
      </c>
      <c r="T1064" s="260">
        <v>839.08</v>
      </c>
      <c r="U1064" s="261" t="s">
        <v>3376</v>
      </c>
      <c r="V1064" s="279">
        <v>45464.751435185186</v>
      </c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</row>
    <row r="1065">
      <c r="A1065" s="210">
        <v>45464.0</v>
      </c>
      <c r="B1065" s="166">
        <v>5815592.0</v>
      </c>
      <c r="C1065" s="166" t="s">
        <v>82</v>
      </c>
      <c r="D1065" s="166" t="s">
        <v>35</v>
      </c>
      <c r="E1065" s="166">
        <v>4.740190213E9</v>
      </c>
      <c r="F1065" s="166" t="s">
        <v>3412</v>
      </c>
      <c r="G1065" s="210">
        <v>45501.0</v>
      </c>
      <c r="H1065" s="287">
        <v>45503.0</v>
      </c>
      <c r="I1065" s="168">
        <v>2.0</v>
      </c>
      <c r="J1065" s="169" t="s">
        <v>111</v>
      </c>
      <c r="K1065" s="166" t="s">
        <v>79</v>
      </c>
      <c r="L1065" s="166" t="s">
        <v>3375</v>
      </c>
      <c r="M1065" s="166">
        <v>2.0</v>
      </c>
      <c r="N1065" s="170">
        <v>0.0</v>
      </c>
      <c r="O1065" s="171">
        <v>143.5</v>
      </c>
      <c r="P1065" s="171">
        <v>114.80000000000001</v>
      </c>
      <c r="Q1065" s="172">
        <v>0.0</v>
      </c>
      <c r="R1065" s="173">
        <v>229.60000000000002</v>
      </c>
      <c r="S1065" s="173">
        <v>0.0</v>
      </c>
      <c r="T1065" s="173">
        <v>839.08</v>
      </c>
      <c r="U1065" s="174" t="s">
        <v>3376</v>
      </c>
      <c r="V1065" s="288">
        <v>45464.751435185186</v>
      </c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</row>
    <row r="1066">
      <c r="A1066" s="210">
        <v>45464.0</v>
      </c>
      <c r="B1066" s="166">
        <v>5816618.0</v>
      </c>
      <c r="C1066" s="166" t="s">
        <v>82</v>
      </c>
      <c r="D1066" s="166" t="s">
        <v>94</v>
      </c>
      <c r="E1066" s="166">
        <v>5816618.0</v>
      </c>
      <c r="F1066" s="166" t="s">
        <v>3413</v>
      </c>
      <c r="G1066" s="210">
        <v>45507.0</v>
      </c>
      <c r="H1066" s="287">
        <v>45508.0</v>
      </c>
      <c r="I1066" s="168">
        <v>1.0</v>
      </c>
      <c r="J1066" s="169" t="s">
        <v>78</v>
      </c>
      <c r="K1066" s="166" t="s">
        <v>79</v>
      </c>
      <c r="L1066" s="166" t="s">
        <v>2699</v>
      </c>
      <c r="M1066" s="166">
        <v>2.0</v>
      </c>
      <c r="N1066" s="170">
        <v>0.0</v>
      </c>
      <c r="O1066" s="171">
        <v>107.4</v>
      </c>
      <c r="P1066" s="171">
        <v>106.32600000000001</v>
      </c>
      <c r="Q1066" s="172">
        <v>0.0</v>
      </c>
      <c r="R1066" s="173">
        <v>106.32600000000001</v>
      </c>
      <c r="S1066" s="173">
        <v>0.0</v>
      </c>
      <c r="T1066" s="173">
        <v>107.4</v>
      </c>
      <c r="U1066" s="174" t="s">
        <v>3244</v>
      </c>
      <c r="V1066" s="288">
        <v>45465.02730324074</v>
      </c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</row>
    <row r="1067">
      <c r="A1067" s="210">
        <v>45465.0</v>
      </c>
      <c r="B1067" s="166">
        <v>5819604.0</v>
      </c>
      <c r="C1067" s="166" t="s">
        <v>82</v>
      </c>
      <c r="D1067" s="166" t="s">
        <v>1666</v>
      </c>
      <c r="E1067" s="166" t="s">
        <v>3414</v>
      </c>
      <c r="F1067" s="166" t="s">
        <v>3415</v>
      </c>
      <c r="G1067" s="210">
        <v>45515.0</v>
      </c>
      <c r="H1067" s="287">
        <v>45519.0</v>
      </c>
      <c r="I1067" s="168">
        <v>4.0</v>
      </c>
      <c r="J1067" s="169" t="s">
        <v>78</v>
      </c>
      <c r="K1067" s="166" t="s">
        <v>79</v>
      </c>
      <c r="L1067" s="166" t="s">
        <v>3416</v>
      </c>
      <c r="M1067" s="205">
        <v>2.0</v>
      </c>
      <c r="N1067" s="170">
        <v>0.0</v>
      </c>
      <c r="O1067" s="171">
        <v>51.2</v>
      </c>
      <c r="P1067" s="171">
        <v>40.96000000000001</v>
      </c>
      <c r="Q1067" s="172">
        <v>0.0</v>
      </c>
      <c r="R1067" s="173">
        <v>163.84000000000003</v>
      </c>
      <c r="S1067" s="173">
        <v>0.0</v>
      </c>
      <c r="T1067" s="173">
        <v>409.6</v>
      </c>
      <c r="U1067" s="174" t="s">
        <v>3417</v>
      </c>
      <c r="V1067" s="288">
        <v>45465.8809837963</v>
      </c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</row>
    <row r="1068">
      <c r="A1068" s="210">
        <v>45465.0</v>
      </c>
      <c r="B1068" s="166">
        <v>5819604.0</v>
      </c>
      <c r="C1068" s="166" t="s">
        <v>82</v>
      </c>
      <c r="D1068" s="166" t="s">
        <v>1666</v>
      </c>
      <c r="E1068" s="166" t="s">
        <v>3414</v>
      </c>
      <c r="F1068" s="166" t="s">
        <v>3415</v>
      </c>
      <c r="G1068" s="210">
        <v>45515.0</v>
      </c>
      <c r="H1068" s="287">
        <v>45519.0</v>
      </c>
      <c r="I1068" s="168">
        <v>4.0</v>
      </c>
      <c r="J1068" s="169" t="s">
        <v>78</v>
      </c>
      <c r="K1068" s="166" t="s">
        <v>79</v>
      </c>
      <c r="L1068" s="166" t="s">
        <v>3416</v>
      </c>
      <c r="M1068" s="205">
        <v>2.0</v>
      </c>
      <c r="N1068" s="170">
        <v>0.0</v>
      </c>
      <c r="O1068" s="171">
        <v>51.2</v>
      </c>
      <c r="P1068" s="171">
        <v>40.96000000000001</v>
      </c>
      <c r="Q1068" s="172">
        <v>0.0</v>
      </c>
      <c r="R1068" s="173">
        <v>163.84000000000003</v>
      </c>
      <c r="S1068" s="173">
        <v>0.0</v>
      </c>
      <c r="T1068" s="173">
        <v>409.6</v>
      </c>
      <c r="U1068" s="174" t="s">
        <v>3417</v>
      </c>
      <c r="V1068" s="288">
        <v>45465.8809837963</v>
      </c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</row>
    <row r="1069">
      <c r="A1069" s="276">
        <v>45465.0</v>
      </c>
      <c r="B1069" s="252">
        <v>5817188.0</v>
      </c>
      <c r="C1069" s="253" t="s">
        <v>82</v>
      </c>
      <c r="D1069" s="253" t="s">
        <v>35</v>
      </c>
      <c r="E1069" s="252">
        <v>4.890094404E9</v>
      </c>
      <c r="F1069" s="253" t="s">
        <v>3418</v>
      </c>
      <c r="G1069" s="276">
        <v>45548.0</v>
      </c>
      <c r="H1069" s="277">
        <v>45551.0</v>
      </c>
      <c r="I1069" s="278">
        <v>3.0</v>
      </c>
      <c r="J1069" s="257" t="s">
        <v>78</v>
      </c>
      <c r="K1069" s="253" t="s">
        <v>79</v>
      </c>
      <c r="L1069" s="253" t="s">
        <v>3419</v>
      </c>
      <c r="M1069" s="252">
        <v>2.0</v>
      </c>
      <c r="N1069" s="258">
        <v>0.0</v>
      </c>
      <c r="O1069" s="259">
        <v>215.03</v>
      </c>
      <c r="P1069" s="259">
        <v>172.024</v>
      </c>
      <c r="Q1069" s="257">
        <v>0.0</v>
      </c>
      <c r="R1069" s="260">
        <v>516.072</v>
      </c>
      <c r="S1069" s="260">
        <v>0.0</v>
      </c>
      <c r="T1069" s="260">
        <v>645.09</v>
      </c>
      <c r="U1069" s="261" t="s">
        <v>3420</v>
      </c>
      <c r="V1069" s="279">
        <v>45465.34105324074</v>
      </c>
      <c r="W1069" s="188"/>
      <c r="X1069" s="188"/>
      <c r="Y1069" s="188"/>
      <c r="Z1069" s="188"/>
      <c r="AA1069" s="188"/>
      <c r="AB1069" s="188"/>
      <c r="AC1069" s="188"/>
      <c r="AD1069" s="188"/>
      <c r="AE1069" s="188"/>
      <c r="AF1069" s="188"/>
      <c r="AG1069" s="188"/>
      <c r="AH1069" s="188"/>
      <c r="AI1069" s="188"/>
    </row>
    <row r="1070">
      <c r="A1070" s="210">
        <v>45466.0</v>
      </c>
      <c r="B1070" s="166">
        <v>5823291.0</v>
      </c>
      <c r="C1070" s="166" t="s">
        <v>82</v>
      </c>
      <c r="D1070" s="166" t="s">
        <v>35</v>
      </c>
      <c r="E1070" s="166">
        <v>4.775232911E9</v>
      </c>
      <c r="F1070" s="166" t="s">
        <v>3421</v>
      </c>
      <c r="G1070" s="210">
        <v>45479.0</v>
      </c>
      <c r="H1070" s="287">
        <v>45481.0</v>
      </c>
      <c r="I1070" s="168">
        <v>2.0</v>
      </c>
      <c r="J1070" s="169" t="s">
        <v>78</v>
      </c>
      <c r="K1070" s="166" t="s">
        <v>79</v>
      </c>
      <c r="L1070" s="166" t="s">
        <v>2803</v>
      </c>
      <c r="M1070" s="166">
        <v>2.0</v>
      </c>
      <c r="N1070" s="170">
        <v>0.0</v>
      </c>
      <c r="O1070" s="171">
        <v>165.45</v>
      </c>
      <c r="P1070" s="171">
        <v>132.35999999999999</v>
      </c>
      <c r="Q1070" s="172">
        <v>0.0</v>
      </c>
      <c r="R1070" s="173">
        <v>264.71999999999997</v>
      </c>
      <c r="S1070" s="173">
        <v>0.0</v>
      </c>
      <c r="T1070" s="173">
        <v>330.9</v>
      </c>
      <c r="U1070" s="201" t="s">
        <v>2804</v>
      </c>
      <c r="V1070" s="288">
        <v>45466.924363425926</v>
      </c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</row>
    <row r="1071">
      <c r="A1071" s="210">
        <v>45466.0</v>
      </c>
      <c r="B1071" s="166">
        <v>5822877.0</v>
      </c>
      <c r="C1071" s="166" t="s">
        <v>82</v>
      </c>
      <c r="D1071" s="166" t="s">
        <v>35</v>
      </c>
      <c r="E1071" s="166">
        <v>4.460017309E9</v>
      </c>
      <c r="F1071" s="166" t="s">
        <v>3422</v>
      </c>
      <c r="G1071" s="210">
        <v>45486.0</v>
      </c>
      <c r="H1071" s="287">
        <v>45490.0</v>
      </c>
      <c r="I1071" s="168">
        <v>4.0</v>
      </c>
      <c r="J1071" s="169" t="s">
        <v>78</v>
      </c>
      <c r="K1071" s="166" t="s">
        <v>79</v>
      </c>
      <c r="L1071" s="166" t="s">
        <v>2803</v>
      </c>
      <c r="M1071" s="166">
        <v>2.0</v>
      </c>
      <c r="N1071" s="170">
        <v>0.0</v>
      </c>
      <c r="O1071" s="171">
        <v>100.11</v>
      </c>
      <c r="P1071" s="171">
        <v>80.08800000000001</v>
      </c>
      <c r="Q1071" s="169">
        <v>0.0</v>
      </c>
      <c r="R1071" s="173">
        <v>320.35200000000003</v>
      </c>
      <c r="S1071" s="173">
        <v>0.0</v>
      </c>
      <c r="T1071" s="173">
        <v>400.44</v>
      </c>
      <c r="U1071" s="174" t="s">
        <v>2804</v>
      </c>
      <c r="V1071" s="288">
        <v>45466.834768518514</v>
      </c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</row>
    <row r="1072">
      <c r="A1072" s="210">
        <v>45466.0</v>
      </c>
      <c r="B1072" s="166">
        <v>5823411.0</v>
      </c>
      <c r="C1072" s="166" t="s">
        <v>75</v>
      </c>
      <c r="D1072" s="166" t="s">
        <v>35</v>
      </c>
      <c r="E1072" s="166">
        <v>4.420171847E9</v>
      </c>
      <c r="F1072" s="166" t="s">
        <v>3423</v>
      </c>
      <c r="G1072" s="210">
        <v>45491.0</v>
      </c>
      <c r="H1072" s="287">
        <v>45492.0</v>
      </c>
      <c r="I1072" s="168">
        <v>1.0</v>
      </c>
      <c r="J1072" s="169" t="s">
        <v>91</v>
      </c>
      <c r="K1072" s="166" t="s">
        <v>79</v>
      </c>
      <c r="L1072" s="166" t="s">
        <v>2803</v>
      </c>
      <c r="M1072" s="205">
        <v>4.0</v>
      </c>
      <c r="N1072" s="170">
        <v>0.0</v>
      </c>
      <c r="O1072" s="171">
        <v>339.72</v>
      </c>
      <c r="P1072" s="171">
        <v>271.776</v>
      </c>
      <c r="Q1072" s="172">
        <v>0.0</v>
      </c>
      <c r="R1072" s="173">
        <v>271.776</v>
      </c>
      <c r="S1072" s="173">
        <v>0.0</v>
      </c>
      <c r="T1072" s="173">
        <v>339.72</v>
      </c>
      <c r="U1072" s="201" t="s">
        <v>2804</v>
      </c>
      <c r="V1072" s="288">
        <v>45487.016689814816</v>
      </c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</row>
    <row r="1073">
      <c r="A1073" s="276">
        <v>45466.0</v>
      </c>
      <c r="B1073" s="252">
        <v>5820524.0</v>
      </c>
      <c r="C1073" s="253" t="s">
        <v>82</v>
      </c>
      <c r="D1073" s="253" t="s">
        <v>35</v>
      </c>
      <c r="E1073" s="252">
        <v>4.787089578E9</v>
      </c>
      <c r="F1073" s="253" t="s">
        <v>3424</v>
      </c>
      <c r="G1073" s="276">
        <v>45491.0</v>
      </c>
      <c r="H1073" s="277">
        <v>45492.0</v>
      </c>
      <c r="I1073" s="278">
        <v>1.0</v>
      </c>
      <c r="J1073" s="257" t="s">
        <v>78</v>
      </c>
      <c r="K1073" s="253" t="s">
        <v>79</v>
      </c>
      <c r="L1073" s="253" t="s">
        <v>3425</v>
      </c>
      <c r="M1073" s="275">
        <v>2.0</v>
      </c>
      <c r="N1073" s="258">
        <v>0.0</v>
      </c>
      <c r="O1073" s="259">
        <v>127.33</v>
      </c>
      <c r="P1073" s="259">
        <v>101.864</v>
      </c>
      <c r="Q1073" s="262">
        <v>0.0</v>
      </c>
      <c r="R1073" s="260">
        <v>101.864</v>
      </c>
      <c r="S1073" s="260">
        <v>0.0</v>
      </c>
      <c r="T1073" s="260">
        <v>127.33</v>
      </c>
      <c r="U1073" s="261" t="s">
        <v>3426</v>
      </c>
      <c r="V1073" s="279">
        <v>45466.35071759259</v>
      </c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</row>
    <row r="1074">
      <c r="A1074" s="210">
        <v>45466.0</v>
      </c>
      <c r="B1074" s="166">
        <v>5822470.0</v>
      </c>
      <c r="C1074" s="166" t="s">
        <v>82</v>
      </c>
      <c r="D1074" s="166" t="s">
        <v>35</v>
      </c>
      <c r="E1074" s="166">
        <v>4.987804762E9</v>
      </c>
      <c r="F1074" s="166" t="s">
        <v>3427</v>
      </c>
      <c r="G1074" s="210">
        <v>45506.0</v>
      </c>
      <c r="H1074" s="287">
        <v>45511.0</v>
      </c>
      <c r="I1074" s="168">
        <v>5.0</v>
      </c>
      <c r="J1074" s="169" t="s">
        <v>78</v>
      </c>
      <c r="K1074" s="166" t="s">
        <v>79</v>
      </c>
      <c r="L1074" s="166" t="s">
        <v>3425</v>
      </c>
      <c r="M1074" s="166">
        <v>2.0</v>
      </c>
      <c r="N1074" s="170">
        <v>0.0</v>
      </c>
      <c r="O1074" s="171">
        <v>176.35999999999999</v>
      </c>
      <c r="P1074" s="171">
        <v>141.088</v>
      </c>
      <c r="Q1074" s="172">
        <v>0.0</v>
      </c>
      <c r="R1074" s="173">
        <v>705.44</v>
      </c>
      <c r="S1074" s="173">
        <v>0.0</v>
      </c>
      <c r="T1074" s="173">
        <v>881.8</v>
      </c>
      <c r="U1074" s="174" t="s">
        <v>3426</v>
      </c>
      <c r="V1074" s="288">
        <v>45466.745208333334</v>
      </c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</row>
    <row r="1075">
      <c r="A1075" s="280">
        <v>45466.0</v>
      </c>
      <c r="B1075" s="264">
        <v>5821016.0</v>
      </c>
      <c r="C1075" s="265" t="s">
        <v>89</v>
      </c>
      <c r="D1075" s="265" t="s">
        <v>35</v>
      </c>
      <c r="E1075" s="264">
        <v>4.773999085E9</v>
      </c>
      <c r="F1075" s="265" t="s">
        <v>3428</v>
      </c>
      <c r="G1075" s="280">
        <v>45521.0</v>
      </c>
      <c r="H1075" s="281">
        <v>45524.0</v>
      </c>
      <c r="I1075" s="282">
        <v>3.0</v>
      </c>
      <c r="J1075" s="283" t="s">
        <v>78</v>
      </c>
      <c r="K1075" s="265" t="s">
        <v>79</v>
      </c>
      <c r="L1075" s="265" t="s">
        <v>2803</v>
      </c>
      <c r="M1075" s="264">
        <v>2.0</v>
      </c>
      <c r="N1075" s="270">
        <v>0.0</v>
      </c>
      <c r="O1075" s="271">
        <v>0.0</v>
      </c>
      <c r="P1075" s="271">
        <v>0.0</v>
      </c>
      <c r="Q1075" s="272">
        <v>0.0</v>
      </c>
      <c r="R1075" s="273">
        <v>0.0</v>
      </c>
      <c r="S1075" s="273">
        <v>0.0</v>
      </c>
      <c r="T1075" s="273">
        <v>0.0</v>
      </c>
      <c r="U1075" s="274" t="s">
        <v>3429</v>
      </c>
      <c r="V1075" s="286">
        <v>45466.46811342593</v>
      </c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</row>
    <row r="1076">
      <c r="A1076" s="210">
        <v>45467.0</v>
      </c>
      <c r="B1076" s="166">
        <v>5824293.0</v>
      </c>
      <c r="C1076" s="166" t="s">
        <v>82</v>
      </c>
      <c r="D1076" s="166" t="s">
        <v>35</v>
      </c>
      <c r="E1076" s="166">
        <v>4.530285685E9</v>
      </c>
      <c r="F1076" s="166" t="s">
        <v>3430</v>
      </c>
      <c r="G1076" s="210">
        <v>45481.0</v>
      </c>
      <c r="H1076" s="287">
        <v>45483.0</v>
      </c>
      <c r="I1076" s="168">
        <v>2.0</v>
      </c>
      <c r="J1076" s="169" t="s">
        <v>114</v>
      </c>
      <c r="K1076" s="166" t="s">
        <v>79</v>
      </c>
      <c r="L1076" s="166" t="s">
        <v>2798</v>
      </c>
      <c r="M1076" s="205">
        <v>2.0</v>
      </c>
      <c r="N1076" s="170">
        <v>0.0</v>
      </c>
      <c r="O1076" s="171">
        <v>191.35</v>
      </c>
      <c r="P1076" s="171">
        <v>153.08</v>
      </c>
      <c r="Q1076" s="172">
        <v>0.0</v>
      </c>
      <c r="R1076" s="173">
        <v>306.16</v>
      </c>
      <c r="S1076" s="173">
        <v>0.0</v>
      </c>
      <c r="T1076" s="260">
        <v>382.7</v>
      </c>
      <c r="U1076" s="261" t="s">
        <v>2800</v>
      </c>
      <c r="V1076" s="279">
        <v>45467.40837962963</v>
      </c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</row>
    <row r="1077">
      <c r="A1077" s="210">
        <v>45467.0</v>
      </c>
      <c r="B1077" s="166">
        <v>5825836.0</v>
      </c>
      <c r="C1077" s="166" t="s">
        <v>82</v>
      </c>
      <c r="D1077" s="166" t="s">
        <v>35</v>
      </c>
      <c r="E1077" s="166">
        <v>4.489259569E9</v>
      </c>
      <c r="F1077" s="166" t="s">
        <v>3431</v>
      </c>
      <c r="G1077" s="210">
        <v>45491.0</v>
      </c>
      <c r="H1077" s="287">
        <v>45494.0</v>
      </c>
      <c r="I1077" s="168">
        <v>3.0</v>
      </c>
      <c r="J1077" s="169" t="s">
        <v>111</v>
      </c>
      <c r="K1077" s="166" t="s">
        <v>79</v>
      </c>
      <c r="L1077" s="166" t="s">
        <v>2803</v>
      </c>
      <c r="M1077" s="166">
        <v>2.0</v>
      </c>
      <c r="N1077" s="169">
        <v>0.0</v>
      </c>
      <c r="O1077" s="171">
        <v>143.5</v>
      </c>
      <c r="P1077" s="171">
        <v>114.80000000000001</v>
      </c>
      <c r="Q1077" s="169">
        <v>0.0</v>
      </c>
      <c r="R1077" s="173">
        <v>344.40000000000003</v>
      </c>
      <c r="S1077" s="173">
        <v>0.0</v>
      </c>
      <c r="T1077" s="173">
        <v>430.5</v>
      </c>
      <c r="U1077" s="174" t="s">
        <v>2804</v>
      </c>
      <c r="V1077" s="288">
        <v>45467.72157407408</v>
      </c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</row>
    <row r="1078">
      <c r="A1078" s="210">
        <v>45467.0</v>
      </c>
      <c r="B1078" s="166">
        <v>5827053.0</v>
      </c>
      <c r="C1078" s="166" t="s">
        <v>89</v>
      </c>
      <c r="D1078" s="166" t="s">
        <v>35</v>
      </c>
      <c r="E1078" s="166">
        <v>4.419306062E9</v>
      </c>
      <c r="F1078" s="166" t="s">
        <v>3432</v>
      </c>
      <c r="G1078" s="210">
        <v>45527.0</v>
      </c>
      <c r="H1078" s="287">
        <v>45528.0</v>
      </c>
      <c r="I1078" s="168">
        <v>1.0</v>
      </c>
      <c r="J1078" s="169" t="s">
        <v>78</v>
      </c>
      <c r="K1078" s="166" t="s">
        <v>79</v>
      </c>
      <c r="L1078" s="166" t="s">
        <v>2798</v>
      </c>
      <c r="M1078" s="166">
        <v>3.0</v>
      </c>
      <c r="N1078" s="170">
        <v>0.0</v>
      </c>
      <c r="O1078" s="171">
        <v>0.0</v>
      </c>
      <c r="P1078" s="171">
        <v>0.0</v>
      </c>
      <c r="Q1078" s="172">
        <v>0.0</v>
      </c>
      <c r="R1078" s="173">
        <v>0.0</v>
      </c>
      <c r="S1078" s="173">
        <v>0.0</v>
      </c>
      <c r="T1078" s="173">
        <v>0.0</v>
      </c>
      <c r="U1078" s="174" t="s">
        <v>3433</v>
      </c>
      <c r="V1078" s="288">
        <v>45468.01462962963</v>
      </c>
      <c r="W1078" s="188"/>
      <c r="X1078" s="188"/>
      <c r="Y1078" s="188"/>
      <c r="Z1078" s="188"/>
      <c r="AA1078" s="188"/>
      <c r="AB1078" s="188"/>
      <c r="AC1078" s="188"/>
      <c r="AD1078" s="188"/>
      <c r="AE1078" s="188"/>
      <c r="AF1078" s="188"/>
      <c r="AG1078" s="188"/>
      <c r="AH1078" s="188"/>
      <c r="AI1078" s="188"/>
    </row>
    <row r="1079">
      <c r="A1079" s="280">
        <v>45468.0</v>
      </c>
      <c r="B1079" s="264">
        <v>5828717.0</v>
      </c>
      <c r="C1079" s="265" t="s">
        <v>82</v>
      </c>
      <c r="D1079" s="265" t="s">
        <v>35</v>
      </c>
      <c r="E1079" s="264">
        <v>4.782087145E9</v>
      </c>
      <c r="F1079" s="265" t="s">
        <v>3434</v>
      </c>
      <c r="G1079" s="280">
        <v>45468.0</v>
      </c>
      <c r="H1079" s="281">
        <v>45469.0</v>
      </c>
      <c r="I1079" s="282">
        <v>1.0</v>
      </c>
      <c r="J1079" s="283" t="s">
        <v>114</v>
      </c>
      <c r="K1079" s="265" t="s">
        <v>79</v>
      </c>
      <c r="L1079" s="265" t="s">
        <v>2803</v>
      </c>
      <c r="M1079" s="264">
        <v>2.0</v>
      </c>
      <c r="N1079" s="270">
        <v>0.0</v>
      </c>
      <c r="O1079" s="271">
        <v>139.6</v>
      </c>
      <c r="P1079" s="271">
        <v>111.68</v>
      </c>
      <c r="Q1079" s="283">
        <v>0.0</v>
      </c>
      <c r="R1079" s="273">
        <v>111.68</v>
      </c>
      <c r="S1079" s="273">
        <v>0.0</v>
      </c>
      <c r="T1079" s="273">
        <v>139.6</v>
      </c>
      <c r="U1079" s="274" t="s">
        <v>2804</v>
      </c>
      <c r="V1079" s="286">
        <v>45468.561840277776</v>
      </c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</row>
    <row r="1080">
      <c r="A1080" s="280">
        <v>45468.0</v>
      </c>
      <c r="B1080" s="264">
        <v>5827350.0</v>
      </c>
      <c r="C1080" s="265" t="s">
        <v>82</v>
      </c>
      <c r="D1080" s="265" t="s">
        <v>35</v>
      </c>
      <c r="E1080" s="264">
        <v>4.300113586E9</v>
      </c>
      <c r="F1080" s="265" t="s">
        <v>3435</v>
      </c>
      <c r="G1080" s="280">
        <v>45472.0</v>
      </c>
      <c r="H1080" s="281">
        <v>45474.0</v>
      </c>
      <c r="I1080" s="282">
        <v>2.0</v>
      </c>
      <c r="J1080" s="283" t="s">
        <v>91</v>
      </c>
      <c r="K1080" s="265" t="s">
        <v>79</v>
      </c>
      <c r="L1080" s="265" t="s">
        <v>2803</v>
      </c>
      <c r="M1080" s="269">
        <v>5.0</v>
      </c>
      <c r="N1080" s="270">
        <v>0.0</v>
      </c>
      <c r="O1080" s="271">
        <v>382.21</v>
      </c>
      <c r="P1080" s="271">
        <v>305.768</v>
      </c>
      <c r="Q1080" s="272">
        <v>0.0</v>
      </c>
      <c r="R1080" s="273">
        <v>611.536</v>
      </c>
      <c r="S1080" s="273">
        <v>0.0</v>
      </c>
      <c r="T1080" s="273">
        <v>764.42</v>
      </c>
      <c r="U1080" s="274" t="s">
        <v>2804</v>
      </c>
      <c r="V1080" s="284">
        <v>45468.21949074074</v>
      </c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</row>
    <row r="1081">
      <c r="A1081" s="210">
        <v>45468.0</v>
      </c>
      <c r="B1081" s="166">
        <v>5828685.0</v>
      </c>
      <c r="C1081" s="166" t="s">
        <v>89</v>
      </c>
      <c r="D1081" s="166" t="s">
        <v>35</v>
      </c>
      <c r="E1081" s="166">
        <v>4.519374661E9</v>
      </c>
      <c r="F1081" s="166" t="s">
        <v>3436</v>
      </c>
      <c r="G1081" s="210">
        <v>45489.0</v>
      </c>
      <c r="H1081" s="287">
        <v>45492.0</v>
      </c>
      <c r="I1081" s="168">
        <v>3.0</v>
      </c>
      <c r="J1081" s="169" t="s">
        <v>78</v>
      </c>
      <c r="K1081" s="166" t="s">
        <v>79</v>
      </c>
      <c r="L1081" s="166" t="s">
        <v>3425</v>
      </c>
      <c r="M1081" s="166">
        <v>2.0</v>
      </c>
      <c r="N1081" s="170">
        <v>0.0</v>
      </c>
      <c r="O1081" s="171">
        <v>0.0</v>
      </c>
      <c r="P1081" s="171">
        <v>0.0</v>
      </c>
      <c r="Q1081" s="172">
        <v>0.0</v>
      </c>
      <c r="R1081" s="173">
        <v>0.0</v>
      </c>
      <c r="S1081" s="173">
        <v>0.0</v>
      </c>
      <c r="T1081" s="173">
        <v>0.0</v>
      </c>
      <c r="U1081" s="174" t="s">
        <v>3437</v>
      </c>
      <c r="V1081" s="288">
        <v>45468.554930555554</v>
      </c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</row>
    <row r="1082">
      <c r="A1082" s="280">
        <v>45469.0</v>
      </c>
      <c r="B1082" s="264">
        <v>5832570.0</v>
      </c>
      <c r="C1082" s="265" t="s">
        <v>89</v>
      </c>
      <c r="D1082" s="265" t="s">
        <v>35</v>
      </c>
      <c r="E1082" s="264">
        <v>4.706727686E9</v>
      </c>
      <c r="F1082" s="265" t="s">
        <v>3438</v>
      </c>
      <c r="G1082" s="280">
        <v>45507.0</v>
      </c>
      <c r="H1082" s="281">
        <v>45509.0</v>
      </c>
      <c r="I1082" s="282">
        <v>2.0</v>
      </c>
      <c r="J1082" s="283" t="s">
        <v>87</v>
      </c>
      <c r="K1082" s="265" t="s">
        <v>79</v>
      </c>
      <c r="L1082" s="265" t="s">
        <v>2803</v>
      </c>
      <c r="M1082" s="269">
        <v>2.0</v>
      </c>
      <c r="N1082" s="270">
        <v>0.0</v>
      </c>
      <c r="O1082" s="271">
        <v>0.0</v>
      </c>
      <c r="P1082" s="271">
        <v>0.0</v>
      </c>
      <c r="Q1082" s="272">
        <v>0.0</v>
      </c>
      <c r="R1082" s="273">
        <v>0.0</v>
      </c>
      <c r="S1082" s="273">
        <v>0.0</v>
      </c>
      <c r="T1082" s="273">
        <v>0.0</v>
      </c>
      <c r="U1082" s="274" t="s">
        <v>3439</v>
      </c>
      <c r="V1082" s="286">
        <v>45469.5715625</v>
      </c>
      <c r="W1082" s="188"/>
      <c r="X1082" s="188"/>
      <c r="Y1082" s="188"/>
      <c r="Z1082" s="188"/>
      <c r="AA1082" s="188"/>
      <c r="AB1082" s="188"/>
      <c r="AC1082" s="188"/>
      <c r="AD1082" s="188"/>
      <c r="AE1082" s="188"/>
      <c r="AF1082" s="188"/>
      <c r="AG1082" s="188"/>
      <c r="AH1082" s="188"/>
      <c r="AI1082" s="188"/>
    </row>
    <row r="1083">
      <c r="A1083" s="276">
        <v>45469.0</v>
      </c>
      <c r="B1083" s="252">
        <v>5834068.0</v>
      </c>
      <c r="C1083" s="253" t="s">
        <v>82</v>
      </c>
      <c r="D1083" s="253" t="s">
        <v>35</v>
      </c>
      <c r="E1083" s="252">
        <v>4.799625786E9</v>
      </c>
      <c r="F1083" s="253" t="s">
        <v>3440</v>
      </c>
      <c r="G1083" s="276">
        <v>45509.0</v>
      </c>
      <c r="H1083" s="277">
        <v>45513.0</v>
      </c>
      <c r="I1083" s="278">
        <v>4.0</v>
      </c>
      <c r="J1083" s="257" t="s">
        <v>78</v>
      </c>
      <c r="K1083" s="253" t="s">
        <v>79</v>
      </c>
      <c r="L1083" s="253" t="s">
        <v>2798</v>
      </c>
      <c r="M1083" s="252">
        <v>2.0</v>
      </c>
      <c r="N1083" s="258">
        <v>0.0</v>
      </c>
      <c r="O1083" s="259">
        <v>208.27</v>
      </c>
      <c r="P1083" s="259">
        <v>166.616</v>
      </c>
      <c r="Q1083" s="262">
        <v>0.0</v>
      </c>
      <c r="R1083" s="260">
        <v>666.464</v>
      </c>
      <c r="S1083" s="260">
        <v>0.0</v>
      </c>
      <c r="T1083" s="260">
        <v>833.08</v>
      </c>
      <c r="U1083" s="261" t="s">
        <v>2800</v>
      </c>
      <c r="V1083" s="279">
        <v>45469.85701388889</v>
      </c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5"/>
      <c r="AG1083" s="35"/>
      <c r="AH1083" s="35"/>
      <c r="AI1083" s="35"/>
    </row>
    <row r="1084">
      <c r="A1084" s="280">
        <v>45469.0</v>
      </c>
      <c r="B1084" s="264">
        <v>5833782.0</v>
      </c>
      <c r="C1084" s="265" t="s">
        <v>82</v>
      </c>
      <c r="D1084" s="265" t="s">
        <v>12</v>
      </c>
      <c r="E1084" s="264" t="s">
        <v>3441</v>
      </c>
      <c r="F1084" s="265" t="s">
        <v>3442</v>
      </c>
      <c r="G1084" s="280">
        <v>45521.0</v>
      </c>
      <c r="H1084" s="281">
        <v>45523.0</v>
      </c>
      <c r="I1084" s="282">
        <v>2.0</v>
      </c>
      <c r="J1084" s="283" t="s">
        <v>87</v>
      </c>
      <c r="K1084" s="265" t="s">
        <v>79</v>
      </c>
      <c r="L1084" s="265" t="s">
        <v>123</v>
      </c>
      <c r="M1084" s="269">
        <v>2.0</v>
      </c>
      <c r="N1084" s="270">
        <v>0.0</v>
      </c>
      <c r="O1084" s="271">
        <v>118.01</v>
      </c>
      <c r="P1084" s="271">
        <v>94.40800000000002</v>
      </c>
      <c r="Q1084" s="272">
        <v>0.0</v>
      </c>
      <c r="R1084" s="273">
        <v>188.81600000000003</v>
      </c>
      <c r="S1084" s="273">
        <v>0.0</v>
      </c>
      <c r="T1084" s="273">
        <v>801.78</v>
      </c>
      <c r="U1084" s="274" t="s">
        <v>2416</v>
      </c>
      <c r="V1084" s="284">
        <v>45469.79798611111</v>
      </c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</row>
    <row r="1085">
      <c r="A1085" s="280">
        <v>45469.0</v>
      </c>
      <c r="B1085" s="264">
        <v>5833782.0</v>
      </c>
      <c r="C1085" s="265" t="s">
        <v>82</v>
      </c>
      <c r="D1085" s="265" t="s">
        <v>12</v>
      </c>
      <c r="E1085" s="264" t="s">
        <v>3441</v>
      </c>
      <c r="F1085" s="265" t="s">
        <v>3442</v>
      </c>
      <c r="G1085" s="280">
        <v>45521.0</v>
      </c>
      <c r="H1085" s="281">
        <v>45523.0</v>
      </c>
      <c r="I1085" s="282">
        <v>2.0</v>
      </c>
      <c r="J1085" s="283" t="s">
        <v>78</v>
      </c>
      <c r="K1085" s="265" t="s">
        <v>79</v>
      </c>
      <c r="L1085" s="265" t="s">
        <v>123</v>
      </c>
      <c r="M1085" s="264">
        <v>2.0</v>
      </c>
      <c r="N1085" s="270">
        <v>0.0</v>
      </c>
      <c r="O1085" s="271">
        <v>141.44</v>
      </c>
      <c r="P1085" s="271">
        <v>113.152</v>
      </c>
      <c r="Q1085" s="272">
        <v>0.0</v>
      </c>
      <c r="R1085" s="273">
        <v>226.304</v>
      </c>
      <c r="S1085" s="273">
        <v>0.0</v>
      </c>
      <c r="T1085" s="273">
        <v>801.78</v>
      </c>
      <c r="U1085" s="274" t="s">
        <v>2416</v>
      </c>
      <c r="V1085" s="286">
        <v>45469.79798611111</v>
      </c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  <c r="AH1085" s="35"/>
      <c r="AI1085" s="35"/>
    </row>
    <row r="1086">
      <c r="A1086" s="210">
        <v>45469.0</v>
      </c>
      <c r="B1086" s="166">
        <v>5833782.0</v>
      </c>
      <c r="C1086" s="166" t="s">
        <v>82</v>
      </c>
      <c r="D1086" s="166" t="s">
        <v>12</v>
      </c>
      <c r="E1086" s="166" t="s">
        <v>3441</v>
      </c>
      <c r="F1086" s="166" t="s">
        <v>3442</v>
      </c>
      <c r="G1086" s="210">
        <v>45521.0</v>
      </c>
      <c r="H1086" s="287">
        <v>45523.0</v>
      </c>
      <c r="I1086" s="168">
        <v>2.0</v>
      </c>
      <c r="J1086" s="169" t="s">
        <v>78</v>
      </c>
      <c r="K1086" s="166" t="s">
        <v>79</v>
      </c>
      <c r="L1086" s="166" t="s">
        <v>123</v>
      </c>
      <c r="M1086" s="166">
        <v>2.0</v>
      </c>
      <c r="N1086" s="170">
        <v>0.0</v>
      </c>
      <c r="O1086" s="171">
        <v>141.44</v>
      </c>
      <c r="P1086" s="171">
        <v>113.152</v>
      </c>
      <c r="Q1086" s="172">
        <v>0.0</v>
      </c>
      <c r="R1086" s="173">
        <v>226.304</v>
      </c>
      <c r="S1086" s="173">
        <v>0.0</v>
      </c>
      <c r="T1086" s="173">
        <v>801.78</v>
      </c>
      <c r="U1086" s="201" t="s">
        <v>2416</v>
      </c>
      <c r="V1086" s="288">
        <v>45469.79798611111</v>
      </c>
      <c r="W1086" s="35"/>
      <c r="X1086" s="35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</row>
    <row r="1087">
      <c r="A1087" s="280">
        <v>45469.0</v>
      </c>
      <c r="B1087" s="264">
        <v>5833786.0</v>
      </c>
      <c r="C1087" s="265" t="s">
        <v>82</v>
      </c>
      <c r="D1087" s="265" t="s">
        <v>94</v>
      </c>
      <c r="E1087" s="264">
        <v>4.45417511E8</v>
      </c>
      <c r="F1087" s="265" t="s">
        <v>3442</v>
      </c>
      <c r="G1087" s="280">
        <v>45521.0</v>
      </c>
      <c r="H1087" s="281">
        <v>45523.0</v>
      </c>
      <c r="I1087" s="282">
        <v>2.0</v>
      </c>
      <c r="J1087" s="283" t="s">
        <v>87</v>
      </c>
      <c r="K1087" s="265" t="s">
        <v>79</v>
      </c>
      <c r="L1087" s="265" t="s">
        <v>3388</v>
      </c>
      <c r="M1087" s="269">
        <v>2.0</v>
      </c>
      <c r="N1087" s="270">
        <v>0.0</v>
      </c>
      <c r="O1087" s="271">
        <v>122.82</v>
      </c>
      <c r="P1087" s="271">
        <v>121.59179999999999</v>
      </c>
      <c r="Q1087" s="272">
        <v>0.0</v>
      </c>
      <c r="R1087" s="273">
        <v>243.18359999999998</v>
      </c>
      <c r="S1087" s="273">
        <v>0.0</v>
      </c>
      <c r="T1087" s="273">
        <v>245.64</v>
      </c>
      <c r="U1087" s="274" t="s">
        <v>3389</v>
      </c>
      <c r="V1087" s="284">
        <v>45469.798692129625</v>
      </c>
      <c r="W1087" s="188"/>
      <c r="X1087" s="188"/>
      <c r="Y1087" s="188"/>
      <c r="Z1087" s="188"/>
      <c r="AA1087" s="188"/>
      <c r="AB1087" s="188"/>
      <c r="AC1087" s="188"/>
      <c r="AD1087" s="188"/>
      <c r="AE1087" s="188"/>
      <c r="AF1087" s="188"/>
      <c r="AG1087" s="188"/>
      <c r="AH1087" s="188"/>
      <c r="AI1087" s="188"/>
    </row>
    <row r="1088">
      <c r="A1088" s="276">
        <v>45470.0</v>
      </c>
      <c r="B1088" s="252">
        <v>5836327.0</v>
      </c>
      <c r="C1088" s="253" t="s">
        <v>82</v>
      </c>
      <c r="D1088" s="253" t="s">
        <v>35</v>
      </c>
      <c r="E1088" s="252">
        <v>4.739193603E9</v>
      </c>
      <c r="F1088" s="253" t="s">
        <v>3443</v>
      </c>
      <c r="G1088" s="276">
        <v>45536.0</v>
      </c>
      <c r="H1088" s="277">
        <v>45541.0</v>
      </c>
      <c r="I1088" s="278">
        <v>5.0</v>
      </c>
      <c r="J1088" s="257" t="s">
        <v>78</v>
      </c>
      <c r="K1088" s="253" t="s">
        <v>79</v>
      </c>
      <c r="L1088" s="253" t="s">
        <v>2803</v>
      </c>
      <c r="M1088" s="252">
        <v>2.0</v>
      </c>
      <c r="N1088" s="258">
        <v>0.0</v>
      </c>
      <c r="O1088" s="259">
        <v>169.99</v>
      </c>
      <c r="P1088" s="259">
        <v>135.99200000000002</v>
      </c>
      <c r="Q1088" s="257">
        <v>0.0</v>
      </c>
      <c r="R1088" s="260">
        <v>679.96</v>
      </c>
      <c r="S1088" s="260">
        <v>0.0</v>
      </c>
      <c r="T1088" s="260">
        <v>849.95</v>
      </c>
      <c r="U1088" s="261" t="s">
        <v>2804</v>
      </c>
      <c r="V1088" s="279">
        <v>45470.563935185186</v>
      </c>
      <c r="W1088" s="188"/>
      <c r="X1088" s="188"/>
      <c r="Y1088" s="188"/>
      <c r="Z1088" s="188"/>
      <c r="AA1088" s="188"/>
      <c r="AB1088" s="188"/>
      <c r="AC1088" s="188"/>
      <c r="AD1088" s="188"/>
      <c r="AE1088" s="188"/>
      <c r="AF1088" s="188"/>
      <c r="AG1088" s="188"/>
      <c r="AH1088" s="188"/>
      <c r="AI1088" s="188"/>
    </row>
    <row r="1089">
      <c r="A1089" s="210">
        <v>45470.0</v>
      </c>
      <c r="B1089" s="166">
        <v>5836128.0</v>
      </c>
      <c r="C1089" s="166" t="s">
        <v>82</v>
      </c>
      <c r="D1089" s="166" t="s">
        <v>35</v>
      </c>
      <c r="E1089" s="166">
        <v>4.748811856E9</v>
      </c>
      <c r="F1089" s="166" t="s">
        <v>3444</v>
      </c>
      <c r="G1089" s="212">
        <v>45585.0</v>
      </c>
      <c r="H1089" s="310">
        <v>45587.0</v>
      </c>
      <c r="I1089" s="168">
        <v>2.0</v>
      </c>
      <c r="J1089" s="169" t="s">
        <v>78</v>
      </c>
      <c r="K1089" s="166" t="s">
        <v>79</v>
      </c>
      <c r="L1089" s="166" t="s">
        <v>3419</v>
      </c>
      <c r="M1089" s="205">
        <v>2.0</v>
      </c>
      <c r="N1089" s="170">
        <v>0.0</v>
      </c>
      <c r="O1089" s="171">
        <v>181.47</v>
      </c>
      <c r="P1089" s="171">
        <v>145.17600000000002</v>
      </c>
      <c r="Q1089" s="172">
        <v>0.0</v>
      </c>
      <c r="R1089" s="173">
        <v>290.35200000000003</v>
      </c>
      <c r="S1089" s="173">
        <v>0.0</v>
      </c>
      <c r="T1089" s="173">
        <v>362.94</v>
      </c>
      <c r="U1089" s="174" t="s">
        <v>3420</v>
      </c>
      <c r="V1089" s="288">
        <v>45470.526446759264</v>
      </c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</row>
    <row r="1090">
      <c r="A1090" s="276">
        <v>45471.0</v>
      </c>
      <c r="B1090" s="252">
        <v>5841323.0</v>
      </c>
      <c r="C1090" s="253" t="s">
        <v>82</v>
      </c>
      <c r="D1090" s="253" t="s">
        <v>35</v>
      </c>
      <c r="E1090" s="252">
        <v>4.710279984E9</v>
      </c>
      <c r="F1090" s="253" t="s">
        <v>3445</v>
      </c>
      <c r="G1090" s="276">
        <v>45486.0</v>
      </c>
      <c r="H1090" s="277">
        <v>45490.0</v>
      </c>
      <c r="I1090" s="278">
        <v>4.0</v>
      </c>
      <c r="J1090" s="257" t="s">
        <v>87</v>
      </c>
      <c r="K1090" s="253" t="s">
        <v>79</v>
      </c>
      <c r="L1090" s="253" t="s">
        <v>3364</v>
      </c>
      <c r="M1090" s="252">
        <v>2.0</v>
      </c>
      <c r="N1090" s="258">
        <v>0.0</v>
      </c>
      <c r="O1090" s="259">
        <v>130.39</v>
      </c>
      <c r="P1090" s="259">
        <v>104.312</v>
      </c>
      <c r="Q1090" s="262">
        <v>0.0</v>
      </c>
      <c r="R1090" s="260">
        <v>417.248</v>
      </c>
      <c r="S1090" s="260">
        <v>0.0</v>
      </c>
      <c r="T1090" s="260">
        <v>521.56</v>
      </c>
      <c r="U1090" s="261" t="s">
        <v>3365</v>
      </c>
      <c r="V1090" s="279">
        <v>45471.838946759264</v>
      </c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</row>
    <row r="1091">
      <c r="A1091" s="280">
        <v>45471.0</v>
      </c>
      <c r="B1091" s="264">
        <v>5841726.0</v>
      </c>
      <c r="C1091" s="265" t="s">
        <v>82</v>
      </c>
      <c r="D1091" s="265" t="s">
        <v>35</v>
      </c>
      <c r="E1091" s="264">
        <v>4.320760074E9</v>
      </c>
      <c r="F1091" s="265" t="s">
        <v>3446</v>
      </c>
      <c r="G1091" s="280">
        <v>45552.0</v>
      </c>
      <c r="H1091" s="281">
        <v>45554.0</v>
      </c>
      <c r="I1091" s="282">
        <v>2.0</v>
      </c>
      <c r="J1091" s="283" t="s">
        <v>78</v>
      </c>
      <c r="K1091" s="265" t="s">
        <v>79</v>
      </c>
      <c r="L1091" s="265" t="s">
        <v>2803</v>
      </c>
      <c r="M1091" s="269">
        <v>2.0</v>
      </c>
      <c r="N1091" s="270">
        <v>0.0</v>
      </c>
      <c r="O1091" s="271">
        <v>129.56</v>
      </c>
      <c r="P1091" s="271">
        <v>103.64800000000001</v>
      </c>
      <c r="Q1091" s="283">
        <v>0.0</v>
      </c>
      <c r="R1091" s="273">
        <v>207.29600000000002</v>
      </c>
      <c r="S1091" s="273">
        <v>0.0</v>
      </c>
      <c r="T1091" s="273">
        <v>259.12</v>
      </c>
      <c r="U1091" s="274" t="s">
        <v>2804</v>
      </c>
      <c r="V1091" s="284">
        <v>45471.937581018516</v>
      </c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</row>
    <row r="1092">
      <c r="A1092" s="289">
        <v>45471.0</v>
      </c>
      <c r="B1092" s="290">
        <v>5839746.0</v>
      </c>
      <c r="C1092" s="291" t="s">
        <v>82</v>
      </c>
      <c r="D1092" s="291" t="s">
        <v>35</v>
      </c>
      <c r="E1092" s="290">
        <v>4.805797314E9</v>
      </c>
      <c r="F1092" s="291" t="s">
        <v>3447</v>
      </c>
      <c r="G1092" s="303">
        <v>45584.0</v>
      </c>
      <c r="H1092" s="360">
        <v>45587.0</v>
      </c>
      <c r="I1092" s="293">
        <v>3.0</v>
      </c>
      <c r="J1092" s="294" t="s">
        <v>91</v>
      </c>
      <c r="K1092" s="291" t="s">
        <v>79</v>
      </c>
      <c r="L1092" s="291" t="s">
        <v>2798</v>
      </c>
      <c r="M1092" s="290">
        <v>4.0</v>
      </c>
      <c r="N1092" s="295">
        <v>0.0</v>
      </c>
      <c r="O1092" s="296">
        <v>440.78</v>
      </c>
      <c r="P1092" s="296">
        <v>352.624</v>
      </c>
      <c r="Q1092" s="301">
        <v>0.0</v>
      </c>
      <c r="R1092" s="297">
        <v>1057.872</v>
      </c>
      <c r="S1092" s="297">
        <v>0.0</v>
      </c>
      <c r="T1092" s="297">
        <v>1322.34</v>
      </c>
      <c r="U1092" s="298" t="s">
        <v>2800</v>
      </c>
      <c r="V1092" s="299">
        <v>45471.534062499995</v>
      </c>
      <c r="W1092" s="188"/>
      <c r="X1092" s="188"/>
      <c r="Y1092" s="188"/>
      <c r="Z1092" s="188"/>
      <c r="AA1092" s="188"/>
      <c r="AB1092" s="188"/>
      <c r="AC1092" s="188"/>
      <c r="AD1092" s="188"/>
      <c r="AE1092" s="188"/>
      <c r="AF1092" s="188"/>
      <c r="AG1092" s="188"/>
      <c r="AH1092" s="188"/>
      <c r="AI1092" s="188"/>
    </row>
    <row r="1093">
      <c r="A1093" s="210">
        <v>45472.0</v>
      </c>
      <c r="B1093" s="166">
        <v>5845413.0</v>
      </c>
      <c r="C1093" s="166" t="s">
        <v>82</v>
      </c>
      <c r="D1093" s="166" t="s">
        <v>35</v>
      </c>
      <c r="E1093" s="166">
        <v>4.981063891E9</v>
      </c>
      <c r="F1093" s="166" t="s">
        <v>3448</v>
      </c>
      <c r="G1093" s="210">
        <v>45490.0</v>
      </c>
      <c r="H1093" s="287">
        <v>45493.0</v>
      </c>
      <c r="I1093" s="168">
        <v>3.0</v>
      </c>
      <c r="J1093" s="169" t="s">
        <v>78</v>
      </c>
      <c r="K1093" s="166" t="s">
        <v>79</v>
      </c>
      <c r="L1093" s="166" t="s">
        <v>3375</v>
      </c>
      <c r="M1093" s="166">
        <v>3.0</v>
      </c>
      <c r="N1093" s="170">
        <v>0.0</v>
      </c>
      <c r="O1093" s="171">
        <v>167.16</v>
      </c>
      <c r="P1093" s="171">
        <v>133.728</v>
      </c>
      <c r="Q1093" s="172">
        <v>0.0</v>
      </c>
      <c r="R1093" s="173">
        <v>401.184</v>
      </c>
      <c r="S1093" s="173">
        <v>0.0</v>
      </c>
      <c r="T1093" s="173">
        <v>501.48</v>
      </c>
      <c r="U1093" s="174" t="s">
        <v>3376</v>
      </c>
      <c r="V1093" s="288">
        <v>45472.9812962963</v>
      </c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</row>
    <row r="1094">
      <c r="A1094" s="210">
        <v>45473.0</v>
      </c>
      <c r="B1094" s="166">
        <v>5848182.0</v>
      </c>
      <c r="C1094" s="166" t="s">
        <v>82</v>
      </c>
      <c r="D1094" s="166" t="s">
        <v>94</v>
      </c>
      <c r="E1094" s="166">
        <v>5848182.0</v>
      </c>
      <c r="F1094" s="166" t="s">
        <v>3449</v>
      </c>
      <c r="G1094" s="210">
        <v>45473.0</v>
      </c>
      <c r="H1094" s="287">
        <v>45474.0</v>
      </c>
      <c r="I1094" s="168">
        <v>1.0</v>
      </c>
      <c r="J1094" s="169" t="s">
        <v>114</v>
      </c>
      <c r="K1094" s="166" t="s">
        <v>79</v>
      </c>
      <c r="L1094" s="166" t="s">
        <v>1462</v>
      </c>
      <c r="M1094" s="205">
        <v>2.0</v>
      </c>
      <c r="N1094" s="170">
        <v>0.0</v>
      </c>
      <c r="O1094" s="171">
        <v>137.16</v>
      </c>
      <c r="P1094" s="171">
        <v>135.7884</v>
      </c>
      <c r="Q1094" s="172">
        <v>0.0</v>
      </c>
      <c r="R1094" s="173">
        <v>135.7884</v>
      </c>
      <c r="S1094" s="173">
        <v>0.0</v>
      </c>
      <c r="T1094" s="173">
        <v>137.16</v>
      </c>
      <c r="U1094" s="174" t="s">
        <v>1463</v>
      </c>
      <c r="V1094" s="288">
        <v>45473.76847222222</v>
      </c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</row>
    <row r="1095">
      <c r="A1095" s="210">
        <v>45473.0</v>
      </c>
      <c r="B1095" s="166">
        <v>5847154.0</v>
      </c>
      <c r="C1095" s="166" t="s">
        <v>82</v>
      </c>
      <c r="D1095" s="166" t="s">
        <v>35</v>
      </c>
      <c r="E1095" s="166">
        <v>4.511726817E9</v>
      </c>
      <c r="F1095" s="166" t="s">
        <v>3450</v>
      </c>
      <c r="G1095" s="210">
        <v>45552.0</v>
      </c>
      <c r="H1095" s="287">
        <v>45555.0</v>
      </c>
      <c r="I1095" s="168">
        <v>3.0</v>
      </c>
      <c r="J1095" s="169" t="s">
        <v>114</v>
      </c>
      <c r="K1095" s="166" t="s">
        <v>79</v>
      </c>
      <c r="L1095" s="166" t="s">
        <v>3425</v>
      </c>
      <c r="M1095" s="166">
        <v>2.0</v>
      </c>
      <c r="N1095" s="170">
        <v>0.0</v>
      </c>
      <c r="O1095" s="171">
        <v>202.54</v>
      </c>
      <c r="P1095" s="171">
        <v>162.032</v>
      </c>
      <c r="Q1095" s="172">
        <v>0.0</v>
      </c>
      <c r="R1095" s="173">
        <v>486.096</v>
      </c>
      <c r="S1095" s="173">
        <v>0.0</v>
      </c>
      <c r="T1095" s="173">
        <v>607.62</v>
      </c>
      <c r="U1095" s="174" t="s">
        <v>3426</v>
      </c>
      <c r="V1095" s="288">
        <v>45473.57925925926</v>
      </c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  <c r="AH1095" s="35"/>
      <c r="AI1095" s="35"/>
    </row>
    <row r="1096">
      <c r="A1096" s="210">
        <v>45474.0</v>
      </c>
      <c r="B1096" s="166">
        <v>5852604.0</v>
      </c>
      <c r="C1096" s="166" t="s">
        <v>82</v>
      </c>
      <c r="D1096" s="166" t="s">
        <v>35</v>
      </c>
      <c r="E1096" s="166">
        <v>4.805686934E9</v>
      </c>
      <c r="F1096" s="166" t="s">
        <v>3451</v>
      </c>
      <c r="G1096" s="210">
        <v>45539.0</v>
      </c>
      <c r="H1096" s="287">
        <v>45543.0</v>
      </c>
      <c r="I1096" s="168">
        <v>4.0</v>
      </c>
      <c r="J1096" s="169" t="s">
        <v>78</v>
      </c>
      <c r="K1096" s="166" t="s">
        <v>79</v>
      </c>
      <c r="L1096" s="166" t="s">
        <v>2803</v>
      </c>
      <c r="M1096" s="166">
        <v>2.0</v>
      </c>
      <c r="N1096" s="170">
        <v>0.0</v>
      </c>
      <c r="O1096" s="171">
        <v>143.5</v>
      </c>
      <c r="P1096" s="171">
        <v>114.80000000000001</v>
      </c>
      <c r="Q1096" s="172">
        <v>0.0</v>
      </c>
      <c r="R1096" s="173">
        <v>459.20000000000005</v>
      </c>
      <c r="S1096" s="173">
        <v>0.0</v>
      </c>
      <c r="T1096" s="173">
        <v>574.0</v>
      </c>
      <c r="U1096" s="201" t="s">
        <v>2804</v>
      </c>
      <c r="V1096" s="288">
        <v>45474.86393518519</v>
      </c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</row>
    <row r="1097">
      <c r="A1097" s="276">
        <v>45475.0</v>
      </c>
      <c r="B1097" s="252">
        <v>5855009.0</v>
      </c>
      <c r="C1097" s="253" t="s">
        <v>82</v>
      </c>
      <c r="D1097" s="253" t="s">
        <v>94</v>
      </c>
      <c r="E1097" s="252">
        <v>5855009.0</v>
      </c>
      <c r="F1097" s="253" t="s">
        <v>3452</v>
      </c>
      <c r="G1097" s="276">
        <v>45490.0</v>
      </c>
      <c r="H1097" s="277">
        <v>45491.0</v>
      </c>
      <c r="I1097" s="278">
        <v>1.0</v>
      </c>
      <c r="J1097" s="257" t="s">
        <v>78</v>
      </c>
      <c r="K1097" s="253" t="s">
        <v>79</v>
      </c>
      <c r="L1097" s="253" t="s">
        <v>1811</v>
      </c>
      <c r="M1097" s="252">
        <v>2.0</v>
      </c>
      <c r="N1097" s="258">
        <v>0.0</v>
      </c>
      <c r="O1097" s="259">
        <v>107.4</v>
      </c>
      <c r="P1097" s="259">
        <v>106.32600000000001</v>
      </c>
      <c r="Q1097" s="257">
        <v>0.0</v>
      </c>
      <c r="R1097" s="260">
        <v>106.32600000000001</v>
      </c>
      <c r="S1097" s="260">
        <v>0.0</v>
      </c>
      <c r="T1097" s="260">
        <v>227.6</v>
      </c>
      <c r="U1097" s="261" t="s">
        <v>1812</v>
      </c>
      <c r="V1097" s="279">
        <v>45475.584745370375</v>
      </c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</row>
    <row r="1098">
      <c r="A1098" s="276">
        <v>45475.0</v>
      </c>
      <c r="B1098" s="252">
        <v>5855009.0</v>
      </c>
      <c r="C1098" s="253" t="s">
        <v>82</v>
      </c>
      <c r="D1098" s="253" t="s">
        <v>94</v>
      </c>
      <c r="E1098" s="252">
        <v>5855009.0</v>
      </c>
      <c r="F1098" s="253" t="s">
        <v>3452</v>
      </c>
      <c r="G1098" s="276">
        <v>45490.0</v>
      </c>
      <c r="H1098" s="277">
        <v>45491.0</v>
      </c>
      <c r="I1098" s="278">
        <v>1.0</v>
      </c>
      <c r="J1098" s="257" t="s">
        <v>114</v>
      </c>
      <c r="K1098" s="253" t="s">
        <v>79</v>
      </c>
      <c r="L1098" s="253" t="s">
        <v>1811</v>
      </c>
      <c r="M1098" s="252">
        <v>2.0</v>
      </c>
      <c r="N1098" s="258">
        <v>0.0</v>
      </c>
      <c r="O1098" s="259">
        <v>120.2</v>
      </c>
      <c r="P1098" s="259">
        <v>118.998</v>
      </c>
      <c r="Q1098" s="262">
        <v>0.0</v>
      </c>
      <c r="R1098" s="260">
        <v>118.998</v>
      </c>
      <c r="S1098" s="260">
        <v>0.0</v>
      </c>
      <c r="T1098" s="260">
        <v>227.6</v>
      </c>
      <c r="U1098" s="261" t="s">
        <v>1812</v>
      </c>
      <c r="V1098" s="279">
        <v>45475.584745370375</v>
      </c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</row>
    <row r="1099">
      <c r="A1099" s="210">
        <v>45475.0</v>
      </c>
      <c r="B1099" s="166">
        <v>5856475.0</v>
      </c>
      <c r="C1099" s="166" t="s">
        <v>82</v>
      </c>
      <c r="D1099" s="166" t="s">
        <v>35</v>
      </c>
      <c r="E1099" s="166">
        <v>4.953194769E9</v>
      </c>
      <c r="F1099" s="166" t="s">
        <v>3453</v>
      </c>
      <c r="G1099" s="210">
        <v>45551.0</v>
      </c>
      <c r="H1099" s="287">
        <v>45554.0</v>
      </c>
      <c r="I1099" s="168">
        <v>3.0</v>
      </c>
      <c r="J1099" s="169" t="s">
        <v>87</v>
      </c>
      <c r="K1099" s="166" t="s">
        <v>79</v>
      </c>
      <c r="L1099" s="166" t="s">
        <v>2803</v>
      </c>
      <c r="M1099" s="166">
        <v>2.0</v>
      </c>
      <c r="N1099" s="170">
        <v>0.0</v>
      </c>
      <c r="O1099" s="171">
        <v>122.35000000000001</v>
      </c>
      <c r="P1099" s="171">
        <v>97.88000000000001</v>
      </c>
      <c r="Q1099" s="172">
        <v>0.0</v>
      </c>
      <c r="R1099" s="173">
        <v>293.64000000000004</v>
      </c>
      <c r="S1099" s="173">
        <v>0.0</v>
      </c>
      <c r="T1099" s="173">
        <v>367.05</v>
      </c>
      <c r="U1099" s="174" t="s">
        <v>2804</v>
      </c>
      <c r="V1099" s="288">
        <v>45475.84935185185</v>
      </c>
      <c r="W1099" s="188"/>
      <c r="X1099" s="188"/>
      <c r="Y1099" s="188"/>
      <c r="Z1099" s="188"/>
      <c r="AA1099" s="188"/>
      <c r="AB1099" s="188"/>
      <c r="AC1099" s="188"/>
      <c r="AD1099" s="188"/>
      <c r="AE1099" s="188"/>
      <c r="AF1099" s="188"/>
      <c r="AG1099" s="188"/>
      <c r="AH1099" s="188"/>
      <c r="AI1099" s="188"/>
    </row>
    <row r="1100">
      <c r="A1100" s="210">
        <v>45475.0</v>
      </c>
      <c r="B1100" s="166">
        <v>5853815.0</v>
      </c>
      <c r="C1100" s="166" t="s">
        <v>82</v>
      </c>
      <c r="D1100" s="166" t="s">
        <v>35</v>
      </c>
      <c r="E1100" s="166">
        <v>4.359303626E9</v>
      </c>
      <c r="F1100" s="166" t="s">
        <v>3454</v>
      </c>
      <c r="G1100" s="212">
        <v>45615.0</v>
      </c>
      <c r="H1100" s="310">
        <v>45617.0</v>
      </c>
      <c r="I1100" s="168">
        <v>2.0</v>
      </c>
      <c r="J1100" s="169" t="s">
        <v>78</v>
      </c>
      <c r="K1100" s="166" t="s">
        <v>79</v>
      </c>
      <c r="L1100" s="166" t="s">
        <v>3419</v>
      </c>
      <c r="M1100" s="166">
        <v>2.0</v>
      </c>
      <c r="N1100" s="170">
        <v>0.0</v>
      </c>
      <c r="O1100" s="171">
        <v>241.8</v>
      </c>
      <c r="P1100" s="171">
        <v>193.44000000000003</v>
      </c>
      <c r="Q1100" s="172">
        <v>0.0</v>
      </c>
      <c r="R1100" s="173">
        <v>386.88000000000005</v>
      </c>
      <c r="S1100" s="173">
        <v>0.0</v>
      </c>
      <c r="T1100" s="173">
        <v>483.6</v>
      </c>
      <c r="U1100" s="201" t="s">
        <v>3420</v>
      </c>
      <c r="V1100" s="288">
        <v>45475.349375000005</v>
      </c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</row>
    <row r="1101">
      <c r="A1101" s="289">
        <v>45477.0</v>
      </c>
      <c r="B1101" s="290">
        <v>5863947.0</v>
      </c>
      <c r="C1101" s="291" t="s">
        <v>82</v>
      </c>
      <c r="D1101" s="291" t="s">
        <v>35</v>
      </c>
      <c r="E1101" s="290">
        <v>4.523081144E9</v>
      </c>
      <c r="F1101" s="291" t="s">
        <v>3455</v>
      </c>
      <c r="G1101" s="289">
        <v>45478.0</v>
      </c>
      <c r="H1101" s="292">
        <v>45480.0</v>
      </c>
      <c r="I1101" s="293">
        <v>2.0</v>
      </c>
      <c r="J1101" s="294" t="s">
        <v>78</v>
      </c>
      <c r="K1101" s="291" t="s">
        <v>79</v>
      </c>
      <c r="L1101" s="291" t="s">
        <v>3456</v>
      </c>
      <c r="M1101" s="300">
        <v>2.0</v>
      </c>
      <c r="N1101" s="295">
        <v>0.0</v>
      </c>
      <c r="O1101" s="296">
        <v>118.17</v>
      </c>
      <c r="P1101" s="296">
        <v>94.536</v>
      </c>
      <c r="Q1101" s="301">
        <v>0.0</v>
      </c>
      <c r="R1101" s="297">
        <v>189.072</v>
      </c>
      <c r="S1101" s="297">
        <v>0.0</v>
      </c>
      <c r="T1101" s="297">
        <v>236.34</v>
      </c>
      <c r="U1101" s="298" t="s">
        <v>3457</v>
      </c>
      <c r="V1101" s="299">
        <v>45477.72295138889</v>
      </c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</row>
    <row r="1102">
      <c r="A1102" s="210">
        <v>45479.0</v>
      </c>
      <c r="B1102" s="166">
        <v>5872815.0</v>
      </c>
      <c r="C1102" s="166" t="s">
        <v>82</v>
      </c>
      <c r="D1102" s="166" t="s">
        <v>109</v>
      </c>
      <c r="E1102" s="166">
        <v>4.47833043E8</v>
      </c>
      <c r="F1102" s="166" t="s">
        <v>3458</v>
      </c>
      <c r="G1102" s="210">
        <v>45493.0</v>
      </c>
      <c r="H1102" s="287">
        <v>45496.0</v>
      </c>
      <c r="I1102" s="168">
        <v>3.0</v>
      </c>
      <c r="J1102" s="169" t="s">
        <v>91</v>
      </c>
      <c r="K1102" s="166" t="s">
        <v>79</v>
      </c>
      <c r="L1102" s="166" t="s">
        <v>3459</v>
      </c>
      <c r="M1102" s="166">
        <v>3.0</v>
      </c>
      <c r="N1102" s="170">
        <v>0.0</v>
      </c>
      <c r="O1102" s="171">
        <v>351.05</v>
      </c>
      <c r="P1102" s="171">
        <v>280.84000000000003</v>
      </c>
      <c r="Q1102" s="172">
        <v>0.0</v>
      </c>
      <c r="R1102" s="173">
        <v>842.5200000000001</v>
      </c>
      <c r="S1102" s="173">
        <v>0.0</v>
      </c>
      <c r="T1102" s="173">
        <v>1053.15</v>
      </c>
      <c r="U1102" s="201" t="s">
        <v>3460</v>
      </c>
      <c r="V1102" s="288">
        <v>45480.00350694444</v>
      </c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</row>
    <row r="1103">
      <c r="A1103" s="210">
        <v>45481.0</v>
      </c>
      <c r="B1103" s="166">
        <v>5880462.0</v>
      </c>
      <c r="C1103" s="166" t="s">
        <v>89</v>
      </c>
      <c r="D1103" s="166" t="s">
        <v>35</v>
      </c>
      <c r="E1103" s="166">
        <v>4.642755397E9</v>
      </c>
      <c r="F1103" s="166" t="s">
        <v>3461</v>
      </c>
      <c r="G1103" s="210">
        <v>45521.0</v>
      </c>
      <c r="H1103" s="287">
        <v>45524.0</v>
      </c>
      <c r="I1103" s="168">
        <v>3.0</v>
      </c>
      <c r="J1103" s="169" t="s">
        <v>114</v>
      </c>
      <c r="K1103" s="166" t="s">
        <v>79</v>
      </c>
      <c r="L1103" s="166" t="s">
        <v>3364</v>
      </c>
      <c r="M1103" s="166">
        <v>2.0</v>
      </c>
      <c r="N1103" s="170">
        <v>0.0</v>
      </c>
      <c r="O1103" s="171">
        <v>0.0</v>
      </c>
      <c r="P1103" s="171">
        <v>0.0</v>
      </c>
      <c r="Q1103" s="172">
        <v>0.0</v>
      </c>
      <c r="R1103" s="173">
        <v>0.0</v>
      </c>
      <c r="S1103" s="173">
        <v>0.0</v>
      </c>
      <c r="T1103" s="173">
        <v>0.0</v>
      </c>
      <c r="U1103" s="174" t="s">
        <v>3462</v>
      </c>
      <c r="V1103" s="288">
        <v>45481.84380787037</v>
      </c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</row>
    <row r="1104">
      <c r="A1104" s="210">
        <v>45481.0</v>
      </c>
      <c r="B1104" s="166">
        <v>5877491.0</v>
      </c>
      <c r="C1104" s="166" t="s">
        <v>82</v>
      </c>
      <c r="D1104" s="166" t="s">
        <v>94</v>
      </c>
      <c r="E1104" s="166">
        <v>5877491.0</v>
      </c>
      <c r="F1104" s="166" t="s">
        <v>3463</v>
      </c>
      <c r="G1104" s="210">
        <v>45523.0</v>
      </c>
      <c r="H1104" s="287">
        <v>45527.0</v>
      </c>
      <c r="I1104" s="168">
        <v>4.0</v>
      </c>
      <c r="J1104" s="169" t="s">
        <v>78</v>
      </c>
      <c r="K1104" s="166" t="s">
        <v>79</v>
      </c>
      <c r="L1104" s="166" t="s">
        <v>1811</v>
      </c>
      <c r="M1104" s="166">
        <v>2.0</v>
      </c>
      <c r="N1104" s="170">
        <v>0.0</v>
      </c>
      <c r="O1104" s="171">
        <v>117.4</v>
      </c>
      <c r="P1104" s="171">
        <v>116.226</v>
      </c>
      <c r="Q1104" s="172">
        <v>0.0</v>
      </c>
      <c r="R1104" s="173">
        <v>464.904</v>
      </c>
      <c r="S1104" s="173">
        <v>0.0</v>
      </c>
      <c r="T1104" s="173">
        <v>1058.24</v>
      </c>
      <c r="U1104" s="201" t="s">
        <v>1812</v>
      </c>
      <c r="V1104" s="288">
        <v>45481.35134259259</v>
      </c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</row>
    <row r="1105">
      <c r="A1105" s="280">
        <v>45481.0</v>
      </c>
      <c r="B1105" s="264">
        <v>5877491.0</v>
      </c>
      <c r="C1105" s="265" t="s">
        <v>82</v>
      </c>
      <c r="D1105" s="265" t="s">
        <v>94</v>
      </c>
      <c r="E1105" s="264">
        <v>5877491.0</v>
      </c>
      <c r="F1105" s="265" t="s">
        <v>3463</v>
      </c>
      <c r="G1105" s="280">
        <v>45523.0</v>
      </c>
      <c r="H1105" s="281">
        <v>45527.0</v>
      </c>
      <c r="I1105" s="282">
        <v>4.0</v>
      </c>
      <c r="J1105" s="283" t="s">
        <v>111</v>
      </c>
      <c r="K1105" s="265" t="s">
        <v>79</v>
      </c>
      <c r="L1105" s="265" t="s">
        <v>1811</v>
      </c>
      <c r="M1105" s="269">
        <v>2.0</v>
      </c>
      <c r="N1105" s="270">
        <v>0.0</v>
      </c>
      <c r="O1105" s="271">
        <v>147.16</v>
      </c>
      <c r="P1105" s="271">
        <v>145.6884</v>
      </c>
      <c r="Q1105" s="272">
        <v>0.0</v>
      </c>
      <c r="R1105" s="273">
        <v>582.7536</v>
      </c>
      <c r="S1105" s="273">
        <v>0.0</v>
      </c>
      <c r="T1105" s="273">
        <v>1058.24</v>
      </c>
      <c r="U1105" s="274" t="s">
        <v>1812</v>
      </c>
      <c r="V1105" s="284">
        <v>45481.35134259259</v>
      </c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</row>
    <row r="1106">
      <c r="A1106" s="289">
        <v>45482.0</v>
      </c>
      <c r="B1106" s="290">
        <v>5882869.0</v>
      </c>
      <c r="C1106" s="291" t="s">
        <v>89</v>
      </c>
      <c r="D1106" s="291" t="s">
        <v>35</v>
      </c>
      <c r="E1106" s="290">
        <v>4.666339419E9</v>
      </c>
      <c r="F1106" s="291" t="s">
        <v>3464</v>
      </c>
      <c r="G1106" s="289">
        <v>45482.0</v>
      </c>
      <c r="H1106" s="292">
        <v>45484.0</v>
      </c>
      <c r="I1106" s="293">
        <v>2.0</v>
      </c>
      <c r="J1106" s="294" t="s">
        <v>78</v>
      </c>
      <c r="K1106" s="291" t="s">
        <v>79</v>
      </c>
      <c r="L1106" s="291" t="s">
        <v>2803</v>
      </c>
      <c r="M1106" s="290">
        <v>2.0</v>
      </c>
      <c r="N1106" s="295">
        <v>0.0</v>
      </c>
      <c r="O1106" s="296">
        <v>0.0</v>
      </c>
      <c r="P1106" s="296">
        <v>0.0</v>
      </c>
      <c r="Q1106" s="294">
        <v>0.0</v>
      </c>
      <c r="R1106" s="297">
        <v>0.0</v>
      </c>
      <c r="S1106" s="297">
        <v>0.0</v>
      </c>
      <c r="T1106" s="297">
        <v>0.0</v>
      </c>
      <c r="U1106" s="298" t="s">
        <v>3465</v>
      </c>
      <c r="V1106" s="299">
        <v>45482.509780092594</v>
      </c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</row>
    <row r="1107">
      <c r="A1107" s="280">
        <v>45483.0</v>
      </c>
      <c r="B1107" s="264">
        <v>5888607.0</v>
      </c>
      <c r="C1107" s="265" t="s">
        <v>82</v>
      </c>
      <c r="D1107" s="265" t="s">
        <v>94</v>
      </c>
      <c r="E1107" s="264">
        <v>5888607.0</v>
      </c>
      <c r="F1107" s="265" t="s">
        <v>3314</v>
      </c>
      <c r="G1107" s="305">
        <v>45578.0</v>
      </c>
      <c r="H1107" s="313">
        <v>45579.0</v>
      </c>
      <c r="I1107" s="282">
        <v>1.0</v>
      </c>
      <c r="J1107" s="283" t="s">
        <v>114</v>
      </c>
      <c r="K1107" s="265" t="s">
        <v>79</v>
      </c>
      <c r="L1107" s="265" t="s">
        <v>1601</v>
      </c>
      <c r="M1107" s="269">
        <v>1.0</v>
      </c>
      <c r="N1107" s="270">
        <v>0.0</v>
      </c>
      <c r="O1107" s="271">
        <v>130.5</v>
      </c>
      <c r="P1107" s="271">
        <v>129.195</v>
      </c>
      <c r="Q1107" s="272">
        <v>0.0</v>
      </c>
      <c r="R1107" s="273">
        <v>129.195</v>
      </c>
      <c r="S1107" s="273">
        <v>0.0</v>
      </c>
      <c r="T1107" s="273">
        <v>130.5</v>
      </c>
      <c r="U1107" s="274" t="s">
        <v>1602</v>
      </c>
      <c r="V1107" s="284">
        <v>45483.74015046297</v>
      </c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</row>
    <row r="1108">
      <c r="A1108" s="276">
        <v>45484.0</v>
      </c>
      <c r="B1108" s="252">
        <v>5893804.0</v>
      </c>
      <c r="C1108" s="253" t="s">
        <v>89</v>
      </c>
      <c r="D1108" s="253" t="s">
        <v>35</v>
      </c>
      <c r="E1108" s="252">
        <v>4.736952025E9</v>
      </c>
      <c r="F1108" s="253" t="s">
        <v>3466</v>
      </c>
      <c r="G1108" s="276">
        <v>45486.0</v>
      </c>
      <c r="H1108" s="277">
        <v>45488.0</v>
      </c>
      <c r="I1108" s="278">
        <v>2.0</v>
      </c>
      <c r="J1108" s="257" t="s">
        <v>78</v>
      </c>
      <c r="K1108" s="253" t="s">
        <v>79</v>
      </c>
      <c r="L1108" s="253" t="s">
        <v>3364</v>
      </c>
      <c r="M1108" s="275">
        <v>3.0</v>
      </c>
      <c r="N1108" s="258">
        <v>0.0</v>
      </c>
      <c r="O1108" s="259">
        <v>0.0</v>
      </c>
      <c r="P1108" s="259">
        <v>0.0</v>
      </c>
      <c r="Q1108" s="262">
        <v>0.0</v>
      </c>
      <c r="R1108" s="260">
        <v>0.0</v>
      </c>
      <c r="S1108" s="260">
        <v>0.0</v>
      </c>
      <c r="T1108" s="260">
        <v>0.0</v>
      </c>
      <c r="U1108" s="261" t="s">
        <v>3467</v>
      </c>
      <c r="V1108" s="279">
        <v>45484.971562499995</v>
      </c>
      <c r="W1108" s="188"/>
      <c r="X1108" s="188"/>
      <c r="Y1108" s="188"/>
      <c r="Z1108" s="188"/>
      <c r="AA1108" s="188"/>
      <c r="AB1108" s="188"/>
      <c r="AC1108" s="188"/>
      <c r="AD1108" s="188"/>
      <c r="AE1108" s="188"/>
      <c r="AF1108" s="188"/>
      <c r="AG1108" s="188"/>
      <c r="AH1108" s="188"/>
      <c r="AI1108" s="188"/>
    </row>
    <row r="1109">
      <c r="A1109" s="210">
        <v>45485.0</v>
      </c>
      <c r="B1109" s="166">
        <v>5896831.0</v>
      </c>
      <c r="C1109" s="166" t="s">
        <v>82</v>
      </c>
      <c r="D1109" s="166" t="s">
        <v>35</v>
      </c>
      <c r="E1109" s="166">
        <v>4.535832772E9</v>
      </c>
      <c r="F1109" s="166" t="s">
        <v>3468</v>
      </c>
      <c r="G1109" s="210">
        <v>45485.0</v>
      </c>
      <c r="H1109" s="287">
        <v>45486.0</v>
      </c>
      <c r="I1109" s="168">
        <v>1.0</v>
      </c>
      <c r="J1109" s="169" t="s">
        <v>78</v>
      </c>
      <c r="K1109" s="166" t="s">
        <v>79</v>
      </c>
      <c r="L1109" s="166" t="s">
        <v>2803</v>
      </c>
      <c r="M1109" s="166">
        <v>1.0</v>
      </c>
      <c r="N1109" s="170">
        <v>0.0</v>
      </c>
      <c r="O1109" s="171">
        <v>98.56</v>
      </c>
      <c r="P1109" s="171">
        <v>78.84800000000001</v>
      </c>
      <c r="Q1109" s="172">
        <v>0.0</v>
      </c>
      <c r="R1109" s="173">
        <v>78.84800000000001</v>
      </c>
      <c r="S1109" s="173">
        <v>0.0</v>
      </c>
      <c r="T1109" s="173">
        <v>98.56</v>
      </c>
      <c r="U1109" s="174" t="s">
        <v>2804</v>
      </c>
      <c r="V1109" s="288">
        <v>45485.777812500004</v>
      </c>
      <c r="W1109" s="188"/>
      <c r="X1109" s="188"/>
      <c r="Y1109" s="188"/>
      <c r="Z1109" s="188"/>
      <c r="AA1109" s="188"/>
      <c r="AB1109" s="188"/>
      <c r="AC1109" s="188"/>
      <c r="AD1109" s="188"/>
      <c r="AE1109" s="188"/>
      <c r="AF1109" s="188"/>
      <c r="AG1109" s="188"/>
      <c r="AH1109" s="188"/>
      <c r="AI1109" s="188"/>
    </row>
    <row r="1110">
      <c r="A1110" s="210">
        <v>45485.0</v>
      </c>
      <c r="B1110" s="166">
        <v>5897418.0</v>
      </c>
      <c r="C1110" s="166" t="s">
        <v>82</v>
      </c>
      <c r="D1110" s="166" t="s">
        <v>35</v>
      </c>
      <c r="E1110" s="166">
        <v>4.817659854E9</v>
      </c>
      <c r="F1110" s="166" t="s">
        <v>3469</v>
      </c>
      <c r="G1110" s="210">
        <v>45487.0</v>
      </c>
      <c r="H1110" s="287">
        <v>45489.0</v>
      </c>
      <c r="I1110" s="168">
        <v>2.0</v>
      </c>
      <c r="J1110" s="169" t="s">
        <v>114</v>
      </c>
      <c r="K1110" s="166" t="s">
        <v>79</v>
      </c>
      <c r="L1110" s="166" t="s">
        <v>2803</v>
      </c>
      <c r="M1110" s="166">
        <v>2.0</v>
      </c>
      <c r="N1110" s="170">
        <v>0.0</v>
      </c>
      <c r="O1110" s="171">
        <v>131.6</v>
      </c>
      <c r="P1110" s="171">
        <v>105.28</v>
      </c>
      <c r="Q1110" s="172">
        <v>0.0</v>
      </c>
      <c r="R1110" s="173">
        <v>210.56</v>
      </c>
      <c r="S1110" s="173">
        <v>0.0</v>
      </c>
      <c r="T1110" s="173">
        <v>263.2</v>
      </c>
      <c r="U1110" s="174" t="s">
        <v>2804</v>
      </c>
      <c r="V1110" s="288">
        <v>45485.893784722226</v>
      </c>
      <c r="W1110" s="188"/>
      <c r="X1110" s="188"/>
      <c r="Y1110" s="188"/>
      <c r="Z1110" s="188"/>
      <c r="AA1110" s="188"/>
      <c r="AB1110" s="188"/>
      <c r="AC1110" s="188"/>
      <c r="AD1110" s="188"/>
      <c r="AE1110" s="188"/>
      <c r="AF1110" s="188"/>
      <c r="AG1110" s="188"/>
      <c r="AH1110" s="188"/>
      <c r="AI1110" s="188"/>
    </row>
    <row r="1111">
      <c r="A1111" s="280">
        <v>45486.0</v>
      </c>
      <c r="B1111" s="264">
        <v>5900510.0</v>
      </c>
      <c r="C1111" s="265" t="s">
        <v>82</v>
      </c>
      <c r="D1111" s="265" t="s">
        <v>94</v>
      </c>
      <c r="E1111" s="264">
        <v>5900510.0</v>
      </c>
      <c r="F1111" s="265" t="s">
        <v>3466</v>
      </c>
      <c r="G1111" s="280">
        <v>45486.0</v>
      </c>
      <c r="H1111" s="281">
        <v>45488.0</v>
      </c>
      <c r="I1111" s="282">
        <v>2.0</v>
      </c>
      <c r="J1111" s="283" t="s">
        <v>91</v>
      </c>
      <c r="K1111" s="265" t="s">
        <v>79</v>
      </c>
      <c r="L1111" s="265" t="s">
        <v>1462</v>
      </c>
      <c r="M1111" s="264">
        <v>3.0</v>
      </c>
      <c r="N1111" s="270">
        <v>0.0</v>
      </c>
      <c r="O1111" s="271">
        <v>271.82</v>
      </c>
      <c r="P1111" s="271">
        <v>269.10179999999997</v>
      </c>
      <c r="Q1111" s="272">
        <v>0.0</v>
      </c>
      <c r="R1111" s="273">
        <v>538.2035999999999</v>
      </c>
      <c r="S1111" s="273">
        <v>0.0</v>
      </c>
      <c r="T1111" s="273">
        <v>543.64</v>
      </c>
      <c r="U1111" s="274" t="s">
        <v>1463</v>
      </c>
      <c r="V1111" s="284">
        <v>45486.743379629625</v>
      </c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</row>
    <row r="1112">
      <c r="A1112" s="210">
        <v>45486.0</v>
      </c>
      <c r="B1112" s="166">
        <v>5900211.0</v>
      </c>
      <c r="C1112" s="166" t="s">
        <v>82</v>
      </c>
      <c r="D1112" s="166" t="s">
        <v>35</v>
      </c>
      <c r="E1112" s="166">
        <v>4.366552294E9</v>
      </c>
      <c r="F1112" s="166" t="s">
        <v>3470</v>
      </c>
      <c r="G1112" s="210">
        <v>45513.0</v>
      </c>
      <c r="H1112" s="287">
        <v>45514.0</v>
      </c>
      <c r="I1112" s="168">
        <v>1.0</v>
      </c>
      <c r="J1112" s="169" t="s">
        <v>78</v>
      </c>
      <c r="K1112" s="166" t="s">
        <v>79</v>
      </c>
      <c r="L1112" s="166" t="s">
        <v>3425</v>
      </c>
      <c r="M1112" s="166">
        <v>2.0</v>
      </c>
      <c r="N1112" s="170">
        <v>0.0</v>
      </c>
      <c r="O1112" s="171">
        <v>127.33</v>
      </c>
      <c r="P1112" s="171">
        <v>101.864</v>
      </c>
      <c r="Q1112" s="172">
        <v>0.0</v>
      </c>
      <c r="R1112" s="173">
        <v>101.864</v>
      </c>
      <c r="S1112" s="173">
        <v>0.0</v>
      </c>
      <c r="T1112" s="173">
        <v>127.33</v>
      </c>
      <c r="U1112" s="201" t="s">
        <v>3426</v>
      </c>
      <c r="V1112" s="288">
        <v>45486.68475694444</v>
      </c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</row>
    <row r="1113">
      <c r="A1113" s="280">
        <v>45486.0</v>
      </c>
      <c r="B1113" s="264">
        <v>5898710.0</v>
      </c>
      <c r="C1113" s="265" t="s">
        <v>75</v>
      </c>
      <c r="D1113" s="265" t="s">
        <v>35</v>
      </c>
      <c r="E1113" s="264">
        <v>4.654915754E9</v>
      </c>
      <c r="F1113" s="265" t="s">
        <v>3471</v>
      </c>
      <c r="G1113" s="280">
        <v>45532.0</v>
      </c>
      <c r="H1113" s="281">
        <v>45536.0</v>
      </c>
      <c r="I1113" s="282">
        <v>4.0</v>
      </c>
      <c r="J1113" s="283" t="s">
        <v>78</v>
      </c>
      <c r="K1113" s="265" t="s">
        <v>79</v>
      </c>
      <c r="L1113" s="265" t="s">
        <v>2798</v>
      </c>
      <c r="M1113" s="269">
        <v>2.0</v>
      </c>
      <c r="N1113" s="270">
        <v>0.0</v>
      </c>
      <c r="O1113" s="271">
        <v>126.49</v>
      </c>
      <c r="P1113" s="271">
        <v>101.19200000000001</v>
      </c>
      <c r="Q1113" s="272">
        <v>0.0</v>
      </c>
      <c r="R1113" s="273">
        <v>404.76800000000003</v>
      </c>
      <c r="S1113" s="273">
        <v>0.0</v>
      </c>
      <c r="T1113" s="273">
        <v>505.96</v>
      </c>
      <c r="U1113" s="274" t="s">
        <v>2800</v>
      </c>
      <c r="V1113" s="284">
        <v>45531.63685185185</v>
      </c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</row>
    <row r="1114">
      <c r="A1114" s="289">
        <v>45487.0</v>
      </c>
      <c r="B1114" s="290">
        <v>5904789.0</v>
      </c>
      <c r="C1114" s="291" t="s">
        <v>89</v>
      </c>
      <c r="D1114" s="291" t="s">
        <v>94</v>
      </c>
      <c r="E1114" s="290">
        <v>5904789.0</v>
      </c>
      <c r="F1114" s="291" t="s">
        <v>3466</v>
      </c>
      <c r="G1114" s="289">
        <v>45488.0</v>
      </c>
      <c r="H1114" s="292">
        <v>45489.0</v>
      </c>
      <c r="I1114" s="293">
        <v>1.0</v>
      </c>
      <c r="J1114" s="294" t="s">
        <v>91</v>
      </c>
      <c r="K1114" s="291" t="s">
        <v>79</v>
      </c>
      <c r="L1114" s="291" t="s">
        <v>1462</v>
      </c>
      <c r="M1114" s="290">
        <v>3.0</v>
      </c>
      <c r="N1114" s="295">
        <v>0.0</v>
      </c>
      <c r="O1114" s="296">
        <v>0.0</v>
      </c>
      <c r="P1114" s="296">
        <v>0.0</v>
      </c>
      <c r="Q1114" s="301">
        <v>0.0</v>
      </c>
      <c r="R1114" s="297">
        <v>0.0</v>
      </c>
      <c r="S1114" s="297">
        <v>0.0</v>
      </c>
      <c r="T1114" s="297">
        <v>0.0</v>
      </c>
      <c r="U1114" s="298" t="s">
        <v>3472</v>
      </c>
      <c r="V1114" s="299">
        <v>45487.862708333334</v>
      </c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</row>
    <row r="1115">
      <c r="A1115" s="289">
        <v>45487.0</v>
      </c>
      <c r="B1115" s="290">
        <v>5905365.0</v>
      </c>
      <c r="C1115" s="291" t="s">
        <v>82</v>
      </c>
      <c r="D1115" s="291" t="s">
        <v>1666</v>
      </c>
      <c r="E1115" s="290" t="s">
        <v>3473</v>
      </c>
      <c r="F1115" s="291" t="s">
        <v>3474</v>
      </c>
      <c r="G1115" s="289">
        <v>45496.0</v>
      </c>
      <c r="H1115" s="292">
        <v>45500.0</v>
      </c>
      <c r="I1115" s="293">
        <v>4.0</v>
      </c>
      <c r="J1115" s="294" t="s">
        <v>87</v>
      </c>
      <c r="K1115" s="291" t="s">
        <v>79</v>
      </c>
      <c r="L1115" s="291" t="s">
        <v>3416</v>
      </c>
      <c r="M1115" s="290">
        <v>2.0</v>
      </c>
      <c r="N1115" s="295">
        <v>0.0</v>
      </c>
      <c r="O1115" s="296">
        <v>42.72</v>
      </c>
      <c r="P1115" s="296">
        <v>34.176</v>
      </c>
      <c r="Q1115" s="301">
        <v>0.0</v>
      </c>
      <c r="R1115" s="297">
        <v>136.704</v>
      </c>
      <c r="S1115" s="297">
        <v>0.0</v>
      </c>
      <c r="T1115" s="297">
        <v>170.88</v>
      </c>
      <c r="U1115" s="298" t="s">
        <v>3417</v>
      </c>
      <c r="V1115" s="299">
        <v>45488.02898148148</v>
      </c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</row>
    <row r="1116">
      <c r="A1116" s="280">
        <v>45487.0</v>
      </c>
      <c r="B1116" s="264">
        <v>5902856.0</v>
      </c>
      <c r="C1116" s="265" t="s">
        <v>82</v>
      </c>
      <c r="D1116" s="265" t="s">
        <v>35</v>
      </c>
      <c r="E1116" s="264">
        <v>4.723274642E9</v>
      </c>
      <c r="F1116" s="265" t="s">
        <v>3475</v>
      </c>
      <c r="G1116" s="305">
        <v>45591.0</v>
      </c>
      <c r="H1116" s="313">
        <v>45592.0</v>
      </c>
      <c r="I1116" s="282">
        <v>1.0</v>
      </c>
      <c r="J1116" s="283" t="s">
        <v>78</v>
      </c>
      <c r="K1116" s="265" t="s">
        <v>79</v>
      </c>
      <c r="L1116" s="265" t="s">
        <v>2803</v>
      </c>
      <c r="M1116" s="269">
        <v>3.0</v>
      </c>
      <c r="N1116" s="270">
        <v>0.0</v>
      </c>
      <c r="O1116" s="271">
        <v>183.13</v>
      </c>
      <c r="P1116" s="271">
        <v>146.504</v>
      </c>
      <c r="Q1116" s="272">
        <v>0.0</v>
      </c>
      <c r="R1116" s="273">
        <v>146.504</v>
      </c>
      <c r="S1116" s="273">
        <v>0.0</v>
      </c>
      <c r="T1116" s="273">
        <v>183.13</v>
      </c>
      <c r="U1116" s="274" t="s">
        <v>2804</v>
      </c>
      <c r="V1116" s="284">
        <v>45487.50003472222</v>
      </c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</row>
    <row r="1117">
      <c r="A1117" s="210">
        <v>45487.0</v>
      </c>
      <c r="B1117" s="166">
        <v>5902864.0</v>
      </c>
      <c r="C1117" s="166" t="s">
        <v>82</v>
      </c>
      <c r="D1117" s="166" t="s">
        <v>35</v>
      </c>
      <c r="E1117" s="166">
        <v>4.99009272E9</v>
      </c>
      <c r="F1117" s="166" t="s">
        <v>3475</v>
      </c>
      <c r="G1117" s="210">
        <v>45598.0</v>
      </c>
      <c r="H1117" s="287">
        <v>45599.0</v>
      </c>
      <c r="I1117" s="168">
        <v>1.0</v>
      </c>
      <c r="J1117" s="169" t="s">
        <v>78</v>
      </c>
      <c r="K1117" s="166" t="s">
        <v>79</v>
      </c>
      <c r="L1117" s="166" t="s">
        <v>2798</v>
      </c>
      <c r="M1117" s="166">
        <v>3.0</v>
      </c>
      <c r="N1117" s="170">
        <v>0.0</v>
      </c>
      <c r="O1117" s="171">
        <v>259.6</v>
      </c>
      <c r="P1117" s="171">
        <v>207.68000000000004</v>
      </c>
      <c r="Q1117" s="172">
        <v>0.0</v>
      </c>
      <c r="R1117" s="173">
        <v>207.68000000000004</v>
      </c>
      <c r="S1117" s="173">
        <v>0.0</v>
      </c>
      <c r="T1117" s="173">
        <v>259.6</v>
      </c>
      <c r="U1117" s="174" t="s">
        <v>2800</v>
      </c>
      <c r="V1117" s="288">
        <v>45487.50145833333</v>
      </c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</row>
    <row r="1118">
      <c r="A1118" s="210">
        <v>45488.0</v>
      </c>
      <c r="B1118" s="166">
        <v>5907575.0</v>
      </c>
      <c r="C1118" s="166" t="s">
        <v>82</v>
      </c>
      <c r="D1118" s="166" t="s">
        <v>35</v>
      </c>
      <c r="E1118" s="166">
        <v>4.477228469E9</v>
      </c>
      <c r="F1118" s="166" t="s">
        <v>3476</v>
      </c>
      <c r="G1118" s="210">
        <v>45490.0</v>
      </c>
      <c r="H1118" s="287">
        <v>45491.0</v>
      </c>
      <c r="I1118" s="168">
        <v>1.0</v>
      </c>
      <c r="J1118" s="169" t="s">
        <v>91</v>
      </c>
      <c r="K1118" s="166" t="s">
        <v>79</v>
      </c>
      <c r="L1118" s="166" t="s">
        <v>3375</v>
      </c>
      <c r="M1118" s="205">
        <v>1.0</v>
      </c>
      <c r="N1118" s="170">
        <v>0.0</v>
      </c>
      <c r="O1118" s="171">
        <v>258.52</v>
      </c>
      <c r="P1118" s="171">
        <v>206.816</v>
      </c>
      <c r="Q1118" s="172">
        <v>0.0</v>
      </c>
      <c r="R1118" s="173">
        <v>206.816</v>
      </c>
      <c r="S1118" s="173">
        <v>0.0</v>
      </c>
      <c r="T1118" s="173">
        <v>425.24</v>
      </c>
      <c r="U1118" s="201" t="s">
        <v>3376</v>
      </c>
      <c r="V1118" s="288">
        <v>45488.664618055554</v>
      </c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</row>
    <row r="1119">
      <c r="A1119" s="276">
        <v>45488.0</v>
      </c>
      <c r="B1119" s="252">
        <v>5907575.0</v>
      </c>
      <c r="C1119" s="253" t="s">
        <v>82</v>
      </c>
      <c r="D1119" s="253" t="s">
        <v>35</v>
      </c>
      <c r="E1119" s="252">
        <v>4.477228469E9</v>
      </c>
      <c r="F1119" s="253" t="s">
        <v>3476</v>
      </c>
      <c r="G1119" s="276">
        <v>45490.0</v>
      </c>
      <c r="H1119" s="277">
        <v>45491.0</v>
      </c>
      <c r="I1119" s="278">
        <v>1.0</v>
      </c>
      <c r="J1119" s="257" t="s">
        <v>87</v>
      </c>
      <c r="K1119" s="253" t="s">
        <v>79</v>
      </c>
      <c r="L1119" s="253" t="s">
        <v>3375</v>
      </c>
      <c r="M1119" s="275">
        <v>2.0</v>
      </c>
      <c r="N1119" s="258">
        <v>0.0</v>
      </c>
      <c r="O1119" s="259">
        <v>83.36</v>
      </c>
      <c r="P1119" s="259">
        <v>66.688</v>
      </c>
      <c r="Q1119" s="262">
        <v>0.0</v>
      </c>
      <c r="R1119" s="260">
        <v>66.688</v>
      </c>
      <c r="S1119" s="260">
        <v>0.0</v>
      </c>
      <c r="T1119" s="260">
        <v>425.24</v>
      </c>
      <c r="U1119" s="261" t="s">
        <v>3376</v>
      </c>
      <c r="V1119" s="279">
        <v>45488.664618055554</v>
      </c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</row>
    <row r="1120">
      <c r="A1120" s="276">
        <v>45488.0</v>
      </c>
      <c r="B1120" s="252">
        <v>5907575.0</v>
      </c>
      <c r="C1120" s="253" t="s">
        <v>82</v>
      </c>
      <c r="D1120" s="253" t="s">
        <v>35</v>
      </c>
      <c r="E1120" s="252">
        <v>4.477228469E9</v>
      </c>
      <c r="F1120" s="253" t="s">
        <v>3476</v>
      </c>
      <c r="G1120" s="276">
        <v>45490.0</v>
      </c>
      <c r="H1120" s="277">
        <v>45491.0</v>
      </c>
      <c r="I1120" s="278">
        <v>1.0</v>
      </c>
      <c r="J1120" s="257" t="s">
        <v>78</v>
      </c>
      <c r="K1120" s="253" t="s">
        <v>79</v>
      </c>
      <c r="L1120" s="253" t="s">
        <v>3375</v>
      </c>
      <c r="M1120" s="252">
        <v>2.0</v>
      </c>
      <c r="N1120" s="258">
        <v>0.0</v>
      </c>
      <c r="O1120" s="259">
        <v>83.36</v>
      </c>
      <c r="P1120" s="259">
        <v>66.688</v>
      </c>
      <c r="Q1120" s="262">
        <v>0.0</v>
      </c>
      <c r="R1120" s="260">
        <v>66.688</v>
      </c>
      <c r="S1120" s="260">
        <v>0.0</v>
      </c>
      <c r="T1120" s="260">
        <v>425.24</v>
      </c>
      <c r="U1120" s="261" t="s">
        <v>3376</v>
      </c>
      <c r="V1120" s="279">
        <v>45488.664618055554</v>
      </c>
      <c r="W1120" s="188"/>
      <c r="X1120" s="188"/>
      <c r="Y1120" s="188"/>
      <c r="Z1120" s="188"/>
      <c r="AA1120" s="188"/>
      <c r="AB1120" s="188"/>
      <c r="AC1120" s="188"/>
      <c r="AD1120" s="188"/>
      <c r="AE1120" s="188"/>
      <c r="AF1120" s="188"/>
      <c r="AG1120" s="188"/>
      <c r="AH1120" s="188"/>
      <c r="AI1120" s="188"/>
    </row>
    <row r="1121">
      <c r="A1121" s="210">
        <v>45488.0</v>
      </c>
      <c r="B1121" s="166">
        <v>5907209.0</v>
      </c>
      <c r="C1121" s="166" t="s">
        <v>82</v>
      </c>
      <c r="D1121" s="166" t="s">
        <v>35</v>
      </c>
      <c r="E1121" s="166">
        <v>4.693870986E9</v>
      </c>
      <c r="F1121" s="166" t="s">
        <v>3402</v>
      </c>
      <c r="G1121" s="210">
        <v>45518.0</v>
      </c>
      <c r="H1121" s="287">
        <v>45519.0</v>
      </c>
      <c r="I1121" s="168">
        <v>1.0</v>
      </c>
      <c r="J1121" s="169" t="s">
        <v>87</v>
      </c>
      <c r="K1121" s="166" t="s">
        <v>79</v>
      </c>
      <c r="L1121" s="166" t="s">
        <v>2803</v>
      </c>
      <c r="M1121" s="166">
        <v>1.0</v>
      </c>
      <c r="N1121" s="170">
        <v>0.0</v>
      </c>
      <c r="O1121" s="171">
        <v>104.66</v>
      </c>
      <c r="P1121" s="171">
        <v>83.72800000000001</v>
      </c>
      <c r="Q1121" s="169">
        <v>0.0</v>
      </c>
      <c r="R1121" s="173">
        <v>83.72800000000001</v>
      </c>
      <c r="S1121" s="173">
        <v>0.0</v>
      </c>
      <c r="T1121" s="173">
        <v>104.66</v>
      </c>
      <c r="U1121" s="174" t="s">
        <v>2804</v>
      </c>
      <c r="V1121" s="288">
        <v>45488.597291666665</v>
      </c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</row>
    <row r="1122">
      <c r="A1122" s="276">
        <v>45488.0</v>
      </c>
      <c r="B1122" s="252">
        <v>5907827.0</v>
      </c>
      <c r="C1122" s="253" t="s">
        <v>82</v>
      </c>
      <c r="D1122" s="253" t="s">
        <v>12</v>
      </c>
      <c r="E1122" s="252" t="s">
        <v>3477</v>
      </c>
      <c r="F1122" s="253" t="s">
        <v>3478</v>
      </c>
      <c r="G1122" s="276">
        <v>45520.0</v>
      </c>
      <c r="H1122" s="277">
        <v>45525.0</v>
      </c>
      <c r="I1122" s="278">
        <v>5.0</v>
      </c>
      <c r="J1122" s="257" t="s">
        <v>78</v>
      </c>
      <c r="K1122" s="253" t="s">
        <v>79</v>
      </c>
      <c r="L1122" s="253" t="s">
        <v>123</v>
      </c>
      <c r="M1122" s="252">
        <v>3.0</v>
      </c>
      <c r="N1122" s="258">
        <v>0.0</v>
      </c>
      <c r="O1122" s="259">
        <v>184.824</v>
      </c>
      <c r="P1122" s="259">
        <v>147.85920000000002</v>
      </c>
      <c r="Q1122" s="257">
        <v>0.0</v>
      </c>
      <c r="R1122" s="260">
        <v>739.296</v>
      </c>
      <c r="S1122" s="260">
        <v>0.0</v>
      </c>
      <c r="T1122" s="260">
        <v>924.12</v>
      </c>
      <c r="U1122" s="261" t="s">
        <v>2416</v>
      </c>
      <c r="V1122" s="279">
        <v>45488.716736111106</v>
      </c>
      <c r="W1122" s="35"/>
      <c r="X1122" s="35"/>
      <c r="Y1122" s="35"/>
      <c r="Z1122" s="35"/>
      <c r="AA1122" s="35"/>
      <c r="AB1122" s="35"/>
      <c r="AC1122" s="35"/>
      <c r="AD1122" s="35"/>
      <c r="AE1122" s="35"/>
      <c r="AF1122" s="35"/>
      <c r="AG1122" s="35"/>
      <c r="AH1122" s="35"/>
      <c r="AI1122" s="35"/>
    </row>
    <row r="1123">
      <c r="A1123" s="210">
        <v>45489.0</v>
      </c>
      <c r="B1123" s="166">
        <v>5910767.0</v>
      </c>
      <c r="C1123" s="166" t="s">
        <v>82</v>
      </c>
      <c r="D1123" s="166" t="s">
        <v>94</v>
      </c>
      <c r="E1123" s="166" t="s">
        <v>3479</v>
      </c>
      <c r="F1123" s="166" t="s">
        <v>3480</v>
      </c>
      <c r="G1123" s="210">
        <v>45506.0</v>
      </c>
      <c r="H1123" s="287">
        <v>45507.0</v>
      </c>
      <c r="I1123" s="168">
        <v>1.0</v>
      </c>
      <c r="J1123" s="169" t="s">
        <v>91</v>
      </c>
      <c r="K1123" s="166" t="s">
        <v>79</v>
      </c>
      <c r="L1123" s="166" t="s">
        <v>3481</v>
      </c>
      <c r="M1123" s="166">
        <v>4.0</v>
      </c>
      <c r="N1123" s="170">
        <v>0.0</v>
      </c>
      <c r="O1123" s="171">
        <v>66.08</v>
      </c>
      <c r="P1123" s="171">
        <v>65.4192</v>
      </c>
      <c r="Q1123" s="172">
        <v>0.0</v>
      </c>
      <c r="R1123" s="173">
        <v>65.4192</v>
      </c>
      <c r="S1123" s="173">
        <v>0.0</v>
      </c>
      <c r="T1123" s="173">
        <v>66.08</v>
      </c>
      <c r="U1123" s="174" t="s">
        <v>3482</v>
      </c>
      <c r="V1123" s="288">
        <v>45489.51398148148</v>
      </c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</row>
    <row r="1124">
      <c r="A1124" s="210">
        <v>45489.0</v>
      </c>
      <c r="B1124" s="166">
        <v>5912044.0</v>
      </c>
      <c r="C1124" s="166" t="s">
        <v>82</v>
      </c>
      <c r="D1124" s="166" t="s">
        <v>1666</v>
      </c>
      <c r="E1124" s="166" t="s">
        <v>3483</v>
      </c>
      <c r="F1124" s="166" t="s">
        <v>3484</v>
      </c>
      <c r="G1124" s="210">
        <v>45509.0</v>
      </c>
      <c r="H1124" s="287">
        <v>45513.0</v>
      </c>
      <c r="I1124" s="168">
        <v>4.0</v>
      </c>
      <c r="J1124" s="169" t="s">
        <v>78</v>
      </c>
      <c r="K1124" s="166" t="s">
        <v>79</v>
      </c>
      <c r="L1124" s="166" t="s">
        <v>3481</v>
      </c>
      <c r="M1124" s="166">
        <v>2.0</v>
      </c>
      <c r="N1124" s="170">
        <v>0.0</v>
      </c>
      <c r="O1124" s="171">
        <v>33.04</v>
      </c>
      <c r="P1124" s="171">
        <v>26.432000000000002</v>
      </c>
      <c r="Q1124" s="172">
        <v>0.0</v>
      </c>
      <c r="R1124" s="173">
        <v>105.72800000000001</v>
      </c>
      <c r="S1124" s="173">
        <v>0.0</v>
      </c>
      <c r="T1124" s="173">
        <v>132.16</v>
      </c>
      <c r="U1124" s="174" t="s">
        <v>3482</v>
      </c>
      <c r="V1124" s="288">
        <v>45489.74217592593</v>
      </c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</row>
    <row r="1125">
      <c r="A1125" s="210">
        <v>45489.0</v>
      </c>
      <c r="B1125" s="166">
        <v>5912485.0</v>
      </c>
      <c r="C1125" s="166" t="s">
        <v>82</v>
      </c>
      <c r="D1125" s="166" t="s">
        <v>1666</v>
      </c>
      <c r="E1125" s="166" t="s">
        <v>3485</v>
      </c>
      <c r="F1125" s="166" t="s">
        <v>3486</v>
      </c>
      <c r="G1125" s="210">
        <v>45524.0</v>
      </c>
      <c r="H1125" s="287">
        <v>45531.0</v>
      </c>
      <c r="I1125" s="168">
        <v>7.0</v>
      </c>
      <c r="J1125" s="169" t="s">
        <v>78</v>
      </c>
      <c r="K1125" s="166" t="s">
        <v>79</v>
      </c>
      <c r="L1125" s="166" t="s">
        <v>3481</v>
      </c>
      <c r="M1125" s="166">
        <v>2.0</v>
      </c>
      <c r="N1125" s="170">
        <v>0.0</v>
      </c>
      <c r="O1125" s="171">
        <v>25.599999999999998</v>
      </c>
      <c r="P1125" s="171">
        <v>20.48</v>
      </c>
      <c r="Q1125" s="172">
        <v>0.0</v>
      </c>
      <c r="R1125" s="173">
        <v>143.35999999999999</v>
      </c>
      <c r="S1125" s="173">
        <v>0.0</v>
      </c>
      <c r="T1125" s="173">
        <v>179.2</v>
      </c>
      <c r="U1125" s="174" t="s">
        <v>3482</v>
      </c>
      <c r="V1125" s="288">
        <v>45489.826574074075</v>
      </c>
      <c r="W1125" s="35"/>
      <c r="X1125" s="35"/>
      <c r="Y1125" s="35"/>
      <c r="Z1125" s="35"/>
      <c r="AA1125" s="35"/>
      <c r="AB1125" s="35"/>
      <c r="AC1125" s="35"/>
      <c r="AD1125" s="35"/>
      <c r="AE1125" s="35"/>
      <c r="AF1125" s="35"/>
      <c r="AG1125" s="35"/>
      <c r="AH1125" s="35"/>
      <c r="AI1125" s="35"/>
    </row>
    <row r="1126">
      <c r="A1126" s="280">
        <v>45490.0</v>
      </c>
      <c r="B1126" s="264">
        <v>5916325.0</v>
      </c>
      <c r="C1126" s="265" t="s">
        <v>89</v>
      </c>
      <c r="D1126" s="265" t="s">
        <v>35</v>
      </c>
      <c r="E1126" s="264">
        <v>4.382944862E9</v>
      </c>
      <c r="F1126" s="265" t="s">
        <v>3487</v>
      </c>
      <c r="G1126" s="280">
        <v>45492.0</v>
      </c>
      <c r="H1126" s="281">
        <v>45494.0</v>
      </c>
      <c r="I1126" s="282">
        <v>2.0</v>
      </c>
      <c r="J1126" s="283" t="s">
        <v>78</v>
      </c>
      <c r="K1126" s="265" t="s">
        <v>79</v>
      </c>
      <c r="L1126" s="265" t="s">
        <v>2803</v>
      </c>
      <c r="M1126" s="269">
        <v>2.0</v>
      </c>
      <c r="N1126" s="283">
        <v>0.0</v>
      </c>
      <c r="O1126" s="271">
        <v>0.0</v>
      </c>
      <c r="P1126" s="271">
        <v>0.0</v>
      </c>
      <c r="Q1126" s="283">
        <v>0.0</v>
      </c>
      <c r="R1126" s="273">
        <v>0.0</v>
      </c>
      <c r="S1126" s="273">
        <v>0.0</v>
      </c>
      <c r="T1126" s="273">
        <v>0.0</v>
      </c>
      <c r="U1126" s="274" t="s">
        <v>3488</v>
      </c>
      <c r="V1126" s="284">
        <v>45490.79173611111</v>
      </c>
      <c r="W1126" s="188"/>
      <c r="X1126" s="188"/>
      <c r="Y1126" s="188"/>
      <c r="Z1126" s="188"/>
      <c r="AA1126" s="188"/>
      <c r="AB1126" s="188"/>
      <c r="AC1126" s="188"/>
      <c r="AD1126" s="188"/>
      <c r="AE1126" s="188"/>
      <c r="AF1126" s="188"/>
      <c r="AG1126" s="188"/>
      <c r="AH1126" s="188"/>
      <c r="AI1126" s="188"/>
    </row>
    <row r="1127">
      <c r="A1127" s="280">
        <v>45491.0</v>
      </c>
      <c r="B1127" s="264">
        <v>5919701.0</v>
      </c>
      <c r="C1127" s="265" t="s">
        <v>82</v>
      </c>
      <c r="D1127" s="265" t="s">
        <v>94</v>
      </c>
      <c r="E1127" s="264">
        <v>4.50740671E8</v>
      </c>
      <c r="F1127" s="265" t="s">
        <v>3489</v>
      </c>
      <c r="G1127" s="280">
        <v>45497.0</v>
      </c>
      <c r="H1127" s="281">
        <v>45503.0</v>
      </c>
      <c r="I1127" s="282">
        <v>6.0</v>
      </c>
      <c r="J1127" s="283" t="s">
        <v>78</v>
      </c>
      <c r="K1127" s="265" t="s">
        <v>79</v>
      </c>
      <c r="L1127" s="265" t="s">
        <v>3388</v>
      </c>
      <c r="M1127" s="269">
        <v>2.0</v>
      </c>
      <c r="N1127" s="270">
        <v>0.0</v>
      </c>
      <c r="O1127" s="271">
        <v>189.98000000000002</v>
      </c>
      <c r="P1127" s="271">
        <v>188.08020000000002</v>
      </c>
      <c r="Q1127" s="272">
        <v>0.0</v>
      </c>
      <c r="R1127" s="273">
        <v>1128.4812000000002</v>
      </c>
      <c r="S1127" s="273">
        <v>0.0</v>
      </c>
      <c r="T1127" s="273">
        <v>1139.88</v>
      </c>
      <c r="U1127" s="274" t="s">
        <v>3389</v>
      </c>
      <c r="V1127" s="284">
        <v>45491.65282407407</v>
      </c>
      <c r="W1127" s="35"/>
      <c r="X1127" s="35"/>
      <c r="Y1127" s="35"/>
      <c r="Z1127" s="35"/>
      <c r="AA1127" s="35"/>
      <c r="AB1127" s="35"/>
      <c r="AC1127" s="35"/>
      <c r="AD1127" s="35"/>
      <c r="AE1127" s="35"/>
      <c r="AF1127" s="35"/>
      <c r="AG1127" s="35"/>
      <c r="AH1127" s="35"/>
      <c r="AI1127" s="35"/>
    </row>
    <row r="1128">
      <c r="A1128" s="289">
        <v>45491.0</v>
      </c>
      <c r="B1128" s="290">
        <v>5918417.0</v>
      </c>
      <c r="C1128" s="291" t="s">
        <v>82</v>
      </c>
      <c r="D1128" s="291" t="s">
        <v>35</v>
      </c>
      <c r="E1128" s="290">
        <v>4.399465181E9</v>
      </c>
      <c r="F1128" s="291" t="s">
        <v>3490</v>
      </c>
      <c r="G1128" s="289">
        <v>45501.0</v>
      </c>
      <c r="H1128" s="292">
        <v>45505.0</v>
      </c>
      <c r="I1128" s="293">
        <v>4.0</v>
      </c>
      <c r="J1128" s="294" t="s">
        <v>91</v>
      </c>
      <c r="K1128" s="291" t="s">
        <v>79</v>
      </c>
      <c r="L1128" s="291" t="s">
        <v>3491</v>
      </c>
      <c r="M1128" s="300">
        <v>4.0</v>
      </c>
      <c r="N1128" s="295">
        <v>0.0</v>
      </c>
      <c r="O1128" s="296">
        <v>588.2</v>
      </c>
      <c r="P1128" s="296">
        <v>470.56000000000006</v>
      </c>
      <c r="Q1128" s="301">
        <v>0.0</v>
      </c>
      <c r="R1128" s="297">
        <v>1882.2400000000002</v>
      </c>
      <c r="S1128" s="297">
        <v>0.0</v>
      </c>
      <c r="T1128" s="297">
        <v>2352.8</v>
      </c>
      <c r="U1128" s="298" t="s">
        <v>3492</v>
      </c>
      <c r="V1128" s="299">
        <v>45491.42574074074</v>
      </c>
      <c r="W1128" s="35"/>
      <c r="X1128" s="35"/>
      <c r="Y1128" s="35"/>
      <c r="Z1128" s="35"/>
      <c r="AA1128" s="35"/>
      <c r="AB1128" s="35"/>
      <c r="AC1128" s="35"/>
      <c r="AD1128" s="35"/>
      <c r="AE1128" s="35"/>
      <c r="AF1128" s="35"/>
      <c r="AG1128" s="35"/>
      <c r="AH1128" s="35"/>
      <c r="AI1128" s="35"/>
    </row>
    <row r="1129">
      <c r="A1129" s="210">
        <v>45491.0</v>
      </c>
      <c r="B1129" s="166">
        <v>5917897.0</v>
      </c>
      <c r="C1129" s="166" t="s">
        <v>82</v>
      </c>
      <c r="D1129" s="166" t="s">
        <v>35</v>
      </c>
      <c r="E1129" s="166">
        <v>4.836955632E9</v>
      </c>
      <c r="F1129" s="166" t="s">
        <v>3493</v>
      </c>
      <c r="G1129" s="210">
        <v>45523.0</v>
      </c>
      <c r="H1129" s="287">
        <v>45524.0</v>
      </c>
      <c r="I1129" s="168">
        <v>1.0</v>
      </c>
      <c r="J1129" s="169" t="s">
        <v>78</v>
      </c>
      <c r="K1129" s="166" t="s">
        <v>79</v>
      </c>
      <c r="L1129" s="166" t="s">
        <v>2803</v>
      </c>
      <c r="M1129" s="205">
        <v>3.0</v>
      </c>
      <c r="N1129" s="170">
        <v>0.0</v>
      </c>
      <c r="O1129" s="171">
        <v>142.75</v>
      </c>
      <c r="P1129" s="171">
        <v>114.2</v>
      </c>
      <c r="Q1129" s="172">
        <v>0.0</v>
      </c>
      <c r="R1129" s="173">
        <v>114.2</v>
      </c>
      <c r="S1129" s="173">
        <v>0.0</v>
      </c>
      <c r="T1129" s="173">
        <v>142.75</v>
      </c>
      <c r="U1129" s="174" t="s">
        <v>2804</v>
      </c>
      <c r="V1129" s="288">
        <v>45491.305601851855</v>
      </c>
      <c r="W1129" s="35"/>
      <c r="X1129" s="35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</row>
    <row r="1130">
      <c r="A1130" s="210">
        <v>45493.0</v>
      </c>
      <c r="B1130" s="166">
        <v>5926784.0</v>
      </c>
      <c r="C1130" s="166" t="s">
        <v>82</v>
      </c>
      <c r="D1130" s="166" t="s">
        <v>94</v>
      </c>
      <c r="E1130" s="166">
        <v>5926784.0</v>
      </c>
      <c r="F1130" s="166" t="s">
        <v>3494</v>
      </c>
      <c r="G1130" s="210">
        <v>45531.0</v>
      </c>
      <c r="H1130" s="287">
        <v>45535.0</v>
      </c>
      <c r="I1130" s="168">
        <v>4.0</v>
      </c>
      <c r="J1130" s="169" t="s">
        <v>114</v>
      </c>
      <c r="K1130" s="166" t="s">
        <v>79</v>
      </c>
      <c r="L1130" s="166" t="s">
        <v>1462</v>
      </c>
      <c r="M1130" s="166">
        <v>2.0</v>
      </c>
      <c r="N1130" s="170">
        <v>0.0</v>
      </c>
      <c r="O1130" s="171">
        <v>120.2</v>
      </c>
      <c r="P1130" s="171">
        <v>118.998</v>
      </c>
      <c r="Q1130" s="172">
        <v>0.0</v>
      </c>
      <c r="R1130" s="173">
        <v>475.992</v>
      </c>
      <c r="S1130" s="173">
        <v>0.0</v>
      </c>
      <c r="T1130" s="173">
        <v>480.8</v>
      </c>
      <c r="U1130" s="201" t="s">
        <v>1463</v>
      </c>
      <c r="V1130" s="288">
        <v>45493.485497685186</v>
      </c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</row>
    <row r="1131">
      <c r="A1131" s="280">
        <v>45493.0</v>
      </c>
      <c r="B1131" s="264">
        <v>5928184.0</v>
      </c>
      <c r="C1131" s="265" t="s">
        <v>82</v>
      </c>
      <c r="D1131" s="265" t="s">
        <v>94</v>
      </c>
      <c r="E1131" s="264">
        <v>5928184.0</v>
      </c>
      <c r="F1131" s="265" t="s">
        <v>3495</v>
      </c>
      <c r="G1131" s="280">
        <v>45544.0</v>
      </c>
      <c r="H1131" s="281">
        <v>45547.0</v>
      </c>
      <c r="I1131" s="282">
        <v>3.0</v>
      </c>
      <c r="J1131" s="283" t="s">
        <v>91</v>
      </c>
      <c r="K1131" s="265" t="s">
        <v>79</v>
      </c>
      <c r="L1131" s="265" t="s">
        <v>2699</v>
      </c>
      <c r="M1131" s="269">
        <v>4.0</v>
      </c>
      <c r="N1131" s="270">
        <v>0.0</v>
      </c>
      <c r="O1131" s="271">
        <v>299.59999999999997</v>
      </c>
      <c r="P1131" s="271">
        <v>296.604</v>
      </c>
      <c r="Q1131" s="272">
        <v>0.0</v>
      </c>
      <c r="R1131" s="273">
        <v>889.8119999999999</v>
      </c>
      <c r="S1131" s="273">
        <v>0.0</v>
      </c>
      <c r="T1131" s="273">
        <v>898.8</v>
      </c>
      <c r="U1131" s="274" t="s">
        <v>3244</v>
      </c>
      <c r="V1131" s="284">
        <v>45493.73574074074</v>
      </c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</row>
    <row r="1132">
      <c r="A1132" s="280">
        <v>45494.0</v>
      </c>
      <c r="B1132" s="264">
        <v>5933372.0</v>
      </c>
      <c r="C1132" s="265" t="s">
        <v>82</v>
      </c>
      <c r="D1132" s="265" t="s">
        <v>94</v>
      </c>
      <c r="E1132" s="264">
        <v>5933372.0</v>
      </c>
      <c r="F1132" s="265" t="s">
        <v>3496</v>
      </c>
      <c r="G1132" s="280">
        <v>45496.0</v>
      </c>
      <c r="H1132" s="281">
        <v>45498.0</v>
      </c>
      <c r="I1132" s="282">
        <v>2.0</v>
      </c>
      <c r="J1132" s="283" t="s">
        <v>91</v>
      </c>
      <c r="K1132" s="265" t="s">
        <v>79</v>
      </c>
      <c r="L1132" s="265" t="s">
        <v>1462</v>
      </c>
      <c r="M1132" s="264">
        <v>3.0</v>
      </c>
      <c r="N1132" s="270">
        <v>0.0</v>
      </c>
      <c r="O1132" s="271">
        <v>271.82</v>
      </c>
      <c r="P1132" s="271">
        <v>269.10179999999997</v>
      </c>
      <c r="Q1132" s="272">
        <v>0.0</v>
      </c>
      <c r="R1132" s="273">
        <v>538.2035999999999</v>
      </c>
      <c r="S1132" s="273">
        <v>0.0</v>
      </c>
      <c r="T1132" s="273">
        <v>543.64</v>
      </c>
      <c r="U1132" s="274" t="s">
        <v>1463</v>
      </c>
      <c r="V1132" s="284">
        <v>45494.97395833333</v>
      </c>
      <c r="W1132" s="35"/>
      <c r="X1132" s="35"/>
      <c r="Y1132" s="35"/>
      <c r="Z1132" s="35"/>
      <c r="AA1132" s="35"/>
      <c r="AB1132" s="35"/>
      <c r="AC1132" s="35"/>
      <c r="AD1132" s="35"/>
      <c r="AE1132" s="35"/>
      <c r="AF1132" s="35"/>
      <c r="AG1132" s="35"/>
      <c r="AH1132" s="35"/>
      <c r="AI1132" s="35"/>
    </row>
    <row r="1133">
      <c r="A1133" s="210">
        <v>45494.0</v>
      </c>
      <c r="B1133" s="166">
        <v>5932027.0</v>
      </c>
      <c r="C1133" s="166" t="s">
        <v>82</v>
      </c>
      <c r="D1133" s="166" t="s">
        <v>94</v>
      </c>
      <c r="E1133" s="166">
        <v>5932027.0</v>
      </c>
      <c r="F1133" s="166" t="s">
        <v>3497</v>
      </c>
      <c r="G1133" s="210">
        <v>45526.0</v>
      </c>
      <c r="H1133" s="287">
        <v>45530.0</v>
      </c>
      <c r="I1133" s="168">
        <v>4.0</v>
      </c>
      <c r="J1133" s="169" t="s">
        <v>114</v>
      </c>
      <c r="K1133" s="166" t="s">
        <v>79</v>
      </c>
      <c r="L1133" s="166" t="s">
        <v>1447</v>
      </c>
      <c r="M1133" s="166">
        <v>2.0</v>
      </c>
      <c r="N1133" s="170">
        <v>0.0</v>
      </c>
      <c r="O1133" s="171">
        <v>120.2</v>
      </c>
      <c r="P1133" s="171">
        <v>118.998</v>
      </c>
      <c r="Q1133" s="172">
        <v>0.0</v>
      </c>
      <c r="R1133" s="173">
        <v>475.992</v>
      </c>
      <c r="S1133" s="173">
        <v>0.0</v>
      </c>
      <c r="T1133" s="173">
        <v>480.8</v>
      </c>
      <c r="U1133" s="201" t="s">
        <v>1448</v>
      </c>
      <c r="V1133" s="288">
        <v>45494.712222222224</v>
      </c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</row>
    <row r="1134">
      <c r="A1134" s="210">
        <v>45495.0</v>
      </c>
      <c r="B1134" s="166">
        <v>5933897.0</v>
      </c>
      <c r="C1134" s="166" t="s">
        <v>82</v>
      </c>
      <c r="D1134" s="166" t="s">
        <v>35</v>
      </c>
      <c r="E1134" s="166">
        <v>4.945134985E9</v>
      </c>
      <c r="F1134" s="166" t="s">
        <v>3498</v>
      </c>
      <c r="G1134" s="210">
        <v>45508.0</v>
      </c>
      <c r="H1134" s="287">
        <v>45510.0</v>
      </c>
      <c r="I1134" s="168">
        <v>2.0</v>
      </c>
      <c r="J1134" s="169" t="s">
        <v>91</v>
      </c>
      <c r="K1134" s="166" t="s">
        <v>79</v>
      </c>
      <c r="L1134" s="166" t="s">
        <v>2803</v>
      </c>
      <c r="M1134" s="205">
        <v>5.0</v>
      </c>
      <c r="N1134" s="170">
        <v>0.0</v>
      </c>
      <c r="O1134" s="171">
        <v>346.7</v>
      </c>
      <c r="P1134" s="171">
        <v>277.36</v>
      </c>
      <c r="Q1134" s="172">
        <v>0.0</v>
      </c>
      <c r="R1134" s="173">
        <v>554.72</v>
      </c>
      <c r="S1134" s="173">
        <v>0.0</v>
      </c>
      <c r="T1134" s="173">
        <v>693.4</v>
      </c>
      <c r="U1134" s="174" t="s">
        <v>2804</v>
      </c>
      <c r="V1134" s="288">
        <v>45495.2944675926</v>
      </c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</row>
    <row r="1135">
      <c r="A1135" s="280">
        <v>45495.0</v>
      </c>
      <c r="B1135" s="264">
        <v>5935248.0</v>
      </c>
      <c r="C1135" s="265" t="s">
        <v>82</v>
      </c>
      <c r="D1135" s="265" t="s">
        <v>94</v>
      </c>
      <c r="E1135" s="264">
        <v>5935248.0</v>
      </c>
      <c r="F1135" s="265" t="s">
        <v>3499</v>
      </c>
      <c r="G1135" s="280">
        <v>45513.0</v>
      </c>
      <c r="H1135" s="281">
        <v>45514.0</v>
      </c>
      <c r="I1135" s="282">
        <v>1.0</v>
      </c>
      <c r="J1135" s="283" t="s">
        <v>91</v>
      </c>
      <c r="K1135" s="265" t="s">
        <v>79</v>
      </c>
      <c r="L1135" s="265" t="s">
        <v>1462</v>
      </c>
      <c r="M1135" s="269">
        <v>2.0</v>
      </c>
      <c r="N1135" s="283">
        <v>0.0</v>
      </c>
      <c r="O1135" s="271">
        <v>269.32</v>
      </c>
      <c r="P1135" s="271">
        <v>266.6268</v>
      </c>
      <c r="Q1135" s="283">
        <v>0.0</v>
      </c>
      <c r="R1135" s="273">
        <v>266.6268</v>
      </c>
      <c r="S1135" s="273">
        <v>0.0</v>
      </c>
      <c r="T1135" s="273">
        <v>269.32</v>
      </c>
      <c r="U1135" s="274" t="s">
        <v>1463</v>
      </c>
      <c r="V1135" s="284">
        <v>45495.56261574074</v>
      </c>
      <c r="W1135" s="35"/>
      <c r="X1135" s="35"/>
      <c r="Y1135" s="35"/>
      <c r="Z1135" s="35"/>
      <c r="AA1135" s="35"/>
      <c r="AB1135" s="35"/>
      <c r="AC1135" s="35"/>
      <c r="AD1135" s="35"/>
      <c r="AE1135" s="35"/>
      <c r="AF1135" s="35"/>
      <c r="AG1135" s="35"/>
      <c r="AH1135" s="35"/>
      <c r="AI1135" s="35"/>
    </row>
    <row r="1136">
      <c r="A1136" s="280">
        <v>45497.0</v>
      </c>
      <c r="B1136" s="264">
        <v>5943309.0</v>
      </c>
      <c r="C1136" s="265" t="s">
        <v>82</v>
      </c>
      <c r="D1136" s="265" t="s">
        <v>94</v>
      </c>
      <c r="E1136" s="264">
        <v>5943309.0</v>
      </c>
      <c r="F1136" s="265" t="s">
        <v>3500</v>
      </c>
      <c r="G1136" s="280">
        <v>45501.0</v>
      </c>
      <c r="H1136" s="281">
        <v>45502.0</v>
      </c>
      <c r="I1136" s="282">
        <v>1.0</v>
      </c>
      <c r="J1136" s="283" t="s">
        <v>114</v>
      </c>
      <c r="K1136" s="265" t="s">
        <v>79</v>
      </c>
      <c r="L1136" s="265" t="s">
        <v>1462</v>
      </c>
      <c r="M1136" s="269">
        <v>2.0</v>
      </c>
      <c r="N1136" s="270">
        <v>0.0</v>
      </c>
      <c r="O1136" s="271">
        <v>137.16</v>
      </c>
      <c r="P1136" s="271">
        <v>135.7884</v>
      </c>
      <c r="Q1136" s="272">
        <v>0.0</v>
      </c>
      <c r="R1136" s="273">
        <v>135.7884</v>
      </c>
      <c r="S1136" s="273">
        <v>0.0</v>
      </c>
      <c r="T1136" s="273">
        <v>137.16</v>
      </c>
      <c r="U1136" s="274" t="s">
        <v>1463</v>
      </c>
      <c r="V1136" s="284">
        <v>45497.52480324074</v>
      </c>
      <c r="W1136" s="188"/>
      <c r="X1136" s="188"/>
      <c r="Y1136" s="188"/>
      <c r="Z1136" s="188"/>
      <c r="AA1136" s="188"/>
      <c r="AB1136" s="188"/>
      <c r="AC1136" s="188"/>
      <c r="AD1136" s="188"/>
      <c r="AE1136" s="188"/>
      <c r="AF1136" s="188"/>
      <c r="AG1136" s="188"/>
      <c r="AH1136" s="188"/>
      <c r="AI1136" s="188"/>
    </row>
    <row r="1137">
      <c r="A1137" s="210">
        <v>45497.0</v>
      </c>
      <c r="B1137" s="166">
        <v>5944613.0</v>
      </c>
      <c r="C1137" s="166" t="s">
        <v>82</v>
      </c>
      <c r="D1137" s="166" t="s">
        <v>94</v>
      </c>
      <c r="E1137" s="166">
        <v>4.52452163E8</v>
      </c>
      <c r="F1137" s="166" t="s">
        <v>3501</v>
      </c>
      <c r="G1137" s="210">
        <v>45566.0</v>
      </c>
      <c r="H1137" s="287">
        <v>45568.0</v>
      </c>
      <c r="I1137" s="168">
        <v>2.0</v>
      </c>
      <c r="J1137" s="169" t="s">
        <v>111</v>
      </c>
      <c r="K1137" s="166" t="s">
        <v>79</v>
      </c>
      <c r="L1137" s="166" t="s">
        <v>3378</v>
      </c>
      <c r="M1137" s="205">
        <v>2.0</v>
      </c>
      <c r="N1137" s="170">
        <v>0.0</v>
      </c>
      <c r="O1137" s="171">
        <v>156.4</v>
      </c>
      <c r="P1137" s="171">
        <v>154.836</v>
      </c>
      <c r="Q1137" s="172">
        <v>0.0</v>
      </c>
      <c r="R1137" s="173">
        <v>309.672</v>
      </c>
      <c r="S1137" s="173">
        <v>0.0</v>
      </c>
      <c r="T1137" s="173">
        <v>312.8</v>
      </c>
      <c r="U1137" s="201" t="s">
        <v>3379</v>
      </c>
      <c r="V1137" s="288">
        <v>45497.746562500004</v>
      </c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</row>
    <row r="1138">
      <c r="A1138" s="210">
        <v>45498.0</v>
      </c>
      <c r="B1138" s="166">
        <v>5947387.0</v>
      </c>
      <c r="C1138" s="166" t="s">
        <v>82</v>
      </c>
      <c r="D1138" s="166" t="s">
        <v>94</v>
      </c>
      <c r="E1138" s="166">
        <v>5947387.0</v>
      </c>
      <c r="F1138" s="166" t="s">
        <v>3502</v>
      </c>
      <c r="G1138" s="210">
        <v>45521.0</v>
      </c>
      <c r="H1138" s="287">
        <v>45526.0</v>
      </c>
      <c r="I1138" s="168">
        <v>5.0</v>
      </c>
      <c r="J1138" s="169" t="s">
        <v>91</v>
      </c>
      <c r="K1138" s="166" t="s">
        <v>79</v>
      </c>
      <c r="L1138" s="166" t="s">
        <v>1462</v>
      </c>
      <c r="M1138" s="166">
        <v>4.0</v>
      </c>
      <c r="N1138" s="170">
        <v>0.0</v>
      </c>
      <c r="O1138" s="171">
        <v>274.32</v>
      </c>
      <c r="P1138" s="171">
        <v>271.5768</v>
      </c>
      <c r="Q1138" s="172">
        <v>0.0</v>
      </c>
      <c r="R1138" s="173">
        <v>1357.8839999999998</v>
      </c>
      <c r="S1138" s="173">
        <v>0.0</v>
      </c>
      <c r="T1138" s="173">
        <v>1371.6</v>
      </c>
      <c r="U1138" s="174" t="s">
        <v>1463</v>
      </c>
      <c r="V1138" s="288">
        <v>45498.49471064815</v>
      </c>
      <c r="W1138" s="188"/>
      <c r="X1138" s="188"/>
      <c r="Y1138" s="188"/>
      <c r="Z1138" s="188"/>
      <c r="AA1138" s="188"/>
      <c r="AB1138" s="188"/>
      <c r="AC1138" s="188"/>
      <c r="AD1138" s="188"/>
      <c r="AE1138" s="188"/>
      <c r="AF1138" s="188"/>
      <c r="AG1138" s="188"/>
      <c r="AH1138" s="188"/>
      <c r="AI1138" s="188"/>
    </row>
    <row r="1139">
      <c r="A1139" s="210">
        <v>45498.0</v>
      </c>
      <c r="B1139" s="166">
        <v>5948650.0</v>
      </c>
      <c r="C1139" s="166" t="s">
        <v>82</v>
      </c>
      <c r="D1139" s="166" t="s">
        <v>94</v>
      </c>
      <c r="E1139" s="166" t="s">
        <v>3503</v>
      </c>
      <c r="F1139" s="166" t="s">
        <v>3504</v>
      </c>
      <c r="G1139" s="212">
        <v>45606.0</v>
      </c>
      <c r="H1139" s="310">
        <v>45608.0</v>
      </c>
      <c r="I1139" s="168">
        <v>2.0</v>
      </c>
      <c r="J1139" s="169" t="s">
        <v>87</v>
      </c>
      <c r="K1139" s="166" t="s">
        <v>79</v>
      </c>
      <c r="L1139" s="166" t="s">
        <v>123</v>
      </c>
      <c r="M1139" s="166">
        <v>3.0</v>
      </c>
      <c r="N1139" s="170">
        <v>0.0</v>
      </c>
      <c r="O1139" s="171">
        <v>194.48</v>
      </c>
      <c r="P1139" s="171">
        <v>192.53519999999997</v>
      </c>
      <c r="Q1139" s="172">
        <v>0.0</v>
      </c>
      <c r="R1139" s="173">
        <v>385.07039999999995</v>
      </c>
      <c r="S1139" s="173">
        <v>0.0</v>
      </c>
      <c r="T1139" s="173">
        <v>388.96</v>
      </c>
      <c r="U1139" s="174" t="s">
        <v>2416</v>
      </c>
      <c r="V1139" s="288">
        <v>45498.710497685184</v>
      </c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</row>
    <row r="1140">
      <c r="A1140" s="276">
        <v>45499.0</v>
      </c>
      <c r="B1140" s="252">
        <v>5953266.0</v>
      </c>
      <c r="C1140" s="253" t="s">
        <v>82</v>
      </c>
      <c r="D1140" s="253" t="s">
        <v>94</v>
      </c>
      <c r="E1140" s="252">
        <v>5953266.0</v>
      </c>
      <c r="F1140" s="253" t="s">
        <v>2940</v>
      </c>
      <c r="G1140" s="276">
        <v>45500.0</v>
      </c>
      <c r="H1140" s="277">
        <v>45501.0</v>
      </c>
      <c r="I1140" s="278">
        <v>1.0</v>
      </c>
      <c r="J1140" s="257" t="s">
        <v>87</v>
      </c>
      <c r="K1140" s="253" t="s">
        <v>79</v>
      </c>
      <c r="L1140" s="253" t="s">
        <v>1811</v>
      </c>
      <c r="M1140" s="252">
        <v>2.0</v>
      </c>
      <c r="N1140" s="258">
        <v>0.0</v>
      </c>
      <c r="O1140" s="259">
        <v>90.44</v>
      </c>
      <c r="P1140" s="259">
        <v>89.5356</v>
      </c>
      <c r="Q1140" s="262">
        <v>0.0</v>
      </c>
      <c r="R1140" s="260">
        <v>89.5356</v>
      </c>
      <c r="S1140" s="260">
        <v>0.0</v>
      </c>
      <c r="T1140" s="260">
        <v>90.44</v>
      </c>
      <c r="U1140" s="261" t="s">
        <v>1812</v>
      </c>
      <c r="V1140" s="279">
        <v>45499.82972222222</v>
      </c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</row>
    <row r="1141">
      <c r="A1141" s="276">
        <v>45499.0</v>
      </c>
      <c r="B1141" s="252">
        <v>5950295.0</v>
      </c>
      <c r="C1141" s="253" t="s">
        <v>82</v>
      </c>
      <c r="D1141" s="253" t="s">
        <v>94</v>
      </c>
      <c r="E1141" s="252">
        <v>4.52846899E8</v>
      </c>
      <c r="F1141" s="253" t="s">
        <v>2431</v>
      </c>
      <c r="G1141" s="276">
        <v>45552.0</v>
      </c>
      <c r="H1141" s="277">
        <v>45553.0</v>
      </c>
      <c r="I1141" s="278">
        <v>1.0</v>
      </c>
      <c r="J1141" s="257" t="s">
        <v>114</v>
      </c>
      <c r="K1141" s="253" t="s">
        <v>79</v>
      </c>
      <c r="L1141" s="253" t="s">
        <v>3459</v>
      </c>
      <c r="M1141" s="252">
        <v>2.0</v>
      </c>
      <c r="N1141" s="258">
        <v>0.0</v>
      </c>
      <c r="O1141" s="259">
        <v>170.0</v>
      </c>
      <c r="P1141" s="259">
        <v>168.3</v>
      </c>
      <c r="Q1141" s="257">
        <v>0.0</v>
      </c>
      <c r="R1141" s="260">
        <v>168.3</v>
      </c>
      <c r="S1141" s="260">
        <v>0.0</v>
      </c>
      <c r="T1141" s="260">
        <v>170.0</v>
      </c>
      <c r="U1141" s="261" t="s">
        <v>3460</v>
      </c>
      <c r="V1141" s="279">
        <v>45499.163240740745</v>
      </c>
      <c r="W1141" s="35"/>
      <c r="X1141" s="35"/>
      <c r="Y1141" s="35"/>
      <c r="Z1141" s="35"/>
      <c r="AA1141" s="35"/>
      <c r="AB1141" s="35"/>
      <c r="AC1141" s="35"/>
      <c r="AD1141" s="35"/>
      <c r="AE1141" s="35"/>
      <c r="AF1141" s="35"/>
      <c r="AG1141" s="35"/>
      <c r="AH1141" s="35"/>
      <c r="AI1141" s="35"/>
    </row>
    <row r="1142">
      <c r="A1142" s="210">
        <v>45500.0</v>
      </c>
      <c r="B1142" s="166">
        <v>5955345.0</v>
      </c>
      <c r="C1142" s="166" t="s">
        <v>89</v>
      </c>
      <c r="D1142" s="166" t="s">
        <v>35</v>
      </c>
      <c r="E1142" s="166">
        <v>4.858656986E9</v>
      </c>
      <c r="F1142" s="166" t="s">
        <v>3505</v>
      </c>
      <c r="G1142" s="210">
        <v>45506.0</v>
      </c>
      <c r="H1142" s="287">
        <v>45509.0</v>
      </c>
      <c r="I1142" s="168">
        <v>3.0</v>
      </c>
      <c r="J1142" s="169" t="s">
        <v>78</v>
      </c>
      <c r="K1142" s="166" t="s">
        <v>79</v>
      </c>
      <c r="L1142" s="166" t="s">
        <v>2803</v>
      </c>
      <c r="M1142" s="205">
        <v>3.0</v>
      </c>
      <c r="N1142" s="170">
        <v>0.0</v>
      </c>
      <c r="O1142" s="171">
        <v>0.0</v>
      </c>
      <c r="P1142" s="171">
        <v>0.0</v>
      </c>
      <c r="Q1142" s="169">
        <v>0.0</v>
      </c>
      <c r="R1142" s="173">
        <v>0.0</v>
      </c>
      <c r="S1142" s="173">
        <v>0.0</v>
      </c>
      <c r="T1142" s="173">
        <v>0.0</v>
      </c>
      <c r="U1142" s="174" t="s">
        <v>3506</v>
      </c>
      <c r="V1142" s="288">
        <v>45500.48546296296</v>
      </c>
      <c r="W1142" s="188"/>
      <c r="X1142" s="188"/>
      <c r="Y1142" s="188"/>
      <c r="Z1142" s="188"/>
      <c r="AA1142" s="188"/>
      <c r="AB1142" s="188"/>
      <c r="AC1142" s="188"/>
      <c r="AD1142" s="188"/>
      <c r="AE1142" s="188"/>
      <c r="AF1142" s="188"/>
      <c r="AG1142" s="188"/>
      <c r="AH1142" s="188"/>
      <c r="AI1142" s="188"/>
    </row>
    <row r="1143">
      <c r="A1143" s="210">
        <v>45501.0</v>
      </c>
      <c r="B1143" s="166">
        <v>5959165.0</v>
      </c>
      <c r="C1143" s="166" t="s">
        <v>82</v>
      </c>
      <c r="D1143" s="166" t="s">
        <v>35</v>
      </c>
      <c r="E1143" s="166">
        <v>4.495719352E9</v>
      </c>
      <c r="F1143" s="166" t="s">
        <v>3507</v>
      </c>
      <c r="G1143" s="210">
        <v>45503.0</v>
      </c>
      <c r="H1143" s="287">
        <v>45507.0</v>
      </c>
      <c r="I1143" s="168">
        <v>4.0</v>
      </c>
      <c r="J1143" s="169" t="s">
        <v>87</v>
      </c>
      <c r="K1143" s="166" t="s">
        <v>79</v>
      </c>
      <c r="L1143" s="166" t="s">
        <v>2803</v>
      </c>
      <c r="M1143" s="205">
        <v>2.0</v>
      </c>
      <c r="N1143" s="170">
        <v>0.0</v>
      </c>
      <c r="O1143" s="171">
        <v>98.9</v>
      </c>
      <c r="P1143" s="171">
        <v>79.12</v>
      </c>
      <c r="Q1143" s="172">
        <v>0.0</v>
      </c>
      <c r="R1143" s="173">
        <v>316.48</v>
      </c>
      <c r="S1143" s="173">
        <v>0.0</v>
      </c>
      <c r="T1143" s="173">
        <v>395.6</v>
      </c>
      <c r="U1143" s="201" t="s">
        <v>2804</v>
      </c>
      <c r="V1143" s="288">
        <v>45501.47508101852</v>
      </c>
      <c r="W1143" s="188"/>
      <c r="X1143" s="188"/>
      <c r="Y1143" s="188"/>
      <c r="Z1143" s="188"/>
      <c r="AA1143" s="188"/>
      <c r="AB1143" s="188"/>
      <c r="AC1143" s="188"/>
      <c r="AD1143" s="188"/>
      <c r="AE1143" s="188"/>
      <c r="AF1143" s="188"/>
      <c r="AG1143" s="188"/>
      <c r="AH1143" s="188"/>
      <c r="AI1143" s="188"/>
    </row>
    <row r="1144">
      <c r="A1144" s="210">
        <v>45501.0</v>
      </c>
      <c r="B1144" s="166">
        <v>5961696.0</v>
      </c>
      <c r="C1144" s="166" t="s">
        <v>82</v>
      </c>
      <c r="D1144" s="166" t="s">
        <v>35</v>
      </c>
      <c r="E1144" s="166">
        <v>4.815330875E9</v>
      </c>
      <c r="F1144" s="166" t="s">
        <v>3508</v>
      </c>
      <c r="G1144" s="210">
        <v>45506.0</v>
      </c>
      <c r="H1144" s="287">
        <v>45508.0</v>
      </c>
      <c r="I1144" s="168">
        <v>2.0</v>
      </c>
      <c r="J1144" s="169" t="s">
        <v>111</v>
      </c>
      <c r="K1144" s="166" t="s">
        <v>79</v>
      </c>
      <c r="L1144" s="166" t="s">
        <v>2803</v>
      </c>
      <c r="M1144" s="205">
        <v>2.0</v>
      </c>
      <c r="N1144" s="170">
        <v>0.0</v>
      </c>
      <c r="O1144" s="171">
        <v>152.34</v>
      </c>
      <c r="P1144" s="171">
        <v>121.87200000000001</v>
      </c>
      <c r="Q1144" s="172">
        <v>0.0</v>
      </c>
      <c r="R1144" s="173">
        <v>243.74400000000003</v>
      </c>
      <c r="S1144" s="173">
        <v>0.0</v>
      </c>
      <c r="T1144" s="260">
        <v>304.68</v>
      </c>
      <c r="U1144" s="261" t="s">
        <v>2804</v>
      </c>
      <c r="V1144" s="279">
        <v>45501.96047453704</v>
      </c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</row>
    <row r="1145">
      <c r="A1145" s="210">
        <v>45502.0</v>
      </c>
      <c r="B1145" s="166">
        <v>5964886.0</v>
      </c>
      <c r="C1145" s="166" t="s">
        <v>82</v>
      </c>
      <c r="D1145" s="166" t="s">
        <v>94</v>
      </c>
      <c r="E1145" s="166">
        <v>4.815318587E9</v>
      </c>
      <c r="F1145" s="166" t="s">
        <v>3509</v>
      </c>
      <c r="G1145" s="210">
        <v>45503.0</v>
      </c>
      <c r="H1145" s="287">
        <v>45506.0</v>
      </c>
      <c r="I1145" s="168">
        <v>3.0</v>
      </c>
      <c r="J1145" s="169" t="s">
        <v>111</v>
      </c>
      <c r="K1145" s="166" t="s">
        <v>79</v>
      </c>
      <c r="L1145" s="166" t="s">
        <v>2803</v>
      </c>
      <c r="M1145" s="166">
        <v>3.0</v>
      </c>
      <c r="N1145" s="170">
        <v>0.0</v>
      </c>
      <c r="O1145" s="171">
        <v>114.68</v>
      </c>
      <c r="P1145" s="171">
        <v>113.53320000000001</v>
      </c>
      <c r="Q1145" s="169">
        <v>0.0</v>
      </c>
      <c r="R1145" s="173">
        <v>340.5996</v>
      </c>
      <c r="S1145" s="173">
        <v>0.0</v>
      </c>
      <c r="T1145" s="173">
        <v>344.04</v>
      </c>
      <c r="U1145" s="174" t="s">
        <v>2804</v>
      </c>
      <c r="V1145" s="288">
        <v>45502.788935185185</v>
      </c>
      <c r="W1145" s="35"/>
      <c r="X1145" s="35"/>
      <c r="Y1145" s="35"/>
      <c r="Z1145" s="35"/>
      <c r="AA1145" s="35"/>
      <c r="AB1145" s="35"/>
      <c r="AC1145" s="35"/>
      <c r="AD1145" s="35"/>
      <c r="AE1145" s="35"/>
      <c r="AF1145" s="35"/>
      <c r="AG1145" s="35"/>
      <c r="AH1145" s="35"/>
      <c r="AI1145" s="35"/>
    </row>
    <row r="1146">
      <c r="A1146" s="210">
        <v>45502.0</v>
      </c>
      <c r="B1146" s="166">
        <v>5965575.0</v>
      </c>
      <c r="C1146" s="166" t="s">
        <v>82</v>
      </c>
      <c r="D1146" s="166" t="s">
        <v>94</v>
      </c>
      <c r="E1146" s="166">
        <v>5965575.0</v>
      </c>
      <c r="F1146" s="166" t="s">
        <v>3510</v>
      </c>
      <c r="G1146" s="212">
        <v>45606.0</v>
      </c>
      <c r="H1146" s="310">
        <v>45609.0</v>
      </c>
      <c r="I1146" s="168">
        <v>3.0</v>
      </c>
      <c r="J1146" s="169" t="s">
        <v>78</v>
      </c>
      <c r="K1146" s="166" t="s">
        <v>79</v>
      </c>
      <c r="L1146" s="166" t="s">
        <v>1462</v>
      </c>
      <c r="M1146" s="166">
        <v>1.0</v>
      </c>
      <c r="N1146" s="169">
        <v>0.0</v>
      </c>
      <c r="O1146" s="171">
        <v>117.7</v>
      </c>
      <c r="P1146" s="171">
        <v>116.523</v>
      </c>
      <c r="Q1146" s="169">
        <v>0.0</v>
      </c>
      <c r="R1146" s="173">
        <v>349.569</v>
      </c>
      <c r="S1146" s="173">
        <v>0.0</v>
      </c>
      <c r="T1146" s="173">
        <v>1229.4</v>
      </c>
      <c r="U1146" s="201" t="s">
        <v>1463</v>
      </c>
      <c r="V1146" s="288">
        <v>45502.90388888889</v>
      </c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</row>
    <row r="1147">
      <c r="A1147" s="210">
        <v>45502.0</v>
      </c>
      <c r="B1147" s="166">
        <v>5965575.0</v>
      </c>
      <c r="C1147" s="166" t="s">
        <v>82</v>
      </c>
      <c r="D1147" s="166" t="s">
        <v>94</v>
      </c>
      <c r="E1147" s="166">
        <v>5965575.0</v>
      </c>
      <c r="F1147" s="166" t="s">
        <v>3510</v>
      </c>
      <c r="G1147" s="212">
        <v>45606.0</v>
      </c>
      <c r="H1147" s="310">
        <v>45609.0</v>
      </c>
      <c r="I1147" s="168">
        <v>3.0</v>
      </c>
      <c r="J1147" s="169" t="s">
        <v>91</v>
      </c>
      <c r="K1147" s="166" t="s">
        <v>79</v>
      </c>
      <c r="L1147" s="166" t="s">
        <v>1462</v>
      </c>
      <c r="M1147" s="166">
        <v>1.0</v>
      </c>
      <c r="N1147" s="170">
        <v>0.0</v>
      </c>
      <c r="O1147" s="171">
        <v>292.09999999999997</v>
      </c>
      <c r="P1147" s="171">
        <v>289.179</v>
      </c>
      <c r="Q1147" s="172">
        <v>0.0</v>
      </c>
      <c r="R1147" s="173">
        <v>867.5369999999999</v>
      </c>
      <c r="S1147" s="173">
        <v>0.0</v>
      </c>
      <c r="T1147" s="173">
        <v>1229.4</v>
      </c>
      <c r="U1147" s="174" t="s">
        <v>1463</v>
      </c>
      <c r="V1147" s="288">
        <v>45502.90388888889</v>
      </c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</row>
    <row r="1148">
      <c r="A1148" s="210">
        <v>45502.0</v>
      </c>
      <c r="B1148" s="166">
        <v>5964057.0</v>
      </c>
      <c r="C1148" s="166" t="s">
        <v>82</v>
      </c>
      <c r="D1148" s="166" t="s">
        <v>94</v>
      </c>
      <c r="E1148" s="166">
        <v>5964057.0</v>
      </c>
      <c r="F1148" s="166" t="s">
        <v>3511</v>
      </c>
      <c r="G1148" s="212">
        <v>45625.0</v>
      </c>
      <c r="H1148" s="287">
        <v>45627.0</v>
      </c>
      <c r="I1148" s="168">
        <v>2.0</v>
      </c>
      <c r="J1148" s="169" t="s">
        <v>78</v>
      </c>
      <c r="K1148" s="166" t="s">
        <v>79</v>
      </c>
      <c r="L1148" s="166" t="s">
        <v>1462</v>
      </c>
      <c r="M1148" s="166">
        <v>2.0</v>
      </c>
      <c r="N1148" s="170">
        <v>0.0</v>
      </c>
      <c r="O1148" s="171">
        <v>120.2</v>
      </c>
      <c r="P1148" s="171">
        <v>118.998</v>
      </c>
      <c r="Q1148" s="169">
        <v>0.0</v>
      </c>
      <c r="R1148" s="173">
        <v>237.996</v>
      </c>
      <c r="S1148" s="173">
        <v>0.0</v>
      </c>
      <c r="T1148" s="173">
        <v>1553.12</v>
      </c>
      <c r="U1148" s="201" t="s">
        <v>1463</v>
      </c>
      <c r="V1148" s="288">
        <v>45502.65659722222</v>
      </c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</row>
    <row r="1149">
      <c r="A1149" s="210">
        <v>45502.0</v>
      </c>
      <c r="B1149" s="166">
        <v>5964057.0</v>
      </c>
      <c r="C1149" s="166" t="s">
        <v>82</v>
      </c>
      <c r="D1149" s="166" t="s">
        <v>94</v>
      </c>
      <c r="E1149" s="166">
        <v>5964057.0</v>
      </c>
      <c r="F1149" s="166" t="s">
        <v>3511</v>
      </c>
      <c r="G1149" s="212">
        <v>45625.0</v>
      </c>
      <c r="H1149" s="287">
        <v>45627.0</v>
      </c>
      <c r="I1149" s="168">
        <v>2.0</v>
      </c>
      <c r="J1149" s="169" t="s">
        <v>78</v>
      </c>
      <c r="K1149" s="166" t="s">
        <v>79</v>
      </c>
      <c r="L1149" s="166" t="s">
        <v>1462</v>
      </c>
      <c r="M1149" s="205">
        <v>2.0</v>
      </c>
      <c r="N1149" s="170">
        <v>0.0</v>
      </c>
      <c r="O1149" s="171">
        <v>120.2</v>
      </c>
      <c r="P1149" s="171">
        <v>118.998</v>
      </c>
      <c r="Q1149" s="172">
        <v>0.0</v>
      </c>
      <c r="R1149" s="173">
        <v>237.996</v>
      </c>
      <c r="S1149" s="173">
        <v>0.0</v>
      </c>
      <c r="T1149" s="173">
        <v>1553.12</v>
      </c>
      <c r="U1149" s="174" t="s">
        <v>1463</v>
      </c>
      <c r="V1149" s="288">
        <v>45502.65659722222</v>
      </c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</row>
    <row r="1150">
      <c r="A1150" s="210">
        <v>45502.0</v>
      </c>
      <c r="B1150" s="166">
        <v>5964057.0</v>
      </c>
      <c r="C1150" s="166" t="s">
        <v>82</v>
      </c>
      <c r="D1150" s="166" t="s">
        <v>94</v>
      </c>
      <c r="E1150" s="166">
        <v>5964057.0</v>
      </c>
      <c r="F1150" s="166" t="s">
        <v>3511</v>
      </c>
      <c r="G1150" s="212">
        <v>45625.0</v>
      </c>
      <c r="H1150" s="287">
        <v>45627.0</v>
      </c>
      <c r="I1150" s="168">
        <v>2.0</v>
      </c>
      <c r="J1150" s="169" t="s">
        <v>78</v>
      </c>
      <c r="K1150" s="166" t="s">
        <v>79</v>
      </c>
      <c r="L1150" s="166" t="s">
        <v>1462</v>
      </c>
      <c r="M1150" s="166">
        <v>2.0</v>
      </c>
      <c r="N1150" s="170">
        <v>0.0</v>
      </c>
      <c r="O1150" s="171">
        <v>120.2</v>
      </c>
      <c r="P1150" s="171">
        <v>118.998</v>
      </c>
      <c r="Q1150" s="172">
        <v>0.0</v>
      </c>
      <c r="R1150" s="173">
        <v>237.996</v>
      </c>
      <c r="S1150" s="173">
        <v>0.0</v>
      </c>
      <c r="T1150" s="173">
        <v>1553.12</v>
      </c>
      <c r="U1150" s="174" t="s">
        <v>1463</v>
      </c>
      <c r="V1150" s="288">
        <v>45502.65659722222</v>
      </c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</row>
    <row r="1151">
      <c r="A1151" s="210">
        <v>45502.0</v>
      </c>
      <c r="B1151" s="166">
        <v>5964057.0</v>
      </c>
      <c r="C1151" s="166" t="s">
        <v>82</v>
      </c>
      <c r="D1151" s="166" t="s">
        <v>94</v>
      </c>
      <c r="E1151" s="166">
        <v>5964057.0</v>
      </c>
      <c r="F1151" s="166" t="s">
        <v>3511</v>
      </c>
      <c r="G1151" s="212">
        <v>45625.0</v>
      </c>
      <c r="H1151" s="287">
        <v>45627.0</v>
      </c>
      <c r="I1151" s="168">
        <v>2.0</v>
      </c>
      <c r="J1151" s="169" t="s">
        <v>114</v>
      </c>
      <c r="K1151" s="166" t="s">
        <v>79</v>
      </c>
      <c r="L1151" s="166" t="s">
        <v>1462</v>
      </c>
      <c r="M1151" s="166">
        <v>2.0</v>
      </c>
      <c r="N1151" s="170">
        <v>0.0</v>
      </c>
      <c r="O1151" s="171">
        <v>133.0</v>
      </c>
      <c r="P1151" s="171">
        <v>131.67</v>
      </c>
      <c r="Q1151" s="172">
        <v>0.0</v>
      </c>
      <c r="R1151" s="173">
        <v>263.34</v>
      </c>
      <c r="S1151" s="173">
        <v>0.0</v>
      </c>
      <c r="T1151" s="260">
        <v>1553.12</v>
      </c>
      <c r="U1151" s="261" t="s">
        <v>1463</v>
      </c>
      <c r="V1151" s="279">
        <v>45502.65659722222</v>
      </c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</row>
    <row r="1152">
      <c r="A1152" s="276">
        <v>45502.0</v>
      </c>
      <c r="B1152" s="252">
        <v>5964057.0</v>
      </c>
      <c r="C1152" s="253" t="s">
        <v>82</v>
      </c>
      <c r="D1152" s="253" t="s">
        <v>94</v>
      </c>
      <c r="E1152" s="252">
        <v>5964057.0</v>
      </c>
      <c r="F1152" s="253" t="s">
        <v>3511</v>
      </c>
      <c r="G1152" s="304">
        <v>45625.0</v>
      </c>
      <c r="H1152" s="277">
        <v>45627.0</v>
      </c>
      <c r="I1152" s="278">
        <v>2.0</v>
      </c>
      <c r="J1152" s="257" t="s">
        <v>114</v>
      </c>
      <c r="K1152" s="253" t="s">
        <v>79</v>
      </c>
      <c r="L1152" s="253" t="s">
        <v>1462</v>
      </c>
      <c r="M1152" s="252">
        <v>2.0</v>
      </c>
      <c r="N1152" s="258">
        <v>0.0</v>
      </c>
      <c r="O1152" s="259">
        <v>133.0</v>
      </c>
      <c r="P1152" s="259">
        <v>131.67</v>
      </c>
      <c r="Q1152" s="262">
        <v>0.0</v>
      </c>
      <c r="R1152" s="260">
        <v>263.34</v>
      </c>
      <c r="S1152" s="260">
        <v>0.0</v>
      </c>
      <c r="T1152" s="260">
        <v>1553.12</v>
      </c>
      <c r="U1152" s="261" t="s">
        <v>1463</v>
      </c>
      <c r="V1152" s="279">
        <v>45502.65659722222</v>
      </c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</row>
    <row r="1153">
      <c r="A1153" s="289">
        <v>45502.0</v>
      </c>
      <c r="B1153" s="290">
        <v>5964057.0</v>
      </c>
      <c r="C1153" s="291" t="s">
        <v>82</v>
      </c>
      <c r="D1153" s="291" t="s">
        <v>94</v>
      </c>
      <c r="E1153" s="290">
        <v>5964057.0</v>
      </c>
      <c r="F1153" s="291" t="s">
        <v>3511</v>
      </c>
      <c r="G1153" s="303">
        <v>45625.0</v>
      </c>
      <c r="H1153" s="292">
        <v>45627.0</v>
      </c>
      <c r="I1153" s="293">
        <v>2.0</v>
      </c>
      <c r="J1153" s="294" t="s">
        <v>111</v>
      </c>
      <c r="K1153" s="291" t="s">
        <v>79</v>
      </c>
      <c r="L1153" s="291" t="s">
        <v>1462</v>
      </c>
      <c r="M1153" s="300">
        <v>2.0</v>
      </c>
      <c r="N1153" s="295">
        <v>0.0</v>
      </c>
      <c r="O1153" s="296">
        <v>149.96</v>
      </c>
      <c r="P1153" s="296">
        <v>148.4604</v>
      </c>
      <c r="Q1153" s="301">
        <v>0.0</v>
      </c>
      <c r="R1153" s="297">
        <v>296.9208</v>
      </c>
      <c r="S1153" s="297">
        <v>0.0</v>
      </c>
      <c r="T1153" s="297">
        <v>1553.12</v>
      </c>
      <c r="U1153" s="298" t="s">
        <v>1463</v>
      </c>
      <c r="V1153" s="299">
        <v>45502.65659722222</v>
      </c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</row>
    <row r="1154">
      <c r="A1154" s="210">
        <v>45503.0</v>
      </c>
      <c r="B1154" s="166">
        <v>5967905.0</v>
      </c>
      <c r="C1154" s="166" t="s">
        <v>82</v>
      </c>
      <c r="D1154" s="166" t="s">
        <v>94</v>
      </c>
      <c r="E1154" s="166">
        <v>5967905.0</v>
      </c>
      <c r="F1154" s="166" t="s">
        <v>3502</v>
      </c>
      <c r="G1154" s="210">
        <v>45525.0</v>
      </c>
      <c r="H1154" s="287">
        <v>45526.0</v>
      </c>
      <c r="I1154" s="168">
        <v>1.0</v>
      </c>
      <c r="J1154" s="169" t="s">
        <v>87</v>
      </c>
      <c r="K1154" s="166" t="s">
        <v>79</v>
      </c>
      <c r="L1154" s="166" t="s">
        <v>1462</v>
      </c>
      <c r="M1154" s="166">
        <v>1.0</v>
      </c>
      <c r="N1154" s="170">
        <v>0.0</v>
      </c>
      <c r="O1154" s="171">
        <v>87.94</v>
      </c>
      <c r="P1154" s="171">
        <v>87.0606</v>
      </c>
      <c r="Q1154" s="172">
        <v>0.0</v>
      </c>
      <c r="R1154" s="173">
        <v>87.0606</v>
      </c>
      <c r="S1154" s="173">
        <v>0.0</v>
      </c>
      <c r="T1154" s="173">
        <v>87.94</v>
      </c>
      <c r="U1154" s="174" t="s">
        <v>1463</v>
      </c>
      <c r="V1154" s="288">
        <v>45503.5453125</v>
      </c>
      <c r="W1154" s="188"/>
      <c r="X1154" s="188"/>
      <c r="Y1154" s="188"/>
      <c r="Z1154" s="188"/>
      <c r="AA1154" s="188"/>
      <c r="AB1154" s="188"/>
      <c r="AC1154" s="188"/>
      <c r="AD1154" s="188"/>
      <c r="AE1154" s="188"/>
      <c r="AF1154" s="188"/>
      <c r="AG1154" s="188"/>
      <c r="AH1154" s="188"/>
      <c r="AI1154" s="188"/>
    </row>
    <row r="1155">
      <c r="A1155" s="280">
        <v>45503.0</v>
      </c>
      <c r="B1155" s="264">
        <v>5967899.0</v>
      </c>
      <c r="C1155" s="265" t="s">
        <v>82</v>
      </c>
      <c r="D1155" s="265" t="s">
        <v>94</v>
      </c>
      <c r="E1155" s="264">
        <v>5967899.0</v>
      </c>
      <c r="F1155" s="265" t="s">
        <v>3502</v>
      </c>
      <c r="G1155" s="280">
        <v>45522.0</v>
      </c>
      <c r="H1155" s="281">
        <v>45523.0</v>
      </c>
      <c r="I1155" s="282">
        <v>1.0</v>
      </c>
      <c r="J1155" s="283" t="s">
        <v>114</v>
      </c>
      <c r="K1155" s="265" t="s">
        <v>79</v>
      </c>
      <c r="L1155" s="265" t="s">
        <v>1462</v>
      </c>
      <c r="M1155" s="269">
        <v>1.0</v>
      </c>
      <c r="N1155" s="283">
        <v>0.0</v>
      </c>
      <c r="O1155" s="271">
        <v>134.66</v>
      </c>
      <c r="P1155" s="271">
        <v>133.3134</v>
      </c>
      <c r="Q1155" s="283">
        <v>0.0</v>
      </c>
      <c r="R1155" s="273">
        <v>133.3134</v>
      </c>
      <c r="S1155" s="273">
        <v>0.0</v>
      </c>
      <c r="T1155" s="260">
        <v>134.66</v>
      </c>
      <c r="U1155" s="261" t="s">
        <v>1463</v>
      </c>
      <c r="V1155" s="279">
        <v>45503.54454861111</v>
      </c>
      <c r="W1155" s="188"/>
      <c r="X1155" s="188"/>
      <c r="Y1155" s="188"/>
      <c r="Z1155" s="188"/>
      <c r="AA1155" s="188"/>
      <c r="AB1155" s="188"/>
      <c r="AC1155" s="188"/>
      <c r="AD1155" s="188"/>
      <c r="AE1155" s="188"/>
      <c r="AF1155" s="188"/>
      <c r="AG1155" s="188"/>
      <c r="AH1155" s="188"/>
      <c r="AI1155" s="188"/>
    </row>
    <row r="1156">
      <c r="A1156" s="210">
        <v>45503.0</v>
      </c>
      <c r="B1156" s="166">
        <v>5967894.0</v>
      </c>
      <c r="C1156" s="166" t="s">
        <v>82</v>
      </c>
      <c r="D1156" s="166" t="s">
        <v>94</v>
      </c>
      <c r="E1156" s="166">
        <v>5967894.0</v>
      </c>
      <c r="F1156" s="166" t="s">
        <v>3502</v>
      </c>
      <c r="G1156" s="210">
        <v>45521.0</v>
      </c>
      <c r="H1156" s="287">
        <v>45522.0</v>
      </c>
      <c r="I1156" s="168">
        <v>1.0</v>
      </c>
      <c r="J1156" s="169" t="s">
        <v>87</v>
      </c>
      <c r="K1156" s="166" t="s">
        <v>79</v>
      </c>
      <c r="L1156" s="166" t="s">
        <v>1462</v>
      </c>
      <c r="M1156" s="166">
        <v>1.0</v>
      </c>
      <c r="N1156" s="170">
        <v>0.0</v>
      </c>
      <c r="O1156" s="171">
        <v>87.94</v>
      </c>
      <c r="P1156" s="171">
        <v>87.0606</v>
      </c>
      <c r="Q1156" s="172">
        <v>0.0</v>
      </c>
      <c r="R1156" s="173">
        <v>87.0606</v>
      </c>
      <c r="S1156" s="173">
        <v>0.0</v>
      </c>
      <c r="T1156" s="173">
        <v>87.94</v>
      </c>
      <c r="U1156" s="201" t="s">
        <v>1463</v>
      </c>
      <c r="V1156" s="288">
        <v>45503.543692129635</v>
      </c>
      <c r="W1156" s="35"/>
      <c r="X1156" s="35"/>
      <c r="Y1156" s="35"/>
      <c r="Z1156" s="35"/>
      <c r="AA1156" s="35"/>
      <c r="AB1156" s="35"/>
      <c r="AC1156" s="35"/>
      <c r="AD1156" s="35"/>
      <c r="AE1156" s="35"/>
      <c r="AF1156" s="35"/>
      <c r="AG1156" s="35"/>
      <c r="AH1156" s="35"/>
      <c r="AI1156" s="35"/>
    </row>
    <row r="1157">
      <c r="A1157" s="210">
        <v>45503.0</v>
      </c>
      <c r="B1157" s="166">
        <v>5967876.0</v>
      </c>
      <c r="C1157" s="166" t="s">
        <v>82</v>
      </c>
      <c r="D1157" s="166" t="s">
        <v>94</v>
      </c>
      <c r="E1157" s="166">
        <v>5967876.0</v>
      </c>
      <c r="F1157" s="166" t="s">
        <v>3502</v>
      </c>
      <c r="G1157" s="210">
        <v>45523.0</v>
      </c>
      <c r="H1157" s="287">
        <v>45525.0</v>
      </c>
      <c r="I1157" s="168">
        <v>2.0</v>
      </c>
      <c r="J1157" s="169" t="s">
        <v>87</v>
      </c>
      <c r="K1157" s="166" t="s">
        <v>79</v>
      </c>
      <c r="L1157" s="166" t="s">
        <v>1462</v>
      </c>
      <c r="M1157" s="166">
        <v>1.0</v>
      </c>
      <c r="N1157" s="170">
        <v>0.0</v>
      </c>
      <c r="O1157" s="171">
        <v>87.94</v>
      </c>
      <c r="P1157" s="171">
        <v>87.0606</v>
      </c>
      <c r="Q1157" s="172">
        <v>0.0</v>
      </c>
      <c r="R1157" s="173">
        <v>174.1212</v>
      </c>
      <c r="S1157" s="173">
        <v>0.0</v>
      </c>
      <c r="T1157" s="173">
        <v>175.88</v>
      </c>
      <c r="U1157" s="174" t="s">
        <v>1463</v>
      </c>
      <c r="V1157" s="288">
        <v>45503.54133101852</v>
      </c>
      <c r="W1157" s="35"/>
      <c r="X1157" s="35"/>
      <c r="Y1157" s="35"/>
      <c r="Z1157" s="35"/>
      <c r="AA1157" s="35"/>
      <c r="AB1157" s="35"/>
      <c r="AC1157" s="35"/>
      <c r="AD1157" s="35"/>
      <c r="AE1157" s="35"/>
      <c r="AF1157" s="35"/>
      <c r="AG1157" s="35"/>
      <c r="AH1157" s="35"/>
      <c r="AI1157" s="35"/>
    </row>
    <row r="1158">
      <c r="A1158" s="210">
        <v>45503.0</v>
      </c>
      <c r="B1158" s="166">
        <v>5967006.0</v>
      </c>
      <c r="C1158" s="166" t="s">
        <v>82</v>
      </c>
      <c r="D1158" s="166" t="s">
        <v>35</v>
      </c>
      <c r="E1158" s="166">
        <v>4.801034645E9</v>
      </c>
      <c r="F1158" s="166" t="s">
        <v>3512</v>
      </c>
      <c r="G1158" s="210">
        <v>45551.0</v>
      </c>
      <c r="H1158" s="287">
        <v>45552.0</v>
      </c>
      <c r="I1158" s="168">
        <v>1.0</v>
      </c>
      <c r="J1158" s="169" t="s">
        <v>91</v>
      </c>
      <c r="K1158" s="166" t="s">
        <v>79</v>
      </c>
      <c r="L1158" s="166" t="s">
        <v>2803</v>
      </c>
      <c r="M1158" s="166">
        <v>4.0</v>
      </c>
      <c r="N1158" s="169">
        <v>0.0</v>
      </c>
      <c r="O1158" s="171">
        <v>371.26</v>
      </c>
      <c r="P1158" s="171">
        <v>297.008</v>
      </c>
      <c r="Q1158" s="169">
        <v>0.0</v>
      </c>
      <c r="R1158" s="173">
        <v>297.008</v>
      </c>
      <c r="S1158" s="173">
        <v>0.0</v>
      </c>
      <c r="T1158" s="173">
        <v>371.26</v>
      </c>
      <c r="U1158" s="174" t="s">
        <v>2804</v>
      </c>
      <c r="V1158" s="288">
        <v>45503.43475694444</v>
      </c>
      <c r="W1158" s="35"/>
      <c r="X1158" s="35"/>
      <c r="Y1158" s="35"/>
      <c r="Z1158" s="35"/>
      <c r="AA1158" s="35"/>
      <c r="AB1158" s="35"/>
      <c r="AC1158" s="35"/>
      <c r="AD1158" s="35"/>
      <c r="AE1158" s="35"/>
      <c r="AF1158" s="35"/>
      <c r="AG1158" s="35"/>
      <c r="AH1158" s="35"/>
      <c r="AI1158" s="35"/>
    </row>
    <row r="1159">
      <c r="A1159" s="280">
        <v>45503.0</v>
      </c>
      <c r="B1159" s="264">
        <v>5970140.0</v>
      </c>
      <c r="C1159" s="265" t="s">
        <v>82</v>
      </c>
      <c r="D1159" s="265" t="s">
        <v>35</v>
      </c>
      <c r="E1159" s="264">
        <v>4.631754384E9</v>
      </c>
      <c r="F1159" s="265" t="s">
        <v>3513</v>
      </c>
      <c r="G1159" s="305">
        <v>45579.0</v>
      </c>
      <c r="H1159" s="313">
        <v>45580.0</v>
      </c>
      <c r="I1159" s="282">
        <v>1.0</v>
      </c>
      <c r="J1159" s="283" t="s">
        <v>78</v>
      </c>
      <c r="K1159" s="265" t="s">
        <v>79</v>
      </c>
      <c r="L1159" s="265" t="s">
        <v>2798</v>
      </c>
      <c r="M1159" s="269">
        <v>2.0</v>
      </c>
      <c r="N1159" s="270">
        <v>0.0</v>
      </c>
      <c r="O1159" s="271">
        <v>170.76</v>
      </c>
      <c r="P1159" s="271">
        <v>136.608</v>
      </c>
      <c r="Q1159" s="272">
        <v>0.0</v>
      </c>
      <c r="R1159" s="273">
        <v>136.608</v>
      </c>
      <c r="S1159" s="273">
        <v>0.0</v>
      </c>
      <c r="T1159" s="273">
        <v>170.76</v>
      </c>
      <c r="U1159" s="274" t="s">
        <v>2800</v>
      </c>
      <c r="V1159" s="284">
        <v>45503.932025462964</v>
      </c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</row>
    <row r="1160">
      <c r="A1160" s="280">
        <v>45503.0</v>
      </c>
      <c r="B1160" s="264">
        <v>5968251.0</v>
      </c>
      <c r="C1160" s="265" t="s">
        <v>82</v>
      </c>
      <c r="D1160" s="265" t="s">
        <v>35</v>
      </c>
      <c r="E1160" s="264">
        <v>4.804004209E9</v>
      </c>
      <c r="F1160" s="265" t="s">
        <v>3514</v>
      </c>
      <c r="G1160" s="305">
        <v>45581.0</v>
      </c>
      <c r="H1160" s="313">
        <v>45583.0</v>
      </c>
      <c r="I1160" s="282">
        <v>2.0</v>
      </c>
      <c r="J1160" s="283" t="s">
        <v>78</v>
      </c>
      <c r="K1160" s="265" t="s">
        <v>79</v>
      </c>
      <c r="L1160" s="265" t="s">
        <v>2803</v>
      </c>
      <c r="M1160" s="269">
        <v>2.0</v>
      </c>
      <c r="N1160" s="270">
        <v>0.0</v>
      </c>
      <c r="O1160" s="271">
        <v>135.05</v>
      </c>
      <c r="P1160" s="271">
        <v>108.04000000000002</v>
      </c>
      <c r="Q1160" s="272">
        <v>0.0</v>
      </c>
      <c r="R1160" s="273">
        <v>216.08000000000004</v>
      </c>
      <c r="S1160" s="273">
        <v>0.0</v>
      </c>
      <c r="T1160" s="273">
        <v>270.1</v>
      </c>
      <c r="U1160" s="274" t="s">
        <v>2804</v>
      </c>
      <c r="V1160" s="284">
        <v>45503.60214120371</v>
      </c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</row>
    <row r="1161">
      <c r="A1161" s="276">
        <v>45504.0</v>
      </c>
      <c r="B1161" s="252">
        <v>5973133.0</v>
      </c>
      <c r="C1161" s="253" t="s">
        <v>82</v>
      </c>
      <c r="D1161" s="253" t="s">
        <v>94</v>
      </c>
      <c r="E1161" s="252">
        <v>5973133.0</v>
      </c>
      <c r="F1161" s="253" t="s">
        <v>3515</v>
      </c>
      <c r="G1161" s="276">
        <v>45505.0</v>
      </c>
      <c r="H1161" s="277">
        <v>45506.0</v>
      </c>
      <c r="I1161" s="278">
        <v>1.0</v>
      </c>
      <c r="J1161" s="257" t="s">
        <v>91</v>
      </c>
      <c r="K1161" s="253" t="s">
        <v>79</v>
      </c>
      <c r="L1161" s="253" t="s">
        <v>1462</v>
      </c>
      <c r="M1161" s="252">
        <v>4.0</v>
      </c>
      <c r="N1161" s="258">
        <v>0.0</v>
      </c>
      <c r="O1161" s="259">
        <v>274.32</v>
      </c>
      <c r="P1161" s="259">
        <v>271.5768</v>
      </c>
      <c r="Q1161" s="257">
        <v>0.0</v>
      </c>
      <c r="R1161" s="260">
        <v>271.5768</v>
      </c>
      <c r="S1161" s="260">
        <v>0.0</v>
      </c>
      <c r="T1161" s="273">
        <v>274.32</v>
      </c>
      <c r="U1161" s="274" t="s">
        <v>1463</v>
      </c>
      <c r="V1161" s="284">
        <v>45504.68597222222</v>
      </c>
      <c r="W1161" s="35"/>
      <c r="X1161" s="35"/>
      <c r="Y1161" s="35"/>
      <c r="Z1161" s="35"/>
      <c r="AA1161" s="35"/>
      <c r="AB1161" s="35"/>
      <c r="AC1161" s="35"/>
      <c r="AD1161" s="35"/>
      <c r="AE1161" s="35"/>
      <c r="AF1161" s="35"/>
      <c r="AG1161" s="35"/>
      <c r="AH1161" s="35"/>
      <c r="AI1161" s="35"/>
    </row>
    <row r="1162">
      <c r="A1162" s="276">
        <v>45505.0</v>
      </c>
      <c r="B1162" s="252">
        <v>5975976.0</v>
      </c>
      <c r="C1162" s="253" t="s">
        <v>82</v>
      </c>
      <c r="D1162" s="253" t="s">
        <v>94</v>
      </c>
      <c r="E1162" s="252">
        <v>5975976.0</v>
      </c>
      <c r="F1162" s="253" t="s">
        <v>3516</v>
      </c>
      <c r="G1162" s="276">
        <v>45512.0</v>
      </c>
      <c r="H1162" s="277">
        <v>45515.0</v>
      </c>
      <c r="I1162" s="278">
        <v>3.0</v>
      </c>
      <c r="J1162" s="257" t="s">
        <v>78</v>
      </c>
      <c r="K1162" s="253" t="s">
        <v>79</v>
      </c>
      <c r="L1162" s="253" t="s">
        <v>1811</v>
      </c>
      <c r="M1162" s="275">
        <v>2.0</v>
      </c>
      <c r="N1162" s="258">
        <v>0.0</v>
      </c>
      <c r="O1162" s="259">
        <v>107.39999999999999</v>
      </c>
      <c r="P1162" s="259">
        <v>106.326</v>
      </c>
      <c r="Q1162" s="262">
        <v>0.0</v>
      </c>
      <c r="R1162" s="260">
        <v>318.978</v>
      </c>
      <c r="S1162" s="260">
        <v>0.0</v>
      </c>
      <c r="T1162" s="260">
        <v>644.4</v>
      </c>
      <c r="U1162" s="261" t="s">
        <v>1812</v>
      </c>
      <c r="V1162" s="279">
        <v>45505.42534722222</v>
      </c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</row>
    <row r="1163">
      <c r="A1163" s="289">
        <v>45505.0</v>
      </c>
      <c r="B1163" s="290">
        <v>5975976.0</v>
      </c>
      <c r="C1163" s="291" t="s">
        <v>82</v>
      </c>
      <c r="D1163" s="291" t="s">
        <v>94</v>
      </c>
      <c r="E1163" s="290">
        <v>5975976.0</v>
      </c>
      <c r="F1163" s="291" t="s">
        <v>3516</v>
      </c>
      <c r="G1163" s="289">
        <v>45512.0</v>
      </c>
      <c r="H1163" s="292">
        <v>45515.0</v>
      </c>
      <c r="I1163" s="293">
        <v>3.0</v>
      </c>
      <c r="J1163" s="294" t="s">
        <v>78</v>
      </c>
      <c r="K1163" s="291" t="s">
        <v>79</v>
      </c>
      <c r="L1163" s="291" t="s">
        <v>1811</v>
      </c>
      <c r="M1163" s="290">
        <v>2.0</v>
      </c>
      <c r="N1163" s="295">
        <v>0.0</v>
      </c>
      <c r="O1163" s="296">
        <v>107.39999999999999</v>
      </c>
      <c r="P1163" s="296">
        <v>106.326</v>
      </c>
      <c r="Q1163" s="301">
        <v>0.0</v>
      </c>
      <c r="R1163" s="297">
        <v>318.978</v>
      </c>
      <c r="S1163" s="297">
        <v>0.0</v>
      </c>
      <c r="T1163" s="297">
        <v>644.4</v>
      </c>
      <c r="U1163" s="298" t="s">
        <v>1812</v>
      </c>
      <c r="V1163" s="299">
        <v>45505.42534722222</v>
      </c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</row>
    <row r="1164">
      <c r="A1164" s="276">
        <v>45505.0</v>
      </c>
      <c r="B1164" s="252">
        <v>5979077.0</v>
      </c>
      <c r="C1164" s="253" t="s">
        <v>82</v>
      </c>
      <c r="D1164" s="253" t="s">
        <v>94</v>
      </c>
      <c r="E1164" s="252">
        <v>5979077.0</v>
      </c>
      <c r="F1164" s="253" t="s">
        <v>3517</v>
      </c>
      <c r="G1164" s="276">
        <v>45519.0</v>
      </c>
      <c r="H1164" s="277">
        <v>45520.0</v>
      </c>
      <c r="I1164" s="278">
        <v>1.0</v>
      </c>
      <c r="J1164" s="257" t="s">
        <v>111</v>
      </c>
      <c r="K1164" s="253" t="s">
        <v>79</v>
      </c>
      <c r="L1164" s="253" t="s">
        <v>3518</v>
      </c>
      <c r="M1164" s="252">
        <v>2.0</v>
      </c>
      <c r="N1164" s="258">
        <v>0.0</v>
      </c>
      <c r="O1164" s="259">
        <v>137.16</v>
      </c>
      <c r="P1164" s="259">
        <v>135.7884</v>
      </c>
      <c r="Q1164" s="262">
        <v>0.0</v>
      </c>
      <c r="R1164" s="260">
        <v>135.7884</v>
      </c>
      <c r="S1164" s="260">
        <v>0.0</v>
      </c>
      <c r="T1164" s="260">
        <v>137.16</v>
      </c>
      <c r="U1164" s="261" t="s">
        <v>3519</v>
      </c>
      <c r="V1164" s="279">
        <v>45505.99149305555</v>
      </c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</row>
    <row r="1165">
      <c r="A1165" s="276">
        <v>45505.0</v>
      </c>
      <c r="B1165" s="252">
        <v>5978681.0</v>
      </c>
      <c r="C1165" s="253" t="s">
        <v>82</v>
      </c>
      <c r="D1165" s="253" t="s">
        <v>35</v>
      </c>
      <c r="E1165" s="252">
        <v>4.554412175E9</v>
      </c>
      <c r="F1165" s="253" t="s">
        <v>2400</v>
      </c>
      <c r="G1165" s="276">
        <v>45545.0</v>
      </c>
      <c r="H1165" s="277">
        <v>45546.0</v>
      </c>
      <c r="I1165" s="278">
        <v>1.0</v>
      </c>
      <c r="J1165" s="257" t="s">
        <v>114</v>
      </c>
      <c r="K1165" s="253" t="s">
        <v>79</v>
      </c>
      <c r="L1165" s="253" t="s">
        <v>2798</v>
      </c>
      <c r="M1165" s="252">
        <v>2.0</v>
      </c>
      <c r="N1165" s="258">
        <v>0.0</v>
      </c>
      <c r="O1165" s="259">
        <v>201.7</v>
      </c>
      <c r="P1165" s="259">
        <v>161.36</v>
      </c>
      <c r="Q1165" s="262">
        <v>0.0</v>
      </c>
      <c r="R1165" s="260">
        <v>161.36</v>
      </c>
      <c r="S1165" s="260">
        <v>0.0</v>
      </c>
      <c r="T1165" s="260">
        <v>201.7</v>
      </c>
      <c r="U1165" s="261" t="s">
        <v>2800</v>
      </c>
      <c r="V1165" s="279">
        <v>45505.893796296295</v>
      </c>
      <c r="W1165" s="35"/>
      <c r="X1165" s="35"/>
      <c r="Y1165" s="35"/>
      <c r="Z1165" s="35"/>
      <c r="AA1165" s="35"/>
      <c r="AB1165" s="35"/>
      <c r="AC1165" s="35"/>
      <c r="AD1165" s="35"/>
      <c r="AE1165" s="35"/>
      <c r="AF1165" s="35"/>
      <c r="AG1165" s="35"/>
      <c r="AH1165" s="35"/>
      <c r="AI1165" s="35"/>
    </row>
    <row r="1166">
      <c r="A1166" s="276">
        <v>45506.0</v>
      </c>
      <c r="B1166" s="252">
        <v>5981608.0</v>
      </c>
      <c r="C1166" s="253" t="s">
        <v>82</v>
      </c>
      <c r="D1166" s="253" t="s">
        <v>94</v>
      </c>
      <c r="E1166" s="252">
        <v>5981608.0</v>
      </c>
      <c r="F1166" s="253" t="s">
        <v>3520</v>
      </c>
      <c r="G1166" s="276">
        <v>45508.0</v>
      </c>
      <c r="H1166" s="277">
        <v>45510.0</v>
      </c>
      <c r="I1166" s="278">
        <v>2.0</v>
      </c>
      <c r="J1166" s="257" t="s">
        <v>114</v>
      </c>
      <c r="K1166" s="253" t="s">
        <v>79</v>
      </c>
      <c r="L1166" s="253" t="s">
        <v>1462</v>
      </c>
      <c r="M1166" s="252">
        <v>2.0</v>
      </c>
      <c r="N1166" s="258">
        <v>0.0</v>
      </c>
      <c r="O1166" s="259">
        <v>120.2</v>
      </c>
      <c r="P1166" s="259">
        <v>118.998</v>
      </c>
      <c r="Q1166" s="262">
        <v>0.0</v>
      </c>
      <c r="R1166" s="260">
        <v>237.996</v>
      </c>
      <c r="S1166" s="260">
        <v>0.0</v>
      </c>
      <c r="T1166" s="260">
        <v>240.4</v>
      </c>
      <c r="U1166" s="261" t="s">
        <v>1463</v>
      </c>
      <c r="V1166" s="279">
        <v>45506.67048611111</v>
      </c>
      <c r="W1166" s="35"/>
      <c r="X1166" s="35"/>
      <c r="Y1166" s="35"/>
      <c r="Z1166" s="35"/>
      <c r="AA1166" s="35"/>
      <c r="AB1166" s="35"/>
      <c r="AC1166" s="35"/>
      <c r="AD1166" s="35"/>
      <c r="AE1166" s="35"/>
      <c r="AF1166" s="35"/>
      <c r="AG1166" s="35"/>
      <c r="AH1166" s="35"/>
      <c r="AI1166" s="35"/>
    </row>
    <row r="1167">
      <c r="A1167" s="276">
        <v>45506.0</v>
      </c>
      <c r="B1167" s="252">
        <v>5982118.0</v>
      </c>
      <c r="C1167" s="253" t="s">
        <v>75</v>
      </c>
      <c r="D1167" s="253" t="s">
        <v>35</v>
      </c>
      <c r="E1167" s="252">
        <v>4.811264116E9</v>
      </c>
      <c r="F1167" s="253" t="s">
        <v>3521</v>
      </c>
      <c r="G1167" s="276">
        <v>45536.0</v>
      </c>
      <c r="H1167" s="277">
        <v>45539.0</v>
      </c>
      <c r="I1167" s="278">
        <v>3.0</v>
      </c>
      <c r="J1167" s="257" t="s">
        <v>114</v>
      </c>
      <c r="K1167" s="253" t="s">
        <v>79</v>
      </c>
      <c r="L1167" s="253" t="s">
        <v>2803</v>
      </c>
      <c r="M1167" s="252">
        <v>2.0</v>
      </c>
      <c r="N1167" s="258">
        <v>0.0</v>
      </c>
      <c r="O1167" s="259">
        <v>150.08</v>
      </c>
      <c r="P1167" s="259">
        <v>120.06400000000002</v>
      </c>
      <c r="Q1167" s="262">
        <v>0.0</v>
      </c>
      <c r="R1167" s="260">
        <v>360.192</v>
      </c>
      <c r="S1167" s="260">
        <v>0.0</v>
      </c>
      <c r="T1167" s="273">
        <v>450.24</v>
      </c>
      <c r="U1167" s="274" t="s">
        <v>2804</v>
      </c>
      <c r="V1167" s="284">
        <v>45509.21047453704</v>
      </c>
      <c r="W1167" s="35"/>
      <c r="X1167" s="35"/>
      <c r="Y1167" s="35"/>
      <c r="Z1167" s="35"/>
      <c r="AA1167" s="35"/>
      <c r="AB1167" s="35"/>
      <c r="AC1167" s="35"/>
      <c r="AD1167" s="35"/>
      <c r="AE1167" s="35"/>
      <c r="AF1167" s="35"/>
      <c r="AG1167" s="35"/>
      <c r="AH1167" s="35"/>
      <c r="AI1167" s="35"/>
    </row>
    <row r="1168">
      <c r="A1168" s="276">
        <v>45506.0</v>
      </c>
      <c r="B1168" s="252">
        <v>5980961.0</v>
      </c>
      <c r="C1168" s="253" t="s">
        <v>82</v>
      </c>
      <c r="D1168" s="253" t="s">
        <v>94</v>
      </c>
      <c r="E1168" s="252">
        <v>5980961.0</v>
      </c>
      <c r="F1168" s="253" t="s">
        <v>3522</v>
      </c>
      <c r="G1168" s="304">
        <v>45586.0</v>
      </c>
      <c r="H1168" s="311">
        <v>45590.0</v>
      </c>
      <c r="I1168" s="278">
        <v>4.0</v>
      </c>
      <c r="J1168" s="257" t="s">
        <v>114</v>
      </c>
      <c r="K1168" s="253" t="s">
        <v>79</v>
      </c>
      <c r="L1168" s="253" t="s">
        <v>1462</v>
      </c>
      <c r="M1168" s="252">
        <v>2.0</v>
      </c>
      <c r="N1168" s="258">
        <v>0.0</v>
      </c>
      <c r="O1168" s="259">
        <v>149.96</v>
      </c>
      <c r="P1168" s="259">
        <v>148.4604</v>
      </c>
      <c r="Q1168" s="262">
        <v>0.0</v>
      </c>
      <c r="R1168" s="260">
        <v>593.8416</v>
      </c>
      <c r="S1168" s="260">
        <v>0.0</v>
      </c>
      <c r="T1168" s="260">
        <v>599.84</v>
      </c>
      <c r="U1168" s="261" t="s">
        <v>1463</v>
      </c>
      <c r="V1168" s="279">
        <v>45506.5577662037</v>
      </c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</row>
    <row r="1169">
      <c r="A1169" s="280">
        <v>45507.0</v>
      </c>
      <c r="B1169" s="264">
        <v>5984442.0</v>
      </c>
      <c r="C1169" s="265" t="s">
        <v>82</v>
      </c>
      <c r="D1169" s="265" t="s">
        <v>35</v>
      </c>
      <c r="E1169" s="264">
        <v>4.715769182E9</v>
      </c>
      <c r="F1169" s="265" t="s">
        <v>3523</v>
      </c>
      <c r="G1169" s="280">
        <v>45507.0</v>
      </c>
      <c r="H1169" s="281">
        <v>45508.0</v>
      </c>
      <c r="I1169" s="282">
        <v>1.0</v>
      </c>
      <c r="J1169" s="283" t="s">
        <v>87</v>
      </c>
      <c r="K1169" s="265" t="s">
        <v>79</v>
      </c>
      <c r="L1169" s="265" t="s">
        <v>2798</v>
      </c>
      <c r="M1169" s="269">
        <v>2.0</v>
      </c>
      <c r="N1169" s="270">
        <v>0.0</v>
      </c>
      <c r="O1169" s="271">
        <v>106.11</v>
      </c>
      <c r="P1169" s="271">
        <v>84.888</v>
      </c>
      <c r="Q1169" s="272">
        <v>0.0</v>
      </c>
      <c r="R1169" s="273">
        <v>84.888</v>
      </c>
      <c r="S1169" s="273">
        <v>0.0</v>
      </c>
      <c r="T1169" s="273">
        <v>106.11</v>
      </c>
      <c r="U1169" s="274" t="s">
        <v>2800</v>
      </c>
      <c r="V1169" s="284">
        <v>45507.45074074074</v>
      </c>
      <c r="W1169" s="188"/>
      <c r="X1169" s="188"/>
      <c r="Y1169" s="188"/>
      <c r="Z1169" s="188"/>
      <c r="AA1169" s="188"/>
      <c r="AB1169" s="188"/>
      <c r="AC1169" s="188"/>
      <c r="AD1169" s="188"/>
      <c r="AE1169" s="188"/>
      <c r="AF1169" s="188"/>
      <c r="AG1169" s="188"/>
      <c r="AH1169" s="188"/>
      <c r="AI1169" s="188"/>
    </row>
    <row r="1170">
      <c r="A1170" s="276">
        <v>45507.0</v>
      </c>
      <c r="B1170" s="252">
        <v>5985100.0</v>
      </c>
      <c r="C1170" s="253" t="s">
        <v>82</v>
      </c>
      <c r="D1170" s="253" t="s">
        <v>94</v>
      </c>
      <c r="E1170" s="252">
        <v>5985100.0</v>
      </c>
      <c r="F1170" s="253" t="s">
        <v>3524</v>
      </c>
      <c r="G1170" s="276">
        <v>45508.0</v>
      </c>
      <c r="H1170" s="277">
        <v>45509.0</v>
      </c>
      <c r="I1170" s="278">
        <v>1.0</v>
      </c>
      <c r="J1170" s="257" t="s">
        <v>114</v>
      </c>
      <c r="K1170" s="253" t="s">
        <v>79</v>
      </c>
      <c r="L1170" s="253" t="s">
        <v>1462</v>
      </c>
      <c r="M1170" s="275">
        <v>2.0</v>
      </c>
      <c r="N1170" s="258">
        <v>0.0</v>
      </c>
      <c r="O1170" s="259">
        <v>120.2</v>
      </c>
      <c r="P1170" s="259">
        <v>118.998</v>
      </c>
      <c r="Q1170" s="262">
        <v>0.0</v>
      </c>
      <c r="R1170" s="260">
        <v>118.998</v>
      </c>
      <c r="S1170" s="260">
        <v>0.0</v>
      </c>
      <c r="T1170" s="260">
        <v>240.4</v>
      </c>
      <c r="U1170" s="261" t="s">
        <v>1463</v>
      </c>
      <c r="V1170" s="279">
        <v>45507.56055555555</v>
      </c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</row>
    <row r="1171">
      <c r="A1171" s="276">
        <v>45507.0</v>
      </c>
      <c r="B1171" s="252">
        <v>5985100.0</v>
      </c>
      <c r="C1171" s="253" t="s">
        <v>82</v>
      </c>
      <c r="D1171" s="253" t="s">
        <v>94</v>
      </c>
      <c r="E1171" s="252">
        <v>5985100.0</v>
      </c>
      <c r="F1171" s="253" t="s">
        <v>3524</v>
      </c>
      <c r="G1171" s="276">
        <v>45508.0</v>
      </c>
      <c r="H1171" s="277">
        <v>45509.0</v>
      </c>
      <c r="I1171" s="278">
        <v>1.0</v>
      </c>
      <c r="J1171" s="257" t="s">
        <v>114</v>
      </c>
      <c r="K1171" s="253" t="s">
        <v>79</v>
      </c>
      <c r="L1171" s="253" t="s">
        <v>1462</v>
      </c>
      <c r="M1171" s="252">
        <v>2.0</v>
      </c>
      <c r="N1171" s="258">
        <v>0.0</v>
      </c>
      <c r="O1171" s="259">
        <v>120.2</v>
      </c>
      <c r="P1171" s="259">
        <v>118.998</v>
      </c>
      <c r="Q1171" s="262">
        <v>0.0</v>
      </c>
      <c r="R1171" s="260">
        <v>118.998</v>
      </c>
      <c r="S1171" s="260">
        <v>0.0</v>
      </c>
      <c r="T1171" s="260">
        <v>240.4</v>
      </c>
      <c r="U1171" s="261" t="s">
        <v>1463</v>
      </c>
      <c r="V1171" s="279">
        <v>45507.56055555555</v>
      </c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</row>
    <row r="1172">
      <c r="A1172" s="210">
        <v>45508.0</v>
      </c>
      <c r="B1172" s="166">
        <v>5989476.0</v>
      </c>
      <c r="C1172" s="166" t="s">
        <v>82</v>
      </c>
      <c r="D1172" s="166" t="s">
        <v>94</v>
      </c>
      <c r="E1172" s="166">
        <v>5989476.0</v>
      </c>
      <c r="F1172" s="166" t="s">
        <v>3525</v>
      </c>
      <c r="G1172" s="210">
        <v>45508.0</v>
      </c>
      <c r="H1172" s="287">
        <v>45510.0</v>
      </c>
      <c r="I1172" s="168">
        <v>2.0</v>
      </c>
      <c r="J1172" s="169" t="s">
        <v>78</v>
      </c>
      <c r="K1172" s="166" t="s">
        <v>79</v>
      </c>
      <c r="L1172" s="166" t="s">
        <v>1462</v>
      </c>
      <c r="M1172" s="166">
        <v>2.0</v>
      </c>
      <c r="N1172" s="170">
        <v>0.0</v>
      </c>
      <c r="O1172" s="171">
        <v>107.4</v>
      </c>
      <c r="P1172" s="171">
        <v>106.32600000000001</v>
      </c>
      <c r="Q1172" s="172">
        <v>0.0</v>
      </c>
      <c r="R1172" s="173">
        <v>212.65200000000002</v>
      </c>
      <c r="S1172" s="173">
        <v>0.0</v>
      </c>
      <c r="T1172" s="173">
        <v>214.8</v>
      </c>
      <c r="U1172" s="174" t="s">
        <v>1463</v>
      </c>
      <c r="V1172" s="288">
        <v>45508.62584490741</v>
      </c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  <c r="AH1172" s="35"/>
      <c r="AI1172" s="35"/>
    </row>
    <row r="1173">
      <c r="A1173" s="276">
        <v>45508.0</v>
      </c>
      <c r="B1173" s="252">
        <v>5988601.0</v>
      </c>
      <c r="C1173" s="253" t="s">
        <v>82</v>
      </c>
      <c r="D1173" s="253" t="s">
        <v>94</v>
      </c>
      <c r="E1173" s="252">
        <v>5988601.0</v>
      </c>
      <c r="F1173" s="253" t="s">
        <v>3526</v>
      </c>
      <c r="G1173" s="304">
        <v>45625.0</v>
      </c>
      <c r="H1173" s="277">
        <v>45627.0</v>
      </c>
      <c r="I1173" s="278">
        <v>2.0</v>
      </c>
      <c r="J1173" s="257" t="s">
        <v>114</v>
      </c>
      <c r="K1173" s="253" t="s">
        <v>79</v>
      </c>
      <c r="L1173" s="253" t="s">
        <v>3518</v>
      </c>
      <c r="M1173" s="252">
        <v>2.0</v>
      </c>
      <c r="N1173" s="258">
        <v>0.0</v>
      </c>
      <c r="O1173" s="259">
        <v>149.96</v>
      </c>
      <c r="P1173" s="259">
        <v>148.4604</v>
      </c>
      <c r="Q1173" s="262">
        <v>0.0</v>
      </c>
      <c r="R1173" s="260">
        <v>296.9208</v>
      </c>
      <c r="S1173" s="260">
        <v>0.0</v>
      </c>
      <c r="T1173" s="260">
        <v>299.92</v>
      </c>
      <c r="U1173" s="261" t="s">
        <v>3519</v>
      </c>
      <c r="V1173" s="279">
        <v>45508.48674768519</v>
      </c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</row>
    <row r="1174">
      <c r="A1174" s="276">
        <v>45509.0</v>
      </c>
      <c r="B1174" s="252">
        <v>5995022.0</v>
      </c>
      <c r="C1174" s="253" t="s">
        <v>82</v>
      </c>
      <c r="D1174" s="253" t="s">
        <v>94</v>
      </c>
      <c r="E1174" s="252">
        <v>5995022.0</v>
      </c>
      <c r="F1174" s="253" t="s">
        <v>3525</v>
      </c>
      <c r="G1174" s="276">
        <v>45510.0</v>
      </c>
      <c r="H1174" s="277">
        <v>45512.0</v>
      </c>
      <c r="I1174" s="278">
        <v>2.0</v>
      </c>
      <c r="J1174" s="257" t="s">
        <v>78</v>
      </c>
      <c r="K1174" s="253" t="s">
        <v>79</v>
      </c>
      <c r="L1174" s="253" t="s">
        <v>1462</v>
      </c>
      <c r="M1174" s="252">
        <v>2.0</v>
      </c>
      <c r="N1174" s="258">
        <v>0.0</v>
      </c>
      <c r="O1174" s="259">
        <v>107.4</v>
      </c>
      <c r="P1174" s="259">
        <v>106.32600000000001</v>
      </c>
      <c r="Q1174" s="262">
        <v>0.0</v>
      </c>
      <c r="R1174" s="260">
        <v>212.65200000000002</v>
      </c>
      <c r="S1174" s="260">
        <v>0.0</v>
      </c>
      <c r="T1174" s="260">
        <v>214.8</v>
      </c>
      <c r="U1174" s="261" t="s">
        <v>1463</v>
      </c>
      <c r="V1174" s="279">
        <v>45509.85018518519</v>
      </c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  <c r="AH1174" s="35"/>
      <c r="AI1174" s="35"/>
    </row>
    <row r="1175">
      <c r="A1175" s="280">
        <v>45509.0</v>
      </c>
      <c r="B1175" s="264">
        <v>5995783.0</v>
      </c>
      <c r="C1175" s="265" t="s">
        <v>82</v>
      </c>
      <c r="D1175" s="265" t="s">
        <v>94</v>
      </c>
      <c r="E1175" s="264">
        <v>4.55721407E8</v>
      </c>
      <c r="F1175" s="265" t="s">
        <v>3527</v>
      </c>
      <c r="G1175" s="280">
        <v>45561.0</v>
      </c>
      <c r="H1175" s="281">
        <v>45562.0</v>
      </c>
      <c r="I1175" s="282">
        <v>1.0</v>
      </c>
      <c r="J1175" s="283" t="s">
        <v>111</v>
      </c>
      <c r="K1175" s="265" t="s">
        <v>79</v>
      </c>
      <c r="L1175" s="265" t="s">
        <v>3459</v>
      </c>
      <c r="M1175" s="269">
        <v>2.0</v>
      </c>
      <c r="N1175" s="270">
        <v>0.0</v>
      </c>
      <c r="O1175" s="271">
        <v>170.0</v>
      </c>
      <c r="P1175" s="271">
        <v>168.3</v>
      </c>
      <c r="Q1175" s="283">
        <v>0.0</v>
      </c>
      <c r="R1175" s="273">
        <v>168.3</v>
      </c>
      <c r="S1175" s="273">
        <v>0.0</v>
      </c>
      <c r="T1175" s="273">
        <v>170.0</v>
      </c>
      <c r="U1175" s="274" t="s">
        <v>3460</v>
      </c>
      <c r="V1175" s="284">
        <v>45510.03129629629</v>
      </c>
      <c r="W1175" s="36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</row>
    <row r="1176">
      <c r="A1176" s="280">
        <v>45509.0</v>
      </c>
      <c r="B1176" s="264">
        <v>5993880.0</v>
      </c>
      <c r="C1176" s="265" t="s">
        <v>82</v>
      </c>
      <c r="D1176" s="265" t="s">
        <v>94</v>
      </c>
      <c r="E1176" s="264">
        <v>1.323552336E9</v>
      </c>
      <c r="F1176" s="265" t="s">
        <v>3528</v>
      </c>
      <c r="G1176" s="305">
        <v>45580.0</v>
      </c>
      <c r="H1176" s="313">
        <v>45582.0</v>
      </c>
      <c r="I1176" s="282">
        <v>2.0</v>
      </c>
      <c r="J1176" s="283" t="s">
        <v>114</v>
      </c>
      <c r="K1176" s="265" t="s">
        <v>79</v>
      </c>
      <c r="L1176" s="265" t="s">
        <v>3378</v>
      </c>
      <c r="M1176" s="269">
        <v>2.0</v>
      </c>
      <c r="N1176" s="270">
        <v>0.0</v>
      </c>
      <c r="O1176" s="271">
        <v>156.4</v>
      </c>
      <c r="P1176" s="271">
        <v>154.836</v>
      </c>
      <c r="Q1176" s="272">
        <v>0.0</v>
      </c>
      <c r="R1176" s="273">
        <v>309.672</v>
      </c>
      <c r="S1176" s="273">
        <v>0.0</v>
      </c>
      <c r="T1176" s="273">
        <v>312.8</v>
      </c>
      <c r="U1176" s="274" t="s">
        <v>3379</v>
      </c>
      <c r="V1176" s="284">
        <v>45509.663240740745</v>
      </c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</row>
    <row r="1177">
      <c r="A1177" s="276">
        <v>45509.0</v>
      </c>
      <c r="B1177" s="252">
        <v>5995570.0</v>
      </c>
      <c r="C1177" s="253" t="s">
        <v>82</v>
      </c>
      <c r="D1177" s="253" t="s">
        <v>94</v>
      </c>
      <c r="E1177" s="252">
        <v>5995570.0</v>
      </c>
      <c r="F1177" s="253" t="s">
        <v>3529</v>
      </c>
      <c r="G1177" s="304">
        <v>45583.0</v>
      </c>
      <c r="H1177" s="311">
        <v>45585.0</v>
      </c>
      <c r="I1177" s="278">
        <v>2.0</v>
      </c>
      <c r="J1177" s="257" t="s">
        <v>78</v>
      </c>
      <c r="K1177" s="253" t="s">
        <v>79</v>
      </c>
      <c r="L1177" s="253" t="s">
        <v>1462</v>
      </c>
      <c r="M1177" s="252">
        <v>2.0</v>
      </c>
      <c r="N1177" s="258">
        <v>0.0</v>
      </c>
      <c r="O1177" s="259">
        <v>120.2</v>
      </c>
      <c r="P1177" s="259">
        <v>118.998</v>
      </c>
      <c r="Q1177" s="262">
        <v>0.0</v>
      </c>
      <c r="R1177" s="260">
        <v>237.996</v>
      </c>
      <c r="S1177" s="260">
        <v>0.0</v>
      </c>
      <c r="T1177" s="260">
        <v>240.4</v>
      </c>
      <c r="U1177" s="261" t="s">
        <v>1463</v>
      </c>
      <c r="V1177" s="279">
        <v>45509.94907407407</v>
      </c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</row>
    <row r="1178">
      <c r="A1178" s="210">
        <v>45509.0</v>
      </c>
      <c r="B1178" s="166">
        <v>5995581.0</v>
      </c>
      <c r="C1178" s="166" t="s">
        <v>82</v>
      </c>
      <c r="D1178" s="166" t="s">
        <v>94</v>
      </c>
      <c r="E1178" s="166">
        <v>5995581.0</v>
      </c>
      <c r="F1178" s="166" t="s">
        <v>3529</v>
      </c>
      <c r="G1178" s="212">
        <v>45585.0</v>
      </c>
      <c r="H1178" s="310">
        <v>45586.0</v>
      </c>
      <c r="I1178" s="168">
        <v>1.0</v>
      </c>
      <c r="J1178" s="169" t="s">
        <v>114</v>
      </c>
      <c r="K1178" s="166" t="s">
        <v>79</v>
      </c>
      <c r="L1178" s="166" t="s">
        <v>1462</v>
      </c>
      <c r="M1178" s="205">
        <v>2.0</v>
      </c>
      <c r="N1178" s="170">
        <v>0.0</v>
      </c>
      <c r="O1178" s="171">
        <v>149.96</v>
      </c>
      <c r="P1178" s="171">
        <v>148.4604</v>
      </c>
      <c r="Q1178" s="172">
        <v>0.0</v>
      </c>
      <c r="R1178" s="173">
        <v>148.4604</v>
      </c>
      <c r="S1178" s="173">
        <v>0.0</v>
      </c>
      <c r="T1178" s="173">
        <v>149.96</v>
      </c>
      <c r="U1178" s="174" t="s">
        <v>1463</v>
      </c>
      <c r="V1178" s="288">
        <v>45509.95091435185</v>
      </c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</row>
    <row r="1179">
      <c r="A1179" s="276">
        <v>45509.0</v>
      </c>
      <c r="B1179" s="252">
        <v>5993765.0</v>
      </c>
      <c r="C1179" s="253" t="s">
        <v>75</v>
      </c>
      <c r="D1179" s="253" t="s">
        <v>35</v>
      </c>
      <c r="E1179" s="252">
        <v>4.460843654E9</v>
      </c>
      <c r="F1179" s="253" t="s">
        <v>3530</v>
      </c>
      <c r="G1179" s="304">
        <v>45586.0</v>
      </c>
      <c r="H1179" s="311">
        <v>45588.0</v>
      </c>
      <c r="I1179" s="278">
        <v>2.0</v>
      </c>
      <c r="J1179" s="257" t="s">
        <v>78</v>
      </c>
      <c r="K1179" s="253" t="s">
        <v>79</v>
      </c>
      <c r="L1179" s="253" t="s">
        <v>2833</v>
      </c>
      <c r="M1179" s="252">
        <v>2.0</v>
      </c>
      <c r="N1179" s="258">
        <v>0.0</v>
      </c>
      <c r="O1179" s="259">
        <v>135.05</v>
      </c>
      <c r="P1179" s="259">
        <v>108.04000000000002</v>
      </c>
      <c r="Q1179" s="262">
        <v>0.0</v>
      </c>
      <c r="R1179" s="260">
        <v>216.08000000000004</v>
      </c>
      <c r="S1179" s="260">
        <v>0.0</v>
      </c>
      <c r="T1179" s="260">
        <v>540.2</v>
      </c>
      <c r="U1179" s="261" t="s">
        <v>3531</v>
      </c>
      <c r="V1179" s="279">
        <v>45559.597280092596</v>
      </c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</row>
    <row r="1180">
      <c r="A1180" s="210">
        <v>45509.0</v>
      </c>
      <c r="B1180" s="166">
        <v>5993765.0</v>
      </c>
      <c r="C1180" s="166" t="s">
        <v>75</v>
      </c>
      <c r="D1180" s="166" t="s">
        <v>35</v>
      </c>
      <c r="E1180" s="166">
        <v>4.460843654E9</v>
      </c>
      <c r="F1180" s="166" t="s">
        <v>3530</v>
      </c>
      <c r="G1180" s="212">
        <v>45586.0</v>
      </c>
      <c r="H1180" s="310">
        <v>45588.0</v>
      </c>
      <c r="I1180" s="168">
        <v>2.0</v>
      </c>
      <c r="J1180" s="169" t="s">
        <v>78</v>
      </c>
      <c r="K1180" s="166" t="s">
        <v>79</v>
      </c>
      <c r="L1180" s="166" t="s">
        <v>2833</v>
      </c>
      <c r="M1180" s="166">
        <v>2.0</v>
      </c>
      <c r="N1180" s="170">
        <v>0.0</v>
      </c>
      <c r="O1180" s="171">
        <v>135.05</v>
      </c>
      <c r="P1180" s="171">
        <v>108.04000000000002</v>
      </c>
      <c r="Q1180" s="172">
        <v>0.0</v>
      </c>
      <c r="R1180" s="173">
        <v>216.08000000000004</v>
      </c>
      <c r="S1180" s="173">
        <v>0.0</v>
      </c>
      <c r="T1180" s="173">
        <v>540.2</v>
      </c>
      <c r="U1180" s="201" t="s">
        <v>3531</v>
      </c>
      <c r="V1180" s="288">
        <v>45559.597280092596</v>
      </c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</row>
    <row r="1181">
      <c r="A1181" s="210">
        <v>45510.0</v>
      </c>
      <c r="B1181" s="166">
        <v>5998700.0</v>
      </c>
      <c r="C1181" s="166" t="s">
        <v>89</v>
      </c>
      <c r="D1181" s="166" t="s">
        <v>35</v>
      </c>
      <c r="E1181" s="166">
        <v>4.521452133E9</v>
      </c>
      <c r="F1181" s="166" t="s">
        <v>3532</v>
      </c>
      <c r="G1181" s="210">
        <v>45512.0</v>
      </c>
      <c r="H1181" s="287">
        <v>45514.0</v>
      </c>
      <c r="I1181" s="168">
        <v>2.0</v>
      </c>
      <c r="J1181" s="169" t="s">
        <v>87</v>
      </c>
      <c r="K1181" s="166" t="s">
        <v>79</v>
      </c>
      <c r="L1181" s="166" t="s">
        <v>2803</v>
      </c>
      <c r="M1181" s="205">
        <v>2.0</v>
      </c>
      <c r="N1181" s="170">
        <v>0.0</v>
      </c>
      <c r="O1181" s="171">
        <v>0.0</v>
      </c>
      <c r="P1181" s="171">
        <v>0.0</v>
      </c>
      <c r="Q1181" s="172">
        <v>0.0</v>
      </c>
      <c r="R1181" s="173">
        <v>0.0</v>
      </c>
      <c r="S1181" s="173">
        <v>0.0</v>
      </c>
      <c r="T1181" s="173">
        <v>0.0</v>
      </c>
      <c r="U1181" s="174" t="s">
        <v>3533</v>
      </c>
      <c r="V1181" s="288">
        <v>45510.718090277776</v>
      </c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</row>
    <row r="1182">
      <c r="A1182" s="210">
        <v>45510.0</v>
      </c>
      <c r="B1182" s="166">
        <v>5995938.0</v>
      </c>
      <c r="C1182" s="166" t="s">
        <v>82</v>
      </c>
      <c r="D1182" s="166" t="s">
        <v>35</v>
      </c>
      <c r="E1182" s="166">
        <v>4.453483017E9</v>
      </c>
      <c r="F1182" s="166" t="s">
        <v>3534</v>
      </c>
      <c r="G1182" s="210">
        <v>45547.0</v>
      </c>
      <c r="H1182" s="287">
        <v>45550.0</v>
      </c>
      <c r="I1182" s="168">
        <v>3.0</v>
      </c>
      <c r="J1182" s="169" t="s">
        <v>78</v>
      </c>
      <c r="K1182" s="166" t="s">
        <v>79</v>
      </c>
      <c r="L1182" s="166" t="s">
        <v>2803</v>
      </c>
      <c r="M1182" s="166">
        <v>3.0</v>
      </c>
      <c r="N1182" s="170">
        <v>0.0</v>
      </c>
      <c r="O1182" s="171">
        <v>172.49</v>
      </c>
      <c r="P1182" s="171">
        <v>137.99200000000002</v>
      </c>
      <c r="Q1182" s="172">
        <v>0.0</v>
      </c>
      <c r="R1182" s="173">
        <v>413.97600000000006</v>
      </c>
      <c r="S1182" s="173">
        <v>0.0</v>
      </c>
      <c r="T1182" s="173">
        <v>517.47</v>
      </c>
      <c r="U1182" s="174" t="s">
        <v>2804</v>
      </c>
      <c r="V1182" s="288">
        <v>45510.13892361111</v>
      </c>
      <c r="W1182" s="188"/>
      <c r="X1182" s="188"/>
      <c r="Y1182" s="188"/>
      <c r="Z1182" s="188"/>
      <c r="AA1182" s="188"/>
      <c r="AB1182" s="188"/>
      <c r="AC1182" s="188"/>
      <c r="AD1182" s="188"/>
      <c r="AE1182" s="188"/>
      <c r="AF1182" s="188"/>
      <c r="AG1182" s="188"/>
      <c r="AH1182" s="188"/>
      <c r="AI1182" s="188"/>
    </row>
    <row r="1183">
      <c r="A1183" s="276">
        <v>45510.0</v>
      </c>
      <c r="B1183" s="252">
        <v>5999494.0</v>
      </c>
      <c r="C1183" s="253" t="s">
        <v>82</v>
      </c>
      <c r="D1183" s="253" t="s">
        <v>35</v>
      </c>
      <c r="E1183" s="252">
        <v>4.530102227E9</v>
      </c>
      <c r="F1183" s="253" t="s">
        <v>3535</v>
      </c>
      <c r="G1183" s="276">
        <v>45548.0</v>
      </c>
      <c r="H1183" s="277">
        <v>45550.0</v>
      </c>
      <c r="I1183" s="278">
        <v>2.0</v>
      </c>
      <c r="J1183" s="257" t="s">
        <v>78</v>
      </c>
      <c r="K1183" s="253" t="s">
        <v>79</v>
      </c>
      <c r="L1183" s="253" t="s">
        <v>2803</v>
      </c>
      <c r="M1183" s="252">
        <v>2.0</v>
      </c>
      <c r="N1183" s="258">
        <v>0.0</v>
      </c>
      <c r="O1183" s="259">
        <v>115.14</v>
      </c>
      <c r="P1183" s="259">
        <v>92.11200000000001</v>
      </c>
      <c r="Q1183" s="262">
        <v>0.0</v>
      </c>
      <c r="R1183" s="260">
        <v>184.22400000000002</v>
      </c>
      <c r="S1183" s="260">
        <v>0.0</v>
      </c>
      <c r="T1183" s="260">
        <v>230.28</v>
      </c>
      <c r="U1183" s="261" t="s">
        <v>2804</v>
      </c>
      <c r="V1183" s="279">
        <v>45510.85490740741</v>
      </c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</row>
    <row r="1184">
      <c r="A1184" s="210">
        <v>45510.0</v>
      </c>
      <c r="B1184" s="166">
        <v>5998099.0</v>
      </c>
      <c r="C1184" s="166" t="s">
        <v>82</v>
      </c>
      <c r="D1184" s="166" t="s">
        <v>94</v>
      </c>
      <c r="E1184" s="166">
        <v>5998099.0</v>
      </c>
      <c r="F1184" s="166" t="s">
        <v>3529</v>
      </c>
      <c r="G1184" s="212">
        <v>45591.0</v>
      </c>
      <c r="H1184" s="310">
        <v>45592.0</v>
      </c>
      <c r="I1184" s="168">
        <v>1.0</v>
      </c>
      <c r="J1184" s="169" t="s">
        <v>78</v>
      </c>
      <c r="K1184" s="166" t="s">
        <v>79</v>
      </c>
      <c r="L1184" s="166" t="s">
        <v>1462</v>
      </c>
      <c r="M1184" s="205">
        <v>2.0</v>
      </c>
      <c r="N1184" s="170">
        <v>0.0</v>
      </c>
      <c r="O1184" s="171">
        <v>120.2</v>
      </c>
      <c r="P1184" s="171">
        <v>118.998</v>
      </c>
      <c r="Q1184" s="172">
        <v>0.0</v>
      </c>
      <c r="R1184" s="173">
        <v>118.998</v>
      </c>
      <c r="S1184" s="173">
        <v>0.0</v>
      </c>
      <c r="T1184" s="173">
        <v>120.2</v>
      </c>
      <c r="U1184" s="174" t="s">
        <v>1463</v>
      </c>
      <c r="V1184" s="288">
        <v>45510.62497685185</v>
      </c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</row>
    <row r="1185">
      <c r="A1185" s="210">
        <v>45512.0</v>
      </c>
      <c r="B1185" s="166">
        <v>6007085.0</v>
      </c>
      <c r="C1185" s="166" t="s">
        <v>82</v>
      </c>
      <c r="D1185" s="166" t="s">
        <v>94</v>
      </c>
      <c r="E1185" s="166">
        <v>6007085.0</v>
      </c>
      <c r="F1185" s="166" t="s">
        <v>3536</v>
      </c>
      <c r="G1185" s="210">
        <v>45529.0</v>
      </c>
      <c r="H1185" s="287">
        <v>45531.0</v>
      </c>
      <c r="I1185" s="168">
        <v>2.0</v>
      </c>
      <c r="J1185" s="169" t="s">
        <v>78</v>
      </c>
      <c r="K1185" s="166" t="s">
        <v>79</v>
      </c>
      <c r="L1185" s="166" t="s">
        <v>1462</v>
      </c>
      <c r="M1185" s="166">
        <v>2.0</v>
      </c>
      <c r="N1185" s="170">
        <v>0.0</v>
      </c>
      <c r="O1185" s="171">
        <v>107.4</v>
      </c>
      <c r="P1185" s="171">
        <v>106.32600000000001</v>
      </c>
      <c r="Q1185" s="172">
        <v>0.0</v>
      </c>
      <c r="R1185" s="173">
        <v>212.65200000000002</v>
      </c>
      <c r="S1185" s="173">
        <v>0.0</v>
      </c>
      <c r="T1185" s="173">
        <v>214.8</v>
      </c>
      <c r="U1185" s="201" t="s">
        <v>1463</v>
      </c>
      <c r="V1185" s="288">
        <v>45512.656539351854</v>
      </c>
      <c r="W1185" s="188"/>
      <c r="X1185" s="188"/>
      <c r="Y1185" s="188"/>
      <c r="Z1185" s="188"/>
      <c r="AA1185" s="188"/>
      <c r="AB1185" s="188"/>
      <c r="AC1185" s="188"/>
      <c r="AD1185" s="188"/>
      <c r="AE1185" s="188"/>
      <c r="AF1185" s="188"/>
      <c r="AG1185" s="188"/>
      <c r="AH1185" s="188"/>
      <c r="AI1185" s="188"/>
    </row>
    <row r="1186">
      <c r="A1186" s="210">
        <v>45512.0</v>
      </c>
      <c r="B1186" s="166">
        <v>6008501.0</v>
      </c>
      <c r="C1186" s="166" t="s">
        <v>82</v>
      </c>
      <c r="D1186" s="166" t="s">
        <v>94</v>
      </c>
      <c r="E1186" s="166">
        <v>6008501.0</v>
      </c>
      <c r="F1186" s="166" t="s">
        <v>3537</v>
      </c>
      <c r="G1186" s="212">
        <v>45587.0</v>
      </c>
      <c r="H1186" s="310">
        <v>45589.0</v>
      </c>
      <c r="I1186" s="168">
        <v>2.0</v>
      </c>
      <c r="J1186" s="169" t="s">
        <v>78</v>
      </c>
      <c r="K1186" s="166" t="s">
        <v>79</v>
      </c>
      <c r="L1186" s="166" t="s">
        <v>1811</v>
      </c>
      <c r="M1186" s="205">
        <v>2.0</v>
      </c>
      <c r="N1186" s="170">
        <v>0.0</v>
      </c>
      <c r="O1186" s="171">
        <v>130.2</v>
      </c>
      <c r="P1186" s="171">
        <v>128.898</v>
      </c>
      <c r="Q1186" s="172">
        <v>0.0</v>
      </c>
      <c r="R1186" s="173">
        <v>257.796</v>
      </c>
      <c r="S1186" s="173">
        <v>0.0</v>
      </c>
      <c r="T1186" s="173">
        <v>260.4</v>
      </c>
      <c r="U1186" s="201" t="s">
        <v>1812</v>
      </c>
      <c r="V1186" s="288">
        <v>45512.90262731482</v>
      </c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</row>
    <row r="1187">
      <c r="A1187" s="210">
        <v>45512.0</v>
      </c>
      <c r="B1187" s="166">
        <v>6005749.0</v>
      </c>
      <c r="C1187" s="166" t="s">
        <v>82</v>
      </c>
      <c r="D1187" s="166" t="s">
        <v>94</v>
      </c>
      <c r="E1187" s="166">
        <v>7.69699498E8</v>
      </c>
      <c r="F1187" s="166" t="s">
        <v>3538</v>
      </c>
      <c r="G1187" s="212">
        <v>45587.0</v>
      </c>
      <c r="H1187" s="310">
        <v>45589.0</v>
      </c>
      <c r="I1187" s="168">
        <v>2.0</v>
      </c>
      <c r="J1187" s="169" t="s">
        <v>87</v>
      </c>
      <c r="K1187" s="166" t="s">
        <v>79</v>
      </c>
      <c r="L1187" s="166" t="s">
        <v>3378</v>
      </c>
      <c r="M1187" s="166">
        <v>2.0</v>
      </c>
      <c r="N1187" s="170">
        <v>0.0</v>
      </c>
      <c r="O1187" s="171">
        <v>120.04</v>
      </c>
      <c r="P1187" s="171">
        <v>118.8396</v>
      </c>
      <c r="Q1187" s="172">
        <v>0.0</v>
      </c>
      <c r="R1187" s="173">
        <v>237.6792</v>
      </c>
      <c r="S1187" s="173">
        <v>0.0</v>
      </c>
      <c r="T1187" s="173">
        <v>240.08</v>
      </c>
      <c r="U1187" s="201" t="s">
        <v>3379</v>
      </c>
      <c r="V1187" s="288">
        <v>45512.44458333333</v>
      </c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</row>
    <row r="1188">
      <c r="A1188" s="210">
        <v>45512.0</v>
      </c>
      <c r="B1188" s="166">
        <v>6007507.0</v>
      </c>
      <c r="C1188" s="166" t="s">
        <v>82</v>
      </c>
      <c r="D1188" s="166" t="s">
        <v>94</v>
      </c>
      <c r="E1188" s="166">
        <v>7.6982345E8</v>
      </c>
      <c r="F1188" s="166" t="s">
        <v>3539</v>
      </c>
      <c r="G1188" s="212">
        <v>45611.0</v>
      </c>
      <c r="H1188" s="310">
        <v>45614.0</v>
      </c>
      <c r="I1188" s="168">
        <v>3.0</v>
      </c>
      <c r="J1188" s="169" t="s">
        <v>78</v>
      </c>
      <c r="K1188" s="166" t="s">
        <v>79</v>
      </c>
      <c r="L1188" s="166" t="s">
        <v>3378</v>
      </c>
      <c r="M1188" s="205">
        <v>2.0</v>
      </c>
      <c r="N1188" s="170">
        <v>0.0</v>
      </c>
      <c r="O1188" s="171">
        <v>140.76</v>
      </c>
      <c r="P1188" s="171">
        <v>139.3524</v>
      </c>
      <c r="Q1188" s="172">
        <v>0.0</v>
      </c>
      <c r="R1188" s="173">
        <v>418.05719999999997</v>
      </c>
      <c r="S1188" s="173">
        <v>0.0</v>
      </c>
      <c r="T1188" s="173">
        <v>422.28</v>
      </c>
      <c r="U1188" s="174" t="s">
        <v>3379</v>
      </c>
      <c r="V1188" s="288">
        <v>45512.725752314815</v>
      </c>
      <c r="W1188" s="36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</row>
    <row r="1189">
      <c r="A1189" s="276">
        <v>45513.0</v>
      </c>
      <c r="B1189" s="252">
        <v>6011792.0</v>
      </c>
      <c r="C1189" s="253" t="s">
        <v>75</v>
      </c>
      <c r="D1189" s="253" t="s">
        <v>94</v>
      </c>
      <c r="E1189" s="252">
        <v>6011792.0</v>
      </c>
      <c r="F1189" s="253" t="s">
        <v>3540</v>
      </c>
      <c r="G1189" s="276">
        <v>45513.0</v>
      </c>
      <c r="H1189" s="277">
        <v>45514.0</v>
      </c>
      <c r="I1189" s="278">
        <v>1.0</v>
      </c>
      <c r="J1189" s="257" t="s">
        <v>1425</v>
      </c>
      <c r="K1189" s="253" t="s">
        <v>1425</v>
      </c>
      <c r="L1189" s="253" t="s">
        <v>1425</v>
      </c>
      <c r="M1189" s="252" t="s">
        <v>1425</v>
      </c>
      <c r="N1189" s="258">
        <v>0.0</v>
      </c>
      <c r="O1189" s="259">
        <v>240.0</v>
      </c>
      <c r="P1189" s="259">
        <v>237.6</v>
      </c>
      <c r="Q1189" s="262" t="e">
        <v>#NUM!</v>
      </c>
      <c r="R1189" s="260">
        <v>237.6</v>
      </c>
      <c r="S1189" s="260" t="e">
        <v>#NUM!</v>
      </c>
      <c r="T1189" s="260">
        <v>240.0</v>
      </c>
      <c r="U1189" s="261" t="s">
        <v>1428</v>
      </c>
      <c r="V1189" s="279">
        <v>45513.72996527777</v>
      </c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</row>
    <row r="1190">
      <c r="A1190" s="276">
        <v>45513.0</v>
      </c>
      <c r="B1190" s="252">
        <v>6011145.0</v>
      </c>
      <c r="C1190" s="253" t="s">
        <v>82</v>
      </c>
      <c r="D1190" s="253" t="s">
        <v>35</v>
      </c>
      <c r="E1190" s="252">
        <v>4.54995431E9</v>
      </c>
      <c r="F1190" s="253" t="s">
        <v>3541</v>
      </c>
      <c r="G1190" s="276">
        <v>45534.0</v>
      </c>
      <c r="H1190" s="277">
        <v>45535.0</v>
      </c>
      <c r="I1190" s="278">
        <v>1.0</v>
      </c>
      <c r="J1190" s="257" t="s">
        <v>78</v>
      </c>
      <c r="K1190" s="253" t="s">
        <v>79</v>
      </c>
      <c r="L1190" s="253" t="s">
        <v>3375</v>
      </c>
      <c r="M1190" s="252">
        <v>2.0</v>
      </c>
      <c r="N1190" s="258">
        <v>0.0</v>
      </c>
      <c r="O1190" s="259">
        <v>164.66</v>
      </c>
      <c r="P1190" s="259">
        <v>131.728</v>
      </c>
      <c r="Q1190" s="262">
        <v>0.0</v>
      </c>
      <c r="R1190" s="260">
        <v>131.728</v>
      </c>
      <c r="S1190" s="260">
        <v>0.0</v>
      </c>
      <c r="T1190" s="260">
        <v>164.66</v>
      </c>
      <c r="U1190" s="261" t="s">
        <v>3376</v>
      </c>
      <c r="V1190" s="279">
        <v>45513.62295138889</v>
      </c>
      <c r="W1190" s="188"/>
      <c r="X1190" s="188"/>
      <c r="Y1190" s="188"/>
      <c r="Z1190" s="188"/>
      <c r="AA1190" s="188"/>
      <c r="AB1190" s="188"/>
      <c r="AC1190" s="188"/>
      <c r="AD1190" s="188"/>
      <c r="AE1190" s="188"/>
      <c r="AF1190" s="188"/>
      <c r="AG1190" s="188"/>
      <c r="AH1190" s="188"/>
      <c r="AI1190" s="188"/>
    </row>
    <row r="1191">
      <c r="A1191" s="210">
        <v>45514.0</v>
      </c>
      <c r="B1191" s="166">
        <v>6014468.0</v>
      </c>
      <c r="C1191" s="166" t="s">
        <v>82</v>
      </c>
      <c r="D1191" s="166" t="s">
        <v>35</v>
      </c>
      <c r="E1191" s="166">
        <v>4.67987106E9</v>
      </c>
      <c r="F1191" s="166" t="s">
        <v>3542</v>
      </c>
      <c r="G1191" s="210">
        <v>45523.0</v>
      </c>
      <c r="H1191" s="287">
        <v>45525.0</v>
      </c>
      <c r="I1191" s="168">
        <v>2.0</v>
      </c>
      <c r="J1191" s="169" t="s">
        <v>87</v>
      </c>
      <c r="K1191" s="166" t="s">
        <v>79</v>
      </c>
      <c r="L1191" s="166" t="s">
        <v>2803</v>
      </c>
      <c r="M1191" s="166">
        <v>1.0</v>
      </c>
      <c r="N1191" s="170">
        <v>0.0</v>
      </c>
      <c r="O1191" s="171">
        <v>131.94</v>
      </c>
      <c r="P1191" s="171">
        <v>105.552</v>
      </c>
      <c r="Q1191" s="172">
        <v>0.0</v>
      </c>
      <c r="R1191" s="173">
        <v>211.104</v>
      </c>
      <c r="S1191" s="173">
        <v>0.0</v>
      </c>
      <c r="T1191" s="173">
        <v>263.88</v>
      </c>
      <c r="U1191" s="174" t="s">
        <v>2804</v>
      </c>
      <c r="V1191" s="288">
        <v>45514.50767361111</v>
      </c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</row>
    <row r="1192">
      <c r="A1192" s="210">
        <v>45515.0</v>
      </c>
      <c r="B1192" s="166">
        <v>6018491.0</v>
      </c>
      <c r="C1192" s="166" t="s">
        <v>82</v>
      </c>
      <c r="D1192" s="166" t="s">
        <v>94</v>
      </c>
      <c r="E1192" s="166">
        <v>6018491.0</v>
      </c>
      <c r="F1192" s="166" t="s">
        <v>3543</v>
      </c>
      <c r="G1192" s="210">
        <v>45519.0</v>
      </c>
      <c r="H1192" s="287">
        <v>45521.0</v>
      </c>
      <c r="I1192" s="168">
        <v>2.0</v>
      </c>
      <c r="J1192" s="169" t="s">
        <v>78</v>
      </c>
      <c r="K1192" s="166" t="s">
        <v>79</v>
      </c>
      <c r="L1192" s="166" t="s">
        <v>1462</v>
      </c>
      <c r="M1192" s="205">
        <v>2.0</v>
      </c>
      <c r="N1192" s="170">
        <v>0.0</v>
      </c>
      <c r="O1192" s="171">
        <v>107.4</v>
      </c>
      <c r="P1192" s="171">
        <v>106.32600000000001</v>
      </c>
      <c r="Q1192" s="172">
        <v>0.0</v>
      </c>
      <c r="R1192" s="173">
        <v>212.65200000000002</v>
      </c>
      <c r="S1192" s="173">
        <v>0.0</v>
      </c>
      <c r="T1192" s="173">
        <v>429.6</v>
      </c>
      <c r="U1192" s="174" t="s">
        <v>1463</v>
      </c>
      <c r="V1192" s="288">
        <v>45515.520057870366</v>
      </c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5"/>
      <c r="AG1192" s="35"/>
      <c r="AH1192" s="35"/>
      <c r="AI1192" s="35"/>
    </row>
    <row r="1193">
      <c r="A1193" s="210">
        <v>45515.0</v>
      </c>
      <c r="B1193" s="166">
        <v>6018491.0</v>
      </c>
      <c r="C1193" s="166" t="s">
        <v>82</v>
      </c>
      <c r="D1193" s="166" t="s">
        <v>94</v>
      </c>
      <c r="E1193" s="166">
        <v>6018491.0</v>
      </c>
      <c r="F1193" s="166" t="s">
        <v>3543</v>
      </c>
      <c r="G1193" s="210">
        <v>45519.0</v>
      </c>
      <c r="H1193" s="287">
        <v>45521.0</v>
      </c>
      <c r="I1193" s="168">
        <v>2.0</v>
      </c>
      <c r="J1193" s="169" t="s">
        <v>78</v>
      </c>
      <c r="K1193" s="166" t="s">
        <v>79</v>
      </c>
      <c r="L1193" s="166" t="s">
        <v>1462</v>
      </c>
      <c r="M1193" s="205">
        <v>2.0</v>
      </c>
      <c r="N1193" s="170">
        <v>0.0</v>
      </c>
      <c r="O1193" s="171">
        <v>107.4</v>
      </c>
      <c r="P1193" s="171">
        <v>106.32600000000001</v>
      </c>
      <c r="Q1193" s="172">
        <v>0.0</v>
      </c>
      <c r="R1193" s="173">
        <v>212.65200000000002</v>
      </c>
      <c r="S1193" s="173">
        <v>0.0</v>
      </c>
      <c r="T1193" s="173">
        <v>429.6</v>
      </c>
      <c r="U1193" s="174" t="s">
        <v>1463</v>
      </c>
      <c r="V1193" s="288">
        <v>45515.520057870366</v>
      </c>
      <c r="W1193" s="35"/>
      <c r="X1193" s="35"/>
      <c r="Y1193" s="35"/>
      <c r="Z1193" s="35"/>
      <c r="AA1193" s="35"/>
      <c r="AB1193" s="35"/>
      <c r="AC1193" s="35"/>
      <c r="AD1193" s="35"/>
      <c r="AE1193" s="35"/>
      <c r="AF1193" s="35"/>
      <c r="AG1193" s="35"/>
      <c r="AH1193" s="35"/>
      <c r="AI1193" s="35"/>
    </row>
    <row r="1194">
      <c r="A1194" s="276">
        <v>45515.0</v>
      </c>
      <c r="B1194" s="252">
        <v>6018474.0</v>
      </c>
      <c r="C1194" s="253" t="s">
        <v>89</v>
      </c>
      <c r="D1194" s="253" t="s">
        <v>35</v>
      </c>
      <c r="E1194" s="252">
        <v>4.992719945E9</v>
      </c>
      <c r="F1194" s="253" t="s">
        <v>3544</v>
      </c>
      <c r="G1194" s="276">
        <v>45520.0</v>
      </c>
      <c r="H1194" s="277">
        <v>45523.0</v>
      </c>
      <c r="I1194" s="278">
        <v>3.0</v>
      </c>
      <c r="J1194" s="257" t="s">
        <v>78</v>
      </c>
      <c r="K1194" s="253" t="s">
        <v>79</v>
      </c>
      <c r="L1194" s="253" t="s">
        <v>2803</v>
      </c>
      <c r="M1194" s="275">
        <v>2.0</v>
      </c>
      <c r="N1194" s="258">
        <v>0.0</v>
      </c>
      <c r="O1194" s="259">
        <v>0.0</v>
      </c>
      <c r="P1194" s="259">
        <v>0.0</v>
      </c>
      <c r="Q1194" s="262">
        <v>0.0</v>
      </c>
      <c r="R1194" s="260">
        <v>0.0</v>
      </c>
      <c r="S1194" s="260">
        <v>0.0</v>
      </c>
      <c r="T1194" s="260">
        <v>0.0</v>
      </c>
      <c r="U1194" s="261" t="s">
        <v>3545</v>
      </c>
      <c r="V1194" s="279">
        <v>45515.51810185185</v>
      </c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5"/>
      <c r="AG1194" s="35"/>
      <c r="AH1194" s="35"/>
      <c r="AI1194" s="35"/>
    </row>
    <row r="1195">
      <c r="A1195" s="280">
        <v>45516.0</v>
      </c>
      <c r="B1195" s="264">
        <v>6021174.0</v>
      </c>
      <c r="C1195" s="265" t="s">
        <v>82</v>
      </c>
      <c r="D1195" s="265" t="s">
        <v>35</v>
      </c>
      <c r="E1195" s="264">
        <v>4.501819657E9</v>
      </c>
      <c r="F1195" s="265" t="s">
        <v>3546</v>
      </c>
      <c r="G1195" s="280">
        <v>45524.0</v>
      </c>
      <c r="H1195" s="281">
        <v>45527.0</v>
      </c>
      <c r="I1195" s="282">
        <v>3.0</v>
      </c>
      <c r="J1195" s="283" t="s">
        <v>111</v>
      </c>
      <c r="K1195" s="265" t="s">
        <v>79</v>
      </c>
      <c r="L1195" s="265" t="s">
        <v>2803</v>
      </c>
      <c r="M1195" s="269">
        <v>1.0</v>
      </c>
      <c r="N1195" s="270">
        <v>0.0</v>
      </c>
      <c r="O1195" s="271">
        <v>159.69</v>
      </c>
      <c r="P1195" s="271">
        <v>127.75200000000001</v>
      </c>
      <c r="Q1195" s="272">
        <v>0.0</v>
      </c>
      <c r="R1195" s="273">
        <v>383.25600000000003</v>
      </c>
      <c r="S1195" s="273">
        <v>0.0</v>
      </c>
      <c r="T1195" s="273">
        <v>479.07</v>
      </c>
      <c r="U1195" s="274" t="s">
        <v>2804</v>
      </c>
      <c r="V1195" s="284">
        <v>45516.07295138889</v>
      </c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</row>
    <row r="1196">
      <c r="A1196" s="210">
        <v>45517.0</v>
      </c>
      <c r="B1196" s="166">
        <v>6026959.0</v>
      </c>
      <c r="C1196" s="166" t="s">
        <v>82</v>
      </c>
      <c r="D1196" s="166" t="s">
        <v>35</v>
      </c>
      <c r="E1196" s="166">
        <v>4.522143033E9</v>
      </c>
      <c r="F1196" s="166" t="s">
        <v>3547</v>
      </c>
      <c r="G1196" s="210">
        <v>45517.0</v>
      </c>
      <c r="H1196" s="287">
        <v>45518.0</v>
      </c>
      <c r="I1196" s="168">
        <v>1.0</v>
      </c>
      <c r="J1196" s="169" t="s">
        <v>87</v>
      </c>
      <c r="K1196" s="166" t="s">
        <v>79</v>
      </c>
      <c r="L1196" s="166" t="s">
        <v>2803</v>
      </c>
      <c r="M1196" s="205">
        <v>2.0</v>
      </c>
      <c r="N1196" s="170">
        <v>0.0</v>
      </c>
      <c r="O1196" s="171">
        <v>82.3</v>
      </c>
      <c r="P1196" s="171">
        <v>65.84</v>
      </c>
      <c r="Q1196" s="172">
        <v>0.0</v>
      </c>
      <c r="R1196" s="173">
        <v>65.84</v>
      </c>
      <c r="S1196" s="173">
        <v>0.0</v>
      </c>
      <c r="T1196" s="173">
        <v>82.3</v>
      </c>
      <c r="U1196" s="174" t="s">
        <v>2804</v>
      </c>
      <c r="V1196" s="288">
        <v>45517.52712962963</v>
      </c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</row>
    <row r="1197">
      <c r="A1197" s="210">
        <v>45517.0</v>
      </c>
      <c r="B1197" s="166">
        <v>6028833.0</v>
      </c>
      <c r="C1197" s="166" t="s">
        <v>82</v>
      </c>
      <c r="D1197" s="166" t="s">
        <v>94</v>
      </c>
      <c r="E1197" s="166">
        <v>6028833.0</v>
      </c>
      <c r="F1197" s="166" t="s">
        <v>3548</v>
      </c>
      <c r="G1197" s="210">
        <v>45518.0</v>
      </c>
      <c r="H1197" s="287">
        <v>45520.0</v>
      </c>
      <c r="I1197" s="168">
        <v>2.0</v>
      </c>
      <c r="J1197" s="169" t="s">
        <v>114</v>
      </c>
      <c r="K1197" s="166" t="s">
        <v>79</v>
      </c>
      <c r="L1197" s="166" t="s">
        <v>1462</v>
      </c>
      <c r="M1197" s="166">
        <v>2.0</v>
      </c>
      <c r="N1197" s="170">
        <v>0.0</v>
      </c>
      <c r="O1197" s="171">
        <v>137.16</v>
      </c>
      <c r="P1197" s="171">
        <v>135.7884</v>
      </c>
      <c r="Q1197" s="172">
        <v>0.0</v>
      </c>
      <c r="R1197" s="173">
        <v>271.5768</v>
      </c>
      <c r="S1197" s="173">
        <v>0.0</v>
      </c>
      <c r="T1197" s="173">
        <v>274.32</v>
      </c>
      <c r="U1197" s="201" t="s">
        <v>1463</v>
      </c>
      <c r="V1197" s="288">
        <v>45517.853854166664</v>
      </c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</row>
    <row r="1198">
      <c r="A1198" s="276">
        <v>45517.0</v>
      </c>
      <c r="B1198" s="252">
        <v>6029430.0</v>
      </c>
      <c r="C1198" s="253" t="s">
        <v>82</v>
      </c>
      <c r="D1198" s="253" t="s">
        <v>35</v>
      </c>
      <c r="E1198" s="252">
        <v>4.614383925E9</v>
      </c>
      <c r="F1198" s="253" t="s">
        <v>3549</v>
      </c>
      <c r="G1198" s="276">
        <v>45533.0</v>
      </c>
      <c r="H1198" s="277">
        <v>45537.0</v>
      </c>
      <c r="I1198" s="278">
        <v>4.0</v>
      </c>
      <c r="J1198" s="257" t="s">
        <v>78</v>
      </c>
      <c r="K1198" s="253" t="s">
        <v>79</v>
      </c>
      <c r="L1198" s="253" t="s">
        <v>2803</v>
      </c>
      <c r="M1198" s="252">
        <v>2.0</v>
      </c>
      <c r="N1198" s="258">
        <v>0.0</v>
      </c>
      <c r="O1198" s="259">
        <v>131.53</v>
      </c>
      <c r="P1198" s="259">
        <v>105.224</v>
      </c>
      <c r="Q1198" s="262">
        <v>0.0</v>
      </c>
      <c r="R1198" s="260">
        <v>420.896</v>
      </c>
      <c r="S1198" s="260">
        <v>0.0</v>
      </c>
      <c r="T1198" s="260">
        <v>526.12</v>
      </c>
      <c r="U1198" s="261" t="s">
        <v>2804</v>
      </c>
      <c r="V1198" s="279">
        <v>45518.00628472222</v>
      </c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</row>
    <row r="1199">
      <c r="A1199" s="210">
        <v>45518.0</v>
      </c>
      <c r="B1199" s="166">
        <v>6031047.0</v>
      </c>
      <c r="C1199" s="166" t="s">
        <v>89</v>
      </c>
      <c r="D1199" s="166" t="s">
        <v>35</v>
      </c>
      <c r="E1199" s="166">
        <v>4.837066905E9</v>
      </c>
      <c r="F1199" s="166" t="s">
        <v>3550</v>
      </c>
      <c r="G1199" s="210">
        <v>45518.0</v>
      </c>
      <c r="H1199" s="287">
        <v>45519.0</v>
      </c>
      <c r="I1199" s="168">
        <v>1.0</v>
      </c>
      <c r="J1199" s="169" t="s">
        <v>78</v>
      </c>
      <c r="K1199" s="166" t="s">
        <v>79</v>
      </c>
      <c r="L1199" s="166" t="s">
        <v>2803</v>
      </c>
      <c r="M1199" s="205">
        <v>3.0</v>
      </c>
      <c r="N1199" s="170">
        <v>0.0</v>
      </c>
      <c r="O1199" s="171">
        <v>0.0</v>
      </c>
      <c r="P1199" s="171">
        <v>0.0</v>
      </c>
      <c r="Q1199" s="172">
        <v>0.0</v>
      </c>
      <c r="R1199" s="173">
        <v>0.0</v>
      </c>
      <c r="S1199" s="173">
        <v>0.0</v>
      </c>
      <c r="T1199" s="173">
        <v>0.0</v>
      </c>
      <c r="U1199" s="174" t="s">
        <v>3551</v>
      </c>
      <c r="V1199" s="288">
        <v>45518.52574074074</v>
      </c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</row>
    <row r="1200">
      <c r="A1200" s="210">
        <v>45519.0</v>
      </c>
      <c r="B1200" s="166">
        <v>6037630.0</v>
      </c>
      <c r="C1200" s="166" t="s">
        <v>89</v>
      </c>
      <c r="D1200" s="166" t="s">
        <v>94</v>
      </c>
      <c r="E1200" s="166">
        <v>4.825234932E9</v>
      </c>
      <c r="F1200" s="166" t="s">
        <v>3552</v>
      </c>
      <c r="G1200" s="210">
        <v>45543.0</v>
      </c>
      <c r="H1200" s="287">
        <v>45544.0</v>
      </c>
      <c r="I1200" s="168">
        <v>1.0</v>
      </c>
      <c r="J1200" s="169" t="s">
        <v>78</v>
      </c>
      <c r="K1200" s="166" t="s">
        <v>79</v>
      </c>
      <c r="L1200" s="166" t="s">
        <v>2803</v>
      </c>
      <c r="M1200" s="166">
        <v>2.0</v>
      </c>
      <c r="N1200" s="170">
        <v>0.0</v>
      </c>
      <c r="O1200" s="171">
        <v>0.0</v>
      </c>
      <c r="P1200" s="171">
        <v>0.0</v>
      </c>
      <c r="Q1200" s="172">
        <v>0.0</v>
      </c>
      <c r="R1200" s="173">
        <v>0.0</v>
      </c>
      <c r="S1200" s="173">
        <v>0.0</v>
      </c>
      <c r="T1200" s="173">
        <v>0.0</v>
      </c>
      <c r="U1200" s="174" t="s">
        <v>3553</v>
      </c>
      <c r="V1200" s="288">
        <v>45519.90074074074</v>
      </c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</row>
    <row r="1201">
      <c r="A1201" s="276">
        <v>45520.0</v>
      </c>
      <c r="B1201" s="252">
        <v>6040342.0</v>
      </c>
      <c r="C1201" s="253" t="s">
        <v>82</v>
      </c>
      <c r="D1201" s="253" t="s">
        <v>94</v>
      </c>
      <c r="E1201" s="252">
        <v>6040342.0</v>
      </c>
      <c r="F1201" s="253" t="s">
        <v>3554</v>
      </c>
      <c r="G1201" s="276">
        <v>45520.0</v>
      </c>
      <c r="H1201" s="277">
        <v>45521.0</v>
      </c>
      <c r="I1201" s="278">
        <v>1.0</v>
      </c>
      <c r="J1201" s="257" t="s">
        <v>78</v>
      </c>
      <c r="K1201" s="253" t="s">
        <v>79</v>
      </c>
      <c r="L1201" s="253" t="s">
        <v>1462</v>
      </c>
      <c r="M1201" s="252">
        <v>2.0</v>
      </c>
      <c r="N1201" s="258">
        <v>0.0</v>
      </c>
      <c r="O1201" s="259">
        <v>107.4</v>
      </c>
      <c r="P1201" s="259">
        <v>106.32600000000001</v>
      </c>
      <c r="Q1201" s="262">
        <v>0.0</v>
      </c>
      <c r="R1201" s="260">
        <v>106.32600000000001</v>
      </c>
      <c r="S1201" s="260">
        <v>0.0</v>
      </c>
      <c r="T1201" s="260">
        <v>227.6</v>
      </c>
      <c r="U1201" s="261" t="s">
        <v>1463</v>
      </c>
      <c r="V1201" s="279">
        <v>45520.649513888886</v>
      </c>
      <c r="W1201" s="35"/>
      <c r="X1201" s="35"/>
      <c r="Y1201" s="35"/>
      <c r="Z1201" s="35"/>
      <c r="AA1201" s="35"/>
      <c r="AB1201" s="35"/>
      <c r="AC1201" s="35"/>
      <c r="AD1201" s="35"/>
      <c r="AE1201" s="35"/>
      <c r="AF1201" s="35"/>
      <c r="AG1201" s="35"/>
      <c r="AH1201" s="35"/>
      <c r="AI1201" s="35"/>
    </row>
    <row r="1202">
      <c r="A1202" s="276">
        <v>45520.0</v>
      </c>
      <c r="B1202" s="252">
        <v>6040342.0</v>
      </c>
      <c r="C1202" s="253" t="s">
        <v>82</v>
      </c>
      <c r="D1202" s="253" t="s">
        <v>94</v>
      </c>
      <c r="E1202" s="252">
        <v>6040342.0</v>
      </c>
      <c r="F1202" s="253" t="s">
        <v>3554</v>
      </c>
      <c r="G1202" s="276">
        <v>45520.0</v>
      </c>
      <c r="H1202" s="277">
        <v>45521.0</v>
      </c>
      <c r="I1202" s="278">
        <v>1.0</v>
      </c>
      <c r="J1202" s="257" t="s">
        <v>114</v>
      </c>
      <c r="K1202" s="253" t="s">
        <v>79</v>
      </c>
      <c r="L1202" s="253" t="s">
        <v>1462</v>
      </c>
      <c r="M1202" s="252">
        <v>2.0</v>
      </c>
      <c r="N1202" s="258">
        <v>0.0</v>
      </c>
      <c r="O1202" s="259">
        <v>120.2</v>
      </c>
      <c r="P1202" s="259">
        <v>118.998</v>
      </c>
      <c r="Q1202" s="262">
        <v>0.0</v>
      </c>
      <c r="R1202" s="260">
        <v>118.998</v>
      </c>
      <c r="S1202" s="260">
        <v>0.0</v>
      </c>
      <c r="T1202" s="260">
        <v>227.6</v>
      </c>
      <c r="U1202" s="261" t="s">
        <v>1463</v>
      </c>
      <c r="V1202" s="279">
        <v>45520.649513888886</v>
      </c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</row>
    <row r="1203">
      <c r="A1203" s="276">
        <v>45520.0</v>
      </c>
      <c r="B1203" s="252">
        <v>6039175.0</v>
      </c>
      <c r="C1203" s="253" t="s">
        <v>82</v>
      </c>
      <c r="D1203" s="253" t="s">
        <v>35</v>
      </c>
      <c r="E1203" s="252">
        <v>4.981113552E9</v>
      </c>
      <c r="F1203" s="253" t="s">
        <v>3555</v>
      </c>
      <c r="G1203" s="276">
        <v>45520.0</v>
      </c>
      <c r="H1203" s="277">
        <v>45521.0</v>
      </c>
      <c r="I1203" s="278">
        <v>1.0</v>
      </c>
      <c r="J1203" s="257" t="s">
        <v>78</v>
      </c>
      <c r="K1203" s="253" t="s">
        <v>79</v>
      </c>
      <c r="L1203" s="253" t="s">
        <v>2803</v>
      </c>
      <c r="M1203" s="275">
        <v>2.0</v>
      </c>
      <c r="N1203" s="258">
        <v>0.0</v>
      </c>
      <c r="O1203" s="259">
        <v>81.24</v>
      </c>
      <c r="P1203" s="259">
        <v>64.992</v>
      </c>
      <c r="Q1203" s="262">
        <v>0.0</v>
      </c>
      <c r="R1203" s="260">
        <v>64.992</v>
      </c>
      <c r="S1203" s="260">
        <v>0.0</v>
      </c>
      <c r="T1203" s="260">
        <v>81.24</v>
      </c>
      <c r="U1203" s="261" t="s">
        <v>2804</v>
      </c>
      <c r="V1203" s="279">
        <v>45520.44171296296</v>
      </c>
      <c r="W1203" s="188"/>
      <c r="X1203" s="188"/>
      <c r="Y1203" s="188"/>
      <c r="Z1203" s="188"/>
      <c r="AA1203" s="188"/>
      <c r="AB1203" s="188"/>
      <c r="AC1203" s="188"/>
      <c r="AD1203" s="188"/>
      <c r="AE1203" s="188"/>
      <c r="AF1203" s="188"/>
      <c r="AG1203" s="188"/>
      <c r="AH1203" s="188"/>
      <c r="AI1203" s="188"/>
    </row>
    <row r="1204">
      <c r="A1204" s="210">
        <v>45520.0</v>
      </c>
      <c r="B1204" s="166">
        <v>6039677.0</v>
      </c>
      <c r="C1204" s="166" t="s">
        <v>82</v>
      </c>
      <c r="D1204" s="166" t="s">
        <v>35</v>
      </c>
      <c r="E1204" s="166">
        <v>4.422004488E9</v>
      </c>
      <c r="F1204" s="166" t="s">
        <v>3556</v>
      </c>
      <c r="G1204" s="210">
        <v>45537.0</v>
      </c>
      <c r="H1204" s="287">
        <v>45538.0</v>
      </c>
      <c r="I1204" s="168">
        <v>1.0</v>
      </c>
      <c r="J1204" s="169" t="s">
        <v>87</v>
      </c>
      <c r="K1204" s="166" t="s">
        <v>79</v>
      </c>
      <c r="L1204" s="166" t="s">
        <v>3364</v>
      </c>
      <c r="M1204" s="166">
        <v>2.0</v>
      </c>
      <c r="N1204" s="170">
        <v>0.0</v>
      </c>
      <c r="O1204" s="171">
        <v>149.17</v>
      </c>
      <c r="P1204" s="171">
        <v>119.336</v>
      </c>
      <c r="Q1204" s="172">
        <v>0.0</v>
      </c>
      <c r="R1204" s="173">
        <v>119.336</v>
      </c>
      <c r="S1204" s="173">
        <v>0.0</v>
      </c>
      <c r="T1204" s="173">
        <v>149.17</v>
      </c>
      <c r="U1204" s="174" t="s">
        <v>3365</v>
      </c>
      <c r="V1204" s="288">
        <v>45520.532685185186</v>
      </c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</row>
    <row r="1205">
      <c r="A1205" s="210">
        <v>45520.0</v>
      </c>
      <c r="B1205" s="166">
        <v>6038667.0</v>
      </c>
      <c r="C1205" s="166" t="s">
        <v>82</v>
      </c>
      <c r="D1205" s="166" t="s">
        <v>35</v>
      </c>
      <c r="E1205" s="166">
        <v>4.894922511E9</v>
      </c>
      <c r="F1205" s="166" t="s">
        <v>3557</v>
      </c>
      <c r="G1205" s="210">
        <v>45543.0</v>
      </c>
      <c r="H1205" s="287">
        <v>45544.0</v>
      </c>
      <c r="I1205" s="168">
        <v>1.0</v>
      </c>
      <c r="J1205" s="169" t="s">
        <v>114</v>
      </c>
      <c r="K1205" s="166" t="s">
        <v>79</v>
      </c>
      <c r="L1205" s="166" t="s">
        <v>3558</v>
      </c>
      <c r="M1205" s="166">
        <v>1.0</v>
      </c>
      <c r="N1205" s="170">
        <v>0.0</v>
      </c>
      <c r="O1205" s="171">
        <v>172.69</v>
      </c>
      <c r="P1205" s="171">
        <v>138.15200000000002</v>
      </c>
      <c r="Q1205" s="172">
        <v>0.0</v>
      </c>
      <c r="R1205" s="173">
        <v>138.15200000000002</v>
      </c>
      <c r="S1205" s="173">
        <v>0.0</v>
      </c>
      <c r="T1205" s="173">
        <v>312.94</v>
      </c>
      <c r="U1205" s="201" t="s">
        <v>3559</v>
      </c>
      <c r="V1205" s="288">
        <v>45520.34243055555</v>
      </c>
      <c r="W1205" s="188"/>
      <c r="X1205" s="188"/>
      <c r="Y1205" s="188"/>
      <c r="Z1205" s="188"/>
      <c r="AA1205" s="188"/>
      <c r="AB1205" s="188"/>
      <c r="AC1205" s="188"/>
      <c r="AD1205" s="188"/>
      <c r="AE1205" s="188"/>
      <c r="AF1205" s="188"/>
      <c r="AG1205" s="188"/>
      <c r="AH1205" s="188"/>
      <c r="AI1205" s="188"/>
    </row>
    <row r="1206">
      <c r="A1206" s="280">
        <v>45520.0</v>
      </c>
      <c r="B1206" s="264">
        <v>6038667.0</v>
      </c>
      <c r="C1206" s="265" t="s">
        <v>82</v>
      </c>
      <c r="D1206" s="265" t="s">
        <v>35</v>
      </c>
      <c r="E1206" s="264">
        <v>4.894922511E9</v>
      </c>
      <c r="F1206" s="265" t="s">
        <v>3557</v>
      </c>
      <c r="G1206" s="280">
        <v>45543.0</v>
      </c>
      <c r="H1206" s="281">
        <v>45544.0</v>
      </c>
      <c r="I1206" s="282">
        <v>1.0</v>
      </c>
      <c r="J1206" s="283" t="s">
        <v>78</v>
      </c>
      <c r="K1206" s="265" t="s">
        <v>79</v>
      </c>
      <c r="L1206" s="265" t="s">
        <v>3558</v>
      </c>
      <c r="M1206" s="269">
        <v>2.0</v>
      </c>
      <c r="N1206" s="270">
        <v>0.0</v>
      </c>
      <c r="O1206" s="271">
        <v>140.25</v>
      </c>
      <c r="P1206" s="271">
        <v>112.2</v>
      </c>
      <c r="Q1206" s="272">
        <v>0.0</v>
      </c>
      <c r="R1206" s="273">
        <v>112.2</v>
      </c>
      <c r="S1206" s="273">
        <v>0.0</v>
      </c>
      <c r="T1206" s="273">
        <v>312.94</v>
      </c>
      <c r="U1206" s="274" t="s">
        <v>3559</v>
      </c>
      <c r="V1206" s="284">
        <v>45520.34243055555</v>
      </c>
      <c r="W1206" s="188"/>
      <c r="X1206" s="188"/>
      <c r="Y1206" s="188"/>
      <c r="Z1206" s="188"/>
      <c r="AA1206" s="188"/>
      <c r="AB1206" s="188"/>
      <c r="AC1206" s="188"/>
      <c r="AD1206" s="188"/>
      <c r="AE1206" s="188"/>
      <c r="AF1206" s="188"/>
      <c r="AG1206" s="188"/>
      <c r="AH1206" s="188"/>
      <c r="AI1206" s="188"/>
    </row>
    <row r="1207">
      <c r="A1207" s="280">
        <v>45521.0</v>
      </c>
      <c r="B1207" s="264">
        <v>6044305.0</v>
      </c>
      <c r="C1207" s="265" t="s">
        <v>82</v>
      </c>
      <c r="D1207" s="265" t="s">
        <v>94</v>
      </c>
      <c r="E1207" s="264">
        <v>6044305.0</v>
      </c>
      <c r="F1207" s="265" t="s">
        <v>3560</v>
      </c>
      <c r="G1207" s="280">
        <v>45521.0</v>
      </c>
      <c r="H1207" s="281">
        <v>45522.0</v>
      </c>
      <c r="I1207" s="282">
        <v>1.0</v>
      </c>
      <c r="J1207" s="283" t="s">
        <v>114</v>
      </c>
      <c r="K1207" s="265" t="s">
        <v>79</v>
      </c>
      <c r="L1207" s="265" t="s">
        <v>1462</v>
      </c>
      <c r="M1207" s="269">
        <v>2.0</v>
      </c>
      <c r="N1207" s="270">
        <v>0.0</v>
      </c>
      <c r="O1207" s="271">
        <v>120.2</v>
      </c>
      <c r="P1207" s="271">
        <v>118.998</v>
      </c>
      <c r="Q1207" s="272">
        <v>0.0</v>
      </c>
      <c r="R1207" s="273">
        <v>118.998</v>
      </c>
      <c r="S1207" s="273">
        <v>0.0</v>
      </c>
      <c r="T1207" s="273">
        <v>120.2</v>
      </c>
      <c r="U1207" s="274" t="s">
        <v>1463</v>
      </c>
      <c r="V1207" s="284">
        <v>45521.66365740741</v>
      </c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</row>
    <row r="1208">
      <c r="A1208" s="379">
        <v>45522.0</v>
      </c>
      <c r="B1208" s="380">
        <v>6048492.0</v>
      </c>
      <c r="C1208" s="381" t="s">
        <v>89</v>
      </c>
      <c r="D1208" s="381" t="s">
        <v>35</v>
      </c>
      <c r="E1208" s="380">
        <v>4.978547277E9</v>
      </c>
      <c r="F1208" s="381" t="s">
        <v>3561</v>
      </c>
      <c r="G1208" s="379">
        <v>45523.0</v>
      </c>
      <c r="H1208" s="382">
        <v>45524.0</v>
      </c>
      <c r="I1208" s="383">
        <v>1.0</v>
      </c>
      <c r="J1208" s="384" t="s">
        <v>78</v>
      </c>
      <c r="K1208" s="381" t="s">
        <v>79</v>
      </c>
      <c r="L1208" s="381" t="s">
        <v>2803</v>
      </c>
      <c r="M1208" s="385">
        <v>2.0</v>
      </c>
      <c r="N1208" s="387">
        <v>0.0</v>
      </c>
      <c r="O1208" s="388">
        <v>0.0</v>
      </c>
      <c r="P1208" s="388">
        <v>0.0</v>
      </c>
      <c r="Q1208" s="389">
        <v>0.0</v>
      </c>
      <c r="R1208" s="390">
        <v>0.0</v>
      </c>
      <c r="S1208" s="390">
        <v>0.0</v>
      </c>
      <c r="T1208" s="390">
        <v>0.0</v>
      </c>
      <c r="U1208" s="391" t="s">
        <v>3562</v>
      </c>
      <c r="V1208" s="392">
        <v>45522.74793981481</v>
      </c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</row>
    <row r="1209">
      <c r="A1209" s="276">
        <v>45522.0</v>
      </c>
      <c r="B1209" s="252">
        <v>6048814.0</v>
      </c>
      <c r="C1209" s="253" t="s">
        <v>82</v>
      </c>
      <c r="D1209" s="253" t="s">
        <v>35</v>
      </c>
      <c r="E1209" s="252">
        <v>4.313400086E9</v>
      </c>
      <c r="F1209" s="253" t="s">
        <v>3563</v>
      </c>
      <c r="G1209" s="276">
        <v>45527.0</v>
      </c>
      <c r="H1209" s="277">
        <v>45529.0</v>
      </c>
      <c r="I1209" s="278">
        <v>2.0</v>
      </c>
      <c r="J1209" s="257" t="s">
        <v>78</v>
      </c>
      <c r="K1209" s="253" t="s">
        <v>79</v>
      </c>
      <c r="L1209" s="253" t="s">
        <v>3456</v>
      </c>
      <c r="M1209" s="252">
        <v>3.0</v>
      </c>
      <c r="N1209" s="258">
        <v>0.0</v>
      </c>
      <c r="O1209" s="259">
        <v>124.9</v>
      </c>
      <c r="P1209" s="259">
        <v>99.92000000000002</v>
      </c>
      <c r="Q1209" s="262">
        <v>0.0</v>
      </c>
      <c r="R1209" s="260">
        <v>199.84000000000003</v>
      </c>
      <c r="S1209" s="260">
        <v>0.0</v>
      </c>
      <c r="T1209" s="260">
        <v>249.8</v>
      </c>
      <c r="U1209" s="261" t="s">
        <v>3457</v>
      </c>
      <c r="V1209" s="279">
        <v>45522.80768518518</v>
      </c>
      <c r="W1209" s="35"/>
      <c r="X1209" s="35"/>
      <c r="Y1209" s="35"/>
      <c r="Z1209" s="35"/>
      <c r="AA1209" s="35"/>
      <c r="AB1209" s="35"/>
      <c r="AC1209" s="35"/>
      <c r="AD1209" s="35"/>
      <c r="AE1209" s="35"/>
      <c r="AF1209" s="35"/>
      <c r="AG1209" s="35"/>
      <c r="AH1209" s="35"/>
      <c r="AI1209" s="35"/>
    </row>
    <row r="1210">
      <c r="A1210" s="280">
        <v>45522.0</v>
      </c>
      <c r="B1210" s="264">
        <v>6048584.0</v>
      </c>
      <c r="C1210" s="265" t="s">
        <v>82</v>
      </c>
      <c r="D1210" s="265" t="s">
        <v>94</v>
      </c>
      <c r="E1210" s="264">
        <v>6048584.0</v>
      </c>
      <c r="F1210" s="265" t="s">
        <v>3564</v>
      </c>
      <c r="G1210" s="280">
        <v>45535.0</v>
      </c>
      <c r="H1210" s="281">
        <v>45537.0</v>
      </c>
      <c r="I1210" s="282">
        <v>2.0</v>
      </c>
      <c r="J1210" s="283" t="s">
        <v>87</v>
      </c>
      <c r="K1210" s="265" t="s">
        <v>79</v>
      </c>
      <c r="L1210" s="265" t="s">
        <v>1462</v>
      </c>
      <c r="M1210" s="269">
        <v>2.0</v>
      </c>
      <c r="N1210" s="283">
        <v>0.0</v>
      </c>
      <c r="O1210" s="271">
        <v>131.84</v>
      </c>
      <c r="P1210" s="271">
        <v>130.5216</v>
      </c>
      <c r="Q1210" s="283">
        <v>0.0</v>
      </c>
      <c r="R1210" s="273">
        <v>261.0432</v>
      </c>
      <c r="S1210" s="273">
        <v>0.0</v>
      </c>
      <c r="T1210" s="273">
        <v>263.68</v>
      </c>
      <c r="U1210" s="274" t="s">
        <v>1463</v>
      </c>
      <c r="V1210" s="284">
        <v>45522.76634259259</v>
      </c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</row>
    <row r="1211">
      <c r="A1211" s="210">
        <v>45522.0</v>
      </c>
      <c r="B1211" s="166">
        <v>6049430.0</v>
      </c>
      <c r="C1211" s="166" t="s">
        <v>82</v>
      </c>
      <c r="D1211" s="166" t="s">
        <v>35</v>
      </c>
      <c r="E1211" s="166">
        <v>4.414095306E9</v>
      </c>
      <c r="F1211" s="166" t="s">
        <v>3565</v>
      </c>
      <c r="G1211" s="210">
        <v>45569.0</v>
      </c>
      <c r="H1211" s="287">
        <v>45573.0</v>
      </c>
      <c r="I1211" s="168">
        <v>4.0</v>
      </c>
      <c r="J1211" s="169" t="s">
        <v>78</v>
      </c>
      <c r="K1211" s="166" t="s">
        <v>79</v>
      </c>
      <c r="L1211" s="166" t="s">
        <v>2803</v>
      </c>
      <c r="M1211" s="166">
        <v>3.0</v>
      </c>
      <c r="N1211" s="170">
        <v>0.0</v>
      </c>
      <c r="O1211" s="171">
        <v>146.0</v>
      </c>
      <c r="P1211" s="171">
        <v>116.80000000000001</v>
      </c>
      <c r="Q1211" s="172">
        <v>0.0</v>
      </c>
      <c r="R1211" s="173">
        <v>467.20000000000005</v>
      </c>
      <c r="S1211" s="173">
        <v>0.0</v>
      </c>
      <c r="T1211" s="173">
        <v>584.0</v>
      </c>
      <c r="U1211" s="201" t="s">
        <v>2804</v>
      </c>
      <c r="V1211" s="288">
        <v>45522.93063657408</v>
      </c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</row>
    <row r="1212">
      <c r="A1212" s="210">
        <v>45522.0</v>
      </c>
      <c r="B1212" s="166">
        <v>6046934.0</v>
      </c>
      <c r="C1212" s="166" t="s">
        <v>82</v>
      </c>
      <c r="D1212" s="166" t="s">
        <v>109</v>
      </c>
      <c r="E1212" s="166">
        <v>4.58829499E8</v>
      </c>
      <c r="F1212" s="166" t="s">
        <v>3566</v>
      </c>
      <c r="G1212" s="212">
        <v>45577.0</v>
      </c>
      <c r="H1212" s="310">
        <v>45580.0</v>
      </c>
      <c r="I1212" s="168">
        <v>3.0</v>
      </c>
      <c r="J1212" s="169" t="s">
        <v>78</v>
      </c>
      <c r="K1212" s="166" t="s">
        <v>79</v>
      </c>
      <c r="L1212" s="166" t="s">
        <v>3378</v>
      </c>
      <c r="M1212" s="205">
        <v>2.0</v>
      </c>
      <c r="N1212" s="170">
        <v>0.0</v>
      </c>
      <c r="O1212" s="171">
        <v>140.76</v>
      </c>
      <c r="P1212" s="171">
        <v>112.608</v>
      </c>
      <c r="Q1212" s="172">
        <v>0.0</v>
      </c>
      <c r="R1212" s="173">
        <v>337.824</v>
      </c>
      <c r="S1212" s="173">
        <v>0.0</v>
      </c>
      <c r="T1212" s="173">
        <v>422.28</v>
      </c>
      <c r="U1212" s="174" t="s">
        <v>3379</v>
      </c>
      <c r="V1212" s="288">
        <v>45522.46534722223</v>
      </c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</row>
    <row r="1213">
      <c r="A1213" s="210">
        <v>45522.0</v>
      </c>
      <c r="B1213" s="166">
        <v>6045935.0</v>
      </c>
      <c r="C1213" s="166" t="s">
        <v>82</v>
      </c>
      <c r="D1213" s="166" t="s">
        <v>94</v>
      </c>
      <c r="E1213" s="166">
        <v>4.58771063E8</v>
      </c>
      <c r="F1213" s="166" t="s">
        <v>3567</v>
      </c>
      <c r="G1213" s="212">
        <v>45577.0</v>
      </c>
      <c r="H1213" s="310">
        <v>45578.0</v>
      </c>
      <c r="I1213" s="168">
        <v>1.0</v>
      </c>
      <c r="J1213" s="169" t="s">
        <v>78</v>
      </c>
      <c r="K1213" s="166" t="s">
        <v>79</v>
      </c>
      <c r="L1213" s="166" t="s">
        <v>3459</v>
      </c>
      <c r="M1213" s="166">
        <v>2.0</v>
      </c>
      <c r="N1213" s="169">
        <v>0.0</v>
      </c>
      <c r="O1213" s="171">
        <v>153.0</v>
      </c>
      <c r="P1213" s="171">
        <v>151.47</v>
      </c>
      <c r="Q1213" s="169">
        <v>0.0</v>
      </c>
      <c r="R1213" s="173">
        <v>151.47</v>
      </c>
      <c r="S1213" s="173">
        <v>0.0</v>
      </c>
      <c r="T1213" s="173">
        <v>153.0</v>
      </c>
      <c r="U1213" s="201" t="s">
        <v>3460</v>
      </c>
      <c r="V1213" s="288">
        <v>45522.135462962964</v>
      </c>
      <c r="W1213" s="35"/>
      <c r="X1213" s="35"/>
      <c r="Y1213" s="35"/>
      <c r="Z1213" s="35"/>
      <c r="AA1213" s="35"/>
      <c r="AB1213" s="35"/>
      <c r="AC1213" s="35"/>
      <c r="AD1213" s="35"/>
      <c r="AE1213" s="35"/>
      <c r="AF1213" s="35"/>
      <c r="AG1213" s="35"/>
      <c r="AH1213" s="35"/>
      <c r="AI1213" s="35"/>
    </row>
    <row r="1214">
      <c r="A1214" s="210">
        <v>45523.0</v>
      </c>
      <c r="B1214" s="166">
        <v>6049869.0</v>
      </c>
      <c r="C1214" s="166" t="s">
        <v>89</v>
      </c>
      <c r="D1214" s="166" t="s">
        <v>35</v>
      </c>
      <c r="E1214" s="166">
        <v>4.806326909E9</v>
      </c>
      <c r="F1214" s="166" t="s">
        <v>3568</v>
      </c>
      <c r="G1214" s="210">
        <v>45527.0</v>
      </c>
      <c r="H1214" s="287">
        <v>45529.0</v>
      </c>
      <c r="I1214" s="168">
        <v>2.0</v>
      </c>
      <c r="J1214" s="169" t="s">
        <v>78</v>
      </c>
      <c r="K1214" s="166" t="s">
        <v>79</v>
      </c>
      <c r="L1214" s="166" t="s">
        <v>2803</v>
      </c>
      <c r="M1214" s="166">
        <v>2.0</v>
      </c>
      <c r="N1214" s="170">
        <v>0.0</v>
      </c>
      <c r="O1214" s="171">
        <v>0.0</v>
      </c>
      <c r="P1214" s="171">
        <v>0.0</v>
      </c>
      <c r="Q1214" s="172">
        <v>0.0</v>
      </c>
      <c r="R1214" s="173">
        <v>0.0</v>
      </c>
      <c r="S1214" s="173">
        <v>0.0</v>
      </c>
      <c r="T1214" s="173">
        <v>0.0</v>
      </c>
      <c r="U1214" s="174" t="s">
        <v>3569</v>
      </c>
      <c r="V1214" s="288">
        <v>45523.13615740741</v>
      </c>
      <c r="W1214" s="35"/>
      <c r="X1214" s="35"/>
      <c r="Y1214" s="35"/>
      <c r="Z1214" s="35"/>
      <c r="AA1214" s="35"/>
      <c r="AB1214" s="35"/>
      <c r="AC1214" s="35"/>
      <c r="AD1214" s="35"/>
      <c r="AE1214" s="35"/>
      <c r="AF1214" s="35"/>
      <c r="AG1214" s="35"/>
      <c r="AH1214" s="35"/>
      <c r="AI1214" s="35"/>
    </row>
    <row r="1215">
      <c r="A1215" s="210">
        <v>45524.0</v>
      </c>
      <c r="B1215" s="166">
        <v>6056823.0</v>
      </c>
      <c r="C1215" s="166" t="s">
        <v>82</v>
      </c>
      <c r="D1215" s="166" t="s">
        <v>35</v>
      </c>
      <c r="E1215" s="166">
        <v>4.657608823E9</v>
      </c>
      <c r="F1215" s="166" t="s">
        <v>3570</v>
      </c>
      <c r="G1215" s="210">
        <v>45525.0</v>
      </c>
      <c r="H1215" s="287">
        <v>45526.0</v>
      </c>
      <c r="I1215" s="168">
        <v>1.0</v>
      </c>
      <c r="J1215" s="169" t="s">
        <v>78</v>
      </c>
      <c r="K1215" s="166" t="s">
        <v>79</v>
      </c>
      <c r="L1215" s="166" t="s">
        <v>2803</v>
      </c>
      <c r="M1215" s="166">
        <v>3.0</v>
      </c>
      <c r="N1215" s="170">
        <v>0.0</v>
      </c>
      <c r="O1215" s="171">
        <v>95.93</v>
      </c>
      <c r="P1215" s="171">
        <v>76.74400000000001</v>
      </c>
      <c r="Q1215" s="172">
        <v>0.0</v>
      </c>
      <c r="R1215" s="173">
        <v>76.74400000000001</v>
      </c>
      <c r="S1215" s="173">
        <v>0.0</v>
      </c>
      <c r="T1215" s="173">
        <v>95.93</v>
      </c>
      <c r="U1215" s="201" t="s">
        <v>2804</v>
      </c>
      <c r="V1215" s="288">
        <v>45524.737546296295</v>
      </c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</row>
    <row r="1216">
      <c r="A1216" s="210">
        <v>45524.0</v>
      </c>
      <c r="B1216" s="166">
        <v>6056590.0</v>
      </c>
      <c r="C1216" s="166" t="s">
        <v>82</v>
      </c>
      <c r="D1216" s="166" t="s">
        <v>35</v>
      </c>
      <c r="E1216" s="166">
        <v>4.81022414E9</v>
      </c>
      <c r="F1216" s="166" t="s">
        <v>3571</v>
      </c>
      <c r="G1216" s="212">
        <v>45591.0</v>
      </c>
      <c r="H1216" s="287">
        <v>45597.0</v>
      </c>
      <c r="I1216" s="168">
        <v>6.0</v>
      </c>
      <c r="J1216" s="169" t="s">
        <v>114</v>
      </c>
      <c r="K1216" s="166" t="s">
        <v>79</v>
      </c>
      <c r="L1216" s="166" t="s">
        <v>2803</v>
      </c>
      <c r="M1216" s="166">
        <v>2.0</v>
      </c>
      <c r="N1216" s="170">
        <v>0.0</v>
      </c>
      <c r="O1216" s="171">
        <v>160.25</v>
      </c>
      <c r="P1216" s="171">
        <v>128.20000000000002</v>
      </c>
      <c r="Q1216" s="172">
        <v>0.0</v>
      </c>
      <c r="R1216" s="173">
        <v>769.2</v>
      </c>
      <c r="S1216" s="173">
        <v>0.0</v>
      </c>
      <c r="T1216" s="173">
        <v>961.5</v>
      </c>
      <c r="U1216" s="201" t="s">
        <v>2804</v>
      </c>
      <c r="V1216" s="288">
        <v>45524.701469907406</v>
      </c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</row>
    <row r="1217">
      <c r="A1217" s="210">
        <v>45524.0</v>
      </c>
      <c r="B1217" s="166">
        <v>6055892.0</v>
      </c>
      <c r="C1217" s="166" t="s">
        <v>82</v>
      </c>
      <c r="D1217" s="166" t="s">
        <v>12</v>
      </c>
      <c r="E1217" s="166" t="s">
        <v>3572</v>
      </c>
      <c r="F1217" s="166" t="s">
        <v>3573</v>
      </c>
      <c r="G1217" s="210">
        <v>45601.0</v>
      </c>
      <c r="H1217" s="287">
        <v>45602.0</v>
      </c>
      <c r="I1217" s="168">
        <v>1.0</v>
      </c>
      <c r="J1217" s="169" t="s">
        <v>78</v>
      </c>
      <c r="K1217" s="166" t="s">
        <v>79</v>
      </c>
      <c r="L1217" s="166" t="s">
        <v>3574</v>
      </c>
      <c r="M1217" s="205">
        <v>2.0</v>
      </c>
      <c r="N1217" s="170">
        <v>0.0</v>
      </c>
      <c r="O1217" s="171">
        <v>151.63</v>
      </c>
      <c r="P1217" s="171">
        <v>121.304</v>
      </c>
      <c r="Q1217" s="172">
        <v>0.0</v>
      </c>
      <c r="R1217" s="173">
        <v>121.304</v>
      </c>
      <c r="S1217" s="173">
        <v>0.0</v>
      </c>
      <c r="T1217" s="173">
        <v>151.63</v>
      </c>
      <c r="U1217" s="174" t="s">
        <v>3575</v>
      </c>
      <c r="V1217" s="288">
        <v>45524.57717592592</v>
      </c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</row>
    <row r="1218">
      <c r="A1218" s="210">
        <v>45525.0</v>
      </c>
      <c r="B1218" s="166">
        <v>6059129.0</v>
      </c>
      <c r="C1218" s="166" t="s">
        <v>89</v>
      </c>
      <c r="D1218" s="166" t="s">
        <v>35</v>
      </c>
      <c r="E1218" s="166">
        <v>4.572535978E9</v>
      </c>
      <c r="F1218" s="166" t="s">
        <v>3576</v>
      </c>
      <c r="G1218" s="210">
        <v>45525.0</v>
      </c>
      <c r="H1218" s="287">
        <v>45526.0</v>
      </c>
      <c r="I1218" s="168">
        <v>1.0</v>
      </c>
      <c r="J1218" s="169" t="s">
        <v>114</v>
      </c>
      <c r="K1218" s="166" t="s">
        <v>79</v>
      </c>
      <c r="L1218" s="166" t="s">
        <v>2803</v>
      </c>
      <c r="M1218" s="166">
        <v>2.0</v>
      </c>
      <c r="N1218" s="170">
        <v>0.0</v>
      </c>
      <c r="O1218" s="171">
        <v>0.0</v>
      </c>
      <c r="P1218" s="171">
        <v>0.0</v>
      </c>
      <c r="Q1218" s="172">
        <v>0.0</v>
      </c>
      <c r="R1218" s="173">
        <v>0.0</v>
      </c>
      <c r="S1218" s="173">
        <v>0.0</v>
      </c>
      <c r="T1218" s="173">
        <v>0.0</v>
      </c>
      <c r="U1218" s="174" t="s">
        <v>3577</v>
      </c>
      <c r="V1218" s="288">
        <v>45525.431979166664</v>
      </c>
      <c r="W1218" s="35"/>
      <c r="X1218" s="35"/>
      <c r="Y1218" s="35"/>
      <c r="Z1218" s="35"/>
      <c r="AA1218" s="35"/>
      <c r="AB1218" s="35"/>
      <c r="AC1218" s="35"/>
      <c r="AD1218" s="35"/>
      <c r="AE1218" s="35"/>
      <c r="AF1218" s="35"/>
      <c r="AG1218" s="35"/>
      <c r="AH1218" s="35"/>
      <c r="AI1218" s="35"/>
    </row>
    <row r="1219">
      <c r="A1219" s="210">
        <v>45525.0</v>
      </c>
      <c r="B1219" s="166">
        <v>6059446.0</v>
      </c>
      <c r="C1219" s="166" t="s">
        <v>82</v>
      </c>
      <c r="D1219" s="166" t="s">
        <v>94</v>
      </c>
      <c r="E1219" s="166">
        <v>6059446.0</v>
      </c>
      <c r="F1219" s="166" t="s">
        <v>3576</v>
      </c>
      <c r="G1219" s="210">
        <v>45525.0</v>
      </c>
      <c r="H1219" s="287">
        <v>45526.0</v>
      </c>
      <c r="I1219" s="168">
        <v>1.0</v>
      </c>
      <c r="J1219" s="169" t="s">
        <v>114</v>
      </c>
      <c r="K1219" s="166" t="s">
        <v>79</v>
      </c>
      <c r="L1219" s="166" t="s">
        <v>1462</v>
      </c>
      <c r="M1219" s="166">
        <v>2.0</v>
      </c>
      <c r="N1219" s="170">
        <v>0.0</v>
      </c>
      <c r="O1219" s="171">
        <v>120.2</v>
      </c>
      <c r="P1219" s="171">
        <v>118.998</v>
      </c>
      <c r="Q1219" s="172">
        <v>0.0</v>
      </c>
      <c r="R1219" s="173">
        <v>118.998</v>
      </c>
      <c r="S1219" s="173">
        <v>0.0</v>
      </c>
      <c r="T1219" s="173">
        <v>120.2</v>
      </c>
      <c r="U1219" s="174" t="s">
        <v>1463</v>
      </c>
      <c r="V1219" s="288">
        <v>45525.48657407408</v>
      </c>
      <c r="W1219" s="188"/>
      <c r="X1219" s="188"/>
      <c r="Y1219" s="188"/>
      <c r="Z1219" s="188"/>
      <c r="AA1219" s="188"/>
      <c r="AB1219" s="188"/>
      <c r="AC1219" s="188"/>
      <c r="AD1219" s="188"/>
      <c r="AE1219" s="188"/>
      <c r="AF1219" s="188"/>
      <c r="AG1219" s="188"/>
      <c r="AH1219" s="188"/>
      <c r="AI1219" s="188"/>
    </row>
    <row r="1220">
      <c r="A1220" s="210">
        <v>45525.0</v>
      </c>
      <c r="B1220" s="166">
        <v>6059039.0</v>
      </c>
      <c r="C1220" s="166" t="s">
        <v>82</v>
      </c>
      <c r="D1220" s="166" t="s">
        <v>35</v>
      </c>
      <c r="E1220" s="166">
        <v>4.43925472E9</v>
      </c>
      <c r="F1220" s="166" t="s">
        <v>3578</v>
      </c>
      <c r="G1220" s="210">
        <v>45525.0</v>
      </c>
      <c r="H1220" s="287">
        <v>45526.0</v>
      </c>
      <c r="I1220" s="168">
        <v>1.0</v>
      </c>
      <c r="J1220" s="169" t="s">
        <v>78</v>
      </c>
      <c r="K1220" s="166" t="s">
        <v>79</v>
      </c>
      <c r="L1220" s="166" t="s">
        <v>2833</v>
      </c>
      <c r="M1220" s="166">
        <v>3.0</v>
      </c>
      <c r="N1220" s="170">
        <v>0.0</v>
      </c>
      <c r="O1220" s="171">
        <v>106.68</v>
      </c>
      <c r="P1220" s="171">
        <v>85.34400000000001</v>
      </c>
      <c r="Q1220" s="172">
        <v>0.0</v>
      </c>
      <c r="R1220" s="173">
        <v>85.34400000000001</v>
      </c>
      <c r="S1220" s="173">
        <v>0.0</v>
      </c>
      <c r="T1220" s="173">
        <v>194.44</v>
      </c>
      <c r="U1220" s="174" t="s">
        <v>3531</v>
      </c>
      <c r="V1220" s="288">
        <v>45525.411886574075</v>
      </c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</row>
    <row r="1221">
      <c r="A1221" s="210">
        <v>45525.0</v>
      </c>
      <c r="B1221" s="166">
        <v>6059039.0</v>
      </c>
      <c r="C1221" s="166" t="s">
        <v>89</v>
      </c>
      <c r="D1221" s="166" t="s">
        <v>35</v>
      </c>
      <c r="E1221" s="166">
        <v>4.43925472E9</v>
      </c>
      <c r="F1221" s="166" t="s">
        <v>3578</v>
      </c>
      <c r="G1221" s="210">
        <v>45525.0</v>
      </c>
      <c r="H1221" s="287">
        <v>45526.0</v>
      </c>
      <c r="I1221" s="168">
        <v>1.0</v>
      </c>
      <c r="J1221" s="169" t="s">
        <v>87</v>
      </c>
      <c r="K1221" s="166" t="s">
        <v>79</v>
      </c>
      <c r="L1221" s="166" t="s">
        <v>2833</v>
      </c>
      <c r="M1221" s="166">
        <v>2.0</v>
      </c>
      <c r="N1221" s="170">
        <v>0.0</v>
      </c>
      <c r="O1221" s="171">
        <v>0.0</v>
      </c>
      <c r="P1221" s="171">
        <v>0.0</v>
      </c>
      <c r="Q1221" s="172">
        <v>0.0</v>
      </c>
      <c r="R1221" s="173">
        <v>0.0</v>
      </c>
      <c r="S1221" s="173">
        <v>0.0</v>
      </c>
      <c r="T1221" s="173">
        <v>0.0</v>
      </c>
      <c r="U1221" s="174" t="s">
        <v>3579</v>
      </c>
      <c r="V1221" s="288">
        <v>45525.411886574075</v>
      </c>
      <c r="W1221" s="35"/>
      <c r="X1221" s="35"/>
      <c r="Y1221" s="35"/>
      <c r="Z1221" s="35"/>
      <c r="AA1221" s="35"/>
      <c r="AB1221" s="35"/>
      <c r="AC1221" s="35"/>
      <c r="AD1221" s="35"/>
      <c r="AE1221" s="35"/>
      <c r="AF1221" s="35"/>
      <c r="AG1221" s="35"/>
      <c r="AH1221" s="35"/>
      <c r="AI1221" s="35"/>
    </row>
    <row r="1222">
      <c r="A1222" s="280">
        <v>45525.0</v>
      </c>
      <c r="B1222" s="264">
        <v>6061612.0</v>
      </c>
      <c r="C1222" s="265" t="s">
        <v>82</v>
      </c>
      <c r="D1222" s="265" t="s">
        <v>94</v>
      </c>
      <c r="E1222" s="264">
        <v>6061612.0</v>
      </c>
      <c r="F1222" s="265" t="s">
        <v>3580</v>
      </c>
      <c r="G1222" s="280">
        <v>45525.0</v>
      </c>
      <c r="H1222" s="281">
        <v>45526.0</v>
      </c>
      <c r="I1222" s="282">
        <v>1.0</v>
      </c>
      <c r="J1222" s="283" t="s">
        <v>87</v>
      </c>
      <c r="K1222" s="265" t="s">
        <v>79</v>
      </c>
      <c r="L1222" s="265" t="s">
        <v>1811</v>
      </c>
      <c r="M1222" s="269">
        <v>2.0</v>
      </c>
      <c r="N1222" s="270">
        <v>0.0</v>
      </c>
      <c r="O1222" s="271">
        <v>90.44</v>
      </c>
      <c r="P1222" s="271">
        <v>89.5356</v>
      </c>
      <c r="Q1222" s="272">
        <v>0.0</v>
      </c>
      <c r="R1222" s="273">
        <v>89.5356</v>
      </c>
      <c r="S1222" s="273">
        <v>0.0</v>
      </c>
      <c r="T1222" s="273">
        <v>197.84</v>
      </c>
      <c r="U1222" s="274" t="s">
        <v>1812</v>
      </c>
      <c r="V1222" s="284">
        <v>45525.849398148144</v>
      </c>
      <c r="W1222" s="35"/>
      <c r="X1222" s="35"/>
      <c r="Y1222" s="35"/>
      <c r="Z1222" s="35"/>
      <c r="AA1222" s="35"/>
      <c r="AB1222" s="35"/>
      <c r="AC1222" s="35"/>
      <c r="AD1222" s="35"/>
      <c r="AE1222" s="35"/>
      <c r="AF1222" s="35"/>
      <c r="AG1222" s="35"/>
      <c r="AH1222" s="35"/>
      <c r="AI1222" s="35"/>
    </row>
    <row r="1223">
      <c r="A1223" s="210">
        <v>45525.0</v>
      </c>
      <c r="B1223" s="166">
        <v>6061612.0</v>
      </c>
      <c r="C1223" s="166" t="s">
        <v>82</v>
      </c>
      <c r="D1223" s="166" t="s">
        <v>94</v>
      </c>
      <c r="E1223" s="166">
        <v>6061612.0</v>
      </c>
      <c r="F1223" s="166" t="s">
        <v>3580</v>
      </c>
      <c r="G1223" s="210">
        <v>45525.0</v>
      </c>
      <c r="H1223" s="287">
        <v>45526.0</v>
      </c>
      <c r="I1223" s="168">
        <v>1.0</v>
      </c>
      <c r="J1223" s="169" t="s">
        <v>78</v>
      </c>
      <c r="K1223" s="166" t="s">
        <v>79</v>
      </c>
      <c r="L1223" s="166" t="s">
        <v>1811</v>
      </c>
      <c r="M1223" s="166">
        <v>2.0</v>
      </c>
      <c r="N1223" s="169">
        <v>0.0</v>
      </c>
      <c r="O1223" s="171">
        <v>107.4</v>
      </c>
      <c r="P1223" s="171">
        <v>106.32600000000001</v>
      </c>
      <c r="Q1223" s="169">
        <v>0.0</v>
      </c>
      <c r="R1223" s="173">
        <v>106.32600000000001</v>
      </c>
      <c r="S1223" s="173">
        <v>0.0</v>
      </c>
      <c r="T1223" s="173">
        <v>197.84</v>
      </c>
      <c r="U1223" s="201" t="s">
        <v>1812</v>
      </c>
      <c r="V1223" s="288">
        <v>45525.849398148144</v>
      </c>
      <c r="W1223" s="35"/>
      <c r="X1223" s="35"/>
      <c r="Y1223" s="35"/>
      <c r="Z1223" s="35"/>
      <c r="AA1223" s="35"/>
      <c r="AB1223" s="35"/>
      <c r="AC1223" s="35"/>
      <c r="AD1223" s="35"/>
      <c r="AE1223" s="35"/>
      <c r="AF1223" s="35"/>
      <c r="AG1223" s="35"/>
      <c r="AH1223" s="35"/>
      <c r="AI1223" s="35"/>
    </row>
    <row r="1224">
      <c r="A1224" s="280">
        <v>45525.0</v>
      </c>
      <c r="B1224" s="264">
        <v>6059220.0</v>
      </c>
      <c r="C1224" s="265" t="s">
        <v>82</v>
      </c>
      <c r="D1224" s="265" t="s">
        <v>35</v>
      </c>
      <c r="E1224" s="264">
        <v>4.964435051E9</v>
      </c>
      <c r="F1224" s="265" t="s">
        <v>3581</v>
      </c>
      <c r="G1224" s="280">
        <v>45540.0</v>
      </c>
      <c r="H1224" s="281">
        <v>45542.0</v>
      </c>
      <c r="I1224" s="282">
        <v>2.0</v>
      </c>
      <c r="J1224" s="283" t="s">
        <v>78</v>
      </c>
      <c r="K1224" s="265" t="s">
        <v>79</v>
      </c>
      <c r="L1224" s="265" t="s">
        <v>2803</v>
      </c>
      <c r="M1224" s="269">
        <v>2.0</v>
      </c>
      <c r="N1224" s="270">
        <v>0.0</v>
      </c>
      <c r="O1224" s="271">
        <v>143.5</v>
      </c>
      <c r="P1224" s="271">
        <v>114.80000000000001</v>
      </c>
      <c r="Q1224" s="272">
        <v>0.0</v>
      </c>
      <c r="R1224" s="273">
        <v>229.60000000000002</v>
      </c>
      <c r="S1224" s="273">
        <v>0.0</v>
      </c>
      <c r="T1224" s="273">
        <v>287.0</v>
      </c>
      <c r="U1224" s="274" t="s">
        <v>2804</v>
      </c>
      <c r="V1224" s="284">
        <v>45525.44797453703</v>
      </c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</row>
    <row r="1225">
      <c r="A1225" s="210">
        <v>45525.0</v>
      </c>
      <c r="B1225" s="166">
        <v>6059094.0</v>
      </c>
      <c r="C1225" s="166" t="s">
        <v>82</v>
      </c>
      <c r="D1225" s="166" t="s">
        <v>94</v>
      </c>
      <c r="E1225" s="166">
        <v>4.59581207E8</v>
      </c>
      <c r="F1225" s="166" t="s">
        <v>3582</v>
      </c>
      <c r="G1225" s="210">
        <v>45541.0</v>
      </c>
      <c r="H1225" s="287">
        <v>45543.0</v>
      </c>
      <c r="I1225" s="168">
        <v>2.0</v>
      </c>
      <c r="J1225" s="169" t="s">
        <v>78</v>
      </c>
      <c r="K1225" s="166" t="s">
        <v>79</v>
      </c>
      <c r="L1225" s="166" t="s">
        <v>3459</v>
      </c>
      <c r="M1225" s="205">
        <v>2.0</v>
      </c>
      <c r="N1225" s="170">
        <v>0.0</v>
      </c>
      <c r="O1225" s="171">
        <v>192.53</v>
      </c>
      <c r="P1225" s="171">
        <v>190.6047</v>
      </c>
      <c r="Q1225" s="172">
        <v>0.0</v>
      </c>
      <c r="R1225" s="173">
        <v>381.2094</v>
      </c>
      <c r="S1225" s="173">
        <v>0.0</v>
      </c>
      <c r="T1225" s="173">
        <v>385.06</v>
      </c>
      <c r="U1225" s="174" t="s">
        <v>3460</v>
      </c>
      <c r="V1225" s="288">
        <v>45525.4236574074</v>
      </c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</row>
    <row r="1226">
      <c r="A1226" s="276">
        <v>45525.0</v>
      </c>
      <c r="B1226" s="252">
        <v>6060980.0</v>
      </c>
      <c r="C1226" s="253" t="s">
        <v>82</v>
      </c>
      <c r="D1226" s="253" t="s">
        <v>35</v>
      </c>
      <c r="E1226" s="252">
        <v>4.413288945E9</v>
      </c>
      <c r="F1226" s="253" t="s">
        <v>3583</v>
      </c>
      <c r="G1226" s="276">
        <v>45565.0</v>
      </c>
      <c r="H1226" s="277">
        <v>45566.0</v>
      </c>
      <c r="I1226" s="278">
        <v>1.0</v>
      </c>
      <c r="J1226" s="257" t="s">
        <v>78</v>
      </c>
      <c r="K1226" s="253" t="s">
        <v>79</v>
      </c>
      <c r="L1226" s="253" t="s">
        <v>1476</v>
      </c>
      <c r="M1226" s="275">
        <v>3.0</v>
      </c>
      <c r="N1226" s="258">
        <v>0.0</v>
      </c>
      <c r="O1226" s="259">
        <v>146.0</v>
      </c>
      <c r="P1226" s="259">
        <v>116.80000000000001</v>
      </c>
      <c r="Q1226" s="262">
        <v>0.0</v>
      </c>
      <c r="R1226" s="260">
        <v>116.80000000000001</v>
      </c>
      <c r="S1226" s="260">
        <v>0.0</v>
      </c>
      <c r="T1226" s="260">
        <v>268.35</v>
      </c>
      <c r="U1226" s="261" t="s">
        <v>1477</v>
      </c>
      <c r="V1226" s="279">
        <v>45525.736168981486</v>
      </c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</row>
    <row r="1227">
      <c r="A1227" s="276">
        <v>45525.0</v>
      </c>
      <c r="B1227" s="252">
        <v>6060980.0</v>
      </c>
      <c r="C1227" s="253" t="s">
        <v>82</v>
      </c>
      <c r="D1227" s="253" t="s">
        <v>35</v>
      </c>
      <c r="E1227" s="252">
        <v>4.413288945E9</v>
      </c>
      <c r="F1227" s="253" t="s">
        <v>3583</v>
      </c>
      <c r="G1227" s="276">
        <v>45565.0</v>
      </c>
      <c r="H1227" s="277">
        <v>45566.0</v>
      </c>
      <c r="I1227" s="278">
        <v>1.0</v>
      </c>
      <c r="J1227" s="257" t="s">
        <v>87</v>
      </c>
      <c r="K1227" s="253" t="s">
        <v>79</v>
      </c>
      <c r="L1227" s="253" t="s">
        <v>1476</v>
      </c>
      <c r="M1227" s="252">
        <v>2.0</v>
      </c>
      <c r="N1227" s="258">
        <v>0.0</v>
      </c>
      <c r="O1227" s="259">
        <v>122.35</v>
      </c>
      <c r="P1227" s="259">
        <v>97.88</v>
      </c>
      <c r="Q1227" s="262">
        <v>0.0</v>
      </c>
      <c r="R1227" s="260">
        <v>97.88</v>
      </c>
      <c r="S1227" s="260">
        <v>0.0</v>
      </c>
      <c r="T1227" s="260">
        <v>268.35</v>
      </c>
      <c r="U1227" s="261" t="s">
        <v>1477</v>
      </c>
      <c r="V1227" s="279">
        <v>45525.736168981486</v>
      </c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</row>
    <row r="1228">
      <c r="A1228" s="280">
        <v>45526.0</v>
      </c>
      <c r="B1228" s="264">
        <v>6063433.0</v>
      </c>
      <c r="C1228" s="265" t="s">
        <v>82</v>
      </c>
      <c r="D1228" s="265" t="s">
        <v>35</v>
      </c>
      <c r="E1228" s="264">
        <v>4.675934693E9</v>
      </c>
      <c r="F1228" s="265" t="s">
        <v>3584</v>
      </c>
      <c r="G1228" s="280">
        <v>45554.0</v>
      </c>
      <c r="H1228" s="281">
        <v>45555.0</v>
      </c>
      <c r="I1228" s="282">
        <v>1.0</v>
      </c>
      <c r="J1228" s="283" t="s">
        <v>87</v>
      </c>
      <c r="K1228" s="265" t="s">
        <v>79</v>
      </c>
      <c r="L1228" s="265" t="s">
        <v>2803</v>
      </c>
      <c r="M1228" s="269">
        <v>2.0</v>
      </c>
      <c r="N1228" s="270">
        <v>0.0</v>
      </c>
      <c r="O1228" s="271">
        <v>134.76</v>
      </c>
      <c r="P1228" s="271">
        <v>107.80799999999999</v>
      </c>
      <c r="Q1228" s="272">
        <v>0.0</v>
      </c>
      <c r="R1228" s="273">
        <v>107.80799999999999</v>
      </c>
      <c r="S1228" s="273">
        <v>0.0</v>
      </c>
      <c r="T1228" s="273">
        <v>134.76</v>
      </c>
      <c r="U1228" s="274" t="s">
        <v>2804</v>
      </c>
      <c r="V1228" s="284">
        <v>45526.435486111106</v>
      </c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</row>
    <row r="1229">
      <c r="A1229" s="210">
        <v>45526.0</v>
      </c>
      <c r="B1229" s="166">
        <v>6064850.0</v>
      </c>
      <c r="C1229" s="166" t="s">
        <v>82</v>
      </c>
      <c r="D1229" s="166" t="s">
        <v>35</v>
      </c>
      <c r="E1229" s="166">
        <v>4.609763816E9</v>
      </c>
      <c r="F1229" s="166" t="s">
        <v>3585</v>
      </c>
      <c r="G1229" s="210">
        <v>45602.0</v>
      </c>
      <c r="H1229" s="287">
        <v>45605.0</v>
      </c>
      <c r="I1229" s="168">
        <v>3.0</v>
      </c>
      <c r="J1229" s="169" t="s">
        <v>114</v>
      </c>
      <c r="K1229" s="166" t="s">
        <v>79</v>
      </c>
      <c r="L1229" s="166" t="s">
        <v>3586</v>
      </c>
      <c r="M1229" s="166">
        <v>2.0</v>
      </c>
      <c r="N1229" s="170">
        <v>0.0</v>
      </c>
      <c r="O1229" s="171">
        <v>345.0</v>
      </c>
      <c r="P1229" s="171">
        <v>276.0</v>
      </c>
      <c r="Q1229" s="172">
        <v>0.0</v>
      </c>
      <c r="R1229" s="173">
        <v>828.0</v>
      </c>
      <c r="S1229" s="173">
        <v>0.0</v>
      </c>
      <c r="T1229" s="173">
        <v>1968.0</v>
      </c>
      <c r="U1229" s="174" t="s">
        <v>3587</v>
      </c>
      <c r="V1229" s="288">
        <v>45526.67297453704</v>
      </c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</row>
    <row r="1230">
      <c r="A1230" s="276">
        <v>45526.0</v>
      </c>
      <c r="B1230" s="252">
        <v>6064850.0</v>
      </c>
      <c r="C1230" s="253" t="s">
        <v>82</v>
      </c>
      <c r="D1230" s="253" t="s">
        <v>35</v>
      </c>
      <c r="E1230" s="252">
        <v>4.609763816E9</v>
      </c>
      <c r="F1230" s="253" t="s">
        <v>3585</v>
      </c>
      <c r="G1230" s="276">
        <v>45602.0</v>
      </c>
      <c r="H1230" s="277">
        <v>45605.0</v>
      </c>
      <c r="I1230" s="278">
        <v>3.0</v>
      </c>
      <c r="J1230" s="257" t="s">
        <v>78</v>
      </c>
      <c r="K1230" s="253" t="s">
        <v>79</v>
      </c>
      <c r="L1230" s="253" t="s">
        <v>3586</v>
      </c>
      <c r="M1230" s="252">
        <v>2.0</v>
      </c>
      <c r="N1230" s="258">
        <v>0.0</v>
      </c>
      <c r="O1230" s="259">
        <v>311.0</v>
      </c>
      <c r="P1230" s="259">
        <v>248.8</v>
      </c>
      <c r="Q1230" s="257">
        <v>0.0</v>
      </c>
      <c r="R1230" s="260">
        <v>746.4000000000001</v>
      </c>
      <c r="S1230" s="260">
        <v>0.0</v>
      </c>
      <c r="T1230" s="260">
        <v>1968.0</v>
      </c>
      <c r="U1230" s="261" t="s">
        <v>3587</v>
      </c>
      <c r="V1230" s="279">
        <v>45526.67297453704</v>
      </c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</row>
    <row r="1231">
      <c r="A1231" s="210">
        <v>45527.0</v>
      </c>
      <c r="B1231" s="166">
        <v>6068114.0</v>
      </c>
      <c r="C1231" s="166" t="s">
        <v>82</v>
      </c>
      <c r="D1231" s="166" t="s">
        <v>94</v>
      </c>
      <c r="E1231" s="166">
        <v>6068114.0</v>
      </c>
      <c r="F1231" s="166" t="s">
        <v>3432</v>
      </c>
      <c r="G1231" s="210">
        <v>45527.0</v>
      </c>
      <c r="H1231" s="287">
        <v>45528.0</v>
      </c>
      <c r="I1231" s="168">
        <v>1.0</v>
      </c>
      <c r="J1231" s="169" t="s">
        <v>78</v>
      </c>
      <c r="K1231" s="166" t="s">
        <v>79</v>
      </c>
      <c r="L1231" s="166" t="s">
        <v>1811</v>
      </c>
      <c r="M1231" s="205">
        <v>2.0</v>
      </c>
      <c r="N1231" s="170">
        <v>0.0</v>
      </c>
      <c r="O1231" s="171">
        <v>107.4</v>
      </c>
      <c r="P1231" s="171">
        <v>106.32600000000001</v>
      </c>
      <c r="Q1231" s="172">
        <v>0.0</v>
      </c>
      <c r="R1231" s="173">
        <v>106.32600000000001</v>
      </c>
      <c r="S1231" s="173">
        <v>0.0</v>
      </c>
      <c r="T1231" s="173">
        <v>214.8</v>
      </c>
      <c r="U1231" s="201" t="s">
        <v>1812</v>
      </c>
      <c r="V1231" s="288">
        <v>45527.522569444445</v>
      </c>
      <c r="W1231" s="35"/>
      <c r="X1231" s="35"/>
      <c r="Y1231" s="35"/>
      <c r="Z1231" s="35"/>
      <c r="AA1231" s="35"/>
      <c r="AB1231" s="35"/>
      <c r="AC1231" s="35"/>
      <c r="AD1231" s="35"/>
      <c r="AE1231" s="35"/>
      <c r="AF1231" s="35"/>
      <c r="AG1231" s="35"/>
      <c r="AH1231" s="35"/>
      <c r="AI1231" s="35"/>
    </row>
    <row r="1232">
      <c r="A1232" s="210">
        <v>45527.0</v>
      </c>
      <c r="B1232" s="166">
        <v>6068114.0</v>
      </c>
      <c r="C1232" s="166" t="s">
        <v>82</v>
      </c>
      <c r="D1232" s="166" t="s">
        <v>94</v>
      </c>
      <c r="E1232" s="166">
        <v>6068114.0</v>
      </c>
      <c r="F1232" s="166" t="s">
        <v>3432</v>
      </c>
      <c r="G1232" s="210">
        <v>45527.0</v>
      </c>
      <c r="H1232" s="287">
        <v>45528.0</v>
      </c>
      <c r="I1232" s="168">
        <v>1.0</v>
      </c>
      <c r="J1232" s="169" t="s">
        <v>78</v>
      </c>
      <c r="K1232" s="166" t="s">
        <v>79</v>
      </c>
      <c r="L1232" s="166" t="s">
        <v>1811</v>
      </c>
      <c r="M1232" s="205">
        <v>2.0</v>
      </c>
      <c r="N1232" s="170">
        <v>0.0</v>
      </c>
      <c r="O1232" s="171">
        <v>107.4</v>
      </c>
      <c r="P1232" s="171">
        <v>106.32600000000001</v>
      </c>
      <c r="Q1232" s="172">
        <v>0.0</v>
      </c>
      <c r="R1232" s="173">
        <v>106.32600000000001</v>
      </c>
      <c r="S1232" s="173">
        <v>0.0</v>
      </c>
      <c r="T1232" s="173">
        <v>214.8</v>
      </c>
      <c r="U1232" s="201" t="s">
        <v>1812</v>
      </c>
      <c r="V1232" s="288">
        <v>45527.522569444445</v>
      </c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</row>
    <row r="1233">
      <c r="A1233" s="210">
        <v>45527.0</v>
      </c>
      <c r="B1233" s="166">
        <v>6067396.0</v>
      </c>
      <c r="C1233" s="166" t="s">
        <v>82</v>
      </c>
      <c r="D1233" s="166" t="s">
        <v>35</v>
      </c>
      <c r="E1233" s="166">
        <v>4.452772947E9</v>
      </c>
      <c r="F1233" s="166" t="s">
        <v>3588</v>
      </c>
      <c r="G1233" s="210">
        <v>45572.0</v>
      </c>
      <c r="H1233" s="310">
        <v>45577.0</v>
      </c>
      <c r="I1233" s="168">
        <v>5.0</v>
      </c>
      <c r="J1233" s="169" t="s">
        <v>78</v>
      </c>
      <c r="K1233" s="166" t="s">
        <v>79</v>
      </c>
      <c r="L1233" s="166" t="s">
        <v>2798</v>
      </c>
      <c r="M1233" s="166">
        <v>2.0</v>
      </c>
      <c r="N1233" s="170">
        <v>0.0</v>
      </c>
      <c r="O1233" s="171">
        <v>170.76</v>
      </c>
      <c r="P1233" s="171">
        <v>136.608</v>
      </c>
      <c r="Q1233" s="172">
        <v>0.0</v>
      </c>
      <c r="R1233" s="173">
        <v>683.04</v>
      </c>
      <c r="S1233" s="173">
        <v>0.0</v>
      </c>
      <c r="T1233" s="173">
        <v>853.8</v>
      </c>
      <c r="U1233" s="174" t="s">
        <v>2800</v>
      </c>
      <c r="V1233" s="288">
        <v>45527.396620370375</v>
      </c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</row>
    <row r="1234">
      <c r="A1234" s="280">
        <v>45528.0</v>
      </c>
      <c r="B1234" s="264">
        <v>6071427.0</v>
      </c>
      <c r="C1234" s="265" t="s">
        <v>89</v>
      </c>
      <c r="D1234" s="265" t="s">
        <v>35</v>
      </c>
      <c r="E1234" s="264">
        <v>4.816264534E9</v>
      </c>
      <c r="F1234" s="265" t="s">
        <v>3589</v>
      </c>
      <c r="G1234" s="280">
        <v>45528.0</v>
      </c>
      <c r="H1234" s="281">
        <v>45529.0</v>
      </c>
      <c r="I1234" s="282">
        <v>1.0</v>
      </c>
      <c r="J1234" s="283" t="s">
        <v>78</v>
      </c>
      <c r="K1234" s="265" t="s">
        <v>79</v>
      </c>
      <c r="L1234" s="265" t="s">
        <v>2803</v>
      </c>
      <c r="M1234" s="269">
        <v>2.0</v>
      </c>
      <c r="N1234" s="270">
        <v>0.0</v>
      </c>
      <c r="O1234" s="271">
        <v>0.0</v>
      </c>
      <c r="P1234" s="271">
        <v>0.0</v>
      </c>
      <c r="Q1234" s="272">
        <v>0.0</v>
      </c>
      <c r="R1234" s="273">
        <v>0.0</v>
      </c>
      <c r="S1234" s="273">
        <v>0.0</v>
      </c>
      <c r="T1234" s="273">
        <v>0.0</v>
      </c>
      <c r="U1234" s="274" t="s">
        <v>3590</v>
      </c>
      <c r="V1234" s="284">
        <v>45528.41255787037</v>
      </c>
      <c r="W1234" s="188"/>
      <c r="X1234" s="188"/>
      <c r="Y1234" s="188"/>
      <c r="Z1234" s="188"/>
      <c r="AA1234" s="188"/>
      <c r="AB1234" s="188"/>
      <c r="AC1234" s="188"/>
      <c r="AD1234" s="188"/>
      <c r="AE1234" s="188"/>
      <c r="AF1234" s="188"/>
      <c r="AG1234" s="188"/>
      <c r="AH1234" s="188"/>
      <c r="AI1234" s="188"/>
    </row>
    <row r="1235">
      <c r="A1235" s="210">
        <v>45528.0</v>
      </c>
      <c r="B1235" s="166">
        <v>6071340.0</v>
      </c>
      <c r="C1235" s="166" t="s">
        <v>82</v>
      </c>
      <c r="D1235" s="166" t="s">
        <v>35</v>
      </c>
      <c r="E1235" s="166">
        <v>4.790657925E9</v>
      </c>
      <c r="F1235" s="166" t="s">
        <v>3591</v>
      </c>
      <c r="G1235" s="210">
        <v>45597.0</v>
      </c>
      <c r="H1235" s="287">
        <v>45600.0</v>
      </c>
      <c r="I1235" s="168">
        <v>3.0</v>
      </c>
      <c r="J1235" s="169" t="s">
        <v>114</v>
      </c>
      <c r="K1235" s="166" t="s">
        <v>79</v>
      </c>
      <c r="L1235" s="166" t="s">
        <v>2798</v>
      </c>
      <c r="M1235" s="166">
        <v>2.0</v>
      </c>
      <c r="N1235" s="170">
        <v>0.0</v>
      </c>
      <c r="O1235" s="171">
        <v>269.0</v>
      </c>
      <c r="P1235" s="171">
        <v>215.20000000000002</v>
      </c>
      <c r="Q1235" s="172">
        <v>0.0</v>
      </c>
      <c r="R1235" s="173">
        <v>645.6</v>
      </c>
      <c r="S1235" s="173">
        <v>0.0</v>
      </c>
      <c r="T1235" s="173">
        <v>807.0</v>
      </c>
      <c r="U1235" s="201" t="s">
        <v>2800</v>
      </c>
      <c r="V1235" s="288">
        <v>45528.393796296295</v>
      </c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</row>
    <row r="1236">
      <c r="A1236" s="276">
        <v>45529.0</v>
      </c>
      <c r="B1236" s="252">
        <v>6077342.0</v>
      </c>
      <c r="C1236" s="253" t="s">
        <v>82</v>
      </c>
      <c r="D1236" s="253" t="s">
        <v>94</v>
      </c>
      <c r="E1236" s="252">
        <v>6077342.0</v>
      </c>
      <c r="F1236" s="253" t="s">
        <v>2354</v>
      </c>
      <c r="G1236" s="276">
        <v>45529.0</v>
      </c>
      <c r="H1236" s="277">
        <v>45532.0</v>
      </c>
      <c r="I1236" s="278">
        <v>3.0</v>
      </c>
      <c r="J1236" s="257" t="s">
        <v>78</v>
      </c>
      <c r="K1236" s="253" t="s">
        <v>79</v>
      </c>
      <c r="L1236" s="253" t="s">
        <v>1462</v>
      </c>
      <c r="M1236" s="275">
        <v>2.0</v>
      </c>
      <c r="N1236" s="258">
        <v>0.0</v>
      </c>
      <c r="O1236" s="259">
        <v>107.39999999999999</v>
      </c>
      <c r="P1236" s="259">
        <v>106.326</v>
      </c>
      <c r="Q1236" s="262">
        <v>0.0</v>
      </c>
      <c r="R1236" s="260">
        <v>318.978</v>
      </c>
      <c r="S1236" s="260">
        <v>0.0</v>
      </c>
      <c r="T1236" s="260">
        <v>322.2</v>
      </c>
      <c r="U1236" s="261" t="s">
        <v>1463</v>
      </c>
      <c r="V1236" s="279">
        <v>45529.8359375</v>
      </c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</row>
    <row r="1237">
      <c r="A1237" s="210">
        <v>45529.0</v>
      </c>
      <c r="B1237" s="166">
        <v>6078021.0</v>
      </c>
      <c r="C1237" s="166" t="s">
        <v>89</v>
      </c>
      <c r="D1237" s="166" t="s">
        <v>35</v>
      </c>
      <c r="E1237" s="166">
        <v>4.84260472E9</v>
      </c>
      <c r="F1237" s="166" t="s">
        <v>3592</v>
      </c>
      <c r="G1237" s="210">
        <v>45532.0</v>
      </c>
      <c r="H1237" s="287">
        <v>45534.0</v>
      </c>
      <c r="I1237" s="168">
        <v>2.0</v>
      </c>
      <c r="J1237" s="169" t="s">
        <v>78</v>
      </c>
      <c r="K1237" s="166" t="s">
        <v>79</v>
      </c>
      <c r="L1237" s="166" t="s">
        <v>2803</v>
      </c>
      <c r="M1237" s="166">
        <v>2.0</v>
      </c>
      <c r="N1237" s="170">
        <v>0.0</v>
      </c>
      <c r="O1237" s="171">
        <v>0.0</v>
      </c>
      <c r="P1237" s="171">
        <v>0.0</v>
      </c>
      <c r="Q1237" s="172">
        <v>0.0</v>
      </c>
      <c r="R1237" s="173">
        <v>0.0</v>
      </c>
      <c r="S1237" s="173">
        <v>0.0</v>
      </c>
      <c r="T1237" s="173">
        <v>0.0</v>
      </c>
      <c r="U1237" s="201" t="s">
        <v>3593</v>
      </c>
      <c r="V1237" s="288">
        <v>45529.99239583334</v>
      </c>
      <c r="W1237" s="35"/>
      <c r="X1237" s="35"/>
      <c r="Y1237" s="35"/>
      <c r="Z1237" s="35"/>
      <c r="AA1237" s="35"/>
      <c r="AB1237" s="35"/>
      <c r="AC1237" s="35"/>
      <c r="AD1237" s="35"/>
      <c r="AE1237" s="35"/>
      <c r="AF1237" s="35"/>
      <c r="AG1237" s="35"/>
      <c r="AH1237" s="35"/>
      <c r="AI1237" s="35"/>
    </row>
    <row r="1238">
      <c r="A1238" s="276">
        <v>45529.0</v>
      </c>
      <c r="B1238" s="252">
        <v>6076676.0</v>
      </c>
      <c r="C1238" s="253" t="s">
        <v>82</v>
      </c>
      <c r="D1238" s="253" t="s">
        <v>35</v>
      </c>
      <c r="E1238" s="252">
        <v>4.58987849E9</v>
      </c>
      <c r="F1238" s="253" t="s">
        <v>3594</v>
      </c>
      <c r="G1238" s="276">
        <v>45548.0</v>
      </c>
      <c r="H1238" s="277">
        <v>45550.0</v>
      </c>
      <c r="I1238" s="278">
        <v>2.0</v>
      </c>
      <c r="J1238" s="257" t="s">
        <v>87</v>
      </c>
      <c r="K1238" s="253" t="s">
        <v>79</v>
      </c>
      <c r="L1238" s="253" t="s">
        <v>2803</v>
      </c>
      <c r="M1238" s="252">
        <v>2.0</v>
      </c>
      <c r="N1238" s="258">
        <v>0.0</v>
      </c>
      <c r="O1238" s="259">
        <v>115.14</v>
      </c>
      <c r="P1238" s="259">
        <v>92.11200000000001</v>
      </c>
      <c r="Q1238" s="262">
        <v>0.0</v>
      </c>
      <c r="R1238" s="260">
        <v>184.22400000000002</v>
      </c>
      <c r="S1238" s="260">
        <v>0.0</v>
      </c>
      <c r="T1238" s="260">
        <v>230.28</v>
      </c>
      <c r="U1238" s="261" t="s">
        <v>2804</v>
      </c>
      <c r="V1238" s="279">
        <v>45529.69865740741</v>
      </c>
      <c r="W1238" s="188"/>
      <c r="X1238" s="188"/>
      <c r="Y1238" s="188"/>
      <c r="Z1238" s="188"/>
      <c r="AA1238" s="188"/>
      <c r="AB1238" s="188"/>
      <c r="AC1238" s="188"/>
      <c r="AD1238" s="188"/>
      <c r="AE1238" s="188"/>
      <c r="AF1238" s="188"/>
      <c r="AG1238" s="188"/>
      <c r="AH1238" s="188"/>
      <c r="AI1238" s="188"/>
    </row>
    <row r="1239">
      <c r="A1239" s="210">
        <v>45529.0</v>
      </c>
      <c r="B1239" s="166">
        <v>6075463.0</v>
      </c>
      <c r="C1239" s="166" t="s">
        <v>82</v>
      </c>
      <c r="D1239" s="166" t="s">
        <v>94</v>
      </c>
      <c r="E1239" s="166">
        <v>4.60572303E8</v>
      </c>
      <c r="F1239" s="166" t="s">
        <v>3595</v>
      </c>
      <c r="G1239" s="210">
        <v>45550.0</v>
      </c>
      <c r="H1239" s="287">
        <v>45554.0</v>
      </c>
      <c r="I1239" s="168">
        <v>4.0</v>
      </c>
      <c r="J1239" s="169" t="s">
        <v>78</v>
      </c>
      <c r="K1239" s="166" t="s">
        <v>79</v>
      </c>
      <c r="L1239" s="166" t="s">
        <v>3378</v>
      </c>
      <c r="M1239" s="205">
        <v>2.0</v>
      </c>
      <c r="N1239" s="170">
        <v>0.0</v>
      </c>
      <c r="O1239" s="171">
        <v>177.12</v>
      </c>
      <c r="P1239" s="171">
        <v>175.3488</v>
      </c>
      <c r="Q1239" s="172">
        <v>0.0</v>
      </c>
      <c r="R1239" s="173">
        <v>701.3952</v>
      </c>
      <c r="S1239" s="173">
        <v>0.0</v>
      </c>
      <c r="T1239" s="173">
        <v>708.48</v>
      </c>
      <c r="U1239" s="201" t="s">
        <v>3379</v>
      </c>
      <c r="V1239" s="288">
        <v>45529.486168981486</v>
      </c>
      <c r="W1239" s="35"/>
      <c r="X1239" s="35"/>
      <c r="Y1239" s="35"/>
      <c r="Z1239" s="35"/>
      <c r="AA1239" s="35"/>
      <c r="AB1239" s="35"/>
      <c r="AC1239" s="35"/>
      <c r="AD1239" s="35"/>
      <c r="AE1239" s="35"/>
      <c r="AF1239" s="35"/>
      <c r="AG1239" s="35"/>
      <c r="AH1239" s="35"/>
      <c r="AI1239" s="35"/>
    </row>
    <row r="1240">
      <c r="A1240" s="280">
        <v>45529.0</v>
      </c>
      <c r="B1240" s="264">
        <v>6075072.0</v>
      </c>
      <c r="C1240" s="265" t="s">
        <v>82</v>
      </c>
      <c r="D1240" s="265" t="s">
        <v>35</v>
      </c>
      <c r="E1240" s="264">
        <v>4.956645573E9</v>
      </c>
      <c r="F1240" s="265" t="s">
        <v>3596</v>
      </c>
      <c r="G1240" s="305">
        <v>45577.0</v>
      </c>
      <c r="H1240" s="313">
        <v>45578.0</v>
      </c>
      <c r="I1240" s="282">
        <v>1.0</v>
      </c>
      <c r="J1240" s="283" t="s">
        <v>114</v>
      </c>
      <c r="K1240" s="265" t="s">
        <v>79</v>
      </c>
      <c r="L1240" s="265" t="s">
        <v>2798</v>
      </c>
      <c r="M1240" s="269">
        <v>2.0</v>
      </c>
      <c r="N1240" s="270">
        <v>0.0</v>
      </c>
      <c r="O1240" s="271">
        <v>189.8</v>
      </c>
      <c r="P1240" s="271">
        <v>151.84</v>
      </c>
      <c r="Q1240" s="272">
        <v>0.0</v>
      </c>
      <c r="R1240" s="273">
        <v>151.84</v>
      </c>
      <c r="S1240" s="273">
        <v>0.0</v>
      </c>
      <c r="T1240" s="273">
        <v>189.8</v>
      </c>
      <c r="U1240" s="274" t="s">
        <v>2800</v>
      </c>
      <c r="V1240" s="284">
        <v>45529.409050925926</v>
      </c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</row>
    <row r="1241">
      <c r="A1241" s="280">
        <v>45529.0</v>
      </c>
      <c r="B1241" s="264">
        <v>6075730.0</v>
      </c>
      <c r="C1241" s="265" t="s">
        <v>82</v>
      </c>
      <c r="D1241" s="265" t="s">
        <v>35</v>
      </c>
      <c r="E1241" s="265">
        <v>4.389650177E9</v>
      </c>
      <c r="F1241" s="265" t="s">
        <v>3597</v>
      </c>
      <c r="G1241" s="305">
        <v>45587.0</v>
      </c>
      <c r="H1241" s="313">
        <v>45590.0</v>
      </c>
      <c r="I1241" s="282">
        <v>3.0</v>
      </c>
      <c r="J1241" s="283" t="s">
        <v>78</v>
      </c>
      <c r="K1241" s="265" t="s">
        <v>79</v>
      </c>
      <c r="L1241" s="265" t="s">
        <v>3364</v>
      </c>
      <c r="M1241" s="264">
        <v>1.0</v>
      </c>
      <c r="N1241" s="270">
        <v>0.0</v>
      </c>
      <c r="O1241" s="271">
        <v>215.24</v>
      </c>
      <c r="P1241" s="271">
        <v>172.192</v>
      </c>
      <c r="Q1241" s="272">
        <v>0.0</v>
      </c>
      <c r="R1241" s="273">
        <v>516.576</v>
      </c>
      <c r="S1241" s="273">
        <v>0.0</v>
      </c>
      <c r="T1241" s="273">
        <v>645.72</v>
      </c>
      <c r="U1241" s="274" t="s">
        <v>3365</v>
      </c>
      <c r="V1241" s="284">
        <v>45529.53197916667</v>
      </c>
      <c r="W1241" s="188"/>
      <c r="X1241" s="188"/>
      <c r="Y1241" s="188"/>
      <c r="Z1241" s="188"/>
      <c r="AA1241" s="188"/>
      <c r="AB1241" s="188"/>
      <c r="AC1241" s="188"/>
      <c r="AD1241" s="188"/>
      <c r="AE1241" s="188"/>
      <c r="AF1241" s="188"/>
      <c r="AG1241" s="188"/>
      <c r="AH1241" s="188"/>
      <c r="AI1241" s="188"/>
    </row>
    <row r="1242">
      <c r="A1242" s="210">
        <v>45530.0</v>
      </c>
      <c r="B1242" s="166">
        <v>6081394.0</v>
      </c>
      <c r="C1242" s="166" t="s">
        <v>82</v>
      </c>
      <c r="D1242" s="166" t="s">
        <v>35</v>
      </c>
      <c r="E1242" s="166">
        <v>4.437962231E9</v>
      </c>
      <c r="F1242" s="166" t="s">
        <v>3598</v>
      </c>
      <c r="G1242" s="210">
        <v>45530.0</v>
      </c>
      <c r="H1242" s="287">
        <v>45531.0</v>
      </c>
      <c r="I1242" s="168">
        <v>1.0</v>
      </c>
      <c r="J1242" s="169" t="s">
        <v>87</v>
      </c>
      <c r="K1242" s="166" t="s">
        <v>79</v>
      </c>
      <c r="L1242" s="166" t="s">
        <v>2803</v>
      </c>
      <c r="M1242" s="166">
        <v>2.0</v>
      </c>
      <c r="N1242" s="170">
        <v>0.0</v>
      </c>
      <c r="O1242" s="171">
        <v>78.05</v>
      </c>
      <c r="P1242" s="171">
        <v>62.44</v>
      </c>
      <c r="Q1242" s="172">
        <v>0.0</v>
      </c>
      <c r="R1242" s="173">
        <v>62.44</v>
      </c>
      <c r="S1242" s="173">
        <v>0.0</v>
      </c>
      <c r="T1242" s="173">
        <v>78.05</v>
      </c>
      <c r="U1242" s="201" t="s">
        <v>2804</v>
      </c>
      <c r="V1242" s="288">
        <v>45530.79033564815</v>
      </c>
      <c r="W1242" s="35"/>
      <c r="X1242" s="35"/>
      <c r="Y1242" s="35"/>
      <c r="Z1242" s="35"/>
      <c r="AA1242" s="35"/>
      <c r="AB1242" s="35"/>
      <c r="AC1242" s="35"/>
      <c r="AD1242" s="35"/>
      <c r="AE1242" s="35"/>
      <c r="AF1242" s="35"/>
      <c r="AG1242" s="35"/>
      <c r="AH1242" s="35"/>
      <c r="AI1242" s="35"/>
    </row>
    <row r="1243">
      <c r="A1243" s="276">
        <v>45530.0</v>
      </c>
      <c r="B1243" s="252">
        <v>6081489.0</v>
      </c>
      <c r="C1243" s="253" t="s">
        <v>82</v>
      </c>
      <c r="D1243" s="253" t="s">
        <v>35</v>
      </c>
      <c r="E1243" s="252">
        <v>4.959383412E9</v>
      </c>
      <c r="F1243" s="253" t="s">
        <v>3599</v>
      </c>
      <c r="G1243" s="276">
        <v>45531.0</v>
      </c>
      <c r="H1243" s="277">
        <v>45533.0</v>
      </c>
      <c r="I1243" s="278">
        <v>2.0</v>
      </c>
      <c r="J1243" s="257" t="s">
        <v>78</v>
      </c>
      <c r="K1243" s="253" t="s">
        <v>79</v>
      </c>
      <c r="L1243" s="253" t="s">
        <v>2803</v>
      </c>
      <c r="M1243" s="275">
        <v>2.0</v>
      </c>
      <c r="N1243" s="258">
        <v>0.0</v>
      </c>
      <c r="O1243" s="259">
        <v>98.51</v>
      </c>
      <c r="P1243" s="259">
        <v>78.808</v>
      </c>
      <c r="Q1243" s="262">
        <v>0.0</v>
      </c>
      <c r="R1243" s="260">
        <v>157.616</v>
      </c>
      <c r="S1243" s="260">
        <v>0.0</v>
      </c>
      <c r="T1243" s="260">
        <v>197.02</v>
      </c>
      <c r="U1243" s="261" t="s">
        <v>2804</v>
      </c>
      <c r="V1243" s="279">
        <v>45530.80489583334</v>
      </c>
      <c r="W1243" s="35"/>
      <c r="X1243" s="35"/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/>
      <c r="AI1243" s="35"/>
    </row>
    <row r="1244">
      <c r="A1244" s="210">
        <v>45530.0</v>
      </c>
      <c r="B1244" s="166">
        <v>6078886.0</v>
      </c>
      <c r="C1244" s="166" t="s">
        <v>82</v>
      </c>
      <c r="D1244" s="166" t="s">
        <v>94</v>
      </c>
      <c r="E1244" s="166">
        <v>4.60793707E8</v>
      </c>
      <c r="F1244" s="166" t="s">
        <v>3395</v>
      </c>
      <c r="G1244" s="210">
        <v>45565.0</v>
      </c>
      <c r="H1244" s="287">
        <v>45566.0</v>
      </c>
      <c r="I1244" s="168">
        <v>1.0</v>
      </c>
      <c r="J1244" s="169" t="s">
        <v>78</v>
      </c>
      <c r="K1244" s="166" t="s">
        <v>79</v>
      </c>
      <c r="L1244" s="166" t="s">
        <v>3378</v>
      </c>
      <c r="M1244" s="166">
        <v>2.0</v>
      </c>
      <c r="N1244" s="170">
        <v>0.0</v>
      </c>
      <c r="O1244" s="171">
        <v>140.76</v>
      </c>
      <c r="P1244" s="171">
        <v>139.3524</v>
      </c>
      <c r="Q1244" s="172">
        <v>0.0</v>
      </c>
      <c r="R1244" s="173">
        <v>139.3524</v>
      </c>
      <c r="S1244" s="173">
        <v>0.0</v>
      </c>
      <c r="T1244" s="173">
        <v>140.76</v>
      </c>
      <c r="U1244" s="201" t="s">
        <v>3379</v>
      </c>
      <c r="V1244" s="288">
        <v>45530.381990740745</v>
      </c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</row>
    <row r="1245">
      <c r="A1245" s="210">
        <v>45531.0</v>
      </c>
      <c r="B1245" s="166">
        <v>6084021.0</v>
      </c>
      <c r="C1245" s="166" t="s">
        <v>82</v>
      </c>
      <c r="D1245" s="166" t="s">
        <v>35</v>
      </c>
      <c r="E1245" s="166">
        <v>4.874717668E9</v>
      </c>
      <c r="F1245" s="166" t="s">
        <v>3600</v>
      </c>
      <c r="G1245" s="210">
        <v>45552.0</v>
      </c>
      <c r="H1245" s="287">
        <v>45553.0</v>
      </c>
      <c r="I1245" s="168">
        <v>1.0</v>
      </c>
      <c r="J1245" s="169" t="s">
        <v>87</v>
      </c>
      <c r="K1245" s="166" t="s">
        <v>79</v>
      </c>
      <c r="L1245" s="166" t="s">
        <v>2803</v>
      </c>
      <c r="M1245" s="166">
        <v>2.0</v>
      </c>
      <c r="N1245" s="170">
        <v>0.0</v>
      </c>
      <c r="O1245" s="171">
        <v>115.14</v>
      </c>
      <c r="P1245" s="171">
        <v>92.11200000000001</v>
      </c>
      <c r="Q1245" s="172">
        <v>0.0</v>
      </c>
      <c r="R1245" s="173">
        <v>92.11200000000001</v>
      </c>
      <c r="S1245" s="173">
        <v>0.0</v>
      </c>
      <c r="T1245" s="173">
        <v>115.14</v>
      </c>
      <c r="U1245" s="174" t="s">
        <v>2804</v>
      </c>
      <c r="V1245" s="288">
        <v>45531.50908564815</v>
      </c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</row>
    <row r="1246">
      <c r="A1246" s="210">
        <v>45531.0</v>
      </c>
      <c r="B1246" s="166">
        <v>6085965.0</v>
      </c>
      <c r="C1246" s="166" t="s">
        <v>89</v>
      </c>
      <c r="D1246" s="166" t="s">
        <v>35</v>
      </c>
      <c r="E1246" s="166">
        <v>4.817337822E9</v>
      </c>
      <c r="F1246" s="166" t="s">
        <v>3601</v>
      </c>
      <c r="G1246" s="212">
        <v>45592.0</v>
      </c>
      <c r="H1246" s="310">
        <v>45594.0</v>
      </c>
      <c r="I1246" s="168">
        <v>2.0</v>
      </c>
      <c r="J1246" s="169" t="s">
        <v>78</v>
      </c>
      <c r="K1246" s="166" t="s">
        <v>79</v>
      </c>
      <c r="L1246" s="166" t="s">
        <v>2803</v>
      </c>
      <c r="M1246" s="166">
        <v>3.0</v>
      </c>
      <c r="N1246" s="170">
        <v>0.0</v>
      </c>
      <c r="O1246" s="171">
        <v>0.0</v>
      </c>
      <c r="P1246" s="171">
        <v>0.0</v>
      </c>
      <c r="Q1246" s="172">
        <v>0.0</v>
      </c>
      <c r="R1246" s="173">
        <v>0.0</v>
      </c>
      <c r="S1246" s="173">
        <v>0.0</v>
      </c>
      <c r="T1246" s="173">
        <v>0.0</v>
      </c>
      <c r="U1246" s="174" t="s">
        <v>3602</v>
      </c>
      <c r="V1246" s="288">
        <v>45531.84241898148</v>
      </c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</row>
    <row r="1247">
      <c r="A1247" s="210">
        <v>45532.0</v>
      </c>
      <c r="B1247" s="166">
        <v>6088452.0</v>
      </c>
      <c r="C1247" s="166" t="s">
        <v>82</v>
      </c>
      <c r="D1247" s="166" t="s">
        <v>94</v>
      </c>
      <c r="E1247" s="166">
        <v>6088452.0</v>
      </c>
      <c r="F1247" s="166" t="s">
        <v>3592</v>
      </c>
      <c r="G1247" s="210">
        <v>45532.0</v>
      </c>
      <c r="H1247" s="287">
        <v>45534.0</v>
      </c>
      <c r="I1247" s="168">
        <v>2.0</v>
      </c>
      <c r="J1247" s="169" t="s">
        <v>78</v>
      </c>
      <c r="K1247" s="166" t="s">
        <v>79</v>
      </c>
      <c r="L1247" s="166" t="s">
        <v>1462</v>
      </c>
      <c r="M1247" s="166">
        <v>2.0</v>
      </c>
      <c r="N1247" s="170">
        <v>0.0</v>
      </c>
      <c r="O1247" s="171">
        <v>107.4</v>
      </c>
      <c r="P1247" s="171">
        <v>106.32600000000001</v>
      </c>
      <c r="Q1247" s="172">
        <v>0.0</v>
      </c>
      <c r="R1247" s="173">
        <v>212.65200000000002</v>
      </c>
      <c r="S1247" s="173">
        <v>0.0</v>
      </c>
      <c r="T1247" s="173">
        <v>214.8</v>
      </c>
      <c r="U1247" s="201" t="s">
        <v>1463</v>
      </c>
      <c r="V1247" s="288">
        <v>45532.54564814815</v>
      </c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</row>
    <row r="1248">
      <c r="A1248" s="280">
        <v>45532.0</v>
      </c>
      <c r="B1248" s="264">
        <v>6087962.0</v>
      </c>
      <c r="C1248" s="265" t="s">
        <v>82</v>
      </c>
      <c r="D1248" s="265" t="s">
        <v>35</v>
      </c>
      <c r="E1248" s="264">
        <v>4.849110498E9</v>
      </c>
      <c r="F1248" s="265" t="s">
        <v>3603</v>
      </c>
      <c r="G1248" s="280">
        <v>45533.0</v>
      </c>
      <c r="H1248" s="281">
        <v>45534.0</v>
      </c>
      <c r="I1248" s="282">
        <v>1.0</v>
      </c>
      <c r="J1248" s="283" t="s">
        <v>87</v>
      </c>
      <c r="K1248" s="265" t="s">
        <v>79</v>
      </c>
      <c r="L1248" s="265" t="s">
        <v>2803</v>
      </c>
      <c r="M1248" s="269">
        <v>2.0</v>
      </c>
      <c r="N1248" s="270">
        <v>0.0</v>
      </c>
      <c r="O1248" s="271">
        <v>85.48</v>
      </c>
      <c r="P1248" s="271">
        <v>68.384</v>
      </c>
      <c r="Q1248" s="272">
        <v>0.0</v>
      </c>
      <c r="R1248" s="273">
        <v>68.384</v>
      </c>
      <c r="S1248" s="273">
        <v>0.0</v>
      </c>
      <c r="T1248" s="273">
        <v>85.48</v>
      </c>
      <c r="U1248" s="274" t="s">
        <v>2804</v>
      </c>
      <c r="V1248" s="284">
        <v>45532.470185185186</v>
      </c>
      <c r="W1248" s="188"/>
      <c r="X1248" s="188"/>
      <c r="Y1248" s="188"/>
      <c r="Z1248" s="188"/>
      <c r="AA1248" s="188"/>
      <c r="AB1248" s="188"/>
      <c r="AC1248" s="188"/>
      <c r="AD1248" s="188"/>
      <c r="AE1248" s="188"/>
      <c r="AF1248" s="188"/>
      <c r="AG1248" s="188"/>
      <c r="AH1248" s="188"/>
      <c r="AI1248" s="188"/>
    </row>
    <row r="1249">
      <c r="A1249" s="210">
        <v>45532.0</v>
      </c>
      <c r="B1249" s="166">
        <v>6089515.0</v>
      </c>
      <c r="C1249" s="166" t="s">
        <v>82</v>
      </c>
      <c r="D1249" s="166" t="s">
        <v>94</v>
      </c>
      <c r="E1249" s="166">
        <v>6089515.0</v>
      </c>
      <c r="F1249" s="166" t="s">
        <v>3604</v>
      </c>
      <c r="G1249" s="210">
        <v>45572.0</v>
      </c>
      <c r="H1249" s="287">
        <v>45573.0</v>
      </c>
      <c r="I1249" s="168">
        <v>1.0</v>
      </c>
      <c r="J1249" s="169" t="s">
        <v>87</v>
      </c>
      <c r="K1249" s="166" t="s">
        <v>79</v>
      </c>
      <c r="L1249" s="166" t="s">
        <v>1447</v>
      </c>
      <c r="M1249" s="166">
        <v>2.0</v>
      </c>
      <c r="N1249" s="170">
        <v>0.0</v>
      </c>
      <c r="O1249" s="171">
        <v>103.24</v>
      </c>
      <c r="P1249" s="171">
        <v>102.2076</v>
      </c>
      <c r="Q1249" s="172">
        <v>0.0</v>
      </c>
      <c r="R1249" s="173">
        <v>102.2076</v>
      </c>
      <c r="S1249" s="173">
        <v>0.0</v>
      </c>
      <c r="T1249" s="173">
        <v>103.24</v>
      </c>
      <c r="U1249" s="174" t="s">
        <v>1448</v>
      </c>
      <c r="V1249" s="288">
        <v>45532.72456018519</v>
      </c>
      <c r="W1249" s="36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</row>
    <row r="1250">
      <c r="A1250" s="280">
        <v>45532.0</v>
      </c>
      <c r="B1250" s="264">
        <v>6089864.0</v>
      </c>
      <c r="C1250" s="265" t="s">
        <v>82</v>
      </c>
      <c r="D1250" s="265" t="s">
        <v>12</v>
      </c>
      <c r="E1250" s="264" t="s">
        <v>3605</v>
      </c>
      <c r="F1250" s="265" t="s">
        <v>3606</v>
      </c>
      <c r="G1250" s="305">
        <v>45637.0</v>
      </c>
      <c r="H1250" s="313">
        <v>45644.0</v>
      </c>
      <c r="I1250" s="282">
        <v>7.0</v>
      </c>
      <c r="J1250" s="283" t="s">
        <v>87</v>
      </c>
      <c r="K1250" s="265" t="s">
        <v>79</v>
      </c>
      <c r="L1250" s="265" t="s">
        <v>123</v>
      </c>
      <c r="M1250" s="264">
        <v>2.0</v>
      </c>
      <c r="N1250" s="270">
        <v>0.0</v>
      </c>
      <c r="O1250" s="271">
        <v>194.28571428571428</v>
      </c>
      <c r="P1250" s="271">
        <v>155.42857142857144</v>
      </c>
      <c r="Q1250" s="272">
        <v>0.0</v>
      </c>
      <c r="R1250" s="273">
        <v>1088.0</v>
      </c>
      <c r="S1250" s="273">
        <v>0.0</v>
      </c>
      <c r="T1250" s="273">
        <v>1360.0</v>
      </c>
      <c r="U1250" s="274" t="s">
        <v>2416</v>
      </c>
      <c r="V1250" s="286">
        <v>45532.78759259259</v>
      </c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</row>
    <row r="1251">
      <c r="A1251" s="210">
        <v>45533.0</v>
      </c>
      <c r="B1251" s="166">
        <v>6095005.0</v>
      </c>
      <c r="C1251" s="166" t="s">
        <v>82</v>
      </c>
      <c r="D1251" s="166" t="s">
        <v>35</v>
      </c>
      <c r="E1251" s="166">
        <v>4.701151833E9</v>
      </c>
      <c r="F1251" s="166" t="s">
        <v>3607</v>
      </c>
      <c r="G1251" s="210">
        <v>45534.0</v>
      </c>
      <c r="H1251" s="287">
        <v>45535.0</v>
      </c>
      <c r="I1251" s="168">
        <v>1.0</v>
      </c>
      <c r="J1251" s="169" t="s">
        <v>78</v>
      </c>
      <c r="K1251" s="166" t="s">
        <v>79</v>
      </c>
      <c r="L1251" s="166" t="s">
        <v>2803</v>
      </c>
      <c r="M1251" s="205">
        <v>2.0</v>
      </c>
      <c r="N1251" s="170">
        <v>0.0</v>
      </c>
      <c r="O1251" s="171">
        <v>83.36</v>
      </c>
      <c r="P1251" s="171">
        <v>66.688</v>
      </c>
      <c r="Q1251" s="172">
        <v>0.0</v>
      </c>
      <c r="R1251" s="173">
        <v>66.688</v>
      </c>
      <c r="S1251" s="173">
        <v>0.0</v>
      </c>
      <c r="T1251" s="173">
        <v>83.36</v>
      </c>
      <c r="U1251" s="174" t="s">
        <v>2804</v>
      </c>
      <c r="V1251" s="288">
        <v>45533.92921296296</v>
      </c>
      <c r="W1251" s="188"/>
      <c r="X1251" s="188"/>
      <c r="Y1251" s="188"/>
      <c r="Z1251" s="188"/>
      <c r="AA1251" s="188"/>
      <c r="AB1251" s="188"/>
      <c r="AC1251" s="188"/>
      <c r="AD1251" s="188"/>
      <c r="AE1251" s="188"/>
      <c r="AF1251" s="188"/>
      <c r="AG1251" s="188"/>
      <c r="AH1251" s="188"/>
      <c r="AI1251" s="188"/>
    </row>
    <row r="1252">
      <c r="A1252" s="280">
        <v>45533.0</v>
      </c>
      <c r="B1252" s="264">
        <v>6091909.0</v>
      </c>
      <c r="C1252" s="265" t="s">
        <v>82</v>
      </c>
      <c r="D1252" s="265" t="s">
        <v>94</v>
      </c>
      <c r="E1252" s="264">
        <v>6091909.0</v>
      </c>
      <c r="F1252" s="265" t="s">
        <v>3608</v>
      </c>
      <c r="G1252" s="280">
        <v>45547.0</v>
      </c>
      <c r="H1252" s="281">
        <v>45548.0</v>
      </c>
      <c r="I1252" s="282">
        <v>1.0</v>
      </c>
      <c r="J1252" s="283" t="s">
        <v>114</v>
      </c>
      <c r="K1252" s="265" t="s">
        <v>79</v>
      </c>
      <c r="L1252" s="265" t="s">
        <v>1462</v>
      </c>
      <c r="M1252" s="269">
        <v>2.0</v>
      </c>
      <c r="N1252" s="270">
        <v>0.0</v>
      </c>
      <c r="O1252" s="271">
        <v>149.96</v>
      </c>
      <c r="P1252" s="271">
        <v>148.4604</v>
      </c>
      <c r="Q1252" s="272">
        <v>0.0</v>
      </c>
      <c r="R1252" s="273">
        <v>148.4604</v>
      </c>
      <c r="S1252" s="273">
        <v>0.0</v>
      </c>
      <c r="T1252" s="273">
        <v>149.96</v>
      </c>
      <c r="U1252" s="274" t="s">
        <v>1463</v>
      </c>
      <c r="V1252" s="284">
        <v>45533.42513888889</v>
      </c>
      <c r="W1252" s="35"/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</row>
    <row r="1253">
      <c r="A1253" s="210">
        <v>45533.0</v>
      </c>
      <c r="B1253" s="166">
        <v>6091915.0</v>
      </c>
      <c r="C1253" s="166" t="s">
        <v>82</v>
      </c>
      <c r="D1253" s="166" t="s">
        <v>94</v>
      </c>
      <c r="E1253" s="166">
        <v>6091915.0</v>
      </c>
      <c r="F1253" s="166" t="s">
        <v>3608</v>
      </c>
      <c r="G1253" s="210">
        <v>45548.0</v>
      </c>
      <c r="H1253" s="287">
        <v>45550.0</v>
      </c>
      <c r="I1253" s="168">
        <v>2.0</v>
      </c>
      <c r="J1253" s="169" t="s">
        <v>114</v>
      </c>
      <c r="K1253" s="166" t="s">
        <v>79</v>
      </c>
      <c r="L1253" s="166" t="s">
        <v>1462</v>
      </c>
      <c r="M1253" s="166">
        <v>2.0</v>
      </c>
      <c r="N1253" s="170">
        <v>0.0</v>
      </c>
      <c r="O1253" s="171">
        <v>133.0</v>
      </c>
      <c r="P1253" s="171">
        <v>131.67</v>
      </c>
      <c r="Q1253" s="172">
        <v>0.0</v>
      </c>
      <c r="R1253" s="173">
        <v>263.34</v>
      </c>
      <c r="S1253" s="173">
        <v>0.0</v>
      </c>
      <c r="T1253" s="173">
        <v>266.0</v>
      </c>
      <c r="U1253" s="174" t="s">
        <v>1463</v>
      </c>
      <c r="V1253" s="288">
        <v>45533.42613425926</v>
      </c>
      <c r="W1253" s="35"/>
      <c r="X1253" s="35"/>
      <c r="Y1253" s="35"/>
      <c r="Z1253" s="35"/>
      <c r="AA1253" s="35"/>
      <c r="AB1253" s="35"/>
      <c r="AC1253" s="35"/>
      <c r="AD1253" s="35"/>
      <c r="AE1253" s="35"/>
      <c r="AF1253" s="35"/>
      <c r="AG1253" s="35"/>
      <c r="AH1253" s="35"/>
      <c r="AI1253" s="35"/>
    </row>
    <row r="1254">
      <c r="A1254" s="280">
        <v>45533.0</v>
      </c>
      <c r="B1254" s="264">
        <v>6093827.0</v>
      </c>
      <c r="C1254" s="265" t="s">
        <v>82</v>
      </c>
      <c r="D1254" s="265" t="s">
        <v>35</v>
      </c>
      <c r="E1254" s="264">
        <v>4.445805287E9</v>
      </c>
      <c r="F1254" s="265" t="s">
        <v>3609</v>
      </c>
      <c r="G1254" s="305">
        <v>45577.0</v>
      </c>
      <c r="H1254" s="313">
        <v>45578.0</v>
      </c>
      <c r="I1254" s="282">
        <v>1.0</v>
      </c>
      <c r="J1254" s="283" t="s">
        <v>78</v>
      </c>
      <c r="K1254" s="265" t="s">
        <v>79</v>
      </c>
      <c r="L1254" s="265" t="s">
        <v>2803</v>
      </c>
      <c r="M1254" s="269">
        <v>2.0</v>
      </c>
      <c r="N1254" s="270">
        <v>0.0</v>
      </c>
      <c r="O1254" s="271">
        <v>143.5</v>
      </c>
      <c r="P1254" s="271">
        <v>114.80000000000001</v>
      </c>
      <c r="Q1254" s="272">
        <v>0.0</v>
      </c>
      <c r="R1254" s="273">
        <v>114.80000000000001</v>
      </c>
      <c r="S1254" s="273">
        <v>0.0</v>
      </c>
      <c r="T1254" s="273">
        <v>143.5</v>
      </c>
      <c r="U1254" s="274" t="s">
        <v>2804</v>
      </c>
      <c r="V1254" s="284">
        <v>45533.72782407407</v>
      </c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</row>
    <row r="1255">
      <c r="A1255" s="276">
        <v>45533.0</v>
      </c>
      <c r="B1255" s="252">
        <v>6094499.0</v>
      </c>
      <c r="C1255" s="253" t="s">
        <v>89</v>
      </c>
      <c r="D1255" s="253" t="s">
        <v>35</v>
      </c>
      <c r="E1255" s="252">
        <v>4.829909643E9</v>
      </c>
      <c r="F1255" s="253" t="s">
        <v>3601</v>
      </c>
      <c r="G1255" s="304">
        <v>45592.0</v>
      </c>
      <c r="H1255" s="311">
        <v>45594.0</v>
      </c>
      <c r="I1255" s="278">
        <v>2.0</v>
      </c>
      <c r="J1255" s="257" t="s">
        <v>78</v>
      </c>
      <c r="K1255" s="253" t="s">
        <v>79</v>
      </c>
      <c r="L1255" s="253" t="s">
        <v>2803</v>
      </c>
      <c r="M1255" s="275">
        <v>1.0</v>
      </c>
      <c r="N1255" s="258">
        <v>0.0</v>
      </c>
      <c r="O1255" s="259">
        <v>0.0</v>
      </c>
      <c r="P1255" s="259">
        <v>0.0</v>
      </c>
      <c r="Q1255" s="262">
        <v>0.0</v>
      </c>
      <c r="R1255" s="260">
        <v>0.0</v>
      </c>
      <c r="S1255" s="260">
        <v>0.0</v>
      </c>
      <c r="T1255" s="260">
        <v>0.0</v>
      </c>
      <c r="U1255" s="261" t="s">
        <v>3602</v>
      </c>
      <c r="V1255" s="279">
        <v>45533.84379629629</v>
      </c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</row>
    <row r="1256">
      <c r="A1256" s="276">
        <v>45533.0</v>
      </c>
      <c r="B1256" s="252">
        <v>6093583.0</v>
      </c>
      <c r="C1256" s="253" t="s">
        <v>82</v>
      </c>
      <c r="D1256" s="253" t="s">
        <v>94</v>
      </c>
      <c r="E1256" s="252">
        <v>1.35065708E9</v>
      </c>
      <c r="F1256" s="253" t="s">
        <v>3610</v>
      </c>
      <c r="G1256" s="276">
        <v>45602.0</v>
      </c>
      <c r="H1256" s="277">
        <v>45603.0</v>
      </c>
      <c r="I1256" s="278">
        <v>1.0</v>
      </c>
      <c r="J1256" s="257" t="s">
        <v>111</v>
      </c>
      <c r="K1256" s="253" t="s">
        <v>79</v>
      </c>
      <c r="L1256" s="253" t="s">
        <v>3459</v>
      </c>
      <c r="M1256" s="252">
        <v>2.0</v>
      </c>
      <c r="N1256" s="258">
        <v>0.0</v>
      </c>
      <c r="O1256" s="259">
        <v>170.0</v>
      </c>
      <c r="P1256" s="259">
        <v>168.3</v>
      </c>
      <c r="Q1256" s="262">
        <v>0.0</v>
      </c>
      <c r="R1256" s="260">
        <v>168.3</v>
      </c>
      <c r="S1256" s="260">
        <v>0.0</v>
      </c>
      <c r="T1256" s="260">
        <v>170.0</v>
      </c>
      <c r="U1256" s="261" t="s">
        <v>3460</v>
      </c>
      <c r="V1256" s="279">
        <v>45533.68754629629</v>
      </c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</row>
    <row r="1257">
      <c r="A1257" s="280">
        <v>45533.0</v>
      </c>
      <c r="B1257" s="264">
        <v>6095189.0</v>
      </c>
      <c r="C1257" s="265" t="s">
        <v>82</v>
      </c>
      <c r="D1257" s="265" t="s">
        <v>94</v>
      </c>
      <c r="E1257" s="264">
        <v>4.62268479E8</v>
      </c>
      <c r="F1257" s="265" t="s">
        <v>3611</v>
      </c>
      <c r="G1257" s="305">
        <v>45618.0</v>
      </c>
      <c r="H1257" s="313">
        <v>45621.0</v>
      </c>
      <c r="I1257" s="282">
        <v>3.0</v>
      </c>
      <c r="J1257" s="283" t="s">
        <v>78</v>
      </c>
      <c r="K1257" s="265" t="s">
        <v>79</v>
      </c>
      <c r="L1257" s="265" t="s">
        <v>3388</v>
      </c>
      <c r="M1257" s="269">
        <v>2.0</v>
      </c>
      <c r="N1257" s="270">
        <v>0.0</v>
      </c>
      <c r="O1257" s="271">
        <v>165.6</v>
      </c>
      <c r="P1257" s="271">
        <v>163.944</v>
      </c>
      <c r="Q1257" s="272">
        <v>0.0</v>
      </c>
      <c r="R1257" s="273">
        <v>491.832</v>
      </c>
      <c r="S1257" s="273">
        <v>0.0</v>
      </c>
      <c r="T1257" s="273">
        <v>496.8</v>
      </c>
      <c r="U1257" s="274" t="s">
        <v>3389</v>
      </c>
      <c r="V1257" s="286">
        <v>45533.9862037037</v>
      </c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</row>
    <row r="1258">
      <c r="A1258" s="210">
        <v>45534.0</v>
      </c>
      <c r="B1258" s="166">
        <v>6096741.0</v>
      </c>
      <c r="C1258" s="166" t="s">
        <v>82</v>
      </c>
      <c r="D1258" s="166" t="s">
        <v>94</v>
      </c>
      <c r="E1258" s="166">
        <v>4.62377895E8</v>
      </c>
      <c r="F1258" s="166" t="s">
        <v>3612</v>
      </c>
      <c r="G1258" s="210">
        <v>45540.0</v>
      </c>
      <c r="H1258" s="287">
        <v>45541.0</v>
      </c>
      <c r="I1258" s="168">
        <v>1.0</v>
      </c>
      <c r="J1258" s="169" t="s">
        <v>87</v>
      </c>
      <c r="K1258" s="166" t="s">
        <v>79</v>
      </c>
      <c r="L1258" s="166" t="s">
        <v>3459</v>
      </c>
      <c r="M1258" s="166">
        <v>2.0</v>
      </c>
      <c r="N1258" s="170">
        <v>0.0</v>
      </c>
      <c r="O1258" s="171">
        <v>130.48</v>
      </c>
      <c r="P1258" s="171">
        <v>129.1752</v>
      </c>
      <c r="Q1258" s="172">
        <v>0.0</v>
      </c>
      <c r="R1258" s="173">
        <v>129.1752</v>
      </c>
      <c r="S1258" s="173">
        <v>0.0</v>
      </c>
      <c r="T1258" s="173">
        <v>130.48</v>
      </c>
      <c r="U1258" s="174" t="s">
        <v>3460</v>
      </c>
      <c r="V1258" s="288">
        <v>45534.50351851852</v>
      </c>
      <c r="W1258" s="35"/>
      <c r="X1258" s="35"/>
      <c r="Y1258" s="35"/>
      <c r="Z1258" s="35"/>
      <c r="AA1258" s="35"/>
      <c r="AB1258" s="35"/>
      <c r="AC1258" s="35"/>
      <c r="AD1258" s="35"/>
      <c r="AE1258" s="35"/>
      <c r="AF1258" s="35"/>
      <c r="AG1258" s="35"/>
      <c r="AH1258" s="35"/>
      <c r="AI1258" s="35"/>
    </row>
    <row r="1259">
      <c r="A1259" s="280">
        <v>45534.0</v>
      </c>
      <c r="B1259" s="264">
        <v>6095986.0</v>
      </c>
      <c r="C1259" s="265" t="s">
        <v>82</v>
      </c>
      <c r="D1259" s="265" t="s">
        <v>35</v>
      </c>
      <c r="E1259" s="264">
        <v>4.982388598E9</v>
      </c>
      <c r="F1259" s="265" t="s">
        <v>3613</v>
      </c>
      <c r="G1259" s="280">
        <v>45558.0</v>
      </c>
      <c r="H1259" s="281">
        <v>45563.0</v>
      </c>
      <c r="I1259" s="282">
        <v>5.0</v>
      </c>
      <c r="J1259" s="283" t="s">
        <v>114</v>
      </c>
      <c r="K1259" s="265" t="s">
        <v>79</v>
      </c>
      <c r="L1259" s="265" t="s">
        <v>2803</v>
      </c>
      <c r="M1259" s="269">
        <v>2.0</v>
      </c>
      <c r="N1259" s="270">
        <v>0.0</v>
      </c>
      <c r="O1259" s="271">
        <v>150.07999999999998</v>
      </c>
      <c r="P1259" s="271">
        <v>120.064</v>
      </c>
      <c r="Q1259" s="272">
        <v>0.0</v>
      </c>
      <c r="R1259" s="273">
        <v>600.32</v>
      </c>
      <c r="S1259" s="273">
        <v>0.0</v>
      </c>
      <c r="T1259" s="273">
        <v>750.4</v>
      </c>
      <c r="U1259" s="274" t="s">
        <v>2804</v>
      </c>
      <c r="V1259" s="286">
        <v>45534.364641203705</v>
      </c>
      <c r="W1259" s="188"/>
      <c r="X1259" s="188"/>
      <c r="Y1259" s="188"/>
      <c r="Z1259" s="188"/>
      <c r="AA1259" s="188"/>
      <c r="AB1259" s="188"/>
      <c r="AC1259" s="188"/>
      <c r="AD1259" s="188"/>
      <c r="AE1259" s="188"/>
      <c r="AF1259" s="188"/>
      <c r="AG1259" s="188"/>
      <c r="AH1259" s="188"/>
      <c r="AI1259" s="188"/>
    </row>
    <row r="1260">
      <c r="A1260" s="210">
        <v>45534.0</v>
      </c>
      <c r="B1260" s="166">
        <v>6096611.0</v>
      </c>
      <c r="C1260" s="166" t="s">
        <v>82</v>
      </c>
      <c r="D1260" s="166" t="s">
        <v>12</v>
      </c>
      <c r="E1260" s="166" t="s">
        <v>3614</v>
      </c>
      <c r="F1260" s="166" t="s">
        <v>3615</v>
      </c>
      <c r="G1260" s="212">
        <v>45589.0</v>
      </c>
      <c r="H1260" s="310">
        <v>45591.0</v>
      </c>
      <c r="I1260" s="168">
        <v>2.0</v>
      </c>
      <c r="J1260" s="169" t="s">
        <v>78</v>
      </c>
      <c r="K1260" s="166" t="s">
        <v>79</v>
      </c>
      <c r="L1260" s="166" t="s">
        <v>3574</v>
      </c>
      <c r="M1260" s="166">
        <v>2.0</v>
      </c>
      <c r="N1260" s="169">
        <v>0.0</v>
      </c>
      <c r="O1260" s="171">
        <v>151.63</v>
      </c>
      <c r="P1260" s="171">
        <v>121.304</v>
      </c>
      <c r="Q1260" s="169">
        <v>0.0</v>
      </c>
      <c r="R1260" s="173">
        <v>242.608</v>
      </c>
      <c r="S1260" s="173">
        <v>0.0</v>
      </c>
      <c r="T1260" s="173">
        <v>303.26</v>
      </c>
      <c r="U1260" s="201" t="s">
        <v>3575</v>
      </c>
      <c r="V1260" s="288">
        <v>45534.47949074074</v>
      </c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</row>
    <row r="1261">
      <c r="A1261" s="210">
        <v>45535.0</v>
      </c>
      <c r="B1261" s="166">
        <v>6100775.0</v>
      </c>
      <c r="C1261" s="166" t="s">
        <v>82</v>
      </c>
      <c r="D1261" s="166" t="s">
        <v>94</v>
      </c>
      <c r="E1261" s="166">
        <v>6100775.0</v>
      </c>
      <c r="F1261" s="166" t="s">
        <v>3616</v>
      </c>
      <c r="G1261" s="212">
        <v>45587.0</v>
      </c>
      <c r="H1261" s="310">
        <v>45590.0</v>
      </c>
      <c r="I1261" s="168">
        <v>3.0</v>
      </c>
      <c r="J1261" s="169" t="s">
        <v>91</v>
      </c>
      <c r="K1261" s="166" t="s">
        <v>79</v>
      </c>
      <c r="L1261" s="166" t="s">
        <v>1462</v>
      </c>
      <c r="M1261" s="166">
        <v>4.0</v>
      </c>
      <c r="N1261" s="170">
        <v>0.0</v>
      </c>
      <c r="O1261" s="171">
        <v>299.59999999999997</v>
      </c>
      <c r="P1261" s="171">
        <v>296.604</v>
      </c>
      <c r="Q1261" s="172">
        <v>0.0</v>
      </c>
      <c r="R1261" s="173">
        <v>889.8119999999999</v>
      </c>
      <c r="S1261" s="173">
        <v>0.0</v>
      </c>
      <c r="T1261" s="173">
        <v>898.8</v>
      </c>
      <c r="U1261" s="174" t="s">
        <v>1463</v>
      </c>
      <c r="V1261" s="288">
        <v>45535.53209490741</v>
      </c>
      <c r="W1261" s="35"/>
      <c r="X1261" s="35"/>
      <c r="Y1261" s="35"/>
      <c r="Z1261" s="35"/>
      <c r="AA1261" s="35"/>
      <c r="AB1261" s="35"/>
      <c r="AC1261" s="35"/>
      <c r="AD1261" s="35"/>
      <c r="AE1261" s="35"/>
      <c r="AF1261" s="35"/>
      <c r="AG1261" s="35"/>
      <c r="AH1261" s="35"/>
      <c r="AI1261" s="35"/>
    </row>
    <row r="1262">
      <c r="A1262" s="280">
        <v>45535.0</v>
      </c>
      <c r="B1262" s="264">
        <v>6101148.0</v>
      </c>
      <c r="C1262" s="265" t="s">
        <v>82</v>
      </c>
      <c r="D1262" s="265" t="s">
        <v>35</v>
      </c>
      <c r="E1262" s="264">
        <v>4.437461626E9</v>
      </c>
      <c r="F1262" s="265" t="s">
        <v>3617</v>
      </c>
      <c r="G1262" s="305">
        <v>45587.0</v>
      </c>
      <c r="H1262" s="313">
        <v>45588.0</v>
      </c>
      <c r="I1262" s="282">
        <v>1.0</v>
      </c>
      <c r="J1262" s="283" t="s">
        <v>87</v>
      </c>
      <c r="K1262" s="265" t="s">
        <v>79</v>
      </c>
      <c r="L1262" s="265" t="s">
        <v>2798</v>
      </c>
      <c r="M1262" s="269">
        <v>2.0</v>
      </c>
      <c r="N1262" s="283">
        <v>0.0</v>
      </c>
      <c r="O1262" s="271">
        <v>160.27</v>
      </c>
      <c r="P1262" s="271">
        <v>128.216</v>
      </c>
      <c r="Q1262" s="283">
        <v>0.0</v>
      </c>
      <c r="R1262" s="273">
        <v>128.216</v>
      </c>
      <c r="S1262" s="273">
        <v>0.0</v>
      </c>
      <c r="T1262" s="273">
        <v>160.27</v>
      </c>
      <c r="U1262" s="274" t="s">
        <v>2800</v>
      </c>
      <c r="V1262" s="284">
        <v>45535.59936342592</v>
      </c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</row>
    <row r="1263">
      <c r="A1263" s="276">
        <v>45536.0</v>
      </c>
      <c r="B1263" s="252">
        <v>6104537.0</v>
      </c>
      <c r="C1263" s="253" t="s">
        <v>82</v>
      </c>
      <c r="D1263" s="253" t="s">
        <v>35</v>
      </c>
      <c r="E1263" s="252">
        <v>4.642542298E9</v>
      </c>
      <c r="F1263" s="253" t="s">
        <v>3618</v>
      </c>
      <c r="G1263" s="276">
        <v>45562.0</v>
      </c>
      <c r="H1263" s="277">
        <v>45563.0</v>
      </c>
      <c r="I1263" s="278">
        <v>1.0</v>
      </c>
      <c r="J1263" s="257" t="s">
        <v>78</v>
      </c>
      <c r="K1263" s="253" t="s">
        <v>79</v>
      </c>
      <c r="L1263" s="253" t="s">
        <v>2803</v>
      </c>
      <c r="M1263" s="252">
        <v>2.0</v>
      </c>
      <c r="N1263" s="258">
        <v>0.0</v>
      </c>
      <c r="O1263" s="259">
        <v>122.35</v>
      </c>
      <c r="P1263" s="259">
        <v>97.88</v>
      </c>
      <c r="Q1263" s="262">
        <v>0.0</v>
      </c>
      <c r="R1263" s="260">
        <v>97.88</v>
      </c>
      <c r="S1263" s="260">
        <v>0.0</v>
      </c>
      <c r="T1263" s="260">
        <v>122.35</v>
      </c>
      <c r="U1263" s="261" t="s">
        <v>2804</v>
      </c>
      <c r="V1263" s="279">
        <v>45536.5459375</v>
      </c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</row>
    <row r="1264">
      <c r="A1264" s="280">
        <v>45536.0</v>
      </c>
      <c r="B1264" s="264">
        <v>6106352.0</v>
      </c>
      <c r="C1264" s="265" t="s">
        <v>82</v>
      </c>
      <c r="D1264" s="265" t="s">
        <v>35</v>
      </c>
      <c r="E1264" s="264">
        <v>4.979051975E9</v>
      </c>
      <c r="F1264" s="265" t="s">
        <v>3619</v>
      </c>
      <c r="G1264" s="280">
        <v>45564.0</v>
      </c>
      <c r="H1264" s="281">
        <v>45565.0</v>
      </c>
      <c r="I1264" s="282">
        <v>1.0</v>
      </c>
      <c r="J1264" s="283" t="s">
        <v>78</v>
      </c>
      <c r="K1264" s="265" t="s">
        <v>79</v>
      </c>
      <c r="L1264" s="265" t="s">
        <v>2803</v>
      </c>
      <c r="M1264" s="269">
        <v>2.0</v>
      </c>
      <c r="N1264" s="270">
        <v>0.0</v>
      </c>
      <c r="O1264" s="271">
        <v>135.05</v>
      </c>
      <c r="P1264" s="271">
        <v>108.04000000000002</v>
      </c>
      <c r="Q1264" s="272">
        <v>0.0</v>
      </c>
      <c r="R1264" s="273">
        <v>108.04000000000002</v>
      </c>
      <c r="S1264" s="273">
        <v>0.0</v>
      </c>
      <c r="T1264" s="273">
        <v>135.05</v>
      </c>
      <c r="U1264" s="274" t="s">
        <v>2804</v>
      </c>
      <c r="V1264" s="284">
        <v>45536.87157407407</v>
      </c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</row>
    <row r="1265">
      <c r="A1265" s="280">
        <v>45537.0</v>
      </c>
      <c r="B1265" s="264">
        <v>6111037.0</v>
      </c>
      <c r="C1265" s="265" t="s">
        <v>82</v>
      </c>
      <c r="D1265" s="265" t="s">
        <v>94</v>
      </c>
      <c r="E1265" s="264">
        <v>6111037.0</v>
      </c>
      <c r="F1265" s="265" t="s">
        <v>3620</v>
      </c>
      <c r="G1265" s="280">
        <v>45540.0</v>
      </c>
      <c r="H1265" s="281">
        <v>45541.0</v>
      </c>
      <c r="I1265" s="282">
        <v>1.0</v>
      </c>
      <c r="J1265" s="283" t="s">
        <v>111</v>
      </c>
      <c r="K1265" s="265" t="s">
        <v>79</v>
      </c>
      <c r="L1265" s="265" t="s">
        <v>1462</v>
      </c>
      <c r="M1265" s="269">
        <v>2.0</v>
      </c>
      <c r="N1265" s="270">
        <v>0.0</v>
      </c>
      <c r="O1265" s="271">
        <v>149.96</v>
      </c>
      <c r="P1265" s="271">
        <v>148.4604</v>
      </c>
      <c r="Q1265" s="272">
        <v>0.0</v>
      </c>
      <c r="R1265" s="273">
        <v>148.4604</v>
      </c>
      <c r="S1265" s="273">
        <v>0.0</v>
      </c>
      <c r="T1265" s="273">
        <v>270.16</v>
      </c>
      <c r="U1265" s="274" t="s">
        <v>1463</v>
      </c>
      <c r="V1265" s="284">
        <v>45537.99574074074</v>
      </c>
      <c r="W1265" s="188"/>
      <c r="X1265" s="188"/>
      <c r="Y1265" s="188"/>
      <c r="Z1265" s="188"/>
      <c r="AA1265" s="188"/>
      <c r="AB1265" s="188"/>
      <c r="AC1265" s="188"/>
      <c r="AD1265" s="188"/>
      <c r="AE1265" s="188"/>
      <c r="AF1265" s="188"/>
      <c r="AG1265" s="188"/>
      <c r="AH1265" s="188"/>
      <c r="AI1265" s="188"/>
    </row>
    <row r="1266">
      <c r="A1266" s="210">
        <v>45537.0</v>
      </c>
      <c r="B1266" s="166">
        <v>6111037.0</v>
      </c>
      <c r="C1266" s="166" t="s">
        <v>82</v>
      </c>
      <c r="D1266" s="166" t="s">
        <v>94</v>
      </c>
      <c r="E1266" s="166">
        <v>6111037.0</v>
      </c>
      <c r="F1266" s="166" t="s">
        <v>3620</v>
      </c>
      <c r="G1266" s="210">
        <v>45540.0</v>
      </c>
      <c r="H1266" s="287">
        <v>45541.0</v>
      </c>
      <c r="I1266" s="168">
        <v>1.0</v>
      </c>
      <c r="J1266" s="169" t="s">
        <v>78</v>
      </c>
      <c r="K1266" s="166" t="s">
        <v>79</v>
      </c>
      <c r="L1266" s="166" t="s">
        <v>1462</v>
      </c>
      <c r="M1266" s="166">
        <v>2.0</v>
      </c>
      <c r="N1266" s="170">
        <v>0.0</v>
      </c>
      <c r="O1266" s="171">
        <v>120.2</v>
      </c>
      <c r="P1266" s="171">
        <v>118.998</v>
      </c>
      <c r="Q1266" s="172">
        <v>0.0</v>
      </c>
      <c r="R1266" s="173">
        <v>118.998</v>
      </c>
      <c r="S1266" s="173">
        <v>0.0</v>
      </c>
      <c r="T1266" s="173">
        <v>270.16</v>
      </c>
      <c r="U1266" s="174" t="s">
        <v>1463</v>
      </c>
      <c r="V1266" s="288">
        <v>45537.99574074074</v>
      </c>
      <c r="W1266" s="188"/>
      <c r="X1266" s="188"/>
      <c r="Y1266" s="188"/>
      <c r="Z1266" s="188"/>
      <c r="AA1266" s="188"/>
      <c r="AB1266" s="188"/>
      <c r="AC1266" s="188"/>
      <c r="AD1266" s="188"/>
      <c r="AE1266" s="188"/>
      <c r="AF1266" s="188"/>
      <c r="AG1266" s="188"/>
      <c r="AH1266" s="188"/>
      <c r="AI1266" s="188"/>
    </row>
    <row r="1267">
      <c r="A1267" s="280">
        <v>45537.0</v>
      </c>
      <c r="B1267" s="264">
        <v>6110064.0</v>
      </c>
      <c r="C1267" s="265" t="s">
        <v>82</v>
      </c>
      <c r="D1267" s="265" t="s">
        <v>94</v>
      </c>
      <c r="E1267" s="264">
        <v>6110064.0</v>
      </c>
      <c r="F1267" s="265" t="s">
        <v>3621</v>
      </c>
      <c r="G1267" s="305">
        <v>45577.0</v>
      </c>
      <c r="H1267" s="313">
        <v>45580.0</v>
      </c>
      <c r="I1267" s="282">
        <v>3.0</v>
      </c>
      <c r="J1267" s="283" t="s">
        <v>78</v>
      </c>
      <c r="K1267" s="265" t="s">
        <v>79</v>
      </c>
      <c r="L1267" s="265" t="s">
        <v>1447</v>
      </c>
      <c r="M1267" s="269">
        <v>2.0</v>
      </c>
      <c r="N1267" s="270">
        <v>0.0</v>
      </c>
      <c r="O1267" s="271">
        <v>120.2</v>
      </c>
      <c r="P1267" s="271">
        <v>118.998</v>
      </c>
      <c r="Q1267" s="272">
        <v>0.0</v>
      </c>
      <c r="R1267" s="273">
        <v>356.994</v>
      </c>
      <c r="S1267" s="273">
        <v>0.0</v>
      </c>
      <c r="T1267" s="273">
        <v>360.6</v>
      </c>
      <c r="U1267" s="274" t="s">
        <v>1448</v>
      </c>
      <c r="V1267" s="284">
        <v>45537.796678240746</v>
      </c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</row>
    <row r="1268">
      <c r="A1268" s="280">
        <v>45537.0</v>
      </c>
      <c r="B1268" s="264">
        <v>6110045.0</v>
      </c>
      <c r="C1268" s="265" t="s">
        <v>82</v>
      </c>
      <c r="D1268" s="265" t="s">
        <v>35</v>
      </c>
      <c r="E1268" s="264">
        <v>4.429314064E9</v>
      </c>
      <c r="F1268" s="265" t="s">
        <v>3622</v>
      </c>
      <c r="G1268" s="305">
        <v>45593.0</v>
      </c>
      <c r="H1268" s="313">
        <v>45596.0</v>
      </c>
      <c r="I1268" s="282">
        <v>3.0</v>
      </c>
      <c r="J1268" s="283" t="s">
        <v>78</v>
      </c>
      <c r="K1268" s="265" t="s">
        <v>79</v>
      </c>
      <c r="L1268" s="265" t="s">
        <v>2803</v>
      </c>
      <c r="M1268" s="269">
        <v>3.0</v>
      </c>
      <c r="N1268" s="283">
        <v>0.0</v>
      </c>
      <c r="O1268" s="271">
        <v>183.13</v>
      </c>
      <c r="P1268" s="271">
        <v>146.504</v>
      </c>
      <c r="Q1268" s="283">
        <v>0.0</v>
      </c>
      <c r="R1268" s="273">
        <v>439.512</v>
      </c>
      <c r="S1268" s="273">
        <v>0.0</v>
      </c>
      <c r="T1268" s="273">
        <v>549.39</v>
      </c>
      <c r="U1268" s="274" t="s">
        <v>2804</v>
      </c>
      <c r="V1268" s="284">
        <v>45537.79378472222</v>
      </c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</row>
    <row r="1269">
      <c r="A1269" s="276">
        <v>45538.0</v>
      </c>
      <c r="B1269" s="252">
        <v>6113799.0</v>
      </c>
      <c r="C1269" s="253" t="s">
        <v>82</v>
      </c>
      <c r="D1269" s="253" t="s">
        <v>94</v>
      </c>
      <c r="E1269" s="252">
        <v>6113799.0</v>
      </c>
      <c r="F1269" s="253" t="s">
        <v>3231</v>
      </c>
      <c r="G1269" s="276">
        <v>45538.0</v>
      </c>
      <c r="H1269" s="277">
        <v>45540.0</v>
      </c>
      <c r="I1269" s="278">
        <v>2.0</v>
      </c>
      <c r="J1269" s="257" t="s">
        <v>114</v>
      </c>
      <c r="K1269" s="253" t="s">
        <v>79</v>
      </c>
      <c r="L1269" s="253" t="s">
        <v>1462</v>
      </c>
      <c r="M1269" s="252">
        <v>2.0</v>
      </c>
      <c r="N1269" s="258">
        <v>0.0</v>
      </c>
      <c r="O1269" s="259">
        <v>149.96</v>
      </c>
      <c r="P1269" s="259">
        <v>148.4604</v>
      </c>
      <c r="Q1269" s="262">
        <v>0.0</v>
      </c>
      <c r="R1269" s="260">
        <v>296.9208</v>
      </c>
      <c r="S1269" s="260">
        <v>0.0</v>
      </c>
      <c r="T1269" s="260">
        <v>299.92</v>
      </c>
      <c r="U1269" s="261" t="s">
        <v>1463</v>
      </c>
      <c r="V1269" s="279">
        <v>45538.702673611115</v>
      </c>
      <c r="W1269" s="188"/>
      <c r="X1269" s="188"/>
      <c r="Y1269" s="188"/>
      <c r="Z1269" s="188"/>
      <c r="AA1269" s="188"/>
      <c r="AB1269" s="188"/>
      <c r="AC1269" s="188"/>
      <c r="AD1269" s="188"/>
      <c r="AE1269" s="188"/>
      <c r="AF1269" s="188"/>
      <c r="AG1269" s="188"/>
      <c r="AH1269" s="188"/>
      <c r="AI1269" s="188"/>
    </row>
    <row r="1270">
      <c r="A1270" s="280">
        <v>45538.0</v>
      </c>
      <c r="B1270" s="264">
        <v>6114933.0</v>
      </c>
      <c r="C1270" s="265" t="s">
        <v>82</v>
      </c>
      <c r="D1270" s="265" t="s">
        <v>94</v>
      </c>
      <c r="E1270" s="264" t="s">
        <v>3623</v>
      </c>
      <c r="F1270" s="265" t="s">
        <v>3624</v>
      </c>
      <c r="G1270" s="280">
        <v>45539.0</v>
      </c>
      <c r="H1270" s="281">
        <v>45541.0</v>
      </c>
      <c r="I1270" s="282">
        <v>2.0</v>
      </c>
      <c r="J1270" s="283" t="s">
        <v>87</v>
      </c>
      <c r="K1270" s="265" t="s">
        <v>79</v>
      </c>
      <c r="L1270" s="265" t="s">
        <v>3574</v>
      </c>
      <c r="M1270" s="269">
        <v>2.0</v>
      </c>
      <c r="N1270" s="270">
        <v>0.0</v>
      </c>
      <c r="O1270" s="271">
        <v>181.44</v>
      </c>
      <c r="P1270" s="271">
        <v>179.6256</v>
      </c>
      <c r="Q1270" s="272">
        <v>0.0</v>
      </c>
      <c r="R1270" s="273">
        <v>359.2512</v>
      </c>
      <c r="S1270" s="273">
        <v>0.0</v>
      </c>
      <c r="T1270" s="273">
        <v>362.88</v>
      </c>
      <c r="U1270" s="274" t="s">
        <v>3575</v>
      </c>
      <c r="V1270" s="284">
        <v>45538.897372685184</v>
      </c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</row>
    <row r="1271">
      <c r="A1271" s="280">
        <v>45538.0</v>
      </c>
      <c r="B1271" s="264">
        <v>6114548.0</v>
      </c>
      <c r="C1271" s="265" t="s">
        <v>82</v>
      </c>
      <c r="D1271" s="265" t="s">
        <v>94</v>
      </c>
      <c r="E1271" s="264">
        <v>4.63661023E8</v>
      </c>
      <c r="F1271" s="265" t="s">
        <v>3625</v>
      </c>
      <c r="G1271" s="280">
        <v>45539.0</v>
      </c>
      <c r="H1271" s="281">
        <v>45540.0</v>
      </c>
      <c r="I1271" s="282">
        <v>1.0</v>
      </c>
      <c r="J1271" s="283" t="s">
        <v>78</v>
      </c>
      <c r="K1271" s="265" t="s">
        <v>79</v>
      </c>
      <c r="L1271" s="265" t="s">
        <v>3378</v>
      </c>
      <c r="M1271" s="269">
        <v>1.0</v>
      </c>
      <c r="N1271" s="270">
        <v>0.0</v>
      </c>
      <c r="O1271" s="271">
        <v>140.76</v>
      </c>
      <c r="P1271" s="271">
        <v>139.3524</v>
      </c>
      <c r="Q1271" s="272">
        <v>0.0</v>
      </c>
      <c r="R1271" s="273">
        <v>139.3524</v>
      </c>
      <c r="S1271" s="273">
        <v>0.0</v>
      </c>
      <c r="T1271" s="273">
        <v>140.76</v>
      </c>
      <c r="U1271" s="274" t="s">
        <v>3379</v>
      </c>
      <c r="V1271" s="284">
        <v>45538.84032407407</v>
      </c>
      <c r="W1271" s="188"/>
      <c r="X1271" s="188"/>
      <c r="Y1271" s="188"/>
      <c r="Z1271" s="188"/>
      <c r="AA1271" s="188"/>
      <c r="AB1271" s="188"/>
      <c r="AC1271" s="188"/>
      <c r="AD1271" s="188"/>
      <c r="AE1271" s="188"/>
      <c r="AF1271" s="188"/>
      <c r="AG1271" s="188"/>
      <c r="AH1271" s="188"/>
      <c r="AI1271" s="188"/>
    </row>
    <row r="1272">
      <c r="A1272" s="280">
        <v>45538.0</v>
      </c>
      <c r="B1272" s="166">
        <v>6113195.0</v>
      </c>
      <c r="C1272" s="166" t="s">
        <v>82</v>
      </c>
      <c r="D1272" s="166" t="s">
        <v>35</v>
      </c>
      <c r="E1272" s="166">
        <v>4.856085383E9</v>
      </c>
      <c r="F1272" s="166" t="s">
        <v>3626</v>
      </c>
      <c r="G1272" s="210">
        <v>45548.0</v>
      </c>
      <c r="H1272" s="287">
        <v>45550.0</v>
      </c>
      <c r="I1272" s="168">
        <v>2.0</v>
      </c>
      <c r="J1272" s="169" t="s">
        <v>78</v>
      </c>
      <c r="K1272" s="166" t="s">
        <v>79</v>
      </c>
      <c r="L1272" s="166" t="s">
        <v>3419</v>
      </c>
      <c r="M1272" s="166">
        <v>2.0</v>
      </c>
      <c r="N1272" s="170">
        <v>0.0</v>
      </c>
      <c r="O1272" s="171">
        <v>195.64</v>
      </c>
      <c r="P1272" s="171">
        <v>156.512</v>
      </c>
      <c r="Q1272" s="172">
        <v>0.0</v>
      </c>
      <c r="R1272" s="173">
        <v>313.024</v>
      </c>
      <c r="S1272" s="173">
        <v>0.0</v>
      </c>
      <c r="T1272" s="260">
        <v>391.28</v>
      </c>
      <c r="U1272" s="261" t="s">
        <v>3420</v>
      </c>
      <c r="V1272" s="279">
        <v>45538.6090625</v>
      </c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</row>
    <row r="1273">
      <c r="A1273" s="280">
        <v>45538.0</v>
      </c>
      <c r="B1273" s="264">
        <v>6113992.0</v>
      </c>
      <c r="C1273" s="265" t="s">
        <v>82</v>
      </c>
      <c r="D1273" s="265" t="s">
        <v>94</v>
      </c>
      <c r="E1273" s="264">
        <v>4.63572323E8</v>
      </c>
      <c r="F1273" s="265" t="s">
        <v>3627</v>
      </c>
      <c r="G1273" s="305">
        <v>45596.0</v>
      </c>
      <c r="H1273" s="281">
        <v>45599.0</v>
      </c>
      <c r="I1273" s="282">
        <v>3.0</v>
      </c>
      <c r="J1273" s="283" t="s">
        <v>78</v>
      </c>
      <c r="K1273" s="265" t="s">
        <v>79</v>
      </c>
      <c r="L1273" s="265" t="s">
        <v>3378</v>
      </c>
      <c r="M1273" s="269">
        <v>2.0</v>
      </c>
      <c r="N1273" s="270">
        <v>0.0</v>
      </c>
      <c r="O1273" s="271">
        <v>140.76</v>
      </c>
      <c r="P1273" s="271">
        <v>139.3524</v>
      </c>
      <c r="Q1273" s="272">
        <v>0.0</v>
      </c>
      <c r="R1273" s="273">
        <v>418.05719999999997</v>
      </c>
      <c r="S1273" s="273">
        <v>0.0</v>
      </c>
      <c r="T1273" s="273">
        <v>422.28</v>
      </c>
      <c r="U1273" s="274" t="s">
        <v>3379</v>
      </c>
      <c r="V1273" s="284">
        <v>45538.736168981486</v>
      </c>
      <c r="W1273" s="188"/>
      <c r="X1273" s="188"/>
      <c r="Y1273" s="188"/>
      <c r="Z1273" s="188"/>
      <c r="AA1273" s="188"/>
      <c r="AB1273" s="188"/>
      <c r="AC1273" s="188"/>
      <c r="AD1273" s="188"/>
      <c r="AE1273" s="188"/>
      <c r="AF1273" s="188"/>
      <c r="AG1273" s="188"/>
      <c r="AH1273" s="188"/>
      <c r="AI1273" s="188"/>
    </row>
    <row r="1274">
      <c r="A1274" s="210">
        <v>45538.0</v>
      </c>
      <c r="B1274" s="166">
        <v>6114979.0</v>
      </c>
      <c r="C1274" s="166" t="s">
        <v>82</v>
      </c>
      <c r="D1274" s="166" t="s">
        <v>94</v>
      </c>
      <c r="E1274" s="166">
        <v>4.63721935E8</v>
      </c>
      <c r="F1274" s="166" t="s">
        <v>3628</v>
      </c>
      <c r="G1274" s="210">
        <v>45598.0</v>
      </c>
      <c r="H1274" s="287">
        <v>45599.0</v>
      </c>
      <c r="I1274" s="168">
        <v>1.0</v>
      </c>
      <c r="J1274" s="169" t="s">
        <v>114</v>
      </c>
      <c r="K1274" s="166" t="s">
        <v>79</v>
      </c>
      <c r="L1274" s="166" t="s">
        <v>3459</v>
      </c>
      <c r="M1274" s="205">
        <v>2.0</v>
      </c>
      <c r="N1274" s="170">
        <v>0.0</v>
      </c>
      <c r="O1274" s="171">
        <v>170.0</v>
      </c>
      <c r="P1274" s="171">
        <v>168.3</v>
      </c>
      <c r="Q1274" s="172">
        <v>0.0</v>
      </c>
      <c r="R1274" s="173">
        <v>168.3</v>
      </c>
      <c r="S1274" s="173">
        <v>0.0</v>
      </c>
      <c r="T1274" s="260">
        <v>170.0</v>
      </c>
      <c r="U1274" s="261" t="s">
        <v>3460</v>
      </c>
      <c r="V1274" s="279">
        <v>45538.90629629629</v>
      </c>
      <c r="W1274" s="35"/>
      <c r="X1274" s="35"/>
      <c r="Y1274" s="35"/>
      <c r="Z1274" s="35"/>
      <c r="AA1274" s="35"/>
      <c r="AB1274" s="35"/>
      <c r="AC1274" s="35"/>
      <c r="AD1274" s="35"/>
      <c r="AE1274" s="35"/>
      <c r="AF1274" s="35"/>
      <c r="AG1274" s="35"/>
      <c r="AH1274" s="35"/>
      <c r="AI1274" s="35"/>
    </row>
    <row r="1275">
      <c r="A1275" s="210">
        <v>45538.0</v>
      </c>
      <c r="B1275" s="166">
        <v>6112104.0</v>
      </c>
      <c r="C1275" s="166" t="s">
        <v>82</v>
      </c>
      <c r="D1275" s="166" t="s">
        <v>94</v>
      </c>
      <c r="E1275" s="166">
        <v>4.63390851E8</v>
      </c>
      <c r="F1275" s="166" t="s">
        <v>3629</v>
      </c>
      <c r="G1275" s="212">
        <v>45618.0</v>
      </c>
      <c r="H1275" s="310">
        <v>45621.0</v>
      </c>
      <c r="I1275" s="168">
        <v>3.0</v>
      </c>
      <c r="J1275" s="169" t="s">
        <v>111</v>
      </c>
      <c r="K1275" s="166" t="s">
        <v>79</v>
      </c>
      <c r="L1275" s="166" t="s">
        <v>3378</v>
      </c>
      <c r="M1275" s="205">
        <v>2.0</v>
      </c>
      <c r="N1275" s="170">
        <v>0.0</v>
      </c>
      <c r="O1275" s="171">
        <v>156.4</v>
      </c>
      <c r="P1275" s="171">
        <v>154.836</v>
      </c>
      <c r="Q1275" s="172">
        <v>0.0</v>
      </c>
      <c r="R1275" s="173">
        <v>464.508</v>
      </c>
      <c r="S1275" s="173">
        <v>0.0</v>
      </c>
      <c r="T1275" s="173">
        <v>469.2</v>
      </c>
      <c r="U1275" s="174" t="s">
        <v>3379</v>
      </c>
      <c r="V1275" s="288">
        <v>45538.42712962963</v>
      </c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</row>
    <row r="1276">
      <c r="A1276" s="210">
        <v>45538.0</v>
      </c>
      <c r="B1276" s="166">
        <v>6115080.0</v>
      </c>
      <c r="C1276" s="166" t="s">
        <v>82</v>
      </c>
      <c r="D1276" s="166" t="s">
        <v>94</v>
      </c>
      <c r="E1276" s="166">
        <v>6115080.0</v>
      </c>
      <c r="F1276" s="166" t="s">
        <v>3630</v>
      </c>
      <c r="G1276" s="212">
        <v>45621.0</v>
      </c>
      <c r="H1276" s="310">
        <v>45625.0</v>
      </c>
      <c r="I1276" s="168">
        <v>4.0</v>
      </c>
      <c r="J1276" s="169" t="s">
        <v>114</v>
      </c>
      <c r="K1276" s="166" t="s">
        <v>79</v>
      </c>
      <c r="L1276" s="166" t="s">
        <v>1462</v>
      </c>
      <c r="M1276" s="166">
        <v>2.0</v>
      </c>
      <c r="N1276" s="170">
        <v>0.0</v>
      </c>
      <c r="O1276" s="171">
        <v>133.0</v>
      </c>
      <c r="P1276" s="171">
        <v>131.67</v>
      </c>
      <c r="Q1276" s="172">
        <v>0.0</v>
      </c>
      <c r="R1276" s="173">
        <v>526.68</v>
      </c>
      <c r="S1276" s="173">
        <v>0.0</v>
      </c>
      <c r="T1276" s="173">
        <v>532.0</v>
      </c>
      <c r="U1276" s="201" t="s">
        <v>1463</v>
      </c>
      <c r="V1276" s="288">
        <v>45538.92847222222</v>
      </c>
      <c r="W1276" s="188"/>
      <c r="X1276" s="188"/>
      <c r="Y1276" s="188"/>
      <c r="Z1276" s="188"/>
      <c r="AA1276" s="188"/>
      <c r="AB1276" s="188"/>
      <c r="AC1276" s="188"/>
      <c r="AD1276" s="188"/>
      <c r="AE1276" s="188"/>
      <c r="AF1276" s="188"/>
      <c r="AG1276" s="188"/>
      <c r="AH1276" s="188"/>
      <c r="AI1276" s="188"/>
    </row>
    <row r="1277">
      <c r="A1277" s="210">
        <v>45539.0</v>
      </c>
      <c r="B1277" s="166">
        <v>6118392.0</v>
      </c>
      <c r="C1277" s="166" t="s">
        <v>75</v>
      </c>
      <c r="D1277" s="166" t="s">
        <v>35</v>
      </c>
      <c r="E1277" s="166">
        <v>4.672348163E9</v>
      </c>
      <c r="F1277" s="166" t="s">
        <v>3631</v>
      </c>
      <c r="G1277" s="210">
        <v>45562.0</v>
      </c>
      <c r="H1277" s="287">
        <v>45563.0</v>
      </c>
      <c r="I1277" s="168">
        <v>1.0</v>
      </c>
      <c r="J1277" s="169" t="s">
        <v>87</v>
      </c>
      <c r="K1277" s="166" t="s">
        <v>79</v>
      </c>
      <c r="L1277" s="166" t="s">
        <v>2803</v>
      </c>
      <c r="M1277" s="166">
        <v>2.0</v>
      </c>
      <c r="N1277" s="170">
        <v>0.0</v>
      </c>
      <c r="O1277" s="171">
        <v>134.76</v>
      </c>
      <c r="P1277" s="171">
        <v>107.80799999999999</v>
      </c>
      <c r="Q1277" s="172">
        <v>0.0</v>
      </c>
      <c r="R1277" s="173">
        <v>107.80799999999999</v>
      </c>
      <c r="S1277" s="173">
        <v>0.0</v>
      </c>
      <c r="T1277" s="173">
        <v>134.76</v>
      </c>
      <c r="U1277" s="174" t="s">
        <v>2804</v>
      </c>
      <c r="V1277" s="288">
        <v>45558.0174074074</v>
      </c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</row>
    <row r="1278">
      <c r="A1278" s="210">
        <v>45539.0</v>
      </c>
      <c r="B1278" s="166">
        <v>6118906.0</v>
      </c>
      <c r="C1278" s="166" t="s">
        <v>82</v>
      </c>
      <c r="D1278" s="166" t="s">
        <v>94</v>
      </c>
      <c r="E1278" s="166">
        <v>6118906.0</v>
      </c>
      <c r="F1278" s="166" t="s">
        <v>3511</v>
      </c>
      <c r="G1278" s="210">
        <v>45627.0</v>
      </c>
      <c r="H1278" s="287">
        <v>45628.0</v>
      </c>
      <c r="I1278" s="168">
        <v>1.0</v>
      </c>
      <c r="J1278" s="169" t="s">
        <v>78</v>
      </c>
      <c r="K1278" s="166" t="s">
        <v>79</v>
      </c>
      <c r="L1278" s="166" t="s">
        <v>1811</v>
      </c>
      <c r="M1278" s="205">
        <v>2.0</v>
      </c>
      <c r="N1278" s="170">
        <v>0.0</v>
      </c>
      <c r="O1278" s="171">
        <v>120.2</v>
      </c>
      <c r="P1278" s="171">
        <v>118.998</v>
      </c>
      <c r="Q1278" s="172">
        <v>0.0</v>
      </c>
      <c r="R1278" s="173">
        <v>118.998</v>
      </c>
      <c r="S1278" s="173">
        <v>0.0</v>
      </c>
      <c r="T1278" s="173">
        <v>120.2</v>
      </c>
      <c r="U1278" s="174" t="s">
        <v>1812</v>
      </c>
      <c r="V1278" s="288">
        <v>45539.82388888889</v>
      </c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</row>
    <row r="1279">
      <c r="A1279" s="210">
        <v>45540.0</v>
      </c>
      <c r="B1279" s="166">
        <v>6122293.0</v>
      </c>
      <c r="C1279" s="166" t="s">
        <v>82</v>
      </c>
      <c r="D1279" s="166" t="s">
        <v>35</v>
      </c>
      <c r="E1279" s="166">
        <v>4.595779493E9</v>
      </c>
      <c r="F1279" s="166" t="s">
        <v>3632</v>
      </c>
      <c r="G1279" s="210">
        <v>45567.0</v>
      </c>
      <c r="H1279" s="287">
        <v>45568.0</v>
      </c>
      <c r="I1279" s="168">
        <v>1.0</v>
      </c>
      <c r="J1279" s="169" t="s">
        <v>87</v>
      </c>
      <c r="K1279" s="166" t="s">
        <v>79</v>
      </c>
      <c r="L1279" s="166" t="s">
        <v>2803</v>
      </c>
      <c r="M1279" s="166">
        <v>2.0</v>
      </c>
      <c r="N1279" s="170">
        <v>0.0</v>
      </c>
      <c r="O1279" s="171">
        <v>122.35</v>
      </c>
      <c r="P1279" s="171">
        <v>97.88</v>
      </c>
      <c r="Q1279" s="172">
        <v>0.0</v>
      </c>
      <c r="R1279" s="173">
        <v>97.88</v>
      </c>
      <c r="S1279" s="173">
        <v>0.0</v>
      </c>
      <c r="T1279" s="173">
        <v>122.35</v>
      </c>
      <c r="U1279" s="201" t="s">
        <v>2804</v>
      </c>
      <c r="V1279" s="288">
        <v>45540.6653125</v>
      </c>
      <c r="W1279" s="188"/>
      <c r="X1279" s="188"/>
      <c r="Y1279" s="188"/>
      <c r="Z1279" s="188"/>
      <c r="AA1279" s="188"/>
      <c r="AB1279" s="188"/>
      <c r="AC1279" s="188"/>
      <c r="AD1279" s="188"/>
      <c r="AE1279" s="188"/>
      <c r="AF1279" s="188"/>
      <c r="AG1279" s="188"/>
      <c r="AH1279" s="188"/>
      <c r="AI1279" s="188"/>
    </row>
    <row r="1280">
      <c r="A1280" s="276">
        <v>45540.0</v>
      </c>
      <c r="B1280" s="252">
        <v>6123573.0</v>
      </c>
      <c r="C1280" s="253" t="s">
        <v>75</v>
      </c>
      <c r="D1280" s="253" t="s">
        <v>94</v>
      </c>
      <c r="E1280" s="252">
        <v>6123573.0</v>
      </c>
      <c r="F1280" s="253" t="s">
        <v>3633</v>
      </c>
      <c r="G1280" s="304">
        <v>45610.0</v>
      </c>
      <c r="H1280" s="311">
        <v>45613.0</v>
      </c>
      <c r="I1280" s="278">
        <v>3.0</v>
      </c>
      <c r="J1280" s="257" t="s">
        <v>114</v>
      </c>
      <c r="K1280" s="253" t="s">
        <v>79</v>
      </c>
      <c r="L1280" s="253" t="s">
        <v>1601</v>
      </c>
      <c r="M1280" s="275">
        <v>2.0</v>
      </c>
      <c r="N1280" s="258">
        <v>0.0</v>
      </c>
      <c r="O1280" s="259">
        <v>139.66666666666666</v>
      </c>
      <c r="P1280" s="259">
        <v>138.26999999999998</v>
      </c>
      <c r="Q1280" s="262">
        <v>0.0</v>
      </c>
      <c r="R1280" s="260">
        <v>414.81</v>
      </c>
      <c r="S1280" s="260">
        <v>0.0</v>
      </c>
      <c r="T1280" s="260">
        <v>419.0</v>
      </c>
      <c r="U1280" s="261" t="s">
        <v>1602</v>
      </c>
      <c r="V1280" s="279">
        <v>45571.45349537037</v>
      </c>
      <c r="W1280" s="188"/>
      <c r="X1280" s="188"/>
      <c r="Y1280" s="188"/>
      <c r="Z1280" s="188"/>
      <c r="AA1280" s="188"/>
      <c r="AB1280" s="188"/>
      <c r="AC1280" s="188"/>
      <c r="AD1280" s="188"/>
      <c r="AE1280" s="188"/>
      <c r="AF1280" s="188"/>
      <c r="AG1280" s="188"/>
      <c r="AH1280" s="188"/>
      <c r="AI1280" s="188"/>
    </row>
    <row r="1281">
      <c r="A1281" s="280">
        <v>45541.0</v>
      </c>
      <c r="B1281" s="264">
        <v>6127048.0</v>
      </c>
      <c r="C1281" s="265" t="s">
        <v>82</v>
      </c>
      <c r="D1281" s="265" t="s">
        <v>94</v>
      </c>
      <c r="E1281" s="264">
        <v>6127048.0</v>
      </c>
      <c r="F1281" s="265" t="s">
        <v>3634</v>
      </c>
      <c r="G1281" s="280">
        <v>45541.0</v>
      </c>
      <c r="H1281" s="281">
        <v>45543.0</v>
      </c>
      <c r="I1281" s="282">
        <v>2.0</v>
      </c>
      <c r="J1281" s="283" t="s">
        <v>114</v>
      </c>
      <c r="K1281" s="265" t="s">
        <v>79</v>
      </c>
      <c r="L1281" s="265" t="s">
        <v>1462</v>
      </c>
      <c r="M1281" s="269">
        <v>2.0</v>
      </c>
      <c r="N1281" s="270">
        <v>0.0</v>
      </c>
      <c r="O1281" s="271">
        <v>133.0</v>
      </c>
      <c r="P1281" s="271">
        <v>131.67</v>
      </c>
      <c r="Q1281" s="272">
        <v>0.0</v>
      </c>
      <c r="R1281" s="273">
        <v>263.34</v>
      </c>
      <c r="S1281" s="273">
        <v>0.0</v>
      </c>
      <c r="T1281" s="273">
        <v>266.0</v>
      </c>
      <c r="U1281" s="274" t="s">
        <v>1463</v>
      </c>
      <c r="V1281" s="284">
        <v>45541.777916666666</v>
      </c>
      <c r="W1281" s="35"/>
      <c r="X1281" s="35"/>
      <c r="Y1281" s="35"/>
      <c r="Z1281" s="35"/>
      <c r="AA1281" s="35"/>
      <c r="AB1281" s="35"/>
      <c r="AC1281" s="35"/>
      <c r="AD1281" s="35"/>
      <c r="AE1281" s="35"/>
      <c r="AF1281" s="35"/>
      <c r="AG1281" s="35"/>
      <c r="AH1281" s="35"/>
      <c r="AI1281" s="35"/>
    </row>
    <row r="1282">
      <c r="A1282" s="280">
        <v>45541.0</v>
      </c>
      <c r="B1282" s="264">
        <v>6124805.0</v>
      </c>
      <c r="C1282" s="265" t="s">
        <v>82</v>
      </c>
      <c r="D1282" s="265" t="s">
        <v>35</v>
      </c>
      <c r="E1282" s="265">
        <v>4.486116758E9</v>
      </c>
      <c r="F1282" s="265" t="s">
        <v>3635</v>
      </c>
      <c r="G1282" s="305">
        <v>45578.0</v>
      </c>
      <c r="H1282" s="313">
        <v>45579.0</v>
      </c>
      <c r="I1282" s="282">
        <v>1.0</v>
      </c>
      <c r="J1282" s="283" t="s">
        <v>78</v>
      </c>
      <c r="K1282" s="265" t="s">
        <v>79</v>
      </c>
      <c r="L1282" s="265" t="s">
        <v>2803</v>
      </c>
      <c r="M1282" s="269">
        <v>1.0</v>
      </c>
      <c r="N1282" s="270">
        <v>0.0</v>
      </c>
      <c r="O1282" s="271">
        <v>132.55</v>
      </c>
      <c r="P1282" s="271">
        <v>106.04000000000002</v>
      </c>
      <c r="Q1282" s="272">
        <v>0.0</v>
      </c>
      <c r="R1282" s="273">
        <v>106.04000000000002</v>
      </c>
      <c r="S1282" s="273">
        <v>0.0</v>
      </c>
      <c r="T1282" s="273">
        <v>132.55</v>
      </c>
      <c r="U1282" s="274" t="s">
        <v>2804</v>
      </c>
      <c r="V1282" s="286">
        <v>45541.36950231482</v>
      </c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</row>
    <row r="1283">
      <c r="A1283" s="210">
        <v>45541.0</v>
      </c>
      <c r="B1283" s="166">
        <v>6126623.0</v>
      </c>
      <c r="C1283" s="166" t="s">
        <v>82</v>
      </c>
      <c r="D1283" s="166" t="s">
        <v>94</v>
      </c>
      <c r="E1283" s="166" t="s">
        <v>3636</v>
      </c>
      <c r="F1283" s="166" t="s">
        <v>3637</v>
      </c>
      <c r="G1283" s="212">
        <v>45578.0</v>
      </c>
      <c r="H1283" s="310">
        <v>45582.0</v>
      </c>
      <c r="I1283" s="168">
        <v>4.0</v>
      </c>
      <c r="J1283" s="169" t="s">
        <v>78</v>
      </c>
      <c r="K1283" s="166" t="s">
        <v>79</v>
      </c>
      <c r="L1283" s="166" t="s">
        <v>3574</v>
      </c>
      <c r="M1283" s="166">
        <v>2.0</v>
      </c>
      <c r="N1283" s="170">
        <v>0.0</v>
      </c>
      <c r="O1283" s="171">
        <v>151.63</v>
      </c>
      <c r="P1283" s="171">
        <v>150.1137</v>
      </c>
      <c r="Q1283" s="172">
        <v>0.0</v>
      </c>
      <c r="R1283" s="173">
        <v>600.4548</v>
      </c>
      <c r="S1283" s="173">
        <v>0.0</v>
      </c>
      <c r="T1283" s="173">
        <v>606.52</v>
      </c>
      <c r="U1283" s="174" t="s">
        <v>3575</v>
      </c>
      <c r="V1283" s="288">
        <v>45541.700057870374</v>
      </c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</row>
    <row r="1284">
      <c r="A1284" s="280">
        <v>45542.0</v>
      </c>
      <c r="B1284" s="264">
        <v>6129603.0</v>
      </c>
      <c r="C1284" s="265" t="s">
        <v>82</v>
      </c>
      <c r="D1284" s="265" t="s">
        <v>94</v>
      </c>
      <c r="E1284" s="264">
        <v>4.65251003E8</v>
      </c>
      <c r="F1284" s="265" t="s">
        <v>3638</v>
      </c>
      <c r="G1284" s="280">
        <v>45558.0</v>
      </c>
      <c r="H1284" s="281">
        <v>45560.0</v>
      </c>
      <c r="I1284" s="282">
        <v>2.0</v>
      </c>
      <c r="J1284" s="283" t="s">
        <v>78</v>
      </c>
      <c r="K1284" s="265" t="s">
        <v>79</v>
      </c>
      <c r="L1284" s="265" t="s">
        <v>3378</v>
      </c>
      <c r="M1284" s="269">
        <v>2.0</v>
      </c>
      <c r="N1284" s="270">
        <v>0.0</v>
      </c>
      <c r="O1284" s="271">
        <v>140.76</v>
      </c>
      <c r="P1284" s="271">
        <v>139.3524</v>
      </c>
      <c r="Q1284" s="272">
        <v>0.0</v>
      </c>
      <c r="R1284" s="273">
        <v>278.7048</v>
      </c>
      <c r="S1284" s="273">
        <v>0.0</v>
      </c>
      <c r="T1284" s="273">
        <v>563.04</v>
      </c>
      <c r="U1284" s="274" t="s">
        <v>3379</v>
      </c>
      <c r="V1284" s="284">
        <v>45542.53822916667</v>
      </c>
      <c r="W1284" s="35"/>
      <c r="X1284" s="35"/>
      <c r="Y1284" s="35"/>
      <c r="Z1284" s="35"/>
      <c r="AA1284" s="35"/>
      <c r="AB1284" s="35"/>
      <c r="AC1284" s="35"/>
      <c r="AD1284" s="35"/>
      <c r="AE1284" s="35"/>
      <c r="AF1284" s="35"/>
      <c r="AG1284" s="35"/>
      <c r="AH1284" s="35"/>
      <c r="AI1284" s="35"/>
    </row>
    <row r="1285">
      <c r="A1285" s="276">
        <v>45542.0</v>
      </c>
      <c r="B1285" s="252">
        <v>6129603.0</v>
      </c>
      <c r="C1285" s="253" t="s">
        <v>82</v>
      </c>
      <c r="D1285" s="253" t="s">
        <v>94</v>
      </c>
      <c r="E1285" s="252">
        <v>4.65251003E8</v>
      </c>
      <c r="F1285" s="253" t="s">
        <v>3638</v>
      </c>
      <c r="G1285" s="276">
        <v>45558.0</v>
      </c>
      <c r="H1285" s="277">
        <v>45560.0</v>
      </c>
      <c r="I1285" s="278">
        <v>2.0</v>
      </c>
      <c r="J1285" s="257" t="s">
        <v>78</v>
      </c>
      <c r="K1285" s="253" t="s">
        <v>79</v>
      </c>
      <c r="L1285" s="253" t="s">
        <v>3378</v>
      </c>
      <c r="M1285" s="275">
        <v>1.0</v>
      </c>
      <c r="N1285" s="258">
        <v>0.0</v>
      </c>
      <c r="O1285" s="259">
        <v>140.76</v>
      </c>
      <c r="P1285" s="259">
        <v>139.3524</v>
      </c>
      <c r="Q1285" s="262">
        <v>0.0</v>
      </c>
      <c r="R1285" s="260">
        <v>278.7048</v>
      </c>
      <c r="S1285" s="260">
        <v>0.0</v>
      </c>
      <c r="T1285" s="260">
        <v>563.04</v>
      </c>
      <c r="U1285" s="261" t="s">
        <v>3379</v>
      </c>
      <c r="V1285" s="279">
        <v>45542.53822916667</v>
      </c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</row>
    <row r="1286">
      <c r="A1286" s="210">
        <v>45542.0</v>
      </c>
      <c r="B1286" s="166">
        <v>6128319.0</v>
      </c>
      <c r="C1286" s="166" t="s">
        <v>82</v>
      </c>
      <c r="D1286" s="166" t="s">
        <v>35</v>
      </c>
      <c r="E1286" s="166">
        <v>4.333844825E9</v>
      </c>
      <c r="F1286" s="166" t="s">
        <v>3639</v>
      </c>
      <c r="G1286" s="210">
        <v>45597.0</v>
      </c>
      <c r="H1286" s="287">
        <v>45600.0</v>
      </c>
      <c r="I1286" s="168">
        <v>3.0</v>
      </c>
      <c r="J1286" s="169" t="s">
        <v>78</v>
      </c>
      <c r="K1286" s="166" t="s">
        <v>79</v>
      </c>
      <c r="L1286" s="166" t="s">
        <v>2803</v>
      </c>
      <c r="M1286" s="166">
        <v>2.0</v>
      </c>
      <c r="N1286" s="170">
        <v>0.0</v>
      </c>
      <c r="O1286" s="171">
        <v>180.63</v>
      </c>
      <c r="P1286" s="171">
        <v>144.504</v>
      </c>
      <c r="Q1286" s="172">
        <v>0.0</v>
      </c>
      <c r="R1286" s="173">
        <v>433.512</v>
      </c>
      <c r="S1286" s="173">
        <v>0.0</v>
      </c>
      <c r="T1286" s="173">
        <v>541.89</v>
      </c>
      <c r="U1286" s="201" t="s">
        <v>2804</v>
      </c>
      <c r="V1286" s="288">
        <v>45542.23199074074</v>
      </c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</row>
    <row r="1287">
      <c r="A1287" s="210">
        <v>45542.0</v>
      </c>
      <c r="B1287" s="166">
        <v>6128836.0</v>
      </c>
      <c r="C1287" s="166" t="s">
        <v>82</v>
      </c>
      <c r="D1287" s="166" t="s">
        <v>94</v>
      </c>
      <c r="E1287" s="166">
        <v>6128836.0</v>
      </c>
      <c r="F1287" s="166" t="s">
        <v>3640</v>
      </c>
      <c r="G1287" s="210">
        <v>45629.0</v>
      </c>
      <c r="H1287" s="310">
        <v>45636.0</v>
      </c>
      <c r="I1287" s="168">
        <v>7.0</v>
      </c>
      <c r="J1287" s="169" t="s">
        <v>114</v>
      </c>
      <c r="K1287" s="166" t="s">
        <v>79</v>
      </c>
      <c r="L1287" s="166" t="s">
        <v>1601</v>
      </c>
      <c r="M1287" s="166">
        <v>2.0</v>
      </c>
      <c r="N1287" s="170">
        <v>0.0</v>
      </c>
      <c r="O1287" s="171">
        <v>138.71428571428572</v>
      </c>
      <c r="P1287" s="171">
        <v>137.32714285714286</v>
      </c>
      <c r="Q1287" s="172">
        <v>0.0</v>
      </c>
      <c r="R1287" s="173">
        <v>961.29</v>
      </c>
      <c r="S1287" s="173">
        <v>0.0</v>
      </c>
      <c r="T1287" s="173">
        <v>971.0</v>
      </c>
      <c r="U1287" s="201" t="s">
        <v>1602</v>
      </c>
      <c r="V1287" s="288">
        <v>45542.394062499996</v>
      </c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</row>
    <row r="1288">
      <c r="A1288" s="280">
        <v>45543.0</v>
      </c>
      <c r="B1288" s="264">
        <v>6134125.0</v>
      </c>
      <c r="C1288" s="265" t="s">
        <v>82</v>
      </c>
      <c r="D1288" s="265" t="s">
        <v>94</v>
      </c>
      <c r="E1288" s="264">
        <v>6134125.0</v>
      </c>
      <c r="F1288" s="265" t="s">
        <v>3641</v>
      </c>
      <c r="G1288" s="280">
        <v>45544.0</v>
      </c>
      <c r="H1288" s="281">
        <v>45545.0</v>
      </c>
      <c r="I1288" s="282">
        <v>1.0</v>
      </c>
      <c r="J1288" s="283" t="s">
        <v>114</v>
      </c>
      <c r="K1288" s="265" t="s">
        <v>79</v>
      </c>
      <c r="L1288" s="265" t="s">
        <v>1462</v>
      </c>
      <c r="M1288" s="269">
        <v>2.0</v>
      </c>
      <c r="N1288" s="270">
        <v>0.0</v>
      </c>
      <c r="O1288" s="271">
        <v>149.96</v>
      </c>
      <c r="P1288" s="271">
        <v>148.4604</v>
      </c>
      <c r="Q1288" s="272">
        <v>0.0</v>
      </c>
      <c r="R1288" s="273">
        <v>148.4604</v>
      </c>
      <c r="S1288" s="273">
        <v>0.0</v>
      </c>
      <c r="T1288" s="273">
        <v>149.96</v>
      </c>
      <c r="U1288" s="274" t="s">
        <v>1463</v>
      </c>
      <c r="V1288" s="284">
        <v>45543.70233796297</v>
      </c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</row>
    <row r="1289">
      <c r="A1289" s="210">
        <v>45543.0</v>
      </c>
      <c r="B1289" s="166">
        <v>6133509.0</v>
      </c>
      <c r="C1289" s="166" t="s">
        <v>82</v>
      </c>
      <c r="D1289" s="166" t="s">
        <v>94</v>
      </c>
      <c r="E1289" s="166">
        <v>6133509.0</v>
      </c>
      <c r="F1289" s="166" t="s">
        <v>3642</v>
      </c>
      <c r="G1289" s="210">
        <v>45551.0</v>
      </c>
      <c r="H1289" s="287">
        <v>45552.0</v>
      </c>
      <c r="I1289" s="168">
        <v>1.0</v>
      </c>
      <c r="J1289" s="169" t="s">
        <v>87</v>
      </c>
      <c r="K1289" s="166" t="s">
        <v>79</v>
      </c>
      <c r="L1289" s="166" t="s">
        <v>1462</v>
      </c>
      <c r="M1289" s="166">
        <v>2.0</v>
      </c>
      <c r="N1289" s="169">
        <v>0.0</v>
      </c>
      <c r="O1289" s="171">
        <v>103.24</v>
      </c>
      <c r="P1289" s="171">
        <v>102.2076</v>
      </c>
      <c r="Q1289" s="169">
        <v>0.0</v>
      </c>
      <c r="R1289" s="173">
        <v>102.2076</v>
      </c>
      <c r="S1289" s="173">
        <v>0.0</v>
      </c>
      <c r="T1289" s="173">
        <v>103.24</v>
      </c>
      <c r="U1289" s="174" t="s">
        <v>1463</v>
      </c>
      <c r="V1289" s="288">
        <v>45543.59568287037</v>
      </c>
      <c r="W1289" s="35"/>
      <c r="X1289" s="35"/>
      <c r="Y1289" s="35"/>
      <c r="Z1289" s="35"/>
      <c r="AA1289" s="35"/>
      <c r="AB1289" s="35"/>
      <c r="AC1289" s="35"/>
      <c r="AD1289" s="35"/>
      <c r="AE1289" s="35"/>
      <c r="AF1289" s="35"/>
      <c r="AG1289" s="35"/>
      <c r="AH1289" s="35"/>
      <c r="AI1289" s="35"/>
    </row>
    <row r="1290">
      <c r="A1290" s="280">
        <v>45543.0</v>
      </c>
      <c r="B1290" s="264">
        <v>6134465.0</v>
      </c>
      <c r="C1290" s="265" t="s">
        <v>82</v>
      </c>
      <c r="D1290" s="265" t="s">
        <v>35</v>
      </c>
      <c r="E1290" s="264">
        <v>4.57139055E9</v>
      </c>
      <c r="F1290" s="265" t="s">
        <v>3643</v>
      </c>
      <c r="G1290" s="305">
        <v>45578.0</v>
      </c>
      <c r="H1290" s="313">
        <v>45580.0</v>
      </c>
      <c r="I1290" s="282">
        <v>2.0</v>
      </c>
      <c r="J1290" s="283" t="s">
        <v>91</v>
      </c>
      <c r="K1290" s="265" t="s">
        <v>79</v>
      </c>
      <c r="L1290" s="265" t="s">
        <v>2803</v>
      </c>
      <c r="M1290" s="269">
        <v>3.0</v>
      </c>
      <c r="N1290" s="270">
        <v>0.0</v>
      </c>
      <c r="O1290" s="271">
        <v>347.51</v>
      </c>
      <c r="P1290" s="271">
        <v>278.008</v>
      </c>
      <c r="Q1290" s="272">
        <v>0.0</v>
      </c>
      <c r="R1290" s="273">
        <v>556.016</v>
      </c>
      <c r="S1290" s="273">
        <v>0.0</v>
      </c>
      <c r="T1290" s="273">
        <v>695.02</v>
      </c>
      <c r="U1290" s="274" t="s">
        <v>2804</v>
      </c>
      <c r="V1290" s="284">
        <v>45543.76467592592</v>
      </c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</row>
    <row r="1291">
      <c r="A1291" s="289">
        <v>45543.0</v>
      </c>
      <c r="B1291" s="290">
        <v>6134172.0</v>
      </c>
      <c r="C1291" s="291" t="s">
        <v>82</v>
      </c>
      <c r="D1291" s="291" t="s">
        <v>35</v>
      </c>
      <c r="E1291" s="290">
        <v>4.724666039E9</v>
      </c>
      <c r="F1291" s="291" t="s">
        <v>3644</v>
      </c>
      <c r="G1291" s="303">
        <v>45596.0</v>
      </c>
      <c r="H1291" s="292">
        <v>45598.0</v>
      </c>
      <c r="I1291" s="293">
        <v>2.0</v>
      </c>
      <c r="J1291" s="294" t="s">
        <v>78</v>
      </c>
      <c r="K1291" s="291" t="s">
        <v>79</v>
      </c>
      <c r="L1291" s="291" t="s">
        <v>2803</v>
      </c>
      <c r="M1291" s="290">
        <v>2.0</v>
      </c>
      <c r="N1291" s="295">
        <v>0.0</v>
      </c>
      <c r="O1291" s="296">
        <v>143.5</v>
      </c>
      <c r="P1291" s="296">
        <v>114.80000000000001</v>
      </c>
      <c r="Q1291" s="301">
        <v>0.0</v>
      </c>
      <c r="R1291" s="297">
        <v>229.60000000000002</v>
      </c>
      <c r="S1291" s="297">
        <v>0.0</v>
      </c>
      <c r="T1291" s="297">
        <v>287.0</v>
      </c>
      <c r="U1291" s="298" t="s">
        <v>2804</v>
      </c>
      <c r="V1291" s="299">
        <v>45543.71116898148</v>
      </c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</row>
    <row r="1292">
      <c r="A1292" s="210">
        <v>45543.0</v>
      </c>
      <c r="B1292" s="166">
        <v>6132965.0</v>
      </c>
      <c r="C1292" s="166" t="s">
        <v>82</v>
      </c>
      <c r="D1292" s="166" t="s">
        <v>35</v>
      </c>
      <c r="E1292" s="166">
        <v>4.851826968E9</v>
      </c>
      <c r="F1292" s="166" t="s">
        <v>3645</v>
      </c>
      <c r="G1292" s="212">
        <v>45596.0</v>
      </c>
      <c r="H1292" s="287">
        <v>45597.0</v>
      </c>
      <c r="I1292" s="168">
        <v>1.0</v>
      </c>
      <c r="J1292" s="169" t="s">
        <v>78</v>
      </c>
      <c r="K1292" s="166" t="s">
        <v>79</v>
      </c>
      <c r="L1292" s="166" t="s">
        <v>2803</v>
      </c>
      <c r="M1292" s="166">
        <v>2.0</v>
      </c>
      <c r="N1292" s="170">
        <v>0.0</v>
      </c>
      <c r="O1292" s="171">
        <v>157.16</v>
      </c>
      <c r="P1292" s="171">
        <v>125.72800000000001</v>
      </c>
      <c r="Q1292" s="172">
        <v>0.0</v>
      </c>
      <c r="R1292" s="173">
        <v>125.72800000000001</v>
      </c>
      <c r="S1292" s="173">
        <v>0.0</v>
      </c>
      <c r="T1292" s="173">
        <v>157.16</v>
      </c>
      <c r="U1292" s="174" t="s">
        <v>2804</v>
      </c>
      <c r="V1292" s="288">
        <v>45543.495196759264</v>
      </c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188"/>
      <c r="AH1292" s="188"/>
      <c r="AI1292" s="188"/>
    </row>
    <row r="1293">
      <c r="A1293" s="276">
        <v>45544.0</v>
      </c>
      <c r="B1293" s="252">
        <v>6138892.0</v>
      </c>
      <c r="C1293" s="253" t="s">
        <v>82</v>
      </c>
      <c r="D1293" s="253" t="s">
        <v>35</v>
      </c>
      <c r="E1293" s="252">
        <v>4.843289443E9</v>
      </c>
      <c r="F1293" s="253" t="s">
        <v>3646</v>
      </c>
      <c r="G1293" s="304">
        <v>45583.0</v>
      </c>
      <c r="H1293" s="311">
        <v>45585.0</v>
      </c>
      <c r="I1293" s="278">
        <v>2.0</v>
      </c>
      <c r="J1293" s="257" t="s">
        <v>78</v>
      </c>
      <c r="K1293" s="253" t="s">
        <v>79</v>
      </c>
      <c r="L1293" s="253" t="s">
        <v>2803</v>
      </c>
      <c r="M1293" s="252">
        <v>2.0</v>
      </c>
      <c r="N1293" s="258">
        <v>0.0</v>
      </c>
      <c r="O1293" s="259">
        <v>169.99</v>
      </c>
      <c r="P1293" s="259">
        <v>135.99200000000002</v>
      </c>
      <c r="Q1293" s="262">
        <v>0.0</v>
      </c>
      <c r="R1293" s="260">
        <v>271.98400000000004</v>
      </c>
      <c r="S1293" s="260">
        <v>0.0</v>
      </c>
      <c r="T1293" s="260">
        <v>339.98</v>
      </c>
      <c r="U1293" s="261" t="s">
        <v>2804</v>
      </c>
      <c r="V1293" s="279">
        <v>45544.82366898148</v>
      </c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</row>
    <row r="1294">
      <c r="A1294" s="210">
        <v>45544.0</v>
      </c>
      <c r="B1294" s="166">
        <v>6136876.0</v>
      </c>
      <c r="C1294" s="166" t="s">
        <v>82</v>
      </c>
      <c r="D1294" s="166" t="s">
        <v>94</v>
      </c>
      <c r="E1294" s="166" t="s">
        <v>3647</v>
      </c>
      <c r="F1294" s="166" t="s">
        <v>3648</v>
      </c>
      <c r="G1294" s="212">
        <v>45589.0</v>
      </c>
      <c r="H1294" s="310">
        <v>45591.0</v>
      </c>
      <c r="I1294" s="168">
        <v>2.0</v>
      </c>
      <c r="J1294" s="169" t="s">
        <v>87</v>
      </c>
      <c r="K1294" s="166" t="s">
        <v>79</v>
      </c>
      <c r="L1294" s="166" t="s">
        <v>123</v>
      </c>
      <c r="M1294" s="205">
        <v>2.0</v>
      </c>
      <c r="N1294" s="170">
        <v>0.0</v>
      </c>
      <c r="O1294" s="171">
        <v>135.69</v>
      </c>
      <c r="P1294" s="171">
        <v>134.3331</v>
      </c>
      <c r="Q1294" s="172">
        <v>0.0</v>
      </c>
      <c r="R1294" s="173">
        <v>268.6662</v>
      </c>
      <c r="S1294" s="173">
        <v>0.0</v>
      </c>
      <c r="T1294" s="173">
        <v>271.38</v>
      </c>
      <c r="U1294" s="201" t="s">
        <v>2416</v>
      </c>
      <c r="V1294" s="288">
        <v>45544.48341435185</v>
      </c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</row>
    <row r="1295">
      <c r="A1295" s="280">
        <v>45545.0</v>
      </c>
      <c r="B1295" s="264">
        <v>6140614.0</v>
      </c>
      <c r="C1295" s="265" t="s">
        <v>89</v>
      </c>
      <c r="D1295" s="265" t="s">
        <v>35</v>
      </c>
      <c r="E1295" s="264">
        <v>4.929839107E9</v>
      </c>
      <c r="F1295" s="265" t="s">
        <v>3649</v>
      </c>
      <c r="G1295" s="280">
        <v>45566.0</v>
      </c>
      <c r="H1295" s="281">
        <v>45568.0</v>
      </c>
      <c r="I1295" s="282">
        <v>2.0</v>
      </c>
      <c r="J1295" s="283" t="s">
        <v>78</v>
      </c>
      <c r="K1295" s="265" t="s">
        <v>79</v>
      </c>
      <c r="L1295" s="265" t="s">
        <v>2803</v>
      </c>
      <c r="M1295" s="269">
        <v>2.0</v>
      </c>
      <c r="N1295" s="270">
        <v>0.0</v>
      </c>
      <c r="O1295" s="271">
        <v>0.0</v>
      </c>
      <c r="P1295" s="271">
        <v>0.0</v>
      </c>
      <c r="Q1295" s="272">
        <v>0.0</v>
      </c>
      <c r="R1295" s="273">
        <v>0.0</v>
      </c>
      <c r="S1295" s="273">
        <v>0.0</v>
      </c>
      <c r="T1295" s="273">
        <v>0.0</v>
      </c>
      <c r="U1295" s="274" t="s">
        <v>3650</v>
      </c>
      <c r="V1295" s="284">
        <v>45545.392418981486</v>
      </c>
      <c r="W1295" s="36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</row>
    <row r="1296">
      <c r="A1296" s="276">
        <v>45546.0</v>
      </c>
      <c r="B1296" s="252">
        <v>6147829.0</v>
      </c>
      <c r="C1296" s="253" t="s">
        <v>82</v>
      </c>
      <c r="D1296" s="253" t="s">
        <v>94</v>
      </c>
      <c r="E1296" s="252">
        <v>6147829.0</v>
      </c>
      <c r="F1296" s="253" t="s">
        <v>3651</v>
      </c>
      <c r="G1296" s="276">
        <v>45553.0</v>
      </c>
      <c r="H1296" s="277">
        <v>45554.0</v>
      </c>
      <c r="I1296" s="278">
        <v>1.0</v>
      </c>
      <c r="J1296" s="257" t="s">
        <v>87</v>
      </c>
      <c r="K1296" s="253" t="s">
        <v>79</v>
      </c>
      <c r="L1296" s="253" t="s">
        <v>1601</v>
      </c>
      <c r="M1296" s="275">
        <v>2.0</v>
      </c>
      <c r="N1296" s="258">
        <v>0.0</v>
      </c>
      <c r="O1296" s="259">
        <v>173.24</v>
      </c>
      <c r="P1296" s="259">
        <v>171.5076</v>
      </c>
      <c r="Q1296" s="262">
        <v>0.0</v>
      </c>
      <c r="R1296" s="260">
        <v>171.5076</v>
      </c>
      <c r="S1296" s="260">
        <v>0.0</v>
      </c>
      <c r="T1296" s="260">
        <v>173.24</v>
      </c>
      <c r="U1296" s="261" t="s">
        <v>1602</v>
      </c>
      <c r="V1296" s="279">
        <v>45546.875798611116</v>
      </c>
      <c r="W1296" s="35"/>
      <c r="X1296" s="35"/>
      <c r="Y1296" s="35"/>
      <c r="Z1296" s="35"/>
      <c r="AA1296" s="35"/>
      <c r="AB1296" s="35"/>
      <c r="AC1296" s="35"/>
      <c r="AD1296" s="35"/>
      <c r="AE1296" s="35"/>
      <c r="AF1296" s="35"/>
      <c r="AG1296" s="35"/>
      <c r="AH1296" s="35"/>
      <c r="AI1296" s="35"/>
    </row>
    <row r="1297">
      <c r="A1297" s="280">
        <v>45546.0</v>
      </c>
      <c r="B1297" s="264">
        <v>6147564.0</v>
      </c>
      <c r="C1297" s="265" t="s">
        <v>82</v>
      </c>
      <c r="D1297" s="265" t="s">
        <v>35</v>
      </c>
      <c r="E1297" s="265">
        <v>4.795980117E9</v>
      </c>
      <c r="F1297" s="265" t="s">
        <v>3652</v>
      </c>
      <c r="G1297" s="305">
        <v>45612.0</v>
      </c>
      <c r="H1297" s="313">
        <v>45616.0</v>
      </c>
      <c r="I1297" s="282">
        <v>4.0</v>
      </c>
      <c r="J1297" s="283" t="s">
        <v>78</v>
      </c>
      <c r="K1297" s="265" t="s">
        <v>79</v>
      </c>
      <c r="L1297" s="265" t="s">
        <v>2803</v>
      </c>
      <c r="M1297" s="264">
        <v>2.0</v>
      </c>
      <c r="N1297" s="270">
        <v>0.0</v>
      </c>
      <c r="O1297" s="271">
        <v>143.5</v>
      </c>
      <c r="P1297" s="271">
        <v>114.80000000000001</v>
      </c>
      <c r="Q1297" s="272">
        <v>0.0</v>
      </c>
      <c r="R1297" s="273">
        <v>459.20000000000005</v>
      </c>
      <c r="S1297" s="273">
        <v>0.0</v>
      </c>
      <c r="T1297" s="273">
        <v>574.0</v>
      </c>
      <c r="U1297" s="339" t="s">
        <v>2804</v>
      </c>
      <c r="V1297" s="286">
        <v>45546.82644675926</v>
      </c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</row>
    <row r="1298">
      <c r="A1298" s="210">
        <v>45546.0</v>
      </c>
      <c r="B1298" s="166">
        <v>6148348.0</v>
      </c>
      <c r="C1298" s="166" t="s">
        <v>82</v>
      </c>
      <c r="D1298" s="166" t="s">
        <v>94</v>
      </c>
      <c r="E1298" s="166">
        <v>4.66623487E8</v>
      </c>
      <c r="F1298" s="166" t="s">
        <v>3653</v>
      </c>
      <c r="G1298" s="212">
        <v>45617.0</v>
      </c>
      <c r="H1298" s="310">
        <v>45619.0</v>
      </c>
      <c r="I1298" s="168">
        <v>2.0</v>
      </c>
      <c r="J1298" s="169" t="s">
        <v>78</v>
      </c>
      <c r="K1298" s="166" t="s">
        <v>79</v>
      </c>
      <c r="L1298" s="166" t="s">
        <v>3459</v>
      </c>
      <c r="M1298" s="166">
        <v>2.0</v>
      </c>
      <c r="N1298" s="169">
        <v>0.0</v>
      </c>
      <c r="O1298" s="171">
        <v>153.0</v>
      </c>
      <c r="P1298" s="171">
        <v>151.47</v>
      </c>
      <c r="Q1298" s="169">
        <v>0.0</v>
      </c>
      <c r="R1298" s="173">
        <v>302.94</v>
      </c>
      <c r="S1298" s="173">
        <v>0.0</v>
      </c>
      <c r="T1298" s="173">
        <v>306.0</v>
      </c>
      <c r="U1298" s="201" t="s">
        <v>3460</v>
      </c>
      <c r="V1298" s="288">
        <v>45547.02086805555</v>
      </c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</row>
    <row r="1299">
      <c r="A1299" s="280">
        <v>45547.0</v>
      </c>
      <c r="B1299" s="264">
        <v>6152439.0</v>
      </c>
      <c r="C1299" s="265" t="s">
        <v>82</v>
      </c>
      <c r="D1299" s="265" t="s">
        <v>35</v>
      </c>
      <c r="E1299" s="264">
        <v>4.584276101E9</v>
      </c>
      <c r="F1299" s="265" t="s">
        <v>3654</v>
      </c>
      <c r="G1299" s="280">
        <v>45570.0</v>
      </c>
      <c r="H1299" s="281">
        <v>45573.0</v>
      </c>
      <c r="I1299" s="282">
        <v>3.0</v>
      </c>
      <c r="J1299" s="283" t="s">
        <v>91</v>
      </c>
      <c r="K1299" s="265" t="s">
        <v>79</v>
      </c>
      <c r="L1299" s="265" t="s">
        <v>2803</v>
      </c>
      <c r="M1299" s="264">
        <v>5.0</v>
      </c>
      <c r="N1299" s="270">
        <v>0.0</v>
      </c>
      <c r="O1299" s="271">
        <v>352.51</v>
      </c>
      <c r="P1299" s="271">
        <v>282.008</v>
      </c>
      <c r="Q1299" s="283">
        <v>0.0</v>
      </c>
      <c r="R1299" s="273">
        <v>846.024</v>
      </c>
      <c r="S1299" s="273">
        <v>0.0</v>
      </c>
      <c r="T1299" s="273">
        <v>1057.53</v>
      </c>
      <c r="U1299" s="274" t="s">
        <v>2804</v>
      </c>
      <c r="V1299" s="286">
        <v>45547.944502314815</v>
      </c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</row>
    <row r="1300">
      <c r="A1300" s="210">
        <v>45547.0</v>
      </c>
      <c r="B1300" s="166">
        <v>6150253.0</v>
      </c>
      <c r="C1300" s="166" t="s">
        <v>82</v>
      </c>
      <c r="D1300" s="166" t="s">
        <v>94</v>
      </c>
      <c r="E1300" s="166">
        <v>4.66795199E8</v>
      </c>
      <c r="F1300" s="166" t="s">
        <v>3655</v>
      </c>
      <c r="G1300" s="212">
        <v>45617.0</v>
      </c>
      <c r="H1300" s="310">
        <v>45619.0</v>
      </c>
      <c r="I1300" s="168">
        <v>2.0</v>
      </c>
      <c r="J1300" s="169" t="s">
        <v>78</v>
      </c>
      <c r="K1300" s="166" t="s">
        <v>79</v>
      </c>
      <c r="L1300" s="166" t="s">
        <v>3378</v>
      </c>
      <c r="M1300" s="166">
        <v>2.0</v>
      </c>
      <c r="N1300" s="170">
        <v>0.0</v>
      </c>
      <c r="O1300" s="171">
        <v>140.76</v>
      </c>
      <c r="P1300" s="171">
        <v>139.3524</v>
      </c>
      <c r="Q1300" s="172">
        <v>0.0</v>
      </c>
      <c r="R1300" s="173">
        <v>278.7048</v>
      </c>
      <c r="S1300" s="173">
        <v>0.0</v>
      </c>
      <c r="T1300" s="173">
        <v>281.52</v>
      </c>
      <c r="U1300" s="201" t="s">
        <v>3379</v>
      </c>
      <c r="V1300" s="288">
        <v>45547.555625</v>
      </c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</row>
    <row r="1301">
      <c r="A1301" s="210">
        <v>45547.0</v>
      </c>
      <c r="B1301" s="166">
        <v>6149479.0</v>
      </c>
      <c r="C1301" s="166" t="s">
        <v>82</v>
      </c>
      <c r="D1301" s="166" t="s">
        <v>94</v>
      </c>
      <c r="E1301" s="166">
        <v>6149479.0</v>
      </c>
      <c r="F1301" s="166" t="s">
        <v>3656</v>
      </c>
      <c r="G1301" s="212">
        <v>45617.0</v>
      </c>
      <c r="H1301" s="310">
        <v>45626.0</v>
      </c>
      <c r="I1301" s="168">
        <v>9.0</v>
      </c>
      <c r="J1301" s="169" t="s">
        <v>78</v>
      </c>
      <c r="K1301" s="166" t="s">
        <v>79</v>
      </c>
      <c r="L1301" s="166" t="s">
        <v>1601</v>
      </c>
      <c r="M1301" s="166">
        <v>2.0</v>
      </c>
      <c r="N1301" s="170">
        <v>0.0</v>
      </c>
      <c r="O1301" s="171">
        <v>122.42222222222222</v>
      </c>
      <c r="P1301" s="171">
        <v>121.198</v>
      </c>
      <c r="Q1301" s="172">
        <v>0.0</v>
      </c>
      <c r="R1301" s="173">
        <v>1090.782</v>
      </c>
      <c r="S1301" s="173">
        <v>0.0</v>
      </c>
      <c r="T1301" s="173">
        <v>1101.8</v>
      </c>
      <c r="U1301" s="201" t="s">
        <v>1602</v>
      </c>
      <c r="V1301" s="288">
        <v>45547.43238425926</v>
      </c>
      <c r="W1301" s="35"/>
      <c r="X1301" s="35"/>
      <c r="Y1301" s="35"/>
      <c r="Z1301" s="35"/>
      <c r="AA1301" s="35"/>
      <c r="AB1301" s="35"/>
      <c r="AC1301" s="35"/>
      <c r="AD1301" s="35"/>
      <c r="AE1301" s="35"/>
      <c r="AF1301" s="35"/>
      <c r="AG1301" s="35"/>
      <c r="AH1301" s="35"/>
      <c r="AI1301" s="35"/>
    </row>
    <row r="1302">
      <c r="A1302" s="210">
        <v>45548.0</v>
      </c>
      <c r="B1302" s="166">
        <v>6154111.0</v>
      </c>
      <c r="C1302" s="166" t="s">
        <v>82</v>
      </c>
      <c r="D1302" s="166" t="s">
        <v>94</v>
      </c>
      <c r="E1302" s="166">
        <v>6154111.0</v>
      </c>
      <c r="F1302" s="166" t="s">
        <v>3657</v>
      </c>
      <c r="G1302" s="210">
        <v>45551.0</v>
      </c>
      <c r="H1302" s="287">
        <v>45554.0</v>
      </c>
      <c r="I1302" s="168">
        <v>3.0</v>
      </c>
      <c r="J1302" s="169" t="s">
        <v>114</v>
      </c>
      <c r="K1302" s="166" t="s">
        <v>79</v>
      </c>
      <c r="L1302" s="166" t="s">
        <v>1601</v>
      </c>
      <c r="M1302" s="166">
        <v>2.0</v>
      </c>
      <c r="N1302" s="170">
        <v>0.0</v>
      </c>
      <c r="O1302" s="171">
        <v>161.62666666666667</v>
      </c>
      <c r="P1302" s="171">
        <v>160.0104</v>
      </c>
      <c r="Q1302" s="172">
        <v>0.0</v>
      </c>
      <c r="R1302" s="173">
        <v>480.0312</v>
      </c>
      <c r="S1302" s="173">
        <v>0.0</v>
      </c>
      <c r="T1302" s="173">
        <v>484.88</v>
      </c>
      <c r="U1302" s="174" t="s">
        <v>1602</v>
      </c>
      <c r="V1302" s="288">
        <v>45548.514189814814</v>
      </c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188"/>
      <c r="AH1302" s="188"/>
      <c r="AI1302" s="188"/>
    </row>
    <row r="1303">
      <c r="A1303" s="210">
        <v>45548.0</v>
      </c>
      <c r="B1303" s="166">
        <v>6154866.0</v>
      </c>
      <c r="C1303" s="166" t="s">
        <v>82</v>
      </c>
      <c r="D1303" s="166" t="s">
        <v>35</v>
      </c>
      <c r="E1303" s="166">
        <v>4.532898587E9</v>
      </c>
      <c r="F1303" s="166" t="s">
        <v>3658</v>
      </c>
      <c r="G1303" s="210">
        <v>45556.0</v>
      </c>
      <c r="H1303" s="287">
        <v>45557.0</v>
      </c>
      <c r="I1303" s="168">
        <v>1.0</v>
      </c>
      <c r="J1303" s="169" t="s">
        <v>78</v>
      </c>
      <c r="K1303" s="166" t="s">
        <v>79</v>
      </c>
      <c r="L1303" s="166" t="s">
        <v>2803</v>
      </c>
      <c r="M1303" s="166">
        <v>1.0</v>
      </c>
      <c r="N1303" s="170">
        <v>0.0</v>
      </c>
      <c r="O1303" s="171">
        <v>133.46</v>
      </c>
      <c r="P1303" s="171">
        <v>106.76800000000001</v>
      </c>
      <c r="Q1303" s="172">
        <v>0.0</v>
      </c>
      <c r="R1303" s="173">
        <v>106.76800000000001</v>
      </c>
      <c r="S1303" s="173">
        <v>0.0</v>
      </c>
      <c r="T1303" s="173">
        <v>133.46</v>
      </c>
      <c r="U1303" s="201" t="s">
        <v>2804</v>
      </c>
      <c r="V1303" s="288">
        <v>45548.654236111106</v>
      </c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188"/>
      <c r="AH1303" s="188"/>
      <c r="AI1303" s="188"/>
    </row>
    <row r="1304">
      <c r="A1304" s="276">
        <v>45548.0</v>
      </c>
      <c r="B1304" s="252">
        <v>6154716.0</v>
      </c>
      <c r="C1304" s="253" t="s">
        <v>82</v>
      </c>
      <c r="D1304" s="253" t="s">
        <v>94</v>
      </c>
      <c r="E1304" s="252">
        <v>6154716.0</v>
      </c>
      <c r="F1304" s="253" t="s">
        <v>3659</v>
      </c>
      <c r="G1304" s="276">
        <v>45560.0</v>
      </c>
      <c r="H1304" s="277">
        <v>45561.0</v>
      </c>
      <c r="I1304" s="278">
        <v>1.0</v>
      </c>
      <c r="J1304" s="257" t="s">
        <v>78</v>
      </c>
      <c r="K1304" s="253" t="s">
        <v>79</v>
      </c>
      <c r="L1304" s="253" t="s">
        <v>1811</v>
      </c>
      <c r="M1304" s="252">
        <v>1.0</v>
      </c>
      <c r="N1304" s="258">
        <v>0.0</v>
      </c>
      <c r="O1304" s="259">
        <v>117.7</v>
      </c>
      <c r="P1304" s="259">
        <v>116.523</v>
      </c>
      <c r="Q1304" s="262">
        <v>0.0</v>
      </c>
      <c r="R1304" s="260">
        <v>116.523</v>
      </c>
      <c r="S1304" s="260">
        <v>0.0</v>
      </c>
      <c r="T1304" s="260">
        <v>353.1</v>
      </c>
      <c r="U1304" s="261" t="s">
        <v>1812</v>
      </c>
      <c r="V1304" s="279">
        <v>45548.63134259259</v>
      </c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</row>
    <row r="1305">
      <c r="A1305" s="210">
        <v>45548.0</v>
      </c>
      <c r="B1305" s="166">
        <v>6154716.0</v>
      </c>
      <c r="C1305" s="166" t="s">
        <v>82</v>
      </c>
      <c r="D1305" s="166" t="s">
        <v>94</v>
      </c>
      <c r="E1305" s="166">
        <v>6154716.0</v>
      </c>
      <c r="F1305" s="166" t="s">
        <v>3659</v>
      </c>
      <c r="G1305" s="210">
        <v>45560.0</v>
      </c>
      <c r="H1305" s="287">
        <v>45561.0</v>
      </c>
      <c r="I1305" s="168">
        <v>1.0</v>
      </c>
      <c r="J1305" s="169" t="s">
        <v>78</v>
      </c>
      <c r="K1305" s="166" t="s">
        <v>79</v>
      </c>
      <c r="L1305" s="166" t="s">
        <v>1811</v>
      </c>
      <c r="M1305" s="205">
        <v>1.0</v>
      </c>
      <c r="N1305" s="170">
        <v>0.0</v>
      </c>
      <c r="O1305" s="171">
        <v>117.7</v>
      </c>
      <c r="P1305" s="171">
        <v>116.523</v>
      </c>
      <c r="Q1305" s="172">
        <v>0.0</v>
      </c>
      <c r="R1305" s="173">
        <v>116.523</v>
      </c>
      <c r="S1305" s="173">
        <v>0.0</v>
      </c>
      <c r="T1305" s="173">
        <v>353.1</v>
      </c>
      <c r="U1305" s="174" t="s">
        <v>1812</v>
      </c>
      <c r="V1305" s="288">
        <v>45548.63134259259</v>
      </c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</row>
    <row r="1306">
      <c r="A1306" s="210">
        <v>45548.0</v>
      </c>
      <c r="B1306" s="166">
        <v>6154716.0</v>
      </c>
      <c r="C1306" s="166" t="s">
        <v>82</v>
      </c>
      <c r="D1306" s="166" t="s">
        <v>94</v>
      </c>
      <c r="E1306" s="166">
        <v>6154716.0</v>
      </c>
      <c r="F1306" s="166" t="s">
        <v>3659</v>
      </c>
      <c r="G1306" s="210">
        <v>45560.0</v>
      </c>
      <c r="H1306" s="287">
        <v>45561.0</v>
      </c>
      <c r="I1306" s="168">
        <v>1.0</v>
      </c>
      <c r="J1306" s="169" t="s">
        <v>78</v>
      </c>
      <c r="K1306" s="166" t="s">
        <v>79</v>
      </c>
      <c r="L1306" s="166" t="s">
        <v>1811</v>
      </c>
      <c r="M1306" s="205">
        <v>1.0</v>
      </c>
      <c r="N1306" s="169">
        <v>0.0</v>
      </c>
      <c r="O1306" s="171">
        <v>117.7</v>
      </c>
      <c r="P1306" s="171">
        <v>116.523</v>
      </c>
      <c r="Q1306" s="169">
        <v>0.0</v>
      </c>
      <c r="R1306" s="173">
        <v>116.523</v>
      </c>
      <c r="S1306" s="173">
        <v>0.0</v>
      </c>
      <c r="T1306" s="173">
        <v>353.1</v>
      </c>
      <c r="U1306" s="201" t="s">
        <v>1812</v>
      </c>
      <c r="V1306" s="288">
        <v>45548.63134259259</v>
      </c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</row>
    <row r="1307">
      <c r="A1307" s="280">
        <v>45548.0</v>
      </c>
      <c r="B1307" s="264">
        <v>6154645.0</v>
      </c>
      <c r="C1307" s="265" t="s">
        <v>82</v>
      </c>
      <c r="D1307" s="265" t="s">
        <v>94</v>
      </c>
      <c r="E1307" s="265">
        <v>6154645.0</v>
      </c>
      <c r="F1307" s="265" t="s">
        <v>3660</v>
      </c>
      <c r="G1307" s="305">
        <v>45617.0</v>
      </c>
      <c r="H1307" s="313">
        <v>45619.0</v>
      </c>
      <c r="I1307" s="282">
        <v>2.0</v>
      </c>
      <c r="J1307" s="283" t="s">
        <v>114</v>
      </c>
      <c r="K1307" s="265" t="s">
        <v>79</v>
      </c>
      <c r="L1307" s="265" t="s">
        <v>1462</v>
      </c>
      <c r="M1307" s="264">
        <v>2.0</v>
      </c>
      <c r="N1307" s="270">
        <v>0.0</v>
      </c>
      <c r="O1307" s="271">
        <v>133.0</v>
      </c>
      <c r="P1307" s="271">
        <v>131.67</v>
      </c>
      <c r="Q1307" s="272">
        <v>0.0</v>
      </c>
      <c r="R1307" s="273">
        <v>263.34</v>
      </c>
      <c r="S1307" s="273">
        <v>0.0</v>
      </c>
      <c r="T1307" s="273">
        <v>565.92</v>
      </c>
      <c r="U1307" s="274" t="s">
        <v>1463</v>
      </c>
      <c r="V1307" s="284">
        <v>45548.619374999995</v>
      </c>
      <c r="W1307" s="36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</row>
    <row r="1308">
      <c r="A1308" s="210">
        <v>45548.0</v>
      </c>
      <c r="B1308" s="166">
        <v>6154645.0</v>
      </c>
      <c r="C1308" s="166" t="s">
        <v>82</v>
      </c>
      <c r="D1308" s="166" t="s">
        <v>94</v>
      </c>
      <c r="E1308" s="166">
        <v>6154645.0</v>
      </c>
      <c r="F1308" s="166" t="s">
        <v>3660</v>
      </c>
      <c r="G1308" s="212">
        <v>45617.0</v>
      </c>
      <c r="H1308" s="310">
        <v>45619.0</v>
      </c>
      <c r="I1308" s="168">
        <v>2.0</v>
      </c>
      <c r="J1308" s="169" t="s">
        <v>111</v>
      </c>
      <c r="K1308" s="166" t="s">
        <v>79</v>
      </c>
      <c r="L1308" s="166" t="s">
        <v>1462</v>
      </c>
      <c r="M1308" s="166">
        <v>2.0</v>
      </c>
      <c r="N1308" s="170">
        <v>0.0</v>
      </c>
      <c r="O1308" s="171">
        <v>149.96</v>
      </c>
      <c r="P1308" s="171">
        <v>148.4604</v>
      </c>
      <c r="Q1308" s="172">
        <v>0.0</v>
      </c>
      <c r="R1308" s="173">
        <v>296.9208</v>
      </c>
      <c r="S1308" s="173">
        <v>0.0</v>
      </c>
      <c r="T1308" s="173">
        <v>565.92</v>
      </c>
      <c r="U1308" s="201" t="s">
        <v>1463</v>
      </c>
      <c r="V1308" s="288">
        <v>45548.619374999995</v>
      </c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</row>
    <row r="1309">
      <c r="A1309" s="210">
        <v>45549.0</v>
      </c>
      <c r="B1309" s="166">
        <v>6158837.0</v>
      </c>
      <c r="C1309" s="166" t="s">
        <v>82</v>
      </c>
      <c r="D1309" s="166" t="s">
        <v>94</v>
      </c>
      <c r="E1309" s="166">
        <v>4.67375223E8</v>
      </c>
      <c r="F1309" s="166" t="s">
        <v>3661</v>
      </c>
      <c r="G1309" s="210">
        <v>45557.0</v>
      </c>
      <c r="H1309" s="287">
        <v>45560.0</v>
      </c>
      <c r="I1309" s="168">
        <v>3.0</v>
      </c>
      <c r="J1309" s="169" t="s">
        <v>114</v>
      </c>
      <c r="K1309" s="166" t="s">
        <v>79</v>
      </c>
      <c r="L1309" s="166" t="s">
        <v>3459</v>
      </c>
      <c r="M1309" s="166">
        <v>3.0</v>
      </c>
      <c r="N1309" s="170">
        <v>0.0</v>
      </c>
      <c r="O1309" s="171">
        <v>170.0</v>
      </c>
      <c r="P1309" s="171">
        <v>168.3</v>
      </c>
      <c r="Q1309" s="169">
        <v>0.0</v>
      </c>
      <c r="R1309" s="173">
        <v>504.9</v>
      </c>
      <c r="S1309" s="173">
        <v>0.0</v>
      </c>
      <c r="T1309" s="173">
        <v>510.0</v>
      </c>
      <c r="U1309" s="201" t="s">
        <v>3460</v>
      </c>
      <c r="V1309" s="288">
        <v>45549.65976851852</v>
      </c>
      <c r="W1309" s="35"/>
      <c r="X1309" s="35"/>
      <c r="Y1309" s="35"/>
      <c r="Z1309" s="35"/>
      <c r="AA1309" s="35"/>
      <c r="AB1309" s="35"/>
      <c r="AC1309" s="35"/>
      <c r="AD1309" s="35"/>
      <c r="AE1309" s="35"/>
      <c r="AF1309" s="35"/>
      <c r="AG1309" s="35"/>
      <c r="AH1309" s="35"/>
      <c r="AI1309" s="35"/>
    </row>
    <row r="1310">
      <c r="A1310" s="210">
        <v>45550.0</v>
      </c>
      <c r="B1310" s="166">
        <v>6162985.0</v>
      </c>
      <c r="C1310" s="166" t="s">
        <v>75</v>
      </c>
      <c r="D1310" s="166" t="s">
        <v>35</v>
      </c>
      <c r="E1310" s="166">
        <v>4.70625074E9</v>
      </c>
      <c r="F1310" s="166" t="s">
        <v>3662</v>
      </c>
      <c r="G1310" s="210">
        <v>45564.0</v>
      </c>
      <c r="H1310" s="287">
        <v>45565.0</v>
      </c>
      <c r="I1310" s="168">
        <v>1.0</v>
      </c>
      <c r="J1310" s="169" t="s">
        <v>111</v>
      </c>
      <c r="K1310" s="166" t="s">
        <v>79</v>
      </c>
      <c r="L1310" s="166" t="s">
        <v>2803</v>
      </c>
      <c r="M1310" s="166">
        <v>1.0</v>
      </c>
      <c r="N1310" s="170">
        <v>0.0</v>
      </c>
      <c r="O1310" s="171">
        <v>156.72</v>
      </c>
      <c r="P1310" s="171">
        <v>125.376</v>
      </c>
      <c r="Q1310" s="172">
        <v>0.0</v>
      </c>
      <c r="R1310" s="173">
        <v>125.376</v>
      </c>
      <c r="S1310" s="173">
        <v>0.0</v>
      </c>
      <c r="T1310" s="173">
        <v>156.72</v>
      </c>
      <c r="U1310" s="201" t="s">
        <v>2804</v>
      </c>
      <c r="V1310" s="288">
        <v>45560.017442129625</v>
      </c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</row>
    <row r="1311">
      <c r="A1311" s="210">
        <v>45550.0</v>
      </c>
      <c r="B1311" s="166">
        <v>6162077.0</v>
      </c>
      <c r="C1311" s="166" t="s">
        <v>82</v>
      </c>
      <c r="D1311" s="166" t="s">
        <v>35</v>
      </c>
      <c r="E1311" s="166">
        <v>4.728896247E9</v>
      </c>
      <c r="F1311" s="166" t="s">
        <v>3663</v>
      </c>
      <c r="G1311" s="210">
        <v>45567.0</v>
      </c>
      <c r="H1311" s="287">
        <v>45568.0</v>
      </c>
      <c r="I1311" s="168">
        <v>1.0</v>
      </c>
      <c r="J1311" s="169" t="s">
        <v>78</v>
      </c>
      <c r="K1311" s="166" t="s">
        <v>79</v>
      </c>
      <c r="L1311" s="166" t="s">
        <v>2803</v>
      </c>
      <c r="M1311" s="205">
        <v>2.0</v>
      </c>
      <c r="N1311" s="170">
        <v>0.0</v>
      </c>
      <c r="O1311" s="171">
        <v>144.29</v>
      </c>
      <c r="P1311" s="171">
        <v>115.432</v>
      </c>
      <c r="Q1311" s="172">
        <v>0.0</v>
      </c>
      <c r="R1311" s="173">
        <v>115.432</v>
      </c>
      <c r="S1311" s="173">
        <v>0.0</v>
      </c>
      <c r="T1311" s="173">
        <v>144.29</v>
      </c>
      <c r="U1311" s="174" t="s">
        <v>2804</v>
      </c>
      <c r="V1311" s="288">
        <v>45550.581296296295</v>
      </c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</row>
    <row r="1312">
      <c r="A1312" s="210">
        <v>45550.0</v>
      </c>
      <c r="B1312" s="166">
        <v>6162795.0</v>
      </c>
      <c r="C1312" s="166" t="s">
        <v>82</v>
      </c>
      <c r="D1312" s="166" t="s">
        <v>35</v>
      </c>
      <c r="E1312" s="166">
        <v>4.549560226E9</v>
      </c>
      <c r="F1312" s="166" t="s">
        <v>3664</v>
      </c>
      <c r="G1312" s="212">
        <v>45612.0</v>
      </c>
      <c r="H1312" s="310">
        <v>45615.0</v>
      </c>
      <c r="I1312" s="168">
        <v>3.0</v>
      </c>
      <c r="J1312" s="169" t="s">
        <v>87</v>
      </c>
      <c r="K1312" s="166" t="s">
        <v>79</v>
      </c>
      <c r="L1312" s="166" t="s">
        <v>3375</v>
      </c>
      <c r="M1312" s="166">
        <v>2.0</v>
      </c>
      <c r="N1312" s="170">
        <v>0.0</v>
      </c>
      <c r="O1312" s="171">
        <v>115.14</v>
      </c>
      <c r="P1312" s="171">
        <v>92.11200000000001</v>
      </c>
      <c r="Q1312" s="172">
        <v>0.0</v>
      </c>
      <c r="R1312" s="173">
        <v>276.336</v>
      </c>
      <c r="S1312" s="173">
        <v>0.0</v>
      </c>
      <c r="T1312" s="173">
        <v>345.42</v>
      </c>
      <c r="U1312" s="174" t="s">
        <v>3376</v>
      </c>
      <c r="V1312" s="288">
        <v>45550.711863425924</v>
      </c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</row>
    <row r="1313">
      <c r="A1313" s="210">
        <v>45550.0</v>
      </c>
      <c r="B1313" s="166">
        <v>6164124.0</v>
      </c>
      <c r="C1313" s="166" t="s">
        <v>82</v>
      </c>
      <c r="D1313" s="166" t="s">
        <v>35</v>
      </c>
      <c r="E1313" s="166">
        <v>4.60206289E9</v>
      </c>
      <c r="F1313" s="166" t="s">
        <v>3665</v>
      </c>
      <c r="G1313" s="212">
        <v>45642.0</v>
      </c>
      <c r="H1313" s="310">
        <v>45644.0</v>
      </c>
      <c r="I1313" s="168">
        <v>2.0</v>
      </c>
      <c r="J1313" s="169" t="s">
        <v>78</v>
      </c>
      <c r="K1313" s="166" t="s">
        <v>79</v>
      </c>
      <c r="L1313" s="166" t="s">
        <v>2803</v>
      </c>
      <c r="M1313" s="166">
        <v>2.0</v>
      </c>
      <c r="N1313" s="170">
        <v>0.0</v>
      </c>
      <c r="O1313" s="171">
        <v>135.05</v>
      </c>
      <c r="P1313" s="171">
        <v>108.04000000000002</v>
      </c>
      <c r="Q1313" s="172">
        <v>0.0</v>
      </c>
      <c r="R1313" s="173">
        <v>216.08000000000004</v>
      </c>
      <c r="S1313" s="173">
        <v>0.0</v>
      </c>
      <c r="T1313" s="173">
        <v>270.1</v>
      </c>
      <c r="U1313" s="174" t="s">
        <v>2804</v>
      </c>
      <c r="V1313" s="288">
        <v>45550.98336805556</v>
      </c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</row>
    <row r="1314">
      <c r="A1314" s="210">
        <v>45551.0</v>
      </c>
      <c r="B1314" s="166">
        <v>6164275.0</v>
      </c>
      <c r="C1314" s="166" t="s">
        <v>82</v>
      </c>
      <c r="D1314" s="166" t="s">
        <v>35</v>
      </c>
      <c r="E1314" s="166">
        <v>4.657808612E9</v>
      </c>
      <c r="F1314" s="166" t="s">
        <v>3666</v>
      </c>
      <c r="G1314" s="210">
        <v>45566.0</v>
      </c>
      <c r="H1314" s="287">
        <v>45567.0</v>
      </c>
      <c r="I1314" s="168">
        <v>1.0</v>
      </c>
      <c r="J1314" s="169" t="s">
        <v>78</v>
      </c>
      <c r="K1314" s="166" t="s">
        <v>79</v>
      </c>
      <c r="L1314" s="166" t="s">
        <v>3375</v>
      </c>
      <c r="M1314" s="166">
        <v>2.0</v>
      </c>
      <c r="N1314" s="170">
        <v>0.0</v>
      </c>
      <c r="O1314" s="171">
        <v>150.96</v>
      </c>
      <c r="P1314" s="171">
        <v>120.76800000000001</v>
      </c>
      <c r="Q1314" s="172">
        <v>0.0</v>
      </c>
      <c r="R1314" s="173">
        <v>120.76800000000001</v>
      </c>
      <c r="S1314" s="173">
        <v>0.0</v>
      </c>
      <c r="T1314" s="173">
        <v>150.96</v>
      </c>
      <c r="U1314" s="201" t="s">
        <v>3376</v>
      </c>
      <c r="V1314" s="288">
        <v>45551.05766203704</v>
      </c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</row>
    <row r="1315">
      <c r="A1315" s="210">
        <v>45551.0</v>
      </c>
      <c r="B1315" s="166">
        <v>6166858.0</v>
      </c>
      <c r="C1315" s="166" t="s">
        <v>82</v>
      </c>
      <c r="D1315" s="166" t="s">
        <v>94</v>
      </c>
      <c r="E1315" s="166">
        <v>6166858.0</v>
      </c>
      <c r="F1315" s="166" t="s">
        <v>3667</v>
      </c>
      <c r="G1315" s="212">
        <v>45619.0</v>
      </c>
      <c r="H1315" s="310">
        <v>45625.0</v>
      </c>
      <c r="I1315" s="168">
        <v>6.0</v>
      </c>
      <c r="J1315" s="169" t="s">
        <v>78</v>
      </c>
      <c r="K1315" s="166" t="s">
        <v>79</v>
      </c>
      <c r="L1315" s="166" t="s">
        <v>1462</v>
      </c>
      <c r="M1315" s="166">
        <v>2.0</v>
      </c>
      <c r="N1315" s="170">
        <v>0.0</v>
      </c>
      <c r="O1315" s="171">
        <v>120.2</v>
      </c>
      <c r="P1315" s="171">
        <v>118.998</v>
      </c>
      <c r="Q1315" s="169">
        <v>0.0</v>
      </c>
      <c r="R1315" s="173">
        <v>713.988</v>
      </c>
      <c r="S1315" s="173">
        <v>0.0</v>
      </c>
      <c r="T1315" s="173">
        <v>721.2</v>
      </c>
      <c r="U1315" s="201" t="s">
        <v>1463</v>
      </c>
      <c r="V1315" s="288">
        <v>45551.68355324074</v>
      </c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</row>
    <row r="1316">
      <c r="A1316" s="276">
        <v>45551.0</v>
      </c>
      <c r="B1316" s="252">
        <v>6167263.0</v>
      </c>
      <c r="C1316" s="253" t="s">
        <v>82</v>
      </c>
      <c r="D1316" s="253" t="s">
        <v>35</v>
      </c>
      <c r="E1316" s="252">
        <v>4.930363151E9</v>
      </c>
      <c r="F1316" s="253" t="s">
        <v>3668</v>
      </c>
      <c r="G1316" s="304">
        <v>45619.0</v>
      </c>
      <c r="H1316" s="311">
        <v>45622.0</v>
      </c>
      <c r="I1316" s="278">
        <v>3.0</v>
      </c>
      <c r="J1316" s="257" t="s">
        <v>87</v>
      </c>
      <c r="K1316" s="253" t="s">
        <v>79</v>
      </c>
      <c r="L1316" s="253" t="s">
        <v>3419</v>
      </c>
      <c r="M1316" s="252">
        <v>2.0</v>
      </c>
      <c r="N1316" s="258">
        <v>0.0</v>
      </c>
      <c r="O1316" s="259">
        <v>145.53</v>
      </c>
      <c r="P1316" s="259">
        <v>116.424</v>
      </c>
      <c r="Q1316" s="262">
        <v>0.0</v>
      </c>
      <c r="R1316" s="260">
        <v>349.272</v>
      </c>
      <c r="S1316" s="260">
        <v>0.0</v>
      </c>
      <c r="T1316" s="260">
        <v>436.59</v>
      </c>
      <c r="U1316" s="261" t="s">
        <v>3420</v>
      </c>
      <c r="V1316" s="279">
        <v>45551.75425925926</v>
      </c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</row>
    <row r="1317">
      <c r="A1317" s="210">
        <v>45552.0</v>
      </c>
      <c r="B1317" s="166">
        <v>6172259.0</v>
      </c>
      <c r="C1317" s="166" t="s">
        <v>82</v>
      </c>
      <c r="D1317" s="166" t="s">
        <v>94</v>
      </c>
      <c r="E1317" s="166">
        <v>6172259.0</v>
      </c>
      <c r="F1317" s="166" t="s">
        <v>3669</v>
      </c>
      <c r="G1317" s="210">
        <v>45556.0</v>
      </c>
      <c r="H1317" s="287">
        <v>45557.0</v>
      </c>
      <c r="I1317" s="168">
        <v>1.0</v>
      </c>
      <c r="J1317" s="169" t="s">
        <v>114</v>
      </c>
      <c r="K1317" s="166" t="s">
        <v>79</v>
      </c>
      <c r="L1317" s="166" t="s">
        <v>1462</v>
      </c>
      <c r="M1317" s="205">
        <v>2.0</v>
      </c>
      <c r="N1317" s="170">
        <v>0.0</v>
      </c>
      <c r="O1317" s="171">
        <v>169.96</v>
      </c>
      <c r="P1317" s="171">
        <v>168.2604</v>
      </c>
      <c r="Q1317" s="172">
        <v>0.0</v>
      </c>
      <c r="R1317" s="173">
        <v>168.2604</v>
      </c>
      <c r="S1317" s="173">
        <v>0.0</v>
      </c>
      <c r="T1317" s="173">
        <v>169.96</v>
      </c>
      <c r="U1317" s="201" t="s">
        <v>1463</v>
      </c>
      <c r="V1317" s="288">
        <v>45552.89842592593</v>
      </c>
      <c r="W1317" s="35"/>
      <c r="X1317" s="35"/>
      <c r="Y1317" s="35"/>
      <c r="Z1317" s="35"/>
      <c r="AA1317" s="35"/>
      <c r="AB1317" s="35"/>
      <c r="AC1317" s="35"/>
      <c r="AD1317" s="35"/>
      <c r="AE1317" s="35"/>
      <c r="AF1317" s="35"/>
      <c r="AG1317" s="35"/>
      <c r="AH1317" s="35"/>
      <c r="AI1317" s="35"/>
    </row>
    <row r="1318">
      <c r="A1318" s="210">
        <v>45552.0</v>
      </c>
      <c r="B1318" s="166">
        <v>6171552.0</v>
      </c>
      <c r="C1318" s="166" t="s">
        <v>89</v>
      </c>
      <c r="D1318" s="166" t="s">
        <v>35</v>
      </c>
      <c r="E1318" s="166">
        <v>4.859982622E9</v>
      </c>
      <c r="F1318" s="166" t="s">
        <v>3670</v>
      </c>
      <c r="G1318" s="210">
        <v>45600.0</v>
      </c>
      <c r="H1318" s="287">
        <v>45604.0</v>
      </c>
      <c r="I1318" s="168">
        <v>4.0</v>
      </c>
      <c r="J1318" s="169" t="s">
        <v>78</v>
      </c>
      <c r="K1318" s="166" t="s">
        <v>79</v>
      </c>
      <c r="L1318" s="166" t="s">
        <v>2803</v>
      </c>
      <c r="M1318" s="205">
        <v>2.0</v>
      </c>
      <c r="N1318" s="170">
        <v>0.0</v>
      </c>
      <c r="O1318" s="171">
        <v>0.0</v>
      </c>
      <c r="P1318" s="171">
        <v>0.0</v>
      </c>
      <c r="Q1318" s="172">
        <v>0.0</v>
      </c>
      <c r="R1318" s="173">
        <v>0.0</v>
      </c>
      <c r="S1318" s="173">
        <v>0.0</v>
      </c>
      <c r="T1318" s="260">
        <v>0.0</v>
      </c>
      <c r="U1318" s="261" t="s">
        <v>3671</v>
      </c>
      <c r="V1318" s="279">
        <v>45552.773680555554</v>
      </c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</row>
    <row r="1319">
      <c r="A1319" s="210">
        <v>45553.0</v>
      </c>
      <c r="B1319" s="166">
        <v>6173503.0</v>
      </c>
      <c r="C1319" s="166" t="s">
        <v>75</v>
      </c>
      <c r="D1319" s="166" t="s">
        <v>35</v>
      </c>
      <c r="E1319" s="166">
        <v>4.763903786E9</v>
      </c>
      <c r="F1319" s="166" t="s">
        <v>3672</v>
      </c>
      <c r="G1319" s="212">
        <v>45577.0</v>
      </c>
      <c r="H1319" s="310">
        <v>45578.0</v>
      </c>
      <c r="I1319" s="168">
        <v>1.0</v>
      </c>
      <c r="J1319" s="169" t="s">
        <v>78</v>
      </c>
      <c r="K1319" s="166" t="s">
        <v>79</v>
      </c>
      <c r="L1319" s="166" t="s">
        <v>2803</v>
      </c>
      <c r="M1319" s="166">
        <v>2.0</v>
      </c>
      <c r="N1319" s="170">
        <v>0.0</v>
      </c>
      <c r="O1319" s="171">
        <v>135.05</v>
      </c>
      <c r="P1319" s="171">
        <v>108.04000000000002</v>
      </c>
      <c r="Q1319" s="172">
        <v>0.0</v>
      </c>
      <c r="R1319" s="173">
        <v>108.04000000000002</v>
      </c>
      <c r="S1319" s="173">
        <v>0.0</v>
      </c>
      <c r="T1319" s="173">
        <v>135.05</v>
      </c>
      <c r="U1319" s="174" t="s">
        <v>2804</v>
      </c>
      <c r="V1319" s="288">
        <v>45573.01739583333</v>
      </c>
      <c r="W1319" s="188"/>
      <c r="X1319" s="188"/>
      <c r="Y1319" s="188"/>
      <c r="Z1319" s="188"/>
      <c r="AA1319" s="188"/>
      <c r="AB1319" s="188"/>
      <c r="AC1319" s="188"/>
      <c r="AD1319" s="188"/>
      <c r="AE1319" s="188"/>
      <c r="AF1319" s="188"/>
      <c r="AG1319" s="188"/>
      <c r="AH1319" s="188"/>
      <c r="AI1319" s="188"/>
    </row>
    <row r="1320">
      <c r="A1320" s="276">
        <v>45554.0</v>
      </c>
      <c r="B1320" s="252">
        <v>6180077.0</v>
      </c>
      <c r="C1320" s="253" t="s">
        <v>82</v>
      </c>
      <c r="D1320" s="253" t="s">
        <v>35</v>
      </c>
      <c r="E1320" s="252">
        <v>4.379493055E9</v>
      </c>
      <c r="F1320" s="253" t="s">
        <v>3673</v>
      </c>
      <c r="G1320" s="276">
        <v>45566.0</v>
      </c>
      <c r="H1320" s="277">
        <v>45567.0</v>
      </c>
      <c r="I1320" s="278">
        <v>1.0</v>
      </c>
      <c r="J1320" s="257" t="s">
        <v>87</v>
      </c>
      <c r="K1320" s="253" t="s">
        <v>79</v>
      </c>
      <c r="L1320" s="253" t="s">
        <v>2803</v>
      </c>
      <c r="M1320" s="252">
        <v>2.0</v>
      </c>
      <c r="N1320" s="258">
        <v>0.0</v>
      </c>
      <c r="O1320" s="259">
        <v>131.38</v>
      </c>
      <c r="P1320" s="259">
        <v>105.104</v>
      </c>
      <c r="Q1320" s="262">
        <v>0.0</v>
      </c>
      <c r="R1320" s="260">
        <v>105.104</v>
      </c>
      <c r="S1320" s="260">
        <v>0.0</v>
      </c>
      <c r="T1320" s="260">
        <v>131.38</v>
      </c>
      <c r="U1320" s="261" t="s">
        <v>2804</v>
      </c>
      <c r="V1320" s="279">
        <v>45554.93059027778</v>
      </c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</row>
    <row r="1321">
      <c r="A1321" s="210">
        <v>45555.0</v>
      </c>
      <c r="B1321" s="166">
        <v>6183075.0</v>
      </c>
      <c r="C1321" s="166" t="s">
        <v>75</v>
      </c>
      <c r="D1321" s="166" t="s">
        <v>35</v>
      </c>
      <c r="E1321" s="166">
        <v>4.305172801E9</v>
      </c>
      <c r="F1321" s="166" t="s">
        <v>3674</v>
      </c>
      <c r="G1321" s="210">
        <v>45572.0</v>
      </c>
      <c r="H1321" s="287">
        <v>45573.0</v>
      </c>
      <c r="I1321" s="168">
        <v>1.0</v>
      </c>
      <c r="J1321" s="169" t="s">
        <v>78</v>
      </c>
      <c r="K1321" s="166" t="s">
        <v>79</v>
      </c>
      <c r="L1321" s="166" t="s">
        <v>2803</v>
      </c>
      <c r="M1321" s="166">
        <v>2.0</v>
      </c>
      <c r="N1321" s="170">
        <v>0.0</v>
      </c>
      <c r="O1321" s="171">
        <v>135.83</v>
      </c>
      <c r="P1321" s="171">
        <v>108.66400000000002</v>
      </c>
      <c r="Q1321" s="172">
        <v>0.0</v>
      </c>
      <c r="R1321" s="173">
        <v>108.66400000000002</v>
      </c>
      <c r="S1321" s="173">
        <v>0.0</v>
      </c>
      <c r="T1321" s="173">
        <v>135.83</v>
      </c>
      <c r="U1321" s="174" t="s">
        <v>2804</v>
      </c>
      <c r="V1321" s="288">
        <v>45568.0174074074</v>
      </c>
      <c r="W1321" s="188"/>
      <c r="X1321" s="188"/>
      <c r="Y1321" s="188"/>
      <c r="Z1321" s="188"/>
      <c r="AA1321" s="188"/>
      <c r="AB1321" s="188"/>
      <c r="AC1321" s="188"/>
      <c r="AD1321" s="188"/>
      <c r="AE1321" s="188"/>
      <c r="AF1321" s="188"/>
      <c r="AG1321" s="188"/>
      <c r="AH1321" s="188"/>
      <c r="AI1321" s="188"/>
    </row>
    <row r="1322">
      <c r="A1322" s="210">
        <v>45555.0</v>
      </c>
      <c r="B1322" s="166">
        <v>6183067.0</v>
      </c>
      <c r="C1322" s="166" t="s">
        <v>75</v>
      </c>
      <c r="D1322" s="166" t="s">
        <v>35</v>
      </c>
      <c r="E1322" s="166">
        <v>4.905406007E9</v>
      </c>
      <c r="F1322" s="166" t="s">
        <v>3674</v>
      </c>
      <c r="G1322" s="212">
        <v>45575.0</v>
      </c>
      <c r="H1322" s="310">
        <v>45577.0</v>
      </c>
      <c r="I1322" s="168">
        <v>2.0</v>
      </c>
      <c r="J1322" s="169" t="s">
        <v>87</v>
      </c>
      <c r="K1322" s="166" t="s">
        <v>79</v>
      </c>
      <c r="L1322" s="166" t="s">
        <v>2803</v>
      </c>
      <c r="M1322" s="166">
        <v>2.0</v>
      </c>
      <c r="N1322" s="170">
        <v>0.0</v>
      </c>
      <c r="O1322" s="171">
        <v>115.92</v>
      </c>
      <c r="P1322" s="171">
        <v>92.736</v>
      </c>
      <c r="Q1322" s="172">
        <v>0.0</v>
      </c>
      <c r="R1322" s="173">
        <v>185.472</v>
      </c>
      <c r="S1322" s="173">
        <v>0.0</v>
      </c>
      <c r="T1322" s="173">
        <v>231.84</v>
      </c>
      <c r="U1322" s="201" t="s">
        <v>2804</v>
      </c>
      <c r="V1322" s="288">
        <v>45571.0174074074</v>
      </c>
      <c r="W1322" s="36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</row>
    <row r="1323">
      <c r="A1323" s="289">
        <v>45555.0</v>
      </c>
      <c r="B1323" s="290">
        <v>6181320.0</v>
      </c>
      <c r="C1323" s="291" t="s">
        <v>82</v>
      </c>
      <c r="D1323" s="291" t="s">
        <v>35</v>
      </c>
      <c r="E1323" s="290">
        <v>4.569288189E9</v>
      </c>
      <c r="F1323" s="291" t="s">
        <v>3675</v>
      </c>
      <c r="G1323" s="289">
        <v>45603.0</v>
      </c>
      <c r="H1323" s="360">
        <v>45606.0</v>
      </c>
      <c r="I1323" s="293">
        <v>3.0</v>
      </c>
      <c r="J1323" s="294" t="s">
        <v>111</v>
      </c>
      <c r="K1323" s="291" t="s">
        <v>79</v>
      </c>
      <c r="L1323" s="291" t="s">
        <v>2803</v>
      </c>
      <c r="M1323" s="300">
        <v>2.0</v>
      </c>
      <c r="N1323" s="295">
        <v>0.0</v>
      </c>
      <c r="O1323" s="296">
        <v>150.08</v>
      </c>
      <c r="P1323" s="296">
        <v>120.06400000000002</v>
      </c>
      <c r="Q1323" s="294">
        <v>0.0</v>
      </c>
      <c r="R1323" s="297">
        <v>360.192</v>
      </c>
      <c r="S1323" s="297">
        <v>0.0</v>
      </c>
      <c r="T1323" s="297">
        <v>450.24</v>
      </c>
      <c r="U1323" s="298" t="s">
        <v>2804</v>
      </c>
      <c r="V1323" s="299">
        <v>45555.43892361112</v>
      </c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</row>
    <row r="1324">
      <c r="A1324" s="210">
        <v>45557.0</v>
      </c>
      <c r="B1324" s="166">
        <v>6190086.0</v>
      </c>
      <c r="C1324" s="166" t="s">
        <v>82</v>
      </c>
      <c r="D1324" s="166" t="s">
        <v>35</v>
      </c>
      <c r="E1324" s="166">
        <v>4.954979029E9</v>
      </c>
      <c r="F1324" s="166" t="s">
        <v>3676</v>
      </c>
      <c r="G1324" s="210">
        <v>45562.0</v>
      </c>
      <c r="H1324" s="287">
        <v>45563.0</v>
      </c>
      <c r="I1324" s="168">
        <v>1.0</v>
      </c>
      <c r="J1324" s="169" t="s">
        <v>78</v>
      </c>
      <c r="K1324" s="166" t="s">
        <v>79</v>
      </c>
      <c r="L1324" s="166" t="s">
        <v>2803</v>
      </c>
      <c r="M1324" s="166">
        <v>1.0</v>
      </c>
      <c r="N1324" s="169">
        <v>0.0</v>
      </c>
      <c r="O1324" s="171">
        <v>164.54</v>
      </c>
      <c r="P1324" s="171">
        <v>131.632</v>
      </c>
      <c r="Q1324" s="169">
        <v>0.0</v>
      </c>
      <c r="R1324" s="173">
        <v>131.632</v>
      </c>
      <c r="S1324" s="173">
        <v>0.0</v>
      </c>
      <c r="T1324" s="173">
        <v>164.54</v>
      </c>
      <c r="U1324" s="201" t="s">
        <v>2804</v>
      </c>
      <c r="V1324" s="288">
        <v>45557.86462962963</v>
      </c>
      <c r="W1324" s="36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</row>
    <row r="1325">
      <c r="A1325" s="276">
        <v>45557.0</v>
      </c>
      <c r="B1325" s="252">
        <v>6189748.0</v>
      </c>
      <c r="C1325" s="253" t="s">
        <v>82</v>
      </c>
      <c r="D1325" s="253" t="s">
        <v>94</v>
      </c>
      <c r="E1325" s="252">
        <v>6189748.0</v>
      </c>
      <c r="F1325" s="253" t="s">
        <v>3677</v>
      </c>
      <c r="G1325" s="304">
        <v>45611.0</v>
      </c>
      <c r="H1325" s="311">
        <v>45614.0</v>
      </c>
      <c r="I1325" s="278">
        <v>3.0</v>
      </c>
      <c r="J1325" s="257" t="s">
        <v>114</v>
      </c>
      <c r="K1325" s="253" t="s">
        <v>79</v>
      </c>
      <c r="L1325" s="253" t="s">
        <v>1462</v>
      </c>
      <c r="M1325" s="275">
        <v>2.0</v>
      </c>
      <c r="N1325" s="258">
        <v>0.0</v>
      </c>
      <c r="O1325" s="259">
        <v>179.96</v>
      </c>
      <c r="P1325" s="259">
        <v>178.1604</v>
      </c>
      <c r="Q1325" s="262">
        <v>0.0</v>
      </c>
      <c r="R1325" s="260">
        <v>534.4812</v>
      </c>
      <c r="S1325" s="260">
        <v>0.0</v>
      </c>
      <c r="T1325" s="260">
        <v>539.88</v>
      </c>
      <c r="U1325" s="261" t="s">
        <v>1463</v>
      </c>
      <c r="V1325" s="279">
        <v>45557.796423611115</v>
      </c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</row>
    <row r="1326">
      <c r="A1326" s="210">
        <v>45557.0</v>
      </c>
      <c r="B1326" s="166">
        <v>6188956.0</v>
      </c>
      <c r="C1326" s="166" t="s">
        <v>89</v>
      </c>
      <c r="D1326" s="166" t="s">
        <v>35</v>
      </c>
      <c r="E1326" s="166">
        <v>4.673112447E9</v>
      </c>
      <c r="F1326" s="166" t="s">
        <v>3678</v>
      </c>
      <c r="G1326" s="212">
        <v>45613.0</v>
      </c>
      <c r="H1326" s="310">
        <v>45616.0</v>
      </c>
      <c r="I1326" s="168">
        <v>3.0</v>
      </c>
      <c r="J1326" s="169" t="s">
        <v>111</v>
      </c>
      <c r="K1326" s="166" t="s">
        <v>138</v>
      </c>
      <c r="L1326" s="166" t="s">
        <v>3679</v>
      </c>
      <c r="M1326" s="205">
        <v>2.0</v>
      </c>
      <c r="N1326" s="170">
        <v>0.0</v>
      </c>
      <c r="O1326" s="171">
        <v>0.0</v>
      </c>
      <c r="P1326" s="171">
        <v>0.0</v>
      </c>
      <c r="Q1326" s="172">
        <v>0.0</v>
      </c>
      <c r="R1326" s="173">
        <v>0.0</v>
      </c>
      <c r="S1326" s="173">
        <v>0.0</v>
      </c>
      <c r="T1326" s="173">
        <v>0.0</v>
      </c>
      <c r="U1326" s="174" t="s">
        <v>3680</v>
      </c>
      <c r="V1326" s="288">
        <v>45557.64796296296</v>
      </c>
      <c r="W1326" s="188"/>
      <c r="X1326" s="188"/>
      <c r="Y1326" s="188"/>
      <c r="Z1326" s="188"/>
      <c r="AA1326" s="188"/>
      <c r="AB1326" s="188"/>
      <c r="AC1326" s="188"/>
      <c r="AD1326" s="188"/>
      <c r="AE1326" s="188"/>
      <c r="AF1326" s="188"/>
      <c r="AG1326" s="188"/>
      <c r="AH1326" s="188"/>
      <c r="AI1326" s="188"/>
    </row>
    <row r="1327">
      <c r="A1327" s="210">
        <v>45558.0</v>
      </c>
      <c r="B1327" s="166">
        <v>6194372.0</v>
      </c>
      <c r="C1327" s="166" t="s">
        <v>75</v>
      </c>
      <c r="D1327" s="166" t="s">
        <v>35</v>
      </c>
      <c r="E1327" s="166">
        <v>4.602631292E9</v>
      </c>
      <c r="F1327" s="166" t="s">
        <v>3681</v>
      </c>
      <c r="G1327" s="210">
        <v>45569.0</v>
      </c>
      <c r="H1327" s="287">
        <v>45570.0</v>
      </c>
      <c r="I1327" s="168">
        <v>1.0</v>
      </c>
      <c r="J1327" s="169" t="s">
        <v>78</v>
      </c>
      <c r="K1327" s="166" t="s">
        <v>79</v>
      </c>
      <c r="L1327" s="166" t="s">
        <v>2803</v>
      </c>
      <c r="M1327" s="205">
        <v>2.0</v>
      </c>
      <c r="N1327" s="170">
        <v>0.0</v>
      </c>
      <c r="O1327" s="171">
        <v>152.34</v>
      </c>
      <c r="P1327" s="171">
        <v>121.87200000000001</v>
      </c>
      <c r="Q1327" s="172">
        <v>0.0</v>
      </c>
      <c r="R1327" s="173">
        <v>121.87200000000001</v>
      </c>
      <c r="S1327" s="173">
        <v>0.0</v>
      </c>
      <c r="T1327" s="173">
        <v>152.34</v>
      </c>
      <c r="U1327" s="174" t="s">
        <v>2804</v>
      </c>
      <c r="V1327" s="288">
        <v>45565.0174074074</v>
      </c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</row>
    <row r="1328">
      <c r="A1328" s="210">
        <v>45558.0</v>
      </c>
      <c r="B1328" s="166">
        <v>6193883.0</v>
      </c>
      <c r="C1328" s="166" t="s">
        <v>82</v>
      </c>
      <c r="D1328" s="166" t="s">
        <v>35</v>
      </c>
      <c r="E1328" s="166">
        <v>4.707118096E9</v>
      </c>
      <c r="F1328" s="166" t="s">
        <v>3682</v>
      </c>
      <c r="G1328" s="212">
        <v>45577.0</v>
      </c>
      <c r="H1328" s="310">
        <v>45578.0</v>
      </c>
      <c r="I1328" s="168">
        <v>1.0</v>
      </c>
      <c r="J1328" s="169" t="s">
        <v>87</v>
      </c>
      <c r="K1328" s="166" t="s">
        <v>79</v>
      </c>
      <c r="L1328" s="166" t="s">
        <v>3375</v>
      </c>
      <c r="M1328" s="166">
        <v>2.0</v>
      </c>
      <c r="N1328" s="169">
        <v>0.0</v>
      </c>
      <c r="O1328" s="171">
        <v>122.35</v>
      </c>
      <c r="P1328" s="171">
        <v>97.88</v>
      </c>
      <c r="Q1328" s="169">
        <v>0.0</v>
      </c>
      <c r="R1328" s="173">
        <v>97.88</v>
      </c>
      <c r="S1328" s="173">
        <v>0.0</v>
      </c>
      <c r="T1328" s="173">
        <v>122.35</v>
      </c>
      <c r="U1328" s="174" t="s">
        <v>3376</v>
      </c>
      <c r="V1328" s="288">
        <v>45558.87436342593</v>
      </c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</row>
    <row r="1329">
      <c r="A1329" s="210">
        <v>45558.0</v>
      </c>
      <c r="B1329" s="166">
        <v>6193938.0</v>
      </c>
      <c r="C1329" s="166" t="s">
        <v>82</v>
      </c>
      <c r="D1329" s="166" t="s">
        <v>94</v>
      </c>
      <c r="E1329" s="166">
        <v>6193938.0</v>
      </c>
      <c r="F1329" s="166" t="s">
        <v>3683</v>
      </c>
      <c r="G1329" s="212">
        <v>45588.0</v>
      </c>
      <c r="H1329" s="310">
        <v>45589.0</v>
      </c>
      <c r="I1329" s="168">
        <v>1.0</v>
      </c>
      <c r="J1329" s="169" t="s">
        <v>78</v>
      </c>
      <c r="K1329" s="166" t="s">
        <v>79</v>
      </c>
      <c r="L1329" s="166" t="s">
        <v>1811</v>
      </c>
      <c r="M1329" s="166">
        <v>2.0</v>
      </c>
      <c r="N1329" s="170">
        <v>0.0</v>
      </c>
      <c r="O1329" s="171">
        <v>120.2</v>
      </c>
      <c r="P1329" s="171">
        <v>118.998</v>
      </c>
      <c r="Q1329" s="172">
        <v>0.0</v>
      </c>
      <c r="R1329" s="173">
        <v>118.998</v>
      </c>
      <c r="S1329" s="173">
        <v>0.0</v>
      </c>
      <c r="T1329" s="173">
        <v>120.2</v>
      </c>
      <c r="U1329" s="174" t="s">
        <v>1812</v>
      </c>
      <c r="V1329" s="288">
        <v>45558.883125</v>
      </c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</row>
    <row r="1330">
      <c r="A1330" s="210">
        <v>45558.0</v>
      </c>
      <c r="B1330" s="166">
        <v>6191250.0</v>
      </c>
      <c r="C1330" s="166" t="s">
        <v>82</v>
      </c>
      <c r="D1330" s="166" t="s">
        <v>35</v>
      </c>
      <c r="E1330" s="166">
        <v>4.678406959E9</v>
      </c>
      <c r="F1330" s="166" t="s">
        <v>3684</v>
      </c>
      <c r="G1330" s="212">
        <v>45615.0</v>
      </c>
      <c r="H1330" s="310">
        <v>45618.0</v>
      </c>
      <c r="I1330" s="168">
        <v>3.0</v>
      </c>
      <c r="J1330" s="169" t="s">
        <v>78</v>
      </c>
      <c r="K1330" s="166" t="s">
        <v>79</v>
      </c>
      <c r="L1330" s="166" t="s">
        <v>2803</v>
      </c>
      <c r="M1330" s="166">
        <v>2.0</v>
      </c>
      <c r="N1330" s="170">
        <v>0.0</v>
      </c>
      <c r="O1330" s="171">
        <v>135.04999999999998</v>
      </c>
      <c r="P1330" s="171">
        <v>108.03999999999999</v>
      </c>
      <c r="Q1330" s="172">
        <v>0.0</v>
      </c>
      <c r="R1330" s="173">
        <v>324.12</v>
      </c>
      <c r="S1330" s="173">
        <v>0.0</v>
      </c>
      <c r="T1330" s="173">
        <v>405.15</v>
      </c>
      <c r="U1330" s="201" t="s">
        <v>2804</v>
      </c>
      <c r="V1330" s="288">
        <v>45558.37229166667</v>
      </c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</row>
    <row r="1331">
      <c r="A1331" s="210">
        <v>45558.0</v>
      </c>
      <c r="B1331" s="166">
        <v>6192162.0</v>
      </c>
      <c r="C1331" s="166" t="s">
        <v>75</v>
      </c>
      <c r="D1331" s="166" t="s">
        <v>94</v>
      </c>
      <c r="E1331" s="166">
        <v>6192162.0</v>
      </c>
      <c r="F1331" s="166" t="s">
        <v>3685</v>
      </c>
      <c r="G1331" s="212">
        <v>45641.0</v>
      </c>
      <c r="H1331" s="310">
        <v>45644.0</v>
      </c>
      <c r="I1331" s="168">
        <v>3.0</v>
      </c>
      <c r="J1331" s="169" t="s">
        <v>114</v>
      </c>
      <c r="K1331" s="166" t="s">
        <v>79</v>
      </c>
      <c r="L1331" s="166" t="s">
        <v>1462</v>
      </c>
      <c r="M1331" s="166">
        <v>2.0</v>
      </c>
      <c r="N1331" s="170">
        <v>0.0</v>
      </c>
      <c r="O1331" s="171">
        <v>149.96</v>
      </c>
      <c r="P1331" s="171">
        <v>148.4604</v>
      </c>
      <c r="Q1331" s="172">
        <v>0.0</v>
      </c>
      <c r="R1331" s="173">
        <v>445.3812</v>
      </c>
      <c r="S1331" s="173">
        <v>0.0</v>
      </c>
      <c r="T1331" s="173">
        <v>449.88</v>
      </c>
      <c r="U1331" s="201" t="s">
        <v>1463</v>
      </c>
      <c r="V1331" s="288">
        <v>45598.552939814814</v>
      </c>
      <c r="W1331" s="188"/>
      <c r="X1331" s="188"/>
      <c r="Y1331" s="188"/>
      <c r="Z1331" s="188"/>
      <c r="AA1331" s="188"/>
      <c r="AB1331" s="188"/>
      <c r="AC1331" s="188"/>
      <c r="AD1331" s="188"/>
      <c r="AE1331" s="188"/>
      <c r="AF1331" s="188"/>
      <c r="AG1331" s="188"/>
      <c r="AH1331" s="188"/>
      <c r="AI1331" s="188"/>
    </row>
    <row r="1332">
      <c r="A1332" s="210">
        <v>45559.0</v>
      </c>
      <c r="B1332" s="166">
        <v>6197207.0</v>
      </c>
      <c r="C1332" s="166" t="s">
        <v>82</v>
      </c>
      <c r="D1332" s="166" t="s">
        <v>35</v>
      </c>
      <c r="E1332" s="166">
        <v>4.861329403E9</v>
      </c>
      <c r="F1332" s="166" t="s">
        <v>3686</v>
      </c>
      <c r="G1332" s="212">
        <v>45590.0</v>
      </c>
      <c r="H1332" s="310">
        <v>45591.0</v>
      </c>
      <c r="I1332" s="168">
        <v>1.0</v>
      </c>
      <c r="J1332" s="169" t="s">
        <v>78</v>
      </c>
      <c r="K1332" s="166" t="s">
        <v>79</v>
      </c>
      <c r="L1332" s="166" t="s">
        <v>2803</v>
      </c>
      <c r="M1332" s="205">
        <v>3.0</v>
      </c>
      <c r="N1332" s="170">
        <v>0.0</v>
      </c>
      <c r="O1332" s="171">
        <v>137.55</v>
      </c>
      <c r="P1332" s="171">
        <v>110.04000000000002</v>
      </c>
      <c r="Q1332" s="172">
        <v>0.0</v>
      </c>
      <c r="R1332" s="173">
        <v>110.04000000000002</v>
      </c>
      <c r="S1332" s="173">
        <v>0.0</v>
      </c>
      <c r="T1332" s="173">
        <v>137.55</v>
      </c>
      <c r="U1332" s="174" t="s">
        <v>2804</v>
      </c>
      <c r="V1332" s="288">
        <v>45559.77019675926</v>
      </c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</row>
    <row r="1333">
      <c r="A1333" s="280">
        <v>45559.0</v>
      </c>
      <c r="B1333" s="264">
        <v>6198148.0</v>
      </c>
      <c r="C1333" s="265" t="s">
        <v>82</v>
      </c>
      <c r="D1333" s="265" t="s">
        <v>35</v>
      </c>
      <c r="E1333" s="264">
        <v>4.720469094E9</v>
      </c>
      <c r="F1333" s="265" t="s">
        <v>3687</v>
      </c>
      <c r="G1333" s="280">
        <v>45599.0</v>
      </c>
      <c r="H1333" s="281">
        <v>45600.0</v>
      </c>
      <c r="I1333" s="282">
        <v>1.0</v>
      </c>
      <c r="J1333" s="283" t="s">
        <v>114</v>
      </c>
      <c r="K1333" s="265" t="s">
        <v>79</v>
      </c>
      <c r="L1333" s="265" t="s">
        <v>2798</v>
      </c>
      <c r="M1333" s="269">
        <v>2.0</v>
      </c>
      <c r="N1333" s="270">
        <v>0.0</v>
      </c>
      <c r="O1333" s="271">
        <v>189.8</v>
      </c>
      <c r="P1333" s="271">
        <v>151.84</v>
      </c>
      <c r="Q1333" s="272">
        <v>0.0</v>
      </c>
      <c r="R1333" s="273">
        <v>151.84</v>
      </c>
      <c r="S1333" s="273">
        <v>0.0</v>
      </c>
      <c r="T1333" s="273">
        <v>189.8</v>
      </c>
      <c r="U1333" s="274" t="s">
        <v>2800</v>
      </c>
      <c r="V1333" s="284">
        <v>45559.9591087963</v>
      </c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</row>
    <row r="1334">
      <c r="A1334" s="280">
        <v>45559.0</v>
      </c>
      <c r="B1334" s="264">
        <v>6194872.0</v>
      </c>
      <c r="C1334" s="265" t="s">
        <v>82</v>
      </c>
      <c r="D1334" s="265" t="s">
        <v>94</v>
      </c>
      <c r="E1334" s="264">
        <v>6194872.0</v>
      </c>
      <c r="F1334" s="265" t="s">
        <v>3688</v>
      </c>
      <c r="G1334" s="305">
        <v>45612.0</v>
      </c>
      <c r="H1334" s="313">
        <v>45615.0</v>
      </c>
      <c r="I1334" s="282">
        <v>3.0</v>
      </c>
      <c r="J1334" s="283" t="s">
        <v>114</v>
      </c>
      <c r="K1334" s="265" t="s">
        <v>79</v>
      </c>
      <c r="L1334" s="265" t="s">
        <v>1601</v>
      </c>
      <c r="M1334" s="269">
        <v>2.0</v>
      </c>
      <c r="N1334" s="270">
        <v>0.0</v>
      </c>
      <c r="O1334" s="271">
        <v>139.66666666666666</v>
      </c>
      <c r="P1334" s="271">
        <v>138.26999999999998</v>
      </c>
      <c r="Q1334" s="272">
        <v>0.0</v>
      </c>
      <c r="R1334" s="273">
        <v>414.81</v>
      </c>
      <c r="S1334" s="273">
        <v>0.0</v>
      </c>
      <c r="T1334" s="273">
        <v>419.0</v>
      </c>
      <c r="U1334" s="274" t="s">
        <v>1602</v>
      </c>
      <c r="V1334" s="286">
        <v>45559.31581018519</v>
      </c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</row>
    <row r="1335">
      <c r="A1335" s="210">
        <v>45559.0</v>
      </c>
      <c r="B1335" s="166">
        <v>6197763.0</v>
      </c>
      <c r="C1335" s="166" t="s">
        <v>82</v>
      </c>
      <c r="D1335" s="166" t="s">
        <v>35</v>
      </c>
      <c r="E1335" s="166">
        <v>4.431144804E9</v>
      </c>
      <c r="F1335" s="166" t="s">
        <v>3689</v>
      </c>
      <c r="G1335" s="212">
        <v>45622.0</v>
      </c>
      <c r="H1335" s="310">
        <v>45623.0</v>
      </c>
      <c r="I1335" s="168">
        <v>1.0</v>
      </c>
      <c r="J1335" s="169" t="s">
        <v>78</v>
      </c>
      <c r="K1335" s="166" t="s">
        <v>79</v>
      </c>
      <c r="L1335" s="166" t="s">
        <v>3690</v>
      </c>
      <c r="M1335" s="166">
        <v>2.0</v>
      </c>
      <c r="N1335" s="169">
        <v>0.0</v>
      </c>
      <c r="O1335" s="171">
        <v>170.76</v>
      </c>
      <c r="P1335" s="171">
        <v>136.608</v>
      </c>
      <c r="Q1335" s="169">
        <v>0.0</v>
      </c>
      <c r="R1335" s="173">
        <v>136.608</v>
      </c>
      <c r="S1335" s="173">
        <v>0.0</v>
      </c>
      <c r="T1335" s="173">
        <v>170.76</v>
      </c>
      <c r="U1335" s="201" t="s">
        <v>3691</v>
      </c>
      <c r="V1335" s="288">
        <v>45559.87435185185</v>
      </c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</row>
    <row r="1336">
      <c r="A1336" s="280">
        <v>45560.0</v>
      </c>
      <c r="B1336" s="264">
        <v>6199571.0</v>
      </c>
      <c r="C1336" s="265" t="s">
        <v>82</v>
      </c>
      <c r="D1336" s="265" t="s">
        <v>94</v>
      </c>
      <c r="E1336" s="264">
        <v>6199571.0</v>
      </c>
      <c r="F1336" s="265" t="s">
        <v>3178</v>
      </c>
      <c r="G1336" s="280">
        <v>45630.0</v>
      </c>
      <c r="H1336" s="281">
        <v>45633.0</v>
      </c>
      <c r="I1336" s="282">
        <v>3.0</v>
      </c>
      <c r="J1336" s="283" t="s">
        <v>78</v>
      </c>
      <c r="K1336" s="265" t="s">
        <v>1492</v>
      </c>
      <c r="L1336" s="265"/>
      <c r="M1336" s="269">
        <v>2.0</v>
      </c>
      <c r="N1336" s="270">
        <v>0.0</v>
      </c>
      <c r="O1336" s="271">
        <v>348.8</v>
      </c>
      <c r="P1336" s="271">
        <v>345.312</v>
      </c>
      <c r="Q1336" s="272">
        <v>70.0</v>
      </c>
      <c r="R1336" s="273">
        <v>1035.9360000000001</v>
      </c>
      <c r="S1336" s="273">
        <v>210.0</v>
      </c>
      <c r="T1336" s="273">
        <v>1046.4</v>
      </c>
      <c r="U1336" s="274" t="s">
        <v>3692</v>
      </c>
      <c r="V1336" s="284">
        <v>45560.50060185185</v>
      </c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</row>
    <row r="1337">
      <c r="A1337" s="210">
        <v>45560.0</v>
      </c>
      <c r="B1337" s="166">
        <v>6199840.0</v>
      </c>
      <c r="C1337" s="166" t="s">
        <v>89</v>
      </c>
      <c r="D1337" s="166" t="s">
        <v>35</v>
      </c>
      <c r="E1337" s="166">
        <v>4.319888637E9</v>
      </c>
      <c r="F1337" s="166" t="s">
        <v>3693</v>
      </c>
      <c r="G1337" s="210">
        <v>45567.0</v>
      </c>
      <c r="H1337" s="287">
        <v>45568.0</v>
      </c>
      <c r="I1337" s="168">
        <v>1.0</v>
      </c>
      <c r="J1337" s="169" t="s">
        <v>87</v>
      </c>
      <c r="K1337" s="166" t="s">
        <v>79</v>
      </c>
      <c r="L1337" s="166" t="s">
        <v>2803</v>
      </c>
      <c r="M1337" s="205">
        <v>2.0</v>
      </c>
      <c r="N1337" s="170">
        <v>0.0</v>
      </c>
      <c r="O1337" s="171">
        <v>0.0</v>
      </c>
      <c r="P1337" s="171">
        <v>0.0</v>
      </c>
      <c r="Q1337" s="172">
        <v>0.0</v>
      </c>
      <c r="R1337" s="173">
        <v>0.0</v>
      </c>
      <c r="S1337" s="173">
        <v>0.0</v>
      </c>
      <c r="T1337" s="173">
        <v>0.0</v>
      </c>
      <c r="U1337" s="174" t="s">
        <v>3694</v>
      </c>
      <c r="V1337" s="288">
        <v>45560.55422453704</v>
      </c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</row>
    <row r="1338">
      <c r="A1338" s="280">
        <v>45560.0</v>
      </c>
      <c r="B1338" s="264">
        <v>6200779.0</v>
      </c>
      <c r="C1338" s="265" t="s">
        <v>82</v>
      </c>
      <c r="D1338" s="265" t="s">
        <v>35</v>
      </c>
      <c r="E1338" s="264">
        <v>4.615650737E9</v>
      </c>
      <c r="F1338" s="265" t="s">
        <v>3695</v>
      </c>
      <c r="G1338" s="305">
        <v>45595.0</v>
      </c>
      <c r="H1338" s="313">
        <v>45596.0</v>
      </c>
      <c r="I1338" s="282">
        <v>1.0</v>
      </c>
      <c r="J1338" s="283" t="s">
        <v>114</v>
      </c>
      <c r="K1338" s="265" t="s">
        <v>79</v>
      </c>
      <c r="L1338" s="265" t="s">
        <v>3375</v>
      </c>
      <c r="M1338" s="269">
        <v>2.0</v>
      </c>
      <c r="N1338" s="270">
        <v>0.0</v>
      </c>
      <c r="O1338" s="271">
        <v>180.63</v>
      </c>
      <c r="P1338" s="271">
        <v>144.504</v>
      </c>
      <c r="Q1338" s="272">
        <v>0.0</v>
      </c>
      <c r="R1338" s="273">
        <v>144.504</v>
      </c>
      <c r="S1338" s="273">
        <v>0.0</v>
      </c>
      <c r="T1338" s="273">
        <v>467.63</v>
      </c>
      <c r="U1338" s="274" t="s">
        <v>3376</v>
      </c>
      <c r="V1338" s="286">
        <v>45560.72158564815</v>
      </c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</row>
    <row r="1339">
      <c r="A1339" s="280">
        <v>45560.0</v>
      </c>
      <c r="B1339" s="264">
        <v>6200779.0</v>
      </c>
      <c r="C1339" s="265" t="s">
        <v>82</v>
      </c>
      <c r="D1339" s="265" t="s">
        <v>35</v>
      </c>
      <c r="E1339" s="265">
        <v>4.615650737E9</v>
      </c>
      <c r="F1339" s="265" t="s">
        <v>3695</v>
      </c>
      <c r="G1339" s="305">
        <v>45595.0</v>
      </c>
      <c r="H1339" s="313">
        <v>45596.0</v>
      </c>
      <c r="I1339" s="282">
        <v>1.0</v>
      </c>
      <c r="J1339" s="283" t="s">
        <v>78</v>
      </c>
      <c r="K1339" s="265" t="s">
        <v>79</v>
      </c>
      <c r="L1339" s="265" t="s">
        <v>3375</v>
      </c>
      <c r="M1339" s="264">
        <v>2.0</v>
      </c>
      <c r="N1339" s="270">
        <v>0.0</v>
      </c>
      <c r="O1339" s="271">
        <v>143.5</v>
      </c>
      <c r="P1339" s="271">
        <v>114.80000000000001</v>
      </c>
      <c r="Q1339" s="272">
        <v>0.0</v>
      </c>
      <c r="R1339" s="273">
        <v>114.80000000000001</v>
      </c>
      <c r="S1339" s="273">
        <v>0.0</v>
      </c>
      <c r="T1339" s="273">
        <v>467.63</v>
      </c>
      <c r="U1339" s="274" t="s">
        <v>3376</v>
      </c>
      <c r="V1339" s="286">
        <v>45560.72158564815</v>
      </c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</row>
    <row r="1340">
      <c r="A1340" s="210">
        <v>45560.0</v>
      </c>
      <c r="B1340" s="166">
        <v>6200779.0</v>
      </c>
      <c r="C1340" s="166" t="s">
        <v>82</v>
      </c>
      <c r="D1340" s="166" t="s">
        <v>35</v>
      </c>
      <c r="E1340" s="166">
        <v>4.615650737E9</v>
      </c>
      <c r="F1340" s="166" t="s">
        <v>3695</v>
      </c>
      <c r="G1340" s="212">
        <v>45595.0</v>
      </c>
      <c r="H1340" s="310">
        <v>45596.0</v>
      </c>
      <c r="I1340" s="168">
        <v>1.0</v>
      </c>
      <c r="J1340" s="169" t="s">
        <v>78</v>
      </c>
      <c r="K1340" s="166" t="s">
        <v>79</v>
      </c>
      <c r="L1340" s="166" t="s">
        <v>3375</v>
      </c>
      <c r="M1340" s="205">
        <v>2.0</v>
      </c>
      <c r="N1340" s="170">
        <v>0.0</v>
      </c>
      <c r="O1340" s="171">
        <v>143.5</v>
      </c>
      <c r="P1340" s="171">
        <v>114.80000000000001</v>
      </c>
      <c r="Q1340" s="172">
        <v>0.0</v>
      </c>
      <c r="R1340" s="173">
        <v>114.80000000000001</v>
      </c>
      <c r="S1340" s="173">
        <v>0.0</v>
      </c>
      <c r="T1340" s="173">
        <v>467.63</v>
      </c>
      <c r="U1340" s="174" t="s">
        <v>3376</v>
      </c>
      <c r="V1340" s="288">
        <v>45560.72158564815</v>
      </c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</row>
    <row r="1341">
      <c r="A1341" s="280">
        <v>45560.0</v>
      </c>
      <c r="B1341" s="264">
        <v>6201646.0</v>
      </c>
      <c r="C1341" s="265" t="s">
        <v>82</v>
      </c>
      <c r="D1341" s="265" t="s">
        <v>35</v>
      </c>
      <c r="E1341" s="264">
        <v>4.811322364E9</v>
      </c>
      <c r="F1341" s="265" t="s">
        <v>3696</v>
      </c>
      <c r="G1341" s="305">
        <v>45614.0</v>
      </c>
      <c r="H1341" s="313">
        <v>45617.0</v>
      </c>
      <c r="I1341" s="282">
        <v>3.0</v>
      </c>
      <c r="J1341" s="283" t="s">
        <v>78</v>
      </c>
      <c r="K1341" s="265" t="s">
        <v>79</v>
      </c>
      <c r="L1341" s="265" t="s">
        <v>2803</v>
      </c>
      <c r="M1341" s="269">
        <v>2.0</v>
      </c>
      <c r="N1341" s="270">
        <v>0.0</v>
      </c>
      <c r="O1341" s="271">
        <v>135.04999999999998</v>
      </c>
      <c r="P1341" s="271">
        <v>108.03999999999999</v>
      </c>
      <c r="Q1341" s="272">
        <v>0.0</v>
      </c>
      <c r="R1341" s="273">
        <v>324.12</v>
      </c>
      <c r="S1341" s="273">
        <v>0.0</v>
      </c>
      <c r="T1341" s="273">
        <v>405.15</v>
      </c>
      <c r="U1341" s="274" t="s">
        <v>2804</v>
      </c>
      <c r="V1341" s="284">
        <v>45560.89104166666</v>
      </c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</row>
    <row r="1342">
      <c r="A1342" s="210">
        <v>45561.0</v>
      </c>
      <c r="B1342" s="166">
        <v>6203421.0</v>
      </c>
      <c r="C1342" s="166" t="s">
        <v>82</v>
      </c>
      <c r="D1342" s="166" t="s">
        <v>94</v>
      </c>
      <c r="E1342" s="166">
        <v>6203421.0</v>
      </c>
      <c r="F1342" s="166" t="s">
        <v>3697</v>
      </c>
      <c r="G1342" s="210">
        <v>45562.0</v>
      </c>
      <c r="H1342" s="287">
        <v>45563.0</v>
      </c>
      <c r="I1342" s="168">
        <v>1.0</v>
      </c>
      <c r="J1342" s="169" t="s">
        <v>78</v>
      </c>
      <c r="K1342" s="166" t="s">
        <v>79</v>
      </c>
      <c r="L1342" s="166" t="s">
        <v>1601</v>
      </c>
      <c r="M1342" s="205">
        <v>2.0</v>
      </c>
      <c r="N1342" s="170">
        <v>0.0</v>
      </c>
      <c r="O1342" s="171">
        <v>120.2</v>
      </c>
      <c r="P1342" s="171">
        <v>118.998</v>
      </c>
      <c r="Q1342" s="172">
        <v>0.0</v>
      </c>
      <c r="R1342" s="173">
        <v>118.998</v>
      </c>
      <c r="S1342" s="173">
        <v>0.0</v>
      </c>
      <c r="T1342" s="173">
        <v>120.2</v>
      </c>
      <c r="U1342" s="201" t="s">
        <v>1602</v>
      </c>
      <c r="V1342" s="288">
        <v>45561.51105324074</v>
      </c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</row>
    <row r="1343">
      <c r="A1343" s="280">
        <v>45561.0</v>
      </c>
      <c r="B1343" s="264">
        <v>6205810.0</v>
      </c>
      <c r="C1343" s="265" t="s">
        <v>82</v>
      </c>
      <c r="D1343" s="265" t="s">
        <v>94</v>
      </c>
      <c r="E1343" s="264">
        <v>6205810.0</v>
      </c>
      <c r="F1343" s="265" t="s">
        <v>3698</v>
      </c>
      <c r="G1343" s="280">
        <v>45574.0</v>
      </c>
      <c r="H1343" s="313">
        <v>45575.0</v>
      </c>
      <c r="I1343" s="282">
        <v>1.0</v>
      </c>
      <c r="J1343" s="283" t="s">
        <v>78</v>
      </c>
      <c r="K1343" s="265" t="s">
        <v>79</v>
      </c>
      <c r="L1343" s="265" t="s">
        <v>1601</v>
      </c>
      <c r="M1343" s="264">
        <v>2.0</v>
      </c>
      <c r="N1343" s="270">
        <v>0.0</v>
      </c>
      <c r="O1343" s="271">
        <v>120.2</v>
      </c>
      <c r="P1343" s="271">
        <v>118.998</v>
      </c>
      <c r="Q1343" s="272">
        <v>0.0</v>
      </c>
      <c r="R1343" s="273">
        <v>118.998</v>
      </c>
      <c r="S1343" s="273">
        <v>0.0</v>
      </c>
      <c r="T1343" s="273">
        <v>120.2</v>
      </c>
      <c r="U1343" s="274" t="s">
        <v>1602</v>
      </c>
      <c r="V1343" s="286">
        <v>45561.93722222222</v>
      </c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</row>
    <row r="1344">
      <c r="A1344" s="280">
        <v>45562.0</v>
      </c>
      <c r="B1344" s="264">
        <v>6209129.0</v>
      </c>
      <c r="C1344" s="265" t="s">
        <v>82</v>
      </c>
      <c r="D1344" s="265" t="s">
        <v>94</v>
      </c>
      <c r="E1344" s="264">
        <v>6209129.0</v>
      </c>
      <c r="F1344" s="265" t="s">
        <v>3699</v>
      </c>
      <c r="G1344" s="280">
        <v>45562.0</v>
      </c>
      <c r="H1344" s="281">
        <v>45563.0</v>
      </c>
      <c r="I1344" s="282">
        <v>1.0</v>
      </c>
      <c r="J1344" s="283" t="s">
        <v>78</v>
      </c>
      <c r="K1344" s="265" t="s">
        <v>79</v>
      </c>
      <c r="L1344" s="265" t="s">
        <v>1811</v>
      </c>
      <c r="M1344" s="269">
        <v>2.0</v>
      </c>
      <c r="N1344" s="270">
        <v>0.0</v>
      </c>
      <c r="O1344" s="271">
        <v>120.2</v>
      </c>
      <c r="P1344" s="271">
        <v>118.998</v>
      </c>
      <c r="Q1344" s="272">
        <v>0.0</v>
      </c>
      <c r="R1344" s="273">
        <v>118.998</v>
      </c>
      <c r="S1344" s="273">
        <v>0.0</v>
      </c>
      <c r="T1344" s="273">
        <v>120.2</v>
      </c>
      <c r="U1344" s="274" t="s">
        <v>1812</v>
      </c>
      <c r="V1344" s="284">
        <v>45562.868310185186</v>
      </c>
      <c r="W1344" s="188"/>
      <c r="X1344" s="188"/>
      <c r="Y1344" s="188"/>
      <c r="Z1344" s="188"/>
      <c r="AA1344" s="188"/>
      <c r="AB1344" s="188"/>
      <c r="AC1344" s="188"/>
      <c r="AD1344" s="188"/>
      <c r="AE1344" s="188"/>
      <c r="AF1344" s="188"/>
      <c r="AG1344" s="188"/>
      <c r="AH1344" s="188"/>
      <c r="AI1344" s="188"/>
    </row>
    <row r="1345">
      <c r="A1345" s="210">
        <v>45562.0</v>
      </c>
      <c r="B1345" s="166">
        <v>6207562.0</v>
      </c>
      <c r="C1345" s="166" t="s">
        <v>75</v>
      </c>
      <c r="D1345" s="166" t="s">
        <v>35</v>
      </c>
      <c r="E1345" s="166">
        <v>4.668413679E9</v>
      </c>
      <c r="F1345" s="166" t="s">
        <v>3700</v>
      </c>
      <c r="G1345" s="212">
        <v>45575.0</v>
      </c>
      <c r="H1345" s="310">
        <v>45577.0</v>
      </c>
      <c r="I1345" s="168">
        <v>2.0</v>
      </c>
      <c r="J1345" s="169" t="s">
        <v>78</v>
      </c>
      <c r="K1345" s="166" t="s">
        <v>79</v>
      </c>
      <c r="L1345" s="166" t="s">
        <v>2803</v>
      </c>
      <c r="M1345" s="205">
        <v>2.0</v>
      </c>
      <c r="N1345" s="170">
        <v>0.0</v>
      </c>
      <c r="O1345" s="171">
        <v>154.16</v>
      </c>
      <c r="P1345" s="171">
        <v>123.328</v>
      </c>
      <c r="Q1345" s="172">
        <v>0.0</v>
      </c>
      <c r="R1345" s="173">
        <v>246.656</v>
      </c>
      <c r="S1345" s="173">
        <v>0.0</v>
      </c>
      <c r="T1345" s="173">
        <v>308.32</v>
      </c>
      <c r="U1345" s="201" t="s">
        <v>2804</v>
      </c>
      <c r="V1345" s="288">
        <v>45571.0174074074</v>
      </c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</row>
    <row r="1346">
      <c r="A1346" s="276">
        <v>45562.0</v>
      </c>
      <c r="B1346" s="252">
        <v>6207292.0</v>
      </c>
      <c r="C1346" s="253" t="s">
        <v>82</v>
      </c>
      <c r="D1346" s="253" t="s">
        <v>94</v>
      </c>
      <c r="E1346" s="252">
        <v>6207292.0</v>
      </c>
      <c r="F1346" s="253" t="s">
        <v>3701</v>
      </c>
      <c r="G1346" s="304">
        <v>45615.0</v>
      </c>
      <c r="H1346" s="311">
        <v>45618.0</v>
      </c>
      <c r="I1346" s="278">
        <v>3.0</v>
      </c>
      <c r="J1346" s="257" t="s">
        <v>114</v>
      </c>
      <c r="K1346" s="253" t="s">
        <v>79</v>
      </c>
      <c r="L1346" s="253" t="s">
        <v>1462</v>
      </c>
      <c r="M1346" s="252">
        <v>2.0</v>
      </c>
      <c r="N1346" s="258">
        <v>0.0</v>
      </c>
      <c r="O1346" s="259">
        <v>133.0</v>
      </c>
      <c r="P1346" s="259">
        <v>131.67</v>
      </c>
      <c r="Q1346" s="262">
        <v>0.0</v>
      </c>
      <c r="R1346" s="260">
        <v>395.01</v>
      </c>
      <c r="S1346" s="260">
        <v>0.0</v>
      </c>
      <c r="T1346" s="260">
        <v>399.0</v>
      </c>
      <c r="U1346" s="261" t="s">
        <v>1463</v>
      </c>
      <c r="V1346" s="279">
        <v>45562.49743055555</v>
      </c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</row>
    <row r="1347">
      <c r="A1347" s="280">
        <v>45562.0</v>
      </c>
      <c r="B1347" s="264">
        <v>6207320.0</v>
      </c>
      <c r="C1347" s="265" t="s">
        <v>82</v>
      </c>
      <c r="D1347" s="265" t="s">
        <v>94</v>
      </c>
      <c r="E1347" s="264">
        <v>6207320.0</v>
      </c>
      <c r="F1347" s="265" t="s">
        <v>3701</v>
      </c>
      <c r="G1347" s="305">
        <v>45618.0</v>
      </c>
      <c r="H1347" s="313">
        <v>45619.0</v>
      </c>
      <c r="I1347" s="282">
        <v>1.0</v>
      </c>
      <c r="J1347" s="283" t="s">
        <v>114</v>
      </c>
      <c r="K1347" s="265" t="s">
        <v>79</v>
      </c>
      <c r="L1347" s="265" t="s">
        <v>1462</v>
      </c>
      <c r="M1347" s="269">
        <v>2.0</v>
      </c>
      <c r="N1347" s="270">
        <v>0.0</v>
      </c>
      <c r="O1347" s="271">
        <v>149.96</v>
      </c>
      <c r="P1347" s="271">
        <v>148.4604</v>
      </c>
      <c r="Q1347" s="272">
        <v>0.0</v>
      </c>
      <c r="R1347" s="273">
        <v>148.4604</v>
      </c>
      <c r="S1347" s="273">
        <v>0.0</v>
      </c>
      <c r="T1347" s="273">
        <v>149.96</v>
      </c>
      <c r="U1347" s="274" t="s">
        <v>1463</v>
      </c>
      <c r="V1347" s="284">
        <v>45562.50221064815</v>
      </c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</row>
    <row r="1348">
      <c r="A1348" s="210">
        <v>45562.0</v>
      </c>
      <c r="B1348" s="166">
        <v>6208522.0</v>
      </c>
      <c r="C1348" s="166" t="s">
        <v>82</v>
      </c>
      <c r="D1348" s="166" t="s">
        <v>35</v>
      </c>
      <c r="E1348" s="166">
        <v>4.833887131E9</v>
      </c>
      <c r="F1348" s="166" t="s">
        <v>3702</v>
      </c>
      <c r="G1348" s="212">
        <v>45619.0</v>
      </c>
      <c r="H1348" s="310">
        <v>45621.0</v>
      </c>
      <c r="I1348" s="168">
        <v>2.0</v>
      </c>
      <c r="J1348" s="169" t="s">
        <v>78</v>
      </c>
      <c r="K1348" s="166" t="s">
        <v>79</v>
      </c>
      <c r="L1348" s="166" t="s">
        <v>2803</v>
      </c>
      <c r="M1348" s="166">
        <v>3.0</v>
      </c>
      <c r="N1348" s="170">
        <v>0.0</v>
      </c>
      <c r="O1348" s="171">
        <v>146.0</v>
      </c>
      <c r="P1348" s="171">
        <v>116.80000000000001</v>
      </c>
      <c r="Q1348" s="172">
        <v>0.0</v>
      </c>
      <c r="R1348" s="173">
        <v>233.60000000000002</v>
      </c>
      <c r="S1348" s="173">
        <v>0.0</v>
      </c>
      <c r="T1348" s="173">
        <v>292.0</v>
      </c>
      <c r="U1348" s="174" t="s">
        <v>2804</v>
      </c>
      <c r="V1348" s="288">
        <v>45562.7333912037</v>
      </c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</row>
    <row r="1349">
      <c r="A1349" s="276">
        <v>45563.0</v>
      </c>
      <c r="B1349" s="252">
        <v>6212711.0</v>
      </c>
      <c r="C1349" s="253" t="s">
        <v>75</v>
      </c>
      <c r="D1349" s="253" t="s">
        <v>35</v>
      </c>
      <c r="E1349" s="252">
        <v>4.874006939E9</v>
      </c>
      <c r="F1349" s="253" t="s">
        <v>3703</v>
      </c>
      <c r="G1349" s="276">
        <v>45566.0</v>
      </c>
      <c r="H1349" s="277">
        <v>45567.0</v>
      </c>
      <c r="I1349" s="278">
        <v>1.0</v>
      </c>
      <c r="J1349" s="257" t="s">
        <v>87</v>
      </c>
      <c r="K1349" s="253" t="s">
        <v>79</v>
      </c>
      <c r="L1349" s="253" t="s">
        <v>2803</v>
      </c>
      <c r="M1349" s="252">
        <v>2.0</v>
      </c>
      <c r="N1349" s="258">
        <v>0.0</v>
      </c>
      <c r="O1349" s="259">
        <v>111.19</v>
      </c>
      <c r="P1349" s="259">
        <v>88.952</v>
      </c>
      <c r="Q1349" s="262">
        <v>0.0</v>
      </c>
      <c r="R1349" s="260">
        <v>88.952</v>
      </c>
      <c r="S1349" s="260">
        <v>0.0</v>
      </c>
      <c r="T1349" s="260">
        <v>111.19</v>
      </c>
      <c r="U1349" s="261" t="s">
        <v>2804</v>
      </c>
      <c r="V1349" s="279">
        <v>45564.016701388886</v>
      </c>
      <c r="W1349" s="188"/>
      <c r="X1349" s="188"/>
      <c r="Y1349" s="188"/>
      <c r="Z1349" s="188"/>
      <c r="AA1349" s="188"/>
      <c r="AB1349" s="188"/>
      <c r="AC1349" s="188"/>
      <c r="AD1349" s="188"/>
      <c r="AE1349" s="188"/>
      <c r="AF1349" s="188"/>
      <c r="AG1349" s="188"/>
      <c r="AH1349" s="188"/>
      <c r="AI1349" s="188"/>
    </row>
    <row r="1350">
      <c r="A1350" s="210">
        <v>45563.0</v>
      </c>
      <c r="B1350" s="166">
        <v>6212453.0</v>
      </c>
      <c r="C1350" s="166" t="s">
        <v>89</v>
      </c>
      <c r="D1350" s="166" t="s">
        <v>35</v>
      </c>
      <c r="E1350" s="166">
        <v>4.544061074E9</v>
      </c>
      <c r="F1350" s="166" t="s">
        <v>3704</v>
      </c>
      <c r="G1350" s="210">
        <v>45567.0</v>
      </c>
      <c r="H1350" s="287">
        <v>45569.0</v>
      </c>
      <c r="I1350" s="168">
        <v>2.0</v>
      </c>
      <c r="J1350" s="169" t="s">
        <v>78</v>
      </c>
      <c r="K1350" s="166" t="s">
        <v>79</v>
      </c>
      <c r="L1350" s="166" t="s">
        <v>2803</v>
      </c>
      <c r="M1350" s="166">
        <v>2.0</v>
      </c>
      <c r="N1350" s="170">
        <v>0.0</v>
      </c>
      <c r="O1350" s="171">
        <v>0.0</v>
      </c>
      <c r="P1350" s="171">
        <v>0.0</v>
      </c>
      <c r="Q1350" s="172">
        <v>0.0</v>
      </c>
      <c r="R1350" s="173">
        <v>0.0</v>
      </c>
      <c r="S1350" s="173">
        <v>0.0</v>
      </c>
      <c r="T1350" s="173">
        <v>0.0</v>
      </c>
      <c r="U1350" s="201" t="s">
        <v>3705</v>
      </c>
      <c r="V1350" s="288">
        <v>45565.016701388886</v>
      </c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</row>
    <row r="1351">
      <c r="A1351" s="280">
        <v>45563.0</v>
      </c>
      <c r="B1351" s="264">
        <v>6210546.0</v>
      </c>
      <c r="C1351" s="265" t="s">
        <v>75</v>
      </c>
      <c r="D1351" s="265" t="s">
        <v>35</v>
      </c>
      <c r="E1351" s="264">
        <v>4.589157901E9</v>
      </c>
      <c r="F1351" s="265" t="s">
        <v>3674</v>
      </c>
      <c r="G1351" s="280">
        <v>45573.0</v>
      </c>
      <c r="H1351" s="281">
        <v>45574.0</v>
      </c>
      <c r="I1351" s="282">
        <v>1.0</v>
      </c>
      <c r="J1351" s="283" t="s">
        <v>78</v>
      </c>
      <c r="K1351" s="265" t="s">
        <v>79</v>
      </c>
      <c r="L1351" s="265" t="s">
        <v>3425</v>
      </c>
      <c r="M1351" s="269">
        <v>2.0</v>
      </c>
      <c r="N1351" s="270">
        <v>0.0</v>
      </c>
      <c r="O1351" s="271">
        <v>167.32</v>
      </c>
      <c r="P1351" s="271">
        <v>133.856</v>
      </c>
      <c r="Q1351" s="272">
        <v>0.0</v>
      </c>
      <c r="R1351" s="273">
        <v>133.856</v>
      </c>
      <c r="S1351" s="273">
        <v>0.0</v>
      </c>
      <c r="T1351" s="273">
        <v>167.32</v>
      </c>
      <c r="U1351" s="274" t="s">
        <v>3426</v>
      </c>
      <c r="V1351" s="284">
        <v>45569.017430555556</v>
      </c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</row>
    <row r="1352">
      <c r="A1352" s="289">
        <v>45563.0</v>
      </c>
      <c r="B1352" s="290">
        <v>6212366.0</v>
      </c>
      <c r="C1352" s="291" t="s">
        <v>82</v>
      </c>
      <c r="D1352" s="291" t="s">
        <v>94</v>
      </c>
      <c r="E1352" s="290">
        <v>7.86116322E8</v>
      </c>
      <c r="F1352" s="291" t="s">
        <v>3707</v>
      </c>
      <c r="G1352" s="289">
        <v>45603.0</v>
      </c>
      <c r="H1352" s="360">
        <v>45606.0</v>
      </c>
      <c r="I1352" s="293">
        <v>3.0</v>
      </c>
      <c r="J1352" s="294" t="s">
        <v>91</v>
      </c>
      <c r="K1352" s="291" t="s">
        <v>79</v>
      </c>
      <c r="L1352" s="291" t="s">
        <v>3378</v>
      </c>
      <c r="M1352" s="290">
        <v>4.0</v>
      </c>
      <c r="N1352" s="295">
        <v>0.0</v>
      </c>
      <c r="O1352" s="296">
        <v>353.85999999999996</v>
      </c>
      <c r="P1352" s="296">
        <v>350.3213999999999</v>
      </c>
      <c r="Q1352" s="294">
        <v>0.0</v>
      </c>
      <c r="R1352" s="297">
        <v>1050.9642</v>
      </c>
      <c r="S1352" s="297">
        <v>0.0</v>
      </c>
      <c r="T1352" s="297">
        <v>1061.58</v>
      </c>
      <c r="U1352" s="298" t="s">
        <v>3379</v>
      </c>
      <c r="V1352" s="299">
        <v>45563.83341435185</v>
      </c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</row>
    <row r="1353">
      <c r="A1353" s="210">
        <v>45563.0</v>
      </c>
      <c r="B1353" s="166">
        <v>6210941.0</v>
      </c>
      <c r="C1353" s="166" t="s">
        <v>82</v>
      </c>
      <c r="D1353" s="166" t="s">
        <v>35</v>
      </c>
      <c r="E1353" s="166">
        <v>4.98685783E9</v>
      </c>
      <c r="F1353" s="166" t="s">
        <v>3709</v>
      </c>
      <c r="G1353" s="212">
        <v>45617.0</v>
      </c>
      <c r="H1353" s="310">
        <v>45618.0</v>
      </c>
      <c r="I1353" s="168">
        <v>1.0</v>
      </c>
      <c r="J1353" s="169" t="s">
        <v>87</v>
      </c>
      <c r="K1353" s="166" t="s">
        <v>79</v>
      </c>
      <c r="L1353" s="166" t="s">
        <v>2803</v>
      </c>
      <c r="M1353" s="166">
        <v>2.0</v>
      </c>
      <c r="N1353" s="169">
        <v>0.0</v>
      </c>
      <c r="O1353" s="171">
        <v>127.55</v>
      </c>
      <c r="P1353" s="171">
        <v>102.04</v>
      </c>
      <c r="Q1353" s="169">
        <v>0.0</v>
      </c>
      <c r="R1353" s="173">
        <v>102.04</v>
      </c>
      <c r="S1353" s="173">
        <v>0.0</v>
      </c>
      <c r="T1353" s="173">
        <v>127.55</v>
      </c>
      <c r="U1353" s="201" t="s">
        <v>2804</v>
      </c>
      <c r="V1353" s="288">
        <v>45563.53130787037</v>
      </c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</row>
    <row r="1354">
      <c r="A1354" s="210">
        <v>45564.0</v>
      </c>
      <c r="B1354" s="166">
        <v>6214176.0</v>
      </c>
      <c r="C1354" s="166" t="s">
        <v>82</v>
      </c>
      <c r="D1354" s="166" t="s">
        <v>94</v>
      </c>
      <c r="E1354" s="166">
        <v>6214176.0</v>
      </c>
      <c r="F1354" s="166" t="s">
        <v>3710</v>
      </c>
      <c r="G1354" s="210">
        <v>45564.0</v>
      </c>
      <c r="H1354" s="287">
        <v>45565.0</v>
      </c>
      <c r="I1354" s="168">
        <v>1.0</v>
      </c>
      <c r="J1354" s="169" t="s">
        <v>91</v>
      </c>
      <c r="K1354" s="166" t="s">
        <v>79</v>
      </c>
      <c r="L1354" s="166" t="s">
        <v>1462</v>
      </c>
      <c r="M1354" s="166">
        <v>2.0</v>
      </c>
      <c r="N1354" s="169">
        <v>0.0</v>
      </c>
      <c r="O1354" s="171">
        <v>294.6</v>
      </c>
      <c r="P1354" s="171">
        <v>291.654</v>
      </c>
      <c r="Q1354" s="169">
        <v>0.0</v>
      </c>
      <c r="R1354" s="173">
        <v>291.654</v>
      </c>
      <c r="S1354" s="173">
        <v>0.0</v>
      </c>
      <c r="T1354" s="173">
        <v>294.6</v>
      </c>
      <c r="U1354" s="174" t="s">
        <v>1463</v>
      </c>
      <c r="V1354" s="288">
        <v>45564.534039351856</v>
      </c>
      <c r="W1354" s="36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</row>
    <row r="1355">
      <c r="A1355" s="210">
        <v>45564.0</v>
      </c>
      <c r="B1355" s="166">
        <v>6213069.0</v>
      </c>
      <c r="C1355" s="166" t="s">
        <v>82</v>
      </c>
      <c r="D1355" s="166" t="s">
        <v>35</v>
      </c>
      <c r="E1355" s="166">
        <v>4.989821076E9</v>
      </c>
      <c r="F1355" s="166" t="s">
        <v>3713</v>
      </c>
      <c r="G1355" s="210">
        <v>45564.0</v>
      </c>
      <c r="H1355" s="287">
        <v>45566.0</v>
      </c>
      <c r="I1355" s="168">
        <v>2.0</v>
      </c>
      <c r="J1355" s="169" t="s">
        <v>114</v>
      </c>
      <c r="K1355" s="166" t="s">
        <v>79</v>
      </c>
      <c r="L1355" s="166" t="s">
        <v>2803</v>
      </c>
      <c r="M1355" s="166">
        <v>2.0</v>
      </c>
      <c r="N1355" s="170">
        <v>0.0</v>
      </c>
      <c r="O1355" s="171">
        <v>157.19</v>
      </c>
      <c r="P1355" s="171">
        <v>125.75200000000001</v>
      </c>
      <c r="Q1355" s="172">
        <v>0.0</v>
      </c>
      <c r="R1355" s="173">
        <v>251.50400000000002</v>
      </c>
      <c r="S1355" s="173">
        <v>0.0</v>
      </c>
      <c r="T1355" s="173">
        <v>314.38</v>
      </c>
      <c r="U1355" s="201" t="s">
        <v>2804</v>
      </c>
      <c r="V1355" s="288">
        <v>45564.13753472222</v>
      </c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</row>
    <row r="1356">
      <c r="A1356" s="289">
        <v>45565.0</v>
      </c>
      <c r="B1356" s="290">
        <v>6217039.0</v>
      </c>
      <c r="C1356" s="291" t="s">
        <v>75</v>
      </c>
      <c r="D1356" s="291" t="s">
        <v>94</v>
      </c>
      <c r="E1356" s="290">
        <v>6217039.0</v>
      </c>
      <c r="F1356" s="291" t="s">
        <v>3715</v>
      </c>
      <c r="G1356" s="289">
        <v>45565.0</v>
      </c>
      <c r="H1356" s="292">
        <v>45566.0</v>
      </c>
      <c r="I1356" s="293">
        <v>1.0</v>
      </c>
      <c r="J1356" s="294" t="s">
        <v>111</v>
      </c>
      <c r="K1356" s="291" t="s">
        <v>79</v>
      </c>
      <c r="L1356" s="291" t="s">
        <v>1462</v>
      </c>
      <c r="M1356" s="290">
        <v>2.0</v>
      </c>
      <c r="N1356" s="295">
        <v>0.0</v>
      </c>
      <c r="O1356" s="296">
        <v>133.0</v>
      </c>
      <c r="P1356" s="296">
        <v>131.67</v>
      </c>
      <c r="Q1356" s="301">
        <v>0.0</v>
      </c>
      <c r="R1356" s="297">
        <v>131.67</v>
      </c>
      <c r="S1356" s="297">
        <v>0.0</v>
      </c>
      <c r="T1356" s="297">
        <v>750.0</v>
      </c>
      <c r="U1356" s="298" t="s">
        <v>1463</v>
      </c>
      <c r="V1356" s="299">
        <v>45565.498252314814</v>
      </c>
      <c r="W1356" s="35"/>
      <c r="X1356" s="35"/>
      <c r="Y1356" s="35"/>
      <c r="Z1356" s="35"/>
      <c r="AA1356" s="35"/>
      <c r="AB1356" s="35"/>
      <c r="AC1356" s="35"/>
      <c r="AD1356" s="35"/>
      <c r="AE1356" s="35"/>
      <c r="AF1356" s="35"/>
      <c r="AG1356" s="35"/>
      <c r="AH1356" s="35"/>
      <c r="AI1356" s="35"/>
    </row>
    <row r="1357">
      <c r="A1357" s="210">
        <v>45565.0</v>
      </c>
      <c r="B1357" s="166">
        <v>6217039.0</v>
      </c>
      <c r="C1357" s="166" t="s">
        <v>75</v>
      </c>
      <c r="D1357" s="166" t="s">
        <v>94</v>
      </c>
      <c r="E1357" s="166">
        <v>6217039.0</v>
      </c>
      <c r="F1357" s="166" t="s">
        <v>3715</v>
      </c>
      <c r="G1357" s="210">
        <v>45565.0</v>
      </c>
      <c r="H1357" s="287">
        <v>45566.0</v>
      </c>
      <c r="I1357" s="168">
        <v>1.0</v>
      </c>
      <c r="J1357" s="169" t="s">
        <v>111</v>
      </c>
      <c r="K1357" s="166" t="s">
        <v>79</v>
      </c>
      <c r="L1357" s="166" t="s">
        <v>1462</v>
      </c>
      <c r="M1357" s="166">
        <v>2.0</v>
      </c>
      <c r="N1357" s="170">
        <v>0.0</v>
      </c>
      <c r="O1357" s="171">
        <v>149.96</v>
      </c>
      <c r="P1357" s="171">
        <v>148.4604</v>
      </c>
      <c r="Q1357" s="172">
        <v>0.0</v>
      </c>
      <c r="R1357" s="173">
        <v>148.4604</v>
      </c>
      <c r="S1357" s="173">
        <v>0.0</v>
      </c>
      <c r="T1357" s="173">
        <v>750.0</v>
      </c>
      <c r="U1357" s="201" t="s">
        <v>1463</v>
      </c>
      <c r="V1357" s="288">
        <v>45565.498252314814</v>
      </c>
      <c r="W1357" s="35"/>
      <c r="X1357" s="35"/>
      <c r="Y1357" s="35"/>
      <c r="Z1357" s="35"/>
      <c r="AA1357" s="35"/>
      <c r="AB1357" s="35"/>
      <c r="AC1357" s="35"/>
      <c r="AD1357" s="35"/>
      <c r="AE1357" s="35"/>
      <c r="AF1357" s="35"/>
      <c r="AG1357" s="35"/>
      <c r="AH1357" s="35"/>
      <c r="AI1357" s="35"/>
    </row>
    <row r="1358">
      <c r="A1358" s="280">
        <v>45565.0</v>
      </c>
      <c r="B1358" s="264">
        <v>6217039.0</v>
      </c>
      <c r="C1358" s="265" t="s">
        <v>75</v>
      </c>
      <c r="D1358" s="265" t="s">
        <v>94</v>
      </c>
      <c r="E1358" s="264">
        <v>6217039.0</v>
      </c>
      <c r="F1358" s="265" t="s">
        <v>3715</v>
      </c>
      <c r="G1358" s="280">
        <v>45565.0</v>
      </c>
      <c r="H1358" s="281">
        <v>45566.0</v>
      </c>
      <c r="I1358" s="282">
        <v>1.0</v>
      </c>
      <c r="J1358" s="283" t="s">
        <v>91</v>
      </c>
      <c r="K1358" s="265" t="s">
        <v>79</v>
      </c>
      <c r="L1358" s="265" t="s">
        <v>1462</v>
      </c>
      <c r="M1358" s="269">
        <v>2.0</v>
      </c>
      <c r="N1358" s="270">
        <v>0.0</v>
      </c>
      <c r="O1358" s="271">
        <v>294.6</v>
      </c>
      <c r="P1358" s="271">
        <v>291.654</v>
      </c>
      <c r="Q1358" s="272">
        <v>0.0</v>
      </c>
      <c r="R1358" s="273">
        <v>291.654</v>
      </c>
      <c r="S1358" s="273">
        <v>0.0</v>
      </c>
      <c r="T1358" s="273">
        <v>750.0</v>
      </c>
      <c r="U1358" s="274" t="s">
        <v>1463</v>
      </c>
      <c r="V1358" s="284">
        <v>45565.498252314814</v>
      </c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</row>
    <row r="1359">
      <c r="A1359" s="210">
        <v>45565.0</v>
      </c>
      <c r="B1359" s="166">
        <v>6217039.0</v>
      </c>
      <c r="C1359" s="166" t="s">
        <v>75</v>
      </c>
      <c r="D1359" s="166" t="s">
        <v>94</v>
      </c>
      <c r="E1359" s="166">
        <v>6217039.0</v>
      </c>
      <c r="F1359" s="166" t="s">
        <v>3715</v>
      </c>
      <c r="G1359" s="210">
        <v>45565.0</v>
      </c>
      <c r="H1359" s="287">
        <v>45566.0</v>
      </c>
      <c r="I1359" s="168">
        <v>1.0</v>
      </c>
      <c r="J1359" s="169" t="s">
        <v>78</v>
      </c>
      <c r="K1359" s="166" t="s">
        <v>79</v>
      </c>
      <c r="L1359" s="166" t="s">
        <v>1462</v>
      </c>
      <c r="M1359" s="205">
        <v>2.0</v>
      </c>
      <c r="N1359" s="170">
        <v>0.0</v>
      </c>
      <c r="O1359" s="171">
        <v>120.2</v>
      </c>
      <c r="P1359" s="171">
        <v>118.998</v>
      </c>
      <c r="Q1359" s="172">
        <v>0.0</v>
      </c>
      <c r="R1359" s="173">
        <v>118.998</v>
      </c>
      <c r="S1359" s="173">
        <v>0.0</v>
      </c>
      <c r="T1359" s="173">
        <v>750.0</v>
      </c>
      <c r="U1359" s="201" t="s">
        <v>1463</v>
      </c>
      <c r="V1359" s="288">
        <v>45565.498252314814</v>
      </c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</row>
    <row r="1360">
      <c r="A1360" s="276">
        <v>45565.0</v>
      </c>
      <c r="B1360" s="252">
        <v>6219871.0</v>
      </c>
      <c r="C1360" s="253" t="s">
        <v>82</v>
      </c>
      <c r="D1360" s="253" t="s">
        <v>35</v>
      </c>
      <c r="E1360" s="252">
        <v>4.605134713E9</v>
      </c>
      <c r="F1360" s="253" t="s">
        <v>3721</v>
      </c>
      <c r="G1360" s="304">
        <v>45588.0</v>
      </c>
      <c r="H1360" s="311">
        <v>45590.0</v>
      </c>
      <c r="I1360" s="278">
        <v>2.0</v>
      </c>
      <c r="J1360" s="257" t="s">
        <v>78</v>
      </c>
      <c r="K1360" s="253" t="s">
        <v>79</v>
      </c>
      <c r="L1360" s="253" t="s">
        <v>3364</v>
      </c>
      <c r="M1360" s="252">
        <v>2.0</v>
      </c>
      <c r="N1360" s="258">
        <v>0.0</v>
      </c>
      <c r="O1360" s="259">
        <v>174.07</v>
      </c>
      <c r="P1360" s="259">
        <v>139.256</v>
      </c>
      <c r="Q1360" s="262">
        <v>0.0</v>
      </c>
      <c r="R1360" s="260">
        <v>278.512</v>
      </c>
      <c r="S1360" s="260">
        <v>0.0</v>
      </c>
      <c r="T1360" s="260">
        <v>348.14</v>
      </c>
      <c r="U1360" s="261" t="s">
        <v>3365</v>
      </c>
      <c r="V1360" s="279">
        <v>45565.93476851852</v>
      </c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</row>
    <row r="1361">
      <c r="A1361" s="210">
        <v>45565.0</v>
      </c>
      <c r="B1361" s="166">
        <v>6219801.0</v>
      </c>
      <c r="C1361" s="166" t="s">
        <v>82</v>
      </c>
      <c r="D1361" s="166" t="s">
        <v>94</v>
      </c>
      <c r="E1361" s="166">
        <v>6219801.0</v>
      </c>
      <c r="F1361" s="166" t="s">
        <v>3722</v>
      </c>
      <c r="G1361" s="212">
        <v>45608.0</v>
      </c>
      <c r="H1361" s="310">
        <v>45611.0</v>
      </c>
      <c r="I1361" s="168">
        <v>3.0</v>
      </c>
      <c r="J1361" s="169" t="s">
        <v>78</v>
      </c>
      <c r="K1361" s="166" t="s">
        <v>79</v>
      </c>
      <c r="L1361" s="166" t="s">
        <v>1811</v>
      </c>
      <c r="M1361" s="166">
        <v>2.0</v>
      </c>
      <c r="N1361" s="170">
        <v>0.0</v>
      </c>
      <c r="O1361" s="171">
        <v>120.2</v>
      </c>
      <c r="P1361" s="171">
        <v>118.998</v>
      </c>
      <c r="Q1361" s="172">
        <v>0.0</v>
      </c>
      <c r="R1361" s="173">
        <v>356.994</v>
      </c>
      <c r="S1361" s="173">
        <v>0.0</v>
      </c>
      <c r="T1361" s="173">
        <v>360.6</v>
      </c>
      <c r="U1361" s="174" t="s">
        <v>1812</v>
      </c>
      <c r="V1361" s="288">
        <v>45565.91917824074</v>
      </c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</row>
    <row r="1362">
      <c r="A1362" s="276">
        <v>45565.0</v>
      </c>
      <c r="B1362" s="252">
        <v>6219996.0</v>
      </c>
      <c r="C1362" s="253" t="s">
        <v>82</v>
      </c>
      <c r="D1362" s="253" t="s">
        <v>94</v>
      </c>
      <c r="E1362" s="252">
        <v>6219996.0</v>
      </c>
      <c r="F1362" s="253" t="s">
        <v>3724</v>
      </c>
      <c r="G1362" s="304">
        <v>45619.0</v>
      </c>
      <c r="H1362" s="311">
        <v>45623.0</v>
      </c>
      <c r="I1362" s="278">
        <v>4.0</v>
      </c>
      <c r="J1362" s="257" t="s">
        <v>78</v>
      </c>
      <c r="K1362" s="253" t="s">
        <v>79</v>
      </c>
      <c r="L1362" s="253" t="s">
        <v>1601</v>
      </c>
      <c r="M1362" s="252">
        <v>2.0</v>
      </c>
      <c r="N1362" s="258">
        <v>0.0</v>
      </c>
      <c r="O1362" s="259">
        <v>120.2</v>
      </c>
      <c r="P1362" s="259">
        <v>118.998</v>
      </c>
      <c r="Q1362" s="262">
        <v>0.0</v>
      </c>
      <c r="R1362" s="260">
        <v>475.992</v>
      </c>
      <c r="S1362" s="260">
        <v>0.0</v>
      </c>
      <c r="T1362" s="260">
        <v>480.8</v>
      </c>
      <c r="U1362" s="261" t="s">
        <v>1602</v>
      </c>
      <c r="V1362" s="279">
        <v>45565.976018518515</v>
      </c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</row>
    <row r="1363">
      <c r="A1363" s="280">
        <v>45566.0</v>
      </c>
      <c r="B1363" s="264">
        <v>6222129.0</v>
      </c>
      <c r="C1363" s="265" t="s">
        <v>82</v>
      </c>
      <c r="D1363" s="265" t="s">
        <v>35</v>
      </c>
      <c r="E1363" s="264">
        <v>4.764404244E9</v>
      </c>
      <c r="F1363" s="265" t="s">
        <v>3725</v>
      </c>
      <c r="G1363" s="280">
        <v>45570.0</v>
      </c>
      <c r="H1363" s="281">
        <v>45571.0</v>
      </c>
      <c r="I1363" s="282">
        <v>1.0</v>
      </c>
      <c r="J1363" s="283" t="s">
        <v>78</v>
      </c>
      <c r="K1363" s="265" t="s">
        <v>79</v>
      </c>
      <c r="L1363" s="265" t="s">
        <v>2803</v>
      </c>
      <c r="M1363" s="269">
        <v>2.0</v>
      </c>
      <c r="N1363" s="270">
        <v>0.0</v>
      </c>
      <c r="O1363" s="271">
        <v>132.31</v>
      </c>
      <c r="P1363" s="271">
        <v>105.84800000000001</v>
      </c>
      <c r="Q1363" s="272">
        <v>0.0</v>
      </c>
      <c r="R1363" s="273">
        <v>105.84800000000001</v>
      </c>
      <c r="S1363" s="273">
        <v>0.0</v>
      </c>
      <c r="T1363" s="273">
        <v>132.31</v>
      </c>
      <c r="U1363" s="274" t="s">
        <v>2804</v>
      </c>
      <c r="V1363" s="284">
        <v>45566.62229166667</v>
      </c>
      <c r="W1363" s="188"/>
      <c r="X1363" s="188"/>
      <c r="Y1363" s="188"/>
      <c r="Z1363" s="188"/>
      <c r="AA1363" s="188"/>
      <c r="AB1363" s="188"/>
      <c r="AC1363" s="188"/>
      <c r="AD1363" s="188"/>
      <c r="AE1363" s="188"/>
      <c r="AF1363" s="188"/>
      <c r="AG1363" s="188"/>
      <c r="AH1363" s="188"/>
      <c r="AI1363" s="188"/>
    </row>
    <row r="1364">
      <c r="A1364" s="276">
        <v>45566.0</v>
      </c>
      <c r="B1364" s="252">
        <v>6222809.0</v>
      </c>
      <c r="C1364" s="253" t="s">
        <v>82</v>
      </c>
      <c r="D1364" s="253" t="s">
        <v>12</v>
      </c>
      <c r="E1364" s="252" t="s">
        <v>3726</v>
      </c>
      <c r="F1364" s="253" t="s">
        <v>3727</v>
      </c>
      <c r="G1364" s="304">
        <v>45620.0</v>
      </c>
      <c r="H1364" s="311">
        <v>45624.0</v>
      </c>
      <c r="I1364" s="278">
        <v>4.0</v>
      </c>
      <c r="J1364" s="257" t="s">
        <v>78</v>
      </c>
      <c r="K1364" s="253" t="s">
        <v>79</v>
      </c>
      <c r="L1364" s="253" t="s">
        <v>123</v>
      </c>
      <c r="M1364" s="252">
        <v>2.0</v>
      </c>
      <c r="N1364" s="258">
        <v>0.0</v>
      </c>
      <c r="O1364" s="259">
        <v>200.23</v>
      </c>
      <c r="P1364" s="259">
        <v>160.184</v>
      </c>
      <c r="Q1364" s="262">
        <v>0.0</v>
      </c>
      <c r="R1364" s="260">
        <v>640.736</v>
      </c>
      <c r="S1364" s="260">
        <v>0.0</v>
      </c>
      <c r="T1364" s="260">
        <v>800.92</v>
      </c>
      <c r="U1364" s="261" t="s">
        <v>2416</v>
      </c>
      <c r="V1364" s="279">
        <v>45566.74587962963</v>
      </c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</row>
    <row r="1365">
      <c r="A1365" s="210">
        <v>45566.0</v>
      </c>
      <c r="B1365" s="166">
        <v>6222900.0</v>
      </c>
      <c r="C1365" s="166" t="s">
        <v>82</v>
      </c>
      <c r="D1365" s="166" t="s">
        <v>94</v>
      </c>
      <c r="E1365" s="166">
        <v>6222900.0</v>
      </c>
      <c r="F1365" s="166" t="s">
        <v>3729</v>
      </c>
      <c r="G1365" s="210">
        <v>45633.0</v>
      </c>
      <c r="H1365" s="287">
        <v>45634.0</v>
      </c>
      <c r="I1365" s="168">
        <v>1.0</v>
      </c>
      <c r="J1365" s="169" t="s">
        <v>78</v>
      </c>
      <c r="K1365" s="166" t="s">
        <v>79</v>
      </c>
      <c r="L1365" s="166" t="s">
        <v>1580</v>
      </c>
      <c r="M1365" s="166">
        <v>2.0</v>
      </c>
      <c r="N1365" s="170">
        <v>0.0</v>
      </c>
      <c r="O1365" s="171">
        <v>120.2</v>
      </c>
      <c r="P1365" s="171">
        <v>118.998</v>
      </c>
      <c r="Q1365" s="172">
        <v>0.0</v>
      </c>
      <c r="R1365" s="173">
        <v>118.998</v>
      </c>
      <c r="S1365" s="173">
        <v>0.0</v>
      </c>
      <c r="T1365" s="173">
        <v>120.2</v>
      </c>
      <c r="U1365" s="201" t="s">
        <v>1581</v>
      </c>
      <c r="V1365" s="288">
        <v>45566.76320601851</v>
      </c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</row>
    <row r="1366">
      <c r="A1366" s="210">
        <v>45567.0</v>
      </c>
      <c r="B1366" s="166">
        <v>6224493.0</v>
      </c>
      <c r="C1366" s="166" t="s">
        <v>89</v>
      </c>
      <c r="D1366" s="166" t="s">
        <v>35</v>
      </c>
      <c r="E1366" s="166">
        <v>4.437536757E9</v>
      </c>
      <c r="F1366" s="166" t="s">
        <v>3730</v>
      </c>
      <c r="G1366" s="210">
        <v>45567.0</v>
      </c>
      <c r="H1366" s="287">
        <v>45568.0</v>
      </c>
      <c r="I1366" s="168">
        <v>1.0</v>
      </c>
      <c r="J1366" s="169" t="s">
        <v>78</v>
      </c>
      <c r="K1366" s="166" t="s">
        <v>79</v>
      </c>
      <c r="L1366" s="166" t="s">
        <v>3364</v>
      </c>
      <c r="M1366" s="205">
        <v>1.0</v>
      </c>
      <c r="N1366" s="170">
        <v>0.0</v>
      </c>
      <c r="O1366" s="171">
        <v>0.0</v>
      </c>
      <c r="P1366" s="171">
        <v>0.0</v>
      </c>
      <c r="Q1366" s="172">
        <v>0.0</v>
      </c>
      <c r="R1366" s="173">
        <v>0.0</v>
      </c>
      <c r="S1366" s="173">
        <v>0.0</v>
      </c>
      <c r="T1366" s="173">
        <v>0.0</v>
      </c>
      <c r="U1366" s="174" t="s">
        <v>3731</v>
      </c>
      <c r="V1366" s="288">
        <v>45567.30145833333</v>
      </c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</row>
    <row r="1367">
      <c r="A1367" s="210">
        <v>45567.0</v>
      </c>
      <c r="B1367" s="166">
        <v>6227121.0</v>
      </c>
      <c r="C1367" s="166" t="s">
        <v>82</v>
      </c>
      <c r="D1367" s="166" t="s">
        <v>94</v>
      </c>
      <c r="E1367" s="166">
        <v>6227121.0</v>
      </c>
      <c r="F1367" s="166" t="s">
        <v>3730</v>
      </c>
      <c r="G1367" s="210">
        <v>45567.0</v>
      </c>
      <c r="H1367" s="287">
        <v>45568.0</v>
      </c>
      <c r="I1367" s="168">
        <v>1.0</v>
      </c>
      <c r="J1367" s="169" t="s">
        <v>78</v>
      </c>
      <c r="K1367" s="166" t="s">
        <v>79</v>
      </c>
      <c r="L1367" s="166" t="s">
        <v>1462</v>
      </c>
      <c r="M1367" s="166">
        <v>2.0</v>
      </c>
      <c r="N1367" s="170">
        <v>0.0</v>
      </c>
      <c r="O1367" s="171">
        <v>120.2</v>
      </c>
      <c r="P1367" s="171">
        <v>118.998</v>
      </c>
      <c r="Q1367" s="172">
        <v>0.0</v>
      </c>
      <c r="R1367" s="173">
        <v>118.998</v>
      </c>
      <c r="S1367" s="173">
        <v>0.0</v>
      </c>
      <c r="T1367" s="173">
        <v>120.2</v>
      </c>
      <c r="U1367" s="201" t="s">
        <v>1463</v>
      </c>
      <c r="V1367" s="288">
        <v>45567.81027777778</v>
      </c>
      <c r="W1367" s="35"/>
      <c r="X1367" s="35"/>
      <c r="Y1367" s="35"/>
      <c r="Z1367" s="35"/>
      <c r="AA1367" s="35"/>
      <c r="AB1367" s="35"/>
      <c r="AC1367" s="35"/>
      <c r="AD1367" s="35"/>
      <c r="AE1367" s="35"/>
      <c r="AF1367" s="35"/>
      <c r="AG1367" s="35"/>
      <c r="AH1367" s="35"/>
      <c r="AI1367" s="35"/>
    </row>
    <row r="1368">
      <c r="A1368" s="280">
        <v>45567.0</v>
      </c>
      <c r="B1368" s="264">
        <v>6227163.0</v>
      </c>
      <c r="C1368" s="265" t="s">
        <v>82</v>
      </c>
      <c r="D1368" s="265" t="s">
        <v>94</v>
      </c>
      <c r="E1368" s="264">
        <v>6227163.0</v>
      </c>
      <c r="F1368" s="265" t="s">
        <v>3704</v>
      </c>
      <c r="G1368" s="280">
        <v>45567.0</v>
      </c>
      <c r="H1368" s="281">
        <v>45569.0</v>
      </c>
      <c r="I1368" s="282">
        <v>2.0</v>
      </c>
      <c r="J1368" s="283" t="s">
        <v>78</v>
      </c>
      <c r="K1368" s="265" t="s">
        <v>79</v>
      </c>
      <c r="L1368" s="265" t="s">
        <v>1462</v>
      </c>
      <c r="M1368" s="264">
        <v>2.0</v>
      </c>
      <c r="N1368" s="270">
        <v>0.0</v>
      </c>
      <c r="O1368" s="271">
        <v>120.2</v>
      </c>
      <c r="P1368" s="271">
        <v>118.998</v>
      </c>
      <c r="Q1368" s="272">
        <v>0.0</v>
      </c>
      <c r="R1368" s="273">
        <v>237.996</v>
      </c>
      <c r="S1368" s="273">
        <v>0.0</v>
      </c>
      <c r="T1368" s="273">
        <v>240.4</v>
      </c>
      <c r="U1368" s="274" t="s">
        <v>1463</v>
      </c>
      <c r="V1368" s="286">
        <v>45567.8185300926</v>
      </c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</row>
    <row r="1369">
      <c r="A1369" s="276">
        <v>45567.0</v>
      </c>
      <c r="B1369" s="252">
        <v>6227137.0</v>
      </c>
      <c r="C1369" s="253" t="s">
        <v>82</v>
      </c>
      <c r="D1369" s="253" t="s">
        <v>94</v>
      </c>
      <c r="E1369" s="252">
        <v>6227137.0</v>
      </c>
      <c r="F1369" s="253" t="s">
        <v>3649</v>
      </c>
      <c r="G1369" s="276">
        <v>45567.0</v>
      </c>
      <c r="H1369" s="277">
        <v>45568.0</v>
      </c>
      <c r="I1369" s="278">
        <v>1.0</v>
      </c>
      <c r="J1369" s="257" t="s">
        <v>114</v>
      </c>
      <c r="K1369" s="253" t="s">
        <v>79</v>
      </c>
      <c r="L1369" s="253" t="s">
        <v>1462</v>
      </c>
      <c r="M1369" s="252">
        <v>2.0</v>
      </c>
      <c r="N1369" s="258">
        <v>0.0</v>
      </c>
      <c r="O1369" s="259">
        <v>149.96</v>
      </c>
      <c r="P1369" s="259">
        <v>148.4604</v>
      </c>
      <c r="Q1369" s="262">
        <v>0.0</v>
      </c>
      <c r="R1369" s="260">
        <v>148.4604</v>
      </c>
      <c r="S1369" s="260">
        <v>0.0</v>
      </c>
      <c r="T1369" s="260">
        <v>149.96</v>
      </c>
      <c r="U1369" s="261" t="s">
        <v>1463</v>
      </c>
      <c r="V1369" s="279">
        <v>45567.81173611111</v>
      </c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</row>
    <row r="1370">
      <c r="A1370" s="276">
        <v>45567.0</v>
      </c>
      <c r="B1370" s="252">
        <v>6227658.0</v>
      </c>
      <c r="C1370" s="253" t="s">
        <v>82</v>
      </c>
      <c r="D1370" s="253" t="s">
        <v>94</v>
      </c>
      <c r="E1370" s="252">
        <v>6227658.0</v>
      </c>
      <c r="F1370" s="253" t="s">
        <v>3693</v>
      </c>
      <c r="G1370" s="276">
        <v>45567.0</v>
      </c>
      <c r="H1370" s="277">
        <v>45568.0</v>
      </c>
      <c r="I1370" s="278">
        <v>1.0</v>
      </c>
      <c r="J1370" s="257" t="s">
        <v>87</v>
      </c>
      <c r="K1370" s="253" t="s">
        <v>79</v>
      </c>
      <c r="L1370" s="253" t="s">
        <v>1462</v>
      </c>
      <c r="M1370" s="252">
        <v>2.0</v>
      </c>
      <c r="N1370" s="258">
        <v>0.0</v>
      </c>
      <c r="O1370" s="259">
        <v>103.24</v>
      </c>
      <c r="P1370" s="259">
        <v>102.2076</v>
      </c>
      <c r="Q1370" s="257">
        <v>0.0</v>
      </c>
      <c r="R1370" s="260">
        <v>102.2076</v>
      </c>
      <c r="S1370" s="260">
        <v>0.0</v>
      </c>
      <c r="T1370" s="260">
        <v>103.24</v>
      </c>
      <c r="U1370" s="261" t="s">
        <v>1463</v>
      </c>
      <c r="V1370" s="279">
        <v>45567.92034722222</v>
      </c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</row>
    <row r="1371">
      <c r="A1371" s="210">
        <v>45567.0</v>
      </c>
      <c r="B1371" s="166">
        <v>6227705.0</v>
      </c>
      <c r="C1371" s="166" t="s">
        <v>82</v>
      </c>
      <c r="D1371" s="166" t="s">
        <v>94</v>
      </c>
      <c r="E1371" s="166">
        <v>6227705.0</v>
      </c>
      <c r="F1371" s="166" t="s">
        <v>3732</v>
      </c>
      <c r="G1371" s="210">
        <v>45568.0</v>
      </c>
      <c r="H1371" s="287">
        <v>45569.0</v>
      </c>
      <c r="I1371" s="168">
        <v>1.0</v>
      </c>
      <c r="J1371" s="169" t="s">
        <v>78</v>
      </c>
      <c r="K1371" s="166" t="s">
        <v>79</v>
      </c>
      <c r="L1371" s="166" t="s">
        <v>1462</v>
      </c>
      <c r="M1371" s="166">
        <v>2.0</v>
      </c>
      <c r="N1371" s="170">
        <v>0.0</v>
      </c>
      <c r="O1371" s="171">
        <v>120.2</v>
      </c>
      <c r="P1371" s="171">
        <v>118.998</v>
      </c>
      <c r="Q1371" s="172">
        <v>0.0</v>
      </c>
      <c r="R1371" s="173">
        <v>118.998</v>
      </c>
      <c r="S1371" s="173">
        <v>0.0</v>
      </c>
      <c r="T1371" s="173">
        <v>120.2</v>
      </c>
      <c r="U1371" s="201" t="s">
        <v>1463</v>
      </c>
      <c r="V1371" s="288">
        <v>45567.93116898148</v>
      </c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</row>
    <row r="1372">
      <c r="A1372" s="276">
        <v>45567.0</v>
      </c>
      <c r="B1372" s="252">
        <v>6227481.0</v>
      </c>
      <c r="C1372" s="253" t="s">
        <v>82</v>
      </c>
      <c r="D1372" s="253" t="s">
        <v>94</v>
      </c>
      <c r="E1372" s="252">
        <v>6227481.0</v>
      </c>
      <c r="F1372" s="253" t="s">
        <v>3733</v>
      </c>
      <c r="G1372" s="276">
        <v>45569.0</v>
      </c>
      <c r="H1372" s="277">
        <v>45570.0</v>
      </c>
      <c r="I1372" s="278">
        <v>1.0</v>
      </c>
      <c r="J1372" s="257" t="s">
        <v>91</v>
      </c>
      <c r="K1372" s="253" t="s">
        <v>79</v>
      </c>
      <c r="L1372" s="253" t="s">
        <v>1462</v>
      </c>
      <c r="M1372" s="252">
        <v>2.0</v>
      </c>
      <c r="N1372" s="258">
        <v>0.0</v>
      </c>
      <c r="O1372" s="259">
        <v>294.6</v>
      </c>
      <c r="P1372" s="259">
        <v>291.654</v>
      </c>
      <c r="Q1372" s="257">
        <v>0.0</v>
      </c>
      <c r="R1372" s="260">
        <v>291.654</v>
      </c>
      <c r="S1372" s="260">
        <v>0.0</v>
      </c>
      <c r="T1372" s="260">
        <v>294.6</v>
      </c>
      <c r="U1372" s="261" t="s">
        <v>1463</v>
      </c>
      <c r="V1372" s="279">
        <v>45567.88503472222</v>
      </c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</row>
    <row r="1373">
      <c r="A1373" s="276">
        <v>45567.0</v>
      </c>
      <c r="B1373" s="252">
        <v>6226783.0</v>
      </c>
      <c r="C1373" s="253" t="s">
        <v>82</v>
      </c>
      <c r="D1373" s="253" t="s">
        <v>94</v>
      </c>
      <c r="E1373" s="252">
        <v>6226783.0</v>
      </c>
      <c r="F1373" s="253" t="s">
        <v>3734</v>
      </c>
      <c r="G1373" s="304">
        <v>45616.0</v>
      </c>
      <c r="H1373" s="311">
        <v>45617.0</v>
      </c>
      <c r="I1373" s="278">
        <v>1.0</v>
      </c>
      <c r="J1373" s="257" t="s">
        <v>114</v>
      </c>
      <c r="K1373" s="253" t="s">
        <v>79</v>
      </c>
      <c r="L1373" s="253" t="s">
        <v>1462</v>
      </c>
      <c r="M1373" s="252">
        <v>2.0</v>
      </c>
      <c r="N1373" s="258">
        <v>0.0</v>
      </c>
      <c r="O1373" s="259">
        <v>133.0</v>
      </c>
      <c r="P1373" s="259">
        <v>131.67</v>
      </c>
      <c r="Q1373" s="262">
        <v>0.0</v>
      </c>
      <c r="R1373" s="260">
        <v>131.67</v>
      </c>
      <c r="S1373" s="260">
        <v>0.0</v>
      </c>
      <c r="T1373" s="260">
        <v>133.0</v>
      </c>
      <c r="U1373" s="261" t="s">
        <v>1463</v>
      </c>
      <c r="V1373" s="279">
        <v>45567.75131944445</v>
      </c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</row>
    <row r="1374">
      <c r="A1374" s="280">
        <v>45568.0</v>
      </c>
      <c r="B1374" s="264">
        <v>6231264.0</v>
      </c>
      <c r="C1374" s="265" t="s">
        <v>82</v>
      </c>
      <c r="D1374" s="265" t="s">
        <v>35</v>
      </c>
      <c r="E1374" s="264">
        <v>4.90293118E9</v>
      </c>
      <c r="F1374" s="265" t="s">
        <v>3735</v>
      </c>
      <c r="G1374" s="305">
        <v>45587.0</v>
      </c>
      <c r="H1374" s="313">
        <v>45588.0</v>
      </c>
      <c r="I1374" s="282">
        <v>1.0</v>
      </c>
      <c r="J1374" s="283" t="s">
        <v>114</v>
      </c>
      <c r="K1374" s="265" t="s">
        <v>79</v>
      </c>
      <c r="L1374" s="265" t="s">
        <v>3370</v>
      </c>
      <c r="M1374" s="269">
        <v>2.0</v>
      </c>
      <c r="N1374" s="270">
        <v>0.0</v>
      </c>
      <c r="O1374" s="271">
        <v>189.8</v>
      </c>
      <c r="P1374" s="271">
        <v>151.84</v>
      </c>
      <c r="Q1374" s="272">
        <v>0.0</v>
      </c>
      <c r="R1374" s="273">
        <v>151.84</v>
      </c>
      <c r="S1374" s="273">
        <v>0.0</v>
      </c>
      <c r="T1374" s="273">
        <v>189.8</v>
      </c>
      <c r="U1374" s="274" t="s">
        <v>3371</v>
      </c>
      <c r="V1374" s="284">
        <v>45568.87365740741</v>
      </c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</row>
    <row r="1375">
      <c r="A1375" s="280">
        <v>45568.0</v>
      </c>
      <c r="B1375" s="264">
        <v>6229406.0</v>
      </c>
      <c r="C1375" s="265" t="s">
        <v>82</v>
      </c>
      <c r="D1375" s="265" t="s">
        <v>35</v>
      </c>
      <c r="E1375" s="264">
        <v>4.595964052E9</v>
      </c>
      <c r="F1375" s="265" t="s">
        <v>3736</v>
      </c>
      <c r="G1375" s="280">
        <v>45632.0</v>
      </c>
      <c r="H1375" s="281">
        <v>45635.0</v>
      </c>
      <c r="I1375" s="282">
        <v>3.0</v>
      </c>
      <c r="J1375" s="283" t="s">
        <v>114</v>
      </c>
      <c r="K1375" s="265" t="s">
        <v>79</v>
      </c>
      <c r="L1375" s="265" t="s">
        <v>2803</v>
      </c>
      <c r="M1375" s="269">
        <v>2.0</v>
      </c>
      <c r="N1375" s="283">
        <v>0.0</v>
      </c>
      <c r="O1375" s="271">
        <v>159.47</v>
      </c>
      <c r="P1375" s="271">
        <v>127.57600000000001</v>
      </c>
      <c r="Q1375" s="283">
        <v>0.0</v>
      </c>
      <c r="R1375" s="273">
        <v>382.72800000000007</v>
      </c>
      <c r="S1375" s="273">
        <v>0.0</v>
      </c>
      <c r="T1375" s="273">
        <v>478.41</v>
      </c>
      <c r="U1375" s="274" t="s">
        <v>2804</v>
      </c>
      <c r="V1375" s="284">
        <v>45568.52297453704</v>
      </c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</row>
    <row r="1376">
      <c r="A1376" s="280">
        <v>45568.0</v>
      </c>
      <c r="B1376" s="264">
        <v>6230371.0</v>
      </c>
      <c r="C1376" s="265" t="s">
        <v>82</v>
      </c>
      <c r="D1376" s="265" t="s">
        <v>94</v>
      </c>
      <c r="E1376" s="264">
        <v>6230371.0</v>
      </c>
      <c r="F1376" s="265" t="s">
        <v>3737</v>
      </c>
      <c r="G1376" s="305">
        <v>45651.0</v>
      </c>
      <c r="H1376" s="313">
        <v>45655.0</v>
      </c>
      <c r="I1376" s="282">
        <v>4.0</v>
      </c>
      <c r="J1376" s="283" t="s">
        <v>78</v>
      </c>
      <c r="K1376" s="265" t="s">
        <v>79</v>
      </c>
      <c r="L1376" s="265" t="s">
        <v>1811</v>
      </c>
      <c r="M1376" s="269">
        <v>2.0</v>
      </c>
      <c r="N1376" s="270">
        <v>0.0</v>
      </c>
      <c r="O1376" s="271">
        <v>149.96</v>
      </c>
      <c r="P1376" s="271">
        <v>148.4604</v>
      </c>
      <c r="Q1376" s="272">
        <v>0.0</v>
      </c>
      <c r="R1376" s="273">
        <v>593.8416</v>
      </c>
      <c r="S1376" s="273">
        <v>0.0</v>
      </c>
      <c r="T1376" s="273">
        <v>599.84</v>
      </c>
      <c r="U1376" s="274" t="s">
        <v>1812</v>
      </c>
      <c r="V1376" s="284">
        <v>45568.704872685186</v>
      </c>
      <c r="W1376" s="35"/>
      <c r="X1376" s="35"/>
      <c r="Y1376" s="35"/>
      <c r="Z1376" s="35"/>
      <c r="AA1376" s="35"/>
      <c r="AB1376" s="35"/>
      <c r="AC1376" s="35"/>
      <c r="AD1376" s="35"/>
      <c r="AE1376" s="35"/>
      <c r="AF1376" s="35"/>
      <c r="AG1376" s="35"/>
      <c r="AH1376" s="35"/>
      <c r="AI1376" s="35"/>
    </row>
    <row r="1377">
      <c r="A1377" s="210">
        <v>45569.0</v>
      </c>
      <c r="B1377" s="166">
        <v>6234444.0</v>
      </c>
      <c r="C1377" s="166" t="s">
        <v>82</v>
      </c>
      <c r="D1377" s="166" t="s">
        <v>94</v>
      </c>
      <c r="E1377" s="166">
        <v>6234444.0</v>
      </c>
      <c r="F1377" s="166" t="s">
        <v>3738</v>
      </c>
      <c r="G1377" s="212">
        <v>45586.0</v>
      </c>
      <c r="H1377" s="310">
        <v>45588.0</v>
      </c>
      <c r="I1377" s="168">
        <v>2.0</v>
      </c>
      <c r="J1377" s="169" t="s">
        <v>114</v>
      </c>
      <c r="K1377" s="166" t="s">
        <v>79</v>
      </c>
      <c r="L1377" s="166" t="s">
        <v>3739</v>
      </c>
      <c r="M1377" s="166">
        <v>2.0</v>
      </c>
      <c r="N1377" s="170">
        <v>0.0</v>
      </c>
      <c r="O1377" s="171">
        <v>143.0</v>
      </c>
      <c r="P1377" s="171">
        <v>141.57</v>
      </c>
      <c r="Q1377" s="172">
        <v>0.0</v>
      </c>
      <c r="R1377" s="173">
        <v>283.14</v>
      </c>
      <c r="S1377" s="173">
        <v>0.0</v>
      </c>
      <c r="T1377" s="173">
        <v>286.0</v>
      </c>
      <c r="U1377" s="174" t="s">
        <v>3740</v>
      </c>
      <c r="V1377" s="288">
        <v>45569.77707175926</v>
      </c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</row>
    <row r="1378">
      <c r="A1378" s="280">
        <v>45569.0</v>
      </c>
      <c r="B1378" s="264">
        <v>6234948.0</v>
      </c>
      <c r="C1378" s="265" t="s">
        <v>82</v>
      </c>
      <c r="D1378" s="265" t="s">
        <v>35</v>
      </c>
      <c r="E1378" s="264">
        <v>4.524004238E9</v>
      </c>
      <c r="F1378" s="265" t="s">
        <v>3741</v>
      </c>
      <c r="G1378" s="305">
        <v>45615.0</v>
      </c>
      <c r="H1378" s="313">
        <v>45617.0</v>
      </c>
      <c r="I1378" s="282">
        <v>2.0</v>
      </c>
      <c r="J1378" s="283" t="s">
        <v>87</v>
      </c>
      <c r="K1378" s="265" t="s">
        <v>79</v>
      </c>
      <c r="L1378" s="265" t="s">
        <v>2803</v>
      </c>
      <c r="M1378" s="269">
        <v>2.0</v>
      </c>
      <c r="N1378" s="270">
        <v>0.0</v>
      </c>
      <c r="O1378" s="271">
        <v>115.14</v>
      </c>
      <c r="P1378" s="271">
        <v>92.11200000000001</v>
      </c>
      <c r="Q1378" s="272">
        <v>0.0</v>
      </c>
      <c r="R1378" s="273">
        <v>184.22400000000002</v>
      </c>
      <c r="S1378" s="273">
        <v>0.0</v>
      </c>
      <c r="T1378" s="273">
        <v>230.28</v>
      </c>
      <c r="U1378" s="274" t="s">
        <v>2804</v>
      </c>
      <c r="V1378" s="284">
        <v>45569.871562500004</v>
      </c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</row>
    <row r="1379">
      <c r="A1379" s="210">
        <v>45570.0</v>
      </c>
      <c r="B1379" s="166">
        <v>6238067.0</v>
      </c>
      <c r="C1379" s="166" t="s">
        <v>82</v>
      </c>
      <c r="D1379" s="166" t="s">
        <v>35</v>
      </c>
      <c r="E1379" s="166">
        <v>4.311793965E9</v>
      </c>
      <c r="F1379" s="166" t="s">
        <v>3743</v>
      </c>
      <c r="G1379" s="210">
        <v>45572.0</v>
      </c>
      <c r="H1379" s="287">
        <v>45573.0</v>
      </c>
      <c r="I1379" s="168">
        <v>1.0</v>
      </c>
      <c r="J1379" s="169" t="s">
        <v>78</v>
      </c>
      <c r="K1379" s="166" t="s">
        <v>79</v>
      </c>
      <c r="L1379" s="166" t="s">
        <v>2798</v>
      </c>
      <c r="M1379" s="166">
        <v>1.0</v>
      </c>
      <c r="N1379" s="170">
        <v>0.0</v>
      </c>
      <c r="O1379" s="171">
        <v>154.98</v>
      </c>
      <c r="P1379" s="171">
        <v>123.984</v>
      </c>
      <c r="Q1379" s="172">
        <v>0.0</v>
      </c>
      <c r="R1379" s="173">
        <v>123.984</v>
      </c>
      <c r="S1379" s="173">
        <v>0.0</v>
      </c>
      <c r="T1379" s="173">
        <v>154.98</v>
      </c>
      <c r="U1379" s="174" t="s">
        <v>2800</v>
      </c>
      <c r="V1379" s="288">
        <v>45570.79796296296</v>
      </c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</row>
    <row r="1380">
      <c r="A1380" s="210">
        <v>45570.0</v>
      </c>
      <c r="B1380" s="166">
        <v>6238329.0</v>
      </c>
      <c r="C1380" s="166" t="s">
        <v>89</v>
      </c>
      <c r="D1380" s="166" t="s">
        <v>35</v>
      </c>
      <c r="E1380" s="166">
        <v>4.37961328E9</v>
      </c>
      <c r="F1380" s="166" t="s">
        <v>3744</v>
      </c>
      <c r="G1380" s="210">
        <v>45572.0</v>
      </c>
      <c r="H1380" s="287">
        <v>45573.0</v>
      </c>
      <c r="I1380" s="168">
        <v>1.0</v>
      </c>
      <c r="J1380" s="169" t="s">
        <v>114</v>
      </c>
      <c r="K1380" s="166" t="s">
        <v>79</v>
      </c>
      <c r="L1380" s="166" t="s">
        <v>2803</v>
      </c>
      <c r="M1380" s="166">
        <v>2.0</v>
      </c>
      <c r="N1380" s="170">
        <v>0.0</v>
      </c>
      <c r="O1380" s="171">
        <v>0.0</v>
      </c>
      <c r="P1380" s="171">
        <v>0.0</v>
      </c>
      <c r="Q1380" s="172">
        <v>0.0</v>
      </c>
      <c r="R1380" s="173">
        <v>0.0</v>
      </c>
      <c r="S1380" s="173">
        <v>0.0</v>
      </c>
      <c r="T1380" s="173">
        <v>0.0</v>
      </c>
      <c r="U1380" s="174" t="s">
        <v>3746</v>
      </c>
      <c r="V1380" s="288">
        <v>45570.850763888884</v>
      </c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</row>
    <row r="1381">
      <c r="A1381" s="210">
        <v>45570.0</v>
      </c>
      <c r="B1381" s="166">
        <v>6236109.0</v>
      </c>
      <c r="C1381" s="166" t="s">
        <v>82</v>
      </c>
      <c r="D1381" s="166" t="s">
        <v>35</v>
      </c>
      <c r="E1381" s="166">
        <v>4.971455546E9</v>
      </c>
      <c r="F1381" s="166" t="s">
        <v>3747</v>
      </c>
      <c r="G1381" s="212">
        <v>45615.0</v>
      </c>
      <c r="H1381" s="310">
        <v>45618.0</v>
      </c>
      <c r="I1381" s="168">
        <v>3.0</v>
      </c>
      <c r="J1381" s="169" t="s">
        <v>78</v>
      </c>
      <c r="K1381" s="166" t="s">
        <v>79</v>
      </c>
      <c r="L1381" s="166" t="s">
        <v>3419</v>
      </c>
      <c r="M1381" s="166">
        <v>2.0</v>
      </c>
      <c r="N1381" s="169">
        <v>0.0</v>
      </c>
      <c r="O1381" s="171">
        <v>181.47</v>
      </c>
      <c r="P1381" s="171">
        <v>145.17600000000002</v>
      </c>
      <c r="Q1381" s="169">
        <v>0.0</v>
      </c>
      <c r="R1381" s="173">
        <v>435.528</v>
      </c>
      <c r="S1381" s="173">
        <v>0.0</v>
      </c>
      <c r="T1381" s="173">
        <v>544.41</v>
      </c>
      <c r="U1381" s="174" t="s">
        <v>3420</v>
      </c>
      <c r="V1381" s="288">
        <v>45570.393807870365</v>
      </c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</row>
    <row r="1382">
      <c r="A1382" s="210">
        <v>45571.0</v>
      </c>
      <c r="B1382" s="166">
        <v>6241238.0</v>
      </c>
      <c r="C1382" s="166" t="s">
        <v>82</v>
      </c>
      <c r="D1382" s="166" t="s">
        <v>94</v>
      </c>
      <c r="E1382" s="166">
        <v>6241238.0</v>
      </c>
      <c r="F1382" s="166" t="s">
        <v>3748</v>
      </c>
      <c r="G1382" s="210">
        <v>45597.0</v>
      </c>
      <c r="H1382" s="287">
        <v>45600.0</v>
      </c>
      <c r="I1382" s="168">
        <v>3.0</v>
      </c>
      <c r="J1382" s="169" t="s">
        <v>91</v>
      </c>
      <c r="K1382" s="166" t="s">
        <v>79</v>
      </c>
      <c r="L1382" s="166" t="s">
        <v>1462</v>
      </c>
      <c r="M1382" s="166">
        <v>3.0</v>
      </c>
      <c r="N1382" s="170">
        <v>0.0</v>
      </c>
      <c r="O1382" s="171">
        <v>297.09999999999997</v>
      </c>
      <c r="P1382" s="171">
        <v>294.12899999999996</v>
      </c>
      <c r="Q1382" s="172">
        <v>0.0</v>
      </c>
      <c r="R1382" s="173">
        <v>882.387</v>
      </c>
      <c r="S1382" s="173">
        <v>0.0</v>
      </c>
      <c r="T1382" s="173">
        <v>891.3</v>
      </c>
      <c r="U1382" s="174" t="s">
        <v>1463</v>
      </c>
      <c r="V1382" s="288">
        <v>45571.75491898148</v>
      </c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</row>
    <row r="1383">
      <c r="A1383" s="210">
        <v>45571.0</v>
      </c>
      <c r="B1383" s="166">
        <v>6241569.0</v>
      </c>
      <c r="C1383" s="166" t="s">
        <v>82</v>
      </c>
      <c r="D1383" s="166" t="s">
        <v>94</v>
      </c>
      <c r="E1383" s="166">
        <v>6241569.0</v>
      </c>
      <c r="F1383" s="166" t="s">
        <v>3749</v>
      </c>
      <c r="G1383" s="212">
        <v>45619.0</v>
      </c>
      <c r="H1383" s="310">
        <v>45623.0</v>
      </c>
      <c r="I1383" s="168">
        <v>4.0</v>
      </c>
      <c r="J1383" s="169" t="s">
        <v>114</v>
      </c>
      <c r="K1383" s="166" t="s">
        <v>79</v>
      </c>
      <c r="L1383" s="166" t="s">
        <v>1462</v>
      </c>
      <c r="M1383" s="166">
        <v>2.0</v>
      </c>
      <c r="N1383" s="170">
        <v>0.0</v>
      </c>
      <c r="O1383" s="171">
        <v>159.96</v>
      </c>
      <c r="P1383" s="171">
        <v>158.3604</v>
      </c>
      <c r="Q1383" s="172">
        <v>0.0</v>
      </c>
      <c r="R1383" s="173">
        <v>633.4416</v>
      </c>
      <c r="S1383" s="173">
        <v>0.0</v>
      </c>
      <c r="T1383" s="173">
        <v>639.84</v>
      </c>
      <c r="U1383" s="174" t="s">
        <v>1463</v>
      </c>
      <c r="V1383" s="288">
        <v>45571.81763888889</v>
      </c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</row>
    <row r="1384">
      <c r="A1384" s="210">
        <v>45572.0</v>
      </c>
      <c r="B1384" s="166">
        <v>6245845.0</v>
      </c>
      <c r="C1384" s="166" t="s">
        <v>75</v>
      </c>
      <c r="D1384" s="166" t="s">
        <v>35</v>
      </c>
      <c r="E1384" s="166">
        <v>4.903606388E9</v>
      </c>
      <c r="F1384" s="166" t="s">
        <v>3750</v>
      </c>
      <c r="G1384" s="212">
        <v>45581.0</v>
      </c>
      <c r="H1384" s="310">
        <v>45582.0</v>
      </c>
      <c r="I1384" s="168">
        <v>1.0</v>
      </c>
      <c r="J1384" s="169" t="s">
        <v>78</v>
      </c>
      <c r="K1384" s="166" t="s">
        <v>79</v>
      </c>
      <c r="L1384" s="166" t="s">
        <v>2803</v>
      </c>
      <c r="M1384" s="166">
        <v>2.0</v>
      </c>
      <c r="N1384" s="170">
        <v>0.0</v>
      </c>
      <c r="O1384" s="171">
        <v>136.79</v>
      </c>
      <c r="P1384" s="171">
        <v>109.432</v>
      </c>
      <c r="Q1384" s="172">
        <v>0.0</v>
      </c>
      <c r="R1384" s="173">
        <v>109.432</v>
      </c>
      <c r="S1384" s="173">
        <v>0.0</v>
      </c>
      <c r="T1384" s="173">
        <v>136.79</v>
      </c>
      <c r="U1384" s="201" t="s">
        <v>2804</v>
      </c>
      <c r="V1384" s="288">
        <v>45577.01739583333</v>
      </c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</row>
    <row r="1385">
      <c r="A1385" s="210">
        <v>45572.0</v>
      </c>
      <c r="B1385" s="166">
        <v>6245256.0</v>
      </c>
      <c r="C1385" s="166" t="s">
        <v>82</v>
      </c>
      <c r="D1385" s="166" t="s">
        <v>35</v>
      </c>
      <c r="E1385" s="166">
        <v>4.501621171E9</v>
      </c>
      <c r="F1385" s="166" t="s">
        <v>3751</v>
      </c>
      <c r="G1385" s="212">
        <v>45586.0</v>
      </c>
      <c r="H1385" s="310">
        <v>45587.0</v>
      </c>
      <c r="I1385" s="168">
        <v>1.0</v>
      </c>
      <c r="J1385" s="169" t="s">
        <v>87</v>
      </c>
      <c r="K1385" s="166" t="s">
        <v>79</v>
      </c>
      <c r="L1385" s="166" t="s">
        <v>2803</v>
      </c>
      <c r="M1385" s="166">
        <v>2.0</v>
      </c>
      <c r="N1385" s="170">
        <v>0.0</v>
      </c>
      <c r="O1385" s="171">
        <v>140.08</v>
      </c>
      <c r="P1385" s="171">
        <v>112.06400000000002</v>
      </c>
      <c r="Q1385" s="172">
        <v>0.0</v>
      </c>
      <c r="R1385" s="173">
        <v>112.06400000000002</v>
      </c>
      <c r="S1385" s="173">
        <v>0.0</v>
      </c>
      <c r="T1385" s="173">
        <v>140.08</v>
      </c>
      <c r="U1385" s="174" t="s">
        <v>2804</v>
      </c>
      <c r="V1385" s="288">
        <v>45572.8021875</v>
      </c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</row>
    <row r="1386">
      <c r="A1386" s="210">
        <v>45572.0</v>
      </c>
      <c r="B1386" s="166">
        <v>6244140.0</v>
      </c>
      <c r="C1386" s="166" t="s">
        <v>82</v>
      </c>
      <c r="D1386" s="166" t="s">
        <v>35</v>
      </c>
      <c r="E1386" s="166">
        <v>4.628130728E9</v>
      </c>
      <c r="F1386" s="166" t="s">
        <v>3752</v>
      </c>
      <c r="G1386" s="212">
        <v>45596.0</v>
      </c>
      <c r="H1386" s="287">
        <v>45599.0</v>
      </c>
      <c r="I1386" s="168">
        <v>3.0</v>
      </c>
      <c r="J1386" s="169" t="s">
        <v>87</v>
      </c>
      <c r="K1386" s="166" t="s">
        <v>79</v>
      </c>
      <c r="L1386" s="166" t="s">
        <v>2803</v>
      </c>
      <c r="M1386" s="205">
        <v>2.0</v>
      </c>
      <c r="N1386" s="170">
        <v>0.0</v>
      </c>
      <c r="O1386" s="171">
        <v>115.14</v>
      </c>
      <c r="P1386" s="171">
        <v>92.11200000000001</v>
      </c>
      <c r="Q1386" s="172">
        <v>0.0</v>
      </c>
      <c r="R1386" s="173">
        <v>276.336</v>
      </c>
      <c r="S1386" s="173">
        <v>0.0</v>
      </c>
      <c r="T1386" s="173">
        <v>345.42</v>
      </c>
      <c r="U1386" s="174" t="s">
        <v>2804</v>
      </c>
      <c r="V1386" s="288">
        <v>45572.586863425924</v>
      </c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</row>
    <row r="1387">
      <c r="A1387" s="210">
        <v>45572.0</v>
      </c>
      <c r="B1387" s="166">
        <v>6243471.0</v>
      </c>
      <c r="C1387" s="166" t="s">
        <v>82</v>
      </c>
      <c r="D1387" s="166" t="s">
        <v>35</v>
      </c>
      <c r="E1387" s="166">
        <v>4.769096112E9</v>
      </c>
      <c r="F1387" s="166" t="s">
        <v>3753</v>
      </c>
      <c r="G1387" s="212">
        <v>45611.0</v>
      </c>
      <c r="H1387" s="310">
        <v>45612.0</v>
      </c>
      <c r="I1387" s="168">
        <v>1.0</v>
      </c>
      <c r="J1387" s="169" t="s">
        <v>87</v>
      </c>
      <c r="K1387" s="166" t="s">
        <v>79</v>
      </c>
      <c r="L1387" s="166" t="s">
        <v>2803</v>
      </c>
      <c r="M1387" s="205">
        <v>2.0</v>
      </c>
      <c r="N1387" s="170">
        <v>0.0</v>
      </c>
      <c r="O1387" s="171">
        <v>122.35</v>
      </c>
      <c r="P1387" s="171">
        <v>97.88</v>
      </c>
      <c r="Q1387" s="172">
        <v>0.0</v>
      </c>
      <c r="R1387" s="173">
        <v>97.88</v>
      </c>
      <c r="S1387" s="173">
        <v>0.0</v>
      </c>
      <c r="T1387" s="173">
        <v>122.35</v>
      </c>
      <c r="U1387" s="174" t="s">
        <v>2804</v>
      </c>
      <c r="V1387" s="288">
        <v>45572.47366898148</v>
      </c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</row>
    <row r="1388">
      <c r="A1388" s="210">
        <v>45572.0</v>
      </c>
      <c r="B1388" s="166">
        <v>6243208.0</v>
      </c>
      <c r="C1388" s="166" t="s">
        <v>82</v>
      </c>
      <c r="D1388" s="166" t="s">
        <v>94</v>
      </c>
      <c r="E1388" s="166">
        <v>4.74419047E8</v>
      </c>
      <c r="F1388" s="166" t="s">
        <v>3754</v>
      </c>
      <c r="G1388" s="212">
        <v>45614.0</v>
      </c>
      <c r="H1388" s="310">
        <v>45617.0</v>
      </c>
      <c r="I1388" s="168">
        <v>3.0</v>
      </c>
      <c r="J1388" s="169" t="s">
        <v>114</v>
      </c>
      <c r="K1388" s="166" t="s">
        <v>79</v>
      </c>
      <c r="L1388" s="166" t="s">
        <v>3388</v>
      </c>
      <c r="M1388" s="205">
        <v>2.0</v>
      </c>
      <c r="N1388" s="170">
        <v>0.0</v>
      </c>
      <c r="O1388" s="171">
        <v>208.38</v>
      </c>
      <c r="P1388" s="171">
        <v>206.2962</v>
      </c>
      <c r="Q1388" s="172">
        <v>0.0</v>
      </c>
      <c r="R1388" s="173">
        <v>618.8886</v>
      </c>
      <c r="S1388" s="173">
        <v>0.0</v>
      </c>
      <c r="T1388" s="173">
        <v>625.14</v>
      </c>
      <c r="U1388" s="174" t="s">
        <v>3389</v>
      </c>
      <c r="V1388" s="288">
        <v>45572.423668981486</v>
      </c>
      <c r="W1388" s="35"/>
      <c r="X1388" s="35"/>
      <c r="Y1388" s="35"/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</row>
    <row r="1389">
      <c r="A1389" s="210">
        <v>45572.0</v>
      </c>
      <c r="B1389" s="166">
        <v>6243206.0</v>
      </c>
      <c r="C1389" s="166" t="s">
        <v>82</v>
      </c>
      <c r="D1389" s="166" t="s">
        <v>94</v>
      </c>
      <c r="E1389" s="166">
        <v>4.74419051E8</v>
      </c>
      <c r="F1389" s="166" t="s">
        <v>3754</v>
      </c>
      <c r="G1389" s="212">
        <v>45614.0</v>
      </c>
      <c r="H1389" s="310">
        <v>45617.0</v>
      </c>
      <c r="I1389" s="168">
        <v>3.0</v>
      </c>
      <c r="J1389" s="169" t="s">
        <v>91</v>
      </c>
      <c r="K1389" s="166" t="s">
        <v>79</v>
      </c>
      <c r="L1389" s="166" t="s">
        <v>3388</v>
      </c>
      <c r="M1389" s="166">
        <v>3.0</v>
      </c>
      <c r="N1389" s="170">
        <v>0.0</v>
      </c>
      <c r="O1389" s="171">
        <v>416.3</v>
      </c>
      <c r="P1389" s="171">
        <v>412.137</v>
      </c>
      <c r="Q1389" s="172">
        <v>0.0</v>
      </c>
      <c r="R1389" s="173">
        <v>1236.411</v>
      </c>
      <c r="S1389" s="173">
        <v>0.0</v>
      </c>
      <c r="T1389" s="173">
        <v>1248.9</v>
      </c>
      <c r="U1389" s="201" t="s">
        <v>3389</v>
      </c>
      <c r="V1389" s="288">
        <v>45572.4236574074</v>
      </c>
      <c r="W1389" s="188"/>
      <c r="X1389" s="188"/>
      <c r="Y1389" s="188"/>
      <c r="Z1389" s="188"/>
      <c r="AA1389" s="188"/>
      <c r="AB1389" s="188"/>
      <c r="AC1389" s="188"/>
      <c r="AD1389" s="188"/>
      <c r="AE1389" s="188"/>
      <c r="AF1389" s="188"/>
      <c r="AG1389" s="188"/>
      <c r="AH1389" s="188"/>
      <c r="AI1389" s="188"/>
    </row>
    <row r="1390">
      <c r="A1390" s="280">
        <v>45573.0</v>
      </c>
      <c r="B1390" s="264">
        <v>6249602.0</v>
      </c>
      <c r="C1390" s="265" t="s">
        <v>75</v>
      </c>
      <c r="D1390" s="265" t="s">
        <v>35</v>
      </c>
      <c r="E1390" s="264">
        <v>4.967848555E9</v>
      </c>
      <c r="F1390" s="265" t="s">
        <v>3756</v>
      </c>
      <c r="G1390" s="305">
        <v>45579.0</v>
      </c>
      <c r="H1390" s="313">
        <v>45580.0</v>
      </c>
      <c r="I1390" s="282">
        <v>1.0</v>
      </c>
      <c r="J1390" s="283" t="s">
        <v>78</v>
      </c>
      <c r="K1390" s="265" t="s">
        <v>79</v>
      </c>
      <c r="L1390" s="265" t="s">
        <v>2803</v>
      </c>
      <c r="M1390" s="269">
        <v>3.0</v>
      </c>
      <c r="N1390" s="270">
        <v>0.0</v>
      </c>
      <c r="O1390" s="271">
        <v>134.81</v>
      </c>
      <c r="P1390" s="271">
        <v>107.84800000000001</v>
      </c>
      <c r="Q1390" s="272">
        <v>0.0</v>
      </c>
      <c r="R1390" s="273">
        <v>107.84800000000001</v>
      </c>
      <c r="S1390" s="273">
        <v>0.0</v>
      </c>
      <c r="T1390" s="273">
        <v>134.81</v>
      </c>
      <c r="U1390" s="274" t="s">
        <v>2804</v>
      </c>
      <c r="V1390" s="284">
        <v>45575.0174074074</v>
      </c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</row>
    <row r="1391">
      <c r="A1391" s="276">
        <v>45573.0</v>
      </c>
      <c r="B1391" s="252">
        <v>6249955.0</v>
      </c>
      <c r="C1391" s="253" t="s">
        <v>82</v>
      </c>
      <c r="D1391" s="253" t="s">
        <v>35</v>
      </c>
      <c r="E1391" s="252">
        <v>4.463317548E9</v>
      </c>
      <c r="F1391" s="253" t="s">
        <v>3757</v>
      </c>
      <c r="G1391" s="304">
        <v>45583.0</v>
      </c>
      <c r="H1391" s="311">
        <v>45584.0</v>
      </c>
      <c r="I1391" s="278">
        <v>1.0</v>
      </c>
      <c r="J1391" s="257" t="s">
        <v>78</v>
      </c>
      <c r="K1391" s="253" t="s">
        <v>79</v>
      </c>
      <c r="L1391" s="253" t="s">
        <v>2803</v>
      </c>
      <c r="M1391" s="252">
        <v>2.0</v>
      </c>
      <c r="N1391" s="258">
        <v>0.0</v>
      </c>
      <c r="O1391" s="259">
        <v>168.86</v>
      </c>
      <c r="P1391" s="259">
        <v>135.08800000000002</v>
      </c>
      <c r="Q1391" s="262">
        <v>0.0</v>
      </c>
      <c r="R1391" s="260">
        <v>135.08800000000002</v>
      </c>
      <c r="S1391" s="260">
        <v>0.0</v>
      </c>
      <c r="T1391" s="260">
        <v>168.86</v>
      </c>
      <c r="U1391" s="261" t="s">
        <v>2804</v>
      </c>
      <c r="V1391" s="279">
        <v>45573.95978009259</v>
      </c>
      <c r="W1391" s="36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</row>
    <row r="1392">
      <c r="A1392" s="210">
        <v>45573.0</v>
      </c>
      <c r="B1392" s="166">
        <v>6247642.0</v>
      </c>
      <c r="C1392" s="166" t="s">
        <v>82</v>
      </c>
      <c r="D1392" s="166" t="s">
        <v>94</v>
      </c>
      <c r="E1392" s="166">
        <v>6247642.0</v>
      </c>
      <c r="F1392" s="166" t="s">
        <v>3758</v>
      </c>
      <c r="G1392" s="212">
        <v>45607.0</v>
      </c>
      <c r="H1392" s="310">
        <v>45610.0</v>
      </c>
      <c r="I1392" s="168">
        <v>3.0</v>
      </c>
      <c r="J1392" s="169" t="s">
        <v>78</v>
      </c>
      <c r="K1392" s="166" t="s">
        <v>79</v>
      </c>
      <c r="L1392" s="166" t="s">
        <v>1462</v>
      </c>
      <c r="M1392" s="205">
        <v>2.0</v>
      </c>
      <c r="N1392" s="170">
        <v>0.0</v>
      </c>
      <c r="O1392" s="171">
        <v>120.2</v>
      </c>
      <c r="P1392" s="171">
        <v>118.998</v>
      </c>
      <c r="Q1392" s="172">
        <v>0.0</v>
      </c>
      <c r="R1392" s="173">
        <v>356.994</v>
      </c>
      <c r="S1392" s="173">
        <v>0.0</v>
      </c>
      <c r="T1392" s="173">
        <v>360.6</v>
      </c>
      <c r="U1392" s="174" t="s">
        <v>1463</v>
      </c>
      <c r="V1392" s="288">
        <v>45573.53275462963</v>
      </c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</row>
    <row r="1393">
      <c r="A1393" s="210">
        <v>45573.0</v>
      </c>
      <c r="B1393" s="166">
        <v>6247123.0</v>
      </c>
      <c r="C1393" s="166" t="s">
        <v>82</v>
      </c>
      <c r="D1393" s="166" t="s">
        <v>35</v>
      </c>
      <c r="E1393" s="166">
        <v>4.299053674E9</v>
      </c>
      <c r="F1393" s="166" t="s">
        <v>3759</v>
      </c>
      <c r="G1393" s="212">
        <v>45609.0</v>
      </c>
      <c r="H1393" s="310">
        <v>45611.0</v>
      </c>
      <c r="I1393" s="168">
        <v>2.0</v>
      </c>
      <c r="J1393" s="169" t="s">
        <v>78</v>
      </c>
      <c r="K1393" s="166" t="s">
        <v>79</v>
      </c>
      <c r="L1393" s="166" t="s">
        <v>2803</v>
      </c>
      <c r="M1393" s="166">
        <v>2.0</v>
      </c>
      <c r="N1393" s="170">
        <v>0.0</v>
      </c>
      <c r="O1393" s="171">
        <v>168.87</v>
      </c>
      <c r="P1393" s="171">
        <v>135.096</v>
      </c>
      <c r="Q1393" s="172">
        <v>0.0</v>
      </c>
      <c r="R1393" s="173">
        <v>270.192</v>
      </c>
      <c r="S1393" s="173">
        <v>0.0</v>
      </c>
      <c r="T1393" s="173">
        <v>337.74</v>
      </c>
      <c r="U1393" s="201" t="s">
        <v>2804</v>
      </c>
      <c r="V1393" s="288">
        <v>45573.433391203704</v>
      </c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</row>
    <row r="1394">
      <c r="A1394" s="210">
        <v>45573.0</v>
      </c>
      <c r="B1394" s="166">
        <v>6247572.0</v>
      </c>
      <c r="C1394" s="166" t="s">
        <v>82</v>
      </c>
      <c r="D1394" s="166" t="s">
        <v>94</v>
      </c>
      <c r="E1394" s="166">
        <v>6247572.0</v>
      </c>
      <c r="F1394" s="166" t="s">
        <v>3760</v>
      </c>
      <c r="G1394" s="212">
        <v>45610.0</v>
      </c>
      <c r="H1394" s="310">
        <v>45613.0</v>
      </c>
      <c r="I1394" s="168">
        <v>3.0</v>
      </c>
      <c r="J1394" s="169" t="s">
        <v>91</v>
      </c>
      <c r="K1394" s="166" t="s">
        <v>79</v>
      </c>
      <c r="L1394" s="166" t="s">
        <v>1462</v>
      </c>
      <c r="M1394" s="166">
        <v>2.0</v>
      </c>
      <c r="N1394" s="170">
        <v>0.0</v>
      </c>
      <c r="O1394" s="171">
        <v>341.26666666666665</v>
      </c>
      <c r="P1394" s="171">
        <v>337.854</v>
      </c>
      <c r="Q1394" s="172">
        <v>0.0</v>
      </c>
      <c r="R1394" s="173">
        <v>1013.5619999999999</v>
      </c>
      <c r="S1394" s="173">
        <v>0.0</v>
      </c>
      <c r="T1394" s="173">
        <v>1023.8</v>
      </c>
      <c r="U1394" s="174" t="s">
        <v>1463</v>
      </c>
      <c r="V1394" s="288">
        <v>45573.51949074074</v>
      </c>
      <c r="W1394" s="35"/>
      <c r="X1394" s="35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</row>
    <row r="1395">
      <c r="A1395" s="280">
        <v>45574.0</v>
      </c>
      <c r="B1395" s="264">
        <v>6252648.0</v>
      </c>
      <c r="C1395" s="265" t="s">
        <v>82</v>
      </c>
      <c r="D1395" s="265" t="s">
        <v>35</v>
      </c>
      <c r="E1395" s="264">
        <v>4.552981383E9</v>
      </c>
      <c r="F1395" s="265" t="s">
        <v>3761</v>
      </c>
      <c r="G1395" s="305">
        <v>45581.0</v>
      </c>
      <c r="H1395" s="313">
        <v>45582.0</v>
      </c>
      <c r="I1395" s="282">
        <v>1.0</v>
      </c>
      <c r="J1395" s="283" t="s">
        <v>87</v>
      </c>
      <c r="K1395" s="265" t="s">
        <v>79</v>
      </c>
      <c r="L1395" s="265" t="s">
        <v>2833</v>
      </c>
      <c r="M1395" s="269">
        <v>1.0</v>
      </c>
      <c r="N1395" s="270">
        <v>0.0</v>
      </c>
      <c r="O1395" s="271">
        <v>139.38</v>
      </c>
      <c r="P1395" s="271">
        <v>111.504</v>
      </c>
      <c r="Q1395" s="272">
        <v>0.0</v>
      </c>
      <c r="R1395" s="273">
        <v>111.504</v>
      </c>
      <c r="S1395" s="273">
        <v>0.0</v>
      </c>
      <c r="T1395" s="273">
        <v>303.36</v>
      </c>
      <c r="U1395" s="274" t="s">
        <v>3531</v>
      </c>
      <c r="V1395" s="284">
        <v>45574.739641203705</v>
      </c>
      <c r="W1395" s="188"/>
      <c r="X1395" s="188"/>
      <c r="Y1395" s="188"/>
      <c r="Z1395" s="188"/>
      <c r="AA1395" s="188"/>
      <c r="AB1395" s="188"/>
      <c r="AC1395" s="188"/>
      <c r="AD1395" s="188"/>
      <c r="AE1395" s="188"/>
      <c r="AF1395" s="188"/>
      <c r="AG1395" s="188"/>
      <c r="AH1395" s="188"/>
      <c r="AI1395" s="188"/>
    </row>
    <row r="1396">
      <c r="A1396" s="210">
        <v>45574.0</v>
      </c>
      <c r="B1396" s="166">
        <v>6252648.0</v>
      </c>
      <c r="C1396" s="166" t="s">
        <v>82</v>
      </c>
      <c r="D1396" s="166" t="s">
        <v>35</v>
      </c>
      <c r="E1396" s="166">
        <v>4.552981383E9</v>
      </c>
      <c r="F1396" s="166" t="s">
        <v>3761</v>
      </c>
      <c r="G1396" s="212">
        <v>45581.0</v>
      </c>
      <c r="H1396" s="310">
        <v>45582.0</v>
      </c>
      <c r="I1396" s="168">
        <v>1.0</v>
      </c>
      <c r="J1396" s="169" t="s">
        <v>78</v>
      </c>
      <c r="K1396" s="166" t="s">
        <v>79</v>
      </c>
      <c r="L1396" s="166" t="s">
        <v>3375</v>
      </c>
      <c r="M1396" s="166">
        <v>1.0</v>
      </c>
      <c r="N1396" s="170">
        <v>0.0</v>
      </c>
      <c r="O1396" s="171">
        <v>163.98</v>
      </c>
      <c r="P1396" s="171">
        <v>131.184</v>
      </c>
      <c r="Q1396" s="172">
        <v>0.0</v>
      </c>
      <c r="R1396" s="173">
        <v>131.184</v>
      </c>
      <c r="S1396" s="173">
        <v>0.0</v>
      </c>
      <c r="T1396" s="173">
        <v>303.36</v>
      </c>
      <c r="U1396" s="201" t="s">
        <v>3376</v>
      </c>
      <c r="V1396" s="288">
        <v>45574.739641203705</v>
      </c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</row>
    <row r="1397">
      <c r="A1397" s="210">
        <v>45574.0</v>
      </c>
      <c r="B1397" s="166">
        <v>6253724.0</v>
      </c>
      <c r="C1397" s="166" t="s">
        <v>82</v>
      </c>
      <c r="D1397" s="166" t="s">
        <v>35</v>
      </c>
      <c r="E1397" s="166">
        <v>4.742983433E9</v>
      </c>
      <c r="F1397" s="166" t="s">
        <v>3762</v>
      </c>
      <c r="G1397" s="212">
        <v>45590.0</v>
      </c>
      <c r="H1397" s="310">
        <v>45591.0</v>
      </c>
      <c r="I1397" s="168">
        <v>1.0</v>
      </c>
      <c r="J1397" s="169" t="s">
        <v>78</v>
      </c>
      <c r="K1397" s="166" t="s">
        <v>79</v>
      </c>
      <c r="L1397" s="166" t="s">
        <v>2803</v>
      </c>
      <c r="M1397" s="205">
        <v>2.0</v>
      </c>
      <c r="N1397" s="170">
        <v>0.0</v>
      </c>
      <c r="O1397" s="171">
        <v>180.63</v>
      </c>
      <c r="P1397" s="171">
        <v>144.504</v>
      </c>
      <c r="Q1397" s="172">
        <v>0.0</v>
      </c>
      <c r="R1397" s="173">
        <v>144.504</v>
      </c>
      <c r="S1397" s="173">
        <v>0.0</v>
      </c>
      <c r="T1397" s="173">
        <v>180.63</v>
      </c>
      <c r="U1397" s="201" t="s">
        <v>2804</v>
      </c>
      <c r="V1397" s="288">
        <v>45574.96328703704</v>
      </c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</row>
    <row r="1398">
      <c r="A1398" s="280">
        <v>45574.0</v>
      </c>
      <c r="B1398" s="264">
        <v>6251399.0</v>
      </c>
      <c r="C1398" s="265" t="s">
        <v>82</v>
      </c>
      <c r="D1398" s="265" t="s">
        <v>35</v>
      </c>
      <c r="E1398" s="264">
        <v>4.73863111E9</v>
      </c>
      <c r="F1398" s="265" t="s">
        <v>3763</v>
      </c>
      <c r="G1398" s="280">
        <v>45601.0</v>
      </c>
      <c r="H1398" s="281">
        <v>45604.0</v>
      </c>
      <c r="I1398" s="282">
        <v>3.0</v>
      </c>
      <c r="J1398" s="283" t="s">
        <v>78</v>
      </c>
      <c r="K1398" s="265" t="s">
        <v>79</v>
      </c>
      <c r="L1398" s="265" t="s">
        <v>2803</v>
      </c>
      <c r="M1398" s="269">
        <v>2.0</v>
      </c>
      <c r="N1398" s="270">
        <v>0.0</v>
      </c>
      <c r="O1398" s="271">
        <v>169.99</v>
      </c>
      <c r="P1398" s="271">
        <v>135.99200000000002</v>
      </c>
      <c r="Q1398" s="272">
        <v>0.0</v>
      </c>
      <c r="R1398" s="273">
        <v>407.97600000000006</v>
      </c>
      <c r="S1398" s="273">
        <v>0.0</v>
      </c>
      <c r="T1398" s="273">
        <v>509.97</v>
      </c>
      <c r="U1398" s="274" t="s">
        <v>2804</v>
      </c>
      <c r="V1398" s="284">
        <v>45574.50491898148</v>
      </c>
      <c r="W1398" s="35"/>
      <c r="X1398" s="35"/>
      <c r="Y1398" s="35"/>
      <c r="Z1398" s="35"/>
      <c r="AA1398" s="35"/>
      <c r="AB1398" s="35"/>
      <c r="AC1398" s="35"/>
      <c r="AD1398" s="35"/>
      <c r="AE1398" s="35"/>
      <c r="AF1398" s="35"/>
      <c r="AG1398" s="35"/>
      <c r="AH1398" s="35"/>
      <c r="AI1398" s="35"/>
    </row>
    <row r="1399">
      <c r="A1399" s="210">
        <v>45574.0</v>
      </c>
      <c r="B1399" s="166">
        <v>6253751.0</v>
      </c>
      <c r="C1399" s="166" t="s">
        <v>82</v>
      </c>
      <c r="D1399" s="166" t="s">
        <v>35</v>
      </c>
      <c r="E1399" s="166">
        <v>4.742995072E9</v>
      </c>
      <c r="F1399" s="166" t="s">
        <v>3764</v>
      </c>
      <c r="G1399" s="212">
        <v>45610.0</v>
      </c>
      <c r="H1399" s="310">
        <v>45611.0</v>
      </c>
      <c r="I1399" s="168">
        <v>1.0</v>
      </c>
      <c r="J1399" s="169" t="s">
        <v>78</v>
      </c>
      <c r="K1399" s="166" t="s">
        <v>79</v>
      </c>
      <c r="L1399" s="166" t="s">
        <v>2803</v>
      </c>
      <c r="M1399" s="166">
        <v>1.0</v>
      </c>
      <c r="N1399" s="170">
        <v>0.0</v>
      </c>
      <c r="O1399" s="171">
        <v>132.55</v>
      </c>
      <c r="P1399" s="171">
        <v>106.04000000000002</v>
      </c>
      <c r="Q1399" s="172">
        <v>0.0</v>
      </c>
      <c r="R1399" s="173">
        <v>106.04000000000002</v>
      </c>
      <c r="S1399" s="173">
        <v>0.0</v>
      </c>
      <c r="T1399" s="173">
        <v>132.55</v>
      </c>
      <c r="U1399" s="201" t="s">
        <v>2804</v>
      </c>
      <c r="V1399" s="288">
        <v>45574.97369212963</v>
      </c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</row>
    <row r="1400">
      <c r="A1400" s="210">
        <v>45574.0</v>
      </c>
      <c r="B1400" s="166">
        <v>6251033.0</v>
      </c>
      <c r="C1400" s="166" t="s">
        <v>82</v>
      </c>
      <c r="D1400" s="166" t="s">
        <v>35</v>
      </c>
      <c r="E1400" s="166">
        <v>4.916590049E9</v>
      </c>
      <c r="F1400" s="166" t="s">
        <v>3765</v>
      </c>
      <c r="G1400" s="212">
        <v>45621.0</v>
      </c>
      <c r="H1400" s="310">
        <v>45625.0</v>
      </c>
      <c r="I1400" s="168">
        <v>4.0</v>
      </c>
      <c r="J1400" s="169" t="s">
        <v>78</v>
      </c>
      <c r="K1400" s="166" t="s">
        <v>79</v>
      </c>
      <c r="L1400" s="166" t="s">
        <v>2798</v>
      </c>
      <c r="M1400" s="166">
        <v>2.0</v>
      </c>
      <c r="N1400" s="170">
        <v>0.0</v>
      </c>
      <c r="O1400" s="171">
        <v>181.47</v>
      </c>
      <c r="P1400" s="171">
        <v>145.17600000000002</v>
      </c>
      <c r="Q1400" s="172">
        <v>0.0</v>
      </c>
      <c r="R1400" s="173">
        <v>580.7040000000001</v>
      </c>
      <c r="S1400" s="173">
        <v>0.0</v>
      </c>
      <c r="T1400" s="173">
        <v>725.88</v>
      </c>
      <c r="U1400" s="201" t="s">
        <v>2800</v>
      </c>
      <c r="V1400" s="288">
        <v>45574.43200231482</v>
      </c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</row>
    <row r="1401">
      <c r="A1401" s="305">
        <v>45575.0</v>
      </c>
      <c r="B1401" s="264">
        <v>6257349.0</v>
      </c>
      <c r="C1401" s="265" t="s">
        <v>82</v>
      </c>
      <c r="D1401" s="265" t="s">
        <v>35</v>
      </c>
      <c r="E1401" s="264">
        <v>4.742986754E9</v>
      </c>
      <c r="F1401" s="265" t="s">
        <v>3766</v>
      </c>
      <c r="G1401" s="305">
        <v>45590.0</v>
      </c>
      <c r="H1401" s="313">
        <v>45591.0</v>
      </c>
      <c r="I1401" s="282">
        <v>1.0</v>
      </c>
      <c r="J1401" s="283" t="s">
        <v>91</v>
      </c>
      <c r="K1401" s="265" t="s">
        <v>79</v>
      </c>
      <c r="L1401" s="265" t="s">
        <v>2803</v>
      </c>
      <c r="M1401" s="269">
        <v>4.0</v>
      </c>
      <c r="N1401" s="270">
        <v>0.0</v>
      </c>
      <c r="O1401" s="271">
        <v>371.26</v>
      </c>
      <c r="P1401" s="271">
        <v>297.008</v>
      </c>
      <c r="Q1401" s="272">
        <v>0.0</v>
      </c>
      <c r="R1401" s="273">
        <v>297.008</v>
      </c>
      <c r="S1401" s="273">
        <v>0.0</v>
      </c>
      <c r="T1401" s="273">
        <v>371.26</v>
      </c>
      <c r="U1401" s="274" t="s">
        <v>2804</v>
      </c>
      <c r="V1401" s="284">
        <v>45575.93268518518</v>
      </c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</row>
    <row r="1402">
      <c r="A1402" s="305">
        <v>45575.0</v>
      </c>
      <c r="B1402" s="264">
        <v>6257488.0</v>
      </c>
      <c r="C1402" s="265" t="s">
        <v>82</v>
      </c>
      <c r="D1402" s="265" t="s">
        <v>35</v>
      </c>
      <c r="E1402" s="264">
        <v>4.878965685E9</v>
      </c>
      <c r="F1402" s="265" t="s">
        <v>3767</v>
      </c>
      <c r="G1402" s="305">
        <v>45610.0</v>
      </c>
      <c r="H1402" s="313">
        <v>45614.0</v>
      </c>
      <c r="I1402" s="282">
        <v>4.0</v>
      </c>
      <c r="J1402" s="283" t="s">
        <v>78</v>
      </c>
      <c r="K1402" s="265" t="s">
        <v>79</v>
      </c>
      <c r="L1402" s="265" t="s">
        <v>2803</v>
      </c>
      <c r="M1402" s="269">
        <v>2.0</v>
      </c>
      <c r="N1402" s="270">
        <v>0.0</v>
      </c>
      <c r="O1402" s="271">
        <v>169.99</v>
      </c>
      <c r="P1402" s="271">
        <v>135.99200000000002</v>
      </c>
      <c r="Q1402" s="272">
        <v>0.0</v>
      </c>
      <c r="R1402" s="273">
        <v>543.9680000000001</v>
      </c>
      <c r="S1402" s="273">
        <v>0.0</v>
      </c>
      <c r="T1402" s="273">
        <v>679.96</v>
      </c>
      <c r="U1402" s="274" t="s">
        <v>2804</v>
      </c>
      <c r="V1402" s="284">
        <v>45575.991018518514</v>
      </c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</row>
    <row r="1403">
      <c r="A1403" s="212">
        <v>45576.0</v>
      </c>
      <c r="B1403" s="166">
        <v>6259649.0</v>
      </c>
      <c r="C1403" s="166" t="s">
        <v>82</v>
      </c>
      <c r="D1403" s="166" t="s">
        <v>35</v>
      </c>
      <c r="E1403" s="166">
        <v>4.399522615E9</v>
      </c>
      <c r="F1403" s="166" t="s">
        <v>3768</v>
      </c>
      <c r="G1403" s="212">
        <v>45581.0</v>
      </c>
      <c r="H1403" s="310">
        <v>45582.0</v>
      </c>
      <c r="I1403" s="168">
        <v>1.0</v>
      </c>
      <c r="J1403" s="169" t="s">
        <v>78</v>
      </c>
      <c r="K1403" s="166" t="s">
        <v>79</v>
      </c>
      <c r="L1403" s="166" t="s">
        <v>3364</v>
      </c>
      <c r="M1403" s="205">
        <v>2.0</v>
      </c>
      <c r="N1403" s="170">
        <v>0.0</v>
      </c>
      <c r="O1403" s="171">
        <v>187.07</v>
      </c>
      <c r="P1403" s="171">
        <v>149.656</v>
      </c>
      <c r="Q1403" s="172">
        <v>0.0</v>
      </c>
      <c r="R1403" s="173">
        <v>149.656</v>
      </c>
      <c r="S1403" s="173">
        <v>0.0</v>
      </c>
      <c r="T1403" s="173">
        <v>187.07</v>
      </c>
      <c r="U1403" s="174" t="s">
        <v>3365</v>
      </c>
      <c r="V1403" s="288">
        <v>45576.67575231481</v>
      </c>
      <c r="W1403" s="35"/>
      <c r="X1403" s="35"/>
      <c r="Y1403" s="35"/>
      <c r="Z1403" s="35"/>
      <c r="AA1403" s="35"/>
      <c r="AB1403" s="35"/>
      <c r="AC1403" s="35"/>
      <c r="AD1403" s="35"/>
      <c r="AE1403" s="35"/>
      <c r="AF1403" s="35"/>
      <c r="AG1403" s="35"/>
      <c r="AH1403" s="35"/>
      <c r="AI1403" s="35"/>
    </row>
    <row r="1404">
      <c r="A1404" s="212">
        <v>45576.0</v>
      </c>
      <c r="B1404" s="166">
        <v>6260312.0</v>
      </c>
      <c r="C1404" s="166" t="s">
        <v>89</v>
      </c>
      <c r="D1404" s="166" t="s">
        <v>35</v>
      </c>
      <c r="E1404" s="166">
        <v>4.347542061E9</v>
      </c>
      <c r="F1404" s="166" t="s">
        <v>3769</v>
      </c>
      <c r="G1404" s="212">
        <v>45607.0</v>
      </c>
      <c r="H1404" s="310">
        <v>45609.0</v>
      </c>
      <c r="I1404" s="168">
        <v>2.0</v>
      </c>
      <c r="J1404" s="169" t="s">
        <v>78</v>
      </c>
      <c r="K1404" s="166" t="s">
        <v>79</v>
      </c>
      <c r="L1404" s="166" t="s">
        <v>2803</v>
      </c>
      <c r="M1404" s="205">
        <v>2.0</v>
      </c>
      <c r="N1404" s="170">
        <v>0.0</v>
      </c>
      <c r="O1404" s="171">
        <v>0.0</v>
      </c>
      <c r="P1404" s="171">
        <v>0.0</v>
      </c>
      <c r="Q1404" s="172">
        <v>0.0</v>
      </c>
      <c r="R1404" s="173">
        <v>0.0</v>
      </c>
      <c r="S1404" s="173">
        <v>0.0</v>
      </c>
      <c r="T1404" s="173">
        <v>0.0</v>
      </c>
      <c r="U1404" s="174" t="s">
        <v>3770</v>
      </c>
      <c r="V1404" s="288">
        <v>45576.8062962963</v>
      </c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</row>
    <row r="1405">
      <c r="A1405" s="305">
        <v>45577.0</v>
      </c>
      <c r="B1405" s="264">
        <v>6263745.0</v>
      </c>
      <c r="C1405" s="265" t="s">
        <v>82</v>
      </c>
      <c r="D1405" s="265" t="s">
        <v>94</v>
      </c>
      <c r="E1405" s="264">
        <v>6263745.0</v>
      </c>
      <c r="F1405" s="265" t="s">
        <v>3771</v>
      </c>
      <c r="G1405" s="305">
        <v>45577.0</v>
      </c>
      <c r="H1405" s="313">
        <v>45578.0</v>
      </c>
      <c r="I1405" s="282">
        <v>1.0</v>
      </c>
      <c r="J1405" s="283" t="s">
        <v>87</v>
      </c>
      <c r="K1405" s="265" t="s">
        <v>79</v>
      </c>
      <c r="L1405" s="265" t="s">
        <v>1811</v>
      </c>
      <c r="M1405" s="269">
        <v>2.0</v>
      </c>
      <c r="N1405" s="270">
        <v>0.0</v>
      </c>
      <c r="O1405" s="271">
        <v>103.24</v>
      </c>
      <c r="P1405" s="271">
        <v>102.2076</v>
      </c>
      <c r="Q1405" s="272">
        <v>0.0</v>
      </c>
      <c r="R1405" s="273">
        <v>102.2076</v>
      </c>
      <c r="S1405" s="273">
        <v>0.0</v>
      </c>
      <c r="T1405" s="273">
        <v>103.24</v>
      </c>
      <c r="U1405" s="274" t="s">
        <v>1812</v>
      </c>
      <c r="V1405" s="284">
        <v>45577.85150462963</v>
      </c>
      <c r="W1405" s="35"/>
      <c r="X1405" s="35"/>
      <c r="Y1405" s="35"/>
      <c r="Z1405" s="35"/>
      <c r="AA1405" s="35"/>
      <c r="AB1405" s="35"/>
      <c r="AC1405" s="35"/>
      <c r="AD1405" s="35"/>
      <c r="AE1405" s="35"/>
      <c r="AF1405" s="35"/>
      <c r="AG1405" s="35"/>
      <c r="AH1405" s="35"/>
      <c r="AI1405" s="35"/>
    </row>
    <row r="1406">
      <c r="A1406" s="212">
        <v>45577.0</v>
      </c>
      <c r="B1406" s="166">
        <v>6264098.0</v>
      </c>
      <c r="C1406" s="166" t="s">
        <v>82</v>
      </c>
      <c r="D1406" s="166" t="s">
        <v>35</v>
      </c>
      <c r="E1406" s="166">
        <v>4.672950117E9</v>
      </c>
      <c r="F1406" s="166" t="s">
        <v>3773</v>
      </c>
      <c r="G1406" s="212">
        <v>45585.0</v>
      </c>
      <c r="H1406" s="310">
        <v>45587.0</v>
      </c>
      <c r="I1406" s="168">
        <v>2.0</v>
      </c>
      <c r="J1406" s="169" t="s">
        <v>78</v>
      </c>
      <c r="K1406" s="166" t="s">
        <v>79</v>
      </c>
      <c r="L1406" s="166" t="s">
        <v>2803</v>
      </c>
      <c r="M1406" s="166">
        <v>3.0</v>
      </c>
      <c r="N1406" s="170">
        <v>0.0</v>
      </c>
      <c r="O1406" s="171">
        <v>179.45</v>
      </c>
      <c r="P1406" s="171">
        <v>143.56</v>
      </c>
      <c r="Q1406" s="172">
        <v>0.0</v>
      </c>
      <c r="R1406" s="173">
        <v>287.12</v>
      </c>
      <c r="S1406" s="173">
        <v>0.0</v>
      </c>
      <c r="T1406" s="173">
        <v>358.9</v>
      </c>
      <c r="U1406" s="174" t="s">
        <v>2804</v>
      </c>
      <c r="V1406" s="288">
        <v>45577.959768518514</v>
      </c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</row>
    <row r="1407">
      <c r="A1407" s="212">
        <v>45578.0</v>
      </c>
      <c r="B1407" s="166">
        <v>6267209.0</v>
      </c>
      <c r="C1407" s="166" t="s">
        <v>82</v>
      </c>
      <c r="D1407" s="166" t="s">
        <v>94</v>
      </c>
      <c r="E1407" s="166">
        <v>6267209.0</v>
      </c>
      <c r="F1407" s="166" t="s">
        <v>3775</v>
      </c>
      <c r="G1407" s="212">
        <v>45579.0</v>
      </c>
      <c r="H1407" s="310">
        <v>45580.0</v>
      </c>
      <c r="I1407" s="168">
        <v>1.0</v>
      </c>
      <c r="J1407" s="169" t="s">
        <v>114</v>
      </c>
      <c r="K1407" s="166" t="s">
        <v>79</v>
      </c>
      <c r="L1407" s="166" t="s">
        <v>1462</v>
      </c>
      <c r="M1407" s="166">
        <v>2.0</v>
      </c>
      <c r="N1407" s="170">
        <v>0.0</v>
      </c>
      <c r="O1407" s="171">
        <v>133.0</v>
      </c>
      <c r="P1407" s="171">
        <v>131.67</v>
      </c>
      <c r="Q1407" s="172">
        <v>0.0</v>
      </c>
      <c r="R1407" s="173">
        <v>131.67</v>
      </c>
      <c r="S1407" s="173">
        <v>0.0</v>
      </c>
      <c r="T1407" s="173">
        <v>133.0</v>
      </c>
      <c r="U1407" s="174" t="s">
        <v>1463</v>
      </c>
      <c r="V1407" s="288">
        <v>45578.90923611111</v>
      </c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</row>
    <row r="1408">
      <c r="A1408" s="305">
        <v>45578.0</v>
      </c>
      <c r="B1408" s="264">
        <v>6264831.0</v>
      </c>
      <c r="C1408" s="265" t="s">
        <v>82</v>
      </c>
      <c r="D1408" s="265" t="s">
        <v>35</v>
      </c>
      <c r="E1408" s="264">
        <v>4.350044978E9</v>
      </c>
      <c r="F1408" s="265" t="s">
        <v>3776</v>
      </c>
      <c r="G1408" s="305">
        <v>45579.0</v>
      </c>
      <c r="H1408" s="313">
        <v>45580.0</v>
      </c>
      <c r="I1408" s="282">
        <v>1.0</v>
      </c>
      <c r="J1408" s="283" t="s">
        <v>87</v>
      </c>
      <c r="K1408" s="265" t="s">
        <v>79</v>
      </c>
      <c r="L1408" s="265" t="s">
        <v>3375</v>
      </c>
      <c r="M1408" s="269">
        <v>2.0</v>
      </c>
      <c r="N1408" s="270">
        <v>0.0</v>
      </c>
      <c r="O1408" s="271">
        <v>124.55</v>
      </c>
      <c r="P1408" s="271">
        <v>99.64</v>
      </c>
      <c r="Q1408" s="272">
        <v>0.0</v>
      </c>
      <c r="R1408" s="273">
        <v>99.64</v>
      </c>
      <c r="S1408" s="273">
        <v>0.0</v>
      </c>
      <c r="T1408" s="273">
        <v>124.55</v>
      </c>
      <c r="U1408" s="274" t="s">
        <v>3376</v>
      </c>
      <c r="V1408" s="284">
        <v>45578.399351851855</v>
      </c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</row>
    <row r="1409">
      <c r="A1409" s="212">
        <v>45578.0</v>
      </c>
      <c r="B1409" s="166">
        <v>6266701.0</v>
      </c>
      <c r="C1409" s="166" t="s">
        <v>82</v>
      </c>
      <c r="D1409" s="166" t="s">
        <v>35</v>
      </c>
      <c r="E1409" s="166">
        <v>4.350022908E9</v>
      </c>
      <c r="F1409" s="166" t="s">
        <v>3777</v>
      </c>
      <c r="G1409" s="212">
        <v>45596.0</v>
      </c>
      <c r="H1409" s="287">
        <v>45597.0</v>
      </c>
      <c r="I1409" s="168">
        <v>1.0</v>
      </c>
      <c r="J1409" s="169" t="s">
        <v>91</v>
      </c>
      <c r="K1409" s="166" t="s">
        <v>79</v>
      </c>
      <c r="L1409" s="166" t="s">
        <v>2803</v>
      </c>
      <c r="M1409" s="166">
        <v>5.0</v>
      </c>
      <c r="N1409" s="170">
        <v>0.0</v>
      </c>
      <c r="O1409" s="171">
        <v>352.51</v>
      </c>
      <c r="P1409" s="171">
        <v>282.008</v>
      </c>
      <c r="Q1409" s="172">
        <v>0.0</v>
      </c>
      <c r="R1409" s="173">
        <v>282.008</v>
      </c>
      <c r="S1409" s="173">
        <v>0.0</v>
      </c>
      <c r="T1409" s="173">
        <v>352.51</v>
      </c>
      <c r="U1409" s="201" t="s">
        <v>2804</v>
      </c>
      <c r="V1409" s="288">
        <v>45578.80840277778</v>
      </c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</row>
    <row r="1410">
      <c r="A1410" s="304">
        <v>45578.0</v>
      </c>
      <c r="B1410" s="252">
        <v>6266567.0</v>
      </c>
      <c r="C1410" s="253" t="s">
        <v>82</v>
      </c>
      <c r="D1410" s="253" t="s">
        <v>35</v>
      </c>
      <c r="E1410" s="252">
        <v>4.376673076E9</v>
      </c>
      <c r="F1410" s="253" t="s">
        <v>3778</v>
      </c>
      <c r="G1410" s="276">
        <v>45603.0</v>
      </c>
      <c r="H1410" s="277">
        <v>45604.0</v>
      </c>
      <c r="I1410" s="278">
        <v>1.0</v>
      </c>
      <c r="J1410" s="257" t="s">
        <v>87</v>
      </c>
      <c r="K1410" s="253" t="s">
        <v>79</v>
      </c>
      <c r="L1410" s="253" t="s">
        <v>2803</v>
      </c>
      <c r="M1410" s="252">
        <v>2.0</v>
      </c>
      <c r="N1410" s="258">
        <v>0.0</v>
      </c>
      <c r="O1410" s="259">
        <v>115.14</v>
      </c>
      <c r="P1410" s="259">
        <v>92.11200000000001</v>
      </c>
      <c r="Q1410" s="257">
        <v>0.0</v>
      </c>
      <c r="R1410" s="260">
        <v>92.11200000000001</v>
      </c>
      <c r="S1410" s="260">
        <v>0.0</v>
      </c>
      <c r="T1410" s="260">
        <v>115.14</v>
      </c>
      <c r="U1410" s="261" t="s">
        <v>2804</v>
      </c>
      <c r="V1410" s="279">
        <v>45578.78061342593</v>
      </c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</row>
    <row r="1411">
      <c r="A1411" s="303">
        <v>45578.0</v>
      </c>
      <c r="B1411" s="290">
        <v>6265520.0</v>
      </c>
      <c r="C1411" s="291" t="s">
        <v>82</v>
      </c>
      <c r="D1411" s="291" t="s">
        <v>35</v>
      </c>
      <c r="E1411" s="290">
        <v>4.37662261E9</v>
      </c>
      <c r="F1411" s="291" t="s">
        <v>3779</v>
      </c>
      <c r="G1411" s="289">
        <v>45604.0</v>
      </c>
      <c r="H1411" s="360">
        <v>45606.0</v>
      </c>
      <c r="I1411" s="293">
        <v>2.0</v>
      </c>
      <c r="J1411" s="294" t="s">
        <v>87</v>
      </c>
      <c r="K1411" s="291" t="s">
        <v>79</v>
      </c>
      <c r="L1411" s="291" t="s">
        <v>2803</v>
      </c>
      <c r="M1411" s="290">
        <v>2.0</v>
      </c>
      <c r="N1411" s="295">
        <v>0.0</v>
      </c>
      <c r="O1411" s="296">
        <v>123.13</v>
      </c>
      <c r="P1411" s="296">
        <v>98.504</v>
      </c>
      <c r="Q1411" s="301">
        <v>0.0</v>
      </c>
      <c r="R1411" s="297">
        <v>197.008</v>
      </c>
      <c r="S1411" s="297">
        <v>0.0</v>
      </c>
      <c r="T1411" s="297">
        <v>246.26</v>
      </c>
      <c r="U1411" s="298" t="s">
        <v>2804</v>
      </c>
      <c r="V1411" s="299">
        <v>45578.55978009259</v>
      </c>
      <c r="W1411" s="428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</row>
    <row r="1412">
      <c r="A1412" s="212">
        <v>45578.0</v>
      </c>
      <c r="B1412" s="166">
        <v>6265023.0</v>
      </c>
      <c r="C1412" s="166" t="s">
        <v>82</v>
      </c>
      <c r="D1412" s="166" t="s">
        <v>35</v>
      </c>
      <c r="E1412" s="166">
        <v>4.459342657E9</v>
      </c>
      <c r="F1412" s="166" t="s">
        <v>3780</v>
      </c>
      <c r="G1412" s="212">
        <v>45606.0</v>
      </c>
      <c r="H1412" s="310">
        <v>45611.0</v>
      </c>
      <c r="I1412" s="168">
        <v>5.0</v>
      </c>
      <c r="J1412" s="169" t="s">
        <v>78</v>
      </c>
      <c r="K1412" s="166" t="s">
        <v>79</v>
      </c>
      <c r="L1412" s="166" t="s">
        <v>2803</v>
      </c>
      <c r="M1412" s="166">
        <v>2.0</v>
      </c>
      <c r="N1412" s="169">
        <v>0.0</v>
      </c>
      <c r="O1412" s="171">
        <v>180.63</v>
      </c>
      <c r="P1412" s="171">
        <v>144.504</v>
      </c>
      <c r="Q1412" s="169">
        <v>0.0</v>
      </c>
      <c r="R1412" s="173">
        <v>722.52</v>
      </c>
      <c r="S1412" s="173">
        <v>0.0</v>
      </c>
      <c r="T1412" s="173">
        <v>903.15</v>
      </c>
      <c r="U1412" s="201" t="s">
        <v>2804</v>
      </c>
      <c r="V1412" s="288">
        <v>45578.44726851852</v>
      </c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</row>
    <row r="1413">
      <c r="A1413" s="305">
        <v>45578.0</v>
      </c>
      <c r="B1413" s="264">
        <v>6266901.0</v>
      </c>
      <c r="C1413" s="265" t="s">
        <v>89</v>
      </c>
      <c r="D1413" s="265" t="s">
        <v>35</v>
      </c>
      <c r="E1413" s="264">
        <v>4.459325037E9</v>
      </c>
      <c r="F1413" s="265" t="s">
        <v>3781</v>
      </c>
      <c r="G1413" s="280">
        <v>45631.0</v>
      </c>
      <c r="H1413" s="281">
        <v>45634.0</v>
      </c>
      <c r="I1413" s="282">
        <v>3.0</v>
      </c>
      <c r="J1413" s="283" t="s">
        <v>78</v>
      </c>
      <c r="K1413" s="265" t="s">
        <v>79</v>
      </c>
      <c r="L1413" s="265" t="s">
        <v>2803</v>
      </c>
      <c r="M1413" s="269">
        <v>2.0</v>
      </c>
      <c r="N1413" s="270">
        <v>0.0</v>
      </c>
      <c r="O1413" s="271">
        <v>0.0</v>
      </c>
      <c r="P1413" s="271">
        <v>0.0</v>
      </c>
      <c r="Q1413" s="272">
        <v>0.0</v>
      </c>
      <c r="R1413" s="273">
        <v>0.0</v>
      </c>
      <c r="S1413" s="273">
        <v>0.0</v>
      </c>
      <c r="T1413" s="273">
        <v>0.0</v>
      </c>
      <c r="U1413" s="274" t="s">
        <v>3782</v>
      </c>
      <c r="V1413" s="284">
        <v>45578.84520833333</v>
      </c>
      <c r="W1413" s="35"/>
      <c r="X1413" s="35"/>
      <c r="Y1413" s="35"/>
      <c r="Z1413" s="35"/>
      <c r="AA1413" s="35"/>
      <c r="AB1413" s="35"/>
      <c r="AC1413" s="35"/>
      <c r="AD1413" s="35"/>
      <c r="AE1413" s="35"/>
      <c r="AF1413" s="35"/>
      <c r="AG1413" s="35"/>
      <c r="AH1413" s="35"/>
      <c r="AI1413" s="35"/>
    </row>
    <row r="1414">
      <c r="A1414" s="304">
        <v>45580.0</v>
      </c>
      <c r="B1414" s="252">
        <v>6274361.0</v>
      </c>
      <c r="C1414" s="253" t="s">
        <v>82</v>
      </c>
      <c r="D1414" s="253" t="s">
        <v>35</v>
      </c>
      <c r="E1414" s="252">
        <v>4.9405306E9</v>
      </c>
      <c r="F1414" s="253" t="s">
        <v>3783</v>
      </c>
      <c r="G1414" s="304">
        <v>45596.0</v>
      </c>
      <c r="H1414" s="277">
        <v>45597.0</v>
      </c>
      <c r="I1414" s="278">
        <v>1.0</v>
      </c>
      <c r="J1414" s="257" t="s">
        <v>78</v>
      </c>
      <c r="K1414" s="253" t="s">
        <v>79</v>
      </c>
      <c r="L1414" s="253" t="s">
        <v>2803</v>
      </c>
      <c r="M1414" s="275">
        <v>2.0</v>
      </c>
      <c r="N1414" s="258">
        <v>0.0</v>
      </c>
      <c r="O1414" s="259">
        <v>143.5</v>
      </c>
      <c r="P1414" s="259">
        <v>114.80000000000001</v>
      </c>
      <c r="Q1414" s="262">
        <v>0.0</v>
      </c>
      <c r="R1414" s="260">
        <v>114.80000000000001</v>
      </c>
      <c r="S1414" s="260">
        <v>0.0</v>
      </c>
      <c r="T1414" s="260">
        <v>143.5</v>
      </c>
      <c r="U1414" s="261" t="s">
        <v>2804</v>
      </c>
      <c r="V1414" s="279">
        <v>45580.900775462964</v>
      </c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</row>
    <row r="1415">
      <c r="A1415" s="304">
        <v>45581.0</v>
      </c>
      <c r="B1415" s="252">
        <v>6277551.0</v>
      </c>
      <c r="C1415" s="253" t="s">
        <v>82</v>
      </c>
      <c r="D1415" s="253" t="s">
        <v>94</v>
      </c>
      <c r="E1415" s="252">
        <v>6277551.0</v>
      </c>
      <c r="F1415" s="253" t="s">
        <v>3784</v>
      </c>
      <c r="G1415" s="276">
        <v>45627.0</v>
      </c>
      <c r="H1415" s="277">
        <v>45634.0</v>
      </c>
      <c r="I1415" s="278">
        <v>7.0</v>
      </c>
      <c r="J1415" s="257" t="s">
        <v>78</v>
      </c>
      <c r="K1415" s="253" t="s">
        <v>79</v>
      </c>
      <c r="L1415" s="253" t="s">
        <v>1811</v>
      </c>
      <c r="M1415" s="275">
        <v>2.0</v>
      </c>
      <c r="N1415" s="258">
        <v>0.0</v>
      </c>
      <c r="O1415" s="259">
        <v>120.2</v>
      </c>
      <c r="P1415" s="259">
        <v>118.998</v>
      </c>
      <c r="Q1415" s="262">
        <v>0.0</v>
      </c>
      <c r="R1415" s="260">
        <v>832.986</v>
      </c>
      <c r="S1415" s="260">
        <v>0.0</v>
      </c>
      <c r="T1415" s="260">
        <v>841.4</v>
      </c>
      <c r="U1415" s="261" t="s">
        <v>1812</v>
      </c>
      <c r="V1415" s="279">
        <v>45581.81613425926</v>
      </c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</row>
    <row r="1416">
      <c r="A1416" s="212">
        <v>45581.0</v>
      </c>
      <c r="B1416" s="166">
        <v>6275519.0</v>
      </c>
      <c r="C1416" s="166" t="s">
        <v>82</v>
      </c>
      <c r="D1416" s="166" t="s">
        <v>35</v>
      </c>
      <c r="E1416" s="166">
        <v>4.419147067E9</v>
      </c>
      <c r="F1416" s="166" t="s">
        <v>3785</v>
      </c>
      <c r="G1416" s="210">
        <v>45633.0</v>
      </c>
      <c r="H1416" s="310">
        <v>45636.0</v>
      </c>
      <c r="I1416" s="168">
        <v>3.0</v>
      </c>
      <c r="J1416" s="169" t="s">
        <v>78</v>
      </c>
      <c r="K1416" s="166" t="s">
        <v>79</v>
      </c>
      <c r="L1416" s="166" t="s">
        <v>3375</v>
      </c>
      <c r="M1416" s="166">
        <v>3.0</v>
      </c>
      <c r="N1416" s="170">
        <v>0.0</v>
      </c>
      <c r="O1416" s="171">
        <v>146.0</v>
      </c>
      <c r="P1416" s="171">
        <v>116.80000000000001</v>
      </c>
      <c r="Q1416" s="172">
        <v>0.0</v>
      </c>
      <c r="R1416" s="173">
        <v>350.40000000000003</v>
      </c>
      <c r="S1416" s="173">
        <v>0.0</v>
      </c>
      <c r="T1416" s="173">
        <v>438.0</v>
      </c>
      <c r="U1416" s="201" t="s">
        <v>3376</v>
      </c>
      <c r="V1416" s="288">
        <v>45581.424375</v>
      </c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</row>
    <row r="1417">
      <c r="A1417" s="304">
        <v>45582.0</v>
      </c>
      <c r="B1417" s="252">
        <v>6281405.0</v>
      </c>
      <c r="C1417" s="253" t="s">
        <v>82</v>
      </c>
      <c r="D1417" s="253" t="s">
        <v>94</v>
      </c>
      <c r="E1417" s="252">
        <v>6281405.0</v>
      </c>
      <c r="F1417" s="253" t="s">
        <v>2097</v>
      </c>
      <c r="G1417" s="304">
        <v>45582.0</v>
      </c>
      <c r="H1417" s="311">
        <v>45584.0</v>
      </c>
      <c r="I1417" s="278">
        <v>2.0</v>
      </c>
      <c r="J1417" s="257" t="s">
        <v>87</v>
      </c>
      <c r="K1417" s="253" t="s">
        <v>79</v>
      </c>
      <c r="L1417" s="253" t="s">
        <v>1811</v>
      </c>
      <c r="M1417" s="252">
        <v>2.0</v>
      </c>
      <c r="N1417" s="258">
        <v>0.0</v>
      </c>
      <c r="O1417" s="259">
        <v>103.24</v>
      </c>
      <c r="P1417" s="259">
        <v>102.2076</v>
      </c>
      <c r="Q1417" s="262">
        <v>0.0</v>
      </c>
      <c r="R1417" s="260">
        <v>204.4152</v>
      </c>
      <c r="S1417" s="260">
        <v>0.0</v>
      </c>
      <c r="T1417" s="260">
        <v>206.48</v>
      </c>
      <c r="U1417" s="261" t="s">
        <v>1812</v>
      </c>
      <c r="V1417" s="279">
        <v>45582.884733796294</v>
      </c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</row>
    <row r="1418">
      <c r="A1418" s="212">
        <v>45582.0</v>
      </c>
      <c r="B1418" s="166">
        <v>6281526.0</v>
      </c>
      <c r="C1418" s="166" t="s">
        <v>75</v>
      </c>
      <c r="D1418" s="166" t="s">
        <v>35</v>
      </c>
      <c r="E1418" s="166">
        <v>4.328981372E9</v>
      </c>
      <c r="F1418" s="166" t="s">
        <v>3786</v>
      </c>
      <c r="G1418" s="212">
        <v>45590.0</v>
      </c>
      <c r="H1418" s="310">
        <v>45591.0</v>
      </c>
      <c r="I1418" s="168">
        <v>1.0</v>
      </c>
      <c r="J1418" s="169" t="s">
        <v>114</v>
      </c>
      <c r="K1418" s="166" t="s">
        <v>79</v>
      </c>
      <c r="L1418" s="166" t="s">
        <v>3375</v>
      </c>
      <c r="M1418" s="166">
        <v>2.0</v>
      </c>
      <c r="N1418" s="170">
        <v>0.0</v>
      </c>
      <c r="O1418" s="171">
        <v>149.1</v>
      </c>
      <c r="P1418" s="171">
        <v>119.28</v>
      </c>
      <c r="Q1418" s="172">
        <v>0.0</v>
      </c>
      <c r="R1418" s="173">
        <v>119.28</v>
      </c>
      <c r="S1418" s="173">
        <v>0.0</v>
      </c>
      <c r="T1418" s="173">
        <v>149.1</v>
      </c>
      <c r="U1418" s="174" t="s">
        <v>3376</v>
      </c>
      <c r="V1418" s="288">
        <v>45586.01673611111</v>
      </c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</row>
    <row r="1419">
      <c r="A1419" s="304">
        <v>45584.0</v>
      </c>
      <c r="B1419" s="252">
        <v>6287508.0</v>
      </c>
      <c r="C1419" s="253" t="s">
        <v>82</v>
      </c>
      <c r="D1419" s="253" t="s">
        <v>94</v>
      </c>
      <c r="E1419" s="252">
        <v>6287508.0</v>
      </c>
      <c r="F1419" s="253" t="s">
        <v>3787</v>
      </c>
      <c r="G1419" s="304">
        <v>45596.0</v>
      </c>
      <c r="H1419" s="277">
        <v>45597.0</v>
      </c>
      <c r="I1419" s="278">
        <v>1.0</v>
      </c>
      <c r="J1419" s="257" t="s">
        <v>114</v>
      </c>
      <c r="K1419" s="253" t="s">
        <v>79</v>
      </c>
      <c r="L1419" s="253" t="s">
        <v>1601</v>
      </c>
      <c r="M1419" s="252">
        <v>1.0</v>
      </c>
      <c r="N1419" s="258">
        <v>0.0</v>
      </c>
      <c r="O1419" s="259">
        <v>147.46</v>
      </c>
      <c r="P1419" s="259">
        <v>145.9854</v>
      </c>
      <c r="Q1419" s="262">
        <v>0.0</v>
      </c>
      <c r="R1419" s="260">
        <v>145.9854</v>
      </c>
      <c r="S1419" s="260">
        <v>0.0</v>
      </c>
      <c r="T1419" s="260">
        <v>147.46</v>
      </c>
      <c r="U1419" s="261" t="s">
        <v>1602</v>
      </c>
      <c r="V1419" s="279">
        <v>45584.778715277775</v>
      </c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</row>
    <row r="1420">
      <c r="A1420" s="212">
        <v>45585.0</v>
      </c>
      <c r="B1420" s="166">
        <v>6291186.0</v>
      </c>
      <c r="C1420" s="166" t="s">
        <v>82</v>
      </c>
      <c r="D1420" s="166" t="s">
        <v>35</v>
      </c>
      <c r="E1420" s="166">
        <v>4.864181681E9</v>
      </c>
      <c r="F1420" s="166" t="s">
        <v>3788</v>
      </c>
      <c r="G1420" s="210">
        <v>45600.0</v>
      </c>
      <c r="H1420" s="287">
        <v>45602.0</v>
      </c>
      <c r="I1420" s="168">
        <v>2.0</v>
      </c>
      <c r="J1420" s="169" t="s">
        <v>111</v>
      </c>
      <c r="K1420" s="166" t="s">
        <v>79</v>
      </c>
      <c r="L1420" s="166" t="s">
        <v>3456</v>
      </c>
      <c r="M1420" s="166">
        <v>3.0</v>
      </c>
      <c r="N1420" s="170">
        <v>0.0</v>
      </c>
      <c r="O1420" s="171">
        <v>170.93</v>
      </c>
      <c r="P1420" s="171">
        <v>136.744</v>
      </c>
      <c r="Q1420" s="172">
        <v>0.0</v>
      </c>
      <c r="R1420" s="173">
        <v>273.488</v>
      </c>
      <c r="S1420" s="173">
        <v>0.0</v>
      </c>
      <c r="T1420" s="173">
        <v>341.86</v>
      </c>
      <c r="U1420" s="174" t="s">
        <v>3457</v>
      </c>
      <c r="V1420" s="288">
        <v>45585.92990740741</v>
      </c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</row>
    <row r="1421">
      <c r="A1421" s="212">
        <v>45585.0</v>
      </c>
      <c r="B1421" s="166">
        <v>6290050.0</v>
      </c>
      <c r="C1421" s="166" t="s">
        <v>82</v>
      </c>
      <c r="D1421" s="166" t="s">
        <v>94</v>
      </c>
      <c r="E1421" s="166">
        <v>6290050.0</v>
      </c>
      <c r="F1421" s="166" t="s">
        <v>3789</v>
      </c>
      <c r="G1421" s="210">
        <v>45628.0</v>
      </c>
      <c r="H1421" s="287">
        <v>45634.0</v>
      </c>
      <c r="I1421" s="168">
        <v>6.0</v>
      </c>
      <c r="J1421" s="169" t="s">
        <v>78</v>
      </c>
      <c r="K1421" s="166" t="s">
        <v>79</v>
      </c>
      <c r="L1421" s="166" t="s">
        <v>1462</v>
      </c>
      <c r="M1421" s="166">
        <v>2.0</v>
      </c>
      <c r="N1421" s="170">
        <v>0.0</v>
      </c>
      <c r="O1421" s="171">
        <v>120.2</v>
      </c>
      <c r="P1421" s="171">
        <v>118.998</v>
      </c>
      <c r="Q1421" s="172">
        <v>0.0</v>
      </c>
      <c r="R1421" s="173">
        <v>713.988</v>
      </c>
      <c r="S1421" s="173">
        <v>0.0</v>
      </c>
      <c r="T1421" s="173">
        <v>721.2</v>
      </c>
      <c r="U1421" s="201" t="s">
        <v>1463</v>
      </c>
      <c r="V1421" s="288">
        <v>45585.67774305555</v>
      </c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</row>
    <row r="1422">
      <c r="A1422" s="304">
        <v>45586.0</v>
      </c>
      <c r="B1422" s="252">
        <v>6292136.0</v>
      </c>
      <c r="C1422" s="253" t="s">
        <v>82</v>
      </c>
      <c r="D1422" s="253" t="s">
        <v>35</v>
      </c>
      <c r="E1422" s="252">
        <v>4.613771201E9</v>
      </c>
      <c r="F1422" s="253" t="s">
        <v>3790</v>
      </c>
      <c r="G1422" s="276">
        <v>45627.0</v>
      </c>
      <c r="H1422" s="277">
        <v>45631.0</v>
      </c>
      <c r="I1422" s="278">
        <v>4.0</v>
      </c>
      <c r="J1422" s="257" t="s">
        <v>78</v>
      </c>
      <c r="K1422" s="253" t="s">
        <v>79</v>
      </c>
      <c r="L1422" s="253" t="s">
        <v>2803</v>
      </c>
      <c r="M1422" s="252">
        <v>2.0</v>
      </c>
      <c r="N1422" s="258">
        <v>0.0</v>
      </c>
      <c r="O1422" s="259">
        <v>135.05</v>
      </c>
      <c r="P1422" s="259">
        <v>108.04000000000002</v>
      </c>
      <c r="Q1422" s="262">
        <v>0.0</v>
      </c>
      <c r="R1422" s="260">
        <v>432.1600000000001</v>
      </c>
      <c r="S1422" s="260">
        <v>0.0</v>
      </c>
      <c r="T1422" s="260">
        <v>1140.52</v>
      </c>
      <c r="U1422" s="261" t="s">
        <v>2804</v>
      </c>
      <c r="V1422" s="279">
        <v>45586.41819444444</v>
      </c>
      <c r="W1422" s="188"/>
      <c r="X1422" s="188"/>
      <c r="Y1422" s="188"/>
      <c r="Z1422" s="188"/>
      <c r="AA1422" s="188"/>
      <c r="AB1422" s="188"/>
      <c r="AC1422" s="188"/>
      <c r="AD1422" s="188"/>
      <c r="AE1422" s="188"/>
      <c r="AF1422" s="188"/>
      <c r="AG1422" s="188"/>
      <c r="AH1422" s="188"/>
      <c r="AI1422" s="188"/>
    </row>
    <row r="1423">
      <c r="A1423" s="212">
        <v>45586.0</v>
      </c>
      <c r="B1423" s="166">
        <v>6292136.0</v>
      </c>
      <c r="C1423" s="166" t="s">
        <v>82</v>
      </c>
      <c r="D1423" s="166" t="s">
        <v>35</v>
      </c>
      <c r="E1423" s="166">
        <v>4.613771201E9</v>
      </c>
      <c r="F1423" s="166" t="s">
        <v>3790</v>
      </c>
      <c r="G1423" s="210">
        <v>45627.0</v>
      </c>
      <c r="H1423" s="287">
        <v>45631.0</v>
      </c>
      <c r="I1423" s="168">
        <v>4.0</v>
      </c>
      <c r="J1423" s="169" t="s">
        <v>111</v>
      </c>
      <c r="K1423" s="166" t="s">
        <v>79</v>
      </c>
      <c r="L1423" s="166" t="s">
        <v>2803</v>
      </c>
      <c r="M1423" s="166">
        <v>2.0</v>
      </c>
      <c r="N1423" s="170">
        <v>0.0</v>
      </c>
      <c r="O1423" s="171">
        <v>150.08</v>
      </c>
      <c r="P1423" s="171">
        <v>120.06400000000002</v>
      </c>
      <c r="Q1423" s="172">
        <v>0.0</v>
      </c>
      <c r="R1423" s="173">
        <v>480.2560000000001</v>
      </c>
      <c r="S1423" s="173">
        <v>0.0</v>
      </c>
      <c r="T1423" s="173">
        <v>1140.52</v>
      </c>
      <c r="U1423" s="174" t="s">
        <v>2804</v>
      </c>
      <c r="V1423" s="288">
        <v>45586.41819444444</v>
      </c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</row>
    <row r="1424">
      <c r="A1424" s="212">
        <v>45586.0</v>
      </c>
      <c r="B1424" s="166">
        <v>6292958.0</v>
      </c>
      <c r="C1424" s="166" t="s">
        <v>89</v>
      </c>
      <c r="D1424" s="166" t="s">
        <v>35</v>
      </c>
      <c r="E1424" s="166">
        <v>4.732078989E9</v>
      </c>
      <c r="F1424" s="166" t="s">
        <v>3791</v>
      </c>
      <c r="G1424" s="210">
        <v>45669.0</v>
      </c>
      <c r="H1424" s="287">
        <v>45672.0</v>
      </c>
      <c r="I1424" s="168">
        <v>3.0</v>
      </c>
      <c r="J1424" s="169" t="s">
        <v>78</v>
      </c>
      <c r="K1424" s="166" t="s">
        <v>79</v>
      </c>
      <c r="L1424" s="166" t="s">
        <v>2803</v>
      </c>
      <c r="M1424" s="205">
        <v>2.0</v>
      </c>
      <c r="N1424" s="170">
        <v>0.0</v>
      </c>
      <c r="O1424" s="171">
        <v>0.0</v>
      </c>
      <c r="P1424" s="171">
        <v>0.0</v>
      </c>
      <c r="Q1424" s="172">
        <v>0.0</v>
      </c>
      <c r="R1424" s="173">
        <v>0.0</v>
      </c>
      <c r="S1424" s="173">
        <v>0.0</v>
      </c>
      <c r="T1424" s="260">
        <v>0.0</v>
      </c>
      <c r="U1424" s="261" t="s">
        <v>3792</v>
      </c>
      <c r="V1424" s="279">
        <v>45634.720868055556</v>
      </c>
      <c r="W1424" s="35"/>
      <c r="X1424" s="35"/>
      <c r="Y1424" s="35"/>
      <c r="Z1424" s="35"/>
      <c r="AA1424" s="35"/>
      <c r="AB1424" s="35"/>
      <c r="AC1424" s="35"/>
      <c r="AD1424" s="35"/>
      <c r="AE1424" s="35"/>
      <c r="AF1424" s="35"/>
      <c r="AG1424" s="35"/>
      <c r="AH1424" s="35"/>
      <c r="AI1424" s="35"/>
    </row>
    <row r="1425">
      <c r="A1425" s="212">
        <v>45586.0</v>
      </c>
      <c r="B1425" s="166">
        <v>6293811.0</v>
      </c>
      <c r="C1425" s="166" t="s">
        <v>75</v>
      </c>
      <c r="D1425" s="166" t="s">
        <v>12</v>
      </c>
      <c r="E1425" s="166" t="s">
        <v>3793</v>
      </c>
      <c r="F1425" s="166" t="s">
        <v>3794</v>
      </c>
      <c r="G1425" s="212">
        <v>45656.0</v>
      </c>
      <c r="H1425" s="287">
        <v>45658.0</v>
      </c>
      <c r="I1425" s="168">
        <v>2.0</v>
      </c>
      <c r="J1425" s="169" t="s">
        <v>114</v>
      </c>
      <c r="K1425" s="166" t="s">
        <v>79</v>
      </c>
      <c r="L1425" s="166" t="s">
        <v>123</v>
      </c>
      <c r="M1425" s="166">
        <v>2.0</v>
      </c>
      <c r="N1425" s="170">
        <v>0.0</v>
      </c>
      <c r="O1425" s="171">
        <v>283.92</v>
      </c>
      <c r="P1425" s="171">
        <v>227.13600000000002</v>
      </c>
      <c r="Q1425" s="172">
        <v>0.0</v>
      </c>
      <c r="R1425" s="173">
        <v>454.27200000000005</v>
      </c>
      <c r="S1425" s="173">
        <v>0.0</v>
      </c>
      <c r="T1425" s="173">
        <v>567.84</v>
      </c>
      <c r="U1425" s="201" t="s">
        <v>2416</v>
      </c>
      <c r="V1425" s="288">
        <v>45644.92712962963</v>
      </c>
      <c r="W1425" s="35"/>
      <c r="X1425" s="35"/>
      <c r="Y1425" s="35"/>
      <c r="Z1425" s="35"/>
      <c r="AA1425" s="35"/>
      <c r="AB1425" s="35"/>
      <c r="AC1425" s="35"/>
      <c r="AD1425" s="35"/>
      <c r="AE1425" s="35"/>
      <c r="AF1425" s="35"/>
      <c r="AG1425" s="35"/>
      <c r="AH1425" s="35"/>
      <c r="AI1425" s="35"/>
    </row>
    <row r="1426">
      <c r="A1426" s="212">
        <v>45587.0</v>
      </c>
      <c r="B1426" s="166">
        <v>6295478.0</v>
      </c>
      <c r="C1426" s="166" t="s">
        <v>82</v>
      </c>
      <c r="D1426" s="166" t="s">
        <v>94</v>
      </c>
      <c r="E1426" s="166">
        <v>6295478.0</v>
      </c>
      <c r="F1426" s="166" t="s">
        <v>3795</v>
      </c>
      <c r="G1426" s="212">
        <v>45590.0</v>
      </c>
      <c r="H1426" s="310">
        <v>45591.0</v>
      </c>
      <c r="I1426" s="168">
        <v>1.0</v>
      </c>
      <c r="J1426" s="169" t="s">
        <v>114</v>
      </c>
      <c r="K1426" s="166" t="s">
        <v>79</v>
      </c>
      <c r="L1426" s="166" t="s">
        <v>1462</v>
      </c>
      <c r="M1426" s="166">
        <v>2.0</v>
      </c>
      <c r="N1426" s="169">
        <v>0.0</v>
      </c>
      <c r="O1426" s="171">
        <v>149.96</v>
      </c>
      <c r="P1426" s="171">
        <v>148.4604</v>
      </c>
      <c r="Q1426" s="169">
        <v>0.0</v>
      </c>
      <c r="R1426" s="173">
        <v>148.4604</v>
      </c>
      <c r="S1426" s="173">
        <v>0.0</v>
      </c>
      <c r="T1426" s="173">
        <v>149.96</v>
      </c>
      <c r="U1426" s="201" t="s">
        <v>1463</v>
      </c>
      <c r="V1426" s="288">
        <v>45587.355567129634</v>
      </c>
      <c r="W1426" s="188"/>
      <c r="X1426" s="188"/>
      <c r="Y1426" s="188"/>
      <c r="Z1426" s="188"/>
      <c r="AA1426" s="188"/>
      <c r="AB1426" s="188"/>
      <c r="AC1426" s="188"/>
      <c r="AD1426" s="188"/>
      <c r="AE1426" s="188"/>
      <c r="AF1426" s="188"/>
      <c r="AG1426" s="188"/>
      <c r="AH1426" s="188"/>
      <c r="AI1426" s="188"/>
    </row>
    <row r="1427">
      <c r="A1427" s="212">
        <v>45587.0</v>
      </c>
      <c r="B1427" s="166">
        <v>6297451.0</v>
      </c>
      <c r="C1427" s="166" t="s">
        <v>82</v>
      </c>
      <c r="D1427" s="166" t="s">
        <v>35</v>
      </c>
      <c r="E1427" s="166">
        <v>4.663319573E9</v>
      </c>
      <c r="F1427" s="166" t="s">
        <v>3796</v>
      </c>
      <c r="G1427" s="212">
        <v>45619.0</v>
      </c>
      <c r="H1427" s="310">
        <v>45620.0</v>
      </c>
      <c r="I1427" s="168">
        <v>1.0</v>
      </c>
      <c r="J1427" s="169" t="s">
        <v>78</v>
      </c>
      <c r="K1427" s="166" t="s">
        <v>79</v>
      </c>
      <c r="L1427" s="166" t="s">
        <v>2803</v>
      </c>
      <c r="M1427" s="166">
        <v>2.0</v>
      </c>
      <c r="N1427" s="170">
        <v>0.0</v>
      </c>
      <c r="O1427" s="171">
        <v>180.63</v>
      </c>
      <c r="P1427" s="171">
        <v>144.504</v>
      </c>
      <c r="Q1427" s="172">
        <v>0.0</v>
      </c>
      <c r="R1427" s="173">
        <v>144.504</v>
      </c>
      <c r="S1427" s="173">
        <v>0.0</v>
      </c>
      <c r="T1427" s="173">
        <v>180.63</v>
      </c>
      <c r="U1427" s="174" t="s">
        <v>2804</v>
      </c>
      <c r="V1427" s="288">
        <v>45587.76253472222</v>
      </c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</row>
    <row r="1428">
      <c r="A1428" s="212">
        <v>45588.0</v>
      </c>
      <c r="B1428" s="166">
        <v>6301539.0</v>
      </c>
      <c r="C1428" s="166" t="s">
        <v>82</v>
      </c>
      <c r="D1428" s="166" t="s">
        <v>35</v>
      </c>
      <c r="E1428" s="166">
        <v>4.84337701E9</v>
      </c>
      <c r="F1428" s="166" t="s">
        <v>3797</v>
      </c>
      <c r="G1428" s="210">
        <v>45600.0</v>
      </c>
      <c r="H1428" s="287">
        <v>45602.0</v>
      </c>
      <c r="I1428" s="168">
        <v>2.0</v>
      </c>
      <c r="J1428" s="169" t="s">
        <v>114</v>
      </c>
      <c r="K1428" s="166" t="s">
        <v>79</v>
      </c>
      <c r="L1428" s="166" t="s">
        <v>2803</v>
      </c>
      <c r="M1428" s="166">
        <v>2.0</v>
      </c>
      <c r="N1428" s="170">
        <v>0.0</v>
      </c>
      <c r="O1428" s="171">
        <v>152.14</v>
      </c>
      <c r="P1428" s="171">
        <v>121.71199999999999</v>
      </c>
      <c r="Q1428" s="172">
        <v>0.0</v>
      </c>
      <c r="R1428" s="173">
        <v>243.42399999999998</v>
      </c>
      <c r="S1428" s="173">
        <v>0.0</v>
      </c>
      <c r="T1428" s="173">
        <v>304.28</v>
      </c>
      <c r="U1428" s="174" t="s">
        <v>2804</v>
      </c>
      <c r="V1428" s="288">
        <v>45588.91253472222</v>
      </c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</row>
    <row r="1429">
      <c r="A1429" s="212">
        <v>45588.0</v>
      </c>
      <c r="B1429" s="166">
        <v>6299440.0</v>
      </c>
      <c r="C1429" s="166" t="s">
        <v>82</v>
      </c>
      <c r="D1429" s="166" t="s">
        <v>12</v>
      </c>
      <c r="E1429" s="166" t="s">
        <v>3798</v>
      </c>
      <c r="F1429" s="166" t="s">
        <v>3799</v>
      </c>
      <c r="G1429" s="212">
        <v>45657.0</v>
      </c>
      <c r="H1429" s="287">
        <v>45661.0</v>
      </c>
      <c r="I1429" s="168">
        <v>4.0</v>
      </c>
      <c r="J1429" s="169" t="s">
        <v>78</v>
      </c>
      <c r="K1429" s="166" t="s">
        <v>79</v>
      </c>
      <c r="L1429" s="166" t="s">
        <v>123</v>
      </c>
      <c r="M1429" s="166">
        <v>3.0</v>
      </c>
      <c r="N1429" s="170">
        <v>0.0</v>
      </c>
      <c r="O1429" s="171">
        <v>259.01</v>
      </c>
      <c r="P1429" s="171">
        <v>207.208</v>
      </c>
      <c r="Q1429" s="172">
        <v>0.0</v>
      </c>
      <c r="R1429" s="173">
        <v>828.832</v>
      </c>
      <c r="S1429" s="173">
        <v>0.0</v>
      </c>
      <c r="T1429" s="173">
        <v>1036.04</v>
      </c>
      <c r="U1429" s="174" t="s">
        <v>2416</v>
      </c>
      <c r="V1429" s="288">
        <v>45588.44795138889</v>
      </c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</row>
    <row r="1430">
      <c r="A1430" s="212">
        <v>45589.0</v>
      </c>
      <c r="B1430" s="166">
        <v>6303292.0</v>
      </c>
      <c r="C1430" s="166" t="s">
        <v>82</v>
      </c>
      <c r="D1430" s="166" t="s">
        <v>94</v>
      </c>
      <c r="E1430" s="166">
        <v>6303292.0</v>
      </c>
      <c r="F1430" s="166" t="s">
        <v>3800</v>
      </c>
      <c r="G1430" s="212">
        <v>45607.0</v>
      </c>
      <c r="H1430" s="310">
        <v>45608.0</v>
      </c>
      <c r="I1430" s="168">
        <v>1.0</v>
      </c>
      <c r="J1430" s="169" t="s">
        <v>114</v>
      </c>
      <c r="K1430" s="166" t="s">
        <v>79</v>
      </c>
      <c r="L1430" s="166" t="s">
        <v>1462</v>
      </c>
      <c r="M1430" s="166">
        <v>2.0</v>
      </c>
      <c r="N1430" s="170">
        <v>0.0</v>
      </c>
      <c r="O1430" s="171">
        <v>149.96</v>
      </c>
      <c r="P1430" s="171">
        <v>148.4604</v>
      </c>
      <c r="Q1430" s="172">
        <v>0.0</v>
      </c>
      <c r="R1430" s="173">
        <v>148.4604</v>
      </c>
      <c r="S1430" s="173">
        <v>0.0</v>
      </c>
      <c r="T1430" s="173">
        <v>149.96</v>
      </c>
      <c r="U1430" s="174" t="s">
        <v>1463</v>
      </c>
      <c r="V1430" s="288">
        <v>45589.557962962965</v>
      </c>
      <c r="W1430" s="188"/>
      <c r="X1430" s="188"/>
      <c r="Y1430" s="188"/>
      <c r="Z1430" s="188"/>
      <c r="AA1430" s="188"/>
      <c r="AB1430" s="188"/>
      <c r="AC1430" s="188"/>
      <c r="AD1430" s="188"/>
      <c r="AE1430" s="188"/>
      <c r="AF1430" s="188"/>
      <c r="AG1430" s="188"/>
      <c r="AH1430" s="188"/>
      <c r="AI1430" s="188"/>
    </row>
    <row r="1431">
      <c r="A1431" s="212">
        <v>45589.0</v>
      </c>
      <c r="B1431" s="166">
        <v>6303296.0</v>
      </c>
      <c r="C1431" s="166" t="s">
        <v>82</v>
      </c>
      <c r="D1431" s="166" t="s">
        <v>94</v>
      </c>
      <c r="E1431" s="166">
        <v>6303296.0</v>
      </c>
      <c r="F1431" s="166" t="s">
        <v>3801</v>
      </c>
      <c r="G1431" s="212">
        <v>45608.0</v>
      </c>
      <c r="H1431" s="310">
        <v>45609.0</v>
      </c>
      <c r="I1431" s="168">
        <v>1.0</v>
      </c>
      <c r="J1431" s="169" t="s">
        <v>114</v>
      </c>
      <c r="K1431" s="166" t="s">
        <v>79</v>
      </c>
      <c r="L1431" s="166" t="s">
        <v>1462</v>
      </c>
      <c r="M1431" s="166">
        <v>2.0</v>
      </c>
      <c r="N1431" s="170">
        <v>0.0</v>
      </c>
      <c r="O1431" s="171">
        <v>133.0</v>
      </c>
      <c r="P1431" s="171">
        <v>131.67</v>
      </c>
      <c r="Q1431" s="172">
        <v>0.0</v>
      </c>
      <c r="R1431" s="173">
        <v>131.67</v>
      </c>
      <c r="S1431" s="173">
        <v>0.0</v>
      </c>
      <c r="T1431" s="173">
        <v>133.0</v>
      </c>
      <c r="U1431" s="174" t="s">
        <v>1463</v>
      </c>
      <c r="V1431" s="288">
        <v>45589.558796296296</v>
      </c>
      <c r="W1431" s="188"/>
      <c r="X1431" s="188"/>
      <c r="Y1431" s="188"/>
      <c r="Z1431" s="188"/>
      <c r="AA1431" s="188"/>
      <c r="AB1431" s="188"/>
      <c r="AC1431" s="188"/>
      <c r="AD1431" s="188"/>
      <c r="AE1431" s="188"/>
      <c r="AF1431" s="188"/>
      <c r="AG1431" s="188"/>
      <c r="AH1431" s="188"/>
      <c r="AI1431" s="188"/>
    </row>
    <row r="1432">
      <c r="A1432" s="305">
        <v>45589.0</v>
      </c>
      <c r="B1432" s="264">
        <v>6303299.0</v>
      </c>
      <c r="C1432" s="265" t="s">
        <v>82</v>
      </c>
      <c r="D1432" s="265" t="s">
        <v>94</v>
      </c>
      <c r="E1432" s="264">
        <v>6303299.0</v>
      </c>
      <c r="F1432" s="265" t="s">
        <v>3801</v>
      </c>
      <c r="G1432" s="305">
        <v>45609.0</v>
      </c>
      <c r="H1432" s="313">
        <v>45610.0</v>
      </c>
      <c r="I1432" s="282">
        <v>1.0</v>
      </c>
      <c r="J1432" s="283" t="s">
        <v>114</v>
      </c>
      <c r="K1432" s="265" t="s">
        <v>79</v>
      </c>
      <c r="L1432" s="265" t="s">
        <v>1462</v>
      </c>
      <c r="M1432" s="264">
        <v>2.0</v>
      </c>
      <c r="N1432" s="270">
        <v>0.0</v>
      </c>
      <c r="O1432" s="271">
        <v>133.0</v>
      </c>
      <c r="P1432" s="271">
        <v>131.67</v>
      </c>
      <c r="Q1432" s="272">
        <v>0.0</v>
      </c>
      <c r="R1432" s="273">
        <v>131.67</v>
      </c>
      <c r="S1432" s="273">
        <v>0.0</v>
      </c>
      <c r="T1432" s="273">
        <v>133.0</v>
      </c>
      <c r="U1432" s="274" t="s">
        <v>1463</v>
      </c>
      <c r="V1432" s="284">
        <v>45589.55950231482</v>
      </c>
      <c r="W1432" s="35"/>
      <c r="X1432" s="35"/>
      <c r="Y1432" s="35"/>
      <c r="Z1432" s="35"/>
      <c r="AA1432" s="35"/>
      <c r="AB1432" s="35"/>
      <c r="AC1432" s="35"/>
      <c r="AD1432" s="35"/>
      <c r="AE1432" s="35"/>
      <c r="AF1432" s="35"/>
      <c r="AG1432" s="35"/>
      <c r="AH1432" s="35"/>
      <c r="AI1432" s="35"/>
    </row>
    <row r="1433">
      <c r="A1433" s="303">
        <v>45590.0</v>
      </c>
      <c r="B1433" s="290">
        <v>6308173.0</v>
      </c>
      <c r="C1433" s="291" t="s">
        <v>82</v>
      </c>
      <c r="D1433" s="291" t="s">
        <v>35</v>
      </c>
      <c r="E1433" s="290">
        <v>4.376799396E9</v>
      </c>
      <c r="F1433" s="291" t="s">
        <v>3802</v>
      </c>
      <c r="G1433" s="303">
        <v>45596.0</v>
      </c>
      <c r="H1433" s="292">
        <v>45597.0</v>
      </c>
      <c r="I1433" s="293">
        <v>1.0</v>
      </c>
      <c r="J1433" s="294" t="s">
        <v>78</v>
      </c>
      <c r="K1433" s="291" t="s">
        <v>79</v>
      </c>
      <c r="L1433" s="291" t="s">
        <v>2803</v>
      </c>
      <c r="M1433" s="290">
        <v>3.0</v>
      </c>
      <c r="N1433" s="295">
        <v>0.0</v>
      </c>
      <c r="O1433" s="296">
        <v>209.11</v>
      </c>
      <c r="P1433" s="296">
        <v>167.288</v>
      </c>
      <c r="Q1433" s="294">
        <v>0.0</v>
      </c>
      <c r="R1433" s="297">
        <v>167.288</v>
      </c>
      <c r="S1433" s="297">
        <v>0.0</v>
      </c>
      <c r="T1433" s="297">
        <v>209.11</v>
      </c>
      <c r="U1433" s="298" t="s">
        <v>2804</v>
      </c>
      <c r="V1433" s="299">
        <v>45590.86671296296</v>
      </c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</row>
    <row r="1434">
      <c r="A1434" s="304">
        <v>45591.0</v>
      </c>
      <c r="B1434" s="252">
        <v>6310839.0</v>
      </c>
      <c r="C1434" s="253" t="s">
        <v>75</v>
      </c>
      <c r="D1434" s="253" t="s">
        <v>35</v>
      </c>
      <c r="E1434" s="252">
        <v>4.900473444E9</v>
      </c>
      <c r="F1434" s="253" t="s">
        <v>3803</v>
      </c>
      <c r="G1434" s="304">
        <v>45593.0</v>
      </c>
      <c r="H1434" s="311">
        <v>45594.0</v>
      </c>
      <c r="I1434" s="278">
        <v>1.0</v>
      </c>
      <c r="J1434" s="257" t="s">
        <v>87</v>
      </c>
      <c r="K1434" s="253" t="s">
        <v>79</v>
      </c>
      <c r="L1434" s="253" t="s">
        <v>2803</v>
      </c>
      <c r="M1434" s="252">
        <v>2.0</v>
      </c>
      <c r="N1434" s="258">
        <v>0.0</v>
      </c>
      <c r="O1434" s="259">
        <v>131.38</v>
      </c>
      <c r="P1434" s="259">
        <v>105.104</v>
      </c>
      <c r="Q1434" s="262">
        <v>0.0</v>
      </c>
      <c r="R1434" s="260">
        <v>105.104</v>
      </c>
      <c r="S1434" s="260">
        <v>0.0</v>
      </c>
      <c r="T1434" s="260">
        <v>131.38</v>
      </c>
      <c r="U1434" s="261" t="s">
        <v>2804</v>
      </c>
      <c r="V1434" s="279">
        <v>45593.34447916667</v>
      </c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</row>
    <row r="1435">
      <c r="A1435" s="305">
        <v>45591.0</v>
      </c>
      <c r="B1435" s="264">
        <v>6311240.0</v>
      </c>
      <c r="C1435" s="265" t="s">
        <v>82</v>
      </c>
      <c r="D1435" s="265" t="s">
        <v>35</v>
      </c>
      <c r="E1435" s="264">
        <v>4.458710518E9</v>
      </c>
      <c r="F1435" s="265" t="s">
        <v>3804</v>
      </c>
      <c r="G1435" s="280">
        <v>45631.0</v>
      </c>
      <c r="H1435" s="281">
        <v>45632.0</v>
      </c>
      <c r="I1435" s="282">
        <v>1.0</v>
      </c>
      <c r="J1435" s="283" t="s">
        <v>114</v>
      </c>
      <c r="K1435" s="265" t="s">
        <v>79</v>
      </c>
      <c r="L1435" s="265" t="s">
        <v>2803</v>
      </c>
      <c r="M1435" s="269">
        <v>2.0</v>
      </c>
      <c r="N1435" s="270">
        <v>0.0</v>
      </c>
      <c r="O1435" s="271">
        <v>159.47</v>
      </c>
      <c r="P1435" s="271">
        <v>127.57600000000001</v>
      </c>
      <c r="Q1435" s="272">
        <v>0.0</v>
      </c>
      <c r="R1435" s="273">
        <v>127.57600000000001</v>
      </c>
      <c r="S1435" s="273">
        <v>0.0</v>
      </c>
      <c r="T1435" s="273">
        <v>159.47</v>
      </c>
      <c r="U1435" s="274" t="s">
        <v>2804</v>
      </c>
      <c r="V1435" s="284">
        <v>45591.83965277778</v>
      </c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</row>
    <row r="1436">
      <c r="A1436" s="304">
        <v>45592.0</v>
      </c>
      <c r="B1436" s="252">
        <v>6313979.0</v>
      </c>
      <c r="C1436" s="253" t="s">
        <v>82</v>
      </c>
      <c r="D1436" s="253" t="s">
        <v>94</v>
      </c>
      <c r="E1436" s="252">
        <v>6313979.0</v>
      </c>
      <c r="F1436" s="253" t="s">
        <v>3805</v>
      </c>
      <c r="G1436" s="304">
        <v>45592.0</v>
      </c>
      <c r="H1436" s="311">
        <v>45594.0</v>
      </c>
      <c r="I1436" s="278">
        <v>2.0</v>
      </c>
      <c r="J1436" s="257" t="s">
        <v>91</v>
      </c>
      <c r="K1436" s="253" t="s">
        <v>79</v>
      </c>
      <c r="L1436" s="253" t="s">
        <v>1462</v>
      </c>
      <c r="M1436" s="275">
        <v>4.0</v>
      </c>
      <c r="N1436" s="258">
        <v>0.0</v>
      </c>
      <c r="O1436" s="259">
        <v>299.6</v>
      </c>
      <c r="P1436" s="259">
        <v>296.60400000000004</v>
      </c>
      <c r="Q1436" s="262">
        <v>0.0</v>
      </c>
      <c r="R1436" s="260">
        <v>593.2080000000001</v>
      </c>
      <c r="S1436" s="260">
        <v>0.0</v>
      </c>
      <c r="T1436" s="260">
        <v>599.2</v>
      </c>
      <c r="U1436" s="261" t="s">
        <v>1463</v>
      </c>
      <c r="V1436" s="279">
        <v>45592.7327662037</v>
      </c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</row>
    <row r="1437">
      <c r="A1437" s="212">
        <v>45592.0</v>
      </c>
      <c r="B1437" s="166">
        <v>6313665.0</v>
      </c>
      <c r="C1437" s="166" t="s">
        <v>82</v>
      </c>
      <c r="D1437" s="166" t="s">
        <v>35</v>
      </c>
      <c r="E1437" s="166">
        <v>4.933234587E9</v>
      </c>
      <c r="F1437" s="166" t="s">
        <v>3806</v>
      </c>
      <c r="G1437" s="212">
        <v>45593.0</v>
      </c>
      <c r="H1437" s="310">
        <v>45594.0</v>
      </c>
      <c r="I1437" s="168">
        <v>1.0</v>
      </c>
      <c r="J1437" s="169" t="s">
        <v>78</v>
      </c>
      <c r="K1437" s="166" t="s">
        <v>79</v>
      </c>
      <c r="L1437" s="166" t="s">
        <v>2803</v>
      </c>
      <c r="M1437" s="166">
        <v>2.0</v>
      </c>
      <c r="N1437" s="170">
        <v>0.0</v>
      </c>
      <c r="O1437" s="171">
        <v>132.31</v>
      </c>
      <c r="P1437" s="171">
        <v>105.84800000000001</v>
      </c>
      <c r="Q1437" s="172">
        <v>0.0</v>
      </c>
      <c r="R1437" s="173">
        <v>105.84800000000001</v>
      </c>
      <c r="S1437" s="173">
        <v>0.0</v>
      </c>
      <c r="T1437" s="173">
        <v>132.31</v>
      </c>
      <c r="U1437" s="174" t="s">
        <v>2804</v>
      </c>
      <c r="V1437" s="288">
        <v>45592.66604166667</v>
      </c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</row>
    <row r="1438">
      <c r="A1438" s="305">
        <v>45592.0</v>
      </c>
      <c r="B1438" s="264">
        <v>6314438.0</v>
      </c>
      <c r="C1438" s="265" t="s">
        <v>75</v>
      </c>
      <c r="D1438" s="265" t="s">
        <v>35</v>
      </c>
      <c r="E1438" s="264">
        <v>4.830583972E9</v>
      </c>
      <c r="F1438" s="265" t="s">
        <v>3807</v>
      </c>
      <c r="G1438" s="305">
        <v>45593.0</v>
      </c>
      <c r="H1438" s="313">
        <v>45594.0</v>
      </c>
      <c r="I1438" s="282">
        <v>1.0</v>
      </c>
      <c r="J1438" s="283" t="s">
        <v>78</v>
      </c>
      <c r="K1438" s="265" t="s">
        <v>79</v>
      </c>
      <c r="L1438" s="265" t="s">
        <v>3558</v>
      </c>
      <c r="M1438" s="269">
        <v>1.0</v>
      </c>
      <c r="N1438" s="270">
        <v>0.0</v>
      </c>
      <c r="O1438" s="271">
        <v>130.65</v>
      </c>
      <c r="P1438" s="271">
        <v>104.52000000000001</v>
      </c>
      <c r="Q1438" s="272">
        <v>0.0</v>
      </c>
      <c r="R1438" s="273">
        <v>104.52000000000001</v>
      </c>
      <c r="S1438" s="273">
        <v>0.0</v>
      </c>
      <c r="T1438" s="273">
        <v>263.8</v>
      </c>
      <c r="U1438" s="274" t="s">
        <v>3559</v>
      </c>
      <c r="V1438" s="284">
        <v>45592.850740740745</v>
      </c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</row>
    <row r="1439">
      <c r="A1439" s="305">
        <v>45592.0</v>
      </c>
      <c r="B1439" s="264">
        <v>6314438.0</v>
      </c>
      <c r="C1439" s="265" t="s">
        <v>75</v>
      </c>
      <c r="D1439" s="265" t="s">
        <v>35</v>
      </c>
      <c r="E1439" s="264">
        <v>4.830583972E9</v>
      </c>
      <c r="F1439" s="265" t="s">
        <v>3807</v>
      </c>
      <c r="G1439" s="305">
        <v>45593.0</v>
      </c>
      <c r="H1439" s="313">
        <v>45594.0</v>
      </c>
      <c r="I1439" s="282">
        <v>1.0</v>
      </c>
      <c r="J1439" s="283" t="s">
        <v>78</v>
      </c>
      <c r="K1439" s="265" t="s">
        <v>79</v>
      </c>
      <c r="L1439" s="265" t="s">
        <v>3558</v>
      </c>
      <c r="M1439" s="269">
        <v>2.0</v>
      </c>
      <c r="N1439" s="270">
        <v>0.0</v>
      </c>
      <c r="O1439" s="271">
        <v>133.15</v>
      </c>
      <c r="P1439" s="271">
        <v>106.52000000000001</v>
      </c>
      <c r="Q1439" s="283">
        <v>0.0</v>
      </c>
      <c r="R1439" s="273">
        <v>106.52000000000001</v>
      </c>
      <c r="S1439" s="273">
        <v>0.0</v>
      </c>
      <c r="T1439" s="273">
        <v>263.8</v>
      </c>
      <c r="U1439" s="274" t="s">
        <v>3559</v>
      </c>
      <c r="V1439" s="284">
        <v>45592.850740740745</v>
      </c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</row>
    <row r="1440">
      <c r="A1440" s="212">
        <v>45592.0</v>
      </c>
      <c r="B1440" s="166">
        <v>6314317.0</v>
      </c>
      <c r="C1440" s="166" t="s">
        <v>82</v>
      </c>
      <c r="D1440" s="166" t="s">
        <v>35</v>
      </c>
      <c r="E1440" s="166">
        <v>4.861600744E9</v>
      </c>
      <c r="F1440" s="166" t="s">
        <v>3808</v>
      </c>
      <c r="G1440" s="212">
        <v>45614.0</v>
      </c>
      <c r="H1440" s="310">
        <v>45617.0</v>
      </c>
      <c r="I1440" s="168">
        <v>3.0</v>
      </c>
      <c r="J1440" s="169" t="s">
        <v>78</v>
      </c>
      <c r="K1440" s="166" t="s">
        <v>79</v>
      </c>
      <c r="L1440" s="166" t="s">
        <v>2803</v>
      </c>
      <c r="M1440" s="166">
        <v>2.0</v>
      </c>
      <c r="N1440" s="170">
        <v>0.0</v>
      </c>
      <c r="O1440" s="171">
        <v>196.47</v>
      </c>
      <c r="P1440" s="171">
        <v>157.17600000000002</v>
      </c>
      <c r="Q1440" s="169">
        <v>0.0</v>
      </c>
      <c r="R1440" s="173">
        <v>471.528</v>
      </c>
      <c r="S1440" s="173">
        <v>0.0</v>
      </c>
      <c r="T1440" s="173">
        <v>589.41</v>
      </c>
      <c r="U1440" s="201" t="s">
        <v>2804</v>
      </c>
      <c r="V1440" s="288">
        <v>45592.81115740741</v>
      </c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</row>
    <row r="1441">
      <c r="A1441" s="212">
        <v>45593.0</v>
      </c>
      <c r="B1441" s="166">
        <v>6317418.0</v>
      </c>
      <c r="C1441" s="166" t="s">
        <v>82</v>
      </c>
      <c r="D1441" s="166" t="s">
        <v>94</v>
      </c>
      <c r="E1441" s="166">
        <v>6317418.0</v>
      </c>
      <c r="F1441" s="166" t="s">
        <v>3809</v>
      </c>
      <c r="G1441" s="210">
        <v>45629.0</v>
      </c>
      <c r="H1441" s="287">
        <v>45633.0</v>
      </c>
      <c r="I1441" s="168">
        <v>4.0</v>
      </c>
      <c r="J1441" s="169" t="s">
        <v>114</v>
      </c>
      <c r="K1441" s="166" t="s">
        <v>79</v>
      </c>
      <c r="L1441" s="166" t="s">
        <v>1462</v>
      </c>
      <c r="M1441" s="166">
        <v>2.0</v>
      </c>
      <c r="N1441" s="170">
        <v>0.0</v>
      </c>
      <c r="O1441" s="171">
        <v>187.46</v>
      </c>
      <c r="P1441" s="171">
        <v>185.5854</v>
      </c>
      <c r="Q1441" s="172">
        <v>0.0</v>
      </c>
      <c r="R1441" s="173">
        <v>742.3416</v>
      </c>
      <c r="S1441" s="173">
        <v>0.0</v>
      </c>
      <c r="T1441" s="173">
        <v>749.84</v>
      </c>
      <c r="U1441" s="201" t="s">
        <v>1463</v>
      </c>
      <c r="V1441" s="288">
        <v>45593.77296296296</v>
      </c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</row>
    <row r="1442">
      <c r="A1442" s="305">
        <v>45593.0</v>
      </c>
      <c r="B1442" s="264">
        <v>6316206.0</v>
      </c>
      <c r="C1442" s="265" t="s">
        <v>82</v>
      </c>
      <c r="D1442" s="265" t="s">
        <v>35</v>
      </c>
      <c r="E1442" s="264">
        <v>4.397626678E9</v>
      </c>
      <c r="F1442" s="265" t="s">
        <v>3810</v>
      </c>
      <c r="G1442" s="305">
        <v>45644.0</v>
      </c>
      <c r="H1442" s="313">
        <v>45647.0</v>
      </c>
      <c r="I1442" s="282">
        <v>3.0</v>
      </c>
      <c r="J1442" s="283" t="s">
        <v>78</v>
      </c>
      <c r="K1442" s="265" t="s">
        <v>79</v>
      </c>
      <c r="L1442" s="265" t="s">
        <v>3375</v>
      </c>
      <c r="M1442" s="269">
        <v>3.0</v>
      </c>
      <c r="N1442" s="283">
        <v>0.0</v>
      </c>
      <c r="O1442" s="271">
        <v>156.66</v>
      </c>
      <c r="P1442" s="271">
        <v>125.328</v>
      </c>
      <c r="Q1442" s="283">
        <v>0.0</v>
      </c>
      <c r="R1442" s="273">
        <v>375.98400000000004</v>
      </c>
      <c r="S1442" s="273">
        <v>0.0</v>
      </c>
      <c r="T1442" s="273">
        <v>469.98</v>
      </c>
      <c r="U1442" s="274" t="s">
        <v>3376</v>
      </c>
      <c r="V1442" s="284">
        <v>45593.51603009259</v>
      </c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</row>
    <row r="1443">
      <c r="A1443" s="212">
        <v>45593.0</v>
      </c>
      <c r="B1443" s="166">
        <v>6315741.0</v>
      </c>
      <c r="C1443" s="166" t="s">
        <v>82</v>
      </c>
      <c r="D1443" s="166" t="s">
        <v>35</v>
      </c>
      <c r="E1443" s="166">
        <v>4.928050662E9</v>
      </c>
      <c r="F1443" s="166" t="s">
        <v>3811</v>
      </c>
      <c r="G1443" s="212">
        <v>45644.0</v>
      </c>
      <c r="H1443" s="310">
        <v>45647.0</v>
      </c>
      <c r="I1443" s="168">
        <v>3.0</v>
      </c>
      <c r="J1443" s="169" t="s">
        <v>78</v>
      </c>
      <c r="K1443" s="166" t="s">
        <v>79</v>
      </c>
      <c r="L1443" s="166" t="s">
        <v>2803</v>
      </c>
      <c r="M1443" s="166">
        <v>2.0</v>
      </c>
      <c r="N1443" s="170">
        <v>0.0</v>
      </c>
      <c r="O1443" s="171">
        <v>194.14</v>
      </c>
      <c r="P1443" s="171">
        <v>155.312</v>
      </c>
      <c r="Q1443" s="172">
        <v>0.0</v>
      </c>
      <c r="R1443" s="173">
        <v>465.936</v>
      </c>
      <c r="S1443" s="173">
        <v>0.0</v>
      </c>
      <c r="T1443" s="173">
        <v>582.42</v>
      </c>
      <c r="U1443" s="201" t="s">
        <v>2804</v>
      </c>
      <c r="V1443" s="288">
        <v>45593.405625</v>
      </c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</row>
    <row r="1444">
      <c r="A1444" s="212">
        <v>45594.0</v>
      </c>
      <c r="B1444" s="166">
        <v>6321050.0</v>
      </c>
      <c r="C1444" s="166" t="s">
        <v>82</v>
      </c>
      <c r="D1444" s="166" t="s">
        <v>35</v>
      </c>
      <c r="E1444" s="166">
        <v>4.438064426E9</v>
      </c>
      <c r="F1444" s="166" t="s">
        <v>3812</v>
      </c>
      <c r="G1444" s="210">
        <v>45629.0</v>
      </c>
      <c r="H1444" s="287">
        <v>45632.0</v>
      </c>
      <c r="I1444" s="168">
        <v>3.0</v>
      </c>
      <c r="J1444" s="169" t="s">
        <v>78</v>
      </c>
      <c r="K1444" s="166" t="s">
        <v>79</v>
      </c>
      <c r="L1444" s="166" t="s">
        <v>2803</v>
      </c>
      <c r="M1444" s="205">
        <v>2.0</v>
      </c>
      <c r="N1444" s="170">
        <v>0.0</v>
      </c>
      <c r="O1444" s="171">
        <v>180.63</v>
      </c>
      <c r="P1444" s="171">
        <v>144.504</v>
      </c>
      <c r="Q1444" s="172">
        <v>0.0</v>
      </c>
      <c r="R1444" s="173">
        <v>433.512</v>
      </c>
      <c r="S1444" s="173">
        <v>0.0</v>
      </c>
      <c r="T1444" s="173">
        <v>541.89</v>
      </c>
      <c r="U1444" s="201" t="s">
        <v>2804</v>
      </c>
      <c r="V1444" s="288">
        <v>45594.875752314816</v>
      </c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</row>
    <row r="1445">
      <c r="A1445" s="212">
        <v>45595.0</v>
      </c>
      <c r="B1445" s="166">
        <v>6323135.0</v>
      </c>
      <c r="C1445" s="166" t="s">
        <v>82</v>
      </c>
      <c r="D1445" s="166" t="s">
        <v>94</v>
      </c>
      <c r="E1445" s="166">
        <v>6323135.0</v>
      </c>
      <c r="F1445" s="166" t="s">
        <v>3813</v>
      </c>
      <c r="G1445" s="210">
        <v>45629.0</v>
      </c>
      <c r="H1445" s="287">
        <v>45633.0</v>
      </c>
      <c r="I1445" s="168">
        <v>4.0</v>
      </c>
      <c r="J1445" s="169" t="s">
        <v>87</v>
      </c>
      <c r="K1445" s="166" t="s">
        <v>79</v>
      </c>
      <c r="L1445" s="166" t="s">
        <v>1811</v>
      </c>
      <c r="M1445" s="166">
        <v>2.0</v>
      </c>
      <c r="N1445" s="170">
        <v>0.0</v>
      </c>
      <c r="O1445" s="171">
        <v>113.24</v>
      </c>
      <c r="P1445" s="171">
        <v>112.10759999999999</v>
      </c>
      <c r="Q1445" s="172">
        <v>0.0</v>
      </c>
      <c r="R1445" s="173">
        <v>448.43039999999996</v>
      </c>
      <c r="S1445" s="173">
        <v>0.0</v>
      </c>
      <c r="T1445" s="173">
        <v>452.96</v>
      </c>
      <c r="U1445" s="201" t="s">
        <v>1812</v>
      </c>
      <c r="V1445" s="288">
        <v>45595.64569444444</v>
      </c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</row>
    <row r="1446">
      <c r="A1446" s="212">
        <v>45595.0</v>
      </c>
      <c r="B1446" s="166">
        <v>6323368.0</v>
      </c>
      <c r="C1446" s="166" t="s">
        <v>82</v>
      </c>
      <c r="D1446" s="166" t="s">
        <v>35</v>
      </c>
      <c r="E1446" s="166">
        <v>4.71991874E9</v>
      </c>
      <c r="F1446" s="166" t="s">
        <v>3814</v>
      </c>
      <c r="G1446" s="210">
        <v>45632.0</v>
      </c>
      <c r="H1446" s="287">
        <v>45634.0</v>
      </c>
      <c r="I1446" s="168">
        <v>2.0</v>
      </c>
      <c r="J1446" s="169" t="s">
        <v>78</v>
      </c>
      <c r="K1446" s="166" t="s">
        <v>79</v>
      </c>
      <c r="L1446" s="166" t="s">
        <v>2803</v>
      </c>
      <c r="M1446" s="166">
        <v>2.0</v>
      </c>
      <c r="N1446" s="169">
        <v>0.0</v>
      </c>
      <c r="O1446" s="171">
        <v>180.63</v>
      </c>
      <c r="P1446" s="171">
        <v>144.504</v>
      </c>
      <c r="Q1446" s="169">
        <v>0.0</v>
      </c>
      <c r="R1446" s="173">
        <v>289.008</v>
      </c>
      <c r="S1446" s="173">
        <v>0.0</v>
      </c>
      <c r="T1446" s="173">
        <v>361.26</v>
      </c>
      <c r="U1446" s="201" t="s">
        <v>2804</v>
      </c>
      <c r="V1446" s="288">
        <v>45595.69517361111</v>
      </c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</row>
    <row r="1447">
      <c r="A1447" s="305">
        <v>45595.0</v>
      </c>
      <c r="B1447" s="264">
        <v>6324179.0</v>
      </c>
      <c r="C1447" s="265" t="s">
        <v>82</v>
      </c>
      <c r="D1447" s="265" t="s">
        <v>35</v>
      </c>
      <c r="E1447" s="265">
        <v>4.340508298E9</v>
      </c>
      <c r="F1447" s="265" t="s">
        <v>3815</v>
      </c>
      <c r="G1447" s="305">
        <v>45637.0</v>
      </c>
      <c r="H1447" s="313">
        <v>45642.0</v>
      </c>
      <c r="I1447" s="282">
        <v>5.0</v>
      </c>
      <c r="J1447" s="283" t="s">
        <v>78</v>
      </c>
      <c r="K1447" s="265" t="s">
        <v>79</v>
      </c>
      <c r="L1447" s="265" t="s">
        <v>3375</v>
      </c>
      <c r="M1447" s="264">
        <v>2.0</v>
      </c>
      <c r="N1447" s="270">
        <v>0.0</v>
      </c>
      <c r="O1447" s="271">
        <v>135.05</v>
      </c>
      <c r="P1447" s="271">
        <v>108.04000000000002</v>
      </c>
      <c r="Q1447" s="272">
        <v>0.0</v>
      </c>
      <c r="R1447" s="273">
        <v>540.2</v>
      </c>
      <c r="S1447" s="273">
        <v>0.0</v>
      </c>
      <c r="T1447" s="273">
        <v>675.25</v>
      </c>
      <c r="U1447" s="274" t="s">
        <v>3376</v>
      </c>
      <c r="V1447" s="286">
        <v>45595.84657407408</v>
      </c>
      <c r="W1447" s="35"/>
      <c r="X1447" s="35"/>
      <c r="Y1447" s="35"/>
      <c r="Z1447" s="35"/>
      <c r="AA1447" s="35"/>
      <c r="AB1447" s="35"/>
      <c r="AC1447" s="35"/>
      <c r="AD1447" s="35"/>
      <c r="AE1447" s="35"/>
      <c r="AF1447" s="35"/>
      <c r="AG1447" s="35"/>
      <c r="AH1447" s="35"/>
      <c r="AI1447" s="35"/>
    </row>
    <row r="1448">
      <c r="A1448" s="305">
        <v>45596.0</v>
      </c>
      <c r="B1448" s="264">
        <v>6325290.0</v>
      </c>
      <c r="C1448" s="265" t="s">
        <v>82</v>
      </c>
      <c r="D1448" s="265" t="s">
        <v>94</v>
      </c>
      <c r="E1448" s="264">
        <v>6325290.0</v>
      </c>
      <c r="F1448" s="265" t="s">
        <v>3816</v>
      </c>
      <c r="G1448" s="305">
        <v>45616.0</v>
      </c>
      <c r="H1448" s="313">
        <v>45618.0</v>
      </c>
      <c r="I1448" s="282">
        <v>2.0</v>
      </c>
      <c r="J1448" s="283" t="s">
        <v>78</v>
      </c>
      <c r="K1448" s="265" t="s">
        <v>79</v>
      </c>
      <c r="L1448" s="265" t="s">
        <v>1811</v>
      </c>
      <c r="M1448" s="269">
        <v>2.0</v>
      </c>
      <c r="N1448" s="270">
        <v>0.0</v>
      </c>
      <c r="O1448" s="271">
        <v>120.2</v>
      </c>
      <c r="P1448" s="271">
        <v>118.998</v>
      </c>
      <c r="Q1448" s="272">
        <v>0.0</v>
      </c>
      <c r="R1448" s="273">
        <v>237.996</v>
      </c>
      <c r="S1448" s="273">
        <v>0.0</v>
      </c>
      <c r="T1448" s="273">
        <v>240.4</v>
      </c>
      <c r="U1448" s="274" t="s">
        <v>1812</v>
      </c>
      <c r="V1448" s="284">
        <v>45596.38267361111</v>
      </c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</row>
    <row r="1449">
      <c r="A1449" s="303">
        <v>45596.0</v>
      </c>
      <c r="B1449" s="290">
        <v>6325735.0</v>
      </c>
      <c r="C1449" s="291" t="s">
        <v>82</v>
      </c>
      <c r="D1449" s="291" t="s">
        <v>94</v>
      </c>
      <c r="E1449" s="290">
        <v>6325735.0</v>
      </c>
      <c r="F1449" s="291" t="s">
        <v>3817</v>
      </c>
      <c r="G1449" s="303">
        <v>45625.0</v>
      </c>
      <c r="H1449" s="292">
        <v>45627.0</v>
      </c>
      <c r="I1449" s="293">
        <v>2.0</v>
      </c>
      <c r="J1449" s="294" t="s">
        <v>87</v>
      </c>
      <c r="K1449" s="291" t="s">
        <v>79</v>
      </c>
      <c r="L1449" s="291" t="s">
        <v>1601</v>
      </c>
      <c r="M1449" s="290">
        <v>2.0</v>
      </c>
      <c r="N1449" s="295">
        <v>0.0</v>
      </c>
      <c r="O1449" s="296">
        <v>103.24</v>
      </c>
      <c r="P1449" s="296">
        <v>102.2076</v>
      </c>
      <c r="Q1449" s="301">
        <v>0.0</v>
      </c>
      <c r="R1449" s="297">
        <v>204.4152</v>
      </c>
      <c r="S1449" s="297">
        <v>0.0</v>
      </c>
      <c r="T1449" s="297">
        <v>206.48</v>
      </c>
      <c r="U1449" s="298" t="s">
        <v>1602</v>
      </c>
      <c r="V1449" s="299">
        <v>45596.453668981485</v>
      </c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</row>
    <row r="1450">
      <c r="A1450" s="210">
        <v>45597.0</v>
      </c>
      <c r="B1450" s="166">
        <v>6329571.0</v>
      </c>
      <c r="C1450" s="166" t="s">
        <v>82</v>
      </c>
      <c r="D1450" s="166" t="s">
        <v>35</v>
      </c>
      <c r="E1450" s="166">
        <v>4.433129375E9</v>
      </c>
      <c r="F1450" s="166" t="s">
        <v>3818</v>
      </c>
      <c r="G1450" s="212">
        <v>45622.0</v>
      </c>
      <c r="H1450" s="310">
        <v>45625.0</v>
      </c>
      <c r="I1450" s="168">
        <v>3.0</v>
      </c>
      <c r="J1450" s="169" t="s">
        <v>87</v>
      </c>
      <c r="K1450" s="166" t="s">
        <v>79</v>
      </c>
      <c r="L1450" s="166" t="s">
        <v>2803</v>
      </c>
      <c r="M1450" s="166">
        <v>2.0</v>
      </c>
      <c r="N1450" s="170">
        <v>0.0</v>
      </c>
      <c r="O1450" s="171">
        <v>115.14</v>
      </c>
      <c r="P1450" s="171">
        <v>92.11200000000001</v>
      </c>
      <c r="Q1450" s="172">
        <v>0.0</v>
      </c>
      <c r="R1450" s="173">
        <v>276.336</v>
      </c>
      <c r="S1450" s="173">
        <v>0.0</v>
      </c>
      <c r="T1450" s="173">
        <v>345.42</v>
      </c>
      <c r="U1450" s="201" t="s">
        <v>2804</v>
      </c>
      <c r="V1450" s="288">
        <v>45597.57853009259</v>
      </c>
      <c r="W1450" s="188"/>
      <c r="X1450" s="188"/>
      <c r="Y1450" s="188"/>
      <c r="Z1450" s="188"/>
      <c r="AA1450" s="188"/>
      <c r="AB1450" s="188"/>
      <c r="AC1450" s="188"/>
      <c r="AD1450" s="188"/>
      <c r="AE1450" s="188"/>
      <c r="AF1450" s="188"/>
      <c r="AG1450" s="188"/>
      <c r="AH1450" s="188"/>
      <c r="AI1450" s="188"/>
    </row>
    <row r="1451">
      <c r="A1451" s="210">
        <v>45597.0</v>
      </c>
      <c r="B1451" s="166">
        <v>6329892.0</v>
      </c>
      <c r="C1451" s="166" t="s">
        <v>82</v>
      </c>
      <c r="D1451" s="166" t="s">
        <v>35</v>
      </c>
      <c r="E1451" s="166">
        <v>4.769616006E9</v>
      </c>
      <c r="F1451" s="166" t="s">
        <v>3819</v>
      </c>
      <c r="G1451" s="210">
        <v>45633.0</v>
      </c>
      <c r="H1451" s="287">
        <v>45635.0</v>
      </c>
      <c r="I1451" s="168">
        <v>2.0</v>
      </c>
      <c r="J1451" s="169" t="s">
        <v>78</v>
      </c>
      <c r="K1451" s="166" t="s">
        <v>79</v>
      </c>
      <c r="L1451" s="166" t="s">
        <v>2803</v>
      </c>
      <c r="M1451" s="166">
        <v>2.0</v>
      </c>
      <c r="N1451" s="170">
        <v>0.0</v>
      </c>
      <c r="O1451" s="171">
        <v>180.63</v>
      </c>
      <c r="P1451" s="171">
        <v>144.504</v>
      </c>
      <c r="Q1451" s="172">
        <v>0.0</v>
      </c>
      <c r="R1451" s="173">
        <v>289.008</v>
      </c>
      <c r="S1451" s="173">
        <v>0.0</v>
      </c>
      <c r="T1451" s="173">
        <v>361.26</v>
      </c>
      <c r="U1451" s="201" t="s">
        <v>2804</v>
      </c>
      <c r="V1451" s="288">
        <v>45597.62991898148</v>
      </c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</row>
    <row r="1452">
      <c r="A1452" s="276">
        <v>45597.0</v>
      </c>
      <c r="B1452" s="252">
        <v>6331318.0</v>
      </c>
      <c r="C1452" s="253" t="s">
        <v>82</v>
      </c>
      <c r="D1452" s="253" t="s">
        <v>94</v>
      </c>
      <c r="E1452" s="252">
        <v>6331318.0</v>
      </c>
      <c r="F1452" s="253" t="s">
        <v>3820</v>
      </c>
      <c r="G1452" s="304">
        <v>45641.0</v>
      </c>
      <c r="H1452" s="311">
        <v>45643.0</v>
      </c>
      <c r="I1452" s="278">
        <v>2.0</v>
      </c>
      <c r="J1452" s="257" t="s">
        <v>114</v>
      </c>
      <c r="K1452" s="253" t="s">
        <v>79</v>
      </c>
      <c r="L1452" s="253" t="s">
        <v>1601</v>
      </c>
      <c r="M1452" s="252">
        <v>2.0</v>
      </c>
      <c r="N1452" s="258">
        <v>0.0</v>
      </c>
      <c r="O1452" s="259">
        <v>133.0</v>
      </c>
      <c r="P1452" s="259">
        <v>131.67</v>
      </c>
      <c r="Q1452" s="262">
        <v>0.0</v>
      </c>
      <c r="R1452" s="260">
        <v>263.34</v>
      </c>
      <c r="S1452" s="260">
        <v>0.0</v>
      </c>
      <c r="T1452" s="260">
        <v>266.0</v>
      </c>
      <c r="U1452" s="261" t="s">
        <v>1602</v>
      </c>
      <c r="V1452" s="279">
        <v>45597.95443287037</v>
      </c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</row>
    <row r="1453">
      <c r="A1453" s="210">
        <v>45598.0</v>
      </c>
      <c r="B1453" s="166">
        <v>6332293.0</v>
      </c>
      <c r="C1453" s="166" t="s">
        <v>82</v>
      </c>
      <c r="D1453" s="166" t="s">
        <v>35</v>
      </c>
      <c r="E1453" s="166">
        <v>4.769669301E9</v>
      </c>
      <c r="F1453" s="166" t="s">
        <v>3821</v>
      </c>
      <c r="G1453" s="212">
        <v>45621.0</v>
      </c>
      <c r="H1453" s="310">
        <v>45622.0</v>
      </c>
      <c r="I1453" s="168">
        <v>1.0</v>
      </c>
      <c r="J1453" s="169" t="s">
        <v>78</v>
      </c>
      <c r="K1453" s="166" t="s">
        <v>79</v>
      </c>
      <c r="L1453" s="166" t="s">
        <v>2803</v>
      </c>
      <c r="M1453" s="166">
        <v>2.0</v>
      </c>
      <c r="N1453" s="170">
        <v>0.0</v>
      </c>
      <c r="O1453" s="171">
        <v>135.05</v>
      </c>
      <c r="P1453" s="171">
        <v>108.04000000000002</v>
      </c>
      <c r="Q1453" s="172">
        <v>0.0</v>
      </c>
      <c r="R1453" s="173">
        <v>108.04000000000002</v>
      </c>
      <c r="S1453" s="173">
        <v>0.0</v>
      </c>
      <c r="T1453" s="173">
        <v>135.05</v>
      </c>
      <c r="U1453" s="201" t="s">
        <v>2804</v>
      </c>
      <c r="V1453" s="288">
        <v>45598.454930555556</v>
      </c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</row>
    <row r="1454">
      <c r="A1454" s="210">
        <v>45599.0</v>
      </c>
      <c r="B1454" s="166">
        <v>6336304.0</v>
      </c>
      <c r="C1454" s="166" t="s">
        <v>82</v>
      </c>
      <c r="D1454" s="166" t="s">
        <v>94</v>
      </c>
      <c r="E1454" s="166">
        <v>6336304.0</v>
      </c>
      <c r="F1454" s="166" t="s">
        <v>3822</v>
      </c>
      <c r="G1454" s="212">
        <v>45609.0</v>
      </c>
      <c r="H1454" s="310">
        <v>45610.0</v>
      </c>
      <c r="I1454" s="168">
        <v>1.0</v>
      </c>
      <c r="J1454" s="169" t="s">
        <v>78</v>
      </c>
      <c r="K1454" s="166" t="s">
        <v>79</v>
      </c>
      <c r="L1454" s="166" t="s">
        <v>1601</v>
      </c>
      <c r="M1454" s="166">
        <v>2.0</v>
      </c>
      <c r="N1454" s="170">
        <v>0.0</v>
      </c>
      <c r="O1454" s="171">
        <v>120.2</v>
      </c>
      <c r="P1454" s="171">
        <v>118.998</v>
      </c>
      <c r="Q1454" s="172">
        <v>0.0</v>
      </c>
      <c r="R1454" s="173">
        <v>118.998</v>
      </c>
      <c r="S1454" s="173">
        <v>0.0</v>
      </c>
      <c r="T1454" s="173">
        <v>120.2</v>
      </c>
      <c r="U1454" s="174" t="s">
        <v>1602</v>
      </c>
      <c r="V1454" s="288">
        <v>45599.7437037037</v>
      </c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</row>
    <row r="1455">
      <c r="A1455" s="210">
        <v>45599.0</v>
      </c>
      <c r="B1455" s="166">
        <v>6336683.0</v>
      </c>
      <c r="C1455" s="166" t="s">
        <v>82</v>
      </c>
      <c r="D1455" s="166" t="s">
        <v>35</v>
      </c>
      <c r="E1455" s="166">
        <v>4.648950103E9</v>
      </c>
      <c r="F1455" s="166" t="s">
        <v>3823</v>
      </c>
      <c r="G1455" s="210">
        <v>45630.0</v>
      </c>
      <c r="H1455" s="287">
        <v>45633.0</v>
      </c>
      <c r="I1455" s="168">
        <v>3.0</v>
      </c>
      <c r="J1455" s="169" t="s">
        <v>91</v>
      </c>
      <c r="K1455" s="166" t="s">
        <v>79</v>
      </c>
      <c r="L1455" s="166" t="s">
        <v>2803</v>
      </c>
      <c r="M1455" s="166">
        <v>5.0</v>
      </c>
      <c r="N1455" s="170">
        <v>0.0</v>
      </c>
      <c r="O1455" s="171">
        <v>352.51</v>
      </c>
      <c r="P1455" s="171">
        <v>282.008</v>
      </c>
      <c r="Q1455" s="172">
        <v>0.0</v>
      </c>
      <c r="R1455" s="173">
        <v>846.024</v>
      </c>
      <c r="S1455" s="173">
        <v>0.0</v>
      </c>
      <c r="T1455" s="173">
        <v>1057.53</v>
      </c>
      <c r="U1455" s="201" t="s">
        <v>2804</v>
      </c>
      <c r="V1455" s="288">
        <v>45599.831296296295</v>
      </c>
      <c r="W1455" s="188"/>
      <c r="X1455" s="188"/>
      <c r="Y1455" s="188"/>
      <c r="Z1455" s="188"/>
      <c r="AA1455" s="188"/>
      <c r="AB1455" s="188"/>
      <c r="AC1455" s="188"/>
      <c r="AD1455" s="188"/>
      <c r="AE1455" s="188"/>
      <c r="AF1455" s="188"/>
      <c r="AG1455" s="188"/>
      <c r="AH1455" s="188"/>
      <c r="AI1455" s="188"/>
    </row>
    <row r="1456">
      <c r="A1456" s="210">
        <v>45599.0</v>
      </c>
      <c r="B1456" s="166">
        <v>6336959.0</v>
      </c>
      <c r="C1456" s="166" t="s">
        <v>82</v>
      </c>
      <c r="D1456" s="166" t="s">
        <v>35</v>
      </c>
      <c r="E1456" s="166">
        <v>4.764600945E9</v>
      </c>
      <c r="F1456" s="166" t="s">
        <v>3824</v>
      </c>
      <c r="G1456" s="212">
        <v>45639.0</v>
      </c>
      <c r="H1456" s="310">
        <v>45642.0</v>
      </c>
      <c r="I1456" s="168">
        <v>3.0</v>
      </c>
      <c r="J1456" s="169" t="s">
        <v>78</v>
      </c>
      <c r="K1456" s="166" t="s">
        <v>79</v>
      </c>
      <c r="L1456" s="166" t="s">
        <v>3375</v>
      </c>
      <c r="M1456" s="166">
        <v>2.0</v>
      </c>
      <c r="N1456" s="170">
        <v>0.0</v>
      </c>
      <c r="O1456" s="171">
        <v>135.04999999999998</v>
      </c>
      <c r="P1456" s="171">
        <v>108.03999999999999</v>
      </c>
      <c r="Q1456" s="172">
        <v>0.0</v>
      </c>
      <c r="R1456" s="173">
        <v>324.12</v>
      </c>
      <c r="S1456" s="173">
        <v>0.0</v>
      </c>
      <c r="T1456" s="173">
        <v>405.15</v>
      </c>
      <c r="U1456" s="174" t="s">
        <v>3376</v>
      </c>
      <c r="V1456" s="288">
        <v>45599.8896412037</v>
      </c>
      <c r="W1456" s="35"/>
      <c r="X1456" s="35"/>
      <c r="Y1456" s="35"/>
      <c r="Z1456" s="35"/>
      <c r="AA1456" s="35"/>
      <c r="AB1456" s="35"/>
      <c r="AC1456" s="35"/>
      <c r="AD1456" s="35"/>
      <c r="AE1456" s="35"/>
      <c r="AF1456" s="35"/>
      <c r="AG1456" s="35"/>
      <c r="AH1456" s="35"/>
      <c r="AI1456" s="35"/>
    </row>
    <row r="1457">
      <c r="A1457" s="280">
        <v>45601.0</v>
      </c>
      <c r="B1457" s="264">
        <v>6341585.0</v>
      </c>
      <c r="C1457" s="265" t="s">
        <v>82</v>
      </c>
      <c r="D1457" s="265" t="s">
        <v>94</v>
      </c>
      <c r="E1457" s="264">
        <v>6341585.0</v>
      </c>
      <c r="F1457" s="265" t="s">
        <v>3670</v>
      </c>
      <c r="G1457" s="280">
        <v>45601.0</v>
      </c>
      <c r="H1457" s="281">
        <v>45604.0</v>
      </c>
      <c r="I1457" s="282">
        <v>3.0</v>
      </c>
      <c r="J1457" s="283" t="s">
        <v>78</v>
      </c>
      <c r="K1457" s="265" t="s">
        <v>79</v>
      </c>
      <c r="L1457" s="265" t="s">
        <v>1462</v>
      </c>
      <c r="M1457" s="269">
        <v>2.0</v>
      </c>
      <c r="N1457" s="270">
        <v>0.0</v>
      </c>
      <c r="O1457" s="271">
        <v>120.2</v>
      </c>
      <c r="P1457" s="271">
        <v>118.998</v>
      </c>
      <c r="Q1457" s="272">
        <v>0.0</v>
      </c>
      <c r="R1457" s="273">
        <v>356.994</v>
      </c>
      <c r="S1457" s="273">
        <v>0.0</v>
      </c>
      <c r="T1457" s="273">
        <v>360.6</v>
      </c>
      <c r="U1457" s="274" t="s">
        <v>1463</v>
      </c>
      <c r="V1457" s="284">
        <v>45601.45722222222</v>
      </c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</row>
    <row r="1458">
      <c r="A1458" s="280">
        <v>45601.0</v>
      </c>
      <c r="B1458" s="264">
        <v>6343891.0</v>
      </c>
      <c r="C1458" s="265" t="s">
        <v>82</v>
      </c>
      <c r="D1458" s="265" t="s">
        <v>35</v>
      </c>
      <c r="E1458" s="264">
        <v>4.980686973E9</v>
      </c>
      <c r="F1458" s="265" t="s">
        <v>3825</v>
      </c>
      <c r="G1458" s="305">
        <v>45637.0</v>
      </c>
      <c r="H1458" s="313">
        <v>45641.0</v>
      </c>
      <c r="I1458" s="282">
        <v>4.0</v>
      </c>
      <c r="J1458" s="283" t="s">
        <v>78</v>
      </c>
      <c r="K1458" s="265" t="s">
        <v>79</v>
      </c>
      <c r="L1458" s="265" t="s">
        <v>2803</v>
      </c>
      <c r="M1458" s="269">
        <v>2.0</v>
      </c>
      <c r="N1458" s="270">
        <v>0.0</v>
      </c>
      <c r="O1458" s="271">
        <v>144.29</v>
      </c>
      <c r="P1458" s="271">
        <v>115.432</v>
      </c>
      <c r="Q1458" s="272">
        <v>0.0</v>
      </c>
      <c r="R1458" s="273">
        <v>461.728</v>
      </c>
      <c r="S1458" s="273">
        <v>0.0</v>
      </c>
      <c r="T1458" s="273">
        <v>577.16</v>
      </c>
      <c r="U1458" s="274" t="s">
        <v>2804</v>
      </c>
      <c r="V1458" s="286">
        <v>45601.95144675926</v>
      </c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</row>
    <row r="1459">
      <c r="A1459" s="280">
        <v>45601.0</v>
      </c>
      <c r="B1459" s="264">
        <v>6343799.0</v>
      </c>
      <c r="C1459" s="265" t="s">
        <v>82</v>
      </c>
      <c r="D1459" s="265" t="s">
        <v>94</v>
      </c>
      <c r="E1459" s="264">
        <v>6343799.0</v>
      </c>
      <c r="F1459" s="265" t="s">
        <v>3826</v>
      </c>
      <c r="G1459" s="305">
        <v>45656.0</v>
      </c>
      <c r="H1459" s="281">
        <v>45660.0</v>
      </c>
      <c r="I1459" s="282">
        <v>4.0</v>
      </c>
      <c r="J1459" s="283" t="s">
        <v>78</v>
      </c>
      <c r="K1459" s="265" t="s">
        <v>79</v>
      </c>
      <c r="L1459" s="265" t="s">
        <v>1462</v>
      </c>
      <c r="M1459" s="269">
        <v>2.0</v>
      </c>
      <c r="N1459" s="283">
        <v>0.0</v>
      </c>
      <c r="O1459" s="271">
        <v>149.96</v>
      </c>
      <c r="P1459" s="271">
        <v>148.4604</v>
      </c>
      <c r="Q1459" s="283">
        <v>0.0</v>
      </c>
      <c r="R1459" s="273">
        <v>593.8416</v>
      </c>
      <c r="S1459" s="273">
        <v>0.0</v>
      </c>
      <c r="T1459" s="273">
        <v>599.84</v>
      </c>
      <c r="U1459" s="274" t="s">
        <v>1463</v>
      </c>
      <c r="V1459" s="284">
        <v>45601.926898148144</v>
      </c>
      <c r="W1459" s="35"/>
      <c r="X1459" s="35"/>
      <c r="Y1459" s="35"/>
      <c r="Z1459" s="35"/>
      <c r="AA1459" s="35"/>
      <c r="AB1459" s="35"/>
      <c r="AC1459" s="35"/>
      <c r="AD1459" s="35"/>
      <c r="AE1459" s="35"/>
      <c r="AF1459" s="35"/>
      <c r="AG1459" s="35"/>
      <c r="AH1459" s="35"/>
      <c r="AI1459" s="35"/>
    </row>
    <row r="1460">
      <c r="A1460" s="280">
        <v>45602.0</v>
      </c>
      <c r="B1460" s="264">
        <v>6346942.0</v>
      </c>
      <c r="C1460" s="265" t="s">
        <v>82</v>
      </c>
      <c r="D1460" s="265" t="s">
        <v>35</v>
      </c>
      <c r="E1460" s="264">
        <v>4.55230469E9</v>
      </c>
      <c r="F1460" s="265" t="s">
        <v>3827</v>
      </c>
      <c r="G1460" s="305">
        <v>45610.0</v>
      </c>
      <c r="H1460" s="313">
        <v>45611.0</v>
      </c>
      <c r="I1460" s="282">
        <v>1.0</v>
      </c>
      <c r="J1460" s="283" t="s">
        <v>78</v>
      </c>
      <c r="K1460" s="265" t="s">
        <v>79</v>
      </c>
      <c r="L1460" s="265" t="s">
        <v>3828</v>
      </c>
      <c r="M1460" s="269">
        <v>2.0</v>
      </c>
      <c r="N1460" s="283">
        <v>0.0</v>
      </c>
      <c r="O1460" s="271">
        <v>219.2</v>
      </c>
      <c r="P1460" s="271">
        <v>175.36</v>
      </c>
      <c r="Q1460" s="283">
        <v>0.0</v>
      </c>
      <c r="R1460" s="273">
        <v>175.36</v>
      </c>
      <c r="S1460" s="273">
        <v>0.0</v>
      </c>
      <c r="T1460" s="273">
        <v>219.2</v>
      </c>
      <c r="U1460" s="274" t="s">
        <v>3829</v>
      </c>
      <c r="V1460" s="284">
        <v>45602.88616898148</v>
      </c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</row>
    <row r="1461">
      <c r="A1461" s="210">
        <v>45602.0</v>
      </c>
      <c r="B1461" s="166">
        <v>6346259.0</v>
      </c>
      <c r="C1461" s="166" t="s">
        <v>82</v>
      </c>
      <c r="D1461" s="166" t="s">
        <v>35</v>
      </c>
      <c r="E1461" s="166">
        <v>4.460122415E9</v>
      </c>
      <c r="F1461" s="166" t="s">
        <v>3830</v>
      </c>
      <c r="G1461" s="210">
        <v>45627.0</v>
      </c>
      <c r="H1461" s="287">
        <v>45630.0</v>
      </c>
      <c r="I1461" s="168">
        <v>3.0</v>
      </c>
      <c r="J1461" s="169" t="s">
        <v>78</v>
      </c>
      <c r="K1461" s="166" t="s">
        <v>79</v>
      </c>
      <c r="L1461" s="166" t="s">
        <v>2803</v>
      </c>
      <c r="M1461" s="166">
        <v>2.0</v>
      </c>
      <c r="N1461" s="170">
        <v>0.0</v>
      </c>
      <c r="O1461" s="171">
        <v>157.16</v>
      </c>
      <c r="P1461" s="171">
        <v>125.72800000000001</v>
      </c>
      <c r="Q1461" s="172">
        <v>0.0</v>
      </c>
      <c r="R1461" s="173">
        <v>377.184</v>
      </c>
      <c r="S1461" s="173">
        <v>0.0</v>
      </c>
      <c r="T1461" s="173">
        <v>471.48</v>
      </c>
      <c r="U1461" s="201" t="s">
        <v>2804</v>
      </c>
      <c r="V1461" s="288">
        <v>45602.75074074074</v>
      </c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</row>
    <row r="1462">
      <c r="A1462" s="210">
        <v>45603.0</v>
      </c>
      <c r="B1462" s="166">
        <v>6348924.0</v>
      </c>
      <c r="C1462" s="166" t="s">
        <v>82</v>
      </c>
      <c r="D1462" s="166" t="s">
        <v>35</v>
      </c>
      <c r="E1462" s="166">
        <v>4.484773794E9</v>
      </c>
      <c r="F1462" s="166" t="s">
        <v>3831</v>
      </c>
      <c r="G1462" s="212">
        <v>45639.0</v>
      </c>
      <c r="H1462" s="310">
        <v>45641.0</v>
      </c>
      <c r="I1462" s="168">
        <v>2.0</v>
      </c>
      <c r="J1462" s="169" t="s">
        <v>78</v>
      </c>
      <c r="K1462" s="166" t="s">
        <v>79</v>
      </c>
      <c r="L1462" s="166" t="s">
        <v>2803</v>
      </c>
      <c r="M1462" s="166">
        <v>2.0</v>
      </c>
      <c r="N1462" s="170">
        <v>0.0</v>
      </c>
      <c r="O1462" s="171">
        <v>135.83</v>
      </c>
      <c r="P1462" s="171">
        <v>108.66400000000002</v>
      </c>
      <c r="Q1462" s="172">
        <v>0.0</v>
      </c>
      <c r="R1462" s="173">
        <v>217.32800000000003</v>
      </c>
      <c r="S1462" s="173">
        <v>0.0</v>
      </c>
      <c r="T1462" s="173">
        <v>271.66</v>
      </c>
      <c r="U1462" s="201" t="s">
        <v>2804</v>
      </c>
      <c r="V1462" s="288">
        <v>45603.59798611111</v>
      </c>
      <c r="W1462" s="35"/>
      <c r="X1462" s="35"/>
      <c r="Y1462" s="35"/>
      <c r="Z1462" s="35"/>
      <c r="AA1462" s="35"/>
      <c r="AB1462" s="35"/>
      <c r="AC1462" s="35"/>
      <c r="AD1462" s="35"/>
      <c r="AE1462" s="35"/>
      <c r="AF1462" s="35"/>
      <c r="AG1462" s="35"/>
      <c r="AH1462" s="35"/>
      <c r="AI1462" s="35"/>
    </row>
    <row r="1463">
      <c r="A1463" s="289">
        <v>45604.0</v>
      </c>
      <c r="B1463" s="290">
        <v>6351437.0</v>
      </c>
      <c r="C1463" s="291" t="s">
        <v>82</v>
      </c>
      <c r="D1463" s="291" t="s">
        <v>35</v>
      </c>
      <c r="E1463" s="290">
        <v>4.42481482E9</v>
      </c>
      <c r="F1463" s="291" t="s">
        <v>3832</v>
      </c>
      <c r="G1463" s="289">
        <v>45604.0</v>
      </c>
      <c r="H1463" s="360">
        <v>45606.0</v>
      </c>
      <c r="I1463" s="293">
        <v>2.0</v>
      </c>
      <c r="J1463" s="294" t="s">
        <v>78</v>
      </c>
      <c r="K1463" s="291" t="s">
        <v>79</v>
      </c>
      <c r="L1463" s="291" t="s">
        <v>2803</v>
      </c>
      <c r="M1463" s="290">
        <v>2.0</v>
      </c>
      <c r="N1463" s="295">
        <v>0.0</v>
      </c>
      <c r="O1463" s="296">
        <v>136.87</v>
      </c>
      <c r="P1463" s="296">
        <v>109.49600000000001</v>
      </c>
      <c r="Q1463" s="301">
        <v>0.0</v>
      </c>
      <c r="R1463" s="297">
        <v>218.99200000000002</v>
      </c>
      <c r="S1463" s="297">
        <v>0.0</v>
      </c>
      <c r="T1463" s="297">
        <v>273.74</v>
      </c>
      <c r="U1463" s="298" t="s">
        <v>2804</v>
      </c>
      <c r="V1463" s="299">
        <v>45604.44033564815</v>
      </c>
      <c r="W1463" s="35"/>
      <c r="X1463" s="35"/>
      <c r="Y1463" s="35"/>
      <c r="Z1463" s="35"/>
      <c r="AA1463" s="35"/>
      <c r="AB1463" s="35"/>
      <c r="AC1463" s="35"/>
      <c r="AD1463" s="35"/>
      <c r="AE1463" s="35"/>
      <c r="AF1463" s="35"/>
      <c r="AG1463" s="35"/>
      <c r="AH1463" s="35"/>
      <c r="AI1463" s="35"/>
    </row>
    <row r="1464">
      <c r="A1464" s="210">
        <v>45604.0</v>
      </c>
      <c r="B1464" s="166">
        <v>6351375.0</v>
      </c>
      <c r="C1464" s="166" t="s">
        <v>82</v>
      </c>
      <c r="D1464" s="166" t="s">
        <v>35</v>
      </c>
      <c r="E1464" s="166">
        <v>4.484762994E9</v>
      </c>
      <c r="F1464" s="166" t="s">
        <v>3833</v>
      </c>
      <c r="G1464" s="210">
        <v>45604.0</v>
      </c>
      <c r="H1464" s="310">
        <v>45606.0</v>
      </c>
      <c r="I1464" s="168">
        <v>2.0</v>
      </c>
      <c r="J1464" s="169" t="s">
        <v>78</v>
      </c>
      <c r="K1464" s="166" t="s">
        <v>79</v>
      </c>
      <c r="L1464" s="166" t="s">
        <v>3364</v>
      </c>
      <c r="M1464" s="205">
        <v>2.0</v>
      </c>
      <c r="N1464" s="169">
        <v>0.0</v>
      </c>
      <c r="O1464" s="171">
        <v>187.07</v>
      </c>
      <c r="P1464" s="171">
        <v>149.656</v>
      </c>
      <c r="Q1464" s="169">
        <v>0.0</v>
      </c>
      <c r="R1464" s="173">
        <v>299.312</v>
      </c>
      <c r="S1464" s="173">
        <v>0.0</v>
      </c>
      <c r="T1464" s="173">
        <v>374.14</v>
      </c>
      <c r="U1464" s="201" t="s">
        <v>3365</v>
      </c>
      <c r="V1464" s="288">
        <v>45604.42990740741</v>
      </c>
      <c r="W1464" s="35"/>
      <c r="X1464" s="35"/>
      <c r="Y1464" s="35"/>
      <c r="Z1464" s="35"/>
      <c r="AA1464" s="35"/>
      <c r="AB1464" s="35"/>
      <c r="AC1464" s="35"/>
      <c r="AD1464" s="35"/>
      <c r="AE1464" s="35"/>
      <c r="AF1464" s="35"/>
      <c r="AG1464" s="35"/>
      <c r="AH1464" s="35"/>
      <c r="AI1464" s="35"/>
    </row>
    <row r="1465">
      <c r="A1465" s="280">
        <v>45604.0</v>
      </c>
      <c r="B1465" s="264">
        <v>6353553.0</v>
      </c>
      <c r="C1465" s="265" t="s">
        <v>89</v>
      </c>
      <c r="D1465" s="265" t="s">
        <v>35</v>
      </c>
      <c r="E1465" s="264">
        <v>4.807237223E9</v>
      </c>
      <c r="F1465" s="265" t="s">
        <v>3834</v>
      </c>
      <c r="G1465" s="280">
        <v>45628.0</v>
      </c>
      <c r="H1465" s="281">
        <v>45632.0</v>
      </c>
      <c r="I1465" s="282">
        <v>4.0</v>
      </c>
      <c r="J1465" s="283" t="s">
        <v>78</v>
      </c>
      <c r="K1465" s="265" t="s">
        <v>79</v>
      </c>
      <c r="L1465" s="265" t="s">
        <v>2803</v>
      </c>
      <c r="M1465" s="264">
        <v>2.0</v>
      </c>
      <c r="N1465" s="270">
        <v>0.0</v>
      </c>
      <c r="O1465" s="271">
        <v>0.0</v>
      </c>
      <c r="P1465" s="271">
        <v>0.0</v>
      </c>
      <c r="Q1465" s="272">
        <v>0.0</v>
      </c>
      <c r="R1465" s="273">
        <v>0.0</v>
      </c>
      <c r="S1465" s="273">
        <v>0.0</v>
      </c>
      <c r="T1465" s="273">
        <v>0.0</v>
      </c>
      <c r="U1465" s="274" t="s">
        <v>3835</v>
      </c>
      <c r="V1465" s="286">
        <v>45604.912569444445</v>
      </c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</row>
    <row r="1466">
      <c r="A1466" s="276">
        <v>45605.0</v>
      </c>
      <c r="B1466" s="252">
        <v>6354703.0</v>
      </c>
      <c r="C1466" s="253" t="s">
        <v>82</v>
      </c>
      <c r="D1466" s="253" t="s">
        <v>35</v>
      </c>
      <c r="E1466" s="252">
        <v>4.846433882E9</v>
      </c>
      <c r="F1466" s="253" t="s">
        <v>3836</v>
      </c>
      <c r="G1466" s="304">
        <v>45606.0</v>
      </c>
      <c r="H1466" s="311">
        <v>45607.0</v>
      </c>
      <c r="I1466" s="278">
        <v>1.0</v>
      </c>
      <c r="J1466" s="257" t="s">
        <v>78</v>
      </c>
      <c r="K1466" s="253" t="s">
        <v>79</v>
      </c>
      <c r="L1466" s="253" t="s">
        <v>2803</v>
      </c>
      <c r="M1466" s="252">
        <v>2.0</v>
      </c>
      <c r="N1466" s="258">
        <v>0.0</v>
      </c>
      <c r="O1466" s="259">
        <v>137.78</v>
      </c>
      <c r="P1466" s="259">
        <v>110.224</v>
      </c>
      <c r="Q1466" s="262">
        <v>0.0</v>
      </c>
      <c r="R1466" s="260">
        <v>110.224</v>
      </c>
      <c r="S1466" s="260">
        <v>0.0</v>
      </c>
      <c r="T1466" s="260">
        <v>137.78</v>
      </c>
      <c r="U1466" s="261" t="s">
        <v>2804</v>
      </c>
      <c r="V1466" s="279">
        <v>45605.47644675926</v>
      </c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</row>
    <row r="1467">
      <c r="A1467" s="280">
        <v>45605.0</v>
      </c>
      <c r="B1467" s="264">
        <v>6355896.0</v>
      </c>
      <c r="C1467" s="265" t="s">
        <v>82</v>
      </c>
      <c r="D1467" s="265" t="s">
        <v>35</v>
      </c>
      <c r="E1467" s="264">
        <v>4.433062512E9</v>
      </c>
      <c r="F1467" s="265" t="s">
        <v>3837</v>
      </c>
      <c r="G1467" s="305">
        <v>45606.0</v>
      </c>
      <c r="H1467" s="313">
        <v>45607.0</v>
      </c>
      <c r="I1467" s="282">
        <v>1.0</v>
      </c>
      <c r="J1467" s="283" t="s">
        <v>78</v>
      </c>
      <c r="K1467" s="265" t="s">
        <v>79</v>
      </c>
      <c r="L1467" s="265" t="s">
        <v>2803</v>
      </c>
      <c r="M1467" s="269">
        <v>2.0</v>
      </c>
      <c r="N1467" s="270">
        <v>0.0</v>
      </c>
      <c r="O1467" s="271">
        <v>132.31</v>
      </c>
      <c r="P1467" s="271">
        <v>105.84800000000001</v>
      </c>
      <c r="Q1467" s="272">
        <v>0.0</v>
      </c>
      <c r="R1467" s="273">
        <v>105.84800000000001</v>
      </c>
      <c r="S1467" s="273">
        <v>0.0</v>
      </c>
      <c r="T1467" s="273">
        <v>132.31</v>
      </c>
      <c r="U1467" s="274" t="s">
        <v>2804</v>
      </c>
      <c r="V1467" s="284">
        <v>45605.73685185185</v>
      </c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</row>
    <row r="1468">
      <c r="A1468" s="210">
        <v>45605.0</v>
      </c>
      <c r="B1468" s="166">
        <v>6354930.0</v>
      </c>
      <c r="C1468" s="166" t="s">
        <v>82</v>
      </c>
      <c r="D1468" s="166" t="s">
        <v>94</v>
      </c>
      <c r="E1468" s="166">
        <v>6354930.0</v>
      </c>
      <c r="F1468" s="166" t="s">
        <v>3838</v>
      </c>
      <c r="G1468" s="212">
        <v>45609.0</v>
      </c>
      <c r="H1468" s="310">
        <v>45610.0</v>
      </c>
      <c r="I1468" s="168">
        <v>1.0</v>
      </c>
      <c r="J1468" s="169" t="s">
        <v>114</v>
      </c>
      <c r="K1468" s="166" t="s">
        <v>79</v>
      </c>
      <c r="L1468" s="166" t="s">
        <v>1462</v>
      </c>
      <c r="M1468" s="166">
        <v>2.0</v>
      </c>
      <c r="N1468" s="169">
        <v>0.0</v>
      </c>
      <c r="O1468" s="171">
        <v>149.96</v>
      </c>
      <c r="P1468" s="171">
        <v>148.4604</v>
      </c>
      <c r="Q1468" s="169">
        <v>0.0</v>
      </c>
      <c r="R1468" s="173">
        <v>148.4604</v>
      </c>
      <c r="S1468" s="173">
        <v>0.0</v>
      </c>
      <c r="T1468" s="173">
        <v>149.96</v>
      </c>
      <c r="U1468" s="201" t="s">
        <v>1463</v>
      </c>
      <c r="V1468" s="288">
        <v>45605.52680555556</v>
      </c>
      <c r="W1468" s="35"/>
      <c r="X1468" s="35"/>
      <c r="Y1468" s="35"/>
      <c r="Z1468" s="35"/>
      <c r="AA1468" s="35"/>
      <c r="AB1468" s="35"/>
      <c r="AC1468" s="35"/>
      <c r="AD1468" s="35"/>
      <c r="AE1468" s="35"/>
      <c r="AF1468" s="35"/>
      <c r="AG1468" s="35"/>
      <c r="AH1468" s="35"/>
      <c r="AI1468" s="35"/>
    </row>
    <row r="1469">
      <c r="A1469" s="210">
        <v>45605.0</v>
      </c>
      <c r="B1469" s="166">
        <v>6355885.0</v>
      </c>
      <c r="C1469" s="166" t="s">
        <v>89</v>
      </c>
      <c r="D1469" s="166" t="s">
        <v>35</v>
      </c>
      <c r="E1469" s="166">
        <v>4.772941379E9</v>
      </c>
      <c r="F1469" s="166" t="s">
        <v>3839</v>
      </c>
      <c r="G1469" s="212">
        <v>45637.0</v>
      </c>
      <c r="H1469" s="310">
        <v>45641.0</v>
      </c>
      <c r="I1469" s="168">
        <v>4.0</v>
      </c>
      <c r="J1469" s="169" t="s">
        <v>78</v>
      </c>
      <c r="K1469" s="166" t="s">
        <v>79</v>
      </c>
      <c r="L1469" s="166" t="s">
        <v>2803</v>
      </c>
      <c r="M1469" s="166">
        <v>2.0</v>
      </c>
      <c r="N1469" s="170">
        <v>0.0</v>
      </c>
      <c r="O1469" s="171">
        <v>0.0</v>
      </c>
      <c r="P1469" s="171">
        <v>0.0</v>
      </c>
      <c r="Q1469" s="172">
        <v>0.0</v>
      </c>
      <c r="R1469" s="173">
        <v>0.0</v>
      </c>
      <c r="S1469" s="173">
        <v>0.0</v>
      </c>
      <c r="T1469" s="173">
        <v>0.0</v>
      </c>
      <c r="U1469" s="174" t="s">
        <v>3840</v>
      </c>
      <c r="V1469" s="288">
        <v>45605.73480324074</v>
      </c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</row>
    <row r="1470">
      <c r="A1470" s="210">
        <v>45605.0</v>
      </c>
      <c r="B1470" s="166">
        <v>6356103.0</v>
      </c>
      <c r="C1470" s="166" t="s">
        <v>75</v>
      </c>
      <c r="D1470" s="166" t="s">
        <v>94</v>
      </c>
      <c r="E1470" s="166">
        <v>6356103.0</v>
      </c>
      <c r="F1470" s="166" t="s">
        <v>3841</v>
      </c>
      <c r="G1470" s="212">
        <v>45644.0</v>
      </c>
      <c r="H1470" s="310">
        <v>45647.0</v>
      </c>
      <c r="I1470" s="168">
        <v>3.0</v>
      </c>
      <c r="J1470" s="169" t="s">
        <v>87</v>
      </c>
      <c r="K1470" s="166" t="s">
        <v>79</v>
      </c>
      <c r="L1470" s="166" t="s">
        <v>1462</v>
      </c>
      <c r="M1470" s="166">
        <v>2.0</v>
      </c>
      <c r="N1470" s="170">
        <v>0.0</v>
      </c>
      <c r="O1470" s="171">
        <v>112.2</v>
      </c>
      <c r="P1470" s="171">
        <v>111.078</v>
      </c>
      <c r="Q1470" s="172">
        <v>0.0</v>
      </c>
      <c r="R1470" s="173">
        <v>333.23400000000004</v>
      </c>
      <c r="S1470" s="173">
        <v>0.0</v>
      </c>
      <c r="T1470" s="173">
        <v>336.6</v>
      </c>
      <c r="U1470" s="174" t="s">
        <v>1463</v>
      </c>
      <c r="V1470" s="288">
        <v>45641.49732638889</v>
      </c>
      <c r="W1470" s="36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</row>
    <row r="1471">
      <c r="A1471" s="305">
        <v>45606.0</v>
      </c>
      <c r="B1471" s="264">
        <v>6358184.0</v>
      </c>
      <c r="C1471" s="265" t="s">
        <v>82</v>
      </c>
      <c r="D1471" s="265" t="s">
        <v>35</v>
      </c>
      <c r="E1471" s="264">
        <v>4.359270058E9</v>
      </c>
      <c r="F1471" s="265" t="s">
        <v>3842</v>
      </c>
      <c r="G1471" s="305">
        <v>45640.0</v>
      </c>
      <c r="H1471" s="313">
        <v>45644.0</v>
      </c>
      <c r="I1471" s="282">
        <v>4.0</v>
      </c>
      <c r="J1471" s="283" t="s">
        <v>87</v>
      </c>
      <c r="K1471" s="265" t="s">
        <v>79</v>
      </c>
      <c r="L1471" s="265" t="s">
        <v>2798</v>
      </c>
      <c r="M1471" s="269">
        <v>1.0</v>
      </c>
      <c r="N1471" s="283">
        <v>0.0</v>
      </c>
      <c r="O1471" s="271">
        <v>143.03</v>
      </c>
      <c r="P1471" s="271">
        <v>114.424</v>
      </c>
      <c r="Q1471" s="283">
        <v>0.0</v>
      </c>
      <c r="R1471" s="273">
        <v>457.696</v>
      </c>
      <c r="S1471" s="273">
        <v>0.0</v>
      </c>
      <c r="T1471" s="273">
        <v>572.12</v>
      </c>
      <c r="U1471" s="274" t="s">
        <v>2800</v>
      </c>
      <c r="V1471" s="284">
        <v>45606.557025462964</v>
      </c>
      <c r="W1471" s="188"/>
      <c r="X1471" s="188"/>
      <c r="Y1471" s="188"/>
      <c r="Z1471" s="188"/>
      <c r="AA1471" s="188"/>
      <c r="AB1471" s="188"/>
      <c r="AC1471" s="188"/>
      <c r="AD1471" s="188"/>
      <c r="AE1471" s="188"/>
      <c r="AF1471" s="188"/>
      <c r="AG1471" s="188"/>
      <c r="AH1471" s="188"/>
      <c r="AI1471" s="188"/>
    </row>
    <row r="1472">
      <c r="A1472" s="305">
        <v>45607.0</v>
      </c>
      <c r="B1472" s="264">
        <v>6360170.0</v>
      </c>
      <c r="C1472" s="265" t="s">
        <v>89</v>
      </c>
      <c r="D1472" s="265" t="s">
        <v>35</v>
      </c>
      <c r="E1472" s="264">
        <v>4.795651048E9</v>
      </c>
      <c r="F1472" s="265" t="s">
        <v>3843</v>
      </c>
      <c r="G1472" s="280">
        <v>45627.0</v>
      </c>
      <c r="H1472" s="281">
        <v>45629.0</v>
      </c>
      <c r="I1472" s="282">
        <v>2.0</v>
      </c>
      <c r="J1472" s="283" t="s">
        <v>87</v>
      </c>
      <c r="K1472" s="265" t="s">
        <v>79</v>
      </c>
      <c r="L1472" s="265" t="s">
        <v>2803</v>
      </c>
      <c r="M1472" s="269">
        <v>2.0</v>
      </c>
      <c r="N1472" s="283">
        <v>0.0</v>
      </c>
      <c r="O1472" s="271">
        <v>0.0</v>
      </c>
      <c r="P1472" s="271">
        <v>0.0</v>
      </c>
      <c r="Q1472" s="283">
        <v>0.0</v>
      </c>
      <c r="R1472" s="273">
        <v>0.0</v>
      </c>
      <c r="S1472" s="273">
        <v>0.0</v>
      </c>
      <c r="T1472" s="273">
        <v>0.0</v>
      </c>
      <c r="U1472" s="274" t="s">
        <v>3844</v>
      </c>
      <c r="V1472" s="284">
        <v>45607.10490740741</v>
      </c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</row>
    <row r="1473">
      <c r="A1473" s="304">
        <v>45609.0</v>
      </c>
      <c r="B1473" s="252">
        <v>6368374.0</v>
      </c>
      <c r="C1473" s="253" t="s">
        <v>82</v>
      </c>
      <c r="D1473" s="253" t="s">
        <v>94</v>
      </c>
      <c r="E1473" s="252">
        <v>6368374.0</v>
      </c>
      <c r="F1473" s="253" t="s">
        <v>3845</v>
      </c>
      <c r="G1473" s="276">
        <v>45627.0</v>
      </c>
      <c r="H1473" s="277">
        <v>45629.0</v>
      </c>
      <c r="I1473" s="278">
        <v>2.0</v>
      </c>
      <c r="J1473" s="257" t="s">
        <v>114</v>
      </c>
      <c r="K1473" s="253" t="s">
        <v>79</v>
      </c>
      <c r="L1473" s="253" t="s">
        <v>1447</v>
      </c>
      <c r="M1473" s="252">
        <v>2.0</v>
      </c>
      <c r="N1473" s="258">
        <v>0.0</v>
      </c>
      <c r="O1473" s="259">
        <v>161.0</v>
      </c>
      <c r="P1473" s="259">
        <v>159.39</v>
      </c>
      <c r="Q1473" s="262">
        <v>0.0</v>
      </c>
      <c r="R1473" s="260">
        <v>318.78</v>
      </c>
      <c r="S1473" s="260">
        <v>0.0</v>
      </c>
      <c r="T1473" s="260">
        <v>322.0</v>
      </c>
      <c r="U1473" s="261" t="s">
        <v>1448</v>
      </c>
      <c r="V1473" s="279">
        <v>45609.53693287037</v>
      </c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</row>
    <row r="1474">
      <c r="A1474" s="212">
        <v>45609.0</v>
      </c>
      <c r="B1474" s="166">
        <v>6370466.0</v>
      </c>
      <c r="C1474" s="166" t="s">
        <v>82</v>
      </c>
      <c r="D1474" s="166" t="s">
        <v>94</v>
      </c>
      <c r="E1474" s="166">
        <v>6370466.0</v>
      </c>
      <c r="F1474" s="166" t="s">
        <v>3846</v>
      </c>
      <c r="G1474" s="212">
        <v>45652.0</v>
      </c>
      <c r="H1474" s="310">
        <v>45654.0</v>
      </c>
      <c r="I1474" s="168">
        <v>2.0</v>
      </c>
      <c r="J1474" s="169" t="s">
        <v>114</v>
      </c>
      <c r="K1474" s="166" t="s">
        <v>79</v>
      </c>
      <c r="L1474" s="166" t="s">
        <v>1907</v>
      </c>
      <c r="M1474" s="166">
        <v>2.0</v>
      </c>
      <c r="N1474" s="170">
        <v>0.0</v>
      </c>
      <c r="O1474" s="171">
        <v>179.4</v>
      </c>
      <c r="P1474" s="171">
        <v>177.606</v>
      </c>
      <c r="Q1474" s="172">
        <v>0.0</v>
      </c>
      <c r="R1474" s="173">
        <v>355.212</v>
      </c>
      <c r="S1474" s="173">
        <v>0.0</v>
      </c>
      <c r="T1474" s="173">
        <v>358.8</v>
      </c>
      <c r="U1474" s="201" t="s">
        <v>1908</v>
      </c>
      <c r="V1474" s="288">
        <v>45610.02150462963</v>
      </c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</row>
    <row r="1475">
      <c r="A1475" s="305">
        <v>45612.0</v>
      </c>
      <c r="B1475" s="264">
        <v>6379702.0</v>
      </c>
      <c r="C1475" s="265" t="s">
        <v>82</v>
      </c>
      <c r="D1475" s="265" t="s">
        <v>35</v>
      </c>
      <c r="E1475" s="265">
        <v>4.797407914E9</v>
      </c>
      <c r="F1475" s="265" t="s">
        <v>3847</v>
      </c>
      <c r="G1475" s="305">
        <v>45637.0</v>
      </c>
      <c r="H1475" s="313">
        <v>45641.0</v>
      </c>
      <c r="I1475" s="282">
        <v>4.0</v>
      </c>
      <c r="J1475" s="283" t="s">
        <v>111</v>
      </c>
      <c r="K1475" s="265" t="s">
        <v>79</v>
      </c>
      <c r="L1475" s="265" t="s">
        <v>2803</v>
      </c>
      <c r="M1475" s="264">
        <v>2.0</v>
      </c>
      <c r="N1475" s="270">
        <v>0.0</v>
      </c>
      <c r="O1475" s="271">
        <v>159.47</v>
      </c>
      <c r="P1475" s="271">
        <v>127.57600000000001</v>
      </c>
      <c r="Q1475" s="272">
        <v>0.0</v>
      </c>
      <c r="R1475" s="273">
        <v>510.30400000000003</v>
      </c>
      <c r="S1475" s="273">
        <v>0.0</v>
      </c>
      <c r="T1475" s="273">
        <v>637.88</v>
      </c>
      <c r="U1475" s="274" t="s">
        <v>2804</v>
      </c>
      <c r="V1475" s="286">
        <v>45612.981307870374</v>
      </c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</row>
    <row r="1476">
      <c r="A1476" s="212">
        <v>45612.0</v>
      </c>
      <c r="B1476" s="166">
        <v>6379680.0</v>
      </c>
      <c r="C1476" s="166" t="s">
        <v>82</v>
      </c>
      <c r="D1476" s="166" t="s">
        <v>35</v>
      </c>
      <c r="E1476" s="166">
        <v>4.301070535E9</v>
      </c>
      <c r="F1476" s="166" t="s">
        <v>3848</v>
      </c>
      <c r="G1476" s="212">
        <v>45641.0</v>
      </c>
      <c r="H1476" s="310">
        <v>45644.0</v>
      </c>
      <c r="I1476" s="168">
        <v>3.0</v>
      </c>
      <c r="J1476" s="169" t="s">
        <v>78</v>
      </c>
      <c r="K1476" s="166" t="s">
        <v>79</v>
      </c>
      <c r="L1476" s="166" t="s">
        <v>3456</v>
      </c>
      <c r="M1476" s="166">
        <v>2.0</v>
      </c>
      <c r="N1476" s="170">
        <v>0.0</v>
      </c>
      <c r="O1476" s="171">
        <v>153.49</v>
      </c>
      <c r="P1476" s="171">
        <v>122.79200000000002</v>
      </c>
      <c r="Q1476" s="172">
        <v>0.0</v>
      </c>
      <c r="R1476" s="173">
        <v>368.37600000000003</v>
      </c>
      <c r="S1476" s="173">
        <v>0.0</v>
      </c>
      <c r="T1476" s="260">
        <v>460.47</v>
      </c>
      <c r="U1476" s="261" t="s">
        <v>3457</v>
      </c>
      <c r="V1476" s="279">
        <v>45612.970868055556</v>
      </c>
      <c r="W1476" s="188"/>
      <c r="X1476" s="188"/>
      <c r="Y1476" s="188"/>
      <c r="Z1476" s="188"/>
      <c r="AA1476" s="188"/>
      <c r="AB1476" s="188"/>
      <c r="AC1476" s="188"/>
      <c r="AD1476" s="188"/>
      <c r="AE1476" s="188"/>
      <c r="AF1476" s="188"/>
      <c r="AG1476" s="188"/>
      <c r="AH1476" s="188"/>
      <c r="AI1476" s="188"/>
    </row>
    <row r="1477">
      <c r="A1477" s="305">
        <v>45613.0</v>
      </c>
      <c r="B1477" s="264">
        <v>6382399.0</v>
      </c>
      <c r="C1477" s="265" t="s">
        <v>89</v>
      </c>
      <c r="D1477" s="265" t="s">
        <v>35</v>
      </c>
      <c r="E1477" s="264">
        <v>4.964729025E9</v>
      </c>
      <c r="F1477" s="265" t="s">
        <v>3849</v>
      </c>
      <c r="G1477" s="305">
        <v>45614.0</v>
      </c>
      <c r="H1477" s="313">
        <v>45615.0</v>
      </c>
      <c r="I1477" s="282">
        <v>1.0</v>
      </c>
      <c r="J1477" s="283" t="s">
        <v>78</v>
      </c>
      <c r="K1477" s="265" t="s">
        <v>79</v>
      </c>
      <c r="L1477" s="265" t="s">
        <v>2803</v>
      </c>
      <c r="M1477" s="269">
        <v>2.0</v>
      </c>
      <c r="N1477" s="270">
        <v>0.0</v>
      </c>
      <c r="O1477" s="271">
        <v>0.0</v>
      </c>
      <c r="P1477" s="271">
        <v>0.0</v>
      </c>
      <c r="Q1477" s="272">
        <v>0.0</v>
      </c>
      <c r="R1477" s="273">
        <v>0.0</v>
      </c>
      <c r="S1477" s="273">
        <v>0.0</v>
      </c>
      <c r="T1477" s="273">
        <v>0.0</v>
      </c>
      <c r="U1477" s="274" t="s">
        <v>3850</v>
      </c>
      <c r="V1477" s="284">
        <v>45613.91819444444</v>
      </c>
      <c r="W1477" s="188"/>
      <c r="X1477" s="188"/>
      <c r="Y1477" s="188"/>
      <c r="Z1477" s="188"/>
      <c r="AA1477" s="188"/>
      <c r="AB1477" s="188"/>
      <c r="AC1477" s="188"/>
      <c r="AD1477" s="188"/>
      <c r="AE1477" s="188"/>
      <c r="AF1477" s="188"/>
      <c r="AG1477" s="188"/>
      <c r="AH1477" s="188"/>
      <c r="AI1477" s="188"/>
    </row>
    <row r="1478">
      <c r="A1478" s="212">
        <v>45613.0</v>
      </c>
      <c r="B1478" s="166">
        <v>6380363.0</v>
      </c>
      <c r="C1478" s="166" t="s">
        <v>82</v>
      </c>
      <c r="D1478" s="166" t="s">
        <v>35</v>
      </c>
      <c r="E1478" s="166">
        <v>4.551068168E9</v>
      </c>
      <c r="F1478" s="166" t="s">
        <v>3851</v>
      </c>
      <c r="G1478" s="212">
        <v>45619.0</v>
      </c>
      <c r="H1478" s="310">
        <v>45621.0</v>
      </c>
      <c r="I1478" s="168">
        <v>2.0</v>
      </c>
      <c r="J1478" s="169" t="s">
        <v>114</v>
      </c>
      <c r="K1478" s="166" t="s">
        <v>79</v>
      </c>
      <c r="L1478" s="166" t="s">
        <v>2803</v>
      </c>
      <c r="M1478" s="205">
        <v>2.0</v>
      </c>
      <c r="N1478" s="170">
        <v>0.0</v>
      </c>
      <c r="O1478" s="171">
        <v>160.61</v>
      </c>
      <c r="P1478" s="171">
        <v>128.48800000000003</v>
      </c>
      <c r="Q1478" s="172">
        <v>0.0</v>
      </c>
      <c r="R1478" s="173">
        <v>256.97600000000006</v>
      </c>
      <c r="S1478" s="173">
        <v>0.0</v>
      </c>
      <c r="T1478" s="173">
        <v>321.22</v>
      </c>
      <c r="U1478" s="174" t="s">
        <v>2804</v>
      </c>
      <c r="V1478" s="288">
        <v>45613.41046296296</v>
      </c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</row>
    <row r="1479">
      <c r="A1479" s="304">
        <v>45614.0</v>
      </c>
      <c r="B1479" s="252">
        <v>6384389.0</v>
      </c>
      <c r="C1479" s="253" t="s">
        <v>82</v>
      </c>
      <c r="D1479" s="253" t="s">
        <v>94</v>
      </c>
      <c r="E1479" s="252">
        <v>6384389.0</v>
      </c>
      <c r="F1479" s="253" t="s">
        <v>3849</v>
      </c>
      <c r="G1479" s="304">
        <v>45614.0</v>
      </c>
      <c r="H1479" s="311">
        <v>45615.0</v>
      </c>
      <c r="I1479" s="278">
        <v>1.0</v>
      </c>
      <c r="J1479" s="257" t="s">
        <v>78</v>
      </c>
      <c r="K1479" s="253" t="s">
        <v>79</v>
      </c>
      <c r="L1479" s="253" t="s">
        <v>1462</v>
      </c>
      <c r="M1479" s="252">
        <v>2.0</v>
      </c>
      <c r="N1479" s="258">
        <v>0.0</v>
      </c>
      <c r="O1479" s="259">
        <v>128.2</v>
      </c>
      <c r="P1479" s="259">
        <v>126.91799999999999</v>
      </c>
      <c r="Q1479" s="262">
        <v>0.0</v>
      </c>
      <c r="R1479" s="260">
        <v>126.91799999999999</v>
      </c>
      <c r="S1479" s="260">
        <v>0.0</v>
      </c>
      <c r="T1479" s="260">
        <v>128.2</v>
      </c>
      <c r="U1479" s="261" t="s">
        <v>1463</v>
      </c>
      <c r="V1479" s="279">
        <v>45614.623090277775</v>
      </c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</row>
    <row r="1480">
      <c r="A1480" s="212">
        <v>45614.0</v>
      </c>
      <c r="B1480" s="166">
        <v>6382915.0</v>
      </c>
      <c r="C1480" s="166" t="s">
        <v>82</v>
      </c>
      <c r="D1480" s="166" t="s">
        <v>35</v>
      </c>
      <c r="E1480" s="166">
        <v>4.637641186E9</v>
      </c>
      <c r="F1480" s="166" t="s">
        <v>3852</v>
      </c>
      <c r="G1480" s="212">
        <v>45636.0</v>
      </c>
      <c r="H1480" s="310">
        <v>45637.0</v>
      </c>
      <c r="I1480" s="168">
        <v>1.0</v>
      </c>
      <c r="J1480" s="169" t="s">
        <v>78</v>
      </c>
      <c r="K1480" s="166" t="s">
        <v>79</v>
      </c>
      <c r="L1480" s="166" t="s">
        <v>3391</v>
      </c>
      <c r="M1480" s="205">
        <v>2.0</v>
      </c>
      <c r="N1480" s="170">
        <v>0.0</v>
      </c>
      <c r="O1480" s="171">
        <v>211.17</v>
      </c>
      <c r="P1480" s="171">
        <v>168.936</v>
      </c>
      <c r="Q1480" s="172">
        <v>0.0</v>
      </c>
      <c r="R1480" s="173">
        <v>168.936</v>
      </c>
      <c r="S1480" s="173">
        <v>0.0</v>
      </c>
      <c r="T1480" s="173">
        <v>211.17</v>
      </c>
      <c r="U1480" s="174" t="s">
        <v>3392</v>
      </c>
      <c r="V1480" s="288">
        <v>45614.23893518519</v>
      </c>
      <c r="W1480" s="188"/>
      <c r="X1480" s="188"/>
      <c r="Y1480" s="188"/>
      <c r="Z1480" s="188"/>
      <c r="AA1480" s="188"/>
      <c r="AB1480" s="188"/>
      <c r="AC1480" s="188"/>
      <c r="AD1480" s="188"/>
      <c r="AE1480" s="188"/>
      <c r="AF1480" s="188"/>
      <c r="AG1480" s="188"/>
      <c r="AH1480" s="188"/>
      <c r="AI1480" s="188"/>
    </row>
    <row r="1481">
      <c r="A1481" s="212">
        <v>45615.0</v>
      </c>
      <c r="B1481" s="166">
        <v>6388729.0</v>
      </c>
      <c r="C1481" s="166" t="s">
        <v>82</v>
      </c>
      <c r="D1481" s="166" t="s">
        <v>35</v>
      </c>
      <c r="E1481" s="166">
        <v>4.952072546E9</v>
      </c>
      <c r="F1481" s="166" t="s">
        <v>3853</v>
      </c>
      <c r="G1481" s="212">
        <v>45624.0</v>
      </c>
      <c r="H1481" s="310">
        <v>45625.0</v>
      </c>
      <c r="I1481" s="168">
        <v>1.0</v>
      </c>
      <c r="J1481" s="169" t="s">
        <v>78</v>
      </c>
      <c r="K1481" s="166" t="s">
        <v>79</v>
      </c>
      <c r="L1481" s="166" t="s">
        <v>2803</v>
      </c>
      <c r="M1481" s="166">
        <v>2.0</v>
      </c>
      <c r="N1481" s="170">
        <v>0.0</v>
      </c>
      <c r="O1481" s="171">
        <v>211.6</v>
      </c>
      <c r="P1481" s="171">
        <v>169.28</v>
      </c>
      <c r="Q1481" s="172">
        <v>0.0</v>
      </c>
      <c r="R1481" s="173">
        <v>169.28</v>
      </c>
      <c r="S1481" s="173">
        <v>0.0</v>
      </c>
      <c r="T1481" s="173">
        <v>211.6</v>
      </c>
      <c r="U1481" s="174" t="s">
        <v>2804</v>
      </c>
      <c r="V1481" s="288">
        <v>45615.84934027778</v>
      </c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</row>
    <row r="1482">
      <c r="A1482" s="212">
        <v>45615.0</v>
      </c>
      <c r="B1482" s="166">
        <v>6388577.0</v>
      </c>
      <c r="C1482" s="166" t="s">
        <v>75</v>
      </c>
      <c r="D1482" s="166" t="s">
        <v>35</v>
      </c>
      <c r="E1482" s="166">
        <v>4.552807936E9</v>
      </c>
      <c r="F1482" s="166" t="s">
        <v>3854</v>
      </c>
      <c r="G1482" s="212">
        <v>45624.0</v>
      </c>
      <c r="H1482" s="310">
        <v>45625.0</v>
      </c>
      <c r="I1482" s="168">
        <v>1.0</v>
      </c>
      <c r="J1482" s="169" t="s">
        <v>78</v>
      </c>
      <c r="K1482" s="166" t="s">
        <v>79</v>
      </c>
      <c r="L1482" s="166" t="s">
        <v>2803</v>
      </c>
      <c r="M1482" s="166">
        <v>2.0</v>
      </c>
      <c r="N1482" s="170">
        <v>0.0</v>
      </c>
      <c r="O1482" s="171">
        <v>149.33</v>
      </c>
      <c r="P1482" s="171">
        <v>119.46400000000001</v>
      </c>
      <c r="Q1482" s="172">
        <v>0.0</v>
      </c>
      <c r="R1482" s="173">
        <v>119.46400000000001</v>
      </c>
      <c r="S1482" s="173">
        <v>0.0</v>
      </c>
      <c r="T1482" s="173">
        <v>149.33</v>
      </c>
      <c r="U1482" s="174" t="s">
        <v>2804</v>
      </c>
      <c r="V1482" s="288">
        <v>45620.018796296295</v>
      </c>
      <c r="W1482" s="35"/>
      <c r="X1482" s="35"/>
      <c r="Y1482" s="35"/>
      <c r="Z1482" s="35"/>
      <c r="AA1482" s="35"/>
      <c r="AB1482" s="35"/>
      <c r="AC1482" s="35"/>
      <c r="AD1482" s="35"/>
      <c r="AE1482" s="35"/>
      <c r="AF1482" s="35"/>
      <c r="AG1482" s="35"/>
      <c r="AH1482" s="35"/>
      <c r="AI1482" s="35"/>
    </row>
    <row r="1483">
      <c r="A1483" s="212">
        <v>45617.0</v>
      </c>
      <c r="B1483" s="166">
        <v>6394070.0</v>
      </c>
      <c r="C1483" s="166" t="s">
        <v>82</v>
      </c>
      <c r="D1483" s="166" t="s">
        <v>94</v>
      </c>
      <c r="E1483" s="166">
        <v>4.86672859E8</v>
      </c>
      <c r="F1483" s="166" t="s">
        <v>3855</v>
      </c>
      <c r="G1483" s="212">
        <v>45652.0</v>
      </c>
      <c r="H1483" s="310">
        <v>45656.0</v>
      </c>
      <c r="I1483" s="168">
        <v>4.0</v>
      </c>
      <c r="J1483" s="169" t="s">
        <v>78</v>
      </c>
      <c r="K1483" s="166" t="s">
        <v>79</v>
      </c>
      <c r="L1483" s="166" t="s">
        <v>3459</v>
      </c>
      <c r="M1483" s="166">
        <v>2.0</v>
      </c>
      <c r="N1483" s="170">
        <v>0.0</v>
      </c>
      <c r="O1483" s="171">
        <v>231.63</v>
      </c>
      <c r="P1483" s="171">
        <v>229.31369999999998</v>
      </c>
      <c r="Q1483" s="172">
        <v>0.0</v>
      </c>
      <c r="R1483" s="173">
        <v>917.2547999999999</v>
      </c>
      <c r="S1483" s="173">
        <v>0.0</v>
      </c>
      <c r="T1483" s="173">
        <v>926.52</v>
      </c>
      <c r="U1483" s="201" t="s">
        <v>3460</v>
      </c>
      <c r="V1483" s="288">
        <v>45617.62157407407</v>
      </c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</row>
    <row r="1484">
      <c r="A1484" s="212">
        <v>45617.0</v>
      </c>
      <c r="B1484" s="166">
        <v>6394680.0</v>
      </c>
      <c r="C1484" s="166" t="s">
        <v>82</v>
      </c>
      <c r="D1484" s="166" t="s">
        <v>94</v>
      </c>
      <c r="E1484" s="166">
        <v>1.442981496E9</v>
      </c>
      <c r="F1484" s="166" t="s">
        <v>3856</v>
      </c>
      <c r="G1484" s="212">
        <v>45654.0</v>
      </c>
      <c r="H1484" s="310">
        <v>45655.0</v>
      </c>
      <c r="I1484" s="168">
        <v>1.0</v>
      </c>
      <c r="J1484" s="169" t="s">
        <v>78</v>
      </c>
      <c r="K1484" s="166" t="s">
        <v>79</v>
      </c>
      <c r="L1484" s="166" t="s">
        <v>3378</v>
      </c>
      <c r="M1484" s="166">
        <v>2.0</v>
      </c>
      <c r="N1484" s="170">
        <v>0.0</v>
      </c>
      <c r="O1484" s="171">
        <v>213.1</v>
      </c>
      <c r="P1484" s="171">
        <v>210.969</v>
      </c>
      <c r="Q1484" s="172">
        <v>0.0</v>
      </c>
      <c r="R1484" s="173">
        <v>210.969</v>
      </c>
      <c r="S1484" s="173">
        <v>0.0</v>
      </c>
      <c r="T1484" s="173">
        <v>213.1</v>
      </c>
      <c r="U1484" s="201" t="s">
        <v>3379</v>
      </c>
      <c r="V1484" s="288">
        <v>45617.75351851852</v>
      </c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</row>
    <row r="1485">
      <c r="A1485" s="212">
        <v>45618.0</v>
      </c>
      <c r="B1485" s="166">
        <v>6398654.0</v>
      </c>
      <c r="C1485" s="166" t="s">
        <v>82</v>
      </c>
      <c r="D1485" s="166" t="s">
        <v>35</v>
      </c>
      <c r="E1485" s="166">
        <v>4.941732806E9</v>
      </c>
      <c r="F1485" s="166" t="s">
        <v>3857</v>
      </c>
      <c r="G1485" s="212">
        <v>45641.0</v>
      </c>
      <c r="H1485" s="310">
        <v>45644.0</v>
      </c>
      <c r="I1485" s="168">
        <v>3.0</v>
      </c>
      <c r="J1485" s="169" t="s">
        <v>78</v>
      </c>
      <c r="K1485" s="166" t="s">
        <v>79</v>
      </c>
      <c r="L1485" s="166" t="s">
        <v>2803</v>
      </c>
      <c r="M1485" s="205">
        <v>2.0</v>
      </c>
      <c r="N1485" s="170">
        <v>0.0</v>
      </c>
      <c r="O1485" s="171">
        <v>153.49</v>
      </c>
      <c r="P1485" s="171">
        <v>122.79200000000002</v>
      </c>
      <c r="Q1485" s="172">
        <v>0.0</v>
      </c>
      <c r="R1485" s="173">
        <v>368.37600000000003</v>
      </c>
      <c r="S1485" s="173">
        <v>0.0</v>
      </c>
      <c r="T1485" s="173">
        <v>460.47</v>
      </c>
      <c r="U1485" s="174" t="s">
        <v>2804</v>
      </c>
      <c r="V1485" s="288">
        <v>45618.907696759255</v>
      </c>
      <c r="W1485" s="35"/>
      <c r="X1485" s="35"/>
      <c r="Y1485" s="35"/>
      <c r="Z1485" s="35"/>
      <c r="AA1485" s="35"/>
      <c r="AB1485" s="35"/>
      <c r="AC1485" s="35"/>
      <c r="AD1485" s="35"/>
      <c r="AE1485" s="35"/>
      <c r="AF1485" s="35"/>
      <c r="AG1485" s="35"/>
      <c r="AH1485" s="35"/>
      <c r="AI1485" s="35"/>
    </row>
    <row r="1486">
      <c r="A1486" s="212">
        <v>45618.0</v>
      </c>
      <c r="B1486" s="166">
        <v>6397343.0</v>
      </c>
      <c r="C1486" s="166" t="s">
        <v>82</v>
      </c>
      <c r="D1486" s="166" t="s">
        <v>35</v>
      </c>
      <c r="E1486" s="166">
        <v>4.33560016E9</v>
      </c>
      <c r="F1486" s="166" t="s">
        <v>3858</v>
      </c>
      <c r="G1486" s="212">
        <v>45643.0</v>
      </c>
      <c r="H1486" s="310">
        <v>45644.0</v>
      </c>
      <c r="I1486" s="168">
        <v>1.0</v>
      </c>
      <c r="J1486" s="169" t="s">
        <v>78</v>
      </c>
      <c r="K1486" s="166" t="s">
        <v>79</v>
      </c>
      <c r="L1486" s="166" t="s">
        <v>2803</v>
      </c>
      <c r="M1486" s="166">
        <v>2.0</v>
      </c>
      <c r="N1486" s="170">
        <v>0.0</v>
      </c>
      <c r="O1486" s="171">
        <v>153.49</v>
      </c>
      <c r="P1486" s="171">
        <v>122.79200000000002</v>
      </c>
      <c r="Q1486" s="172">
        <v>0.0</v>
      </c>
      <c r="R1486" s="173">
        <v>122.79200000000002</v>
      </c>
      <c r="S1486" s="173">
        <v>0.0</v>
      </c>
      <c r="T1486" s="173">
        <v>153.49</v>
      </c>
      <c r="U1486" s="174" t="s">
        <v>2804</v>
      </c>
      <c r="V1486" s="288">
        <v>45618.61046296296</v>
      </c>
      <c r="W1486" s="36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</row>
    <row r="1487">
      <c r="A1487" s="212">
        <v>45620.0</v>
      </c>
      <c r="B1487" s="166">
        <v>6402485.0</v>
      </c>
      <c r="C1487" s="166" t="s">
        <v>82</v>
      </c>
      <c r="D1487" s="166" t="s">
        <v>35</v>
      </c>
      <c r="E1487" s="166">
        <v>4.564861818E9</v>
      </c>
      <c r="F1487" s="166" t="s">
        <v>3859</v>
      </c>
      <c r="G1487" s="212">
        <v>45623.0</v>
      </c>
      <c r="H1487" s="310">
        <v>45624.0</v>
      </c>
      <c r="I1487" s="168">
        <v>1.0</v>
      </c>
      <c r="J1487" s="169" t="s">
        <v>78</v>
      </c>
      <c r="K1487" s="166" t="s">
        <v>79</v>
      </c>
      <c r="L1487" s="166" t="s">
        <v>2803</v>
      </c>
      <c r="M1487" s="166">
        <v>2.0</v>
      </c>
      <c r="N1487" s="170">
        <v>0.0</v>
      </c>
      <c r="O1487" s="171">
        <v>139.6</v>
      </c>
      <c r="P1487" s="171">
        <v>111.68</v>
      </c>
      <c r="Q1487" s="172">
        <v>0.0</v>
      </c>
      <c r="R1487" s="173">
        <v>111.68</v>
      </c>
      <c r="S1487" s="173">
        <v>0.0</v>
      </c>
      <c r="T1487" s="173">
        <v>139.6</v>
      </c>
      <c r="U1487" s="201" t="s">
        <v>2804</v>
      </c>
      <c r="V1487" s="288">
        <v>45620.4278587963</v>
      </c>
      <c r="W1487" s="35"/>
      <c r="X1487" s="35"/>
      <c r="Y1487" s="35"/>
      <c r="Z1487" s="35"/>
      <c r="AA1487" s="35"/>
      <c r="AB1487" s="35"/>
      <c r="AC1487" s="35"/>
      <c r="AD1487" s="35"/>
      <c r="AE1487" s="35"/>
      <c r="AF1487" s="35"/>
      <c r="AG1487" s="35"/>
      <c r="AH1487" s="35"/>
      <c r="AI1487" s="35"/>
    </row>
    <row r="1488">
      <c r="A1488" s="212">
        <v>45621.0</v>
      </c>
      <c r="B1488" s="166">
        <v>6404884.0</v>
      </c>
      <c r="C1488" s="166" t="s">
        <v>82</v>
      </c>
      <c r="D1488" s="166" t="s">
        <v>94</v>
      </c>
      <c r="E1488" s="166">
        <v>6404884.0</v>
      </c>
      <c r="F1488" s="166" t="s">
        <v>3860</v>
      </c>
      <c r="G1488" s="212">
        <v>45641.0</v>
      </c>
      <c r="H1488" s="310">
        <v>45645.0</v>
      </c>
      <c r="I1488" s="168">
        <v>4.0</v>
      </c>
      <c r="J1488" s="169" t="s">
        <v>78</v>
      </c>
      <c r="K1488" s="166" t="s">
        <v>79</v>
      </c>
      <c r="L1488" s="166" t="s">
        <v>1601</v>
      </c>
      <c r="M1488" s="205">
        <v>2.0</v>
      </c>
      <c r="N1488" s="170">
        <v>0.0</v>
      </c>
      <c r="O1488" s="171">
        <v>128.2</v>
      </c>
      <c r="P1488" s="171">
        <v>126.91799999999999</v>
      </c>
      <c r="Q1488" s="172">
        <v>0.0</v>
      </c>
      <c r="R1488" s="173">
        <v>507.67199999999997</v>
      </c>
      <c r="S1488" s="173">
        <v>0.0</v>
      </c>
      <c r="T1488" s="173">
        <v>512.8</v>
      </c>
      <c r="U1488" s="174" t="s">
        <v>1602</v>
      </c>
      <c r="V1488" s="288">
        <v>45621.09621527778</v>
      </c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</row>
    <row r="1489">
      <c r="A1489" s="212">
        <v>45621.0</v>
      </c>
      <c r="B1489" s="166">
        <v>6407867.0</v>
      </c>
      <c r="C1489" s="166" t="s">
        <v>75</v>
      </c>
      <c r="D1489" s="166" t="s">
        <v>35</v>
      </c>
      <c r="E1489" s="166">
        <v>4.601960968E9</v>
      </c>
      <c r="F1489" s="166" t="s">
        <v>3861</v>
      </c>
      <c r="G1489" s="212">
        <v>45643.0</v>
      </c>
      <c r="H1489" s="310">
        <v>45647.0</v>
      </c>
      <c r="I1489" s="168">
        <v>4.0</v>
      </c>
      <c r="J1489" s="169" t="s">
        <v>111</v>
      </c>
      <c r="K1489" s="166" t="s">
        <v>79</v>
      </c>
      <c r="L1489" s="166" t="s">
        <v>3364</v>
      </c>
      <c r="M1489" s="166">
        <v>2.0</v>
      </c>
      <c r="N1489" s="170">
        <v>0.0</v>
      </c>
      <c r="O1489" s="171">
        <v>185.63</v>
      </c>
      <c r="P1489" s="171">
        <v>148.504</v>
      </c>
      <c r="Q1489" s="172">
        <v>0.0</v>
      </c>
      <c r="R1489" s="173">
        <v>594.016</v>
      </c>
      <c r="S1489" s="173">
        <v>0.0</v>
      </c>
      <c r="T1489" s="173">
        <v>742.52</v>
      </c>
      <c r="U1489" s="201" t="s">
        <v>3365</v>
      </c>
      <c r="V1489" s="288">
        <v>45639.018125</v>
      </c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</row>
    <row r="1490">
      <c r="A1490" s="303">
        <v>45621.0</v>
      </c>
      <c r="B1490" s="290">
        <v>6407303.0</v>
      </c>
      <c r="C1490" s="291" t="s">
        <v>82</v>
      </c>
      <c r="D1490" s="291" t="s">
        <v>35</v>
      </c>
      <c r="E1490" s="290">
        <v>4.479829272E9</v>
      </c>
      <c r="F1490" s="291" t="s">
        <v>3862</v>
      </c>
      <c r="G1490" s="303">
        <v>45646.0</v>
      </c>
      <c r="H1490" s="360">
        <v>45648.0</v>
      </c>
      <c r="I1490" s="293">
        <v>2.0</v>
      </c>
      <c r="J1490" s="294" t="s">
        <v>78</v>
      </c>
      <c r="K1490" s="291" t="s">
        <v>79</v>
      </c>
      <c r="L1490" s="291" t="s">
        <v>3375</v>
      </c>
      <c r="M1490" s="300">
        <v>2.0</v>
      </c>
      <c r="N1490" s="295">
        <v>0.0</v>
      </c>
      <c r="O1490" s="296">
        <v>210.55</v>
      </c>
      <c r="P1490" s="296">
        <v>168.44000000000003</v>
      </c>
      <c r="Q1490" s="301">
        <v>0.0</v>
      </c>
      <c r="R1490" s="297">
        <v>336.88000000000005</v>
      </c>
      <c r="S1490" s="297">
        <v>0.0</v>
      </c>
      <c r="T1490" s="297">
        <v>421.1</v>
      </c>
      <c r="U1490" s="298" t="s">
        <v>3376</v>
      </c>
      <c r="V1490" s="299">
        <v>45621.8187962963</v>
      </c>
      <c r="W1490" s="188"/>
      <c r="X1490" s="188"/>
      <c r="Y1490" s="188"/>
      <c r="Z1490" s="188"/>
      <c r="AA1490" s="188"/>
      <c r="AB1490" s="188"/>
      <c r="AC1490" s="188"/>
      <c r="AD1490" s="188"/>
      <c r="AE1490" s="188"/>
      <c r="AF1490" s="188"/>
      <c r="AG1490" s="188"/>
      <c r="AH1490" s="188"/>
      <c r="AI1490" s="188"/>
    </row>
    <row r="1491">
      <c r="A1491" s="212">
        <v>45622.0</v>
      </c>
      <c r="B1491" s="166">
        <v>6410567.0</v>
      </c>
      <c r="C1491" s="166" t="s">
        <v>82</v>
      </c>
      <c r="D1491" s="166" t="s">
        <v>94</v>
      </c>
      <c r="E1491" s="166">
        <v>4.88020687E8</v>
      </c>
      <c r="F1491" s="166" t="s">
        <v>3863</v>
      </c>
      <c r="G1491" s="212">
        <v>45640.0</v>
      </c>
      <c r="H1491" s="310">
        <v>45644.0</v>
      </c>
      <c r="I1491" s="168">
        <v>4.0</v>
      </c>
      <c r="J1491" s="169" t="s">
        <v>78</v>
      </c>
      <c r="K1491" s="166" t="s">
        <v>79</v>
      </c>
      <c r="L1491" s="166" t="s">
        <v>3378</v>
      </c>
      <c r="M1491" s="205">
        <v>2.0</v>
      </c>
      <c r="N1491" s="170">
        <v>0.0</v>
      </c>
      <c r="O1491" s="171">
        <v>185.73</v>
      </c>
      <c r="P1491" s="171">
        <v>183.87269999999998</v>
      </c>
      <c r="Q1491" s="172">
        <v>0.0</v>
      </c>
      <c r="R1491" s="173">
        <v>735.4907999999999</v>
      </c>
      <c r="S1491" s="173">
        <v>0.0</v>
      </c>
      <c r="T1491" s="173">
        <v>742.92</v>
      </c>
      <c r="U1491" s="174" t="s">
        <v>3379</v>
      </c>
      <c r="V1491" s="288">
        <v>45622.819490740745</v>
      </c>
      <c r="W1491" s="36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</row>
    <row r="1492">
      <c r="A1492" s="304">
        <v>45622.0</v>
      </c>
      <c r="B1492" s="252">
        <v>6410439.0</v>
      </c>
      <c r="C1492" s="253" t="s">
        <v>82</v>
      </c>
      <c r="D1492" s="253" t="s">
        <v>94</v>
      </c>
      <c r="E1492" s="252">
        <v>6410439.0</v>
      </c>
      <c r="F1492" s="253" t="s">
        <v>3864</v>
      </c>
      <c r="G1492" s="304">
        <v>45649.0</v>
      </c>
      <c r="H1492" s="311">
        <v>45652.0</v>
      </c>
      <c r="I1492" s="278">
        <v>3.0</v>
      </c>
      <c r="J1492" s="257" t="s">
        <v>114</v>
      </c>
      <c r="K1492" s="253" t="s">
        <v>79</v>
      </c>
      <c r="L1492" s="253" t="s">
        <v>1462</v>
      </c>
      <c r="M1492" s="252">
        <v>2.0</v>
      </c>
      <c r="N1492" s="258">
        <v>0.0</v>
      </c>
      <c r="O1492" s="259">
        <v>179.4</v>
      </c>
      <c r="P1492" s="259">
        <v>177.606</v>
      </c>
      <c r="Q1492" s="257">
        <v>0.0</v>
      </c>
      <c r="R1492" s="260">
        <v>532.818</v>
      </c>
      <c r="S1492" s="260">
        <v>0.0</v>
      </c>
      <c r="T1492" s="260">
        <v>1076.4</v>
      </c>
      <c r="U1492" s="261" t="s">
        <v>1463</v>
      </c>
      <c r="V1492" s="279">
        <v>45622.794016203705</v>
      </c>
      <c r="W1492" s="35"/>
      <c r="X1492" s="35"/>
      <c r="Y1492" s="35"/>
      <c r="Z1492" s="35"/>
      <c r="AA1492" s="35"/>
      <c r="AB1492" s="35"/>
      <c r="AC1492" s="35"/>
      <c r="AD1492" s="35"/>
      <c r="AE1492" s="35"/>
      <c r="AF1492" s="35"/>
      <c r="AG1492" s="35"/>
      <c r="AH1492" s="35"/>
      <c r="AI1492" s="35"/>
    </row>
    <row r="1493">
      <c r="A1493" s="304">
        <v>45622.0</v>
      </c>
      <c r="B1493" s="252">
        <v>6410439.0</v>
      </c>
      <c r="C1493" s="253" t="s">
        <v>82</v>
      </c>
      <c r="D1493" s="253" t="s">
        <v>94</v>
      </c>
      <c r="E1493" s="252">
        <v>6410439.0</v>
      </c>
      <c r="F1493" s="253" t="s">
        <v>3864</v>
      </c>
      <c r="G1493" s="304">
        <v>45649.0</v>
      </c>
      <c r="H1493" s="311">
        <v>45652.0</v>
      </c>
      <c r="I1493" s="278">
        <v>3.0</v>
      </c>
      <c r="J1493" s="257" t="s">
        <v>114</v>
      </c>
      <c r="K1493" s="253" t="s">
        <v>79</v>
      </c>
      <c r="L1493" s="253" t="s">
        <v>1462</v>
      </c>
      <c r="M1493" s="252">
        <v>2.0</v>
      </c>
      <c r="N1493" s="258">
        <v>0.0</v>
      </c>
      <c r="O1493" s="259">
        <v>179.4</v>
      </c>
      <c r="P1493" s="259">
        <v>177.606</v>
      </c>
      <c r="Q1493" s="262">
        <v>0.0</v>
      </c>
      <c r="R1493" s="260">
        <v>532.818</v>
      </c>
      <c r="S1493" s="260">
        <v>0.0</v>
      </c>
      <c r="T1493" s="260">
        <v>1076.4</v>
      </c>
      <c r="U1493" s="261" t="s">
        <v>1463</v>
      </c>
      <c r="V1493" s="279">
        <v>45622.794016203705</v>
      </c>
      <c r="W1493" s="35"/>
      <c r="X1493" s="35"/>
      <c r="Y1493" s="35"/>
      <c r="Z1493" s="35"/>
      <c r="AA1493" s="35"/>
      <c r="AB1493" s="35"/>
      <c r="AC1493" s="35"/>
      <c r="AD1493" s="35"/>
      <c r="AE1493" s="35"/>
      <c r="AF1493" s="35"/>
      <c r="AG1493" s="35"/>
      <c r="AH1493" s="35"/>
      <c r="AI1493" s="35"/>
    </row>
    <row r="1494">
      <c r="A1494" s="212">
        <v>45623.0</v>
      </c>
      <c r="B1494" s="166">
        <v>6413802.0</v>
      </c>
      <c r="C1494" s="166" t="s">
        <v>82</v>
      </c>
      <c r="D1494" s="166" t="s">
        <v>35</v>
      </c>
      <c r="E1494" s="166">
        <v>4.874365436E9</v>
      </c>
      <c r="F1494" s="166" t="s">
        <v>3865</v>
      </c>
      <c r="G1494" s="212">
        <v>45624.0</v>
      </c>
      <c r="H1494" s="310">
        <v>45626.0</v>
      </c>
      <c r="I1494" s="168">
        <v>2.0</v>
      </c>
      <c r="J1494" s="169" t="s">
        <v>78</v>
      </c>
      <c r="K1494" s="166" t="s">
        <v>79</v>
      </c>
      <c r="L1494" s="166" t="s">
        <v>2803</v>
      </c>
      <c r="M1494" s="166">
        <v>2.0</v>
      </c>
      <c r="N1494" s="170">
        <v>0.0</v>
      </c>
      <c r="O1494" s="171">
        <v>145.43</v>
      </c>
      <c r="P1494" s="171">
        <v>116.34400000000001</v>
      </c>
      <c r="Q1494" s="172">
        <v>0.0</v>
      </c>
      <c r="R1494" s="173">
        <v>232.68800000000002</v>
      </c>
      <c r="S1494" s="173">
        <v>0.0</v>
      </c>
      <c r="T1494" s="173">
        <v>290.86</v>
      </c>
      <c r="U1494" s="174" t="s">
        <v>2804</v>
      </c>
      <c r="V1494" s="288">
        <v>45623.81115740741</v>
      </c>
      <c r="W1494" s="35"/>
      <c r="X1494" s="35"/>
      <c r="Y1494" s="35"/>
      <c r="Z1494" s="35"/>
      <c r="AA1494" s="35"/>
      <c r="AB1494" s="35"/>
      <c r="AC1494" s="35"/>
      <c r="AD1494" s="35"/>
      <c r="AE1494" s="35"/>
      <c r="AF1494" s="35"/>
      <c r="AG1494" s="35"/>
      <c r="AH1494" s="35"/>
      <c r="AI1494" s="35"/>
    </row>
    <row r="1495">
      <c r="A1495" s="212">
        <v>45624.0</v>
      </c>
      <c r="B1495" s="166">
        <v>6415318.0</v>
      </c>
      <c r="C1495" s="166" t="s">
        <v>82</v>
      </c>
      <c r="D1495" s="166" t="s">
        <v>94</v>
      </c>
      <c r="E1495" s="166">
        <v>6415318.0</v>
      </c>
      <c r="F1495" s="166" t="s">
        <v>3866</v>
      </c>
      <c r="G1495" s="212">
        <v>45636.0</v>
      </c>
      <c r="H1495" s="310">
        <v>45639.0</v>
      </c>
      <c r="I1495" s="168">
        <v>3.0</v>
      </c>
      <c r="J1495" s="169" t="s">
        <v>78</v>
      </c>
      <c r="K1495" s="166" t="s">
        <v>79</v>
      </c>
      <c r="L1495" s="166" t="s">
        <v>1811</v>
      </c>
      <c r="M1495" s="166">
        <v>2.0</v>
      </c>
      <c r="N1495" s="170">
        <v>0.0</v>
      </c>
      <c r="O1495" s="171">
        <v>128.20000000000002</v>
      </c>
      <c r="P1495" s="171">
        <v>126.91800000000002</v>
      </c>
      <c r="Q1495" s="172">
        <v>0.0</v>
      </c>
      <c r="R1495" s="173">
        <v>380.754</v>
      </c>
      <c r="S1495" s="173">
        <v>0.0</v>
      </c>
      <c r="T1495" s="173">
        <v>384.6</v>
      </c>
      <c r="U1495" s="174" t="s">
        <v>1812</v>
      </c>
      <c r="V1495" s="288">
        <v>45624.41138888889</v>
      </c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</row>
    <row r="1496">
      <c r="A1496" s="212">
        <v>45625.0</v>
      </c>
      <c r="B1496" s="166">
        <v>6417896.0</v>
      </c>
      <c r="C1496" s="166" t="s">
        <v>82</v>
      </c>
      <c r="D1496" s="166" t="s">
        <v>94</v>
      </c>
      <c r="E1496" s="166">
        <v>6417896.0</v>
      </c>
      <c r="F1496" s="166" t="s">
        <v>3867</v>
      </c>
      <c r="G1496" s="212">
        <v>45643.0</v>
      </c>
      <c r="H1496" s="310">
        <v>45647.0</v>
      </c>
      <c r="I1496" s="168">
        <v>4.0</v>
      </c>
      <c r="J1496" s="169" t="s">
        <v>91</v>
      </c>
      <c r="K1496" s="166" t="s">
        <v>79</v>
      </c>
      <c r="L1496" s="166" t="s">
        <v>1601</v>
      </c>
      <c r="M1496" s="205">
        <v>3.0</v>
      </c>
      <c r="N1496" s="170">
        <v>0.0</v>
      </c>
      <c r="O1496" s="171">
        <v>308.3</v>
      </c>
      <c r="P1496" s="171">
        <v>305.217</v>
      </c>
      <c r="Q1496" s="172">
        <v>0.0</v>
      </c>
      <c r="R1496" s="173">
        <v>1220.868</v>
      </c>
      <c r="S1496" s="173">
        <v>0.0</v>
      </c>
      <c r="T1496" s="173">
        <v>1233.2</v>
      </c>
      <c r="U1496" s="174" t="s">
        <v>1602</v>
      </c>
      <c r="V1496" s="288">
        <v>45625.08633101852</v>
      </c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</row>
    <row r="1497">
      <c r="A1497" s="305">
        <v>45626.0</v>
      </c>
      <c r="B1497" s="264">
        <v>6423773.0</v>
      </c>
      <c r="C1497" s="265" t="s">
        <v>89</v>
      </c>
      <c r="D1497" s="265" t="s">
        <v>35</v>
      </c>
      <c r="E1497" s="264">
        <v>4.541291774E9</v>
      </c>
      <c r="F1497" s="265" t="s">
        <v>3868</v>
      </c>
      <c r="G1497" s="280">
        <v>45627.0</v>
      </c>
      <c r="H1497" s="281">
        <v>45629.0</v>
      </c>
      <c r="I1497" s="282">
        <v>2.0</v>
      </c>
      <c r="J1497" s="283" t="s">
        <v>87</v>
      </c>
      <c r="K1497" s="265" t="s">
        <v>79</v>
      </c>
      <c r="L1497" s="265" t="s">
        <v>2803</v>
      </c>
      <c r="M1497" s="269">
        <v>2.0</v>
      </c>
      <c r="N1497" s="270">
        <v>0.0</v>
      </c>
      <c r="O1497" s="271">
        <v>0.0</v>
      </c>
      <c r="P1497" s="271">
        <v>0.0</v>
      </c>
      <c r="Q1497" s="272">
        <v>0.0</v>
      </c>
      <c r="R1497" s="273">
        <v>0.0</v>
      </c>
      <c r="S1497" s="273">
        <v>0.0</v>
      </c>
      <c r="T1497" s="273">
        <v>0.0</v>
      </c>
      <c r="U1497" s="274" t="s">
        <v>3869</v>
      </c>
      <c r="V1497" s="284">
        <v>45626.805625</v>
      </c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</row>
    <row r="1498">
      <c r="A1498" s="305">
        <v>45626.0</v>
      </c>
      <c r="B1498" s="264">
        <v>6424431.0</v>
      </c>
      <c r="C1498" s="265" t="s">
        <v>89</v>
      </c>
      <c r="D1498" s="265" t="s">
        <v>35</v>
      </c>
      <c r="E1498" s="264">
        <v>4.982757867E9</v>
      </c>
      <c r="F1498" s="265" t="s">
        <v>3870</v>
      </c>
      <c r="G1498" s="280">
        <v>45627.0</v>
      </c>
      <c r="H1498" s="281">
        <v>45628.0</v>
      </c>
      <c r="I1498" s="282">
        <v>1.0</v>
      </c>
      <c r="J1498" s="283" t="s">
        <v>78</v>
      </c>
      <c r="K1498" s="265" t="s">
        <v>79</v>
      </c>
      <c r="L1498" s="265" t="s">
        <v>2803</v>
      </c>
      <c r="M1498" s="269">
        <v>2.0</v>
      </c>
      <c r="N1498" s="270">
        <v>0.0</v>
      </c>
      <c r="O1498" s="271">
        <v>0.0</v>
      </c>
      <c r="P1498" s="271">
        <v>0.0</v>
      </c>
      <c r="Q1498" s="272">
        <v>0.0</v>
      </c>
      <c r="R1498" s="273">
        <v>0.0</v>
      </c>
      <c r="S1498" s="273">
        <v>0.0</v>
      </c>
      <c r="T1498" s="273">
        <v>0.0</v>
      </c>
      <c r="U1498" s="274" t="s">
        <v>3871</v>
      </c>
      <c r="V1498" s="284">
        <v>45626.970196759255</v>
      </c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</row>
    <row r="1499">
      <c r="A1499" s="303">
        <v>45626.0</v>
      </c>
      <c r="B1499" s="290">
        <v>6422835.0</v>
      </c>
      <c r="C1499" s="291" t="s">
        <v>89</v>
      </c>
      <c r="D1499" s="291" t="s">
        <v>94</v>
      </c>
      <c r="E1499" s="290">
        <v>4.89058187E8</v>
      </c>
      <c r="F1499" s="291" t="s">
        <v>3872</v>
      </c>
      <c r="G1499" s="289">
        <v>45633.0</v>
      </c>
      <c r="H1499" s="360">
        <v>45640.0</v>
      </c>
      <c r="I1499" s="293">
        <v>7.0</v>
      </c>
      <c r="J1499" s="294" t="s">
        <v>91</v>
      </c>
      <c r="K1499" s="291" t="s">
        <v>79</v>
      </c>
      <c r="L1499" s="291" t="s">
        <v>3388</v>
      </c>
      <c r="M1499" s="300">
        <v>2.0</v>
      </c>
      <c r="N1499" s="295">
        <v>0.0</v>
      </c>
      <c r="O1499" s="296">
        <v>0.0</v>
      </c>
      <c r="P1499" s="296">
        <v>0.0</v>
      </c>
      <c r="Q1499" s="301">
        <v>0.0</v>
      </c>
      <c r="R1499" s="297">
        <v>0.0</v>
      </c>
      <c r="S1499" s="297">
        <v>0.0</v>
      </c>
      <c r="T1499" s="297">
        <v>0.0</v>
      </c>
      <c r="U1499" s="298" t="s">
        <v>3873</v>
      </c>
      <c r="V1499" s="299">
        <v>45626.58342592593</v>
      </c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</row>
    <row r="1500">
      <c r="A1500" s="210">
        <v>45627.0</v>
      </c>
      <c r="B1500" s="166">
        <v>6426196.0</v>
      </c>
      <c r="C1500" s="166" t="s">
        <v>82</v>
      </c>
      <c r="D1500" s="166" t="s">
        <v>94</v>
      </c>
      <c r="E1500" s="166">
        <v>6426196.0</v>
      </c>
      <c r="F1500" s="166" t="s">
        <v>3870</v>
      </c>
      <c r="G1500" s="210">
        <v>45627.0</v>
      </c>
      <c r="H1500" s="287">
        <v>45628.0</v>
      </c>
      <c r="I1500" s="168">
        <v>1.0</v>
      </c>
      <c r="J1500" s="169" t="s">
        <v>78</v>
      </c>
      <c r="K1500" s="166" t="s">
        <v>79</v>
      </c>
      <c r="L1500" s="166" t="s">
        <v>1462</v>
      </c>
      <c r="M1500" s="205">
        <v>2.0</v>
      </c>
      <c r="N1500" s="170">
        <v>0.0</v>
      </c>
      <c r="O1500" s="171">
        <v>128.2</v>
      </c>
      <c r="P1500" s="171">
        <v>126.91799999999999</v>
      </c>
      <c r="Q1500" s="172">
        <v>0.0</v>
      </c>
      <c r="R1500" s="173">
        <v>126.91799999999999</v>
      </c>
      <c r="S1500" s="173">
        <v>0.0</v>
      </c>
      <c r="T1500" s="173">
        <v>128.2</v>
      </c>
      <c r="U1500" s="174" t="s">
        <v>1463</v>
      </c>
      <c r="V1500" s="288">
        <v>45627.658541666664</v>
      </c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</row>
    <row r="1501">
      <c r="A1501" s="210">
        <v>45627.0</v>
      </c>
      <c r="B1501" s="166">
        <v>6426121.0</v>
      </c>
      <c r="C1501" s="166" t="s">
        <v>82</v>
      </c>
      <c r="D1501" s="166" t="s">
        <v>94</v>
      </c>
      <c r="E1501" s="166">
        <v>6426121.0</v>
      </c>
      <c r="F1501" s="166" t="s">
        <v>3874</v>
      </c>
      <c r="G1501" s="210">
        <v>45627.0</v>
      </c>
      <c r="H1501" s="287">
        <v>45629.0</v>
      </c>
      <c r="I1501" s="168">
        <v>2.0</v>
      </c>
      <c r="J1501" s="169" t="s">
        <v>91</v>
      </c>
      <c r="K1501" s="166" t="s">
        <v>79</v>
      </c>
      <c r="L1501" s="166" t="s">
        <v>1462</v>
      </c>
      <c r="M1501" s="166">
        <v>2.0</v>
      </c>
      <c r="N1501" s="170">
        <v>0.0</v>
      </c>
      <c r="O1501" s="171">
        <v>305.8</v>
      </c>
      <c r="P1501" s="171">
        <v>302.742</v>
      </c>
      <c r="Q1501" s="172">
        <v>0.0</v>
      </c>
      <c r="R1501" s="173">
        <v>605.484</v>
      </c>
      <c r="S1501" s="173">
        <v>0.0</v>
      </c>
      <c r="T1501" s="173">
        <v>611.6</v>
      </c>
      <c r="U1501" s="174" t="s">
        <v>1463</v>
      </c>
      <c r="V1501" s="288">
        <v>45627.64576388889</v>
      </c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</row>
    <row r="1502">
      <c r="A1502" s="280">
        <v>45627.0</v>
      </c>
      <c r="B1502" s="264">
        <v>6426134.0</v>
      </c>
      <c r="C1502" s="265" t="s">
        <v>82</v>
      </c>
      <c r="D1502" s="265" t="s">
        <v>94</v>
      </c>
      <c r="E1502" s="264">
        <v>6426134.0</v>
      </c>
      <c r="F1502" s="265" t="s">
        <v>3843</v>
      </c>
      <c r="G1502" s="280">
        <v>45627.0</v>
      </c>
      <c r="H1502" s="281">
        <v>45629.0</v>
      </c>
      <c r="I1502" s="282">
        <v>2.0</v>
      </c>
      <c r="J1502" s="283" t="s">
        <v>114</v>
      </c>
      <c r="K1502" s="265" t="s">
        <v>79</v>
      </c>
      <c r="L1502" s="265" t="s">
        <v>1462</v>
      </c>
      <c r="M1502" s="269">
        <v>2.0</v>
      </c>
      <c r="N1502" s="270">
        <v>0.0</v>
      </c>
      <c r="O1502" s="271">
        <v>157.0</v>
      </c>
      <c r="P1502" s="271">
        <v>155.43</v>
      </c>
      <c r="Q1502" s="272">
        <v>0.0</v>
      </c>
      <c r="R1502" s="273">
        <v>310.86</v>
      </c>
      <c r="S1502" s="273">
        <v>0.0</v>
      </c>
      <c r="T1502" s="273">
        <v>314.0</v>
      </c>
      <c r="U1502" s="274" t="s">
        <v>1463</v>
      </c>
      <c r="V1502" s="284">
        <v>45627.64783564815</v>
      </c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</row>
    <row r="1503">
      <c r="A1503" s="280">
        <v>45627.0</v>
      </c>
      <c r="B1503" s="264">
        <v>6427144.0</v>
      </c>
      <c r="C1503" s="265" t="s">
        <v>82</v>
      </c>
      <c r="D1503" s="265" t="s">
        <v>94</v>
      </c>
      <c r="E1503" s="264">
        <v>6427144.0</v>
      </c>
      <c r="F1503" s="265" t="s">
        <v>3868</v>
      </c>
      <c r="G1503" s="280">
        <v>45627.0</v>
      </c>
      <c r="H1503" s="281">
        <v>45629.0</v>
      </c>
      <c r="I1503" s="282">
        <v>2.0</v>
      </c>
      <c r="J1503" s="283" t="s">
        <v>87</v>
      </c>
      <c r="K1503" s="265" t="s">
        <v>79</v>
      </c>
      <c r="L1503" s="265" t="s">
        <v>1462</v>
      </c>
      <c r="M1503" s="264">
        <v>2.0</v>
      </c>
      <c r="N1503" s="270">
        <v>0.0</v>
      </c>
      <c r="O1503" s="271">
        <v>112.2</v>
      </c>
      <c r="P1503" s="271">
        <v>111.078</v>
      </c>
      <c r="Q1503" s="272">
        <v>0.0</v>
      </c>
      <c r="R1503" s="273">
        <v>222.156</v>
      </c>
      <c r="S1503" s="273">
        <v>0.0</v>
      </c>
      <c r="T1503" s="273">
        <v>224.4</v>
      </c>
      <c r="U1503" s="274" t="s">
        <v>1463</v>
      </c>
      <c r="V1503" s="284">
        <v>45627.868935185186</v>
      </c>
      <c r="W1503" s="35"/>
      <c r="X1503" s="35"/>
      <c r="Y1503" s="35"/>
      <c r="Z1503" s="35"/>
      <c r="AA1503" s="35"/>
      <c r="AB1503" s="35"/>
      <c r="AC1503" s="35"/>
      <c r="AD1503" s="35"/>
      <c r="AE1503" s="35"/>
      <c r="AF1503" s="35"/>
      <c r="AG1503" s="35"/>
      <c r="AH1503" s="35"/>
      <c r="AI1503" s="35"/>
    </row>
    <row r="1504">
      <c r="A1504" s="210">
        <v>45627.0</v>
      </c>
      <c r="B1504" s="166">
        <v>6425927.0</v>
      </c>
      <c r="C1504" s="166" t="s">
        <v>82</v>
      </c>
      <c r="D1504" s="166" t="s">
        <v>35</v>
      </c>
      <c r="E1504" s="166">
        <v>4.776955328E9</v>
      </c>
      <c r="F1504" s="166" t="s">
        <v>3875</v>
      </c>
      <c r="G1504" s="210">
        <v>45634.0</v>
      </c>
      <c r="H1504" s="310">
        <v>45636.0</v>
      </c>
      <c r="I1504" s="168">
        <v>2.0</v>
      </c>
      <c r="J1504" s="169" t="s">
        <v>78</v>
      </c>
      <c r="K1504" s="166" t="s">
        <v>79</v>
      </c>
      <c r="L1504" s="166" t="s">
        <v>2803</v>
      </c>
      <c r="M1504" s="205">
        <v>2.0</v>
      </c>
      <c r="N1504" s="170">
        <v>0.0</v>
      </c>
      <c r="O1504" s="171">
        <v>153.23</v>
      </c>
      <c r="P1504" s="171">
        <v>122.584</v>
      </c>
      <c r="Q1504" s="172">
        <v>0.0</v>
      </c>
      <c r="R1504" s="173">
        <v>245.168</v>
      </c>
      <c r="S1504" s="173">
        <v>0.0</v>
      </c>
      <c r="T1504" s="173">
        <v>306.46</v>
      </c>
      <c r="U1504" s="201" t="s">
        <v>2804</v>
      </c>
      <c r="V1504" s="288">
        <v>45627.6021875</v>
      </c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</row>
    <row r="1505">
      <c r="A1505" s="289">
        <v>45627.0</v>
      </c>
      <c r="B1505" s="290">
        <v>6424768.0</v>
      </c>
      <c r="C1505" s="291" t="s">
        <v>82</v>
      </c>
      <c r="D1505" s="291" t="s">
        <v>35</v>
      </c>
      <c r="E1505" s="290">
        <v>4.709757E9</v>
      </c>
      <c r="F1505" s="291" t="s">
        <v>3876</v>
      </c>
      <c r="G1505" s="303">
        <v>45646.0</v>
      </c>
      <c r="H1505" s="360">
        <v>45647.0</v>
      </c>
      <c r="I1505" s="293">
        <v>1.0</v>
      </c>
      <c r="J1505" s="294" t="s">
        <v>78</v>
      </c>
      <c r="K1505" s="291" t="s">
        <v>79</v>
      </c>
      <c r="L1505" s="291" t="s">
        <v>3364</v>
      </c>
      <c r="M1505" s="290">
        <v>2.0</v>
      </c>
      <c r="N1505" s="295">
        <v>0.0</v>
      </c>
      <c r="O1505" s="296">
        <v>168.63</v>
      </c>
      <c r="P1505" s="296">
        <v>134.904</v>
      </c>
      <c r="Q1505" s="301">
        <v>0.0</v>
      </c>
      <c r="R1505" s="297">
        <v>134.904</v>
      </c>
      <c r="S1505" s="297">
        <v>0.0</v>
      </c>
      <c r="T1505" s="297">
        <v>168.63</v>
      </c>
      <c r="U1505" s="298" t="s">
        <v>3365</v>
      </c>
      <c r="V1505" s="299">
        <v>45627.17225694444</v>
      </c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</row>
    <row r="1506">
      <c r="A1506" s="210">
        <v>45629.0</v>
      </c>
      <c r="B1506" s="166">
        <v>6431314.0</v>
      </c>
      <c r="C1506" s="166" t="s">
        <v>82</v>
      </c>
      <c r="D1506" s="166" t="s">
        <v>101</v>
      </c>
      <c r="E1506" s="166">
        <v>3.70963139E8</v>
      </c>
      <c r="F1506" s="166" t="s">
        <v>3877</v>
      </c>
      <c r="G1506" s="210">
        <v>45634.0</v>
      </c>
      <c r="H1506" s="287">
        <v>45635.0</v>
      </c>
      <c r="I1506" s="168">
        <v>1.0</v>
      </c>
      <c r="J1506" s="169" t="s">
        <v>78</v>
      </c>
      <c r="K1506" s="166" t="s">
        <v>79</v>
      </c>
      <c r="L1506" s="166" t="s">
        <v>1436</v>
      </c>
      <c r="M1506" s="205">
        <v>2.0</v>
      </c>
      <c r="N1506" s="170">
        <v>0.0</v>
      </c>
      <c r="O1506" s="171">
        <v>167.41</v>
      </c>
      <c r="P1506" s="171">
        <v>133.928</v>
      </c>
      <c r="Q1506" s="172">
        <v>0.0</v>
      </c>
      <c r="R1506" s="173">
        <v>133.928</v>
      </c>
      <c r="S1506" s="173">
        <v>0.0</v>
      </c>
      <c r="T1506" s="173">
        <v>167.41</v>
      </c>
      <c r="U1506" s="174" t="s">
        <v>1437</v>
      </c>
      <c r="V1506" s="288">
        <v>45629.04875</v>
      </c>
      <c r="W1506" s="188"/>
      <c r="X1506" s="188"/>
      <c r="Y1506" s="188"/>
      <c r="Z1506" s="188"/>
      <c r="AA1506" s="188"/>
      <c r="AB1506" s="188"/>
      <c r="AC1506" s="188"/>
      <c r="AD1506" s="188"/>
      <c r="AE1506" s="188"/>
      <c r="AF1506" s="188"/>
      <c r="AG1506" s="188"/>
      <c r="AH1506" s="188"/>
      <c r="AI1506" s="188"/>
    </row>
    <row r="1507">
      <c r="A1507" s="280">
        <v>45631.0</v>
      </c>
      <c r="B1507" s="264">
        <v>6440258.0</v>
      </c>
      <c r="C1507" s="265" t="s">
        <v>82</v>
      </c>
      <c r="D1507" s="265" t="s">
        <v>94</v>
      </c>
      <c r="E1507" s="264">
        <v>6440258.0</v>
      </c>
      <c r="F1507" s="265" t="s">
        <v>3878</v>
      </c>
      <c r="G1507" s="280">
        <v>45631.0</v>
      </c>
      <c r="H1507" s="281">
        <v>45634.0</v>
      </c>
      <c r="I1507" s="282">
        <v>3.0</v>
      </c>
      <c r="J1507" s="283" t="s">
        <v>78</v>
      </c>
      <c r="K1507" s="265" t="s">
        <v>79</v>
      </c>
      <c r="L1507" s="265" t="s">
        <v>1462</v>
      </c>
      <c r="M1507" s="269">
        <v>2.0</v>
      </c>
      <c r="N1507" s="270">
        <v>0.0</v>
      </c>
      <c r="O1507" s="271">
        <v>128.20000000000002</v>
      </c>
      <c r="P1507" s="271">
        <v>126.91800000000002</v>
      </c>
      <c r="Q1507" s="272">
        <v>0.0</v>
      </c>
      <c r="R1507" s="273">
        <v>380.754</v>
      </c>
      <c r="S1507" s="273">
        <v>0.0</v>
      </c>
      <c r="T1507" s="273">
        <v>384.6</v>
      </c>
      <c r="U1507" s="274" t="s">
        <v>1463</v>
      </c>
      <c r="V1507" s="284">
        <v>45631.61482638889</v>
      </c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</row>
    <row r="1508">
      <c r="A1508" s="280">
        <v>45631.0</v>
      </c>
      <c r="B1508" s="264">
        <v>6439284.0</v>
      </c>
      <c r="C1508" s="265" t="s">
        <v>82</v>
      </c>
      <c r="D1508" s="265" t="s">
        <v>94</v>
      </c>
      <c r="E1508" s="264">
        <v>6439284.0</v>
      </c>
      <c r="F1508" s="265" t="s">
        <v>3879</v>
      </c>
      <c r="G1508" s="280">
        <v>45631.0</v>
      </c>
      <c r="H1508" s="281">
        <v>45632.0</v>
      </c>
      <c r="I1508" s="282">
        <v>1.0</v>
      </c>
      <c r="J1508" s="283" t="s">
        <v>78</v>
      </c>
      <c r="K1508" s="265" t="s">
        <v>79</v>
      </c>
      <c r="L1508" s="265" t="s">
        <v>1811</v>
      </c>
      <c r="M1508" s="269">
        <v>2.0</v>
      </c>
      <c r="N1508" s="270">
        <v>0.0</v>
      </c>
      <c r="O1508" s="271">
        <v>128.2</v>
      </c>
      <c r="P1508" s="271">
        <v>126.91799999999999</v>
      </c>
      <c r="Q1508" s="272">
        <v>0.0</v>
      </c>
      <c r="R1508" s="273">
        <v>126.91799999999999</v>
      </c>
      <c r="S1508" s="273">
        <v>0.0</v>
      </c>
      <c r="T1508" s="273">
        <v>128.2</v>
      </c>
      <c r="U1508" s="274" t="s">
        <v>1812</v>
      </c>
      <c r="V1508" s="284">
        <v>45631.404699074075</v>
      </c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</row>
    <row r="1509">
      <c r="A1509" s="289">
        <v>45631.0</v>
      </c>
      <c r="B1509" s="290">
        <v>6441487.0</v>
      </c>
      <c r="C1509" s="291" t="s">
        <v>75</v>
      </c>
      <c r="D1509" s="291" t="s">
        <v>94</v>
      </c>
      <c r="E1509" s="290">
        <v>6441487.0</v>
      </c>
      <c r="F1509" s="291" t="s">
        <v>3880</v>
      </c>
      <c r="G1509" s="289">
        <v>45634.0</v>
      </c>
      <c r="H1509" s="360">
        <v>45637.0</v>
      </c>
      <c r="I1509" s="293">
        <v>3.0</v>
      </c>
      <c r="J1509" s="294" t="s">
        <v>1425</v>
      </c>
      <c r="K1509" s="291" t="s">
        <v>1425</v>
      </c>
      <c r="L1509" s="291" t="s">
        <v>1425</v>
      </c>
      <c r="M1509" s="300">
        <v>1.0</v>
      </c>
      <c r="N1509" s="295">
        <v>0.0</v>
      </c>
      <c r="O1509" s="296">
        <v>148.33333333333334</v>
      </c>
      <c r="P1509" s="296">
        <v>146.85</v>
      </c>
      <c r="Q1509" s="301" t="e">
        <v>#NUM!</v>
      </c>
      <c r="R1509" s="297">
        <v>440.55</v>
      </c>
      <c r="S1509" s="297" t="e">
        <v>#NUM!</v>
      </c>
      <c r="T1509" s="297">
        <v>445.0</v>
      </c>
      <c r="U1509" s="298" t="s">
        <v>1428</v>
      </c>
      <c r="V1509" s="299">
        <v>45631.90311342593</v>
      </c>
      <c r="W1509" s="35"/>
      <c r="X1509" s="35"/>
      <c r="Y1509" s="35"/>
      <c r="Z1509" s="35"/>
      <c r="AA1509" s="35"/>
      <c r="AB1509" s="35"/>
      <c r="AC1509" s="35"/>
      <c r="AD1509" s="35"/>
      <c r="AE1509" s="35"/>
      <c r="AF1509" s="35"/>
      <c r="AG1509" s="35"/>
      <c r="AH1509" s="35"/>
      <c r="AI1509" s="35"/>
    </row>
    <row r="1510">
      <c r="A1510" s="210">
        <v>45631.0</v>
      </c>
      <c r="B1510" s="166">
        <v>6441501.0</v>
      </c>
      <c r="C1510" s="166" t="s">
        <v>75</v>
      </c>
      <c r="D1510" s="166" t="s">
        <v>94</v>
      </c>
      <c r="E1510" s="166">
        <v>6441501.0</v>
      </c>
      <c r="F1510" s="166" t="s">
        <v>3881</v>
      </c>
      <c r="G1510" s="210">
        <v>45634.0</v>
      </c>
      <c r="H1510" s="310">
        <v>45637.0</v>
      </c>
      <c r="I1510" s="168">
        <v>3.0</v>
      </c>
      <c r="J1510" s="169" t="s">
        <v>1425</v>
      </c>
      <c r="K1510" s="166" t="s">
        <v>1425</v>
      </c>
      <c r="L1510" s="166" t="s">
        <v>1425</v>
      </c>
      <c r="M1510" s="166" t="s">
        <v>1425</v>
      </c>
      <c r="N1510" s="170">
        <v>0.0</v>
      </c>
      <c r="O1510" s="171">
        <v>115.0</v>
      </c>
      <c r="P1510" s="171">
        <v>113.85</v>
      </c>
      <c r="Q1510" s="169" t="e">
        <v>#NUM!</v>
      </c>
      <c r="R1510" s="173">
        <v>341.55</v>
      </c>
      <c r="S1510" s="173" t="e">
        <v>#NUM!</v>
      </c>
      <c r="T1510" s="173">
        <v>345.0</v>
      </c>
      <c r="U1510" s="201" t="s">
        <v>1428</v>
      </c>
      <c r="V1510" s="288">
        <v>45631.90628472222</v>
      </c>
      <c r="W1510" s="36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</row>
    <row r="1511">
      <c r="A1511" s="210">
        <v>45631.0</v>
      </c>
      <c r="B1511" s="166">
        <v>6439597.0</v>
      </c>
      <c r="C1511" s="166" t="s">
        <v>82</v>
      </c>
      <c r="D1511" s="166" t="s">
        <v>35</v>
      </c>
      <c r="E1511" s="166">
        <v>4.357128491E9</v>
      </c>
      <c r="F1511" s="166" t="s">
        <v>3882</v>
      </c>
      <c r="G1511" s="212">
        <v>45637.0</v>
      </c>
      <c r="H1511" s="310">
        <v>45640.0</v>
      </c>
      <c r="I1511" s="168">
        <v>3.0</v>
      </c>
      <c r="J1511" s="169" t="s">
        <v>78</v>
      </c>
      <c r="K1511" s="166" t="s">
        <v>79</v>
      </c>
      <c r="L1511" s="166" t="s">
        <v>2803</v>
      </c>
      <c r="M1511" s="205">
        <v>2.0</v>
      </c>
      <c r="N1511" s="169">
        <v>0.0</v>
      </c>
      <c r="O1511" s="171">
        <v>203.6</v>
      </c>
      <c r="P1511" s="171">
        <v>162.88</v>
      </c>
      <c r="Q1511" s="169">
        <v>0.0</v>
      </c>
      <c r="R1511" s="173">
        <v>488.64</v>
      </c>
      <c r="S1511" s="173">
        <v>0.0</v>
      </c>
      <c r="T1511" s="173">
        <v>610.8</v>
      </c>
      <c r="U1511" s="201" t="s">
        <v>2804</v>
      </c>
      <c r="V1511" s="288">
        <v>45631.48476851852</v>
      </c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</row>
    <row r="1512">
      <c r="A1512" s="276">
        <v>45631.0</v>
      </c>
      <c r="B1512" s="252">
        <v>6439774.0</v>
      </c>
      <c r="C1512" s="253" t="s">
        <v>82</v>
      </c>
      <c r="D1512" s="253" t="s">
        <v>94</v>
      </c>
      <c r="E1512" s="252">
        <v>6439774.0</v>
      </c>
      <c r="F1512" s="253" t="s">
        <v>3883</v>
      </c>
      <c r="G1512" s="304">
        <v>45655.0</v>
      </c>
      <c r="H1512" s="311">
        <v>45657.0</v>
      </c>
      <c r="I1512" s="278">
        <v>2.0</v>
      </c>
      <c r="J1512" s="257" t="s">
        <v>114</v>
      </c>
      <c r="K1512" s="253" t="s">
        <v>79</v>
      </c>
      <c r="L1512" s="253" t="s">
        <v>1601</v>
      </c>
      <c r="M1512" s="275">
        <v>2.0</v>
      </c>
      <c r="N1512" s="258">
        <v>0.0</v>
      </c>
      <c r="O1512" s="259">
        <v>179.4</v>
      </c>
      <c r="P1512" s="259">
        <v>177.606</v>
      </c>
      <c r="Q1512" s="262">
        <v>0.0</v>
      </c>
      <c r="R1512" s="260">
        <v>355.212</v>
      </c>
      <c r="S1512" s="260">
        <v>0.0</v>
      </c>
      <c r="T1512" s="260">
        <v>358.8</v>
      </c>
      <c r="U1512" s="261" t="s">
        <v>1602</v>
      </c>
      <c r="V1512" s="279">
        <v>45631.52253472222</v>
      </c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</row>
    <row r="1513">
      <c r="A1513" s="276">
        <v>45632.0</v>
      </c>
      <c r="B1513" s="252">
        <v>6444095.0</v>
      </c>
      <c r="C1513" s="253" t="s">
        <v>82</v>
      </c>
      <c r="D1513" s="253" t="s">
        <v>101</v>
      </c>
      <c r="E1513" s="252">
        <v>3.73386521E8</v>
      </c>
      <c r="F1513" s="253" t="s">
        <v>3884</v>
      </c>
      <c r="G1513" s="304">
        <v>45655.0</v>
      </c>
      <c r="H1513" s="311">
        <v>45656.0</v>
      </c>
      <c r="I1513" s="278">
        <v>1.0</v>
      </c>
      <c r="J1513" s="257" t="s">
        <v>78</v>
      </c>
      <c r="K1513" s="253" t="s">
        <v>1492</v>
      </c>
      <c r="L1513" s="253" t="s">
        <v>3885</v>
      </c>
      <c r="M1513" s="252">
        <v>2.0</v>
      </c>
      <c r="N1513" s="258">
        <v>0.0</v>
      </c>
      <c r="O1513" s="259">
        <v>360.0</v>
      </c>
      <c r="P1513" s="259">
        <v>288.0</v>
      </c>
      <c r="Q1513" s="262">
        <v>70.0</v>
      </c>
      <c r="R1513" s="260">
        <v>288.0</v>
      </c>
      <c r="S1513" s="260">
        <v>70.0</v>
      </c>
      <c r="T1513" s="260">
        <v>360.0</v>
      </c>
      <c r="U1513" s="261" t="s">
        <v>3886</v>
      </c>
      <c r="V1513" s="279">
        <v>45632.76959490741</v>
      </c>
      <c r="W1513" s="36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</row>
    <row r="1514">
      <c r="A1514" s="210">
        <v>45633.0</v>
      </c>
      <c r="B1514" s="166">
        <v>6446677.0</v>
      </c>
      <c r="C1514" s="166" t="s">
        <v>89</v>
      </c>
      <c r="D1514" s="166" t="s">
        <v>94</v>
      </c>
      <c r="E1514" s="166">
        <v>6446677.0</v>
      </c>
      <c r="F1514" s="166" t="s">
        <v>3791</v>
      </c>
      <c r="G1514" s="210">
        <v>45669.0</v>
      </c>
      <c r="H1514" s="287">
        <v>45672.0</v>
      </c>
      <c r="I1514" s="168">
        <v>3.0</v>
      </c>
      <c r="J1514" s="169" t="s">
        <v>78</v>
      </c>
      <c r="K1514" s="166" t="s">
        <v>79</v>
      </c>
      <c r="L1514" s="166" t="s">
        <v>1462</v>
      </c>
      <c r="M1514" s="166">
        <v>2.0</v>
      </c>
      <c r="N1514" s="170">
        <v>0.0</v>
      </c>
      <c r="O1514" s="171">
        <v>0.0</v>
      </c>
      <c r="P1514" s="171">
        <v>0.0</v>
      </c>
      <c r="Q1514" s="172">
        <v>0.0</v>
      </c>
      <c r="R1514" s="173">
        <v>0.0</v>
      </c>
      <c r="S1514" s="173">
        <v>0.0</v>
      </c>
      <c r="T1514" s="173">
        <v>0.0</v>
      </c>
      <c r="U1514" s="201" t="s">
        <v>3887</v>
      </c>
      <c r="V1514" s="288">
        <v>45633.7081712963</v>
      </c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</row>
    <row r="1515">
      <c r="A1515" s="280">
        <v>45634.0</v>
      </c>
      <c r="B1515" s="264">
        <v>6449603.0</v>
      </c>
      <c r="C1515" s="265" t="s">
        <v>82</v>
      </c>
      <c r="D1515" s="265" t="s">
        <v>35</v>
      </c>
      <c r="E1515" s="264">
        <v>4.804997534E9</v>
      </c>
      <c r="F1515" s="265" t="s">
        <v>3888</v>
      </c>
      <c r="G1515" s="305">
        <v>45644.0</v>
      </c>
      <c r="H1515" s="313">
        <v>45646.0</v>
      </c>
      <c r="I1515" s="282">
        <v>2.0</v>
      </c>
      <c r="J1515" s="283" t="s">
        <v>78</v>
      </c>
      <c r="K1515" s="265" t="s">
        <v>79</v>
      </c>
      <c r="L1515" s="265" t="s">
        <v>2803</v>
      </c>
      <c r="M1515" s="269">
        <v>2.0</v>
      </c>
      <c r="N1515" s="270">
        <v>0.0</v>
      </c>
      <c r="O1515" s="271">
        <v>140.57</v>
      </c>
      <c r="P1515" s="271">
        <v>112.456</v>
      </c>
      <c r="Q1515" s="272">
        <v>0.0</v>
      </c>
      <c r="R1515" s="273">
        <v>224.912</v>
      </c>
      <c r="S1515" s="273">
        <v>0.0</v>
      </c>
      <c r="T1515" s="273">
        <v>281.14</v>
      </c>
      <c r="U1515" s="274" t="s">
        <v>2804</v>
      </c>
      <c r="V1515" s="284">
        <v>45634.7715625</v>
      </c>
      <c r="W1515" s="35"/>
      <c r="X1515" s="35"/>
      <c r="Y1515" s="35"/>
      <c r="Z1515" s="35"/>
      <c r="AA1515" s="35"/>
      <c r="AB1515" s="35"/>
      <c r="AC1515" s="35"/>
      <c r="AD1515" s="35"/>
      <c r="AE1515" s="35"/>
      <c r="AF1515" s="35"/>
      <c r="AG1515" s="35"/>
      <c r="AH1515" s="35"/>
      <c r="AI1515" s="35"/>
    </row>
    <row r="1516">
      <c r="A1516" s="210">
        <v>45634.0</v>
      </c>
      <c r="B1516" s="166">
        <v>6447872.0</v>
      </c>
      <c r="C1516" s="166" t="s">
        <v>89</v>
      </c>
      <c r="D1516" s="166" t="s">
        <v>35</v>
      </c>
      <c r="E1516" s="166">
        <v>4.514608193E9</v>
      </c>
      <c r="F1516" s="166" t="s">
        <v>3889</v>
      </c>
      <c r="G1516" s="212">
        <v>45644.0</v>
      </c>
      <c r="H1516" s="310">
        <v>45648.0</v>
      </c>
      <c r="I1516" s="168">
        <v>4.0</v>
      </c>
      <c r="J1516" s="169" t="s">
        <v>78</v>
      </c>
      <c r="K1516" s="166" t="s">
        <v>79</v>
      </c>
      <c r="L1516" s="166" t="s">
        <v>2803</v>
      </c>
      <c r="M1516" s="166">
        <v>2.0</v>
      </c>
      <c r="N1516" s="170">
        <v>0.0</v>
      </c>
      <c r="O1516" s="171">
        <v>0.0</v>
      </c>
      <c r="P1516" s="171">
        <v>0.0</v>
      </c>
      <c r="Q1516" s="172">
        <v>0.0</v>
      </c>
      <c r="R1516" s="173">
        <v>0.0</v>
      </c>
      <c r="S1516" s="173">
        <v>0.0</v>
      </c>
      <c r="T1516" s="173">
        <v>0.0</v>
      </c>
      <c r="U1516" s="174" t="s">
        <v>3890</v>
      </c>
      <c r="V1516" s="288">
        <v>45634.12920138889</v>
      </c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</row>
    <row r="1517">
      <c r="A1517" s="280">
        <v>45635.0</v>
      </c>
      <c r="B1517" s="264">
        <v>6452834.0</v>
      </c>
      <c r="C1517" s="265" t="s">
        <v>82</v>
      </c>
      <c r="D1517" s="265" t="s">
        <v>35</v>
      </c>
      <c r="E1517" s="264">
        <v>4.798378669E9</v>
      </c>
      <c r="F1517" s="265" t="s">
        <v>3891</v>
      </c>
      <c r="G1517" s="305">
        <v>45638.0</v>
      </c>
      <c r="H1517" s="313">
        <v>45641.0</v>
      </c>
      <c r="I1517" s="282">
        <v>3.0</v>
      </c>
      <c r="J1517" s="283" t="s">
        <v>78</v>
      </c>
      <c r="K1517" s="265" t="s">
        <v>79</v>
      </c>
      <c r="L1517" s="265" t="s">
        <v>2803</v>
      </c>
      <c r="M1517" s="269">
        <v>2.0</v>
      </c>
      <c r="N1517" s="270">
        <v>0.0</v>
      </c>
      <c r="O1517" s="271">
        <v>164.91</v>
      </c>
      <c r="P1517" s="271">
        <v>131.928</v>
      </c>
      <c r="Q1517" s="272">
        <v>0.0</v>
      </c>
      <c r="R1517" s="273">
        <v>395.78400000000005</v>
      </c>
      <c r="S1517" s="273">
        <v>0.0</v>
      </c>
      <c r="T1517" s="273">
        <v>494.73</v>
      </c>
      <c r="U1517" s="274" t="s">
        <v>2804</v>
      </c>
      <c r="V1517" s="284">
        <v>45635.820868055554</v>
      </c>
      <c r="W1517" s="36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</row>
    <row r="1518">
      <c r="A1518" s="305">
        <v>45639.0</v>
      </c>
      <c r="B1518" s="166">
        <v>6466655.0</v>
      </c>
      <c r="C1518" s="166" t="s">
        <v>82</v>
      </c>
      <c r="D1518" s="166" t="s">
        <v>94</v>
      </c>
      <c r="E1518" s="166">
        <v>6466655.0</v>
      </c>
      <c r="F1518" s="166" t="s">
        <v>3892</v>
      </c>
      <c r="G1518" s="212">
        <v>45641.0</v>
      </c>
      <c r="H1518" s="310">
        <v>45642.0</v>
      </c>
      <c r="I1518" s="168">
        <v>1.0</v>
      </c>
      <c r="J1518" s="169" t="s">
        <v>91</v>
      </c>
      <c r="K1518" s="166" t="s">
        <v>79</v>
      </c>
      <c r="L1518" s="166" t="s">
        <v>1601</v>
      </c>
      <c r="M1518" s="166">
        <v>2.0</v>
      </c>
      <c r="N1518" s="170">
        <v>0.0</v>
      </c>
      <c r="O1518" s="171">
        <v>325.8</v>
      </c>
      <c r="P1518" s="171">
        <v>322.54200000000003</v>
      </c>
      <c r="Q1518" s="172">
        <v>0.0</v>
      </c>
      <c r="R1518" s="173">
        <v>322.54200000000003</v>
      </c>
      <c r="S1518" s="173">
        <v>0.0</v>
      </c>
      <c r="T1518" s="173">
        <v>325.8</v>
      </c>
      <c r="U1518" s="174" t="s">
        <v>1602</v>
      </c>
      <c r="V1518" s="288">
        <v>45640.00313657407</v>
      </c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</row>
    <row r="1519">
      <c r="A1519" s="305">
        <v>45640.0</v>
      </c>
      <c r="B1519" s="264">
        <v>6468654.0</v>
      </c>
      <c r="C1519" s="265" t="s">
        <v>82</v>
      </c>
      <c r="D1519" s="265" t="s">
        <v>94</v>
      </c>
      <c r="E1519" s="264">
        <v>6468654.0</v>
      </c>
      <c r="F1519" s="265" t="s">
        <v>3839</v>
      </c>
      <c r="G1519" s="305">
        <v>45640.0</v>
      </c>
      <c r="H1519" s="313">
        <v>45641.0</v>
      </c>
      <c r="I1519" s="282">
        <v>1.0</v>
      </c>
      <c r="J1519" s="283" t="s">
        <v>78</v>
      </c>
      <c r="K1519" s="265" t="s">
        <v>79</v>
      </c>
      <c r="L1519" s="265" t="s">
        <v>1811</v>
      </c>
      <c r="M1519" s="269">
        <v>2.0</v>
      </c>
      <c r="N1519" s="270">
        <v>0.0</v>
      </c>
      <c r="O1519" s="271">
        <v>128.2</v>
      </c>
      <c r="P1519" s="271">
        <v>126.91799999999999</v>
      </c>
      <c r="Q1519" s="272">
        <v>0.0</v>
      </c>
      <c r="R1519" s="273">
        <v>126.91799999999999</v>
      </c>
      <c r="S1519" s="273">
        <v>0.0</v>
      </c>
      <c r="T1519" s="273">
        <v>128.2</v>
      </c>
      <c r="U1519" s="274" t="s">
        <v>1812</v>
      </c>
      <c r="V1519" s="284">
        <v>45640.77466435185</v>
      </c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</row>
    <row r="1520">
      <c r="A1520" s="212">
        <v>45642.0</v>
      </c>
      <c r="B1520" s="166">
        <v>6474946.0</v>
      </c>
      <c r="C1520" s="166" t="s">
        <v>89</v>
      </c>
      <c r="D1520" s="166" t="s">
        <v>35</v>
      </c>
      <c r="E1520" s="166">
        <v>4.708161553E9</v>
      </c>
      <c r="F1520" s="166" t="s">
        <v>3893</v>
      </c>
      <c r="G1520" s="212">
        <v>45644.0</v>
      </c>
      <c r="H1520" s="310">
        <v>45648.0</v>
      </c>
      <c r="I1520" s="168">
        <v>4.0</v>
      </c>
      <c r="J1520" s="169" t="s">
        <v>78</v>
      </c>
      <c r="K1520" s="166" t="s">
        <v>79</v>
      </c>
      <c r="L1520" s="166" t="s">
        <v>2803</v>
      </c>
      <c r="M1520" s="166">
        <v>2.0</v>
      </c>
      <c r="N1520" s="170">
        <v>0.0</v>
      </c>
      <c r="O1520" s="171">
        <v>0.0</v>
      </c>
      <c r="P1520" s="171">
        <v>0.0</v>
      </c>
      <c r="Q1520" s="172">
        <v>0.0</v>
      </c>
      <c r="R1520" s="173">
        <v>0.0</v>
      </c>
      <c r="S1520" s="173">
        <v>0.0</v>
      </c>
      <c r="T1520" s="173">
        <v>0.0</v>
      </c>
      <c r="U1520" s="174" t="s">
        <v>3894</v>
      </c>
      <c r="V1520" s="288">
        <v>45642.893796296295</v>
      </c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</row>
    <row r="1521">
      <c r="A1521" s="212">
        <v>45643.0</v>
      </c>
      <c r="B1521" s="166">
        <v>6476145.0</v>
      </c>
      <c r="C1521" s="166" t="s">
        <v>89</v>
      </c>
      <c r="D1521" s="166" t="s">
        <v>35</v>
      </c>
      <c r="E1521" s="166">
        <v>4.920341965E9</v>
      </c>
      <c r="F1521" s="166" t="s">
        <v>3895</v>
      </c>
      <c r="G1521" s="212">
        <v>45644.0</v>
      </c>
      <c r="H1521" s="310">
        <v>45646.0</v>
      </c>
      <c r="I1521" s="168">
        <v>2.0</v>
      </c>
      <c r="J1521" s="169" t="s">
        <v>114</v>
      </c>
      <c r="K1521" s="166" t="s">
        <v>79</v>
      </c>
      <c r="L1521" s="166" t="s">
        <v>2803</v>
      </c>
      <c r="M1521" s="166">
        <v>2.0</v>
      </c>
      <c r="N1521" s="170">
        <v>0.0</v>
      </c>
      <c r="O1521" s="171">
        <v>0.0</v>
      </c>
      <c r="P1521" s="171">
        <v>0.0</v>
      </c>
      <c r="Q1521" s="172">
        <v>0.0</v>
      </c>
      <c r="R1521" s="173">
        <v>0.0</v>
      </c>
      <c r="S1521" s="173">
        <v>0.0</v>
      </c>
      <c r="T1521" s="173">
        <v>0.0</v>
      </c>
      <c r="U1521" s="201" t="s">
        <v>3896</v>
      </c>
      <c r="V1521" s="288">
        <v>45643.45768518519</v>
      </c>
      <c r="W1521" s="188"/>
      <c r="X1521" s="188"/>
      <c r="Y1521" s="188"/>
      <c r="Z1521" s="188"/>
      <c r="AA1521" s="188"/>
      <c r="AB1521" s="188"/>
      <c r="AC1521" s="188"/>
      <c r="AD1521" s="188"/>
      <c r="AE1521" s="188"/>
      <c r="AF1521" s="188"/>
      <c r="AG1521" s="188"/>
      <c r="AH1521" s="188"/>
      <c r="AI1521" s="188"/>
    </row>
    <row r="1522">
      <c r="A1522" s="212">
        <v>45644.0</v>
      </c>
      <c r="B1522" s="166">
        <v>6480536.0</v>
      </c>
      <c r="C1522" s="166" t="s">
        <v>82</v>
      </c>
      <c r="D1522" s="166" t="s">
        <v>94</v>
      </c>
      <c r="E1522" s="166">
        <v>6480536.0</v>
      </c>
      <c r="F1522" s="166" t="s">
        <v>3895</v>
      </c>
      <c r="G1522" s="212">
        <v>45644.0</v>
      </c>
      <c r="H1522" s="310">
        <v>45646.0</v>
      </c>
      <c r="I1522" s="168">
        <v>2.0</v>
      </c>
      <c r="J1522" s="169" t="s">
        <v>78</v>
      </c>
      <c r="K1522" s="166" t="s">
        <v>79</v>
      </c>
      <c r="L1522" s="166" t="s">
        <v>1462</v>
      </c>
      <c r="M1522" s="166">
        <v>2.0</v>
      </c>
      <c r="N1522" s="169">
        <v>0.0</v>
      </c>
      <c r="O1522" s="171">
        <v>128.2</v>
      </c>
      <c r="P1522" s="171">
        <v>126.91799999999999</v>
      </c>
      <c r="Q1522" s="169">
        <v>0.0</v>
      </c>
      <c r="R1522" s="173">
        <v>253.83599999999998</v>
      </c>
      <c r="S1522" s="173">
        <v>0.0</v>
      </c>
      <c r="T1522" s="173">
        <v>256.4</v>
      </c>
      <c r="U1522" s="201" t="s">
        <v>1463</v>
      </c>
      <c r="V1522" s="288">
        <v>45644.77253472222</v>
      </c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</row>
    <row r="1523">
      <c r="A1523" s="280">
        <v>45671.0</v>
      </c>
      <c r="B1523" s="264">
        <v>6565749.0</v>
      </c>
      <c r="C1523" s="265" t="s">
        <v>82</v>
      </c>
      <c r="D1523" s="265" t="s">
        <v>94</v>
      </c>
      <c r="E1523" s="264">
        <v>6565749.0</v>
      </c>
      <c r="F1523" s="265" t="s">
        <v>3897</v>
      </c>
      <c r="G1523" s="280">
        <v>45671.0</v>
      </c>
      <c r="H1523" s="281">
        <v>45672.0</v>
      </c>
      <c r="I1523" s="282">
        <v>1.0</v>
      </c>
      <c r="J1523" s="283" t="s">
        <v>78</v>
      </c>
      <c r="K1523" s="265" t="s">
        <v>79</v>
      </c>
      <c r="L1523" s="265" t="s">
        <v>1462</v>
      </c>
      <c r="M1523" s="269">
        <v>2.0</v>
      </c>
      <c r="N1523" s="283">
        <v>0.0</v>
      </c>
      <c r="O1523" s="271">
        <v>128.2</v>
      </c>
      <c r="P1523" s="271">
        <v>126.91799999999999</v>
      </c>
      <c r="Q1523" s="283">
        <v>0.0</v>
      </c>
      <c r="R1523" s="273">
        <v>126.91799999999999</v>
      </c>
      <c r="S1523" s="273">
        <v>0.0</v>
      </c>
      <c r="T1523" s="273">
        <v>128.2</v>
      </c>
      <c r="U1523" s="274" t="s">
        <v>1463</v>
      </c>
      <c r="V1523" s="284">
        <v>45671.87050925926</v>
      </c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</row>
    <row r="1524">
      <c r="A1524" s="252" t="s">
        <v>1425</v>
      </c>
      <c r="B1524" s="252">
        <v>1.58556389E8</v>
      </c>
      <c r="C1524" s="253" t="s">
        <v>82</v>
      </c>
      <c r="D1524" s="253" t="s">
        <v>421</v>
      </c>
      <c r="E1524" s="252">
        <v>9.007852734962E12</v>
      </c>
      <c r="F1524" s="253" t="s">
        <v>2056</v>
      </c>
      <c r="G1524" s="276">
        <v>45394.0</v>
      </c>
      <c r="H1524" s="277">
        <v>45399.0</v>
      </c>
      <c r="I1524" s="278">
        <v>5.0</v>
      </c>
      <c r="J1524" s="257" t="s">
        <v>78</v>
      </c>
      <c r="K1524" s="253" t="s">
        <v>1425</v>
      </c>
      <c r="L1524" s="253" t="s">
        <v>1425</v>
      </c>
      <c r="M1524" s="252" t="s">
        <v>1425</v>
      </c>
      <c r="N1524" s="258">
        <v>0.0</v>
      </c>
      <c r="O1524" s="259" t="e">
        <v>#NUM!</v>
      </c>
      <c r="P1524" s="259" t="e">
        <v>#NUM!</v>
      </c>
      <c r="Q1524" s="262" t="e">
        <v>#NUM!</v>
      </c>
      <c r="R1524" s="260" t="e">
        <v>#NUM!</v>
      </c>
      <c r="S1524" s="260" t="e">
        <v>#NUM!</v>
      </c>
      <c r="T1524" s="257" t="s">
        <v>1425</v>
      </c>
      <c r="U1524" s="261" t="s">
        <v>1428</v>
      </c>
      <c r="V1524" s="279">
        <v>45379.46974537037</v>
      </c>
      <c r="W1524" s="35"/>
      <c r="X1524" s="35"/>
      <c r="Y1524" s="35"/>
      <c r="Z1524" s="35"/>
      <c r="AA1524" s="35"/>
      <c r="AB1524" s="35"/>
      <c r="AC1524" s="35"/>
      <c r="AD1524" s="35"/>
      <c r="AE1524" s="35"/>
      <c r="AF1524" s="35"/>
      <c r="AG1524" s="35"/>
      <c r="AH1524" s="35"/>
      <c r="AI1524" s="35"/>
    </row>
    <row r="1525">
      <c r="A1525" s="166" t="s">
        <v>1425</v>
      </c>
      <c r="B1525" s="166" t="s">
        <v>1425</v>
      </c>
      <c r="C1525" s="166" t="s">
        <v>82</v>
      </c>
      <c r="D1525" s="166" t="s">
        <v>36</v>
      </c>
      <c r="E1525" s="166" t="s">
        <v>1425</v>
      </c>
      <c r="F1525" s="166" t="s">
        <v>3898</v>
      </c>
      <c r="G1525" s="210">
        <v>45448.0</v>
      </c>
      <c r="H1525" s="287">
        <v>45451.0</v>
      </c>
      <c r="I1525" s="168">
        <v>3.0</v>
      </c>
      <c r="J1525" s="169" t="s">
        <v>111</v>
      </c>
      <c r="K1525" s="166" t="s">
        <v>79</v>
      </c>
      <c r="L1525" s="166" t="s">
        <v>1425</v>
      </c>
      <c r="M1525" s="166" t="s">
        <v>1425</v>
      </c>
      <c r="N1525" s="170">
        <v>0.0</v>
      </c>
      <c r="O1525" s="171" t="e">
        <v>#NUM!</v>
      </c>
      <c r="P1525" s="171" t="e">
        <v>#NUM!</v>
      </c>
      <c r="Q1525" s="172" t="e">
        <v>#NUM!</v>
      </c>
      <c r="R1525" s="173" t="e">
        <v>#NUM!</v>
      </c>
      <c r="S1525" s="173" t="e">
        <v>#NUM!</v>
      </c>
      <c r="T1525" s="169" t="s">
        <v>1425</v>
      </c>
      <c r="U1525" s="174" t="s">
        <v>1428</v>
      </c>
      <c r="V1525" s="288">
        <v>45464.55541666667</v>
      </c>
      <c r="W1525" s="35"/>
      <c r="X1525" s="35"/>
      <c r="Y1525" s="35"/>
      <c r="Z1525" s="35"/>
      <c r="AA1525" s="35"/>
      <c r="AB1525" s="35"/>
      <c r="AC1525" s="35"/>
      <c r="AD1525" s="35"/>
      <c r="AE1525" s="35"/>
      <c r="AF1525" s="35"/>
      <c r="AG1525" s="35"/>
      <c r="AH1525" s="35"/>
      <c r="AI1525" s="35"/>
    </row>
    <row r="1526">
      <c r="A1526" s="165"/>
      <c r="B1526" s="166"/>
      <c r="C1526" s="166"/>
      <c r="D1526" s="166"/>
      <c r="E1526" s="166"/>
      <c r="F1526" s="166"/>
      <c r="G1526" s="165"/>
      <c r="H1526" s="167"/>
      <c r="I1526" s="168"/>
      <c r="J1526" s="169"/>
      <c r="K1526" s="166"/>
      <c r="L1526" s="166"/>
      <c r="M1526" s="166"/>
      <c r="N1526" s="170"/>
      <c r="O1526" s="171"/>
      <c r="P1526" s="171"/>
      <c r="Q1526" s="172"/>
      <c r="R1526" s="173"/>
      <c r="S1526" s="173"/>
      <c r="T1526" s="173"/>
      <c r="U1526" s="201"/>
      <c r="V1526" s="165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</row>
    <row r="1527">
      <c r="A1527" s="165"/>
      <c r="B1527" s="166"/>
      <c r="C1527" s="166"/>
      <c r="D1527" s="166"/>
      <c r="E1527" s="166"/>
      <c r="F1527" s="166"/>
      <c r="G1527" s="165"/>
      <c r="H1527" s="167"/>
      <c r="I1527" s="168"/>
      <c r="J1527" s="169"/>
      <c r="K1527" s="166"/>
      <c r="L1527" s="166"/>
      <c r="M1527" s="205"/>
      <c r="N1527" s="170"/>
      <c r="O1527" s="171"/>
      <c r="P1527" s="171"/>
      <c r="Q1527" s="172"/>
      <c r="R1527" s="173"/>
      <c r="S1527" s="173"/>
      <c r="T1527" s="173"/>
      <c r="U1527" s="174"/>
      <c r="V1527" s="165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</row>
    <row r="1528">
      <c r="A1528" s="165"/>
      <c r="B1528" s="166"/>
      <c r="C1528" s="166"/>
      <c r="D1528" s="166"/>
      <c r="E1528" s="166"/>
      <c r="F1528" s="166"/>
      <c r="G1528" s="165"/>
      <c r="H1528" s="167"/>
      <c r="I1528" s="168"/>
      <c r="J1528" s="169"/>
      <c r="K1528" s="166"/>
      <c r="L1528" s="166"/>
      <c r="M1528" s="166"/>
      <c r="N1528" s="170"/>
      <c r="O1528" s="171"/>
      <c r="P1528" s="171"/>
      <c r="Q1528" s="172"/>
      <c r="R1528" s="173"/>
      <c r="S1528" s="173"/>
      <c r="T1528" s="173"/>
      <c r="U1528" s="174"/>
      <c r="V1528" s="165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</row>
    <row r="1529">
      <c r="A1529" s="165"/>
      <c r="B1529" s="166"/>
      <c r="C1529" s="166"/>
      <c r="D1529" s="166"/>
      <c r="E1529" s="166"/>
      <c r="F1529" s="166"/>
      <c r="G1529" s="165"/>
      <c r="H1529" s="167"/>
      <c r="I1529" s="168"/>
      <c r="J1529" s="169"/>
      <c r="K1529" s="166"/>
      <c r="L1529" s="166"/>
      <c r="M1529" s="205"/>
      <c r="N1529" s="170"/>
      <c r="O1529" s="171"/>
      <c r="P1529" s="171"/>
      <c r="Q1529" s="172"/>
      <c r="R1529" s="173"/>
      <c r="S1529" s="173"/>
      <c r="T1529" s="173"/>
      <c r="U1529" s="174"/>
      <c r="V1529" s="165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</row>
    <row r="1530">
      <c r="A1530" s="165"/>
      <c r="B1530" s="166"/>
      <c r="C1530" s="166"/>
      <c r="D1530" s="166"/>
      <c r="E1530" s="166"/>
      <c r="F1530" s="166"/>
      <c r="G1530" s="165"/>
      <c r="H1530" s="167"/>
      <c r="I1530" s="168"/>
      <c r="J1530" s="169"/>
      <c r="K1530" s="166"/>
      <c r="L1530" s="166"/>
      <c r="M1530" s="166"/>
      <c r="N1530" s="170"/>
      <c r="O1530" s="171"/>
      <c r="P1530" s="171"/>
      <c r="Q1530" s="172"/>
      <c r="R1530" s="173"/>
      <c r="S1530" s="173"/>
      <c r="T1530" s="173"/>
      <c r="U1530" s="201"/>
      <c r="V1530" s="207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</row>
    <row r="1531">
      <c r="A1531" s="165"/>
      <c r="B1531" s="166"/>
      <c r="C1531" s="166"/>
      <c r="D1531" s="166"/>
      <c r="E1531" s="166"/>
      <c r="F1531" s="166"/>
      <c r="G1531" s="165"/>
      <c r="H1531" s="167"/>
      <c r="I1531" s="168"/>
      <c r="J1531" s="169"/>
      <c r="K1531" s="166"/>
      <c r="L1531" s="166"/>
      <c r="M1531" s="166"/>
      <c r="N1531" s="170"/>
      <c r="O1531" s="171"/>
      <c r="P1531" s="171"/>
      <c r="Q1531" s="172"/>
      <c r="R1531" s="173"/>
      <c r="S1531" s="173"/>
      <c r="T1531" s="173"/>
      <c r="U1531" s="174"/>
      <c r="V1531" s="165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</row>
    <row r="1532">
      <c r="A1532" s="165"/>
      <c r="B1532" s="166"/>
      <c r="C1532" s="166"/>
      <c r="D1532" s="166"/>
      <c r="E1532" s="166"/>
      <c r="F1532" s="166"/>
      <c r="G1532" s="165"/>
      <c r="H1532" s="167"/>
      <c r="I1532" s="168"/>
      <c r="J1532" s="169"/>
      <c r="K1532" s="166"/>
      <c r="L1532" s="166"/>
      <c r="M1532" s="166"/>
      <c r="N1532" s="169"/>
      <c r="O1532" s="171"/>
      <c r="P1532" s="171"/>
      <c r="Q1532" s="169"/>
      <c r="R1532" s="173"/>
      <c r="S1532" s="173"/>
      <c r="T1532" s="173"/>
      <c r="U1532" s="174"/>
      <c r="V1532" s="165"/>
      <c r="W1532" s="35"/>
      <c r="X1532" s="35"/>
      <c r="Y1532" s="35"/>
      <c r="Z1532" s="35"/>
      <c r="AA1532" s="35"/>
      <c r="AB1532" s="35"/>
      <c r="AC1532" s="35"/>
      <c r="AD1532" s="35"/>
      <c r="AE1532" s="35"/>
      <c r="AF1532" s="35"/>
      <c r="AG1532" s="35"/>
      <c r="AH1532" s="35"/>
      <c r="AI1532" s="35"/>
    </row>
    <row r="1533">
      <c r="A1533" s="165"/>
      <c r="B1533" s="166"/>
      <c r="C1533" s="166"/>
      <c r="D1533" s="166"/>
      <c r="E1533" s="166"/>
      <c r="F1533" s="166"/>
      <c r="G1533" s="165"/>
      <c r="H1533" s="167"/>
      <c r="I1533" s="168"/>
      <c r="J1533" s="169"/>
      <c r="K1533" s="166"/>
      <c r="L1533" s="166"/>
      <c r="M1533" s="166"/>
      <c r="N1533" s="170"/>
      <c r="O1533" s="171"/>
      <c r="P1533" s="171"/>
      <c r="Q1533" s="172"/>
      <c r="R1533" s="173"/>
      <c r="S1533" s="173"/>
      <c r="T1533" s="173"/>
      <c r="U1533" s="201"/>
      <c r="V1533" s="165"/>
      <c r="W1533" s="35"/>
      <c r="X1533" s="35"/>
      <c r="Y1533" s="35"/>
      <c r="Z1533" s="35"/>
      <c r="AA1533" s="35"/>
      <c r="AB1533" s="35"/>
      <c r="AC1533" s="35"/>
      <c r="AD1533" s="35"/>
      <c r="AE1533" s="35"/>
      <c r="AF1533" s="35"/>
      <c r="AG1533" s="35"/>
      <c r="AH1533" s="35"/>
      <c r="AI1533" s="35"/>
    </row>
    <row r="1534">
      <c r="A1534" s="165"/>
      <c r="B1534" s="166"/>
      <c r="C1534" s="166"/>
      <c r="D1534" s="166"/>
      <c r="E1534" s="166"/>
      <c r="F1534" s="166"/>
      <c r="G1534" s="165"/>
      <c r="H1534" s="167"/>
      <c r="I1534" s="168"/>
      <c r="J1534" s="169"/>
      <c r="K1534" s="166"/>
      <c r="L1534" s="166"/>
      <c r="M1534" s="205"/>
      <c r="N1534" s="170"/>
      <c r="O1534" s="171"/>
      <c r="P1534" s="171"/>
      <c r="Q1534" s="172"/>
      <c r="R1534" s="173"/>
      <c r="S1534" s="173"/>
      <c r="T1534" s="173"/>
      <c r="U1534" s="201"/>
      <c r="V1534" s="165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</row>
    <row r="1535">
      <c r="A1535" s="263"/>
      <c r="B1535" s="264"/>
      <c r="C1535" s="265"/>
      <c r="D1535" s="265"/>
      <c r="E1535" s="264"/>
      <c r="F1535" s="265"/>
      <c r="G1535" s="263"/>
      <c r="H1535" s="432"/>
      <c r="I1535" s="282"/>
      <c r="J1535" s="283"/>
      <c r="K1535" s="265"/>
      <c r="L1535" s="265"/>
      <c r="M1535" s="269"/>
      <c r="N1535" s="270"/>
      <c r="O1535" s="271"/>
      <c r="P1535" s="271"/>
      <c r="Q1535" s="272"/>
      <c r="R1535" s="273"/>
      <c r="S1535" s="273"/>
      <c r="T1535" s="273"/>
      <c r="U1535" s="274"/>
      <c r="V1535" s="263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</row>
    <row r="1536">
      <c r="A1536" s="165"/>
      <c r="B1536" s="166"/>
      <c r="C1536" s="166"/>
      <c r="D1536" s="166"/>
      <c r="E1536" s="166"/>
      <c r="F1536" s="166"/>
      <c r="G1536" s="165"/>
      <c r="H1536" s="167"/>
      <c r="I1536" s="168"/>
      <c r="J1536" s="169"/>
      <c r="K1536" s="166"/>
      <c r="L1536" s="166"/>
      <c r="M1536" s="166"/>
      <c r="N1536" s="170"/>
      <c r="O1536" s="171"/>
      <c r="P1536" s="171"/>
      <c r="Q1536" s="172"/>
      <c r="R1536" s="173"/>
      <c r="S1536" s="173"/>
      <c r="T1536" s="173"/>
      <c r="U1536" s="174"/>
      <c r="V1536" s="165"/>
      <c r="W1536" s="35"/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  <c r="AH1536" s="35"/>
      <c r="AI1536" s="35"/>
    </row>
    <row r="1537">
      <c r="A1537" s="251"/>
      <c r="B1537" s="252"/>
      <c r="C1537" s="253"/>
      <c r="D1537" s="253"/>
      <c r="E1537" s="252"/>
      <c r="F1537" s="253"/>
      <c r="G1537" s="251"/>
      <c r="H1537" s="433"/>
      <c r="I1537" s="278"/>
      <c r="J1537" s="257"/>
      <c r="K1537" s="253"/>
      <c r="L1537" s="253"/>
      <c r="M1537" s="275"/>
      <c r="N1537" s="258"/>
      <c r="O1537" s="259"/>
      <c r="P1537" s="259"/>
      <c r="Q1537" s="262"/>
      <c r="R1537" s="260"/>
      <c r="S1537" s="260"/>
      <c r="T1537" s="260"/>
      <c r="U1537" s="261"/>
      <c r="V1537" s="251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</row>
    <row r="1538">
      <c r="A1538" s="251"/>
      <c r="B1538" s="252"/>
      <c r="C1538" s="253"/>
      <c r="D1538" s="253"/>
      <c r="E1538" s="252"/>
      <c r="F1538" s="253"/>
      <c r="G1538" s="251"/>
      <c r="H1538" s="433"/>
      <c r="I1538" s="278"/>
      <c r="J1538" s="257"/>
      <c r="K1538" s="253"/>
      <c r="L1538" s="253"/>
      <c r="M1538" s="252"/>
      <c r="N1538" s="258"/>
      <c r="O1538" s="259"/>
      <c r="P1538" s="259"/>
      <c r="Q1538" s="257"/>
      <c r="R1538" s="260"/>
      <c r="S1538" s="260"/>
      <c r="T1538" s="260"/>
      <c r="U1538" s="261"/>
      <c r="V1538" s="309"/>
      <c r="W1538" s="35"/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/>
      <c r="AH1538" s="35"/>
      <c r="AI1538" s="35"/>
    </row>
    <row r="1539">
      <c r="A1539" s="263"/>
      <c r="B1539" s="264"/>
      <c r="C1539" s="265"/>
      <c r="D1539" s="265"/>
      <c r="E1539" s="264"/>
      <c r="F1539" s="265"/>
      <c r="G1539" s="263"/>
      <c r="H1539" s="432"/>
      <c r="I1539" s="282"/>
      <c r="J1539" s="283"/>
      <c r="K1539" s="265"/>
      <c r="L1539" s="265"/>
      <c r="M1539" s="264"/>
      <c r="N1539" s="270"/>
      <c r="O1539" s="271"/>
      <c r="P1539" s="271"/>
      <c r="Q1539" s="283"/>
      <c r="R1539" s="273"/>
      <c r="S1539" s="273"/>
      <c r="T1539" s="273"/>
      <c r="U1539" s="274"/>
      <c r="V1539" s="263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</row>
    <row r="1540">
      <c r="A1540" s="165"/>
      <c r="B1540" s="166"/>
      <c r="C1540" s="166"/>
      <c r="D1540" s="166"/>
      <c r="E1540" s="166"/>
      <c r="F1540" s="166"/>
      <c r="G1540" s="165"/>
      <c r="H1540" s="167"/>
      <c r="I1540" s="168"/>
      <c r="J1540" s="169"/>
      <c r="K1540" s="166"/>
      <c r="L1540" s="166"/>
      <c r="M1540" s="166"/>
      <c r="N1540" s="170"/>
      <c r="O1540" s="171"/>
      <c r="P1540" s="171"/>
      <c r="Q1540" s="172"/>
      <c r="R1540" s="173"/>
      <c r="S1540" s="173"/>
      <c r="T1540" s="173"/>
      <c r="U1540" s="201"/>
      <c r="V1540" s="165"/>
      <c r="W1540" s="35"/>
      <c r="X1540" s="35"/>
      <c r="Y1540" s="35"/>
      <c r="Z1540" s="35"/>
      <c r="AA1540" s="35"/>
      <c r="AB1540" s="35"/>
      <c r="AC1540" s="35"/>
      <c r="AD1540" s="35"/>
      <c r="AE1540" s="35"/>
      <c r="AF1540" s="35"/>
      <c r="AG1540" s="35"/>
      <c r="AH1540" s="35"/>
      <c r="AI1540" s="35"/>
    </row>
    <row r="1541">
      <c r="A1541" s="165"/>
      <c r="B1541" s="166"/>
      <c r="C1541" s="166"/>
      <c r="D1541" s="166"/>
      <c r="E1541" s="166"/>
      <c r="F1541" s="166"/>
      <c r="G1541" s="165"/>
      <c r="H1541" s="167"/>
      <c r="I1541" s="168"/>
      <c r="J1541" s="169"/>
      <c r="K1541" s="166"/>
      <c r="L1541" s="166"/>
      <c r="M1541" s="166"/>
      <c r="N1541" s="170"/>
      <c r="O1541" s="171"/>
      <c r="P1541" s="171"/>
      <c r="Q1541" s="172"/>
      <c r="R1541" s="173"/>
      <c r="S1541" s="173"/>
      <c r="T1541" s="173"/>
      <c r="U1541" s="174"/>
      <c r="V1541" s="165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</row>
    <row r="1542">
      <c r="A1542" s="165"/>
      <c r="B1542" s="166"/>
      <c r="C1542" s="166"/>
      <c r="D1542" s="166"/>
      <c r="E1542" s="166"/>
      <c r="F1542" s="166"/>
      <c r="G1542" s="165"/>
      <c r="H1542" s="167"/>
      <c r="I1542" s="168"/>
      <c r="J1542" s="169"/>
      <c r="K1542" s="166"/>
      <c r="L1542" s="166"/>
      <c r="M1542" s="205"/>
      <c r="N1542" s="170"/>
      <c r="O1542" s="171"/>
      <c r="P1542" s="171"/>
      <c r="Q1542" s="172"/>
      <c r="R1542" s="173"/>
      <c r="S1542" s="173"/>
      <c r="T1542" s="173"/>
      <c r="U1542" s="174"/>
      <c r="V1542" s="165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</row>
    <row r="1543">
      <c r="A1543" s="165"/>
      <c r="B1543" s="166"/>
      <c r="C1543" s="166"/>
      <c r="D1543" s="166"/>
      <c r="E1543" s="166"/>
      <c r="F1543" s="166"/>
      <c r="G1543" s="165"/>
      <c r="H1543" s="167"/>
      <c r="I1543" s="168"/>
      <c r="J1543" s="169"/>
      <c r="K1543" s="166"/>
      <c r="L1543" s="166"/>
      <c r="M1543" s="166"/>
      <c r="N1543" s="170"/>
      <c r="O1543" s="171"/>
      <c r="P1543" s="171"/>
      <c r="Q1543" s="172"/>
      <c r="R1543" s="173"/>
      <c r="S1543" s="173"/>
      <c r="T1543" s="173"/>
      <c r="U1543" s="174"/>
      <c r="V1543" s="165"/>
      <c r="W1543" s="36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</row>
    <row r="1544">
      <c r="A1544" s="165"/>
      <c r="B1544" s="166"/>
      <c r="C1544" s="166"/>
      <c r="D1544" s="166"/>
      <c r="E1544" s="166"/>
      <c r="F1544" s="166"/>
      <c r="G1544" s="165"/>
      <c r="H1544" s="167"/>
      <c r="I1544" s="168"/>
      <c r="J1544" s="169"/>
      <c r="K1544" s="166"/>
      <c r="L1544" s="166"/>
      <c r="M1544" s="166"/>
      <c r="N1544" s="170"/>
      <c r="O1544" s="171"/>
      <c r="P1544" s="171"/>
      <c r="Q1544" s="172"/>
      <c r="R1544" s="173"/>
      <c r="S1544" s="173"/>
      <c r="T1544" s="173"/>
      <c r="U1544" s="174"/>
      <c r="V1544" s="165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</row>
    <row r="1545">
      <c r="A1545" s="165"/>
      <c r="B1545" s="166"/>
      <c r="C1545" s="166"/>
      <c r="D1545" s="166"/>
      <c r="E1545" s="166"/>
      <c r="F1545" s="166"/>
      <c r="G1545" s="165"/>
      <c r="H1545" s="167"/>
      <c r="I1545" s="168"/>
      <c r="J1545" s="169"/>
      <c r="K1545" s="166"/>
      <c r="L1545" s="166"/>
      <c r="M1545" s="166"/>
      <c r="N1545" s="170"/>
      <c r="O1545" s="171"/>
      <c r="P1545" s="171"/>
      <c r="Q1545" s="172"/>
      <c r="R1545" s="173"/>
      <c r="S1545" s="173"/>
      <c r="T1545" s="173"/>
      <c r="U1545" s="174"/>
      <c r="V1545" s="165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</row>
    <row r="1546">
      <c r="A1546" s="165"/>
      <c r="B1546" s="166"/>
      <c r="C1546" s="166"/>
      <c r="D1546" s="166"/>
      <c r="E1546" s="166"/>
      <c r="F1546" s="166"/>
      <c r="G1546" s="165"/>
      <c r="H1546" s="167"/>
      <c r="I1546" s="168"/>
      <c r="J1546" s="169"/>
      <c r="K1546" s="166"/>
      <c r="L1546" s="166"/>
      <c r="M1546" s="205"/>
      <c r="N1546" s="170"/>
      <c r="O1546" s="171"/>
      <c r="P1546" s="171"/>
      <c r="Q1546" s="172"/>
      <c r="R1546" s="173"/>
      <c r="S1546" s="173"/>
      <c r="T1546" s="173"/>
      <c r="U1546" s="174"/>
      <c r="V1546" s="165"/>
      <c r="W1546" s="188"/>
      <c r="X1546" s="188"/>
      <c r="Y1546" s="188"/>
      <c r="Z1546" s="188"/>
      <c r="AA1546" s="188"/>
      <c r="AB1546" s="188"/>
      <c r="AC1546" s="188"/>
      <c r="AD1546" s="188"/>
      <c r="AE1546" s="188"/>
      <c r="AF1546" s="188"/>
      <c r="AG1546" s="188"/>
      <c r="AH1546" s="188"/>
      <c r="AI1546" s="188"/>
    </row>
    <row r="1547">
      <c r="A1547" s="165"/>
      <c r="B1547" s="166"/>
      <c r="C1547" s="166"/>
      <c r="D1547" s="166"/>
      <c r="E1547" s="166"/>
      <c r="F1547" s="166"/>
      <c r="G1547" s="165"/>
      <c r="H1547" s="167"/>
      <c r="I1547" s="168"/>
      <c r="J1547" s="169"/>
      <c r="K1547" s="166"/>
      <c r="L1547" s="166"/>
      <c r="M1547" s="166"/>
      <c r="N1547" s="170"/>
      <c r="O1547" s="171"/>
      <c r="P1547" s="171"/>
      <c r="Q1547" s="172"/>
      <c r="R1547" s="173"/>
      <c r="S1547" s="173"/>
      <c r="T1547" s="173"/>
      <c r="U1547" s="174"/>
      <c r="V1547" s="165"/>
      <c r="W1547" s="188"/>
      <c r="X1547" s="188"/>
      <c r="Y1547" s="188"/>
      <c r="Z1547" s="188"/>
      <c r="AA1547" s="188"/>
      <c r="AB1547" s="188"/>
      <c r="AC1547" s="188"/>
      <c r="AD1547" s="188"/>
      <c r="AE1547" s="188"/>
      <c r="AF1547" s="188"/>
      <c r="AG1547" s="188"/>
      <c r="AH1547" s="188"/>
      <c r="AI1547" s="188"/>
    </row>
    <row r="1548">
      <c r="A1548" s="165"/>
      <c r="B1548" s="166"/>
      <c r="C1548" s="166"/>
      <c r="D1548" s="166"/>
      <c r="E1548" s="166"/>
      <c r="F1548" s="166"/>
      <c r="G1548" s="165"/>
      <c r="H1548" s="167"/>
      <c r="I1548" s="168"/>
      <c r="J1548" s="169"/>
      <c r="K1548" s="166"/>
      <c r="L1548" s="166"/>
      <c r="M1548" s="166"/>
      <c r="N1548" s="170"/>
      <c r="O1548" s="171"/>
      <c r="P1548" s="171"/>
      <c r="Q1548" s="172"/>
      <c r="R1548" s="173"/>
      <c r="S1548" s="173"/>
      <c r="T1548" s="173"/>
      <c r="U1548" s="201"/>
      <c r="V1548" s="165"/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</row>
    <row r="1549">
      <c r="A1549" s="165"/>
      <c r="B1549" s="166"/>
      <c r="C1549" s="166"/>
      <c r="D1549" s="166"/>
      <c r="E1549" s="166"/>
      <c r="F1549" s="166"/>
      <c r="G1549" s="165"/>
      <c r="H1549" s="167"/>
      <c r="I1549" s="168"/>
      <c r="J1549" s="169"/>
      <c r="K1549" s="166"/>
      <c r="L1549" s="166"/>
      <c r="M1549" s="166"/>
      <c r="N1549" s="170"/>
      <c r="O1549" s="171"/>
      <c r="P1549" s="171"/>
      <c r="Q1549" s="172"/>
      <c r="R1549" s="173"/>
      <c r="S1549" s="173"/>
      <c r="T1549" s="173"/>
      <c r="U1549" s="201"/>
      <c r="V1549" s="165"/>
      <c r="W1549" s="35"/>
      <c r="X1549" s="35"/>
      <c r="Y1549" s="35"/>
      <c r="Z1549" s="35"/>
      <c r="AA1549" s="35"/>
      <c r="AB1549" s="35"/>
      <c r="AC1549" s="35"/>
      <c r="AD1549" s="35"/>
      <c r="AE1549" s="35"/>
      <c r="AF1549" s="35"/>
      <c r="AG1549" s="35"/>
      <c r="AH1549" s="35"/>
      <c r="AI1549" s="35"/>
    </row>
    <row r="1550">
      <c r="A1550" s="263"/>
      <c r="B1550" s="264"/>
      <c r="C1550" s="265"/>
      <c r="D1550" s="265"/>
      <c r="E1550" s="264"/>
      <c r="F1550" s="265"/>
      <c r="G1550" s="263"/>
      <c r="H1550" s="432"/>
      <c r="I1550" s="282"/>
      <c r="J1550" s="283"/>
      <c r="K1550" s="265"/>
      <c r="L1550" s="265"/>
      <c r="M1550" s="269"/>
      <c r="N1550" s="270"/>
      <c r="O1550" s="271"/>
      <c r="P1550" s="271"/>
      <c r="Q1550" s="272"/>
      <c r="R1550" s="273"/>
      <c r="S1550" s="273"/>
      <c r="T1550" s="273"/>
      <c r="U1550" s="274"/>
      <c r="V1550" s="263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</row>
    <row r="1551">
      <c r="A1551" s="165"/>
      <c r="B1551" s="166"/>
      <c r="C1551" s="166"/>
      <c r="D1551" s="166"/>
      <c r="E1551" s="166"/>
      <c r="F1551" s="166"/>
      <c r="G1551" s="165"/>
      <c r="H1551" s="167"/>
      <c r="I1551" s="168"/>
      <c r="J1551" s="169"/>
      <c r="K1551" s="166"/>
      <c r="L1551" s="166"/>
      <c r="M1551" s="205"/>
      <c r="N1551" s="170"/>
      <c r="O1551" s="171"/>
      <c r="P1551" s="171"/>
      <c r="Q1551" s="172"/>
      <c r="R1551" s="173"/>
      <c r="S1551" s="173"/>
      <c r="T1551" s="173"/>
      <c r="U1551" s="174"/>
      <c r="V1551" s="165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</row>
    <row r="1552">
      <c r="A1552" s="263"/>
      <c r="B1552" s="264"/>
      <c r="C1552" s="265"/>
      <c r="D1552" s="265"/>
      <c r="E1552" s="264"/>
      <c r="F1552" s="265"/>
      <c r="G1552" s="263"/>
      <c r="H1552" s="432"/>
      <c r="I1552" s="282"/>
      <c r="J1552" s="283"/>
      <c r="K1552" s="265"/>
      <c r="L1552" s="265"/>
      <c r="M1552" s="269"/>
      <c r="N1552" s="270"/>
      <c r="O1552" s="271"/>
      <c r="P1552" s="271"/>
      <c r="Q1552" s="272"/>
      <c r="R1552" s="273"/>
      <c r="S1552" s="273"/>
      <c r="T1552" s="273"/>
      <c r="U1552" s="274"/>
      <c r="V1552" s="263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</row>
    <row r="1553">
      <c r="A1553" s="165"/>
      <c r="B1553" s="166"/>
      <c r="C1553" s="166"/>
      <c r="D1553" s="166"/>
      <c r="E1553" s="166"/>
      <c r="F1553" s="166"/>
      <c r="G1553" s="165"/>
      <c r="H1553" s="167"/>
      <c r="I1553" s="168"/>
      <c r="J1553" s="169"/>
      <c r="K1553" s="166"/>
      <c r="L1553" s="166"/>
      <c r="M1553" s="166"/>
      <c r="N1553" s="170"/>
      <c r="O1553" s="171"/>
      <c r="P1553" s="171"/>
      <c r="Q1553" s="172"/>
      <c r="R1553" s="173"/>
      <c r="S1553" s="173"/>
      <c r="T1553" s="273"/>
      <c r="U1553" s="274"/>
      <c r="V1553" s="263"/>
      <c r="W1553" s="188"/>
      <c r="X1553" s="188"/>
      <c r="Y1553" s="188"/>
      <c r="Z1553" s="188"/>
      <c r="AA1553" s="188"/>
      <c r="AB1553" s="188"/>
      <c r="AC1553" s="188"/>
      <c r="AD1553" s="188"/>
      <c r="AE1553" s="188"/>
      <c r="AF1553" s="188"/>
      <c r="AG1553" s="188"/>
      <c r="AH1553" s="188"/>
      <c r="AI1553" s="188"/>
    </row>
    <row r="1554">
      <c r="A1554" s="263"/>
      <c r="B1554" s="264"/>
      <c r="C1554" s="265"/>
      <c r="D1554" s="265"/>
      <c r="E1554" s="264"/>
      <c r="F1554" s="265"/>
      <c r="G1554" s="263"/>
      <c r="H1554" s="432"/>
      <c r="I1554" s="282"/>
      <c r="J1554" s="283"/>
      <c r="K1554" s="265"/>
      <c r="L1554" s="265"/>
      <c r="M1554" s="269"/>
      <c r="N1554" s="270"/>
      <c r="O1554" s="271"/>
      <c r="P1554" s="271"/>
      <c r="Q1554" s="272"/>
      <c r="R1554" s="273"/>
      <c r="S1554" s="273"/>
      <c r="T1554" s="273"/>
      <c r="U1554" s="274"/>
      <c r="V1554" s="263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</row>
    <row r="1555">
      <c r="A1555" s="263"/>
      <c r="B1555" s="264"/>
      <c r="C1555" s="265"/>
      <c r="D1555" s="265"/>
      <c r="E1555" s="264"/>
      <c r="F1555" s="265"/>
      <c r="G1555" s="263"/>
      <c r="H1555" s="432"/>
      <c r="I1555" s="282"/>
      <c r="J1555" s="283"/>
      <c r="K1555" s="265"/>
      <c r="L1555" s="265"/>
      <c r="M1555" s="269"/>
      <c r="N1555" s="270"/>
      <c r="O1555" s="271"/>
      <c r="P1555" s="271"/>
      <c r="Q1555" s="272"/>
      <c r="R1555" s="273"/>
      <c r="S1555" s="273"/>
      <c r="T1555" s="273"/>
      <c r="U1555" s="274"/>
      <c r="V1555" s="263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</row>
    <row r="1556">
      <c r="A1556" s="263"/>
      <c r="B1556" s="264"/>
      <c r="C1556" s="265"/>
      <c r="D1556" s="265"/>
      <c r="E1556" s="264"/>
      <c r="F1556" s="265"/>
      <c r="G1556" s="263"/>
      <c r="H1556" s="432"/>
      <c r="I1556" s="282"/>
      <c r="J1556" s="283"/>
      <c r="K1556" s="265"/>
      <c r="L1556" s="265"/>
      <c r="M1556" s="269"/>
      <c r="N1556" s="270"/>
      <c r="O1556" s="271"/>
      <c r="P1556" s="271"/>
      <c r="Q1556" s="272"/>
      <c r="R1556" s="273"/>
      <c r="S1556" s="273"/>
      <c r="T1556" s="273"/>
      <c r="U1556" s="274"/>
      <c r="V1556" s="263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</row>
    <row r="1557">
      <c r="A1557" s="263"/>
      <c r="B1557" s="264"/>
      <c r="C1557" s="265"/>
      <c r="D1557" s="265"/>
      <c r="E1557" s="264"/>
      <c r="F1557" s="265"/>
      <c r="G1557" s="263"/>
      <c r="H1557" s="432"/>
      <c r="I1557" s="282"/>
      <c r="J1557" s="283"/>
      <c r="K1557" s="265"/>
      <c r="L1557" s="265"/>
      <c r="M1557" s="269"/>
      <c r="N1557" s="270"/>
      <c r="O1557" s="271"/>
      <c r="P1557" s="271"/>
      <c r="Q1557" s="272"/>
      <c r="R1557" s="273"/>
      <c r="S1557" s="273"/>
      <c r="T1557" s="273"/>
      <c r="U1557" s="274"/>
      <c r="V1557" s="263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</row>
    <row r="1558">
      <c r="A1558" s="165"/>
      <c r="B1558" s="166"/>
      <c r="C1558" s="166"/>
      <c r="D1558" s="166"/>
      <c r="E1558" s="166"/>
      <c r="F1558" s="166"/>
      <c r="G1558" s="165"/>
      <c r="H1558" s="167"/>
      <c r="I1558" s="168"/>
      <c r="J1558" s="169"/>
      <c r="K1558" s="166"/>
      <c r="L1558" s="166"/>
      <c r="M1558" s="166"/>
      <c r="N1558" s="170"/>
      <c r="O1558" s="171"/>
      <c r="P1558" s="171"/>
      <c r="Q1558" s="172"/>
      <c r="R1558" s="173"/>
      <c r="S1558" s="173"/>
      <c r="T1558" s="173"/>
      <c r="U1558" s="174"/>
      <c r="V1558" s="165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</row>
    <row r="1559">
      <c r="A1559" s="165"/>
      <c r="B1559" s="166"/>
      <c r="C1559" s="166"/>
      <c r="D1559" s="166"/>
      <c r="E1559" s="166"/>
      <c r="F1559" s="166"/>
      <c r="G1559" s="165"/>
      <c r="H1559" s="167"/>
      <c r="I1559" s="168"/>
      <c r="J1559" s="169"/>
      <c r="K1559" s="166"/>
      <c r="L1559" s="166"/>
      <c r="M1559" s="166"/>
      <c r="N1559" s="170"/>
      <c r="O1559" s="171"/>
      <c r="P1559" s="171"/>
      <c r="Q1559" s="172"/>
      <c r="R1559" s="173"/>
      <c r="S1559" s="173"/>
      <c r="T1559" s="173"/>
      <c r="U1559" s="174"/>
      <c r="V1559" s="165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</row>
    <row r="1560">
      <c r="A1560" s="165"/>
      <c r="B1560" s="166"/>
      <c r="C1560" s="166"/>
      <c r="D1560" s="166"/>
      <c r="E1560" s="166"/>
      <c r="F1560" s="166"/>
      <c r="G1560" s="165"/>
      <c r="H1560" s="167"/>
      <c r="I1560" s="168"/>
      <c r="J1560" s="169"/>
      <c r="K1560" s="166"/>
      <c r="L1560" s="166"/>
      <c r="M1560" s="166"/>
      <c r="N1560" s="170"/>
      <c r="O1560" s="171"/>
      <c r="P1560" s="171"/>
      <c r="Q1560" s="172"/>
      <c r="R1560" s="173"/>
      <c r="S1560" s="173"/>
      <c r="T1560" s="173"/>
      <c r="U1560" s="174"/>
      <c r="V1560" s="165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</row>
    <row r="1561">
      <c r="A1561" s="165"/>
      <c r="B1561" s="166"/>
      <c r="C1561" s="166"/>
      <c r="D1561" s="166"/>
      <c r="E1561" s="166"/>
      <c r="F1561" s="166"/>
      <c r="G1561" s="165"/>
      <c r="H1561" s="167"/>
      <c r="I1561" s="168"/>
      <c r="J1561" s="169"/>
      <c r="K1561" s="166"/>
      <c r="L1561" s="166"/>
      <c r="M1561" s="166"/>
      <c r="N1561" s="170"/>
      <c r="O1561" s="171"/>
      <c r="P1561" s="171"/>
      <c r="Q1561" s="172"/>
      <c r="R1561" s="173"/>
      <c r="S1561" s="173"/>
      <c r="T1561" s="173"/>
      <c r="U1561" s="174"/>
      <c r="V1561" s="165"/>
      <c r="W1561" s="36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</row>
    <row r="1562">
      <c r="A1562" s="263"/>
      <c r="B1562" s="264"/>
      <c r="C1562" s="265"/>
      <c r="D1562" s="265"/>
      <c r="E1562" s="264"/>
      <c r="F1562" s="265"/>
      <c r="G1562" s="263"/>
      <c r="H1562" s="432"/>
      <c r="I1562" s="282"/>
      <c r="J1562" s="283"/>
      <c r="K1562" s="265"/>
      <c r="L1562" s="265"/>
      <c r="M1562" s="269"/>
      <c r="N1562" s="270"/>
      <c r="O1562" s="271"/>
      <c r="P1562" s="271"/>
      <c r="Q1562" s="272"/>
      <c r="R1562" s="273"/>
      <c r="S1562" s="273"/>
      <c r="T1562" s="273"/>
      <c r="U1562" s="274"/>
      <c r="V1562" s="263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</row>
    <row r="1563">
      <c r="A1563" s="263"/>
      <c r="B1563" s="166"/>
      <c r="C1563" s="166"/>
      <c r="D1563" s="166"/>
      <c r="E1563" s="166"/>
      <c r="F1563" s="166"/>
      <c r="G1563" s="165"/>
      <c r="H1563" s="167"/>
      <c r="I1563" s="168"/>
      <c r="J1563" s="169"/>
      <c r="K1563" s="166"/>
      <c r="L1563" s="166"/>
      <c r="M1563" s="166"/>
      <c r="N1563" s="170"/>
      <c r="O1563" s="171"/>
      <c r="P1563" s="171"/>
      <c r="Q1563" s="172"/>
      <c r="R1563" s="173"/>
      <c r="S1563" s="173"/>
      <c r="T1563" s="173"/>
      <c r="U1563" s="174"/>
      <c r="V1563" s="165"/>
      <c r="W1563" s="36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</row>
    <row r="1564">
      <c r="A1564" s="263"/>
      <c r="B1564" s="166"/>
      <c r="C1564" s="166"/>
      <c r="D1564" s="166"/>
      <c r="E1564" s="166"/>
      <c r="F1564" s="166"/>
      <c r="G1564" s="165"/>
      <c r="H1564" s="167"/>
      <c r="I1564" s="168"/>
      <c r="J1564" s="169"/>
      <c r="K1564" s="166"/>
      <c r="L1564" s="166"/>
      <c r="M1564" s="166"/>
      <c r="N1564" s="170"/>
      <c r="O1564" s="171"/>
      <c r="P1564" s="171"/>
      <c r="Q1564" s="172"/>
      <c r="R1564" s="173"/>
      <c r="S1564" s="173"/>
      <c r="T1564" s="173"/>
      <c r="U1564" s="174"/>
      <c r="V1564" s="165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</row>
    <row r="1565">
      <c r="A1565" s="165"/>
      <c r="B1565" s="166"/>
      <c r="C1565" s="166"/>
      <c r="D1565" s="166"/>
      <c r="E1565" s="166"/>
      <c r="F1565" s="166"/>
      <c r="G1565" s="165"/>
      <c r="H1565" s="167"/>
      <c r="I1565" s="168"/>
      <c r="J1565" s="169"/>
      <c r="K1565" s="166"/>
      <c r="L1565" s="166"/>
      <c r="M1565" s="166"/>
      <c r="N1565" s="170"/>
      <c r="O1565" s="171"/>
      <c r="P1565" s="171"/>
      <c r="Q1565" s="172"/>
      <c r="R1565" s="173"/>
      <c r="S1565" s="173"/>
      <c r="T1565" s="173"/>
      <c r="U1565" s="174"/>
      <c r="V1565" s="165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</row>
    <row r="1566">
      <c r="A1566" s="165"/>
      <c r="B1566" s="166"/>
      <c r="C1566" s="166"/>
      <c r="D1566" s="166"/>
      <c r="E1566" s="166"/>
      <c r="F1566" s="166"/>
      <c r="G1566" s="165"/>
      <c r="H1566" s="167"/>
      <c r="I1566" s="168"/>
      <c r="J1566" s="169"/>
      <c r="K1566" s="166"/>
      <c r="L1566" s="166"/>
      <c r="M1566" s="166"/>
      <c r="N1566" s="170"/>
      <c r="O1566" s="171"/>
      <c r="P1566" s="171"/>
      <c r="Q1566" s="172"/>
      <c r="R1566" s="173"/>
      <c r="S1566" s="173"/>
      <c r="T1566" s="173"/>
      <c r="U1566" s="174"/>
      <c r="V1566" s="165"/>
      <c r="W1566" s="35"/>
      <c r="X1566" s="35"/>
      <c r="Y1566" s="35"/>
      <c r="Z1566" s="35"/>
      <c r="AA1566" s="35"/>
      <c r="AB1566" s="35"/>
      <c r="AC1566" s="35"/>
      <c r="AD1566" s="35"/>
      <c r="AE1566" s="35"/>
      <c r="AF1566" s="35"/>
      <c r="AG1566" s="35"/>
      <c r="AH1566" s="35"/>
      <c r="AI1566" s="35"/>
    </row>
    <row r="1567">
      <c r="A1567" s="263"/>
      <c r="B1567" s="264"/>
      <c r="C1567" s="265"/>
      <c r="D1567" s="265"/>
      <c r="E1567" s="264"/>
      <c r="F1567" s="265"/>
      <c r="G1567" s="263"/>
      <c r="H1567" s="432"/>
      <c r="I1567" s="282"/>
      <c r="J1567" s="283"/>
      <c r="K1567" s="265"/>
      <c r="L1567" s="265"/>
      <c r="M1567" s="269"/>
      <c r="N1567" s="270"/>
      <c r="O1567" s="271"/>
      <c r="P1567" s="271"/>
      <c r="Q1567" s="272"/>
      <c r="R1567" s="273"/>
      <c r="S1567" s="273"/>
      <c r="T1567" s="273"/>
      <c r="U1567" s="274"/>
      <c r="V1567" s="263"/>
      <c r="W1567" s="35"/>
      <c r="X1567" s="35"/>
      <c r="Y1567" s="35"/>
      <c r="Z1567" s="35"/>
      <c r="AA1567" s="35"/>
      <c r="AB1567" s="35"/>
      <c r="AC1567" s="35"/>
      <c r="AD1567" s="35"/>
      <c r="AE1567" s="35"/>
      <c r="AF1567" s="35"/>
      <c r="AG1567" s="35"/>
      <c r="AH1567" s="35"/>
      <c r="AI1567" s="35"/>
    </row>
    <row r="1568">
      <c r="A1568" s="165"/>
      <c r="B1568" s="166"/>
      <c r="C1568" s="166"/>
      <c r="D1568" s="166"/>
      <c r="E1568" s="166"/>
      <c r="F1568" s="166"/>
      <c r="G1568" s="165"/>
      <c r="H1568" s="167"/>
      <c r="I1568" s="168"/>
      <c r="J1568" s="169"/>
      <c r="K1568" s="166"/>
      <c r="L1568" s="166"/>
      <c r="M1568" s="205"/>
      <c r="N1568" s="170"/>
      <c r="O1568" s="171"/>
      <c r="P1568" s="171"/>
      <c r="Q1568" s="172"/>
      <c r="R1568" s="173"/>
      <c r="S1568" s="173"/>
      <c r="T1568" s="173"/>
      <c r="U1568" s="201"/>
      <c r="V1568" s="165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</row>
    <row r="1569">
      <c r="A1569" s="263"/>
      <c r="B1569" s="264"/>
      <c r="C1569" s="265"/>
      <c r="D1569" s="265"/>
      <c r="E1569" s="264"/>
      <c r="F1569" s="265"/>
      <c r="G1569" s="263"/>
      <c r="H1569" s="432"/>
      <c r="I1569" s="282"/>
      <c r="J1569" s="283"/>
      <c r="K1569" s="265"/>
      <c r="L1569" s="265"/>
      <c r="M1569" s="269"/>
      <c r="N1569" s="270"/>
      <c r="O1569" s="271"/>
      <c r="P1569" s="271"/>
      <c r="Q1569" s="272"/>
      <c r="R1569" s="273"/>
      <c r="S1569" s="273"/>
      <c r="T1569" s="273"/>
      <c r="U1569" s="274"/>
      <c r="V1569" s="263"/>
      <c r="W1569" s="35"/>
      <c r="X1569" s="35"/>
      <c r="Y1569" s="35"/>
      <c r="Z1569" s="35"/>
      <c r="AA1569" s="35"/>
      <c r="AB1569" s="35"/>
      <c r="AC1569" s="35"/>
      <c r="AD1569" s="35"/>
      <c r="AE1569" s="35"/>
      <c r="AF1569" s="35"/>
      <c r="AG1569" s="35"/>
      <c r="AH1569" s="35"/>
      <c r="AI1569" s="35"/>
    </row>
    <row r="1570">
      <c r="A1570" s="165"/>
      <c r="B1570" s="166"/>
      <c r="C1570" s="166"/>
      <c r="D1570" s="166"/>
      <c r="E1570" s="166"/>
      <c r="F1570" s="166"/>
      <c r="G1570" s="165"/>
      <c r="H1570" s="167"/>
      <c r="I1570" s="168"/>
      <c r="J1570" s="169"/>
      <c r="K1570" s="166"/>
      <c r="L1570" s="166"/>
      <c r="M1570" s="166"/>
      <c r="N1570" s="170"/>
      <c r="O1570" s="171"/>
      <c r="P1570" s="171"/>
      <c r="Q1570" s="172"/>
      <c r="R1570" s="173"/>
      <c r="S1570" s="173"/>
      <c r="T1570" s="173"/>
      <c r="U1570" s="201"/>
      <c r="V1570" s="165"/>
      <c r="W1570" s="188"/>
      <c r="X1570" s="188"/>
      <c r="Y1570" s="188"/>
      <c r="Z1570" s="188"/>
      <c r="AA1570" s="188"/>
      <c r="AB1570" s="188"/>
      <c r="AC1570" s="188"/>
      <c r="AD1570" s="188"/>
      <c r="AE1570" s="188"/>
      <c r="AF1570" s="188"/>
      <c r="AG1570" s="188"/>
      <c r="AH1570" s="188"/>
      <c r="AI1570" s="188"/>
    </row>
    <row r="1571">
      <c r="A1571" s="165"/>
      <c r="B1571" s="166"/>
      <c r="C1571" s="166"/>
      <c r="D1571" s="166"/>
      <c r="E1571" s="166"/>
      <c r="F1571" s="166"/>
      <c r="G1571" s="165"/>
      <c r="H1571" s="167"/>
      <c r="I1571" s="168"/>
      <c r="J1571" s="169"/>
      <c r="K1571" s="166"/>
      <c r="L1571" s="166"/>
      <c r="M1571" s="166"/>
      <c r="N1571" s="170"/>
      <c r="O1571" s="171"/>
      <c r="P1571" s="171"/>
      <c r="Q1571" s="172"/>
      <c r="R1571" s="173"/>
      <c r="S1571" s="173"/>
      <c r="T1571" s="173"/>
      <c r="U1571" s="201"/>
      <c r="V1571" s="165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</row>
    <row r="1572">
      <c r="A1572" s="165"/>
      <c r="B1572" s="166"/>
      <c r="C1572" s="166"/>
      <c r="D1572" s="166"/>
      <c r="E1572" s="166"/>
      <c r="F1572" s="166"/>
      <c r="G1572" s="165"/>
      <c r="H1572" s="167"/>
      <c r="I1572" s="168"/>
      <c r="J1572" s="169"/>
      <c r="K1572" s="166"/>
      <c r="L1572" s="166"/>
      <c r="M1572" s="205"/>
      <c r="N1572" s="170"/>
      <c r="O1572" s="171"/>
      <c r="P1572" s="171"/>
      <c r="Q1572" s="172"/>
      <c r="R1572" s="173"/>
      <c r="S1572" s="173"/>
      <c r="T1572" s="173"/>
      <c r="U1572" s="174"/>
      <c r="V1572" s="165"/>
      <c r="W1572" s="188"/>
      <c r="X1572" s="188"/>
      <c r="Y1572" s="188"/>
      <c r="Z1572" s="188"/>
      <c r="AA1572" s="188"/>
      <c r="AB1572" s="188"/>
      <c r="AC1572" s="188"/>
      <c r="AD1572" s="188"/>
      <c r="AE1572" s="188"/>
      <c r="AF1572" s="188"/>
      <c r="AG1572" s="188"/>
      <c r="AH1572" s="188"/>
      <c r="AI1572" s="188"/>
    </row>
    <row r="1573">
      <c r="A1573" s="165"/>
      <c r="B1573" s="166"/>
      <c r="C1573" s="166"/>
      <c r="D1573" s="166"/>
      <c r="E1573" s="166"/>
      <c r="F1573" s="166"/>
      <c r="G1573" s="165"/>
      <c r="H1573" s="167"/>
      <c r="I1573" s="168"/>
      <c r="J1573" s="169"/>
      <c r="K1573" s="166"/>
      <c r="L1573" s="166"/>
      <c r="M1573" s="166"/>
      <c r="N1573" s="170"/>
      <c r="O1573" s="171"/>
      <c r="P1573" s="171"/>
      <c r="Q1573" s="172"/>
      <c r="R1573" s="173"/>
      <c r="S1573" s="173"/>
      <c r="T1573" s="173"/>
      <c r="U1573" s="174"/>
      <c r="V1573" s="165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</row>
    <row r="1574">
      <c r="A1574" s="263"/>
      <c r="B1574" s="264"/>
      <c r="C1574" s="265"/>
      <c r="D1574" s="265"/>
      <c r="E1574" s="264"/>
      <c r="F1574" s="265"/>
      <c r="G1574" s="263"/>
      <c r="H1574" s="432"/>
      <c r="I1574" s="282"/>
      <c r="J1574" s="283"/>
      <c r="K1574" s="265"/>
      <c r="L1574" s="265"/>
      <c r="M1574" s="269"/>
      <c r="N1574" s="270"/>
      <c r="O1574" s="271"/>
      <c r="P1574" s="271"/>
      <c r="Q1574" s="272"/>
      <c r="R1574" s="273"/>
      <c r="S1574" s="273"/>
      <c r="T1574" s="273"/>
      <c r="U1574" s="274"/>
      <c r="V1574" s="263"/>
      <c r="W1574" s="35"/>
      <c r="X1574" s="35"/>
      <c r="Y1574" s="35"/>
      <c r="Z1574" s="35"/>
      <c r="AA1574" s="35"/>
      <c r="AB1574" s="35"/>
      <c r="AC1574" s="35"/>
      <c r="AD1574" s="35"/>
      <c r="AE1574" s="35"/>
      <c r="AF1574" s="35"/>
      <c r="AG1574" s="35"/>
      <c r="AH1574" s="35"/>
      <c r="AI1574" s="35"/>
    </row>
    <row r="1575">
      <c r="A1575" s="165"/>
      <c r="B1575" s="166"/>
      <c r="C1575" s="166"/>
      <c r="D1575" s="166"/>
      <c r="E1575" s="166"/>
      <c r="F1575" s="166"/>
      <c r="G1575" s="165"/>
      <c r="H1575" s="167"/>
      <c r="I1575" s="168"/>
      <c r="J1575" s="169"/>
      <c r="K1575" s="166"/>
      <c r="L1575" s="166"/>
      <c r="M1575" s="166"/>
      <c r="N1575" s="169"/>
      <c r="O1575" s="171"/>
      <c r="P1575" s="171"/>
      <c r="Q1575" s="169"/>
      <c r="R1575" s="173"/>
      <c r="S1575" s="173"/>
      <c r="T1575" s="173"/>
      <c r="U1575" s="201"/>
      <c r="V1575" s="165"/>
      <c r="W1575" s="35"/>
      <c r="X1575" s="35"/>
      <c r="Y1575" s="35"/>
      <c r="Z1575" s="35"/>
      <c r="AA1575" s="35"/>
      <c r="AB1575" s="35"/>
      <c r="AC1575" s="35"/>
      <c r="AD1575" s="35"/>
      <c r="AE1575" s="35"/>
      <c r="AF1575" s="35"/>
      <c r="AG1575" s="35"/>
      <c r="AH1575" s="35"/>
      <c r="AI1575" s="35"/>
    </row>
    <row r="1576">
      <c r="A1576" s="165"/>
      <c r="B1576" s="166"/>
      <c r="C1576" s="166"/>
      <c r="D1576" s="166"/>
      <c r="E1576" s="166"/>
      <c r="F1576" s="166"/>
      <c r="G1576" s="165"/>
      <c r="H1576" s="167"/>
      <c r="I1576" s="168"/>
      <c r="J1576" s="169"/>
      <c r="K1576" s="166"/>
      <c r="L1576" s="166"/>
      <c r="M1576" s="166"/>
      <c r="N1576" s="170"/>
      <c r="O1576" s="171"/>
      <c r="P1576" s="171"/>
      <c r="Q1576" s="172"/>
      <c r="R1576" s="173"/>
      <c r="S1576" s="173"/>
      <c r="T1576" s="173"/>
      <c r="U1576" s="201"/>
      <c r="V1576" s="207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</row>
    <row r="1577">
      <c r="A1577" s="263"/>
      <c r="B1577" s="264"/>
      <c r="C1577" s="265"/>
      <c r="D1577" s="265"/>
      <c r="E1577" s="264"/>
      <c r="F1577" s="265"/>
      <c r="G1577" s="263"/>
      <c r="H1577" s="432"/>
      <c r="I1577" s="282"/>
      <c r="J1577" s="283"/>
      <c r="K1577" s="265"/>
      <c r="L1577" s="265"/>
      <c r="M1577" s="264"/>
      <c r="N1577" s="270"/>
      <c r="O1577" s="271"/>
      <c r="P1577" s="271"/>
      <c r="Q1577" s="283"/>
      <c r="R1577" s="273"/>
      <c r="S1577" s="273"/>
      <c r="T1577" s="273"/>
      <c r="U1577" s="274"/>
      <c r="V1577" s="266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</row>
    <row r="1578">
      <c r="A1578" s="165"/>
      <c r="B1578" s="166"/>
      <c r="C1578" s="166"/>
      <c r="D1578" s="166"/>
      <c r="E1578" s="166"/>
      <c r="F1578" s="166"/>
      <c r="G1578" s="165"/>
      <c r="H1578" s="167"/>
      <c r="I1578" s="168"/>
      <c r="J1578" s="169"/>
      <c r="K1578" s="166"/>
      <c r="L1578" s="166"/>
      <c r="M1578" s="166"/>
      <c r="N1578" s="170"/>
      <c r="O1578" s="171"/>
      <c r="P1578" s="171"/>
      <c r="Q1578" s="172"/>
      <c r="R1578" s="173"/>
      <c r="S1578" s="173"/>
      <c r="T1578" s="173"/>
      <c r="U1578" s="174"/>
      <c r="V1578" s="165"/>
      <c r="W1578" s="35"/>
      <c r="X1578" s="35"/>
      <c r="Y1578" s="35"/>
      <c r="Z1578" s="35"/>
      <c r="AA1578" s="35"/>
      <c r="AB1578" s="35"/>
      <c r="AC1578" s="35"/>
      <c r="AD1578" s="35"/>
      <c r="AE1578" s="35"/>
      <c r="AF1578" s="35"/>
      <c r="AG1578" s="35"/>
      <c r="AH1578" s="35"/>
      <c r="AI1578" s="35"/>
    </row>
    <row r="1579">
      <c r="A1579" s="165"/>
      <c r="B1579" s="166"/>
      <c r="C1579" s="166"/>
      <c r="D1579" s="166"/>
      <c r="E1579" s="166"/>
      <c r="F1579" s="166"/>
      <c r="G1579" s="165"/>
      <c r="H1579" s="167"/>
      <c r="I1579" s="168"/>
      <c r="J1579" s="169"/>
      <c r="K1579" s="166"/>
      <c r="L1579" s="166"/>
      <c r="M1579" s="166"/>
      <c r="N1579" s="170"/>
      <c r="O1579" s="171"/>
      <c r="P1579" s="171"/>
      <c r="Q1579" s="172"/>
      <c r="R1579" s="173"/>
      <c r="S1579" s="173"/>
      <c r="T1579" s="173"/>
      <c r="U1579" s="174"/>
      <c r="V1579" s="165"/>
      <c r="W1579" s="35"/>
      <c r="X1579" s="35"/>
      <c r="Y1579" s="35"/>
      <c r="Z1579" s="35"/>
      <c r="AA1579" s="35"/>
      <c r="AB1579" s="35"/>
      <c r="AC1579" s="35"/>
      <c r="AD1579" s="35"/>
      <c r="AE1579" s="35"/>
      <c r="AF1579" s="35"/>
      <c r="AG1579" s="35"/>
      <c r="AH1579" s="35"/>
      <c r="AI1579" s="35"/>
    </row>
    <row r="1580">
      <c r="A1580" s="251"/>
      <c r="B1580" s="252"/>
      <c r="C1580" s="253"/>
      <c r="D1580" s="253"/>
      <c r="E1580" s="252"/>
      <c r="F1580" s="253"/>
      <c r="G1580" s="251"/>
      <c r="H1580" s="433"/>
      <c r="I1580" s="278"/>
      <c r="J1580" s="257"/>
      <c r="K1580" s="253"/>
      <c r="L1580" s="253"/>
      <c r="M1580" s="252"/>
      <c r="N1580" s="258"/>
      <c r="O1580" s="259"/>
      <c r="P1580" s="259"/>
      <c r="Q1580" s="257"/>
      <c r="R1580" s="260"/>
      <c r="S1580" s="260"/>
      <c r="T1580" s="260"/>
      <c r="U1580" s="261"/>
      <c r="V1580" s="251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</row>
    <row r="1581">
      <c r="A1581" s="263"/>
      <c r="B1581" s="264"/>
      <c r="C1581" s="265"/>
      <c r="D1581" s="265"/>
      <c r="E1581" s="264"/>
      <c r="F1581" s="265"/>
      <c r="G1581" s="263"/>
      <c r="H1581" s="432"/>
      <c r="I1581" s="282"/>
      <c r="J1581" s="283"/>
      <c r="K1581" s="265"/>
      <c r="L1581" s="265"/>
      <c r="M1581" s="269"/>
      <c r="N1581" s="270"/>
      <c r="O1581" s="271"/>
      <c r="P1581" s="271"/>
      <c r="Q1581" s="272"/>
      <c r="R1581" s="273"/>
      <c r="S1581" s="273"/>
      <c r="T1581" s="273"/>
      <c r="U1581" s="274"/>
      <c r="V1581" s="263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</row>
    <row r="1582">
      <c r="A1582" s="263"/>
      <c r="B1582" s="264"/>
      <c r="C1582" s="265"/>
      <c r="D1582" s="265"/>
      <c r="E1582" s="264"/>
      <c r="F1582" s="265"/>
      <c r="G1582" s="263"/>
      <c r="H1582" s="432"/>
      <c r="I1582" s="282"/>
      <c r="J1582" s="283"/>
      <c r="K1582" s="265"/>
      <c r="L1582" s="265"/>
      <c r="M1582" s="269"/>
      <c r="N1582" s="270"/>
      <c r="O1582" s="271"/>
      <c r="P1582" s="271"/>
      <c r="Q1582" s="272"/>
      <c r="R1582" s="273"/>
      <c r="S1582" s="273"/>
      <c r="T1582" s="273"/>
      <c r="U1582" s="274"/>
      <c r="V1582" s="263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</row>
    <row r="1583">
      <c r="A1583" s="263"/>
      <c r="B1583" s="264"/>
      <c r="C1583" s="265"/>
      <c r="D1583" s="265"/>
      <c r="E1583" s="264"/>
      <c r="F1583" s="265"/>
      <c r="G1583" s="263"/>
      <c r="H1583" s="432"/>
      <c r="I1583" s="282"/>
      <c r="J1583" s="283"/>
      <c r="K1583" s="265"/>
      <c r="L1583" s="265"/>
      <c r="M1583" s="269"/>
      <c r="N1583" s="270"/>
      <c r="O1583" s="271"/>
      <c r="P1583" s="271"/>
      <c r="Q1583" s="272"/>
      <c r="R1583" s="273"/>
      <c r="S1583" s="273"/>
      <c r="T1583" s="273"/>
      <c r="U1583" s="274"/>
      <c r="V1583" s="263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</row>
    <row r="1584">
      <c r="A1584" s="263"/>
      <c r="B1584" s="264"/>
      <c r="C1584" s="265"/>
      <c r="D1584" s="265"/>
      <c r="E1584" s="264"/>
      <c r="F1584" s="265"/>
      <c r="G1584" s="263"/>
      <c r="H1584" s="432"/>
      <c r="I1584" s="282"/>
      <c r="J1584" s="283"/>
      <c r="K1584" s="265"/>
      <c r="L1584" s="265"/>
      <c r="M1584" s="269"/>
      <c r="N1584" s="270"/>
      <c r="O1584" s="271"/>
      <c r="P1584" s="271"/>
      <c r="Q1584" s="272"/>
      <c r="R1584" s="273"/>
      <c r="S1584" s="273"/>
      <c r="T1584" s="273"/>
      <c r="U1584" s="274"/>
      <c r="V1584" s="263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</row>
    <row r="1585">
      <c r="A1585" s="263"/>
      <c r="B1585" s="264"/>
      <c r="C1585" s="265"/>
      <c r="D1585" s="265"/>
      <c r="E1585" s="264"/>
      <c r="F1585" s="265"/>
      <c r="G1585" s="263"/>
      <c r="H1585" s="432"/>
      <c r="I1585" s="282"/>
      <c r="J1585" s="283"/>
      <c r="K1585" s="265"/>
      <c r="L1585" s="265"/>
      <c r="M1585" s="269"/>
      <c r="N1585" s="270"/>
      <c r="O1585" s="271"/>
      <c r="P1585" s="271"/>
      <c r="Q1585" s="272"/>
      <c r="R1585" s="273"/>
      <c r="S1585" s="273"/>
      <c r="T1585" s="273"/>
      <c r="U1585" s="274"/>
      <c r="V1585" s="263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</row>
    <row r="1586">
      <c r="A1586" s="263"/>
      <c r="B1586" s="264"/>
      <c r="C1586" s="265"/>
      <c r="D1586" s="265"/>
      <c r="E1586" s="264"/>
      <c r="F1586" s="265"/>
      <c r="G1586" s="263"/>
      <c r="H1586" s="432"/>
      <c r="I1586" s="282"/>
      <c r="J1586" s="283"/>
      <c r="K1586" s="265"/>
      <c r="L1586" s="265"/>
      <c r="M1586" s="269"/>
      <c r="N1586" s="270"/>
      <c r="O1586" s="271"/>
      <c r="P1586" s="271"/>
      <c r="Q1586" s="272"/>
      <c r="R1586" s="273"/>
      <c r="S1586" s="273"/>
      <c r="T1586" s="273"/>
      <c r="U1586" s="274"/>
      <c r="V1586" s="263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</row>
    <row r="1587">
      <c r="A1587" s="263"/>
      <c r="B1587" s="264"/>
      <c r="C1587" s="265"/>
      <c r="D1587" s="265"/>
      <c r="E1587" s="264"/>
      <c r="F1587" s="265"/>
      <c r="G1587" s="263"/>
      <c r="H1587" s="432"/>
      <c r="I1587" s="282"/>
      <c r="J1587" s="283"/>
      <c r="K1587" s="265"/>
      <c r="L1587" s="265"/>
      <c r="M1587" s="269"/>
      <c r="N1587" s="270"/>
      <c r="O1587" s="271"/>
      <c r="P1587" s="271"/>
      <c r="Q1587" s="272"/>
      <c r="R1587" s="273"/>
      <c r="S1587" s="273"/>
      <c r="T1587" s="273"/>
      <c r="U1587" s="274"/>
      <c r="V1587" s="263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</row>
    <row r="1588">
      <c r="A1588" s="263"/>
      <c r="B1588" s="264"/>
      <c r="C1588" s="265"/>
      <c r="D1588" s="265"/>
      <c r="E1588" s="264"/>
      <c r="F1588" s="265"/>
      <c r="G1588" s="263"/>
      <c r="H1588" s="432"/>
      <c r="I1588" s="282"/>
      <c r="J1588" s="283"/>
      <c r="K1588" s="265"/>
      <c r="L1588" s="265"/>
      <c r="M1588" s="269"/>
      <c r="N1588" s="270"/>
      <c r="O1588" s="271"/>
      <c r="P1588" s="271"/>
      <c r="Q1588" s="272"/>
      <c r="R1588" s="273"/>
      <c r="S1588" s="273"/>
      <c r="T1588" s="273"/>
      <c r="U1588" s="274"/>
      <c r="V1588" s="263"/>
      <c r="W1588" s="35"/>
      <c r="X1588" s="35"/>
      <c r="Y1588" s="35"/>
      <c r="Z1588" s="35"/>
      <c r="AA1588" s="35"/>
      <c r="AB1588" s="35"/>
      <c r="AC1588" s="35"/>
      <c r="AD1588" s="35"/>
      <c r="AE1588" s="35"/>
      <c r="AF1588" s="35"/>
      <c r="AG1588" s="35"/>
      <c r="AH1588" s="35"/>
      <c r="AI1588" s="35"/>
    </row>
    <row r="1589">
      <c r="A1589" s="263"/>
      <c r="B1589" s="264"/>
      <c r="C1589" s="265"/>
      <c r="D1589" s="265"/>
      <c r="E1589" s="264"/>
      <c r="F1589" s="265"/>
      <c r="G1589" s="263"/>
      <c r="H1589" s="432"/>
      <c r="I1589" s="282"/>
      <c r="J1589" s="283"/>
      <c r="K1589" s="265"/>
      <c r="L1589" s="265"/>
      <c r="M1589" s="269"/>
      <c r="N1589" s="270"/>
      <c r="O1589" s="271"/>
      <c r="P1589" s="271"/>
      <c r="Q1589" s="272"/>
      <c r="R1589" s="273"/>
      <c r="S1589" s="273"/>
      <c r="T1589" s="273"/>
      <c r="U1589" s="274"/>
      <c r="V1589" s="263"/>
      <c r="W1589" s="35"/>
      <c r="X1589" s="35"/>
      <c r="Y1589" s="35"/>
      <c r="Z1589" s="35"/>
      <c r="AA1589" s="35"/>
      <c r="AB1589" s="35"/>
      <c r="AC1589" s="35"/>
      <c r="AD1589" s="35"/>
      <c r="AE1589" s="35"/>
      <c r="AF1589" s="35"/>
      <c r="AG1589" s="35"/>
      <c r="AH1589" s="35"/>
      <c r="AI1589" s="35"/>
    </row>
    <row r="1590">
      <c r="A1590" s="263"/>
      <c r="B1590" s="264"/>
      <c r="C1590" s="265"/>
      <c r="D1590" s="265"/>
      <c r="E1590" s="264"/>
      <c r="F1590" s="265"/>
      <c r="G1590" s="263"/>
      <c r="H1590" s="432"/>
      <c r="I1590" s="282"/>
      <c r="J1590" s="283"/>
      <c r="K1590" s="265"/>
      <c r="L1590" s="265"/>
      <c r="M1590" s="269"/>
      <c r="N1590" s="270"/>
      <c r="O1590" s="271"/>
      <c r="P1590" s="271"/>
      <c r="Q1590" s="272"/>
      <c r="R1590" s="273"/>
      <c r="S1590" s="273"/>
      <c r="T1590" s="273"/>
      <c r="U1590" s="274"/>
      <c r="V1590" s="263"/>
      <c r="W1590" s="35"/>
      <c r="X1590" s="35"/>
      <c r="Y1590" s="35"/>
      <c r="Z1590" s="35"/>
      <c r="AA1590" s="35"/>
      <c r="AB1590" s="35"/>
      <c r="AC1590" s="35"/>
      <c r="AD1590" s="35"/>
      <c r="AE1590" s="35"/>
      <c r="AF1590" s="35"/>
      <c r="AG1590" s="35"/>
      <c r="AH1590" s="35"/>
      <c r="AI1590" s="35"/>
    </row>
    <row r="1591">
      <c r="A1591" s="165"/>
      <c r="B1591" s="166"/>
      <c r="C1591" s="166"/>
      <c r="D1591" s="166"/>
      <c r="E1591" s="166"/>
      <c r="F1591" s="166"/>
      <c r="G1591" s="165"/>
      <c r="H1591" s="167"/>
      <c r="I1591" s="168"/>
      <c r="J1591" s="169"/>
      <c r="K1591" s="166"/>
      <c r="L1591" s="166"/>
      <c r="M1591" s="205"/>
      <c r="N1591" s="170"/>
      <c r="O1591" s="171"/>
      <c r="P1591" s="171"/>
      <c r="Q1591" s="172"/>
      <c r="R1591" s="173"/>
      <c r="S1591" s="173"/>
      <c r="T1591" s="173"/>
      <c r="U1591" s="174"/>
      <c r="V1591" s="165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</row>
    <row r="1592">
      <c r="A1592" s="263"/>
      <c r="B1592" s="264"/>
      <c r="C1592" s="265"/>
      <c r="D1592" s="265"/>
      <c r="E1592" s="264"/>
      <c r="F1592" s="265"/>
      <c r="G1592" s="263"/>
      <c r="H1592" s="432"/>
      <c r="I1592" s="282"/>
      <c r="J1592" s="283"/>
      <c r="K1592" s="265"/>
      <c r="L1592" s="265"/>
      <c r="M1592" s="269"/>
      <c r="N1592" s="270"/>
      <c r="O1592" s="271"/>
      <c r="P1592" s="271"/>
      <c r="Q1592" s="272"/>
      <c r="R1592" s="273"/>
      <c r="S1592" s="273"/>
      <c r="T1592" s="273"/>
      <c r="U1592" s="274"/>
      <c r="V1592" s="263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</row>
    <row r="1593">
      <c r="A1593" s="165"/>
      <c r="B1593" s="166"/>
      <c r="C1593" s="166"/>
      <c r="D1593" s="166"/>
      <c r="E1593" s="166"/>
      <c r="F1593" s="166"/>
      <c r="G1593" s="165"/>
      <c r="H1593" s="167"/>
      <c r="I1593" s="168"/>
      <c r="J1593" s="169"/>
      <c r="K1593" s="166"/>
      <c r="L1593" s="166"/>
      <c r="M1593" s="166"/>
      <c r="N1593" s="170"/>
      <c r="O1593" s="171"/>
      <c r="P1593" s="171"/>
      <c r="Q1593" s="172"/>
      <c r="R1593" s="173"/>
      <c r="S1593" s="173"/>
      <c r="T1593" s="173"/>
      <c r="U1593" s="174"/>
      <c r="V1593" s="165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</row>
    <row r="1594">
      <c r="A1594" s="263"/>
      <c r="B1594" s="264"/>
      <c r="C1594" s="265"/>
      <c r="D1594" s="265"/>
      <c r="E1594" s="264"/>
      <c r="F1594" s="265"/>
      <c r="G1594" s="263"/>
      <c r="H1594" s="432"/>
      <c r="I1594" s="282"/>
      <c r="J1594" s="283"/>
      <c r="K1594" s="265"/>
      <c r="L1594" s="265"/>
      <c r="M1594" s="269"/>
      <c r="N1594" s="270"/>
      <c r="O1594" s="271"/>
      <c r="P1594" s="271"/>
      <c r="Q1594" s="272"/>
      <c r="R1594" s="273"/>
      <c r="S1594" s="273"/>
      <c r="T1594" s="273"/>
      <c r="U1594" s="274"/>
      <c r="V1594" s="263"/>
      <c r="W1594" s="428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</row>
    <row r="1595">
      <c r="A1595" s="263"/>
      <c r="B1595" s="264"/>
      <c r="C1595" s="265"/>
      <c r="D1595" s="265"/>
      <c r="E1595" s="264"/>
      <c r="F1595" s="265"/>
      <c r="G1595" s="263"/>
      <c r="H1595" s="432"/>
      <c r="I1595" s="282"/>
      <c r="J1595" s="283"/>
      <c r="K1595" s="265"/>
      <c r="L1595" s="265"/>
      <c r="M1595" s="269"/>
      <c r="N1595" s="270"/>
      <c r="O1595" s="271"/>
      <c r="P1595" s="271"/>
      <c r="Q1595" s="272"/>
      <c r="R1595" s="273"/>
      <c r="S1595" s="273"/>
      <c r="T1595" s="273"/>
      <c r="U1595" s="274"/>
      <c r="V1595" s="263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</row>
    <row r="1596">
      <c r="A1596" s="251"/>
      <c r="B1596" s="252"/>
      <c r="C1596" s="253"/>
      <c r="D1596" s="253"/>
      <c r="E1596" s="252"/>
      <c r="F1596" s="253"/>
      <c r="G1596" s="251"/>
      <c r="H1596" s="433"/>
      <c r="I1596" s="278"/>
      <c r="J1596" s="257"/>
      <c r="K1596" s="253"/>
      <c r="L1596" s="253"/>
      <c r="M1596" s="252"/>
      <c r="N1596" s="258"/>
      <c r="O1596" s="259"/>
      <c r="P1596" s="259"/>
      <c r="Q1596" s="257"/>
      <c r="R1596" s="260"/>
      <c r="S1596" s="260"/>
      <c r="T1596" s="260"/>
      <c r="U1596" s="261"/>
      <c r="V1596" s="251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</row>
    <row r="1597">
      <c r="A1597" s="165"/>
      <c r="B1597" s="166"/>
      <c r="C1597" s="166"/>
      <c r="D1597" s="166"/>
      <c r="E1597" s="166"/>
      <c r="F1597" s="166"/>
      <c r="G1597" s="165"/>
      <c r="H1597" s="167"/>
      <c r="I1597" s="168"/>
      <c r="J1597" s="169"/>
      <c r="K1597" s="166"/>
      <c r="L1597" s="166"/>
      <c r="M1597" s="166"/>
      <c r="N1597" s="170"/>
      <c r="O1597" s="171"/>
      <c r="P1597" s="171"/>
      <c r="Q1597" s="172"/>
      <c r="R1597" s="173"/>
      <c r="S1597" s="173"/>
      <c r="T1597" s="173"/>
      <c r="U1597" s="201"/>
      <c r="V1597" s="165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</row>
    <row r="1598">
      <c r="A1598" s="165"/>
      <c r="B1598" s="166"/>
      <c r="C1598" s="166"/>
      <c r="D1598" s="166"/>
      <c r="E1598" s="166"/>
      <c r="F1598" s="166"/>
      <c r="G1598" s="165"/>
      <c r="H1598" s="167"/>
      <c r="I1598" s="168"/>
      <c r="J1598" s="169"/>
      <c r="K1598" s="166"/>
      <c r="L1598" s="166"/>
      <c r="M1598" s="205"/>
      <c r="N1598" s="170"/>
      <c r="O1598" s="171"/>
      <c r="P1598" s="171"/>
      <c r="Q1598" s="172"/>
      <c r="R1598" s="173"/>
      <c r="S1598" s="173"/>
      <c r="T1598" s="173"/>
      <c r="U1598" s="201"/>
      <c r="V1598" s="165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</row>
    <row r="1599">
      <c r="A1599" s="165"/>
      <c r="B1599" s="166"/>
      <c r="C1599" s="166"/>
      <c r="D1599" s="166"/>
      <c r="E1599" s="166"/>
      <c r="F1599" s="166"/>
      <c r="G1599" s="165"/>
      <c r="H1599" s="167"/>
      <c r="I1599" s="168"/>
      <c r="J1599" s="169"/>
      <c r="K1599" s="166"/>
      <c r="L1599" s="166"/>
      <c r="M1599" s="166"/>
      <c r="N1599" s="170"/>
      <c r="O1599" s="171"/>
      <c r="P1599" s="171"/>
      <c r="Q1599" s="172"/>
      <c r="R1599" s="173"/>
      <c r="S1599" s="173"/>
      <c r="T1599" s="260"/>
      <c r="U1599" s="261"/>
      <c r="V1599" s="251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</row>
    <row r="1600">
      <c r="A1600" s="165"/>
      <c r="B1600" s="166"/>
      <c r="C1600" s="166"/>
      <c r="D1600" s="166"/>
      <c r="E1600" s="166"/>
      <c r="F1600" s="166"/>
      <c r="G1600" s="165"/>
      <c r="H1600" s="167"/>
      <c r="I1600" s="168"/>
      <c r="J1600" s="169"/>
      <c r="K1600" s="166"/>
      <c r="L1600" s="166"/>
      <c r="M1600" s="205"/>
      <c r="N1600" s="170"/>
      <c r="O1600" s="171"/>
      <c r="P1600" s="171"/>
      <c r="Q1600" s="172"/>
      <c r="R1600" s="173"/>
      <c r="S1600" s="173"/>
      <c r="T1600" s="173"/>
      <c r="U1600" s="174"/>
      <c r="V1600" s="165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</row>
    <row r="1601">
      <c r="A1601" s="251"/>
      <c r="B1601" s="252"/>
      <c r="C1601" s="253"/>
      <c r="D1601" s="253"/>
      <c r="E1601" s="252"/>
      <c r="F1601" s="253"/>
      <c r="G1601" s="251"/>
      <c r="H1601" s="433"/>
      <c r="I1601" s="278"/>
      <c r="J1601" s="257"/>
      <c r="K1601" s="253"/>
      <c r="L1601" s="253"/>
      <c r="M1601" s="275"/>
      <c r="N1601" s="258"/>
      <c r="O1601" s="259"/>
      <c r="P1601" s="259"/>
      <c r="Q1601" s="262"/>
      <c r="R1601" s="260"/>
      <c r="S1601" s="260"/>
      <c r="T1601" s="260"/>
      <c r="U1601" s="261"/>
      <c r="V1601" s="251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</row>
    <row r="1602">
      <c r="A1602" s="263"/>
      <c r="B1602" s="264"/>
      <c r="C1602" s="265"/>
      <c r="D1602" s="265"/>
      <c r="E1602" s="264"/>
      <c r="F1602" s="265"/>
      <c r="G1602" s="263"/>
      <c r="H1602" s="432"/>
      <c r="I1602" s="282"/>
      <c r="J1602" s="283"/>
      <c r="K1602" s="265"/>
      <c r="L1602" s="265"/>
      <c r="M1602" s="269"/>
      <c r="N1602" s="270"/>
      <c r="O1602" s="271"/>
      <c r="P1602" s="271"/>
      <c r="Q1602" s="272"/>
      <c r="R1602" s="273"/>
      <c r="S1602" s="273"/>
      <c r="T1602" s="273"/>
      <c r="U1602" s="274"/>
      <c r="V1602" s="263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</row>
    <row r="1603">
      <c r="A1603" s="165"/>
      <c r="B1603" s="166"/>
      <c r="C1603" s="166"/>
      <c r="D1603" s="166"/>
      <c r="E1603" s="166"/>
      <c r="F1603" s="166"/>
      <c r="G1603" s="165"/>
      <c r="H1603" s="167"/>
      <c r="I1603" s="168"/>
      <c r="J1603" s="169"/>
      <c r="K1603" s="166"/>
      <c r="L1603" s="166"/>
      <c r="M1603" s="166"/>
      <c r="N1603" s="170"/>
      <c r="O1603" s="171"/>
      <c r="P1603" s="171"/>
      <c r="Q1603" s="172"/>
      <c r="R1603" s="173"/>
      <c r="S1603" s="173"/>
      <c r="T1603" s="173"/>
      <c r="U1603" s="174"/>
      <c r="V1603" s="165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</row>
    <row r="1604">
      <c r="A1604" s="165"/>
      <c r="B1604" s="166"/>
      <c r="C1604" s="166"/>
      <c r="D1604" s="166"/>
      <c r="E1604" s="166"/>
      <c r="F1604" s="166"/>
      <c r="G1604" s="165"/>
      <c r="H1604" s="167"/>
      <c r="I1604" s="168"/>
      <c r="J1604" s="169"/>
      <c r="K1604" s="166"/>
      <c r="L1604" s="166"/>
      <c r="M1604" s="166"/>
      <c r="N1604" s="170"/>
      <c r="O1604" s="171"/>
      <c r="P1604" s="171"/>
      <c r="Q1604" s="172"/>
      <c r="R1604" s="173"/>
      <c r="S1604" s="173"/>
      <c r="T1604" s="173"/>
      <c r="U1604" s="174"/>
      <c r="V1604" s="165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</row>
    <row r="1605">
      <c r="A1605" s="165"/>
      <c r="B1605" s="166"/>
      <c r="C1605" s="166"/>
      <c r="D1605" s="166"/>
      <c r="E1605" s="166"/>
      <c r="F1605" s="166"/>
      <c r="G1605" s="165"/>
      <c r="H1605" s="167"/>
      <c r="I1605" s="168"/>
      <c r="J1605" s="169"/>
      <c r="K1605" s="166"/>
      <c r="L1605" s="166"/>
      <c r="M1605" s="166"/>
      <c r="N1605" s="170"/>
      <c r="O1605" s="171"/>
      <c r="P1605" s="171"/>
      <c r="Q1605" s="172"/>
      <c r="R1605" s="173"/>
      <c r="S1605" s="173"/>
      <c r="T1605" s="173"/>
      <c r="U1605" s="174"/>
      <c r="V1605" s="165"/>
      <c r="W1605" s="35"/>
      <c r="X1605" s="35"/>
      <c r="Y1605" s="35"/>
      <c r="Z1605" s="35"/>
      <c r="AA1605" s="35"/>
      <c r="AB1605" s="35"/>
      <c r="AC1605" s="35"/>
      <c r="AD1605" s="35"/>
      <c r="AE1605" s="35"/>
      <c r="AF1605" s="35"/>
      <c r="AG1605" s="35"/>
      <c r="AH1605" s="35"/>
      <c r="AI1605" s="35"/>
    </row>
    <row r="1606">
      <c r="A1606" s="165"/>
      <c r="B1606" s="166"/>
      <c r="C1606" s="166"/>
      <c r="D1606" s="166"/>
      <c r="E1606" s="166"/>
      <c r="F1606" s="166"/>
      <c r="G1606" s="165"/>
      <c r="H1606" s="167"/>
      <c r="I1606" s="168"/>
      <c r="J1606" s="169"/>
      <c r="K1606" s="166"/>
      <c r="L1606" s="166"/>
      <c r="M1606" s="166"/>
      <c r="N1606" s="170"/>
      <c r="O1606" s="171"/>
      <c r="P1606" s="171"/>
      <c r="Q1606" s="172"/>
      <c r="R1606" s="173"/>
      <c r="S1606" s="173"/>
      <c r="T1606" s="173"/>
      <c r="U1606" s="174"/>
      <c r="V1606" s="165"/>
      <c r="W1606" s="188"/>
      <c r="X1606" s="188"/>
      <c r="Y1606" s="188"/>
      <c r="Z1606" s="188"/>
      <c r="AA1606" s="188"/>
      <c r="AB1606" s="188"/>
      <c r="AC1606" s="188"/>
      <c r="AD1606" s="188"/>
      <c r="AE1606" s="188"/>
      <c r="AF1606" s="188"/>
      <c r="AG1606" s="188"/>
      <c r="AH1606" s="188"/>
      <c r="AI1606" s="188"/>
    </row>
    <row r="1607">
      <c r="A1607" s="263"/>
      <c r="B1607" s="264"/>
      <c r="C1607" s="265"/>
      <c r="D1607" s="265"/>
      <c r="E1607" s="264"/>
      <c r="F1607" s="265"/>
      <c r="G1607" s="263"/>
      <c r="H1607" s="432"/>
      <c r="I1607" s="282"/>
      <c r="J1607" s="283"/>
      <c r="K1607" s="265"/>
      <c r="L1607" s="265"/>
      <c r="M1607" s="269"/>
      <c r="N1607" s="270"/>
      <c r="O1607" s="271"/>
      <c r="P1607" s="271"/>
      <c r="Q1607" s="272"/>
      <c r="R1607" s="273"/>
      <c r="S1607" s="273"/>
      <c r="T1607" s="273"/>
      <c r="U1607" s="274"/>
      <c r="V1607" s="263"/>
      <c r="W1607" s="35"/>
      <c r="X1607" s="35"/>
      <c r="Y1607" s="35"/>
      <c r="Z1607" s="35"/>
      <c r="AA1607" s="35"/>
      <c r="AB1607" s="35"/>
      <c r="AC1607" s="35"/>
      <c r="AD1607" s="35"/>
      <c r="AE1607" s="35"/>
      <c r="AF1607" s="35"/>
      <c r="AG1607" s="35"/>
      <c r="AH1607" s="35"/>
      <c r="AI1607" s="35"/>
    </row>
    <row r="1608">
      <c r="A1608" s="251"/>
      <c r="B1608" s="252"/>
      <c r="C1608" s="253"/>
      <c r="D1608" s="253"/>
      <c r="E1608" s="252"/>
      <c r="F1608" s="253"/>
      <c r="G1608" s="251"/>
      <c r="H1608" s="433"/>
      <c r="I1608" s="278"/>
      <c r="J1608" s="257"/>
      <c r="K1608" s="253"/>
      <c r="L1608" s="253"/>
      <c r="M1608" s="252"/>
      <c r="N1608" s="258"/>
      <c r="O1608" s="259"/>
      <c r="P1608" s="259"/>
      <c r="Q1608" s="262"/>
      <c r="R1608" s="260"/>
      <c r="S1608" s="260"/>
      <c r="T1608" s="260"/>
      <c r="U1608" s="261"/>
      <c r="V1608" s="251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</row>
    <row r="1609">
      <c r="A1609" s="263"/>
      <c r="B1609" s="264"/>
      <c r="C1609" s="265"/>
      <c r="D1609" s="265"/>
      <c r="E1609" s="264"/>
      <c r="F1609" s="265"/>
      <c r="G1609" s="263"/>
      <c r="H1609" s="432"/>
      <c r="I1609" s="282"/>
      <c r="J1609" s="283"/>
      <c r="K1609" s="265"/>
      <c r="L1609" s="265"/>
      <c r="M1609" s="269"/>
      <c r="N1609" s="270"/>
      <c r="O1609" s="271"/>
      <c r="P1609" s="271"/>
      <c r="Q1609" s="272"/>
      <c r="R1609" s="273"/>
      <c r="S1609" s="273"/>
      <c r="T1609" s="273"/>
      <c r="U1609" s="274"/>
      <c r="V1609" s="263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</row>
    <row r="1610">
      <c r="A1610" s="165"/>
      <c r="B1610" s="166"/>
      <c r="C1610" s="166"/>
      <c r="D1610" s="166"/>
      <c r="E1610" s="166"/>
      <c r="F1610" s="166"/>
      <c r="G1610" s="165"/>
      <c r="H1610" s="167"/>
      <c r="I1610" s="168"/>
      <c r="J1610" s="169"/>
      <c r="K1610" s="166"/>
      <c r="L1610" s="166"/>
      <c r="M1610" s="166"/>
      <c r="N1610" s="170"/>
      <c r="O1610" s="171"/>
      <c r="P1610" s="171"/>
      <c r="Q1610" s="172"/>
      <c r="R1610" s="173"/>
      <c r="S1610" s="173"/>
      <c r="T1610" s="173"/>
      <c r="U1610" s="201"/>
      <c r="V1610" s="165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</row>
    <row r="1611">
      <c r="A1611" s="165"/>
      <c r="B1611" s="166"/>
      <c r="C1611" s="166"/>
      <c r="D1611" s="166"/>
      <c r="E1611" s="166"/>
      <c r="F1611" s="166"/>
      <c r="G1611" s="165"/>
      <c r="H1611" s="167"/>
      <c r="I1611" s="168"/>
      <c r="J1611" s="169"/>
      <c r="K1611" s="166"/>
      <c r="L1611" s="166"/>
      <c r="M1611" s="205"/>
      <c r="N1611" s="170"/>
      <c r="O1611" s="171"/>
      <c r="P1611" s="171"/>
      <c r="Q1611" s="172"/>
      <c r="R1611" s="173"/>
      <c r="S1611" s="173"/>
      <c r="T1611" s="173"/>
      <c r="U1611" s="201"/>
      <c r="V1611" s="165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</row>
    <row r="1612">
      <c r="A1612" s="251"/>
      <c r="B1612" s="252"/>
      <c r="C1612" s="253"/>
      <c r="D1612" s="253"/>
      <c r="E1612" s="252"/>
      <c r="F1612" s="253"/>
      <c r="G1612" s="251"/>
      <c r="H1612" s="433"/>
      <c r="I1612" s="278"/>
      <c r="J1612" s="257"/>
      <c r="K1612" s="253"/>
      <c r="L1612" s="253"/>
      <c r="M1612" s="252"/>
      <c r="N1612" s="258"/>
      <c r="O1612" s="259"/>
      <c r="P1612" s="259"/>
      <c r="Q1612" s="262"/>
      <c r="R1612" s="260"/>
      <c r="S1612" s="260"/>
      <c r="T1612" s="260"/>
      <c r="U1612" s="261"/>
      <c r="V1612" s="251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</row>
    <row r="1613">
      <c r="A1613" s="251"/>
      <c r="B1613" s="252"/>
      <c r="C1613" s="253"/>
      <c r="D1613" s="253"/>
      <c r="E1613" s="252"/>
      <c r="F1613" s="253"/>
      <c r="G1613" s="251"/>
      <c r="H1613" s="433"/>
      <c r="I1613" s="278"/>
      <c r="J1613" s="257"/>
      <c r="K1613" s="253"/>
      <c r="L1613" s="253"/>
      <c r="M1613" s="252"/>
      <c r="N1613" s="258"/>
      <c r="O1613" s="259"/>
      <c r="P1613" s="259"/>
      <c r="Q1613" s="262"/>
      <c r="R1613" s="260"/>
      <c r="S1613" s="260"/>
      <c r="T1613" s="260"/>
      <c r="U1613" s="261"/>
      <c r="V1613" s="251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</row>
    <row r="1614">
      <c r="A1614" s="263"/>
      <c r="B1614" s="264"/>
      <c r="C1614" s="265"/>
      <c r="D1614" s="265"/>
      <c r="E1614" s="264"/>
      <c r="F1614" s="265"/>
      <c r="G1614" s="263"/>
      <c r="H1614" s="432"/>
      <c r="I1614" s="282"/>
      <c r="J1614" s="283"/>
      <c r="K1614" s="265"/>
      <c r="L1614" s="265"/>
      <c r="M1614" s="269"/>
      <c r="N1614" s="270"/>
      <c r="O1614" s="271"/>
      <c r="P1614" s="271"/>
      <c r="Q1614" s="272"/>
      <c r="R1614" s="273"/>
      <c r="S1614" s="273"/>
      <c r="T1614" s="273"/>
      <c r="U1614" s="274"/>
      <c r="V1614" s="263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</row>
    <row r="1615">
      <c r="A1615" s="263"/>
      <c r="B1615" s="264"/>
      <c r="C1615" s="265"/>
      <c r="D1615" s="265"/>
      <c r="E1615" s="264"/>
      <c r="F1615" s="265"/>
      <c r="G1615" s="263"/>
      <c r="H1615" s="432"/>
      <c r="I1615" s="282"/>
      <c r="J1615" s="283"/>
      <c r="K1615" s="265"/>
      <c r="L1615" s="265"/>
      <c r="M1615" s="269"/>
      <c r="N1615" s="270"/>
      <c r="O1615" s="271"/>
      <c r="P1615" s="271"/>
      <c r="Q1615" s="272"/>
      <c r="R1615" s="273"/>
      <c r="S1615" s="273"/>
      <c r="T1615" s="273"/>
      <c r="U1615" s="274"/>
      <c r="V1615" s="263"/>
      <c r="W1615" s="35"/>
      <c r="X1615" s="35"/>
      <c r="Y1615" s="35"/>
      <c r="Z1615" s="35"/>
      <c r="AA1615" s="35"/>
      <c r="AB1615" s="35"/>
      <c r="AC1615" s="35"/>
      <c r="AD1615" s="35"/>
      <c r="AE1615" s="35"/>
      <c r="AF1615" s="35"/>
      <c r="AG1615" s="35"/>
      <c r="AH1615" s="35"/>
      <c r="AI1615" s="35"/>
    </row>
    <row r="1616">
      <c r="A1616" s="263"/>
      <c r="B1616" s="264"/>
      <c r="C1616" s="265"/>
      <c r="D1616" s="265"/>
      <c r="E1616" s="264"/>
      <c r="F1616" s="265"/>
      <c r="G1616" s="263"/>
      <c r="H1616" s="432"/>
      <c r="I1616" s="282"/>
      <c r="J1616" s="283"/>
      <c r="K1616" s="265"/>
      <c r="L1616" s="265"/>
      <c r="M1616" s="269"/>
      <c r="N1616" s="270"/>
      <c r="O1616" s="271"/>
      <c r="P1616" s="271"/>
      <c r="Q1616" s="272"/>
      <c r="R1616" s="273"/>
      <c r="S1616" s="273"/>
      <c r="T1616" s="273"/>
      <c r="U1616" s="274"/>
      <c r="V1616" s="263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</row>
    <row r="1617">
      <c r="A1617" s="263"/>
      <c r="B1617" s="264"/>
      <c r="C1617" s="265"/>
      <c r="D1617" s="265"/>
      <c r="E1617" s="264"/>
      <c r="F1617" s="265"/>
      <c r="G1617" s="263"/>
      <c r="H1617" s="432"/>
      <c r="I1617" s="282"/>
      <c r="J1617" s="283"/>
      <c r="K1617" s="265"/>
      <c r="L1617" s="265"/>
      <c r="M1617" s="269"/>
      <c r="N1617" s="270"/>
      <c r="O1617" s="271"/>
      <c r="P1617" s="271"/>
      <c r="Q1617" s="272"/>
      <c r="R1617" s="273"/>
      <c r="S1617" s="273"/>
      <c r="T1617" s="273"/>
      <c r="U1617" s="274"/>
      <c r="V1617" s="263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</row>
    <row r="1618">
      <c r="A1618" s="263"/>
      <c r="B1618" s="264"/>
      <c r="C1618" s="265"/>
      <c r="D1618" s="265"/>
      <c r="E1618" s="264"/>
      <c r="F1618" s="265"/>
      <c r="G1618" s="263"/>
      <c r="H1618" s="432"/>
      <c r="I1618" s="282"/>
      <c r="J1618" s="283"/>
      <c r="K1618" s="265"/>
      <c r="L1618" s="265"/>
      <c r="M1618" s="269"/>
      <c r="N1618" s="270"/>
      <c r="O1618" s="271"/>
      <c r="P1618" s="271"/>
      <c r="Q1618" s="272"/>
      <c r="R1618" s="273"/>
      <c r="S1618" s="273"/>
      <c r="T1618" s="260"/>
      <c r="U1618" s="261"/>
      <c r="V1618" s="251"/>
      <c r="W1618" s="35"/>
      <c r="X1618" s="35"/>
      <c r="Y1618" s="35"/>
      <c r="Z1618" s="35"/>
      <c r="AA1618" s="35"/>
      <c r="AB1618" s="35"/>
      <c r="AC1618" s="35"/>
      <c r="AD1618" s="35"/>
      <c r="AE1618" s="35"/>
      <c r="AF1618" s="35"/>
      <c r="AG1618" s="35"/>
      <c r="AH1618" s="35"/>
      <c r="AI1618" s="35"/>
    </row>
    <row r="1619">
      <c r="A1619" s="263"/>
      <c r="B1619" s="264"/>
      <c r="C1619" s="265"/>
      <c r="D1619" s="265"/>
      <c r="E1619" s="264"/>
      <c r="F1619" s="265"/>
      <c r="G1619" s="263"/>
      <c r="H1619" s="432"/>
      <c r="I1619" s="282"/>
      <c r="J1619" s="283"/>
      <c r="K1619" s="265"/>
      <c r="L1619" s="265"/>
      <c r="M1619" s="269"/>
      <c r="N1619" s="270"/>
      <c r="O1619" s="271"/>
      <c r="P1619" s="271"/>
      <c r="Q1619" s="272"/>
      <c r="R1619" s="273"/>
      <c r="S1619" s="273"/>
      <c r="T1619" s="273"/>
      <c r="U1619" s="274"/>
      <c r="V1619" s="263"/>
      <c r="W1619" s="188"/>
      <c r="X1619" s="188"/>
      <c r="Y1619" s="188"/>
      <c r="Z1619" s="188"/>
      <c r="AA1619" s="188"/>
      <c r="AB1619" s="188"/>
      <c r="AC1619" s="188"/>
      <c r="AD1619" s="188"/>
      <c r="AE1619" s="188"/>
      <c r="AF1619" s="188"/>
      <c r="AG1619" s="188"/>
      <c r="AH1619" s="188"/>
      <c r="AI1619" s="188"/>
    </row>
    <row r="1620">
      <c r="A1620" s="263"/>
      <c r="B1620" s="264"/>
      <c r="C1620" s="265"/>
      <c r="D1620" s="265"/>
      <c r="E1620" s="264"/>
      <c r="F1620" s="265"/>
      <c r="G1620" s="263"/>
      <c r="H1620" s="432"/>
      <c r="I1620" s="282"/>
      <c r="J1620" s="283"/>
      <c r="K1620" s="265"/>
      <c r="L1620" s="265"/>
      <c r="M1620" s="269"/>
      <c r="N1620" s="270"/>
      <c r="O1620" s="271"/>
      <c r="P1620" s="271"/>
      <c r="Q1620" s="272"/>
      <c r="R1620" s="273"/>
      <c r="S1620" s="273"/>
      <c r="T1620" s="273"/>
      <c r="U1620" s="274"/>
      <c r="V1620" s="263"/>
      <c r="W1620" s="188"/>
      <c r="X1620" s="188"/>
      <c r="Y1620" s="188"/>
      <c r="Z1620" s="188"/>
      <c r="AA1620" s="188"/>
      <c r="AB1620" s="188"/>
      <c r="AC1620" s="188"/>
      <c r="AD1620" s="188"/>
      <c r="AE1620" s="188"/>
      <c r="AF1620" s="188"/>
      <c r="AG1620" s="188"/>
      <c r="AH1620" s="188"/>
      <c r="AI1620" s="188"/>
    </row>
    <row r="1621">
      <c r="A1621" s="263"/>
      <c r="B1621" s="264"/>
      <c r="C1621" s="265"/>
      <c r="D1621" s="265"/>
      <c r="E1621" s="264"/>
      <c r="F1621" s="265"/>
      <c r="G1621" s="263"/>
      <c r="H1621" s="432"/>
      <c r="I1621" s="282"/>
      <c r="J1621" s="283"/>
      <c r="K1621" s="265"/>
      <c r="L1621" s="265"/>
      <c r="M1621" s="269"/>
      <c r="N1621" s="270"/>
      <c r="O1621" s="271"/>
      <c r="P1621" s="271"/>
      <c r="Q1621" s="272"/>
      <c r="R1621" s="273"/>
      <c r="S1621" s="273"/>
      <c r="T1621" s="273"/>
      <c r="U1621" s="274"/>
      <c r="V1621" s="263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</row>
    <row r="1622">
      <c r="A1622" s="263"/>
      <c r="B1622" s="264"/>
      <c r="C1622" s="265"/>
      <c r="D1622" s="265"/>
      <c r="E1622" s="264"/>
      <c r="F1622" s="265"/>
      <c r="G1622" s="263"/>
      <c r="H1622" s="432"/>
      <c r="I1622" s="282"/>
      <c r="J1622" s="283"/>
      <c r="K1622" s="265"/>
      <c r="L1622" s="265"/>
      <c r="M1622" s="269"/>
      <c r="N1622" s="270"/>
      <c r="O1622" s="271"/>
      <c r="P1622" s="271"/>
      <c r="Q1622" s="272"/>
      <c r="R1622" s="273"/>
      <c r="S1622" s="273"/>
      <c r="T1622" s="273"/>
      <c r="U1622" s="274"/>
      <c r="V1622" s="263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</row>
    <row r="1623">
      <c r="A1623" s="263"/>
      <c r="B1623" s="264"/>
      <c r="C1623" s="265"/>
      <c r="D1623" s="265"/>
      <c r="E1623" s="264"/>
      <c r="F1623" s="265"/>
      <c r="G1623" s="263"/>
      <c r="H1623" s="432"/>
      <c r="I1623" s="282"/>
      <c r="J1623" s="283"/>
      <c r="K1623" s="265"/>
      <c r="L1623" s="265"/>
      <c r="M1623" s="264"/>
      <c r="N1623" s="270"/>
      <c r="O1623" s="271"/>
      <c r="P1623" s="271"/>
      <c r="Q1623" s="272"/>
      <c r="R1623" s="273"/>
      <c r="S1623" s="273"/>
      <c r="T1623" s="273"/>
      <c r="U1623" s="274"/>
      <c r="V1623" s="266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</row>
    <row r="1624">
      <c r="A1624" s="165"/>
      <c r="B1624" s="166"/>
      <c r="C1624" s="166"/>
      <c r="D1624" s="166"/>
      <c r="E1624" s="166"/>
      <c r="F1624" s="166"/>
      <c r="G1624" s="165"/>
      <c r="H1624" s="167"/>
      <c r="I1624" s="168"/>
      <c r="J1624" s="169"/>
      <c r="K1624" s="166"/>
      <c r="L1624" s="166"/>
      <c r="M1624" s="166"/>
      <c r="N1624" s="170"/>
      <c r="O1624" s="171"/>
      <c r="P1624" s="171"/>
      <c r="Q1624" s="172"/>
      <c r="R1624" s="173"/>
      <c r="S1624" s="173"/>
      <c r="T1624" s="173"/>
      <c r="U1624" s="201"/>
      <c r="V1624" s="165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</row>
    <row r="1625">
      <c r="A1625" s="263"/>
      <c r="B1625" s="264"/>
      <c r="C1625" s="265"/>
      <c r="D1625" s="265"/>
      <c r="E1625" s="264"/>
      <c r="F1625" s="265"/>
      <c r="G1625" s="263"/>
      <c r="H1625" s="432"/>
      <c r="I1625" s="282"/>
      <c r="J1625" s="283"/>
      <c r="K1625" s="265"/>
      <c r="L1625" s="265"/>
      <c r="M1625" s="269"/>
      <c r="N1625" s="270"/>
      <c r="O1625" s="271"/>
      <c r="P1625" s="271"/>
      <c r="Q1625" s="272"/>
      <c r="R1625" s="273"/>
      <c r="S1625" s="273"/>
      <c r="T1625" s="273"/>
      <c r="U1625" s="274"/>
      <c r="V1625" s="263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</row>
    <row r="1626">
      <c r="A1626" s="263"/>
      <c r="B1626" s="264"/>
      <c r="C1626" s="265"/>
      <c r="D1626" s="265"/>
      <c r="E1626" s="264"/>
      <c r="F1626" s="265"/>
      <c r="G1626" s="263"/>
      <c r="H1626" s="432"/>
      <c r="I1626" s="282"/>
      <c r="J1626" s="283"/>
      <c r="K1626" s="265"/>
      <c r="L1626" s="265"/>
      <c r="M1626" s="269"/>
      <c r="N1626" s="270"/>
      <c r="O1626" s="271"/>
      <c r="P1626" s="271"/>
      <c r="Q1626" s="272"/>
      <c r="R1626" s="273"/>
      <c r="S1626" s="273"/>
      <c r="T1626" s="273"/>
      <c r="U1626" s="274"/>
      <c r="V1626" s="263"/>
      <c r="W1626" s="36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</row>
    <row r="1627">
      <c r="A1627" s="263"/>
      <c r="B1627" s="264"/>
      <c r="C1627" s="265"/>
      <c r="D1627" s="265"/>
      <c r="E1627" s="264"/>
      <c r="F1627" s="265"/>
      <c r="G1627" s="263"/>
      <c r="H1627" s="432"/>
      <c r="I1627" s="282"/>
      <c r="J1627" s="283"/>
      <c r="K1627" s="265"/>
      <c r="L1627" s="265"/>
      <c r="M1627" s="269"/>
      <c r="N1627" s="270"/>
      <c r="O1627" s="271"/>
      <c r="P1627" s="271"/>
      <c r="Q1627" s="272"/>
      <c r="R1627" s="273"/>
      <c r="S1627" s="273"/>
      <c r="T1627" s="273"/>
      <c r="U1627" s="274"/>
      <c r="V1627" s="263"/>
      <c r="W1627" s="35"/>
      <c r="X1627" s="35"/>
      <c r="Y1627" s="35"/>
      <c r="Z1627" s="35"/>
      <c r="AA1627" s="35"/>
      <c r="AB1627" s="35"/>
      <c r="AC1627" s="35"/>
      <c r="AD1627" s="35"/>
      <c r="AE1627" s="35"/>
      <c r="AF1627" s="35"/>
      <c r="AG1627" s="35"/>
      <c r="AH1627" s="35"/>
      <c r="AI1627" s="35"/>
    </row>
    <row r="1628">
      <c r="A1628" s="263"/>
      <c r="B1628" s="264"/>
      <c r="C1628" s="265"/>
      <c r="D1628" s="265"/>
      <c r="E1628" s="264"/>
      <c r="F1628" s="265"/>
      <c r="G1628" s="263"/>
      <c r="H1628" s="432"/>
      <c r="I1628" s="282"/>
      <c r="J1628" s="283"/>
      <c r="K1628" s="265"/>
      <c r="L1628" s="265"/>
      <c r="M1628" s="269"/>
      <c r="N1628" s="270"/>
      <c r="O1628" s="271"/>
      <c r="P1628" s="271"/>
      <c r="Q1628" s="272"/>
      <c r="R1628" s="273"/>
      <c r="S1628" s="273"/>
      <c r="T1628" s="273"/>
      <c r="U1628" s="274"/>
      <c r="V1628" s="263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</row>
    <row r="1629">
      <c r="A1629" s="263"/>
      <c r="B1629" s="264"/>
      <c r="C1629" s="265"/>
      <c r="D1629" s="265"/>
      <c r="E1629" s="264"/>
      <c r="F1629" s="265"/>
      <c r="G1629" s="263"/>
      <c r="H1629" s="432"/>
      <c r="I1629" s="282"/>
      <c r="J1629" s="283"/>
      <c r="K1629" s="265"/>
      <c r="L1629" s="265"/>
      <c r="M1629" s="269"/>
      <c r="N1629" s="270"/>
      <c r="O1629" s="271"/>
      <c r="P1629" s="271"/>
      <c r="Q1629" s="272"/>
      <c r="R1629" s="273"/>
      <c r="S1629" s="273"/>
      <c r="T1629" s="273"/>
      <c r="U1629" s="274"/>
      <c r="V1629" s="263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</row>
    <row r="1630">
      <c r="A1630" s="165"/>
      <c r="B1630" s="166"/>
      <c r="C1630" s="166"/>
      <c r="D1630" s="166"/>
      <c r="E1630" s="166"/>
      <c r="F1630" s="166"/>
      <c r="G1630" s="165"/>
      <c r="H1630" s="167"/>
      <c r="I1630" s="168"/>
      <c r="J1630" s="169"/>
      <c r="K1630" s="166"/>
      <c r="L1630" s="166"/>
      <c r="M1630" s="166"/>
      <c r="N1630" s="170"/>
      <c r="O1630" s="171"/>
      <c r="P1630" s="171"/>
      <c r="Q1630" s="172"/>
      <c r="R1630" s="173"/>
      <c r="S1630" s="173"/>
      <c r="T1630" s="173"/>
      <c r="U1630" s="174"/>
      <c r="V1630" s="165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</row>
    <row r="1631">
      <c r="A1631" s="263"/>
      <c r="B1631" s="264"/>
      <c r="C1631" s="265"/>
      <c r="D1631" s="265"/>
      <c r="E1631" s="264"/>
      <c r="F1631" s="265"/>
      <c r="G1631" s="263"/>
      <c r="H1631" s="432"/>
      <c r="I1631" s="282"/>
      <c r="J1631" s="283"/>
      <c r="K1631" s="265"/>
      <c r="L1631" s="265"/>
      <c r="M1631" s="269"/>
      <c r="N1631" s="270"/>
      <c r="O1631" s="271"/>
      <c r="P1631" s="271"/>
      <c r="Q1631" s="272"/>
      <c r="R1631" s="273"/>
      <c r="S1631" s="273"/>
      <c r="T1631" s="273"/>
      <c r="U1631" s="274"/>
      <c r="V1631" s="263"/>
      <c r="W1631" s="35"/>
      <c r="X1631" s="35"/>
      <c r="Y1631" s="35"/>
      <c r="Z1631" s="35"/>
      <c r="AA1631" s="35"/>
      <c r="AB1631" s="35"/>
      <c r="AC1631" s="35"/>
      <c r="AD1631" s="35"/>
      <c r="AE1631" s="35"/>
      <c r="AF1631" s="35"/>
      <c r="AG1631" s="35"/>
      <c r="AH1631" s="35"/>
      <c r="AI1631" s="35"/>
    </row>
    <row r="1632">
      <c r="A1632" s="263"/>
      <c r="B1632" s="264"/>
      <c r="C1632" s="265"/>
      <c r="D1632" s="265"/>
      <c r="E1632" s="264"/>
      <c r="F1632" s="265"/>
      <c r="G1632" s="263"/>
      <c r="H1632" s="432"/>
      <c r="I1632" s="282"/>
      <c r="J1632" s="283"/>
      <c r="K1632" s="265"/>
      <c r="L1632" s="265"/>
      <c r="M1632" s="269"/>
      <c r="N1632" s="270"/>
      <c r="O1632" s="271"/>
      <c r="P1632" s="271"/>
      <c r="Q1632" s="272"/>
      <c r="R1632" s="273"/>
      <c r="S1632" s="273"/>
      <c r="T1632" s="260"/>
      <c r="U1632" s="261"/>
      <c r="V1632" s="251"/>
      <c r="W1632" s="36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</row>
    <row r="1633">
      <c r="A1633" s="263"/>
      <c r="B1633" s="264"/>
      <c r="C1633" s="265"/>
      <c r="D1633" s="265"/>
      <c r="E1633" s="264"/>
      <c r="F1633" s="265"/>
      <c r="G1633" s="263"/>
      <c r="H1633" s="432"/>
      <c r="I1633" s="282"/>
      <c r="J1633" s="283"/>
      <c r="K1633" s="265"/>
      <c r="L1633" s="265"/>
      <c r="M1633" s="269"/>
      <c r="N1633" s="270"/>
      <c r="O1633" s="271"/>
      <c r="P1633" s="271"/>
      <c r="Q1633" s="272"/>
      <c r="R1633" s="273"/>
      <c r="S1633" s="273"/>
      <c r="T1633" s="273"/>
      <c r="U1633" s="274"/>
      <c r="V1633" s="263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</row>
    <row r="1634">
      <c r="A1634" s="263"/>
      <c r="B1634" s="264"/>
      <c r="C1634" s="265"/>
      <c r="D1634" s="265"/>
      <c r="E1634" s="264"/>
      <c r="F1634" s="265"/>
      <c r="G1634" s="263"/>
      <c r="H1634" s="432"/>
      <c r="I1634" s="282"/>
      <c r="J1634" s="283"/>
      <c r="K1634" s="265"/>
      <c r="L1634" s="265"/>
      <c r="M1634" s="269"/>
      <c r="N1634" s="270"/>
      <c r="O1634" s="271"/>
      <c r="P1634" s="271"/>
      <c r="Q1634" s="272"/>
      <c r="R1634" s="273"/>
      <c r="S1634" s="273"/>
      <c r="T1634" s="273"/>
      <c r="U1634" s="274"/>
      <c r="V1634" s="263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</row>
    <row r="1635">
      <c r="A1635" s="263"/>
      <c r="B1635" s="264"/>
      <c r="C1635" s="265"/>
      <c r="D1635" s="265"/>
      <c r="E1635" s="264"/>
      <c r="F1635" s="265"/>
      <c r="G1635" s="263"/>
      <c r="H1635" s="432"/>
      <c r="I1635" s="282"/>
      <c r="J1635" s="283"/>
      <c r="K1635" s="265"/>
      <c r="L1635" s="265"/>
      <c r="M1635" s="269"/>
      <c r="N1635" s="270"/>
      <c r="O1635" s="271"/>
      <c r="P1635" s="271"/>
      <c r="Q1635" s="272"/>
      <c r="R1635" s="273"/>
      <c r="S1635" s="273"/>
      <c r="T1635" s="273"/>
      <c r="U1635" s="274"/>
      <c r="V1635" s="263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</row>
    <row r="1636">
      <c r="A1636" s="263"/>
      <c r="B1636" s="264"/>
      <c r="C1636" s="265"/>
      <c r="D1636" s="265"/>
      <c r="E1636" s="264"/>
      <c r="F1636" s="265"/>
      <c r="G1636" s="263"/>
      <c r="H1636" s="432"/>
      <c r="I1636" s="282"/>
      <c r="J1636" s="283"/>
      <c r="K1636" s="265"/>
      <c r="L1636" s="265"/>
      <c r="M1636" s="269"/>
      <c r="N1636" s="270"/>
      <c r="O1636" s="271"/>
      <c r="P1636" s="271"/>
      <c r="Q1636" s="272"/>
      <c r="R1636" s="273"/>
      <c r="S1636" s="273"/>
      <c r="T1636" s="273"/>
      <c r="U1636" s="274"/>
      <c r="V1636" s="263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</row>
    <row r="1637">
      <c r="A1637" s="263"/>
      <c r="B1637" s="264"/>
      <c r="C1637" s="265"/>
      <c r="D1637" s="265"/>
      <c r="E1637" s="264"/>
      <c r="F1637" s="265"/>
      <c r="G1637" s="263"/>
      <c r="H1637" s="432"/>
      <c r="I1637" s="282"/>
      <c r="J1637" s="283"/>
      <c r="K1637" s="265"/>
      <c r="L1637" s="265"/>
      <c r="M1637" s="269"/>
      <c r="N1637" s="270"/>
      <c r="O1637" s="271"/>
      <c r="P1637" s="271"/>
      <c r="Q1637" s="272"/>
      <c r="R1637" s="273"/>
      <c r="S1637" s="273"/>
      <c r="T1637" s="273"/>
      <c r="U1637" s="274"/>
      <c r="V1637" s="263"/>
      <c r="W1637" s="35"/>
      <c r="X1637" s="35"/>
      <c r="Y1637" s="35"/>
      <c r="Z1637" s="35"/>
      <c r="AA1637" s="35"/>
      <c r="AB1637" s="35"/>
      <c r="AC1637" s="35"/>
      <c r="AD1637" s="35"/>
      <c r="AE1637" s="35"/>
      <c r="AF1637" s="35"/>
      <c r="AG1637" s="35"/>
      <c r="AH1637" s="35"/>
      <c r="AI1637" s="35"/>
    </row>
    <row r="1638">
      <c r="A1638" s="263"/>
      <c r="B1638" s="264"/>
      <c r="C1638" s="265"/>
      <c r="D1638" s="265"/>
      <c r="E1638" s="264"/>
      <c r="F1638" s="265"/>
      <c r="G1638" s="263"/>
      <c r="H1638" s="432"/>
      <c r="I1638" s="282"/>
      <c r="J1638" s="283"/>
      <c r="K1638" s="265"/>
      <c r="L1638" s="265"/>
      <c r="M1638" s="269"/>
      <c r="N1638" s="270"/>
      <c r="O1638" s="271"/>
      <c r="P1638" s="271"/>
      <c r="Q1638" s="272"/>
      <c r="R1638" s="273"/>
      <c r="S1638" s="273"/>
      <c r="T1638" s="273"/>
      <c r="U1638" s="274"/>
      <c r="V1638" s="263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</row>
    <row r="1639">
      <c r="A1639" s="263"/>
      <c r="B1639" s="264"/>
      <c r="C1639" s="265"/>
      <c r="D1639" s="265"/>
      <c r="E1639" s="264"/>
      <c r="F1639" s="265"/>
      <c r="G1639" s="263"/>
      <c r="H1639" s="432"/>
      <c r="I1639" s="282"/>
      <c r="J1639" s="283"/>
      <c r="K1639" s="265"/>
      <c r="L1639" s="265"/>
      <c r="M1639" s="269"/>
      <c r="N1639" s="270"/>
      <c r="O1639" s="271"/>
      <c r="P1639" s="271"/>
      <c r="Q1639" s="272"/>
      <c r="R1639" s="273"/>
      <c r="S1639" s="273"/>
      <c r="T1639" s="273"/>
      <c r="U1639" s="274"/>
      <c r="V1639" s="263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</row>
    <row r="1640">
      <c r="A1640" s="263"/>
      <c r="B1640" s="264"/>
      <c r="C1640" s="265"/>
      <c r="D1640" s="265"/>
      <c r="E1640" s="264"/>
      <c r="F1640" s="265"/>
      <c r="G1640" s="263"/>
      <c r="H1640" s="432"/>
      <c r="I1640" s="282"/>
      <c r="J1640" s="283"/>
      <c r="K1640" s="265"/>
      <c r="L1640" s="265"/>
      <c r="M1640" s="269"/>
      <c r="N1640" s="270"/>
      <c r="O1640" s="271"/>
      <c r="P1640" s="271"/>
      <c r="Q1640" s="272"/>
      <c r="R1640" s="273"/>
      <c r="S1640" s="273"/>
      <c r="T1640" s="273"/>
      <c r="U1640" s="274"/>
      <c r="V1640" s="263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</row>
    <row r="1641">
      <c r="A1641" s="263"/>
      <c r="B1641" s="264"/>
      <c r="C1641" s="265"/>
      <c r="D1641" s="265"/>
      <c r="E1641" s="264"/>
      <c r="F1641" s="265"/>
      <c r="G1641" s="263"/>
      <c r="H1641" s="432"/>
      <c r="I1641" s="282"/>
      <c r="J1641" s="283"/>
      <c r="K1641" s="265"/>
      <c r="L1641" s="265"/>
      <c r="M1641" s="269"/>
      <c r="N1641" s="270"/>
      <c r="O1641" s="271"/>
      <c r="P1641" s="271"/>
      <c r="Q1641" s="272"/>
      <c r="R1641" s="273"/>
      <c r="S1641" s="273"/>
      <c r="T1641" s="273"/>
      <c r="U1641" s="274"/>
      <c r="V1641" s="263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</row>
    <row r="1642">
      <c r="A1642" s="263"/>
      <c r="B1642" s="264"/>
      <c r="C1642" s="265"/>
      <c r="D1642" s="265"/>
      <c r="E1642" s="264"/>
      <c r="F1642" s="265"/>
      <c r="G1642" s="263"/>
      <c r="H1642" s="432"/>
      <c r="I1642" s="282"/>
      <c r="J1642" s="283"/>
      <c r="K1642" s="265"/>
      <c r="L1642" s="265"/>
      <c r="M1642" s="269"/>
      <c r="N1642" s="270"/>
      <c r="O1642" s="271"/>
      <c r="P1642" s="271"/>
      <c r="Q1642" s="272"/>
      <c r="R1642" s="273"/>
      <c r="S1642" s="273"/>
      <c r="T1642" s="273"/>
      <c r="U1642" s="274"/>
      <c r="V1642" s="263"/>
      <c r="W1642" s="188"/>
      <c r="X1642" s="35"/>
      <c r="Y1642" s="35"/>
      <c r="Z1642" s="35"/>
      <c r="AA1642" s="35"/>
      <c r="AB1642" s="35"/>
      <c r="AC1642" s="35"/>
      <c r="AD1642" s="35"/>
      <c r="AE1642" s="35"/>
      <c r="AF1642" s="35"/>
      <c r="AG1642" s="35"/>
      <c r="AH1642" s="35"/>
      <c r="AI1642" s="35"/>
    </row>
    <row r="1643">
      <c r="A1643" s="263"/>
      <c r="B1643" s="264"/>
      <c r="C1643" s="265"/>
      <c r="D1643" s="265"/>
      <c r="E1643" s="264"/>
      <c r="F1643" s="265"/>
      <c r="G1643" s="263"/>
      <c r="H1643" s="432"/>
      <c r="I1643" s="282"/>
      <c r="J1643" s="283"/>
      <c r="K1643" s="265"/>
      <c r="L1643" s="265"/>
      <c r="M1643" s="269"/>
      <c r="N1643" s="270"/>
      <c r="O1643" s="271"/>
      <c r="P1643" s="271"/>
      <c r="Q1643" s="272"/>
      <c r="R1643" s="273"/>
      <c r="S1643" s="273"/>
      <c r="T1643" s="273"/>
      <c r="U1643" s="274"/>
      <c r="V1643" s="263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</row>
    <row r="1644">
      <c r="A1644" s="263"/>
      <c r="B1644" s="264"/>
      <c r="C1644" s="265"/>
      <c r="D1644" s="265"/>
      <c r="E1644" s="264"/>
      <c r="F1644" s="265"/>
      <c r="G1644" s="263"/>
      <c r="H1644" s="432"/>
      <c r="I1644" s="282"/>
      <c r="J1644" s="283"/>
      <c r="K1644" s="265"/>
      <c r="L1644" s="265"/>
      <c r="M1644" s="269"/>
      <c r="N1644" s="270"/>
      <c r="O1644" s="271"/>
      <c r="P1644" s="271"/>
      <c r="Q1644" s="272"/>
      <c r="R1644" s="273"/>
      <c r="S1644" s="273"/>
      <c r="T1644" s="273"/>
      <c r="U1644" s="274"/>
      <c r="V1644" s="263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</row>
    <row r="1645">
      <c r="A1645" s="263"/>
      <c r="B1645" s="264"/>
      <c r="C1645" s="265"/>
      <c r="D1645" s="265"/>
      <c r="E1645" s="264"/>
      <c r="F1645" s="265"/>
      <c r="G1645" s="263"/>
      <c r="H1645" s="432"/>
      <c r="I1645" s="282"/>
      <c r="J1645" s="283"/>
      <c r="K1645" s="265"/>
      <c r="L1645" s="265"/>
      <c r="M1645" s="269"/>
      <c r="N1645" s="270"/>
      <c r="O1645" s="271"/>
      <c r="P1645" s="271"/>
      <c r="Q1645" s="272"/>
      <c r="R1645" s="273"/>
      <c r="S1645" s="273"/>
      <c r="T1645" s="273"/>
      <c r="U1645" s="274"/>
      <c r="V1645" s="263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</row>
    <row r="1646">
      <c r="A1646" s="263"/>
      <c r="B1646" s="264"/>
      <c r="C1646" s="265"/>
      <c r="D1646" s="265"/>
      <c r="E1646" s="264"/>
      <c r="F1646" s="265"/>
      <c r="G1646" s="263"/>
      <c r="H1646" s="432"/>
      <c r="I1646" s="282"/>
      <c r="J1646" s="283"/>
      <c r="K1646" s="265"/>
      <c r="L1646" s="265"/>
      <c r="M1646" s="269"/>
      <c r="N1646" s="270"/>
      <c r="O1646" s="271"/>
      <c r="P1646" s="271"/>
      <c r="Q1646" s="272"/>
      <c r="R1646" s="273"/>
      <c r="S1646" s="273"/>
      <c r="T1646" s="273"/>
      <c r="U1646" s="274"/>
      <c r="V1646" s="263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</row>
    <row r="1647">
      <c r="A1647" s="263"/>
      <c r="B1647" s="264"/>
      <c r="C1647" s="265"/>
      <c r="D1647" s="265"/>
      <c r="E1647" s="264"/>
      <c r="F1647" s="265"/>
      <c r="G1647" s="263"/>
      <c r="H1647" s="432"/>
      <c r="I1647" s="282"/>
      <c r="J1647" s="283"/>
      <c r="K1647" s="265"/>
      <c r="L1647" s="265"/>
      <c r="M1647" s="269"/>
      <c r="N1647" s="270"/>
      <c r="O1647" s="271"/>
      <c r="P1647" s="271"/>
      <c r="Q1647" s="272"/>
      <c r="R1647" s="273"/>
      <c r="S1647" s="273"/>
      <c r="T1647" s="273"/>
      <c r="U1647" s="274"/>
      <c r="V1647" s="263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</row>
    <row r="1648">
      <c r="A1648" s="263"/>
      <c r="B1648" s="264"/>
      <c r="C1648" s="265"/>
      <c r="D1648" s="265"/>
      <c r="E1648" s="264"/>
      <c r="F1648" s="265"/>
      <c r="G1648" s="263"/>
      <c r="H1648" s="432"/>
      <c r="I1648" s="282"/>
      <c r="J1648" s="283"/>
      <c r="K1648" s="265"/>
      <c r="L1648" s="265"/>
      <c r="M1648" s="269"/>
      <c r="N1648" s="270"/>
      <c r="O1648" s="271"/>
      <c r="P1648" s="271"/>
      <c r="Q1648" s="272"/>
      <c r="R1648" s="273"/>
      <c r="S1648" s="273"/>
      <c r="T1648" s="273"/>
      <c r="U1648" s="274"/>
      <c r="V1648" s="263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</row>
    <row r="1649">
      <c r="A1649" s="263"/>
      <c r="B1649" s="264"/>
      <c r="C1649" s="265"/>
      <c r="D1649" s="265"/>
      <c r="E1649" s="264"/>
      <c r="F1649" s="265"/>
      <c r="G1649" s="263"/>
      <c r="H1649" s="432"/>
      <c r="I1649" s="282"/>
      <c r="J1649" s="283"/>
      <c r="K1649" s="265"/>
      <c r="L1649" s="265"/>
      <c r="M1649" s="269"/>
      <c r="N1649" s="270"/>
      <c r="O1649" s="271"/>
      <c r="P1649" s="271"/>
      <c r="Q1649" s="272"/>
      <c r="R1649" s="273"/>
      <c r="S1649" s="273"/>
      <c r="T1649" s="273"/>
      <c r="U1649" s="274"/>
      <c r="V1649" s="263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</row>
    <row r="1650">
      <c r="A1650" s="263"/>
      <c r="B1650" s="264"/>
      <c r="C1650" s="265"/>
      <c r="D1650" s="265"/>
      <c r="E1650" s="264"/>
      <c r="F1650" s="265"/>
      <c r="G1650" s="263"/>
      <c r="H1650" s="432"/>
      <c r="I1650" s="282"/>
      <c r="J1650" s="283"/>
      <c r="K1650" s="265"/>
      <c r="L1650" s="265"/>
      <c r="M1650" s="269"/>
      <c r="N1650" s="270"/>
      <c r="O1650" s="271"/>
      <c r="P1650" s="271"/>
      <c r="Q1650" s="272"/>
      <c r="R1650" s="273"/>
      <c r="S1650" s="273"/>
      <c r="T1650" s="273"/>
      <c r="U1650" s="274"/>
      <c r="V1650" s="263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</row>
    <row r="1651">
      <c r="A1651" s="263"/>
      <c r="B1651" s="264"/>
      <c r="C1651" s="265"/>
      <c r="D1651" s="265"/>
      <c r="E1651" s="264"/>
      <c r="F1651" s="265"/>
      <c r="G1651" s="263"/>
      <c r="H1651" s="432"/>
      <c r="I1651" s="282"/>
      <c r="J1651" s="283"/>
      <c r="K1651" s="265"/>
      <c r="L1651" s="265"/>
      <c r="M1651" s="269"/>
      <c r="N1651" s="270"/>
      <c r="O1651" s="271"/>
      <c r="P1651" s="271"/>
      <c r="Q1651" s="272"/>
      <c r="R1651" s="273"/>
      <c r="S1651" s="273"/>
      <c r="T1651" s="273"/>
      <c r="U1651" s="274"/>
      <c r="V1651" s="263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</row>
    <row r="1652">
      <c r="A1652" s="263"/>
      <c r="B1652" s="264"/>
      <c r="C1652" s="265"/>
      <c r="D1652" s="265"/>
      <c r="E1652" s="264"/>
      <c r="F1652" s="265"/>
      <c r="G1652" s="263"/>
      <c r="H1652" s="432"/>
      <c r="I1652" s="282"/>
      <c r="J1652" s="283"/>
      <c r="K1652" s="265"/>
      <c r="L1652" s="265"/>
      <c r="M1652" s="269"/>
      <c r="N1652" s="270"/>
      <c r="O1652" s="271"/>
      <c r="P1652" s="271"/>
      <c r="Q1652" s="272"/>
      <c r="R1652" s="273"/>
      <c r="S1652" s="273"/>
      <c r="T1652" s="273"/>
      <c r="U1652" s="274"/>
      <c r="V1652" s="263"/>
      <c r="W1652" s="35"/>
      <c r="X1652" s="35"/>
      <c r="Y1652" s="35"/>
      <c r="Z1652" s="35"/>
      <c r="AA1652" s="35"/>
      <c r="AB1652" s="35"/>
      <c r="AC1652" s="35"/>
      <c r="AD1652" s="35"/>
      <c r="AE1652" s="35"/>
      <c r="AF1652" s="35"/>
      <c r="AG1652" s="35"/>
      <c r="AH1652" s="35"/>
      <c r="AI1652" s="35"/>
    </row>
    <row r="1653">
      <c r="A1653" s="263"/>
      <c r="B1653" s="264"/>
      <c r="C1653" s="265"/>
      <c r="D1653" s="265"/>
      <c r="E1653" s="264"/>
      <c r="F1653" s="265"/>
      <c r="G1653" s="263"/>
      <c r="H1653" s="432"/>
      <c r="I1653" s="282"/>
      <c r="J1653" s="283"/>
      <c r="K1653" s="265"/>
      <c r="L1653" s="265"/>
      <c r="M1653" s="269"/>
      <c r="N1653" s="270"/>
      <c r="O1653" s="271"/>
      <c r="P1653" s="271"/>
      <c r="Q1653" s="272"/>
      <c r="R1653" s="273"/>
      <c r="S1653" s="273"/>
      <c r="T1653" s="273"/>
      <c r="U1653" s="274"/>
      <c r="V1653" s="263"/>
      <c r="W1653" s="188"/>
      <c r="X1653" s="188"/>
      <c r="Y1653" s="188"/>
      <c r="Z1653" s="188"/>
      <c r="AA1653" s="188"/>
      <c r="AB1653" s="188"/>
      <c r="AC1653" s="188"/>
      <c r="AD1653" s="188"/>
      <c r="AE1653" s="188"/>
      <c r="AF1653" s="188"/>
      <c r="AG1653" s="188"/>
      <c r="AH1653" s="188"/>
      <c r="AI1653" s="188"/>
    </row>
    <row r="1654">
      <c r="A1654" s="263"/>
      <c r="B1654" s="264"/>
      <c r="C1654" s="265"/>
      <c r="D1654" s="265"/>
      <c r="E1654" s="264"/>
      <c r="F1654" s="265"/>
      <c r="G1654" s="263"/>
      <c r="H1654" s="432"/>
      <c r="I1654" s="282"/>
      <c r="J1654" s="283"/>
      <c r="K1654" s="265"/>
      <c r="L1654" s="265"/>
      <c r="M1654" s="269"/>
      <c r="N1654" s="270"/>
      <c r="O1654" s="271"/>
      <c r="P1654" s="271"/>
      <c r="Q1654" s="272"/>
      <c r="R1654" s="273"/>
      <c r="S1654" s="273"/>
      <c r="T1654" s="273"/>
      <c r="U1654" s="274"/>
      <c r="V1654" s="263"/>
      <c r="W1654" s="188"/>
      <c r="X1654" s="188"/>
      <c r="Y1654" s="188"/>
      <c r="Z1654" s="188"/>
      <c r="AA1654" s="188"/>
      <c r="AB1654" s="188"/>
      <c r="AC1654" s="188"/>
      <c r="AD1654" s="188"/>
      <c r="AE1654" s="188"/>
      <c r="AF1654" s="188"/>
      <c r="AG1654" s="188"/>
      <c r="AH1654" s="188"/>
      <c r="AI1654" s="188"/>
    </row>
    <row r="1655">
      <c r="A1655" s="263"/>
      <c r="B1655" s="264"/>
      <c r="C1655" s="265"/>
      <c r="D1655" s="265"/>
      <c r="E1655" s="264"/>
      <c r="F1655" s="265"/>
      <c r="G1655" s="263"/>
      <c r="H1655" s="432"/>
      <c r="I1655" s="282"/>
      <c r="J1655" s="283"/>
      <c r="K1655" s="265"/>
      <c r="L1655" s="265"/>
      <c r="M1655" s="269"/>
      <c r="N1655" s="270"/>
      <c r="O1655" s="271"/>
      <c r="P1655" s="271"/>
      <c r="Q1655" s="272"/>
      <c r="R1655" s="273"/>
      <c r="S1655" s="273"/>
      <c r="T1655" s="273"/>
      <c r="U1655" s="274"/>
      <c r="V1655" s="263"/>
      <c r="W1655" s="188"/>
      <c r="X1655" s="188"/>
      <c r="Y1655" s="188"/>
      <c r="Z1655" s="188"/>
      <c r="AA1655" s="188"/>
      <c r="AB1655" s="188"/>
      <c r="AC1655" s="188"/>
      <c r="AD1655" s="188"/>
      <c r="AE1655" s="188"/>
      <c r="AF1655" s="188"/>
      <c r="AG1655" s="188"/>
      <c r="AH1655" s="188"/>
      <c r="AI1655" s="188"/>
    </row>
    <row r="1656">
      <c r="A1656" s="263"/>
      <c r="B1656" s="264"/>
      <c r="C1656" s="265"/>
      <c r="D1656" s="265"/>
      <c r="E1656" s="264"/>
      <c r="F1656" s="265"/>
      <c r="G1656" s="263"/>
      <c r="H1656" s="432"/>
      <c r="I1656" s="282"/>
      <c r="J1656" s="283"/>
      <c r="K1656" s="265"/>
      <c r="L1656" s="265"/>
      <c r="M1656" s="269"/>
      <c r="N1656" s="270"/>
      <c r="O1656" s="271"/>
      <c r="P1656" s="271"/>
      <c r="Q1656" s="272"/>
      <c r="R1656" s="273"/>
      <c r="S1656" s="273"/>
      <c r="T1656" s="273"/>
      <c r="U1656" s="274"/>
      <c r="V1656" s="263"/>
      <c r="W1656" s="188"/>
      <c r="X1656" s="188"/>
      <c r="Y1656" s="188"/>
      <c r="Z1656" s="188"/>
      <c r="AA1656" s="188"/>
      <c r="AB1656" s="188"/>
      <c r="AC1656" s="188"/>
      <c r="AD1656" s="188"/>
      <c r="AE1656" s="188"/>
      <c r="AF1656" s="188"/>
      <c r="AG1656" s="188"/>
      <c r="AH1656" s="188"/>
      <c r="AI1656" s="188"/>
    </row>
    <row r="1657">
      <c r="A1657" s="263"/>
      <c r="B1657" s="264"/>
      <c r="C1657" s="265"/>
      <c r="D1657" s="265"/>
      <c r="E1657" s="264"/>
      <c r="F1657" s="265"/>
      <c r="G1657" s="263"/>
      <c r="H1657" s="432"/>
      <c r="I1657" s="282"/>
      <c r="J1657" s="283"/>
      <c r="K1657" s="265"/>
      <c r="L1657" s="265"/>
      <c r="M1657" s="269"/>
      <c r="N1657" s="270"/>
      <c r="O1657" s="271"/>
      <c r="P1657" s="271"/>
      <c r="Q1657" s="272"/>
      <c r="R1657" s="273"/>
      <c r="S1657" s="273"/>
      <c r="T1657" s="273"/>
      <c r="U1657" s="274"/>
      <c r="V1657" s="263"/>
      <c r="W1657" s="188"/>
      <c r="X1657" s="188"/>
      <c r="Y1657" s="188"/>
      <c r="Z1657" s="188"/>
      <c r="AA1657" s="188"/>
      <c r="AB1657" s="188"/>
      <c r="AC1657" s="188"/>
      <c r="AD1657" s="188"/>
      <c r="AE1657" s="188"/>
      <c r="AF1657" s="188"/>
      <c r="AG1657" s="188"/>
      <c r="AH1657" s="188"/>
      <c r="AI1657" s="188"/>
    </row>
    <row r="1658">
      <c r="A1658" s="263"/>
      <c r="B1658" s="264"/>
      <c r="C1658" s="265"/>
      <c r="D1658" s="265"/>
      <c r="E1658" s="264"/>
      <c r="F1658" s="265"/>
      <c r="G1658" s="263"/>
      <c r="H1658" s="432"/>
      <c r="I1658" s="282"/>
      <c r="J1658" s="283"/>
      <c r="K1658" s="265"/>
      <c r="L1658" s="265"/>
      <c r="M1658" s="269"/>
      <c r="N1658" s="270"/>
      <c r="O1658" s="271"/>
      <c r="P1658" s="271"/>
      <c r="Q1658" s="272"/>
      <c r="R1658" s="273"/>
      <c r="S1658" s="273"/>
      <c r="T1658" s="273"/>
      <c r="U1658" s="274"/>
      <c r="V1658" s="263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</row>
    <row r="1659">
      <c r="A1659" s="263"/>
      <c r="B1659" s="264"/>
      <c r="C1659" s="265"/>
      <c r="D1659" s="265"/>
      <c r="E1659" s="264"/>
      <c r="F1659" s="265"/>
      <c r="G1659" s="263"/>
      <c r="H1659" s="432"/>
      <c r="I1659" s="282"/>
      <c r="J1659" s="283"/>
      <c r="K1659" s="265"/>
      <c r="L1659" s="265"/>
      <c r="M1659" s="269"/>
      <c r="N1659" s="270"/>
      <c r="O1659" s="271"/>
      <c r="P1659" s="271"/>
      <c r="Q1659" s="272"/>
      <c r="R1659" s="273"/>
      <c r="S1659" s="273"/>
      <c r="T1659" s="273"/>
      <c r="U1659" s="274"/>
      <c r="V1659" s="263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</row>
    <row r="1660">
      <c r="A1660" s="263"/>
      <c r="B1660" s="264"/>
      <c r="C1660" s="265"/>
      <c r="D1660" s="265"/>
      <c r="E1660" s="264"/>
      <c r="F1660" s="265"/>
      <c r="G1660" s="263"/>
      <c r="H1660" s="432"/>
      <c r="I1660" s="282"/>
      <c r="J1660" s="283"/>
      <c r="K1660" s="265"/>
      <c r="L1660" s="265"/>
      <c r="M1660" s="269"/>
      <c r="N1660" s="270"/>
      <c r="O1660" s="271"/>
      <c r="P1660" s="271"/>
      <c r="Q1660" s="272"/>
      <c r="R1660" s="273"/>
      <c r="S1660" s="273"/>
      <c r="T1660" s="273"/>
      <c r="U1660" s="274"/>
      <c r="V1660" s="263"/>
      <c r="W1660" s="35"/>
      <c r="X1660" s="35"/>
      <c r="Y1660" s="35"/>
      <c r="Z1660" s="35"/>
      <c r="AA1660" s="35"/>
      <c r="AB1660" s="35"/>
      <c r="AC1660" s="35"/>
      <c r="AD1660" s="35"/>
      <c r="AE1660" s="35"/>
      <c r="AF1660" s="35"/>
      <c r="AG1660" s="35"/>
      <c r="AH1660" s="35"/>
      <c r="AI1660" s="35"/>
    </row>
    <row r="1661">
      <c r="A1661" s="263"/>
      <c r="B1661" s="264"/>
      <c r="C1661" s="265"/>
      <c r="D1661" s="265"/>
      <c r="E1661" s="264"/>
      <c r="F1661" s="265"/>
      <c r="G1661" s="263"/>
      <c r="H1661" s="432"/>
      <c r="I1661" s="282"/>
      <c r="J1661" s="283"/>
      <c r="K1661" s="265"/>
      <c r="L1661" s="265"/>
      <c r="M1661" s="269"/>
      <c r="N1661" s="270"/>
      <c r="O1661" s="271"/>
      <c r="P1661" s="271"/>
      <c r="Q1661" s="272"/>
      <c r="R1661" s="273"/>
      <c r="S1661" s="273"/>
      <c r="T1661" s="273"/>
      <c r="U1661" s="274"/>
      <c r="V1661" s="263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</row>
    <row r="1662">
      <c r="A1662" s="263"/>
      <c r="B1662" s="264"/>
      <c r="C1662" s="265"/>
      <c r="D1662" s="265"/>
      <c r="E1662" s="264"/>
      <c r="F1662" s="265"/>
      <c r="G1662" s="263"/>
      <c r="H1662" s="432"/>
      <c r="I1662" s="282"/>
      <c r="J1662" s="283"/>
      <c r="K1662" s="265"/>
      <c r="L1662" s="265"/>
      <c r="M1662" s="269"/>
      <c r="N1662" s="270"/>
      <c r="O1662" s="271"/>
      <c r="P1662" s="271"/>
      <c r="Q1662" s="272"/>
      <c r="R1662" s="273"/>
      <c r="S1662" s="273"/>
      <c r="T1662" s="273"/>
      <c r="U1662" s="274"/>
      <c r="V1662" s="263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</row>
    <row r="1663">
      <c r="A1663" s="263"/>
      <c r="B1663" s="264"/>
      <c r="C1663" s="265"/>
      <c r="D1663" s="265"/>
      <c r="E1663" s="264"/>
      <c r="F1663" s="265"/>
      <c r="G1663" s="263"/>
      <c r="H1663" s="432"/>
      <c r="I1663" s="282"/>
      <c r="J1663" s="283"/>
      <c r="K1663" s="265"/>
      <c r="L1663" s="265"/>
      <c r="M1663" s="269"/>
      <c r="N1663" s="270"/>
      <c r="O1663" s="271"/>
      <c r="P1663" s="271"/>
      <c r="Q1663" s="272"/>
      <c r="R1663" s="273"/>
      <c r="S1663" s="273"/>
      <c r="T1663" s="273"/>
      <c r="U1663" s="274"/>
      <c r="V1663" s="263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</row>
    <row r="1664">
      <c r="A1664" s="263"/>
      <c r="B1664" s="264"/>
      <c r="C1664" s="265"/>
      <c r="D1664" s="265"/>
      <c r="E1664" s="264"/>
      <c r="F1664" s="265"/>
      <c r="G1664" s="263"/>
      <c r="H1664" s="432"/>
      <c r="I1664" s="282"/>
      <c r="J1664" s="283"/>
      <c r="K1664" s="265"/>
      <c r="L1664" s="265"/>
      <c r="M1664" s="269"/>
      <c r="N1664" s="270"/>
      <c r="O1664" s="271"/>
      <c r="P1664" s="271"/>
      <c r="Q1664" s="272"/>
      <c r="R1664" s="273"/>
      <c r="S1664" s="273"/>
      <c r="T1664" s="273"/>
      <c r="U1664" s="274"/>
      <c r="V1664" s="263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</row>
    <row r="1665">
      <c r="A1665" s="263"/>
      <c r="B1665" s="264"/>
      <c r="C1665" s="265"/>
      <c r="D1665" s="265"/>
      <c r="E1665" s="264"/>
      <c r="F1665" s="265"/>
      <c r="G1665" s="263"/>
      <c r="H1665" s="432"/>
      <c r="I1665" s="282"/>
      <c r="J1665" s="283"/>
      <c r="K1665" s="265"/>
      <c r="L1665" s="265"/>
      <c r="M1665" s="269"/>
      <c r="N1665" s="270"/>
      <c r="O1665" s="271"/>
      <c r="P1665" s="271"/>
      <c r="Q1665" s="272"/>
      <c r="R1665" s="273"/>
      <c r="S1665" s="273"/>
      <c r="T1665" s="273"/>
      <c r="U1665" s="274"/>
      <c r="V1665" s="263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</row>
    <row r="1666">
      <c r="A1666" s="263"/>
      <c r="B1666" s="264"/>
      <c r="C1666" s="265"/>
      <c r="D1666" s="265"/>
      <c r="E1666" s="264"/>
      <c r="F1666" s="265"/>
      <c r="G1666" s="263"/>
      <c r="H1666" s="432"/>
      <c r="I1666" s="282"/>
      <c r="J1666" s="283"/>
      <c r="K1666" s="265"/>
      <c r="L1666" s="265"/>
      <c r="M1666" s="269"/>
      <c r="N1666" s="270"/>
      <c r="O1666" s="271"/>
      <c r="P1666" s="271"/>
      <c r="Q1666" s="272"/>
      <c r="R1666" s="273"/>
      <c r="S1666" s="273"/>
      <c r="T1666" s="260"/>
      <c r="U1666" s="261"/>
      <c r="V1666" s="251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</row>
    <row r="1667">
      <c r="A1667" s="263"/>
      <c r="B1667" s="264"/>
      <c r="C1667" s="265"/>
      <c r="D1667" s="265"/>
      <c r="E1667" s="264"/>
      <c r="F1667" s="265"/>
      <c r="G1667" s="263"/>
      <c r="H1667" s="432"/>
      <c r="I1667" s="282"/>
      <c r="J1667" s="283"/>
      <c r="K1667" s="265"/>
      <c r="L1667" s="265"/>
      <c r="M1667" s="269"/>
      <c r="N1667" s="270"/>
      <c r="O1667" s="271"/>
      <c r="P1667" s="271"/>
      <c r="Q1667" s="272"/>
      <c r="R1667" s="273"/>
      <c r="S1667" s="273"/>
      <c r="T1667" s="273"/>
      <c r="U1667" s="274"/>
      <c r="V1667" s="263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</row>
    <row r="1668">
      <c r="A1668" s="263"/>
      <c r="B1668" s="264"/>
      <c r="C1668" s="265"/>
      <c r="D1668" s="265"/>
      <c r="E1668" s="264"/>
      <c r="F1668" s="265"/>
      <c r="G1668" s="263"/>
      <c r="H1668" s="432"/>
      <c r="I1668" s="282"/>
      <c r="J1668" s="283"/>
      <c r="K1668" s="265"/>
      <c r="L1668" s="265"/>
      <c r="M1668" s="269"/>
      <c r="N1668" s="270"/>
      <c r="O1668" s="271"/>
      <c r="P1668" s="271"/>
      <c r="Q1668" s="272"/>
      <c r="R1668" s="273"/>
      <c r="S1668" s="273"/>
      <c r="T1668" s="273"/>
      <c r="U1668" s="274"/>
      <c r="V1668" s="263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</row>
    <row r="1669">
      <c r="A1669" s="263"/>
      <c r="B1669" s="264"/>
      <c r="C1669" s="265"/>
      <c r="D1669" s="265"/>
      <c r="E1669" s="264"/>
      <c r="F1669" s="265"/>
      <c r="G1669" s="263"/>
      <c r="H1669" s="432"/>
      <c r="I1669" s="282"/>
      <c r="J1669" s="283"/>
      <c r="K1669" s="265"/>
      <c r="L1669" s="265"/>
      <c r="M1669" s="269"/>
      <c r="N1669" s="270"/>
      <c r="O1669" s="271"/>
      <c r="P1669" s="271"/>
      <c r="Q1669" s="272"/>
      <c r="R1669" s="273"/>
      <c r="S1669" s="273"/>
      <c r="T1669" s="273"/>
      <c r="U1669" s="274"/>
      <c r="V1669" s="263"/>
      <c r="W1669" s="188"/>
      <c r="X1669" s="188"/>
      <c r="Y1669" s="188"/>
      <c r="Z1669" s="188"/>
      <c r="AA1669" s="188"/>
      <c r="AB1669" s="188"/>
      <c r="AC1669" s="188"/>
      <c r="AD1669" s="188"/>
      <c r="AE1669" s="188"/>
      <c r="AF1669" s="188"/>
      <c r="AG1669" s="188"/>
      <c r="AH1669" s="188"/>
      <c r="AI1669" s="188"/>
    </row>
    <row r="1670">
      <c r="A1670" s="263"/>
      <c r="B1670" s="264"/>
      <c r="C1670" s="265"/>
      <c r="D1670" s="265"/>
      <c r="E1670" s="264"/>
      <c r="F1670" s="265"/>
      <c r="G1670" s="263"/>
      <c r="H1670" s="432"/>
      <c r="I1670" s="282"/>
      <c r="J1670" s="283"/>
      <c r="K1670" s="265"/>
      <c r="L1670" s="265"/>
      <c r="M1670" s="269"/>
      <c r="N1670" s="270"/>
      <c r="O1670" s="271"/>
      <c r="P1670" s="271"/>
      <c r="Q1670" s="272"/>
      <c r="R1670" s="273"/>
      <c r="S1670" s="273"/>
      <c r="T1670" s="273"/>
      <c r="U1670" s="274"/>
      <c r="V1670" s="263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</row>
    <row r="1671">
      <c r="A1671" s="263"/>
      <c r="B1671" s="264"/>
      <c r="C1671" s="265"/>
      <c r="D1671" s="265"/>
      <c r="E1671" s="264"/>
      <c r="F1671" s="265"/>
      <c r="G1671" s="263"/>
      <c r="H1671" s="432"/>
      <c r="I1671" s="282"/>
      <c r="J1671" s="283"/>
      <c r="K1671" s="265"/>
      <c r="L1671" s="265"/>
      <c r="M1671" s="269"/>
      <c r="N1671" s="270"/>
      <c r="O1671" s="271"/>
      <c r="P1671" s="271"/>
      <c r="Q1671" s="272"/>
      <c r="R1671" s="273"/>
      <c r="S1671" s="273"/>
      <c r="T1671" s="273"/>
      <c r="U1671" s="274"/>
      <c r="V1671" s="263"/>
      <c r="W1671" s="188"/>
      <c r="X1671" s="188"/>
      <c r="Y1671" s="188"/>
      <c r="Z1671" s="188"/>
      <c r="AA1671" s="188"/>
      <c r="AB1671" s="188"/>
      <c r="AC1671" s="188"/>
      <c r="AD1671" s="188"/>
      <c r="AE1671" s="188"/>
      <c r="AF1671" s="188"/>
      <c r="AG1671" s="188"/>
      <c r="AH1671" s="188"/>
      <c r="AI1671" s="188"/>
    </row>
    <row r="1672">
      <c r="A1672" s="263"/>
      <c r="B1672" s="264"/>
      <c r="C1672" s="265"/>
      <c r="D1672" s="265"/>
      <c r="E1672" s="264"/>
      <c r="F1672" s="265"/>
      <c r="G1672" s="263"/>
      <c r="H1672" s="432"/>
      <c r="I1672" s="282"/>
      <c r="J1672" s="283"/>
      <c r="K1672" s="265"/>
      <c r="L1672" s="265"/>
      <c r="M1672" s="269"/>
      <c r="N1672" s="270"/>
      <c r="O1672" s="271"/>
      <c r="P1672" s="271"/>
      <c r="Q1672" s="272"/>
      <c r="R1672" s="273"/>
      <c r="S1672" s="273"/>
      <c r="T1672" s="273"/>
      <c r="U1672" s="274"/>
      <c r="V1672" s="263"/>
      <c r="W1672" s="35"/>
      <c r="X1672" s="35"/>
      <c r="Y1672" s="35"/>
      <c r="Z1672" s="35"/>
      <c r="AA1672" s="35"/>
      <c r="AB1672" s="35"/>
      <c r="AC1672" s="35"/>
      <c r="AD1672" s="35"/>
      <c r="AE1672" s="35"/>
      <c r="AF1672" s="35"/>
      <c r="AG1672" s="35"/>
      <c r="AH1672" s="35"/>
      <c r="AI1672" s="35"/>
    </row>
    <row r="1673">
      <c r="A1673" s="263"/>
      <c r="B1673" s="264"/>
      <c r="C1673" s="265"/>
      <c r="D1673" s="265"/>
      <c r="E1673" s="264"/>
      <c r="F1673" s="265"/>
      <c r="G1673" s="263"/>
      <c r="H1673" s="432"/>
      <c r="I1673" s="282"/>
      <c r="J1673" s="283"/>
      <c r="K1673" s="265"/>
      <c r="L1673" s="265"/>
      <c r="M1673" s="269"/>
      <c r="N1673" s="270"/>
      <c r="O1673" s="271"/>
      <c r="P1673" s="271"/>
      <c r="Q1673" s="272"/>
      <c r="R1673" s="273"/>
      <c r="S1673" s="273"/>
      <c r="T1673" s="273"/>
      <c r="U1673" s="274"/>
      <c r="V1673" s="263"/>
      <c r="W1673" s="188"/>
      <c r="X1673" s="188"/>
      <c r="Y1673" s="188"/>
      <c r="Z1673" s="188"/>
      <c r="AA1673" s="188"/>
      <c r="AB1673" s="188"/>
      <c r="AC1673" s="188"/>
      <c r="AD1673" s="188"/>
      <c r="AE1673" s="188"/>
      <c r="AF1673" s="188"/>
      <c r="AG1673" s="188"/>
      <c r="AH1673" s="188"/>
      <c r="AI1673" s="188"/>
    </row>
    <row r="1674">
      <c r="A1674" s="263"/>
      <c r="B1674" s="264"/>
      <c r="C1674" s="265"/>
      <c r="D1674" s="265"/>
      <c r="E1674" s="264"/>
      <c r="F1674" s="265"/>
      <c r="G1674" s="263"/>
      <c r="H1674" s="432"/>
      <c r="I1674" s="282"/>
      <c r="J1674" s="283"/>
      <c r="K1674" s="265"/>
      <c r="L1674" s="265"/>
      <c r="M1674" s="269"/>
      <c r="N1674" s="270"/>
      <c r="O1674" s="271"/>
      <c r="P1674" s="271"/>
      <c r="Q1674" s="272"/>
      <c r="R1674" s="273"/>
      <c r="S1674" s="273"/>
      <c r="T1674" s="273"/>
      <c r="U1674" s="274"/>
      <c r="V1674" s="263"/>
      <c r="W1674" s="188"/>
      <c r="X1674" s="188"/>
      <c r="Y1674" s="188"/>
      <c r="Z1674" s="188"/>
      <c r="AA1674" s="188"/>
      <c r="AB1674" s="188"/>
      <c r="AC1674" s="188"/>
      <c r="AD1674" s="188"/>
      <c r="AE1674" s="188"/>
      <c r="AF1674" s="188"/>
      <c r="AG1674" s="188"/>
      <c r="AH1674" s="188"/>
      <c r="AI1674" s="188"/>
    </row>
    <row r="1675">
      <c r="A1675" s="263"/>
      <c r="B1675" s="264"/>
      <c r="C1675" s="265"/>
      <c r="D1675" s="265"/>
      <c r="E1675" s="264"/>
      <c r="F1675" s="265"/>
      <c r="G1675" s="263"/>
      <c r="H1675" s="432"/>
      <c r="I1675" s="282"/>
      <c r="J1675" s="283"/>
      <c r="K1675" s="265"/>
      <c r="L1675" s="265"/>
      <c r="M1675" s="269"/>
      <c r="N1675" s="270"/>
      <c r="O1675" s="271"/>
      <c r="P1675" s="271"/>
      <c r="Q1675" s="272"/>
      <c r="R1675" s="273"/>
      <c r="S1675" s="273"/>
      <c r="T1675" s="273"/>
      <c r="U1675" s="274"/>
      <c r="V1675" s="263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</row>
    <row r="1676">
      <c r="A1676" s="251"/>
      <c r="B1676" s="252"/>
      <c r="C1676" s="253"/>
      <c r="D1676" s="253"/>
      <c r="E1676" s="252"/>
      <c r="F1676" s="253"/>
      <c r="G1676" s="251"/>
      <c r="H1676" s="433"/>
      <c r="I1676" s="278"/>
      <c r="J1676" s="257"/>
      <c r="K1676" s="253"/>
      <c r="L1676" s="253"/>
      <c r="M1676" s="252"/>
      <c r="N1676" s="258"/>
      <c r="O1676" s="259"/>
      <c r="P1676" s="259"/>
      <c r="Q1676" s="262"/>
      <c r="R1676" s="260"/>
      <c r="S1676" s="260"/>
      <c r="T1676" s="260"/>
      <c r="U1676" s="261"/>
      <c r="V1676" s="251"/>
      <c r="W1676" s="188"/>
      <c r="X1676" s="188"/>
      <c r="Y1676" s="188"/>
      <c r="Z1676" s="188"/>
      <c r="AA1676" s="188"/>
      <c r="AB1676" s="188"/>
      <c r="AC1676" s="188"/>
      <c r="AD1676" s="188"/>
      <c r="AE1676" s="188"/>
      <c r="AF1676" s="188"/>
      <c r="AG1676" s="188"/>
      <c r="AH1676" s="188"/>
      <c r="AI1676" s="188"/>
    </row>
    <row r="1677">
      <c r="A1677" s="263"/>
      <c r="B1677" s="264"/>
      <c r="C1677" s="265"/>
      <c r="D1677" s="265"/>
      <c r="E1677" s="264"/>
      <c r="F1677" s="265"/>
      <c r="G1677" s="263"/>
      <c r="H1677" s="432"/>
      <c r="I1677" s="282"/>
      <c r="J1677" s="283"/>
      <c r="K1677" s="265"/>
      <c r="L1677" s="265"/>
      <c r="M1677" s="269"/>
      <c r="N1677" s="270"/>
      <c r="O1677" s="271"/>
      <c r="P1677" s="271"/>
      <c r="Q1677" s="272"/>
      <c r="R1677" s="273"/>
      <c r="S1677" s="273"/>
      <c r="T1677" s="273"/>
      <c r="U1677" s="274"/>
      <c r="V1677" s="263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</row>
    <row r="1678">
      <c r="A1678" s="263"/>
      <c r="B1678" s="264"/>
      <c r="C1678" s="265"/>
      <c r="D1678" s="265"/>
      <c r="E1678" s="264"/>
      <c r="F1678" s="265"/>
      <c r="G1678" s="263"/>
      <c r="H1678" s="432"/>
      <c r="I1678" s="282"/>
      <c r="J1678" s="283"/>
      <c r="K1678" s="265"/>
      <c r="L1678" s="265"/>
      <c r="M1678" s="269"/>
      <c r="N1678" s="270"/>
      <c r="O1678" s="271"/>
      <c r="P1678" s="271"/>
      <c r="Q1678" s="272"/>
      <c r="R1678" s="273"/>
      <c r="S1678" s="273"/>
      <c r="T1678" s="273"/>
      <c r="U1678" s="274"/>
      <c r="V1678" s="263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</row>
    <row r="1679">
      <c r="A1679" s="263"/>
      <c r="B1679" s="264"/>
      <c r="C1679" s="265"/>
      <c r="D1679" s="265"/>
      <c r="E1679" s="264"/>
      <c r="F1679" s="265"/>
      <c r="G1679" s="263"/>
      <c r="H1679" s="432"/>
      <c r="I1679" s="282"/>
      <c r="J1679" s="283"/>
      <c r="K1679" s="265"/>
      <c r="L1679" s="265"/>
      <c r="M1679" s="269"/>
      <c r="N1679" s="270"/>
      <c r="O1679" s="271"/>
      <c r="P1679" s="271"/>
      <c r="Q1679" s="272"/>
      <c r="R1679" s="273"/>
      <c r="S1679" s="273"/>
      <c r="T1679" s="273"/>
      <c r="U1679" s="274"/>
      <c r="V1679" s="263"/>
      <c r="W1679" s="188"/>
      <c r="X1679" s="188"/>
      <c r="Y1679" s="188"/>
      <c r="Z1679" s="188"/>
      <c r="AA1679" s="188"/>
      <c r="AB1679" s="188"/>
      <c r="AC1679" s="188"/>
      <c r="AD1679" s="188"/>
      <c r="AE1679" s="188"/>
      <c r="AF1679" s="188"/>
      <c r="AG1679" s="188"/>
      <c r="AH1679" s="188"/>
      <c r="AI1679" s="188"/>
    </row>
    <row r="1680">
      <c r="A1680" s="263"/>
      <c r="B1680" s="264"/>
      <c r="C1680" s="265"/>
      <c r="D1680" s="265"/>
      <c r="E1680" s="264"/>
      <c r="F1680" s="265"/>
      <c r="G1680" s="263"/>
      <c r="H1680" s="432"/>
      <c r="I1680" s="282"/>
      <c r="J1680" s="283"/>
      <c r="K1680" s="265"/>
      <c r="L1680" s="265"/>
      <c r="M1680" s="269"/>
      <c r="N1680" s="270"/>
      <c r="O1680" s="271"/>
      <c r="P1680" s="271"/>
      <c r="Q1680" s="272"/>
      <c r="R1680" s="273"/>
      <c r="S1680" s="273"/>
      <c r="T1680" s="273"/>
      <c r="U1680" s="274"/>
      <c r="V1680" s="263"/>
      <c r="W1680" s="35"/>
      <c r="X1680" s="35"/>
      <c r="Y1680" s="35"/>
      <c r="Z1680" s="35"/>
      <c r="AA1680" s="35"/>
      <c r="AB1680" s="35"/>
      <c r="AC1680" s="35"/>
      <c r="AD1680" s="35"/>
      <c r="AE1680" s="35"/>
      <c r="AF1680" s="35"/>
      <c r="AG1680" s="35"/>
      <c r="AH1680" s="35"/>
      <c r="AI1680" s="35"/>
    </row>
    <row r="1681">
      <c r="A1681" s="263"/>
      <c r="B1681" s="264"/>
      <c r="C1681" s="265"/>
      <c r="D1681" s="265"/>
      <c r="E1681" s="264"/>
      <c r="F1681" s="265"/>
      <c r="G1681" s="263"/>
      <c r="H1681" s="432"/>
      <c r="I1681" s="282"/>
      <c r="J1681" s="283"/>
      <c r="K1681" s="265"/>
      <c r="L1681" s="265"/>
      <c r="M1681" s="269"/>
      <c r="N1681" s="270"/>
      <c r="O1681" s="271"/>
      <c r="P1681" s="271"/>
      <c r="Q1681" s="272"/>
      <c r="R1681" s="273"/>
      <c r="S1681" s="273"/>
      <c r="T1681" s="273"/>
      <c r="U1681" s="274"/>
      <c r="V1681" s="263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</row>
    <row r="1682">
      <c r="A1682" s="263"/>
      <c r="B1682" s="264"/>
      <c r="C1682" s="265"/>
      <c r="D1682" s="265"/>
      <c r="E1682" s="264"/>
      <c r="F1682" s="265"/>
      <c r="G1682" s="263"/>
      <c r="H1682" s="432"/>
      <c r="I1682" s="282"/>
      <c r="J1682" s="283"/>
      <c r="K1682" s="265"/>
      <c r="L1682" s="265"/>
      <c r="M1682" s="269"/>
      <c r="N1682" s="270"/>
      <c r="O1682" s="271"/>
      <c r="P1682" s="271"/>
      <c r="Q1682" s="272"/>
      <c r="R1682" s="273"/>
      <c r="S1682" s="273"/>
      <c r="T1682" s="273"/>
      <c r="U1682" s="274"/>
      <c r="V1682" s="263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</row>
    <row r="1683">
      <c r="A1683" s="263"/>
      <c r="B1683" s="264"/>
      <c r="C1683" s="265"/>
      <c r="D1683" s="265"/>
      <c r="E1683" s="264"/>
      <c r="F1683" s="265"/>
      <c r="G1683" s="263"/>
      <c r="H1683" s="432"/>
      <c r="I1683" s="282"/>
      <c r="J1683" s="283"/>
      <c r="K1683" s="265"/>
      <c r="L1683" s="265"/>
      <c r="M1683" s="269"/>
      <c r="N1683" s="270"/>
      <c r="O1683" s="271"/>
      <c r="P1683" s="271"/>
      <c r="Q1683" s="272"/>
      <c r="R1683" s="273"/>
      <c r="S1683" s="273"/>
      <c r="T1683" s="273"/>
      <c r="U1683" s="274"/>
      <c r="V1683" s="263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</row>
    <row r="1684">
      <c r="A1684" s="263"/>
      <c r="B1684" s="264"/>
      <c r="C1684" s="265"/>
      <c r="D1684" s="265"/>
      <c r="E1684" s="264"/>
      <c r="F1684" s="265"/>
      <c r="G1684" s="263"/>
      <c r="H1684" s="432"/>
      <c r="I1684" s="282"/>
      <c r="J1684" s="283"/>
      <c r="K1684" s="265"/>
      <c r="L1684" s="265"/>
      <c r="M1684" s="269"/>
      <c r="N1684" s="270"/>
      <c r="O1684" s="271"/>
      <c r="P1684" s="271"/>
      <c r="Q1684" s="272"/>
      <c r="R1684" s="273"/>
      <c r="S1684" s="273"/>
      <c r="T1684" s="273"/>
      <c r="U1684" s="274"/>
      <c r="V1684" s="263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</row>
    <row r="1685">
      <c r="A1685" s="263"/>
      <c r="B1685" s="264"/>
      <c r="C1685" s="265"/>
      <c r="D1685" s="265"/>
      <c r="E1685" s="264"/>
      <c r="F1685" s="265"/>
      <c r="G1685" s="263"/>
      <c r="H1685" s="432"/>
      <c r="I1685" s="282"/>
      <c r="J1685" s="283"/>
      <c r="K1685" s="265"/>
      <c r="L1685" s="265"/>
      <c r="M1685" s="269"/>
      <c r="N1685" s="270"/>
      <c r="O1685" s="271"/>
      <c r="P1685" s="271"/>
      <c r="Q1685" s="272"/>
      <c r="R1685" s="273"/>
      <c r="S1685" s="273"/>
      <c r="T1685" s="273"/>
      <c r="U1685" s="274"/>
      <c r="V1685" s="263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</row>
    <row r="1686">
      <c r="A1686" s="263"/>
      <c r="B1686" s="264"/>
      <c r="C1686" s="265"/>
      <c r="D1686" s="265"/>
      <c r="E1686" s="264"/>
      <c r="F1686" s="265"/>
      <c r="G1686" s="263"/>
      <c r="H1686" s="432"/>
      <c r="I1686" s="282"/>
      <c r="J1686" s="283"/>
      <c r="K1686" s="265"/>
      <c r="L1686" s="265"/>
      <c r="M1686" s="269"/>
      <c r="N1686" s="270"/>
      <c r="O1686" s="271"/>
      <c r="P1686" s="271"/>
      <c r="Q1686" s="272"/>
      <c r="R1686" s="273"/>
      <c r="S1686" s="273"/>
      <c r="T1686" s="273"/>
      <c r="U1686" s="274"/>
      <c r="V1686" s="263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</row>
    <row r="1687">
      <c r="A1687" s="263"/>
      <c r="B1687" s="264"/>
      <c r="C1687" s="265"/>
      <c r="D1687" s="265"/>
      <c r="E1687" s="264"/>
      <c r="F1687" s="265"/>
      <c r="G1687" s="263"/>
      <c r="H1687" s="432"/>
      <c r="I1687" s="282"/>
      <c r="J1687" s="283"/>
      <c r="K1687" s="265"/>
      <c r="L1687" s="265"/>
      <c r="M1687" s="269"/>
      <c r="N1687" s="270"/>
      <c r="O1687" s="271"/>
      <c r="P1687" s="271"/>
      <c r="Q1687" s="272"/>
      <c r="R1687" s="273"/>
      <c r="S1687" s="273"/>
      <c r="T1687" s="273"/>
      <c r="U1687" s="274"/>
      <c r="V1687" s="263"/>
      <c r="W1687" s="188"/>
      <c r="X1687" s="188"/>
      <c r="Y1687" s="188"/>
      <c r="Z1687" s="188"/>
      <c r="AA1687" s="188"/>
      <c r="AB1687" s="188"/>
      <c r="AC1687" s="188"/>
      <c r="AD1687" s="188"/>
      <c r="AE1687" s="188"/>
      <c r="AF1687" s="188"/>
      <c r="AG1687" s="188"/>
      <c r="AH1687" s="188"/>
      <c r="AI1687" s="188"/>
    </row>
    <row r="1688">
      <c r="A1688" s="263"/>
      <c r="B1688" s="264"/>
      <c r="C1688" s="265"/>
      <c r="D1688" s="265"/>
      <c r="E1688" s="264"/>
      <c r="F1688" s="265"/>
      <c r="G1688" s="263"/>
      <c r="H1688" s="432"/>
      <c r="I1688" s="282"/>
      <c r="J1688" s="283"/>
      <c r="K1688" s="265"/>
      <c r="L1688" s="265"/>
      <c r="M1688" s="269"/>
      <c r="N1688" s="270"/>
      <c r="O1688" s="271"/>
      <c r="P1688" s="271"/>
      <c r="Q1688" s="272"/>
      <c r="R1688" s="273"/>
      <c r="S1688" s="273"/>
      <c r="T1688" s="273"/>
      <c r="U1688" s="274"/>
      <c r="V1688" s="263"/>
      <c r="W1688" s="188"/>
      <c r="X1688" s="188"/>
      <c r="Y1688" s="188"/>
      <c r="Z1688" s="188"/>
      <c r="AA1688" s="188"/>
      <c r="AB1688" s="188"/>
      <c r="AC1688" s="188"/>
      <c r="AD1688" s="188"/>
      <c r="AE1688" s="188"/>
      <c r="AF1688" s="188"/>
      <c r="AG1688" s="188"/>
      <c r="AH1688" s="188"/>
      <c r="AI1688" s="188"/>
    </row>
    <row r="1689">
      <c r="A1689" s="263"/>
      <c r="B1689" s="264"/>
      <c r="C1689" s="265"/>
      <c r="D1689" s="265"/>
      <c r="E1689" s="264"/>
      <c r="F1689" s="265"/>
      <c r="G1689" s="263"/>
      <c r="H1689" s="432"/>
      <c r="I1689" s="282"/>
      <c r="J1689" s="283"/>
      <c r="K1689" s="265"/>
      <c r="L1689" s="265"/>
      <c r="M1689" s="269"/>
      <c r="N1689" s="270"/>
      <c r="O1689" s="271"/>
      <c r="P1689" s="271"/>
      <c r="Q1689" s="272"/>
      <c r="R1689" s="273"/>
      <c r="S1689" s="273"/>
      <c r="T1689" s="273"/>
      <c r="U1689" s="274"/>
      <c r="V1689" s="263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</row>
    <row r="1690">
      <c r="A1690" s="263"/>
      <c r="B1690" s="264"/>
      <c r="C1690" s="265"/>
      <c r="D1690" s="265"/>
      <c r="E1690" s="264"/>
      <c r="F1690" s="265"/>
      <c r="G1690" s="263"/>
      <c r="H1690" s="432"/>
      <c r="I1690" s="282"/>
      <c r="J1690" s="283"/>
      <c r="K1690" s="265"/>
      <c r="L1690" s="265"/>
      <c r="M1690" s="269"/>
      <c r="N1690" s="270"/>
      <c r="O1690" s="271"/>
      <c r="P1690" s="271"/>
      <c r="Q1690" s="272"/>
      <c r="R1690" s="273"/>
      <c r="S1690" s="273"/>
      <c r="T1690" s="273"/>
      <c r="U1690" s="274"/>
      <c r="V1690" s="263"/>
      <c r="W1690" s="35"/>
      <c r="X1690" s="35"/>
      <c r="Y1690" s="35"/>
      <c r="Z1690" s="35"/>
      <c r="AA1690" s="35"/>
      <c r="AB1690" s="35"/>
      <c r="AC1690" s="35"/>
      <c r="AD1690" s="35"/>
      <c r="AE1690" s="35"/>
      <c r="AF1690" s="35"/>
      <c r="AG1690" s="35"/>
      <c r="AH1690" s="35"/>
      <c r="AI1690" s="35"/>
    </row>
    <row r="1691">
      <c r="A1691" s="263"/>
      <c r="B1691" s="264"/>
      <c r="C1691" s="265"/>
      <c r="D1691" s="265"/>
      <c r="E1691" s="264"/>
      <c r="F1691" s="265"/>
      <c r="G1691" s="263"/>
      <c r="H1691" s="432"/>
      <c r="I1691" s="282"/>
      <c r="J1691" s="283"/>
      <c r="K1691" s="265"/>
      <c r="L1691" s="265"/>
      <c r="M1691" s="269"/>
      <c r="N1691" s="270"/>
      <c r="O1691" s="271"/>
      <c r="P1691" s="271"/>
      <c r="Q1691" s="272"/>
      <c r="R1691" s="273"/>
      <c r="S1691" s="273"/>
      <c r="T1691" s="273"/>
      <c r="U1691" s="274"/>
      <c r="V1691" s="263"/>
      <c r="W1691" s="188"/>
      <c r="X1691" s="188"/>
      <c r="Y1691" s="188"/>
      <c r="Z1691" s="188"/>
      <c r="AA1691" s="188"/>
      <c r="AB1691" s="188"/>
      <c r="AC1691" s="188"/>
      <c r="AD1691" s="188"/>
      <c r="AE1691" s="188"/>
      <c r="AF1691" s="188"/>
      <c r="AG1691" s="188"/>
      <c r="AH1691" s="188"/>
      <c r="AI1691" s="188"/>
    </row>
    <row r="1692">
      <c r="A1692" s="263"/>
      <c r="B1692" s="264"/>
      <c r="C1692" s="265"/>
      <c r="D1692" s="265"/>
      <c r="E1692" s="264"/>
      <c r="F1692" s="265"/>
      <c r="G1692" s="263"/>
      <c r="H1692" s="432"/>
      <c r="I1692" s="282"/>
      <c r="J1692" s="283"/>
      <c r="K1692" s="265"/>
      <c r="L1692" s="265"/>
      <c r="M1692" s="269"/>
      <c r="N1692" s="270"/>
      <c r="O1692" s="271"/>
      <c r="P1692" s="271"/>
      <c r="Q1692" s="272"/>
      <c r="R1692" s="273"/>
      <c r="S1692" s="273"/>
      <c r="T1692" s="273"/>
      <c r="U1692" s="274"/>
      <c r="V1692" s="263"/>
      <c r="W1692" s="188"/>
      <c r="X1692" s="188"/>
      <c r="Y1692" s="188"/>
      <c r="Z1692" s="188"/>
      <c r="AA1692" s="188"/>
      <c r="AB1692" s="188"/>
      <c r="AC1692" s="188"/>
      <c r="AD1692" s="188"/>
      <c r="AE1692" s="188"/>
      <c r="AF1692" s="188"/>
      <c r="AG1692" s="188"/>
      <c r="AH1692" s="188"/>
      <c r="AI1692" s="188"/>
    </row>
    <row r="1693">
      <c r="A1693" s="263"/>
      <c r="B1693" s="264"/>
      <c r="C1693" s="265"/>
      <c r="D1693" s="265"/>
      <c r="E1693" s="264"/>
      <c r="F1693" s="265"/>
      <c r="G1693" s="263"/>
      <c r="H1693" s="432"/>
      <c r="I1693" s="282"/>
      <c r="J1693" s="283"/>
      <c r="K1693" s="265"/>
      <c r="L1693" s="265"/>
      <c r="M1693" s="269"/>
      <c r="N1693" s="270"/>
      <c r="O1693" s="271"/>
      <c r="P1693" s="271"/>
      <c r="Q1693" s="272"/>
      <c r="R1693" s="273"/>
      <c r="S1693" s="273"/>
      <c r="T1693" s="273"/>
      <c r="U1693" s="274"/>
      <c r="V1693" s="263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</row>
    <row r="1694">
      <c r="A1694" s="263"/>
      <c r="B1694" s="264"/>
      <c r="C1694" s="265"/>
      <c r="D1694" s="265"/>
      <c r="E1694" s="264"/>
      <c r="F1694" s="265"/>
      <c r="G1694" s="263"/>
      <c r="H1694" s="432"/>
      <c r="I1694" s="282"/>
      <c r="J1694" s="283"/>
      <c r="K1694" s="265"/>
      <c r="L1694" s="265"/>
      <c r="M1694" s="269"/>
      <c r="N1694" s="270"/>
      <c r="O1694" s="271"/>
      <c r="P1694" s="271"/>
      <c r="Q1694" s="272"/>
      <c r="R1694" s="273"/>
      <c r="S1694" s="273"/>
      <c r="T1694" s="273"/>
      <c r="U1694" s="274"/>
      <c r="V1694" s="263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</row>
    <row r="1695">
      <c r="A1695" s="263"/>
      <c r="B1695" s="264"/>
      <c r="C1695" s="265"/>
      <c r="D1695" s="265"/>
      <c r="E1695" s="264"/>
      <c r="F1695" s="265"/>
      <c r="G1695" s="263"/>
      <c r="H1695" s="432"/>
      <c r="I1695" s="282"/>
      <c r="J1695" s="283"/>
      <c r="K1695" s="265"/>
      <c r="L1695" s="265"/>
      <c r="M1695" s="269"/>
      <c r="N1695" s="270"/>
      <c r="O1695" s="271"/>
      <c r="P1695" s="271"/>
      <c r="Q1695" s="272"/>
      <c r="R1695" s="273"/>
      <c r="S1695" s="273"/>
      <c r="T1695" s="273"/>
      <c r="U1695" s="274"/>
      <c r="V1695" s="263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</row>
    <row r="1696">
      <c r="A1696" s="263"/>
      <c r="B1696" s="264"/>
      <c r="C1696" s="265"/>
      <c r="D1696" s="265"/>
      <c r="E1696" s="264"/>
      <c r="F1696" s="265"/>
      <c r="G1696" s="263"/>
      <c r="H1696" s="432"/>
      <c r="I1696" s="282"/>
      <c r="J1696" s="283"/>
      <c r="K1696" s="265"/>
      <c r="L1696" s="265"/>
      <c r="M1696" s="269"/>
      <c r="N1696" s="270"/>
      <c r="O1696" s="271"/>
      <c r="P1696" s="271"/>
      <c r="Q1696" s="272"/>
      <c r="R1696" s="273"/>
      <c r="S1696" s="273"/>
      <c r="T1696" s="260"/>
      <c r="U1696" s="261"/>
      <c r="V1696" s="251"/>
      <c r="W1696" s="188"/>
      <c r="X1696" s="188"/>
      <c r="Y1696" s="188"/>
      <c r="Z1696" s="188"/>
      <c r="AA1696" s="188"/>
      <c r="AB1696" s="188"/>
      <c r="AC1696" s="188"/>
      <c r="AD1696" s="188"/>
      <c r="AE1696" s="188"/>
      <c r="AF1696" s="188"/>
      <c r="AG1696" s="188"/>
      <c r="AH1696" s="188"/>
      <c r="AI1696" s="188"/>
    </row>
    <row r="1697">
      <c r="A1697" s="263"/>
      <c r="B1697" s="264"/>
      <c r="C1697" s="265"/>
      <c r="D1697" s="265"/>
      <c r="E1697" s="264"/>
      <c r="F1697" s="265"/>
      <c r="G1697" s="263"/>
      <c r="H1697" s="432"/>
      <c r="I1697" s="282"/>
      <c r="J1697" s="283"/>
      <c r="K1697" s="265"/>
      <c r="L1697" s="265"/>
      <c r="M1697" s="269"/>
      <c r="N1697" s="270"/>
      <c r="O1697" s="271"/>
      <c r="P1697" s="271"/>
      <c r="Q1697" s="272"/>
      <c r="R1697" s="273"/>
      <c r="S1697" s="273"/>
      <c r="T1697" s="273"/>
      <c r="U1697" s="274"/>
      <c r="V1697" s="263"/>
      <c r="W1697" s="188"/>
      <c r="X1697" s="188"/>
      <c r="Y1697" s="188"/>
      <c r="Z1697" s="188"/>
      <c r="AA1697" s="188"/>
      <c r="AB1697" s="188"/>
      <c r="AC1697" s="188"/>
      <c r="AD1697" s="188"/>
      <c r="AE1697" s="188"/>
      <c r="AF1697" s="188"/>
      <c r="AG1697" s="188"/>
      <c r="AH1697" s="188"/>
      <c r="AI1697" s="188"/>
    </row>
    <row r="1698">
      <c r="A1698" s="263"/>
      <c r="B1698" s="264"/>
      <c r="C1698" s="265"/>
      <c r="D1698" s="265"/>
      <c r="E1698" s="264"/>
      <c r="F1698" s="265"/>
      <c r="G1698" s="263"/>
      <c r="H1698" s="432"/>
      <c r="I1698" s="282"/>
      <c r="J1698" s="283"/>
      <c r="K1698" s="265"/>
      <c r="L1698" s="265"/>
      <c r="M1698" s="269"/>
      <c r="N1698" s="270"/>
      <c r="O1698" s="271"/>
      <c r="P1698" s="271"/>
      <c r="Q1698" s="272"/>
      <c r="R1698" s="273"/>
      <c r="S1698" s="273"/>
      <c r="T1698" s="273"/>
      <c r="U1698" s="274"/>
      <c r="V1698" s="263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</row>
    <row r="1699">
      <c r="A1699" s="263"/>
      <c r="B1699" s="264"/>
      <c r="C1699" s="265"/>
      <c r="D1699" s="265"/>
      <c r="E1699" s="264"/>
      <c r="F1699" s="265"/>
      <c r="G1699" s="263"/>
      <c r="H1699" s="432"/>
      <c r="I1699" s="282"/>
      <c r="J1699" s="283"/>
      <c r="K1699" s="265"/>
      <c r="L1699" s="265"/>
      <c r="M1699" s="269"/>
      <c r="N1699" s="270"/>
      <c r="O1699" s="271"/>
      <c r="P1699" s="271"/>
      <c r="Q1699" s="272"/>
      <c r="R1699" s="273"/>
      <c r="S1699" s="273"/>
      <c r="T1699" s="273"/>
      <c r="U1699" s="274"/>
      <c r="V1699" s="263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</row>
    <row r="1700">
      <c r="A1700" s="263"/>
      <c r="B1700" s="264"/>
      <c r="C1700" s="265"/>
      <c r="D1700" s="265"/>
      <c r="E1700" s="264"/>
      <c r="F1700" s="265"/>
      <c r="G1700" s="263"/>
      <c r="H1700" s="432"/>
      <c r="I1700" s="282"/>
      <c r="J1700" s="283"/>
      <c r="K1700" s="265"/>
      <c r="L1700" s="265"/>
      <c r="M1700" s="269"/>
      <c r="N1700" s="270"/>
      <c r="O1700" s="271"/>
      <c r="P1700" s="271"/>
      <c r="Q1700" s="272"/>
      <c r="R1700" s="273"/>
      <c r="S1700" s="273"/>
      <c r="T1700" s="273"/>
      <c r="U1700" s="274"/>
      <c r="V1700" s="263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</row>
    <row r="1701">
      <c r="A1701" s="263"/>
      <c r="B1701" s="264"/>
      <c r="C1701" s="265"/>
      <c r="D1701" s="265"/>
      <c r="E1701" s="264"/>
      <c r="F1701" s="265"/>
      <c r="G1701" s="263"/>
      <c r="H1701" s="432"/>
      <c r="I1701" s="282"/>
      <c r="J1701" s="283"/>
      <c r="K1701" s="265"/>
      <c r="L1701" s="265"/>
      <c r="M1701" s="269"/>
      <c r="N1701" s="270"/>
      <c r="O1701" s="271"/>
      <c r="P1701" s="271"/>
      <c r="Q1701" s="272"/>
      <c r="R1701" s="273"/>
      <c r="S1701" s="273"/>
      <c r="T1701" s="273"/>
      <c r="U1701" s="274"/>
      <c r="V1701" s="263"/>
      <c r="W1701" s="188"/>
      <c r="X1701" s="188"/>
      <c r="Y1701" s="188"/>
      <c r="Z1701" s="188"/>
      <c r="AA1701" s="188"/>
      <c r="AB1701" s="188"/>
      <c r="AC1701" s="188"/>
      <c r="AD1701" s="188"/>
      <c r="AE1701" s="188"/>
      <c r="AF1701" s="188"/>
      <c r="AG1701" s="188"/>
      <c r="AH1701" s="188"/>
      <c r="AI1701" s="188"/>
    </row>
    <row r="1702">
      <c r="A1702" s="263"/>
      <c r="B1702" s="264"/>
      <c r="C1702" s="265"/>
      <c r="D1702" s="265"/>
      <c r="E1702" s="264"/>
      <c r="F1702" s="265"/>
      <c r="G1702" s="263"/>
      <c r="H1702" s="432"/>
      <c r="I1702" s="282"/>
      <c r="J1702" s="283"/>
      <c r="K1702" s="265"/>
      <c r="L1702" s="265"/>
      <c r="M1702" s="269"/>
      <c r="N1702" s="270"/>
      <c r="O1702" s="271"/>
      <c r="P1702" s="271"/>
      <c r="Q1702" s="272"/>
      <c r="R1702" s="273"/>
      <c r="S1702" s="273"/>
      <c r="T1702" s="273"/>
      <c r="U1702" s="274"/>
      <c r="V1702" s="263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</row>
    <row r="1703">
      <c r="A1703" s="263"/>
      <c r="B1703" s="264"/>
      <c r="C1703" s="265"/>
      <c r="D1703" s="265"/>
      <c r="E1703" s="264"/>
      <c r="F1703" s="265"/>
      <c r="G1703" s="263"/>
      <c r="H1703" s="432"/>
      <c r="I1703" s="282"/>
      <c r="J1703" s="283"/>
      <c r="K1703" s="265"/>
      <c r="L1703" s="265"/>
      <c r="M1703" s="269"/>
      <c r="N1703" s="270"/>
      <c r="O1703" s="271"/>
      <c r="P1703" s="271"/>
      <c r="Q1703" s="272"/>
      <c r="R1703" s="273"/>
      <c r="S1703" s="273"/>
      <c r="T1703" s="273"/>
      <c r="U1703" s="274"/>
      <c r="V1703" s="263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</row>
    <row r="1704">
      <c r="A1704" s="263"/>
      <c r="B1704" s="264"/>
      <c r="C1704" s="265"/>
      <c r="D1704" s="265"/>
      <c r="E1704" s="264"/>
      <c r="F1704" s="265"/>
      <c r="G1704" s="263"/>
      <c r="H1704" s="432"/>
      <c r="I1704" s="282"/>
      <c r="J1704" s="283"/>
      <c r="K1704" s="265"/>
      <c r="L1704" s="265"/>
      <c r="M1704" s="269"/>
      <c r="N1704" s="270"/>
      <c r="O1704" s="271"/>
      <c r="P1704" s="271"/>
      <c r="Q1704" s="272"/>
      <c r="R1704" s="273"/>
      <c r="S1704" s="273"/>
      <c r="T1704" s="273"/>
      <c r="U1704" s="274"/>
      <c r="V1704" s="263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</row>
    <row r="1705">
      <c r="A1705" s="263"/>
      <c r="B1705" s="264"/>
      <c r="C1705" s="265"/>
      <c r="D1705" s="265"/>
      <c r="E1705" s="264"/>
      <c r="F1705" s="265"/>
      <c r="G1705" s="263"/>
      <c r="H1705" s="432"/>
      <c r="I1705" s="282"/>
      <c r="J1705" s="283"/>
      <c r="K1705" s="265"/>
      <c r="L1705" s="265"/>
      <c r="M1705" s="269"/>
      <c r="N1705" s="270"/>
      <c r="O1705" s="271"/>
      <c r="P1705" s="271"/>
      <c r="Q1705" s="272"/>
      <c r="R1705" s="273"/>
      <c r="S1705" s="273"/>
      <c r="T1705" s="273"/>
      <c r="U1705" s="274"/>
      <c r="V1705" s="263"/>
      <c r="W1705" s="35"/>
      <c r="X1705" s="35"/>
      <c r="Y1705" s="35"/>
      <c r="Z1705" s="35"/>
      <c r="AA1705" s="35"/>
      <c r="AB1705" s="35"/>
      <c r="AC1705" s="35"/>
      <c r="AD1705" s="35"/>
      <c r="AE1705" s="35"/>
      <c r="AF1705" s="35"/>
      <c r="AG1705" s="35"/>
      <c r="AH1705" s="35"/>
      <c r="AI1705" s="35"/>
    </row>
    <row r="1706">
      <c r="A1706" s="263"/>
      <c r="B1706" s="264"/>
      <c r="C1706" s="265"/>
      <c r="D1706" s="265"/>
      <c r="E1706" s="264"/>
      <c r="F1706" s="265"/>
      <c r="G1706" s="263"/>
      <c r="H1706" s="432"/>
      <c r="I1706" s="282"/>
      <c r="J1706" s="283"/>
      <c r="K1706" s="265"/>
      <c r="L1706" s="265"/>
      <c r="M1706" s="269"/>
      <c r="N1706" s="270"/>
      <c r="O1706" s="271"/>
      <c r="P1706" s="271"/>
      <c r="Q1706" s="272"/>
      <c r="R1706" s="273"/>
      <c r="S1706" s="273"/>
      <c r="T1706" s="273"/>
      <c r="U1706" s="274"/>
      <c r="V1706" s="263"/>
      <c r="W1706" s="35"/>
      <c r="X1706" s="35"/>
      <c r="Y1706" s="35"/>
      <c r="Z1706" s="35"/>
      <c r="AA1706" s="35"/>
      <c r="AB1706" s="35"/>
      <c r="AC1706" s="35"/>
      <c r="AD1706" s="35"/>
      <c r="AE1706" s="35"/>
      <c r="AF1706" s="35"/>
      <c r="AG1706" s="35"/>
      <c r="AH1706" s="35"/>
      <c r="AI1706" s="35"/>
    </row>
    <row r="1707">
      <c r="A1707" s="263"/>
      <c r="B1707" s="264"/>
      <c r="C1707" s="265"/>
      <c r="D1707" s="265"/>
      <c r="E1707" s="264"/>
      <c r="F1707" s="265"/>
      <c r="G1707" s="263"/>
      <c r="H1707" s="432"/>
      <c r="I1707" s="282"/>
      <c r="J1707" s="283"/>
      <c r="K1707" s="265"/>
      <c r="L1707" s="265"/>
      <c r="M1707" s="269"/>
      <c r="N1707" s="270"/>
      <c r="O1707" s="271"/>
      <c r="P1707" s="271"/>
      <c r="Q1707" s="272"/>
      <c r="R1707" s="273"/>
      <c r="S1707" s="273"/>
      <c r="T1707" s="273"/>
      <c r="U1707" s="274"/>
      <c r="V1707" s="263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</row>
    <row r="1708">
      <c r="A1708" s="263"/>
      <c r="B1708" s="264"/>
      <c r="C1708" s="265"/>
      <c r="D1708" s="265"/>
      <c r="E1708" s="264"/>
      <c r="F1708" s="265"/>
      <c r="G1708" s="263"/>
      <c r="H1708" s="432"/>
      <c r="I1708" s="282"/>
      <c r="J1708" s="283"/>
      <c r="K1708" s="265"/>
      <c r="L1708" s="265"/>
      <c r="M1708" s="269"/>
      <c r="N1708" s="270"/>
      <c r="O1708" s="271"/>
      <c r="P1708" s="271"/>
      <c r="Q1708" s="272"/>
      <c r="R1708" s="273"/>
      <c r="S1708" s="273"/>
      <c r="T1708" s="273"/>
      <c r="U1708" s="274"/>
      <c r="V1708" s="263"/>
      <c r="W1708" s="36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</row>
    <row r="1709">
      <c r="A1709" s="263"/>
      <c r="B1709" s="264"/>
      <c r="C1709" s="265"/>
      <c r="D1709" s="265"/>
      <c r="E1709" s="264"/>
      <c r="F1709" s="265"/>
      <c r="G1709" s="263"/>
      <c r="H1709" s="432"/>
      <c r="I1709" s="282"/>
      <c r="J1709" s="283"/>
      <c r="K1709" s="265"/>
      <c r="L1709" s="265"/>
      <c r="M1709" s="269"/>
      <c r="N1709" s="270"/>
      <c r="O1709" s="271"/>
      <c r="P1709" s="271"/>
      <c r="Q1709" s="272"/>
      <c r="R1709" s="273"/>
      <c r="S1709" s="273"/>
      <c r="T1709" s="273"/>
      <c r="U1709" s="274"/>
      <c r="V1709" s="263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</row>
    <row r="1710">
      <c r="A1710" s="263"/>
      <c r="B1710" s="264"/>
      <c r="C1710" s="265"/>
      <c r="D1710" s="265"/>
      <c r="E1710" s="264"/>
      <c r="F1710" s="265"/>
      <c r="G1710" s="263"/>
      <c r="H1710" s="432"/>
      <c r="I1710" s="282"/>
      <c r="J1710" s="283"/>
      <c r="K1710" s="265"/>
      <c r="L1710" s="265"/>
      <c r="M1710" s="269"/>
      <c r="N1710" s="270"/>
      <c r="O1710" s="271"/>
      <c r="P1710" s="271"/>
      <c r="Q1710" s="272"/>
      <c r="R1710" s="273"/>
      <c r="S1710" s="273"/>
      <c r="T1710" s="273"/>
      <c r="U1710" s="274"/>
      <c r="V1710" s="263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</row>
    <row r="1711">
      <c r="A1711" s="263"/>
      <c r="B1711" s="264"/>
      <c r="C1711" s="265"/>
      <c r="D1711" s="265"/>
      <c r="E1711" s="264"/>
      <c r="F1711" s="265"/>
      <c r="G1711" s="263"/>
      <c r="H1711" s="432"/>
      <c r="I1711" s="282"/>
      <c r="J1711" s="283"/>
      <c r="K1711" s="265"/>
      <c r="L1711" s="265"/>
      <c r="M1711" s="269"/>
      <c r="N1711" s="270"/>
      <c r="O1711" s="271"/>
      <c r="P1711" s="271"/>
      <c r="Q1711" s="272"/>
      <c r="R1711" s="273"/>
      <c r="S1711" s="273"/>
      <c r="T1711" s="273"/>
      <c r="U1711" s="274"/>
      <c r="V1711" s="263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</row>
    <row r="1712">
      <c r="A1712" s="263"/>
      <c r="B1712" s="264"/>
      <c r="C1712" s="265"/>
      <c r="D1712" s="265"/>
      <c r="E1712" s="264"/>
      <c r="F1712" s="265"/>
      <c r="G1712" s="263"/>
      <c r="H1712" s="432"/>
      <c r="I1712" s="282"/>
      <c r="J1712" s="283"/>
      <c r="K1712" s="265"/>
      <c r="L1712" s="265"/>
      <c r="M1712" s="269"/>
      <c r="N1712" s="270"/>
      <c r="O1712" s="271"/>
      <c r="P1712" s="271"/>
      <c r="Q1712" s="272"/>
      <c r="R1712" s="273"/>
      <c r="S1712" s="273"/>
      <c r="T1712" s="273"/>
      <c r="U1712" s="274"/>
      <c r="V1712" s="263"/>
      <c r="W1712" s="188"/>
      <c r="X1712" s="188"/>
      <c r="Y1712" s="188"/>
      <c r="Z1712" s="188"/>
      <c r="AA1712" s="188"/>
      <c r="AB1712" s="188"/>
      <c r="AC1712" s="188"/>
      <c r="AD1712" s="188"/>
      <c r="AE1712" s="188"/>
      <c r="AF1712" s="188"/>
      <c r="AG1712" s="188"/>
      <c r="AH1712" s="188"/>
      <c r="AI1712" s="188"/>
    </row>
    <row r="1713">
      <c r="A1713" s="263"/>
      <c r="B1713" s="264"/>
      <c r="C1713" s="265"/>
      <c r="D1713" s="265"/>
      <c r="E1713" s="264"/>
      <c r="F1713" s="265"/>
      <c r="G1713" s="263"/>
      <c r="H1713" s="432"/>
      <c r="I1713" s="282"/>
      <c r="J1713" s="283"/>
      <c r="K1713" s="265"/>
      <c r="L1713" s="265"/>
      <c r="M1713" s="269"/>
      <c r="N1713" s="270"/>
      <c r="O1713" s="271"/>
      <c r="P1713" s="271"/>
      <c r="Q1713" s="272"/>
      <c r="R1713" s="273"/>
      <c r="S1713" s="273"/>
      <c r="T1713" s="260"/>
      <c r="U1713" s="261"/>
      <c r="V1713" s="251"/>
      <c r="W1713" s="36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</row>
    <row r="1714">
      <c r="A1714" s="263"/>
      <c r="B1714" s="264"/>
      <c r="C1714" s="265"/>
      <c r="D1714" s="265"/>
      <c r="E1714" s="264"/>
      <c r="F1714" s="265"/>
      <c r="G1714" s="263"/>
      <c r="H1714" s="432"/>
      <c r="I1714" s="282"/>
      <c r="J1714" s="283"/>
      <c r="K1714" s="265"/>
      <c r="L1714" s="265"/>
      <c r="M1714" s="269"/>
      <c r="N1714" s="270"/>
      <c r="O1714" s="271"/>
      <c r="P1714" s="271"/>
      <c r="Q1714" s="272"/>
      <c r="R1714" s="273"/>
      <c r="S1714" s="273"/>
      <c r="T1714" s="273"/>
      <c r="U1714" s="274"/>
      <c r="V1714" s="263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</row>
    <row r="1715">
      <c r="A1715" s="263"/>
      <c r="B1715" s="264"/>
      <c r="C1715" s="265"/>
      <c r="D1715" s="265"/>
      <c r="E1715" s="264"/>
      <c r="F1715" s="265"/>
      <c r="G1715" s="263"/>
      <c r="H1715" s="432"/>
      <c r="I1715" s="282"/>
      <c r="J1715" s="283"/>
      <c r="K1715" s="265"/>
      <c r="L1715" s="265"/>
      <c r="M1715" s="269"/>
      <c r="N1715" s="270"/>
      <c r="O1715" s="271"/>
      <c r="P1715" s="271"/>
      <c r="Q1715" s="272"/>
      <c r="R1715" s="273"/>
      <c r="S1715" s="273"/>
      <c r="T1715" s="273"/>
      <c r="U1715" s="274"/>
      <c r="V1715" s="263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</row>
    <row r="1716">
      <c r="A1716" s="263"/>
      <c r="B1716" s="264"/>
      <c r="C1716" s="265"/>
      <c r="D1716" s="265"/>
      <c r="E1716" s="264"/>
      <c r="F1716" s="265"/>
      <c r="G1716" s="263"/>
      <c r="H1716" s="432"/>
      <c r="I1716" s="282"/>
      <c r="J1716" s="283"/>
      <c r="K1716" s="265"/>
      <c r="L1716" s="265"/>
      <c r="M1716" s="269"/>
      <c r="N1716" s="270"/>
      <c r="O1716" s="271"/>
      <c r="P1716" s="271"/>
      <c r="Q1716" s="272"/>
      <c r="R1716" s="273"/>
      <c r="S1716" s="273"/>
      <c r="T1716" s="273"/>
      <c r="U1716" s="274"/>
      <c r="V1716" s="263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</row>
    <row r="1717">
      <c r="A1717" s="263"/>
      <c r="B1717" s="264"/>
      <c r="C1717" s="265"/>
      <c r="D1717" s="265"/>
      <c r="E1717" s="264"/>
      <c r="F1717" s="265"/>
      <c r="G1717" s="263"/>
      <c r="H1717" s="432"/>
      <c r="I1717" s="282"/>
      <c r="J1717" s="283"/>
      <c r="K1717" s="265"/>
      <c r="L1717" s="265"/>
      <c r="M1717" s="269"/>
      <c r="N1717" s="270"/>
      <c r="O1717" s="271"/>
      <c r="P1717" s="271"/>
      <c r="Q1717" s="272"/>
      <c r="R1717" s="273"/>
      <c r="S1717" s="273"/>
      <c r="T1717" s="273"/>
      <c r="U1717" s="274"/>
      <c r="V1717" s="263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</row>
    <row r="1718">
      <c r="A1718" s="263"/>
      <c r="B1718" s="264"/>
      <c r="C1718" s="265"/>
      <c r="D1718" s="265"/>
      <c r="E1718" s="264"/>
      <c r="F1718" s="265"/>
      <c r="G1718" s="263"/>
      <c r="H1718" s="432"/>
      <c r="I1718" s="282"/>
      <c r="J1718" s="283"/>
      <c r="K1718" s="265"/>
      <c r="L1718" s="265"/>
      <c r="M1718" s="269"/>
      <c r="N1718" s="270"/>
      <c r="O1718" s="271"/>
      <c r="P1718" s="271"/>
      <c r="Q1718" s="272"/>
      <c r="R1718" s="273"/>
      <c r="S1718" s="273"/>
      <c r="T1718" s="273"/>
      <c r="U1718" s="274"/>
      <c r="V1718" s="263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</row>
    <row r="1719">
      <c r="A1719" s="263"/>
      <c r="B1719" s="264"/>
      <c r="C1719" s="265"/>
      <c r="D1719" s="265"/>
      <c r="E1719" s="264"/>
      <c r="F1719" s="265"/>
      <c r="G1719" s="263"/>
      <c r="H1719" s="432"/>
      <c r="I1719" s="282"/>
      <c r="J1719" s="283"/>
      <c r="K1719" s="265"/>
      <c r="L1719" s="265"/>
      <c r="M1719" s="269"/>
      <c r="N1719" s="270"/>
      <c r="O1719" s="271"/>
      <c r="P1719" s="271"/>
      <c r="Q1719" s="272"/>
      <c r="R1719" s="273"/>
      <c r="S1719" s="273"/>
      <c r="T1719" s="273"/>
      <c r="U1719" s="274"/>
      <c r="V1719" s="263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</row>
    <row r="1720">
      <c r="A1720" s="263"/>
      <c r="B1720" s="264"/>
      <c r="C1720" s="265"/>
      <c r="D1720" s="265"/>
      <c r="E1720" s="264"/>
      <c r="F1720" s="265"/>
      <c r="G1720" s="263"/>
      <c r="H1720" s="432"/>
      <c r="I1720" s="282"/>
      <c r="J1720" s="283"/>
      <c r="K1720" s="265"/>
      <c r="L1720" s="265"/>
      <c r="M1720" s="269"/>
      <c r="N1720" s="270"/>
      <c r="O1720" s="271"/>
      <c r="P1720" s="271"/>
      <c r="Q1720" s="272"/>
      <c r="R1720" s="273"/>
      <c r="S1720" s="273"/>
      <c r="T1720" s="273"/>
      <c r="U1720" s="274"/>
      <c r="V1720" s="263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</row>
    <row r="1721">
      <c r="A1721" s="263"/>
      <c r="B1721" s="264"/>
      <c r="C1721" s="265"/>
      <c r="D1721" s="265"/>
      <c r="E1721" s="264"/>
      <c r="F1721" s="265"/>
      <c r="G1721" s="263"/>
      <c r="H1721" s="432"/>
      <c r="I1721" s="282"/>
      <c r="J1721" s="283"/>
      <c r="K1721" s="265"/>
      <c r="L1721" s="265"/>
      <c r="M1721" s="269"/>
      <c r="N1721" s="270"/>
      <c r="O1721" s="271"/>
      <c r="P1721" s="271"/>
      <c r="Q1721" s="272"/>
      <c r="R1721" s="273"/>
      <c r="S1721" s="273"/>
      <c r="T1721" s="273"/>
      <c r="U1721" s="274"/>
      <c r="V1721" s="263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</row>
    <row r="1722">
      <c r="A1722" s="263"/>
      <c r="B1722" s="264"/>
      <c r="C1722" s="265"/>
      <c r="D1722" s="265"/>
      <c r="E1722" s="264"/>
      <c r="F1722" s="265"/>
      <c r="G1722" s="263"/>
      <c r="H1722" s="432"/>
      <c r="I1722" s="282"/>
      <c r="J1722" s="283"/>
      <c r="K1722" s="265"/>
      <c r="L1722" s="265"/>
      <c r="M1722" s="269"/>
      <c r="N1722" s="270"/>
      <c r="O1722" s="271"/>
      <c r="P1722" s="271"/>
      <c r="Q1722" s="272"/>
      <c r="R1722" s="273"/>
      <c r="S1722" s="273"/>
      <c r="T1722" s="273"/>
      <c r="U1722" s="274"/>
      <c r="V1722" s="263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</row>
    <row r="1723">
      <c r="A1723" s="263"/>
      <c r="B1723" s="264"/>
      <c r="C1723" s="265"/>
      <c r="D1723" s="265"/>
      <c r="E1723" s="264"/>
      <c r="F1723" s="265"/>
      <c r="G1723" s="263"/>
      <c r="H1723" s="432"/>
      <c r="I1723" s="282"/>
      <c r="J1723" s="283"/>
      <c r="K1723" s="265"/>
      <c r="L1723" s="265"/>
      <c r="M1723" s="269"/>
      <c r="N1723" s="270"/>
      <c r="O1723" s="271"/>
      <c r="P1723" s="271"/>
      <c r="Q1723" s="272"/>
      <c r="R1723" s="273"/>
      <c r="S1723" s="273"/>
      <c r="T1723" s="273"/>
      <c r="U1723" s="274"/>
      <c r="V1723" s="263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</row>
    <row r="1724">
      <c r="A1724" s="263"/>
      <c r="B1724" s="264"/>
      <c r="C1724" s="265"/>
      <c r="D1724" s="265"/>
      <c r="E1724" s="264"/>
      <c r="F1724" s="265"/>
      <c r="G1724" s="263"/>
      <c r="H1724" s="432"/>
      <c r="I1724" s="282"/>
      <c r="J1724" s="283"/>
      <c r="K1724" s="265"/>
      <c r="L1724" s="265"/>
      <c r="M1724" s="269"/>
      <c r="N1724" s="270"/>
      <c r="O1724" s="271"/>
      <c r="P1724" s="271"/>
      <c r="Q1724" s="272"/>
      <c r="R1724" s="273"/>
      <c r="S1724" s="273"/>
      <c r="T1724" s="273"/>
      <c r="U1724" s="274"/>
      <c r="V1724" s="263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</row>
    <row r="1725">
      <c r="A1725" s="263"/>
      <c r="B1725" s="264"/>
      <c r="C1725" s="265"/>
      <c r="D1725" s="265"/>
      <c r="E1725" s="264"/>
      <c r="F1725" s="265"/>
      <c r="G1725" s="263"/>
      <c r="H1725" s="432"/>
      <c r="I1725" s="282"/>
      <c r="J1725" s="283"/>
      <c r="K1725" s="265"/>
      <c r="L1725" s="265"/>
      <c r="M1725" s="269"/>
      <c r="N1725" s="270"/>
      <c r="O1725" s="271"/>
      <c r="P1725" s="271"/>
      <c r="Q1725" s="272"/>
      <c r="R1725" s="273"/>
      <c r="S1725" s="273"/>
      <c r="T1725" s="273"/>
      <c r="U1725" s="274"/>
      <c r="V1725" s="263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</row>
    <row r="1726">
      <c r="A1726" s="263"/>
      <c r="B1726" s="264"/>
      <c r="C1726" s="265"/>
      <c r="D1726" s="265"/>
      <c r="E1726" s="264"/>
      <c r="F1726" s="265"/>
      <c r="G1726" s="263"/>
      <c r="H1726" s="432"/>
      <c r="I1726" s="282"/>
      <c r="J1726" s="283"/>
      <c r="K1726" s="265"/>
      <c r="L1726" s="265"/>
      <c r="M1726" s="269"/>
      <c r="N1726" s="270"/>
      <c r="O1726" s="271"/>
      <c r="P1726" s="271"/>
      <c r="Q1726" s="272"/>
      <c r="R1726" s="273"/>
      <c r="S1726" s="273"/>
      <c r="T1726" s="273"/>
      <c r="U1726" s="274"/>
      <c r="V1726" s="263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</row>
    <row r="1727">
      <c r="A1727" s="263"/>
      <c r="B1727" s="264"/>
      <c r="C1727" s="265"/>
      <c r="D1727" s="265"/>
      <c r="E1727" s="264"/>
      <c r="F1727" s="265"/>
      <c r="G1727" s="263"/>
      <c r="H1727" s="432"/>
      <c r="I1727" s="282"/>
      <c r="J1727" s="283"/>
      <c r="K1727" s="265"/>
      <c r="L1727" s="265"/>
      <c r="M1727" s="269"/>
      <c r="N1727" s="270"/>
      <c r="O1727" s="271"/>
      <c r="P1727" s="271"/>
      <c r="Q1727" s="272"/>
      <c r="R1727" s="273"/>
      <c r="S1727" s="273"/>
      <c r="T1727" s="273"/>
      <c r="U1727" s="274"/>
      <c r="V1727" s="263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</row>
    <row r="1728">
      <c r="A1728" s="263"/>
      <c r="B1728" s="264"/>
      <c r="C1728" s="265"/>
      <c r="D1728" s="265"/>
      <c r="E1728" s="264"/>
      <c r="F1728" s="265"/>
      <c r="G1728" s="263"/>
      <c r="H1728" s="432"/>
      <c r="I1728" s="282"/>
      <c r="J1728" s="283"/>
      <c r="K1728" s="265"/>
      <c r="L1728" s="265"/>
      <c r="M1728" s="269"/>
      <c r="N1728" s="270"/>
      <c r="O1728" s="271"/>
      <c r="P1728" s="271"/>
      <c r="Q1728" s="272"/>
      <c r="R1728" s="273"/>
      <c r="S1728" s="273"/>
      <c r="T1728" s="273"/>
      <c r="U1728" s="274"/>
      <c r="V1728" s="263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</row>
    <row r="1729">
      <c r="A1729" s="263"/>
      <c r="B1729" s="264"/>
      <c r="C1729" s="265"/>
      <c r="D1729" s="265"/>
      <c r="E1729" s="264"/>
      <c r="F1729" s="265"/>
      <c r="G1729" s="263"/>
      <c r="H1729" s="432"/>
      <c r="I1729" s="282"/>
      <c r="J1729" s="283"/>
      <c r="K1729" s="265"/>
      <c r="L1729" s="265"/>
      <c r="M1729" s="269"/>
      <c r="N1729" s="270"/>
      <c r="O1729" s="271"/>
      <c r="P1729" s="271"/>
      <c r="Q1729" s="272"/>
      <c r="R1729" s="273"/>
      <c r="S1729" s="273"/>
      <c r="T1729" s="273"/>
      <c r="U1729" s="274"/>
      <c r="V1729" s="263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</row>
    <row r="1730">
      <c r="A1730" s="263"/>
      <c r="B1730" s="264"/>
      <c r="C1730" s="265"/>
      <c r="D1730" s="265"/>
      <c r="E1730" s="264"/>
      <c r="F1730" s="265"/>
      <c r="G1730" s="263"/>
      <c r="H1730" s="432"/>
      <c r="I1730" s="282"/>
      <c r="J1730" s="283"/>
      <c r="K1730" s="265"/>
      <c r="L1730" s="265"/>
      <c r="M1730" s="269"/>
      <c r="N1730" s="270"/>
      <c r="O1730" s="271"/>
      <c r="P1730" s="271"/>
      <c r="Q1730" s="272"/>
      <c r="R1730" s="273"/>
      <c r="S1730" s="273"/>
      <c r="T1730" s="273"/>
      <c r="U1730" s="274"/>
      <c r="V1730" s="263"/>
      <c r="W1730" s="35"/>
      <c r="X1730" s="35"/>
      <c r="Y1730" s="35"/>
      <c r="Z1730" s="35"/>
      <c r="AA1730" s="35"/>
      <c r="AB1730" s="35"/>
      <c r="AC1730" s="35"/>
      <c r="AD1730" s="35"/>
      <c r="AE1730" s="35"/>
      <c r="AF1730" s="35"/>
      <c r="AG1730" s="35"/>
      <c r="AH1730" s="35"/>
      <c r="AI1730" s="35"/>
    </row>
    <row r="1731">
      <c r="A1731" s="263"/>
      <c r="B1731" s="264"/>
      <c r="C1731" s="265"/>
      <c r="D1731" s="265"/>
      <c r="E1731" s="264"/>
      <c r="F1731" s="265"/>
      <c r="G1731" s="263"/>
      <c r="H1731" s="432"/>
      <c r="I1731" s="282"/>
      <c r="J1731" s="283"/>
      <c r="K1731" s="265"/>
      <c r="L1731" s="265"/>
      <c r="M1731" s="269"/>
      <c r="N1731" s="270"/>
      <c r="O1731" s="271"/>
      <c r="P1731" s="271"/>
      <c r="Q1731" s="272"/>
      <c r="R1731" s="273"/>
      <c r="S1731" s="273"/>
      <c r="T1731" s="273"/>
      <c r="U1731" s="274"/>
      <c r="V1731" s="263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</row>
    <row r="1732">
      <c r="A1732" s="263"/>
      <c r="B1732" s="264"/>
      <c r="C1732" s="265"/>
      <c r="D1732" s="265"/>
      <c r="E1732" s="264"/>
      <c r="F1732" s="265"/>
      <c r="G1732" s="263"/>
      <c r="H1732" s="432"/>
      <c r="I1732" s="282"/>
      <c r="J1732" s="283"/>
      <c r="K1732" s="265"/>
      <c r="L1732" s="265"/>
      <c r="M1732" s="269"/>
      <c r="N1732" s="270"/>
      <c r="O1732" s="271"/>
      <c r="P1732" s="271"/>
      <c r="Q1732" s="272"/>
      <c r="R1732" s="273"/>
      <c r="S1732" s="273"/>
      <c r="T1732" s="273"/>
      <c r="U1732" s="274"/>
      <c r="V1732" s="263"/>
      <c r="W1732" s="35"/>
      <c r="X1732" s="35"/>
      <c r="Y1732" s="35"/>
      <c r="Z1732" s="35"/>
      <c r="AA1732" s="35"/>
      <c r="AB1732" s="35"/>
      <c r="AC1732" s="35"/>
      <c r="AD1732" s="35"/>
      <c r="AE1732" s="35"/>
      <c r="AF1732" s="35"/>
      <c r="AG1732" s="35"/>
      <c r="AH1732" s="35"/>
      <c r="AI1732" s="35"/>
    </row>
    <row r="1733">
      <c r="A1733" s="263"/>
      <c r="B1733" s="264"/>
      <c r="C1733" s="265"/>
      <c r="D1733" s="265"/>
      <c r="E1733" s="264"/>
      <c r="F1733" s="265"/>
      <c r="G1733" s="263"/>
      <c r="H1733" s="432"/>
      <c r="I1733" s="282"/>
      <c r="J1733" s="283"/>
      <c r="K1733" s="265"/>
      <c r="L1733" s="265"/>
      <c r="M1733" s="269"/>
      <c r="N1733" s="270"/>
      <c r="O1733" s="271"/>
      <c r="P1733" s="271"/>
      <c r="Q1733" s="272"/>
      <c r="R1733" s="273"/>
      <c r="S1733" s="273"/>
      <c r="T1733" s="273"/>
      <c r="U1733" s="274"/>
      <c r="V1733" s="263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</row>
    <row r="1734">
      <c r="A1734" s="263"/>
      <c r="B1734" s="264"/>
      <c r="C1734" s="265"/>
      <c r="D1734" s="265"/>
      <c r="E1734" s="264"/>
      <c r="F1734" s="265"/>
      <c r="G1734" s="263"/>
      <c r="H1734" s="432"/>
      <c r="I1734" s="282"/>
      <c r="J1734" s="283"/>
      <c r="K1734" s="265"/>
      <c r="L1734" s="265"/>
      <c r="M1734" s="269"/>
      <c r="N1734" s="270"/>
      <c r="O1734" s="271"/>
      <c r="P1734" s="271"/>
      <c r="Q1734" s="272"/>
      <c r="R1734" s="273"/>
      <c r="S1734" s="273"/>
      <c r="T1734" s="273"/>
      <c r="U1734" s="274"/>
      <c r="V1734" s="263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</row>
    <row r="1735">
      <c r="A1735" s="263"/>
      <c r="B1735" s="264"/>
      <c r="C1735" s="265"/>
      <c r="D1735" s="265"/>
      <c r="E1735" s="264"/>
      <c r="F1735" s="265"/>
      <c r="G1735" s="263"/>
      <c r="H1735" s="432"/>
      <c r="I1735" s="282"/>
      <c r="J1735" s="283"/>
      <c r="K1735" s="265"/>
      <c r="L1735" s="265"/>
      <c r="M1735" s="269"/>
      <c r="N1735" s="270"/>
      <c r="O1735" s="271"/>
      <c r="P1735" s="271"/>
      <c r="Q1735" s="272"/>
      <c r="R1735" s="273"/>
      <c r="S1735" s="273"/>
      <c r="T1735" s="273"/>
      <c r="U1735" s="274"/>
      <c r="V1735" s="263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</row>
    <row r="1736">
      <c r="A1736" s="263"/>
      <c r="B1736" s="264"/>
      <c r="C1736" s="265"/>
      <c r="D1736" s="265"/>
      <c r="E1736" s="264"/>
      <c r="F1736" s="265"/>
      <c r="G1736" s="263"/>
      <c r="H1736" s="432"/>
      <c r="I1736" s="282"/>
      <c r="J1736" s="283"/>
      <c r="K1736" s="265"/>
      <c r="L1736" s="265"/>
      <c r="M1736" s="269"/>
      <c r="N1736" s="270"/>
      <c r="O1736" s="271"/>
      <c r="P1736" s="271"/>
      <c r="Q1736" s="272"/>
      <c r="R1736" s="273"/>
      <c r="S1736" s="273"/>
      <c r="T1736" s="273"/>
      <c r="U1736" s="274"/>
      <c r="V1736" s="263"/>
      <c r="W1736" s="36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</row>
    <row r="1737">
      <c r="A1737" s="263"/>
      <c r="B1737" s="264"/>
      <c r="C1737" s="265"/>
      <c r="D1737" s="265"/>
      <c r="E1737" s="264"/>
      <c r="F1737" s="265"/>
      <c r="G1737" s="263"/>
      <c r="H1737" s="432"/>
      <c r="I1737" s="282"/>
      <c r="J1737" s="283"/>
      <c r="K1737" s="265"/>
      <c r="L1737" s="265"/>
      <c r="M1737" s="269"/>
      <c r="N1737" s="270"/>
      <c r="O1737" s="271"/>
      <c r="P1737" s="271"/>
      <c r="Q1737" s="272"/>
      <c r="R1737" s="273"/>
      <c r="S1737" s="273"/>
      <c r="T1737" s="273"/>
      <c r="U1737" s="274"/>
      <c r="V1737" s="263"/>
      <c r="W1737" s="188"/>
      <c r="X1737" s="188"/>
      <c r="Y1737" s="188"/>
      <c r="Z1737" s="188"/>
      <c r="AA1737" s="188"/>
      <c r="AB1737" s="188"/>
      <c r="AC1737" s="188"/>
      <c r="AD1737" s="188"/>
      <c r="AE1737" s="188"/>
      <c r="AF1737" s="188"/>
      <c r="AG1737" s="188"/>
      <c r="AH1737" s="188"/>
      <c r="AI1737" s="188"/>
    </row>
    <row r="1738">
      <c r="A1738" s="263"/>
      <c r="B1738" s="264"/>
      <c r="C1738" s="265"/>
      <c r="D1738" s="265"/>
      <c r="E1738" s="264"/>
      <c r="F1738" s="265"/>
      <c r="G1738" s="263"/>
      <c r="H1738" s="432"/>
      <c r="I1738" s="282"/>
      <c r="J1738" s="283"/>
      <c r="K1738" s="265"/>
      <c r="L1738" s="265"/>
      <c r="M1738" s="269"/>
      <c r="N1738" s="270"/>
      <c r="O1738" s="271"/>
      <c r="P1738" s="271"/>
      <c r="Q1738" s="272"/>
      <c r="R1738" s="273"/>
      <c r="S1738" s="273"/>
      <c r="T1738" s="273"/>
      <c r="U1738" s="274"/>
      <c r="V1738" s="263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</row>
    <row r="1739">
      <c r="A1739" s="263"/>
      <c r="B1739" s="264"/>
      <c r="C1739" s="265"/>
      <c r="D1739" s="265"/>
      <c r="E1739" s="264"/>
      <c r="F1739" s="265"/>
      <c r="G1739" s="263"/>
      <c r="H1739" s="432"/>
      <c r="I1739" s="282"/>
      <c r="J1739" s="283"/>
      <c r="K1739" s="265"/>
      <c r="L1739" s="265"/>
      <c r="M1739" s="269"/>
      <c r="N1739" s="270"/>
      <c r="O1739" s="271"/>
      <c r="P1739" s="271"/>
      <c r="Q1739" s="272"/>
      <c r="R1739" s="273"/>
      <c r="S1739" s="273"/>
      <c r="T1739" s="273"/>
      <c r="U1739" s="274"/>
      <c r="V1739" s="263"/>
      <c r="W1739" s="35"/>
      <c r="X1739" s="35"/>
      <c r="Y1739" s="35"/>
      <c r="Z1739" s="35"/>
      <c r="AA1739" s="35"/>
      <c r="AB1739" s="35"/>
      <c r="AC1739" s="35"/>
      <c r="AD1739" s="35"/>
      <c r="AE1739" s="35"/>
      <c r="AF1739" s="35"/>
      <c r="AG1739" s="35"/>
      <c r="AH1739" s="35"/>
      <c r="AI1739" s="35"/>
    </row>
    <row r="1740">
      <c r="A1740" s="263"/>
      <c r="B1740" s="264"/>
      <c r="C1740" s="265"/>
      <c r="D1740" s="265"/>
      <c r="E1740" s="264"/>
      <c r="F1740" s="265"/>
      <c r="G1740" s="263"/>
      <c r="H1740" s="432"/>
      <c r="I1740" s="282"/>
      <c r="J1740" s="283"/>
      <c r="K1740" s="265"/>
      <c r="L1740" s="265"/>
      <c r="M1740" s="269"/>
      <c r="N1740" s="270"/>
      <c r="O1740" s="271"/>
      <c r="P1740" s="271"/>
      <c r="Q1740" s="272"/>
      <c r="R1740" s="273"/>
      <c r="S1740" s="273"/>
      <c r="T1740" s="273"/>
      <c r="U1740" s="274"/>
      <c r="V1740" s="263"/>
      <c r="W1740" s="35"/>
      <c r="X1740" s="35"/>
      <c r="Y1740" s="35"/>
      <c r="Z1740" s="35"/>
      <c r="AA1740" s="35"/>
      <c r="AB1740" s="35"/>
      <c r="AC1740" s="35"/>
      <c r="AD1740" s="35"/>
      <c r="AE1740" s="35"/>
      <c r="AF1740" s="35"/>
      <c r="AG1740" s="35"/>
      <c r="AH1740" s="35"/>
      <c r="AI1740" s="35"/>
    </row>
    <row r="1741">
      <c r="A1741" s="263"/>
      <c r="B1741" s="264"/>
      <c r="C1741" s="265"/>
      <c r="D1741" s="265"/>
      <c r="E1741" s="264"/>
      <c r="F1741" s="265"/>
      <c r="G1741" s="263"/>
      <c r="H1741" s="432"/>
      <c r="I1741" s="282"/>
      <c r="J1741" s="283"/>
      <c r="K1741" s="265"/>
      <c r="L1741" s="265"/>
      <c r="M1741" s="269"/>
      <c r="N1741" s="270"/>
      <c r="O1741" s="271"/>
      <c r="P1741" s="271"/>
      <c r="Q1741" s="272"/>
      <c r="R1741" s="273"/>
      <c r="S1741" s="273"/>
      <c r="T1741" s="273"/>
      <c r="U1741" s="274"/>
      <c r="V1741" s="263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</row>
    <row r="1742">
      <c r="A1742" s="263"/>
      <c r="B1742" s="264"/>
      <c r="C1742" s="265"/>
      <c r="D1742" s="265"/>
      <c r="E1742" s="264"/>
      <c r="F1742" s="265"/>
      <c r="G1742" s="263"/>
      <c r="H1742" s="432"/>
      <c r="I1742" s="282"/>
      <c r="J1742" s="283"/>
      <c r="K1742" s="265"/>
      <c r="L1742" s="265"/>
      <c r="M1742" s="269"/>
      <c r="N1742" s="270"/>
      <c r="O1742" s="271"/>
      <c r="P1742" s="271"/>
      <c r="Q1742" s="272"/>
      <c r="R1742" s="273"/>
      <c r="S1742" s="273"/>
      <c r="T1742" s="273"/>
      <c r="U1742" s="274"/>
      <c r="V1742" s="263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</row>
    <row r="1743">
      <c r="A1743" s="263"/>
      <c r="B1743" s="264"/>
      <c r="C1743" s="265"/>
      <c r="D1743" s="265"/>
      <c r="E1743" s="264"/>
      <c r="F1743" s="265"/>
      <c r="G1743" s="263"/>
      <c r="H1743" s="432"/>
      <c r="I1743" s="282"/>
      <c r="J1743" s="283"/>
      <c r="K1743" s="265"/>
      <c r="L1743" s="265"/>
      <c r="M1743" s="269"/>
      <c r="N1743" s="270"/>
      <c r="O1743" s="271"/>
      <c r="P1743" s="271"/>
      <c r="Q1743" s="272"/>
      <c r="R1743" s="273"/>
      <c r="S1743" s="273"/>
      <c r="T1743" s="273"/>
      <c r="U1743" s="274"/>
      <c r="V1743" s="263"/>
      <c r="W1743" s="35"/>
      <c r="X1743" s="35"/>
      <c r="Y1743" s="35"/>
      <c r="Z1743" s="35"/>
      <c r="AA1743" s="35"/>
      <c r="AB1743" s="35"/>
      <c r="AC1743" s="35"/>
      <c r="AD1743" s="35"/>
      <c r="AE1743" s="35"/>
      <c r="AF1743" s="35"/>
      <c r="AG1743" s="35"/>
      <c r="AH1743" s="35"/>
      <c r="AI1743" s="35"/>
    </row>
    <row r="1744">
      <c r="A1744" s="263"/>
      <c r="B1744" s="264"/>
      <c r="C1744" s="265"/>
      <c r="D1744" s="265"/>
      <c r="E1744" s="264"/>
      <c r="F1744" s="265"/>
      <c r="G1744" s="263"/>
      <c r="H1744" s="432"/>
      <c r="I1744" s="282"/>
      <c r="J1744" s="283"/>
      <c r="K1744" s="265"/>
      <c r="L1744" s="265"/>
      <c r="M1744" s="269"/>
      <c r="N1744" s="270"/>
      <c r="O1744" s="271"/>
      <c r="P1744" s="271"/>
      <c r="Q1744" s="272"/>
      <c r="R1744" s="273"/>
      <c r="S1744" s="273"/>
      <c r="T1744" s="273"/>
      <c r="U1744" s="274"/>
      <c r="V1744" s="263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</row>
    <row r="1745">
      <c r="A1745" s="263"/>
      <c r="B1745" s="264"/>
      <c r="C1745" s="265"/>
      <c r="D1745" s="265"/>
      <c r="E1745" s="264"/>
      <c r="F1745" s="265"/>
      <c r="G1745" s="263"/>
      <c r="H1745" s="432"/>
      <c r="I1745" s="282"/>
      <c r="J1745" s="283"/>
      <c r="K1745" s="265"/>
      <c r="L1745" s="265"/>
      <c r="M1745" s="269"/>
      <c r="N1745" s="270"/>
      <c r="O1745" s="271"/>
      <c r="P1745" s="271"/>
      <c r="Q1745" s="272"/>
      <c r="R1745" s="273"/>
      <c r="S1745" s="273"/>
      <c r="T1745" s="273"/>
      <c r="U1745" s="274"/>
      <c r="V1745" s="263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</row>
    <row r="1746">
      <c r="A1746" s="263"/>
      <c r="B1746" s="264"/>
      <c r="C1746" s="265"/>
      <c r="D1746" s="265"/>
      <c r="E1746" s="264"/>
      <c r="F1746" s="265"/>
      <c r="G1746" s="263"/>
      <c r="H1746" s="432"/>
      <c r="I1746" s="282"/>
      <c r="J1746" s="283"/>
      <c r="K1746" s="265"/>
      <c r="L1746" s="265"/>
      <c r="M1746" s="269"/>
      <c r="N1746" s="270"/>
      <c r="O1746" s="271"/>
      <c r="P1746" s="271"/>
      <c r="Q1746" s="272"/>
      <c r="R1746" s="273"/>
      <c r="S1746" s="273"/>
      <c r="T1746" s="273"/>
      <c r="U1746" s="274"/>
      <c r="V1746" s="263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</row>
    <row r="1747">
      <c r="A1747" s="263"/>
      <c r="B1747" s="264"/>
      <c r="C1747" s="265"/>
      <c r="D1747" s="265"/>
      <c r="E1747" s="264"/>
      <c r="F1747" s="265"/>
      <c r="G1747" s="263"/>
      <c r="H1747" s="432"/>
      <c r="I1747" s="282"/>
      <c r="J1747" s="283"/>
      <c r="K1747" s="265"/>
      <c r="L1747" s="265"/>
      <c r="M1747" s="269"/>
      <c r="N1747" s="270"/>
      <c r="O1747" s="271"/>
      <c r="P1747" s="271"/>
      <c r="Q1747" s="272"/>
      <c r="R1747" s="273"/>
      <c r="S1747" s="273"/>
      <c r="T1747" s="273"/>
      <c r="U1747" s="274"/>
      <c r="V1747" s="263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</row>
    <row r="1748">
      <c r="A1748" s="263"/>
      <c r="B1748" s="264"/>
      <c r="C1748" s="265"/>
      <c r="D1748" s="265"/>
      <c r="E1748" s="264"/>
      <c r="F1748" s="265"/>
      <c r="G1748" s="263"/>
      <c r="H1748" s="432"/>
      <c r="I1748" s="282"/>
      <c r="J1748" s="283"/>
      <c r="K1748" s="265"/>
      <c r="L1748" s="265"/>
      <c r="M1748" s="269"/>
      <c r="N1748" s="270"/>
      <c r="O1748" s="271"/>
      <c r="P1748" s="271"/>
      <c r="Q1748" s="272"/>
      <c r="R1748" s="273"/>
      <c r="S1748" s="273"/>
      <c r="T1748" s="273"/>
      <c r="U1748" s="274"/>
      <c r="V1748" s="263"/>
      <c r="W1748" s="35"/>
      <c r="X1748" s="35"/>
      <c r="Y1748" s="35"/>
      <c r="Z1748" s="35"/>
      <c r="AA1748" s="35"/>
      <c r="AB1748" s="35"/>
      <c r="AC1748" s="35"/>
      <c r="AD1748" s="35"/>
      <c r="AE1748" s="35"/>
      <c r="AF1748" s="35"/>
      <c r="AG1748" s="35"/>
      <c r="AH1748" s="35"/>
      <c r="AI1748" s="35"/>
    </row>
    <row r="1749">
      <c r="A1749" s="263"/>
      <c r="B1749" s="264"/>
      <c r="C1749" s="265"/>
      <c r="D1749" s="265"/>
      <c r="E1749" s="264"/>
      <c r="F1749" s="265"/>
      <c r="G1749" s="263"/>
      <c r="H1749" s="432"/>
      <c r="I1749" s="282"/>
      <c r="J1749" s="283"/>
      <c r="K1749" s="265"/>
      <c r="L1749" s="265"/>
      <c r="M1749" s="269"/>
      <c r="N1749" s="270"/>
      <c r="O1749" s="271"/>
      <c r="P1749" s="271"/>
      <c r="Q1749" s="272"/>
      <c r="R1749" s="273"/>
      <c r="S1749" s="273"/>
      <c r="T1749" s="273"/>
      <c r="U1749" s="274"/>
      <c r="V1749" s="263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</row>
    <row r="1750">
      <c r="A1750" s="263"/>
      <c r="B1750" s="264"/>
      <c r="C1750" s="265"/>
      <c r="D1750" s="265"/>
      <c r="E1750" s="264"/>
      <c r="F1750" s="265"/>
      <c r="G1750" s="263"/>
      <c r="H1750" s="432"/>
      <c r="I1750" s="282"/>
      <c r="J1750" s="283"/>
      <c r="K1750" s="265"/>
      <c r="L1750" s="265"/>
      <c r="M1750" s="269"/>
      <c r="N1750" s="270"/>
      <c r="O1750" s="271"/>
      <c r="P1750" s="271"/>
      <c r="Q1750" s="272"/>
      <c r="R1750" s="273"/>
      <c r="S1750" s="273"/>
      <c r="T1750" s="273"/>
      <c r="U1750" s="274"/>
      <c r="V1750" s="263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</row>
    <row r="1751">
      <c r="A1751" s="263"/>
      <c r="B1751" s="264"/>
      <c r="C1751" s="265"/>
      <c r="D1751" s="265"/>
      <c r="E1751" s="264"/>
      <c r="F1751" s="265"/>
      <c r="G1751" s="263"/>
      <c r="H1751" s="432"/>
      <c r="I1751" s="282"/>
      <c r="J1751" s="283"/>
      <c r="K1751" s="265"/>
      <c r="L1751" s="265"/>
      <c r="M1751" s="269"/>
      <c r="N1751" s="270"/>
      <c r="O1751" s="271"/>
      <c r="P1751" s="271"/>
      <c r="Q1751" s="272"/>
      <c r="R1751" s="273"/>
      <c r="S1751" s="273"/>
      <c r="T1751" s="273"/>
      <c r="U1751" s="274"/>
      <c r="V1751" s="263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</row>
    <row r="1752">
      <c r="A1752" s="263"/>
      <c r="B1752" s="264"/>
      <c r="C1752" s="265"/>
      <c r="D1752" s="265"/>
      <c r="E1752" s="264"/>
      <c r="F1752" s="265"/>
      <c r="G1752" s="263"/>
      <c r="H1752" s="432"/>
      <c r="I1752" s="282"/>
      <c r="J1752" s="283"/>
      <c r="K1752" s="265"/>
      <c r="L1752" s="265"/>
      <c r="M1752" s="269"/>
      <c r="N1752" s="270"/>
      <c r="O1752" s="271"/>
      <c r="P1752" s="271"/>
      <c r="Q1752" s="272"/>
      <c r="R1752" s="273"/>
      <c r="S1752" s="273"/>
      <c r="T1752" s="273"/>
      <c r="U1752" s="274"/>
      <c r="V1752" s="263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</row>
    <row r="1753">
      <c r="A1753" s="263"/>
      <c r="B1753" s="264"/>
      <c r="C1753" s="265"/>
      <c r="D1753" s="265"/>
      <c r="E1753" s="264"/>
      <c r="F1753" s="265"/>
      <c r="G1753" s="263"/>
      <c r="H1753" s="432"/>
      <c r="I1753" s="282"/>
      <c r="J1753" s="283"/>
      <c r="K1753" s="265"/>
      <c r="L1753" s="265"/>
      <c r="M1753" s="269"/>
      <c r="N1753" s="270"/>
      <c r="O1753" s="271"/>
      <c r="P1753" s="271"/>
      <c r="Q1753" s="272"/>
      <c r="R1753" s="273"/>
      <c r="S1753" s="273"/>
      <c r="T1753" s="273"/>
      <c r="U1753" s="274"/>
      <c r="V1753" s="263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</row>
    <row r="1754">
      <c r="A1754" s="263"/>
      <c r="B1754" s="264"/>
      <c r="C1754" s="265"/>
      <c r="D1754" s="265"/>
      <c r="E1754" s="264"/>
      <c r="F1754" s="265"/>
      <c r="G1754" s="263"/>
      <c r="H1754" s="432"/>
      <c r="I1754" s="282"/>
      <c r="J1754" s="283"/>
      <c r="K1754" s="265"/>
      <c r="L1754" s="265"/>
      <c r="M1754" s="269"/>
      <c r="N1754" s="270"/>
      <c r="O1754" s="271"/>
      <c r="P1754" s="271"/>
      <c r="Q1754" s="272"/>
      <c r="R1754" s="273"/>
      <c r="S1754" s="273"/>
      <c r="T1754" s="273"/>
      <c r="U1754" s="274"/>
      <c r="V1754" s="263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</row>
    <row r="1755">
      <c r="A1755" s="263"/>
      <c r="B1755" s="264"/>
      <c r="C1755" s="265"/>
      <c r="D1755" s="265"/>
      <c r="E1755" s="264"/>
      <c r="F1755" s="265"/>
      <c r="G1755" s="263"/>
      <c r="H1755" s="432"/>
      <c r="I1755" s="282"/>
      <c r="J1755" s="283"/>
      <c r="K1755" s="265"/>
      <c r="L1755" s="265"/>
      <c r="M1755" s="269"/>
      <c r="N1755" s="270"/>
      <c r="O1755" s="271"/>
      <c r="P1755" s="271"/>
      <c r="Q1755" s="272"/>
      <c r="R1755" s="273"/>
      <c r="S1755" s="273"/>
      <c r="T1755" s="273"/>
      <c r="U1755" s="274"/>
      <c r="V1755" s="263"/>
      <c r="W1755" s="188"/>
      <c r="X1755" s="188"/>
      <c r="Y1755" s="188"/>
      <c r="Z1755" s="188"/>
      <c r="AA1755" s="188"/>
      <c r="AB1755" s="188"/>
      <c r="AC1755" s="188"/>
      <c r="AD1755" s="188"/>
      <c r="AE1755" s="188"/>
      <c r="AF1755" s="188"/>
      <c r="AG1755" s="188"/>
      <c r="AH1755" s="188"/>
      <c r="AI1755" s="188"/>
    </row>
    <row r="1756">
      <c r="A1756" s="263"/>
      <c r="B1756" s="264"/>
      <c r="C1756" s="265"/>
      <c r="D1756" s="265"/>
      <c r="E1756" s="264"/>
      <c r="F1756" s="265"/>
      <c r="G1756" s="263"/>
      <c r="H1756" s="432"/>
      <c r="I1756" s="282"/>
      <c r="J1756" s="283"/>
      <c r="K1756" s="265"/>
      <c r="L1756" s="265"/>
      <c r="M1756" s="269"/>
      <c r="N1756" s="270"/>
      <c r="O1756" s="271"/>
      <c r="P1756" s="271"/>
      <c r="Q1756" s="272"/>
      <c r="R1756" s="273"/>
      <c r="S1756" s="273"/>
      <c r="T1756" s="273"/>
      <c r="U1756" s="274"/>
      <c r="V1756" s="263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</row>
    <row r="1757">
      <c r="A1757" s="263"/>
      <c r="B1757" s="264"/>
      <c r="C1757" s="265"/>
      <c r="D1757" s="265"/>
      <c r="E1757" s="264"/>
      <c r="F1757" s="265"/>
      <c r="G1757" s="263"/>
      <c r="H1757" s="432"/>
      <c r="I1757" s="282"/>
      <c r="J1757" s="283"/>
      <c r="K1757" s="265"/>
      <c r="L1757" s="265"/>
      <c r="M1757" s="269"/>
      <c r="N1757" s="270"/>
      <c r="O1757" s="271"/>
      <c r="P1757" s="271"/>
      <c r="Q1757" s="272"/>
      <c r="R1757" s="273"/>
      <c r="S1757" s="273"/>
      <c r="T1757" s="273"/>
      <c r="U1757" s="274"/>
      <c r="V1757" s="263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</row>
    <row r="1758">
      <c r="A1758" s="263"/>
      <c r="B1758" s="264"/>
      <c r="C1758" s="265"/>
      <c r="D1758" s="265"/>
      <c r="E1758" s="264"/>
      <c r="F1758" s="265"/>
      <c r="G1758" s="263"/>
      <c r="H1758" s="432"/>
      <c r="I1758" s="282"/>
      <c r="J1758" s="283"/>
      <c r="K1758" s="265"/>
      <c r="L1758" s="265"/>
      <c r="M1758" s="269"/>
      <c r="N1758" s="270"/>
      <c r="O1758" s="271"/>
      <c r="P1758" s="271"/>
      <c r="Q1758" s="272"/>
      <c r="R1758" s="273"/>
      <c r="S1758" s="273"/>
      <c r="T1758" s="273"/>
      <c r="U1758" s="274"/>
      <c r="V1758" s="263"/>
      <c r="W1758" s="35"/>
      <c r="X1758" s="35"/>
      <c r="Y1758" s="35"/>
      <c r="Z1758" s="35"/>
      <c r="AA1758" s="35"/>
      <c r="AB1758" s="35"/>
      <c r="AC1758" s="35"/>
      <c r="AD1758" s="35"/>
      <c r="AE1758" s="35"/>
      <c r="AF1758" s="35"/>
      <c r="AG1758" s="35"/>
      <c r="AH1758" s="35"/>
      <c r="AI1758" s="35"/>
    </row>
    <row r="1759">
      <c r="A1759" s="263"/>
      <c r="B1759" s="264"/>
      <c r="C1759" s="265"/>
      <c r="D1759" s="265"/>
      <c r="E1759" s="264"/>
      <c r="F1759" s="265"/>
      <c r="G1759" s="263"/>
      <c r="H1759" s="432"/>
      <c r="I1759" s="282"/>
      <c r="J1759" s="283"/>
      <c r="K1759" s="265"/>
      <c r="L1759" s="265"/>
      <c r="M1759" s="269"/>
      <c r="N1759" s="270"/>
      <c r="O1759" s="271"/>
      <c r="P1759" s="271"/>
      <c r="Q1759" s="272"/>
      <c r="R1759" s="273"/>
      <c r="S1759" s="273"/>
      <c r="T1759" s="273"/>
      <c r="U1759" s="274"/>
      <c r="V1759" s="263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</row>
    <row r="1760">
      <c r="A1760" s="251"/>
      <c r="B1760" s="252"/>
      <c r="C1760" s="253"/>
      <c r="D1760" s="253"/>
      <c r="E1760" s="252"/>
      <c r="F1760" s="253"/>
      <c r="G1760" s="251"/>
      <c r="H1760" s="433"/>
      <c r="I1760" s="278"/>
      <c r="J1760" s="257"/>
      <c r="K1760" s="253"/>
      <c r="L1760" s="253"/>
      <c r="M1760" s="275"/>
      <c r="N1760" s="258"/>
      <c r="O1760" s="259"/>
      <c r="P1760" s="259"/>
      <c r="Q1760" s="262"/>
      <c r="R1760" s="260"/>
      <c r="S1760" s="260"/>
      <c r="T1760" s="260"/>
      <c r="U1760" s="261"/>
      <c r="V1760" s="251"/>
      <c r="W1760" s="35"/>
      <c r="X1760" s="35"/>
      <c r="Y1760" s="35"/>
      <c r="Z1760" s="35"/>
      <c r="AA1760" s="35"/>
      <c r="AB1760" s="35"/>
      <c r="AC1760" s="35"/>
      <c r="AD1760" s="35"/>
      <c r="AE1760" s="35"/>
      <c r="AF1760" s="35"/>
      <c r="AG1760" s="35"/>
      <c r="AH1760" s="35"/>
      <c r="AI1760" s="35"/>
    </row>
    <row r="1761">
      <c r="A1761" s="263"/>
      <c r="B1761" s="264"/>
      <c r="C1761" s="265"/>
      <c r="D1761" s="265"/>
      <c r="E1761" s="264"/>
      <c r="F1761" s="265"/>
      <c r="G1761" s="263"/>
      <c r="H1761" s="432"/>
      <c r="I1761" s="282"/>
      <c r="J1761" s="283"/>
      <c r="K1761" s="265"/>
      <c r="L1761" s="265"/>
      <c r="M1761" s="269"/>
      <c r="N1761" s="270"/>
      <c r="O1761" s="271"/>
      <c r="P1761" s="271"/>
      <c r="Q1761" s="272"/>
      <c r="R1761" s="273"/>
      <c r="S1761" s="273"/>
      <c r="T1761" s="273"/>
      <c r="U1761" s="274"/>
      <c r="V1761" s="263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</row>
    <row r="1762">
      <c r="A1762" s="263"/>
      <c r="B1762" s="264"/>
      <c r="C1762" s="265"/>
      <c r="D1762" s="265"/>
      <c r="E1762" s="264"/>
      <c r="F1762" s="265"/>
      <c r="G1762" s="263"/>
      <c r="H1762" s="432"/>
      <c r="I1762" s="282"/>
      <c r="J1762" s="283"/>
      <c r="K1762" s="265"/>
      <c r="L1762" s="265"/>
      <c r="M1762" s="269"/>
      <c r="N1762" s="270"/>
      <c r="O1762" s="271"/>
      <c r="P1762" s="271"/>
      <c r="Q1762" s="272"/>
      <c r="R1762" s="273"/>
      <c r="S1762" s="273"/>
      <c r="T1762" s="273"/>
      <c r="U1762" s="274"/>
      <c r="V1762" s="263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</row>
    <row r="1763">
      <c r="A1763" s="263"/>
      <c r="B1763" s="264"/>
      <c r="C1763" s="265"/>
      <c r="D1763" s="265"/>
      <c r="E1763" s="264"/>
      <c r="F1763" s="265"/>
      <c r="G1763" s="263"/>
      <c r="H1763" s="432"/>
      <c r="I1763" s="282"/>
      <c r="J1763" s="283"/>
      <c r="K1763" s="265"/>
      <c r="L1763" s="265"/>
      <c r="M1763" s="269"/>
      <c r="N1763" s="270"/>
      <c r="O1763" s="271"/>
      <c r="P1763" s="271"/>
      <c r="Q1763" s="272"/>
      <c r="R1763" s="273"/>
      <c r="S1763" s="273"/>
      <c r="T1763" s="273"/>
      <c r="U1763" s="274"/>
      <c r="V1763" s="263"/>
      <c r="W1763" s="36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</row>
    <row r="1764">
      <c r="A1764" s="263"/>
      <c r="B1764" s="264"/>
      <c r="C1764" s="265"/>
      <c r="D1764" s="265"/>
      <c r="E1764" s="264"/>
      <c r="F1764" s="265"/>
      <c r="G1764" s="263"/>
      <c r="H1764" s="432"/>
      <c r="I1764" s="282"/>
      <c r="J1764" s="283"/>
      <c r="K1764" s="265"/>
      <c r="L1764" s="265"/>
      <c r="M1764" s="269"/>
      <c r="N1764" s="270"/>
      <c r="O1764" s="271"/>
      <c r="P1764" s="271"/>
      <c r="Q1764" s="272"/>
      <c r="R1764" s="273"/>
      <c r="S1764" s="273"/>
      <c r="T1764" s="273"/>
      <c r="U1764" s="274"/>
      <c r="V1764" s="263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</row>
    <row r="1765">
      <c r="A1765" s="263"/>
      <c r="B1765" s="264"/>
      <c r="C1765" s="265"/>
      <c r="D1765" s="265"/>
      <c r="E1765" s="264"/>
      <c r="F1765" s="265"/>
      <c r="G1765" s="263"/>
      <c r="H1765" s="432"/>
      <c r="I1765" s="282"/>
      <c r="J1765" s="283"/>
      <c r="K1765" s="265"/>
      <c r="L1765" s="265"/>
      <c r="M1765" s="269"/>
      <c r="N1765" s="270"/>
      <c r="O1765" s="271"/>
      <c r="P1765" s="271"/>
      <c r="Q1765" s="272"/>
      <c r="R1765" s="273"/>
      <c r="S1765" s="273"/>
      <c r="T1765" s="273"/>
      <c r="U1765" s="274"/>
      <c r="V1765" s="263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</row>
    <row r="1766">
      <c r="A1766" s="263"/>
      <c r="B1766" s="264"/>
      <c r="C1766" s="265"/>
      <c r="D1766" s="265"/>
      <c r="E1766" s="264"/>
      <c r="F1766" s="265"/>
      <c r="G1766" s="263"/>
      <c r="H1766" s="432"/>
      <c r="I1766" s="282"/>
      <c r="J1766" s="283"/>
      <c r="K1766" s="265"/>
      <c r="L1766" s="265"/>
      <c r="M1766" s="269"/>
      <c r="N1766" s="270"/>
      <c r="O1766" s="271"/>
      <c r="P1766" s="271"/>
      <c r="Q1766" s="272"/>
      <c r="R1766" s="273"/>
      <c r="S1766" s="273"/>
      <c r="T1766" s="273"/>
      <c r="U1766" s="274"/>
      <c r="V1766" s="263"/>
      <c r="W1766" s="188"/>
      <c r="X1766" s="188"/>
      <c r="Y1766" s="188"/>
      <c r="Z1766" s="188"/>
      <c r="AA1766" s="188"/>
      <c r="AB1766" s="188"/>
      <c r="AC1766" s="188"/>
      <c r="AD1766" s="188"/>
      <c r="AE1766" s="188"/>
      <c r="AF1766" s="188"/>
      <c r="AG1766" s="188"/>
      <c r="AH1766" s="188"/>
      <c r="AI1766" s="188"/>
    </row>
    <row r="1767">
      <c r="A1767" s="263"/>
      <c r="B1767" s="264"/>
      <c r="C1767" s="265"/>
      <c r="D1767" s="265"/>
      <c r="E1767" s="264"/>
      <c r="F1767" s="265"/>
      <c r="G1767" s="263"/>
      <c r="H1767" s="432"/>
      <c r="I1767" s="282"/>
      <c r="J1767" s="283"/>
      <c r="K1767" s="265"/>
      <c r="L1767" s="265"/>
      <c r="M1767" s="269"/>
      <c r="N1767" s="270"/>
      <c r="O1767" s="271"/>
      <c r="P1767" s="271"/>
      <c r="Q1767" s="272"/>
      <c r="R1767" s="273"/>
      <c r="S1767" s="273"/>
      <c r="T1767" s="273"/>
      <c r="U1767" s="274"/>
      <c r="V1767" s="263"/>
      <c r="W1767" s="188"/>
      <c r="X1767" s="188"/>
      <c r="Y1767" s="188"/>
      <c r="Z1767" s="188"/>
      <c r="AA1767" s="188"/>
      <c r="AB1767" s="188"/>
      <c r="AC1767" s="188"/>
      <c r="AD1767" s="188"/>
      <c r="AE1767" s="188"/>
      <c r="AF1767" s="188"/>
      <c r="AG1767" s="188"/>
      <c r="AH1767" s="188"/>
      <c r="AI1767" s="188"/>
    </row>
    <row r="1768">
      <c r="A1768" s="263"/>
      <c r="B1768" s="264"/>
      <c r="C1768" s="265"/>
      <c r="D1768" s="265"/>
      <c r="E1768" s="264"/>
      <c r="F1768" s="265"/>
      <c r="G1768" s="263"/>
      <c r="H1768" s="432"/>
      <c r="I1768" s="282"/>
      <c r="J1768" s="283"/>
      <c r="K1768" s="265"/>
      <c r="L1768" s="265"/>
      <c r="M1768" s="269"/>
      <c r="N1768" s="270"/>
      <c r="O1768" s="271"/>
      <c r="P1768" s="271"/>
      <c r="Q1768" s="272"/>
      <c r="R1768" s="273"/>
      <c r="S1768" s="273"/>
      <c r="T1768" s="273"/>
      <c r="U1768" s="274"/>
      <c r="V1768" s="263"/>
      <c r="W1768" s="188"/>
      <c r="X1768" s="188"/>
      <c r="Y1768" s="188"/>
      <c r="Z1768" s="188"/>
      <c r="AA1768" s="188"/>
      <c r="AB1768" s="188"/>
      <c r="AC1768" s="188"/>
      <c r="AD1768" s="188"/>
      <c r="AE1768" s="188"/>
      <c r="AF1768" s="188"/>
      <c r="AG1768" s="188"/>
      <c r="AH1768" s="188"/>
      <c r="AI1768" s="188"/>
    </row>
    <row r="1769">
      <c r="A1769" s="263"/>
      <c r="B1769" s="264"/>
      <c r="C1769" s="265"/>
      <c r="D1769" s="265"/>
      <c r="E1769" s="264"/>
      <c r="F1769" s="265"/>
      <c r="G1769" s="263"/>
      <c r="H1769" s="432"/>
      <c r="I1769" s="282"/>
      <c r="J1769" s="283"/>
      <c r="K1769" s="265"/>
      <c r="L1769" s="265"/>
      <c r="M1769" s="269"/>
      <c r="N1769" s="270"/>
      <c r="O1769" s="271"/>
      <c r="P1769" s="271"/>
      <c r="Q1769" s="272"/>
      <c r="R1769" s="273"/>
      <c r="S1769" s="273"/>
      <c r="T1769" s="273"/>
      <c r="U1769" s="274"/>
      <c r="V1769" s="263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</row>
    <row r="1770">
      <c r="A1770" s="263"/>
      <c r="B1770" s="264"/>
      <c r="C1770" s="265"/>
      <c r="D1770" s="265"/>
      <c r="E1770" s="264"/>
      <c r="F1770" s="265"/>
      <c r="G1770" s="263"/>
      <c r="H1770" s="432"/>
      <c r="I1770" s="282"/>
      <c r="J1770" s="283"/>
      <c r="K1770" s="265"/>
      <c r="L1770" s="265"/>
      <c r="M1770" s="269"/>
      <c r="N1770" s="270"/>
      <c r="O1770" s="271"/>
      <c r="P1770" s="271"/>
      <c r="Q1770" s="272"/>
      <c r="R1770" s="273"/>
      <c r="S1770" s="273"/>
      <c r="T1770" s="273"/>
      <c r="U1770" s="274"/>
      <c r="V1770" s="263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</row>
    <row r="1771">
      <c r="A1771" s="263"/>
      <c r="B1771" s="264"/>
      <c r="C1771" s="265"/>
      <c r="D1771" s="265"/>
      <c r="E1771" s="264"/>
      <c r="F1771" s="265"/>
      <c r="G1771" s="263"/>
      <c r="H1771" s="432"/>
      <c r="I1771" s="282"/>
      <c r="J1771" s="283"/>
      <c r="K1771" s="265"/>
      <c r="L1771" s="265"/>
      <c r="M1771" s="269"/>
      <c r="N1771" s="270"/>
      <c r="O1771" s="271"/>
      <c r="P1771" s="271"/>
      <c r="Q1771" s="272"/>
      <c r="R1771" s="273"/>
      <c r="S1771" s="273"/>
      <c r="T1771" s="273"/>
      <c r="U1771" s="274"/>
      <c r="V1771" s="263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</row>
    <row r="1772">
      <c r="A1772" s="263"/>
      <c r="B1772" s="264"/>
      <c r="C1772" s="265"/>
      <c r="D1772" s="265"/>
      <c r="E1772" s="264"/>
      <c r="F1772" s="265"/>
      <c r="G1772" s="263"/>
      <c r="H1772" s="432"/>
      <c r="I1772" s="282"/>
      <c r="J1772" s="283"/>
      <c r="K1772" s="265"/>
      <c r="L1772" s="265"/>
      <c r="M1772" s="269"/>
      <c r="N1772" s="270"/>
      <c r="O1772" s="271"/>
      <c r="P1772" s="271"/>
      <c r="Q1772" s="272"/>
      <c r="R1772" s="273"/>
      <c r="S1772" s="273"/>
      <c r="T1772" s="273"/>
      <c r="U1772" s="274"/>
      <c r="V1772" s="263"/>
      <c r="W1772" s="188"/>
      <c r="X1772" s="188"/>
      <c r="Y1772" s="188"/>
      <c r="Z1772" s="188"/>
      <c r="AA1772" s="188"/>
      <c r="AB1772" s="188"/>
      <c r="AC1772" s="188"/>
      <c r="AD1772" s="188"/>
      <c r="AE1772" s="188"/>
      <c r="AF1772" s="188"/>
      <c r="AG1772" s="188"/>
      <c r="AH1772" s="188"/>
      <c r="AI1772" s="188"/>
    </row>
    <row r="1773">
      <c r="A1773" s="263"/>
      <c r="B1773" s="264"/>
      <c r="C1773" s="265"/>
      <c r="D1773" s="265"/>
      <c r="E1773" s="264"/>
      <c r="F1773" s="265"/>
      <c r="G1773" s="263"/>
      <c r="H1773" s="432"/>
      <c r="I1773" s="282"/>
      <c r="J1773" s="283"/>
      <c r="K1773" s="265"/>
      <c r="L1773" s="265"/>
      <c r="M1773" s="269"/>
      <c r="N1773" s="270"/>
      <c r="O1773" s="271"/>
      <c r="P1773" s="271"/>
      <c r="Q1773" s="272"/>
      <c r="R1773" s="273"/>
      <c r="S1773" s="273"/>
      <c r="T1773" s="273"/>
      <c r="U1773" s="274"/>
      <c r="V1773" s="263"/>
      <c r="W1773" s="35"/>
      <c r="X1773" s="35"/>
      <c r="Y1773" s="35"/>
      <c r="Z1773" s="35"/>
      <c r="AA1773" s="35"/>
      <c r="AB1773" s="35"/>
      <c r="AC1773" s="35"/>
      <c r="AD1773" s="35"/>
      <c r="AE1773" s="35"/>
      <c r="AF1773" s="35"/>
      <c r="AG1773" s="35"/>
      <c r="AH1773" s="35"/>
      <c r="AI1773" s="35"/>
    </row>
    <row r="1774">
      <c r="A1774" s="263"/>
      <c r="B1774" s="264"/>
      <c r="C1774" s="265"/>
      <c r="D1774" s="265"/>
      <c r="E1774" s="264"/>
      <c r="F1774" s="265"/>
      <c r="G1774" s="263"/>
      <c r="H1774" s="432"/>
      <c r="I1774" s="282"/>
      <c r="J1774" s="283"/>
      <c r="K1774" s="265"/>
      <c r="L1774" s="265"/>
      <c r="M1774" s="269"/>
      <c r="N1774" s="270"/>
      <c r="O1774" s="271"/>
      <c r="P1774" s="271"/>
      <c r="Q1774" s="272"/>
      <c r="R1774" s="273"/>
      <c r="S1774" s="273"/>
      <c r="T1774" s="273"/>
      <c r="U1774" s="274"/>
      <c r="V1774" s="263"/>
      <c r="W1774" s="188"/>
      <c r="X1774" s="188"/>
      <c r="Y1774" s="188"/>
      <c r="Z1774" s="188"/>
      <c r="AA1774" s="188"/>
      <c r="AB1774" s="188"/>
      <c r="AC1774" s="188"/>
      <c r="AD1774" s="188"/>
      <c r="AE1774" s="188"/>
      <c r="AF1774" s="188"/>
      <c r="AG1774" s="188"/>
      <c r="AH1774" s="188"/>
      <c r="AI1774" s="188"/>
    </row>
    <row r="1775">
      <c r="A1775" s="263"/>
      <c r="B1775" s="264"/>
      <c r="C1775" s="265"/>
      <c r="D1775" s="265"/>
      <c r="E1775" s="264"/>
      <c r="F1775" s="265"/>
      <c r="G1775" s="263"/>
      <c r="H1775" s="432"/>
      <c r="I1775" s="282"/>
      <c r="J1775" s="283"/>
      <c r="K1775" s="265"/>
      <c r="L1775" s="265"/>
      <c r="M1775" s="269"/>
      <c r="N1775" s="270"/>
      <c r="O1775" s="271"/>
      <c r="P1775" s="271"/>
      <c r="Q1775" s="272"/>
      <c r="R1775" s="273"/>
      <c r="S1775" s="273"/>
      <c r="T1775" s="273"/>
      <c r="U1775" s="274"/>
      <c r="V1775" s="263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</row>
    <row r="1776">
      <c r="A1776" s="263"/>
      <c r="B1776" s="264"/>
      <c r="C1776" s="265"/>
      <c r="D1776" s="265"/>
      <c r="E1776" s="264"/>
      <c r="F1776" s="265"/>
      <c r="G1776" s="263"/>
      <c r="H1776" s="432"/>
      <c r="I1776" s="282"/>
      <c r="J1776" s="283"/>
      <c r="K1776" s="265"/>
      <c r="L1776" s="265"/>
      <c r="M1776" s="269"/>
      <c r="N1776" s="270"/>
      <c r="O1776" s="271"/>
      <c r="P1776" s="271"/>
      <c r="Q1776" s="272"/>
      <c r="R1776" s="273"/>
      <c r="S1776" s="273"/>
      <c r="T1776" s="273"/>
      <c r="U1776" s="274"/>
      <c r="V1776" s="263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</row>
    <row r="1777">
      <c r="A1777" s="263"/>
      <c r="B1777" s="264"/>
      <c r="C1777" s="265"/>
      <c r="D1777" s="265"/>
      <c r="E1777" s="264"/>
      <c r="F1777" s="265"/>
      <c r="G1777" s="263"/>
      <c r="H1777" s="432"/>
      <c r="I1777" s="282"/>
      <c r="J1777" s="283"/>
      <c r="K1777" s="265"/>
      <c r="L1777" s="265"/>
      <c r="M1777" s="269"/>
      <c r="N1777" s="270"/>
      <c r="O1777" s="271"/>
      <c r="P1777" s="271"/>
      <c r="Q1777" s="272"/>
      <c r="R1777" s="273"/>
      <c r="S1777" s="273"/>
      <c r="T1777" s="273"/>
      <c r="U1777" s="274"/>
      <c r="V1777" s="263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</row>
    <row r="1778">
      <c r="A1778" s="263"/>
      <c r="B1778" s="264"/>
      <c r="C1778" s="265"/>
      <c r="D1778" s="265"/>
      <c r="E1778" s="264"/>
      <c r="F1778" s="265"/>
      <c r="G1778" s="263"/>
      <c r="H1778" s="432"/>
      <c r="I1778" s="282"/>
      <c r="J1778" s="283"/>
      <c r="K1778" s="265"/>
      <c r="L1778" s="265"/>
      <c r="M1778" s="269"/>
      <c r="N1778" s="270"/>
      <c r="O1778" s="271"/>
      <c r="P1778" s="271"/>
      <c r="Q1778" s="272"/>
      <c r="R1778" s="273"/>
      <c r="S1778" s="273"/>
      <c r="T1778" s="273"/>
      <c r="U1778" s="274"/>
      <c r="V1778" s="263"/>
      <c r="W1778" s="188"/>
      <c r="X1778" s="188"/>
      <c r="Y1778" s="188"/>
      <c r="Z1778" s="188"/>
      <c r="AA1778" s="188"/>
      <c r="AB1778" s="188"/>
      <c r="AC1778" s="188"/>
      <c r="AD1778" s="188"/>
      <c r="AE1778" s="188"/>
      <c r="AF1778" s="188"/>
      <c r="AG1778" s="188"/>
      <c r="AH1778" s="188"/>
      <c r="AI1778" s="188"/>
    </row>
    <row r="1779">
      <c r="A1779" s="263"/>
      <c r="B1779" s="264"/>
      <c r="C1779" s="265"/>
      <c r="D1779" s="265"/>
      <c r="E1779" s="264"/>
      <c r="F1779" s="265"/>
      <c r="G1779" s="263"/>
      <c r="H1779" s="432"/>
      <c r="I1779" s="282"/>
      <c r="J1779" s="283"/>
      <c r="K1779" s="265"/>
      <c r="L1779" s="265"/>
      <c r="M1779" s="269"/>
      <c r="N1779" s="270"/>
      <c r="O1779" s="271"/>
      <c r="P1779" s="271"/>
      <c r="Q1779" s="272"/>
      <c r="R1779" s="273"/>
      <c r="S1779" s="273"/>
      <c r="T1779" s="273"/>
      <c r="U1779" s="274"/>
      <c r="V1779" s="263"/>
      <c r="W1779" s="35"/>
      <c r="X1779" s="35"/>
      <c r="Y1779" s="35"/>
      <c r="Z1779" s="35"/>
      <c r="AA1779" s="35"/>
      <c r="AB1779" s="35"/>
      <c r="AC1779" s="35"/>
      <c r="AD1779" s="35"/>
      <c r="AE1779" s="35"/>
      <c r="AF1779" s="35"/>
      <c r="AG1779" s="35"/>
      <c r="AH1779" s="35"/>
      <c r="AI1779" s="35"/>
    </row>
    <row r="1780">
      <c r="A1780" s="263"/>
      <c r="B1780" s="264"/>
      <c r="C1780" s="265"/>
      <c r="D1780" s="265"/>
      <c r="E1780" s="264"/>
      <c r="F1780" s="265"/>
      <c r="G1780" s="263"/>
      <c r="H1780" s="432"/>
      <c r="I1780" s="282"/>
      <c r="J1780" s="283"/>
      <c r="K1780" s="265"/>
      <c r="L1780" s="265"/>
      <c r="M1780" s="269"/>
      <c r="N1780" s="270"/>
      <c r="O1780" s="271"/>
      <c r="P1780" s="271"/>
      <c r="Q1780" s="272"/>
      <c r="R1780" s="273"/>
      <c r="S1780" s="273"/>
      <c r="T1780" s="273"/>
      <c r="U1780" s="274"/>
      <c r="V1780" s="263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</row>
    <row r="1781">
      <c r="A1781" s="263"/>
      <c r="B1781" s="264"/>
      <c r="C1781" s="265"/>
      <c r="D1781" s="265"/>
      <c r="E1781" s="264"/>
      <c r="F1781" s="265"/>
      <c r="G1781" s="263"/>
      <c r="H1781" s="432"/>
      <c r="I1781" s="282"/>
      <c r="J1781" s="283"/>
      <c r="K1781" s="265"/>
      <c r="L1781" s="265"/>
      <c r="M1781" s="269"/>
      <c r="N1781" s="270"/>
      <c r="O1781" s="271"/>
      <c r="P1781" s="271"/>
      <c r="Q1781" s="272"/>
      <c r="R1781" s="273"/>
      <c r="S1781" s="273"/>
      <c r="T1781" s="273"/>
      <c r="U1781" s="274"/>
      <c r="V1781" s="263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</row>
    <row r="1782">
      <c r="A1782" s="263"/>
      <c r="B1782" s="264"/>
      <c r="C1782" s="265"/>
      <c r="D1782" s="265"/>
      <c r="E1782" s="264"/>
      <c r="F1782" s="265"/>
      <c r="G1782" s="263"/>
      <c r="H1782" s="432"/>
      <c r="I1782" s="282"/>
      <c r="J1782" s="283"/>
      <c r="K1782" s="265"/>
      <c r="L1782" s="265"/>
      <c r="M1782" s="269"/>
      <c r="N1782" s="270"/>
      <c r="O1782" s="271"/>
      <c r="P1782" s="271"/>
      <c r="Q1782" s="272"/>
      <c r="R1782" s="273"/>
      <c r="S1782" s="273"/>
      <c r="T1782" s="273"/>
      <c r="U1782" s="274"/>
      <c r="V1782" s="263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</row>
    <row r="1783">
      <c r="A1783" s="263"/>
      <c r="B1783" s="264"/>
      <c r="C1783" s="265"/>
      <c r="D1783" s="265"/>
      <c r="E1783" s="264"/>
      <c r="F1783" s="265"/>
      <c r="G1783" s="263"/>
      <c r="H1783" s="432"/>
      <c r="I1783" s="282"/>
      <c r="J1783" s="283"/>
      <c r="K1783" s="265"/>
      <c r="L1783" s="265"/>
      <c r="M1783" s="269"/>
      <c r="N1783" s="270"/>
      <c r="O1783" s="271"/>
      <c r="P1783" s="271"/>
      <c r="Q1783" s="272"/>
      <c r="R1783" s="273"/>
      <c r="S1783" s="273"/>
      <c r="T1783" s="273"/>
      <c r="U1783" s="274"/>
      <c r="V1783" s="263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</row>
    <row r="1784">
      <c r="A1784" s="263"/>
      <c r="B1784" s="264"/>
      <c r="C1784" s="265"/>
      <c r="D1784" s="265"/>
      <c r="E1784" s="264"/>
      <c r="F1784" s="265"/>
      <c r="G1784" s="263"/>
      <c r="H1784" s="432"/>
      <c r="I1784" s="282"/>
      <c r="J1784" s="283"/>
      <c r="K1784" s="265"/>
      <c r="L1784" s="265"/>
      <c r="M1784" s="269"/>
      <c r="N1784" s="270"/>
      <c r="O1784" s="271"/>
      <c r="P1784" s="271"/>
      <c r="Q1784" s="272"/>
      <c r="R1784" s="273"/>
      <c r="S1784" s="273"/>
      <c r="T1784" s="273"/>
      <c r="U1784" s="274"/>
      <c r="V1784" s="263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</row>
    <row r="1785">
      <c r="A1785" s="263"/>
      <c r="B1785" s="264"/>
      <c r="C1785" s="265"/>
      <c r="D1785" s="265"/>
      <c r="E1785" s="264"/>
      <c r="F1785" s="265"/>
      <c r="G1785" s="263"/>
      <c r="H1785" s="432"/>
      <c r="I1785" s="282"/>
      <c r="J1785" s="283"/>
      <c r="K1785" s="265"/>
      <c r="L1785" s="265"/>
      <c r="M1785" s="269"/>
      <c r="N1785" s="270"/>
      <c r="O1785" s="271"/>
      <c r="P1785" s="271"/>
      <c r="Q1785" s="272"/>
      <c r="R1785" s="273"/>
      <c r="S1785" s="273"/>
      <c r="T1785" s="273"/>
      <c r="U1785" s="274"/>
      <c r="V1785" s="263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</row>
    <row r="1786">
      <c r="A1786" s="263"/>
      <c r="B1786" s="264"/>
      <c r="C1786" s="265"/>
      <c r="D1786" s="265"/>
      <c r="E1786" s="264"/>
      <c r="F1786" s="265"/>
      <c r="G1786" s="263"/>
      <c r="H1786" s="432"/>
      <c r="I1786" s="282"/>
      <c r="J1786" s="283"/>
      <c r="K1786" s="265"/>
      <c r="L1786" s="265"/>
      <c r="M1786" s="269"/>
      <c r="N1786" s="270"/>
      <c r="O1786" s="271"/>
      <c r="P1786" s="271"/>
      <c r="Q1786" s="272"/>
      <c r="R1786" s="273"/>
      <c r="S1786" s="273"/>
      <c r="T1786" s="273"/>
      <c r="U1786" s="274"/>
      <c r="V1786" s="263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</row>
    <row r="1787">
      <c r="A1787" s="263"/>
      <c r="B1787" s="264"/>
      <c r="C1787" s="265"/>
      <c r="D1787" s="265"/>
      <c r="E1787" s="264"/>
      <c r="F1787" s="265"/>
      <c r="G1787" s="263"/>
      <c r="H1787" s="432"/>
      <c r="I1787" s="282"/>
      <c r="J1787" s="283"/>
      <c r="K1787" s="265"/>
      <c r="L1787" s="265"/>
      <c r="M1787" s="269"/>
      <c r="N1787" s="270"/>
      <c r="O1787" s="271"/>
      <c r="P1787" s="271"/>
      <c r="Q1787" s="272"/>
      <c r="R1787" s="273"/>
      <c r="S1787" s="273"/>
      <c r="T1787" s="273"/>
      <c r="U1787" s="274"/>
      <c r="V1787" s="263"/>
      <c r="W1787" s="35"/>
      <c r="X1787" s="35"/>
      <c r="Y1787" s="35"/>
      <c r="Z1787" s="35"/>
      <c r="AA1787" s="35"/>
      <c r="AB1787" s="35"/>
      <c r="AC1787" s="35"/>
      <c r="AD1787" s="35"/>
      <c r="AE1787" s="35"/>
      <c r="AF1787" s="35"/>
      <c r="AG1787" s="35"/>
      <c r="AH1787" s="35"/>
      <c r="AI1787" s="35"/>
    </row>
    <row r="1788">
      <c r="A1788" s="263"/>
      <c r="B1788" s="264"/>
      <c r="C1788" s="265"/>
      <c r="D1788" s="265"/>
      <c r="E1788" s="264"/>
      <c r="F1788" s="265"/>
      <c r="G1788" s="263"/>
      <c r="H1788" s="432"/>
      <c r="I1788" s="282"/>
      <c r="J1788" s="283"/>
      <c r="K1788" s="265"/>
      <c r="L1788" s="265"/>
      <c r="M1788" s="269"/>
      <c r="N1788" s="270"/>
      <c r="O1788" s="271"/>
      <c r="P1788" s="271"/>
      <c r="Q1788" s="272"/>
      <c r="R1788" s="273"/>
      <c r="S1788" s="273"/>
      <c r="T1788" s="273"/>
      <c r="U1788" s="274"/>
      <c r="V1788" s="263"/>
      <c r="W1788" s="188"/>
      <c r="X1788" s="188"/>
      <c r="Y1788" s="188"/>
      <c r="Z1788" s="188"/>
      <c r="AA1788" s="188"/>
      <c r="AB1788" s="188"/>
      <c r="AC1788" s="188"/>
      <c r="AD1788" s="188"/>
      <c r="AE1788" s="188"/>
      <c r="AF1788" s="188"/>
      <c r="AG1788" s="188"/>
      <c r="AH1788" s="188"/>
      <c r="AI1788" s="188"/>
    </row>
    <row r="1789">
      <c r="A1789" s="263"/>
      <c r="B1789" s="264"/>
      <c r="C1789" s="265"/>
      <c r="D1789" s="265"/>
      <c r="E1789" s="264"/>
      <c r="F1789" s="265"/>
      <c r="G1789" s="263"/>
      <c r="H1789" s="432"/>
      <c r="I1789" s="282"/>
      <c r="J1789" s="283"/>
      <c r="K1789" s="265"/>
      <c r="L1789" s="265"/>
      <c r="M1789" s="269"/>
      <c r="N1789" s="270"/>
      <c r="O1789" s="271"/>
      <c r="P1789" s="271"/>
      <c r="Q1789" s="272"/>
      <c r="R1789" s="273"/>
      <c r="S1789" s="273"/>
      <c r="T1789" s="273"/>
      <c r="U1789" s="274"/>
      <c r="V1789" s="263"/>
      <c r="W1789" s="188"/>
      <c r="X1789" s="188"/>
      <c r="Y1789" s="188"/>
      <c r="Z1789" s="188"/>
      <c r="AA1789" s="188"/>
      <c r="AB1789" s="188"/>
      <c r="AC1789" s="188"/>
      <c r="AD1789" s="188"/>
      <c r="AE1789" s="188"/>
      <c r="AF1789" s="188"/>
      <c r="AG1789" s="188"/>
      <c r="AH1789" s="188"/>
      <c r="AI1789" s="188"/>
    </row>
    <row r="1790">
      <c r="A1790" s="263"/>
      <c r="B1790" s="264"/>
      <c r="C1790" s="265"/>
      <c r="D1790" s="265"/>
      <c r="E1790" s="264"/>
      <c r="F1790" s="265"/>
      <c r="G1790" s="263"/>
      <c r="H1790" s="432"/>
      <c r="I1790" s="282"/>
      <c r="J1790" s="283"/>
      <c r="K1790" s="265"/>
      <c r="L1790" s="265"/>
      <c r="M1790" s="269"/>
      <c r="N1790" s="270"/>
      <c r="O1790" s="271"/>
      <c r="P1790" s="271"/>
      <c r="Q1790" s="272"/>
      <c r="R1790" s="273"/>
      <c r="S1790" s="273"/>
      <c r="T1790" s="273"/>
      <c r="U1790" s="274"/>
      <c r="V1790" s="263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</row>
    <row r="1791">
      <c r="A1791" s="263"/>
      <c r="B1791" s="264"/>
      <c r="C1791" s="265"/>
      <c r="D1791" s="265"/>
      <c r="E1791" s="264"/>
      <c r="F1791" s="265"/>
      <c r="G1791" s="263"/>
      <c r="H1791" s="432"/>
      <c r="I1791" s="282"/>
      <c r="J1791" s="283"/>
      <c r="K1791" s="265"/>
      <c r="L1791" s="265"/>
      <c r="M1791" s="269"/>
      <c r="N1791" s="270"/>
      <c r="O1791" s="271"/>
      <c r="P1791" s="271"/>
      <c r="Q1791" s="272"/>
      <c r="R1791" s="273"/>
      <c r="S1791" s="273"/>
      <c r="T1791" s="273"/>
      <c r="U1791" s="274"/>
      <c r="V1791" s="263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</row>
    <row r="1792">
      <c r="A1792" s="263"/>
      <c r="B1792" s="264"/>
      <c r="C1792" s="265"/>
      <c r="D1792" s="265"/>
      <c r="E1792" s="264"/>
      <c r="F1792" s="265"/>
      <c r="G1792" s="263"/>
      <c r="H1792" s="432"/>
      <c r="I1792" s="282"/>
      <c r="J1792" s="283"/>
      <c r="K1792" s="265"/>
      <c r="L1792" s="265"/>
      <c r="M1792" s="269"/>
      <c r="N1792" s="270"/>
      <c r="O1792" s="271"/>
      <c r="P1792" s="271"/>
      <c r="Q1792" s="272"/>
      <c r="R1792" s="273"/>
      <c r="S1792" s="273"/>
      <c r="T1792" s="273"/>
      <c r="U1792" s="274"/>
      <c r="V1792" s="263"/>
      <c r="W1792" s="188"/>
      <c r="X1792" s="188"/>
      <c r="Y1792" s="188"/>
      <c r="Z1792" s="188"/>
      <c r="AA1792" s="188"/>
      <c r="AB1792" s="188"/>
      <c r="AC1792" s="188"/>
      <c r="AD1792" s="188"/>
      <c r="AE1792" s="188"/>
      <c r="AF1792" s="188"/>
      <c r="AG1792" s="188"/>
      <c r="AH1792" s="188"/>
      <c r="AI1792" s="188"/>
    </row>
    <row r="1793">
      <c r="A1793" s="263"/>
      <c r="B1793" s="264"/>
      <c r="C1793" s="265"/>
      <c r="D1793" s="265"/>
      <c r="E1793" s="264"/>
      <c r="F1793" s="265"/>
      <c r="G1793" s="263"/>
      <c r="H1793" s="432"/>
      <c r="I1793" s="282"/>
      <c r="J1793" s="283"/>
      <c r="K1793" s="265"/>
      <c r="L1793" s="265"/>
      <c r="M1793" s="269"/>
      <c r="N1793" s="270"/>
      <c r="O1793" s="271"/>
      <c r="P1793" s="271"/>
      <c r="Q1793" s="272"/>
      <c r="R1793" s="273"/>
      <c r="S1793" s="273"/>
      <c r="T1793" s="273"/>
      <c r="U1793" s="274"/>
      <c r="V1793" s="263"/>
      <c r="W1793" s="35"/>
      <c r="X1793" s="35"/>
      <c r="Y1793" s="35"/>
      <c r="Z1793" s="35"/>
      <c r="AA1793" s="35"/>
      <c r="AB1793" s="35"/>
      <c r="AC1793" s="35"/>
      <c r="AD1793" s="35"/>
      <c r="AE1793" s="35"/>
      <c r="AF1793" s="35"/>
      <c r="AG1793" s="35"/>
      <c r="AH1793" s="35"/>
      <c r="AI1793" s="35"/>
    </row>
    <row r="1794">
      <c r="A1794" s="263"/>
      <c r="B1794" s="264"/>
      <c r="C1794" s="265"/>
      <c r="D1794" s="265"/>
      <c r="E1794" s="264"/>
      <c r="F1794" s="265"/>
      <c r="G1794" s="263"/>
      <c r="H1794" s="432"/>
      <c r="I1794" s="282"/>
      <c r="J1794" s="283"/>
      <c r="K1794" s="265"/>
      <c r="L1794" s="265"/>
      <c r="M1794" s="269"/>
      <c r="N1794" s="270"/>
      <c r="O1794" s="271"/>
      <c r="P1794" s="271"/>
      <c r="Q1794" s="272"/>
      <c r="R1794" s="273"/>
      <c r="S1794" s="273"/>
      <c r="T1794" s="273"/>
      <c r="U1794" s="274"/>
      <c r="V1794" s="263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</row>
    <row r="1795">
      <c r="A1795" s="263"/>
      <c r="B1795" s="264"/>
      <c r="C1795" s="265"/>
      <c r="D1795" s="265"/>
      <c r="E1795" s="264"/>
      <c r="F1795" s="265"/>
      <c r="G1795" s="263"/>
      <c r="H1795" s="432"/>
      <c r="I1795" s="282"/>
      <c r="J1795" s="283"/>
      <c r="K1795" s="265"/>
      <c r="L1795" s="265"/>
      <c r="M1795" s="269"/>
      <c r="N1795" s="270"/>
      <c r="O1795" s="271"/>
      <c r="P1795" s="271"/>
      <c r="Q1795" s="272"/>
      <c r="R1795" s="273"/>
      <c r="S1795" s="273"/>
      <c r="T1795" s="273"/>
      <c r="U1795" s="274"/>
      <c r="V1795" s="263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</row>
    <row r="1796">
      <c r="A1796" s="263"/>
      <c r="B1796" s="264"/>
      <c r="C1796" s="265"/>
      <c r="D1796" s="265"/>
      <c r="E1796" s="264"/>
      <c r="F1796" s="265"/>
      <c r="G1796" s="263"/>
      <c r="H1796" s="432"/>
      <c r="I1796" s="282"/>
      <c r="J1796" s="283"/>
      <c r="K1796" s="265"/>
      <c r="L1796" s="265"/>
      <c r="M1796" s="269"/>
      <c r="N1796" s="270"/>
      <c r="O1796" s="271"/>
      <c r="P1796" s="271"/>
      <c r="Q1796" s="272"/>
      <c r="R1796" s="273"/>
      <c r="S1796" s="273"/>
      <c r="T1796" s="273"/>
      <c r="U1796" s="274"/>
      <c r="V1796" s="263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</row>
    <row r="1797">
      <c r="A1797" s="263"/>
      <c r="B1797" s="264"/>
      <c r="C1797" s="265"/>
      <c r="D1797" s="265"/>
      <c r="E1797" s="264"/>
      <c r="F1797" s="265"/>
      <c r="G1797" s="263"/>
      <c r="H1797" s="432"/>
      <c r="I1797" s="282"/>
      <c r="J1797" s="283"/>
      <c r="K1797" s="265"/>
      <c r="L1797" s="265"/>
      <c r="M1797" s="269"/>
      <c r="N1797" s="270"/>
      <c r="O1797" s="271"/>
      <c r="P1797" s="271"/>
      <c r="Q1797" s="272"/>
      <c r="R1797" s="273"/>
      <c r="S1797" s="273"/>
      <c r="T1797" s="273"/>
      <c r="U1797" s="274"/>
      <c r="V1797" s="263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</row>
    <row r="1798">
      <c r="A1798" s="263"/>
      <c r="B1798" s="264"/>
      <c r="C1798" s="265"/>
      <c r="D1798" s="265"/>
      <c r="E1798" s="264"/>
      <c r="F1798" s="265"/>
      <c r="G1798" s="263"/>
      <c r="H1798" s="432"/>
      <c r="I1798" s="282"/>
      <c r="J1798" s="283"/>
      <c r="K1798" s="265"/>
      <c r="L1798" s="265"/>
      <c r="M1798" s="269"/>
      <c r="N1798" s="270"/>
      <c r="O1798" s="271"/>
      <c r="P1798" s="271"/>
      <c r="Q1798" s="272"/>
      <c r="R1798" s="273"/>
      <c r="S1798" s="273"/>
      <c r="T1798" s="273"/>
      <c r="U1798" s="274"/>
      <c r="V1798" s="263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</row>
    <row r="1799">
      <c r="A1799" s="263"/>
      <c r="B1799" s="264"/>
      <c r="C1799" s="265"/>
      <c r="D1799" s="265"/>
      <c r="E1799" s="264"/>
      <c r="F1799" s="265"/>
      <c r="G1799" s="263"/>
      <c r="H1799" s="432"/>
      <c r="I1799" s="282"/>
      <c r="J1799" s="283"/>
      <c r="K1799" s="265"/>
      <c r="L1799" s="265"/>
      <c r="M1799" s="269"/>
      <c r="N1799" s="270"/>
      <c r="O1799" s="271"/>
      <c r="P1799" s="271"/>
      <c r="Q1799" s="272"/>
      <c r="R1799" s="273"/>
      <c r="S1799" s="273"/>
      <c r="T1799" s="273"/>
      <c r="U1799" s="274"/>
      <c r="V1799" s="263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</row>
    <row r="1800">
      <c r="A1800" s="263"/>
      <c r="B1800" s="264"/>
      <c r="C1800" s="265"/>
      <c r="D1800" s="265"/>
      <c r="E1800" s="264"/>
      <c r="F1800" s="265"/>
      <c r="G1800" s="263"/>
      <c r="H1800" s="432"/>
      <c r="I1800" s="282"/>
      <c r="J1800" s="283"/>
      <c r="K1800" s="265"/>
      <c r="L1800" s="265"/>
      <c r="M1800" s="269"/>
      <c r="N1800" s="270"/>
      <c r="O1800" s="271"/>
      <c r="P1800" s="271"/>
      <c r="Q1800" s="272"/>
      <c r="R1800" s="273"/>
      <c r="S1800" s="273"/>
      <c r="T1800" s="273"/>
      <c r="U1800" s="274"/>
      <c r="V1800" s="263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</row>
    <row r="1801">
      <c r="A1801" s="263"/>
      <c r="B1801" s="264"/>
      <c r="C1801" s="265"/>
      <c r="D1801" s="265"/>
      <c r="E1801" s="264"/>
      <c r="F1801" s="265"/>
      <c r="G1801" s="263"/>
      <c r="H1801" s="432"/>
      <c r="I1801" s="282"/>
      <c r="J1801" s="283"/>
      <c r="K1801" s="265"/>
      <c r="L1801" s="265"/>
      <c r="M1801" s="269"/>
      <c r="N1801" s="270"/>
      <c r="O1801" s="271"/>
      <c r="P1801" s="271"/>
      <c r="Q1801" s="272"/>
      <c r="R1801" s="273"/>
      <c r="S1801" s="273"/>
      <c r="T1801" s="273"/>
      <c r="U1801" s="274"/>
      <c r="V1801" s="263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</row>
    <row r="1802">
      <c r="A1802" s="263"/>
      <c r="B1802" s="264"/>
      <c r="C1802" s="265"/>
      <c r="D1802" s="265"/>
      <c r="E1802" s="264"/>
      <c r="F1802" s="265"/>
      <c r="G1802" s="263"/>
      <c r="H1802" s="432"/>
      <c r="I1802" s="282"/>
      <c r="J1802" s="283"/>
      <c r="K1802" s="265"/>
      <c r="L1802" s="265"/>
      <c r="M1802" s="269"/>
      <c r="N1802" s="270"/>
      <c r="O1802" s="271"/>
      <c r="P1802" s="271"/>
      <c r="Q1802" s="272"/>
      <c r="R1802" s="273"/>
      <c r="S1802" s="273"/>
      <c r="T1802" s="273"/>
      <c r="U1802" s="274"/>
      <c r="V1802" s="263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</row>
    <row r="1803">
      <c r="A1803" s="263"/>
      <c r="B1803" s="264"/>
      <c r="C1803" s="265"/>
      <c r="D1803" s="265"/>
      <c r="E1803" s="264"/>
      <c r="F1803" s="265"/>
      <c r="G1803" s="263"/>
      <c r="H1803" s="432"/>
      <c r="I1803" s="282"/>
      <c r="J1803" s="283"/>
      <c r="K1803" s="265"/>
      <c r="L1803" s="265"/>
      <c r="M1803" s="269"/>
      <c r="N1803" s="270"/>
      <c r="O1803" s="271"/>
      <c r="P1803" s="271"/>
      <c r="Q1803" s="272"/>
      <c r="R1803" s="273"/>
      <c r="S1803" s="273"/>
      <c r="T1803" s="273"/>
      <c r="U1803" s="274"/>
      <c r="V1803" s="263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</row>
    <row r="1804">
      <c r="A1804" s="263"/>
      <c r="B1804" s="264"/>
      <c r="C1804" s="265"/>
      <c r="D1804" s="265"/>
      <c r="E1804" s="264"/>
      <c r="F1804" s="265"/>
      <c r="G1804" s="263"/>
      <c r="H1804" s="432"/>
      <c r="I1804" s="282"/>
      <c r="J1804" s="283"/>
      <c r="K1804" s="265"/>
      <c r="L1804" s="265"/>
      <c r="M1804" s="269"/>
      <c r="N1804" s="270"/>
      <c r="O1804" s="271"/>
      <c r="P1804" s="271"/>
      <c r="Q1804" s="272"/>
      <c r="R1804" s="273"/>
      <c r="S1804" s="273"/>
      <c r="T1804" s="273"/>
      <c r="U1804" s="274"/>
      <c r="V1804" s="263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</row>
    <row r="1805">
      <c r="A1805" s="263"/>
      <c r="B1805" s="264"/>
      <c r="C1805" s="265"/>
      <c r="D1805" s="265"/>
      <c r="E1805" s="264"/>
      <c r="F1805" s="265"/>
      <c r="G1805" s="263"/>
      <c r="H1805" s="432"/>
      <c r="I1805" s="282"/>
      <c r="J1805" s="283"/>
      <c r="K1805" s="265"/>
      <c r="L1805" s="265"/>
      <c r="M1805" s="269"/>
      <c r="N1805" s="270"/>
      <c r="O1805" s="271"/>
      <c r="P1805" s="271"/>
      <c r="Q1805" s="272"/>
      <c r="R1805" s="273"/>
      <c r="S1805" s="273"/>
      <c r="T1805" s="273"/>
      <c r="U1805" s="274"/>
      <c r="V1805" s="263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</row>
    <row r="1806">
      <c r="A1806" s="263"/>
      <c r="B1806" s="264"/>
      <c r="C1806" s="265"/>
      <c r="D1806" s="265"/>
      <c r="E1806" s="264"/>
      <c r="F1806" s="265"/>
      <c r="G1806" s="263"/>
      <c r="H1806" s="432"/>
      <c r="I1806" s="282"/>
      <c r="J1806" s="283"/>
      <c r="K1806" s="265"/>
      <c r="L1806" s="265"/>
      <c r="M1806" s="269"/>
      <c r="N1806" s="270"/>
      <c r="O1806" s="271"/>
      <c r="P1806" s="271"/>
      <c r="Q1806" s="272"/>
      <c r="R1806" s="273"/>
      <c r="S1806" s="273"/>
      <c r="T1806" s="273"/>
      <c r="U1806" s="274"/>
      <c r="V1806" s="263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</row>
    <row r="1807">
      <c r="A1807" s="263"/>
      <c r="B1807" s="264"/>
      <c r="C1807" s="265"/>
      <c r="D1807" s="265"/>
      <c r="E1807" s="264"/>
      <c r="F1807" s="265"/>
      <c r="G1807" s="263"/>
      <c r="H1807" s="432"/>
      <c r="I1807" s="282"/>
      <c r="J1807" s="283"/>
      <c r="K1807" s="265"/>
      <c r="L1807" s="265"/>
      <c r="M1807" s="269"/>
      <c r="N1807" s="270"/>
      <c r="O1807" s="271"/>
      <c r="P1807" s="271"/>
      <c r="Q1807" s="272"/>
      <c r="R1807" s="273"/>
      <c r="S1807" s="273"/>
      <c r="T1807" s="273"/>
      <c r="U1807" s="274"/>
      <c r="V1807" s="263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</row>
    <row r="1808">
      <c r="A1808" s="263"/>
      <c r="B1808" s="264"/>
      <c r="C1808" s="265"/>
      <c r="D1808" s="265"/>
      <c r="E1808" s="264"/>
      <c r="F1808" s="265"/>
      <c r="G1808" s="263"/>
      <c r="H1808" s="432"/>
      <c r="I1808" s="282"/>
      <c r="J1808" s="283"/>
      <c r="K1808" s="265"/>
      <c r="L1808" s="265"/>
      <c r="M1808" s="269"/>
      <c r="N1808" s="270"/>
      <c r="O1808" s="271"/>
      <c r="P1808" s="271"/>
      <c r="Q1808" s="272"/>
      <c r="R1808" s="273"/>
      <c r="S1808" s="273"/>
      <c r="T1808" s="273"/>
      <c r="U1808" s="274"/>
      <c r="V1808" s="263"/>
      <c r="W1808" s="188"/>
      <c r="X1808" s="188"/>
      <c r="Y1808" s="188"/>
      <c r="Z1808" s="188"/>
      <c r="AA1808" s="188"/>
      <c r="AB1808" s="188"/>
      <c r="AC1808" s="188"/>
      <c r="AD1808" s="188"/>
      <c r="AE1808" s="188"/>
      <c r="AF1808" s="188"/>
      <c r="AG1808" s="188"/>
      <c r="AH1808" s="188"/>
      <c r="AI1808" s="188"/>
    </row>
    <row r="1809">
      <c r="A1809" s="263"/>
      <c r="B1809" s="264"/>
      <c r="C1809" s="265"/>
      <c r="D1809" s="265"/>
      <c r="E1809" s="264"/>
      <c r="F1809" s="265"/>
      <c r="G1809" s="263"/>
      <c r="H1809" s="432"/>
      <c r="I1809" s="282"/>
      <c r="J1809" s="283"/>
      <c r="K1809" s="265"/>
      <c r="L1809" s="265"/>
      <c r="M1809" s="269"/>
      <c r="N1809" s="270"/>
      <c r="O1809" s="271"/>
      <c r="P1809" s="271"/>
      <c r="Q1809" s="272"/>
      <c r="R1809" s="273"/>
      <c r="S1809" s="273"/>
      <c r="T1809" s="273"/>
      <c r="U1809" s="274"/>
      <c r="V1809" s="263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</row>
    <row r="1810">
      <c r="A1810" s="263"/>
      <c r="B1810" s="264"/>
      <c r="C1810" s="265"/>
      <c r="D1810" s="265"/>
      <c r="E1810" s="264"/>
      <c r="F1810" s="265"/>
      <c r="G1810" s="263"/>
      <c r="H1810" s="432"/>
      <c r="I1810" s="282"/>
      <c r="J1810" s="283"/>
      <c r="K1810" s="265"/>
      <c r="L1810" s="265"/>
      <c r="M1810" s="269"/>
      <c r="N1810" s="270"/>
      <c r="O1810" s="271"/>
      <c r="P1810" s="271"/>
      <c r="Q1810" s="272"/>
      <c r="R1810" s="273"/>
      <c r="S1810" s="273"/>
      <c r="T1810" s="273"/>
      <c r="U1810" s="274"/>
      <c r="V1810" s="263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</row>
    <row r="1811">
      <c r="A1811" s="263"/>
      <c r="B1811" s="264"/>
      <c r="C1811" s="265"/>
      <c r="D1811" s="265"/>
      <c r="E1811" s="264"/>
      <c r="F1811" s="265"/>
      <c r="G1811" s="263"/>
      <c r="H1811" s="432"/>
      <c r="I1811" s="282"/>
      <c r="J1811" s="283"/>
      <c r="K1811" s="265"/>
      <c r="L1811" s="265"/>
      <c r="M1811" s="269"/>
      <c r="N1811" s="270"/>
      <c r="O1811" s="271"/>
      <c r="P1811" s="271"/>
      <c r="Q1811" s="272"/>
      <c r="R1811" s="273"/>
      <c r="S1811" s="273"/>
      <c r="T1811" s="273"/>
      <c r="U1811" s="274"/>
      <c r="V1811" s="263"/>
      <c r="W1811" s="35"/>
      <c r="X1811" s="35"/>
      <c r="Y1811" s="35"/>
      <c r="Z1811" s="35"/>
      <c r="AA1811" s="35"/>
      <c r="AB1811" s="35"/>
      <c r="AC1811" s="35"/>
      <c r="AD1811" s="35"/>
      <c r="AE1811" s="35"/>
      <c r="AF1811" s="35"/>
      <c r="AG1811" s="35"/>
      <c r="AH1811" s="35"/>
      <c r="AI1811" s="35"/>
    </row>
    <row r="1812">
      <c r="A1812" s="263"/>
      <c r="B1812" s="264"/>
      <c r="C1812" s="265"/>
      <c r="D1812" s="265"/>
      <c r="E1812" s="264"/>
      <c r="F1812" s="265"/>
      <c r="G1812" s="263"/>
      <c r="H1812" s="432"/>
      <c r="I1812" s="282"/>
      <c r="J1812" s="283"/>
      <c r="K1812" s="265"/>
      <c r="L1812" s="265"/>
      <c r="M1812" s="269"/>
      <c r="N1812" s="270"/>
      <c r="O1812" s="271"/>
      <c r="P1812" s="271"/>
      <c r="Q1812" s="272"/>
      <c r="R1812" s="273"/>
      <c r="S1812" s="273"/>
      <c r="T1812" s="273"/>
      <c r="U1812" s="274"/>
      <c r="V1812" s="263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</row>
    <row r="1813">
      <c r="A1813" s="263"/>
      <c r="B1813" s="264"/>
      <c r="C1813" s="265"/>
      <c r="D1813" s="265"/>
      <c r="E1813" s="264"/>
      <c r="F1813" s="265"/>
      <c r="G1813" s="263"/>
      <c r="H1813" s="432"/>
      <c r="I1813" s="282"/>
      <c r="J1813" s="283"/>
      <c r="K1813" s="265"/>
      <c r="L1813" s="265"/>
      <c r="M1813" s="269"/>
      <c r="N1813" s="270"/>
      <c r="O1813" s="271"/>
      <c r="P1813" s="271"/>
      <c r="Q1813" s="272"/>
      <c r="R1813" s="273"/>
      <c r="S1813" s="273"/>
      <c r="T1813" s="273"/>
      <c r="U1813" s="274"/>
      <c r="V1813" s="263"/>
      <c r="W1813" s="188"/>
      <c r="X1813" s="188"/>
      <c r="Y1813" s="188"/>
      <c r="Z1813" s="188"/>
      <c r="AA1813" s="188"/>
      <c r="AB1813" s="188"/>
      <c r="AC1813" s="188"/>
      <c r="AD1813" s="188"/>
      <c r="AE1813" s="188"/>
      <c r="AF1813" s="188"/>
      <c r="AG1813" s="188"/>
      <c r="AH1813" s="188"/>
      <c r="AI1813" s="188"/>
    </row>
    <row r="1814">
      <c r="A1814" s="263"/>
      <c r="B1814" s="264"/>
      <c r="C1814" s="265"/>
      <c r="D1814" s="265"/>
      <c r="E1814" s="264"/>
      <c r="F1814" s="265"/>
      <c r="G1814" s="263"/>
      <c r="H1814" s="432"/>
      <c r="I1814" s="282"/>
      <c r="J1814" s="283"/>
      <c r="K1814" s="265"/>
      <c r="L1814" s="265"/>
      <c r="M1814" s="269"/>
      <c r="N1814" s="270"/>
      <c r="O1814" s="271"/>
      <c r="P1814" s="271"/>
      <c r="Q1814" s="272"/>
      <c r="R1814" s="273"/>
      <c r="S1814" s="273"/>
      <c r="T1814" s="273"/>
      <c r="U1814" s="274"/>
      <c r="V1814" s="263"/>
      <c r="W1814" s="188"/>
      <c r="X1814" s="188"/>
      <c r="Y1814" s="188"/>
      <c r="Z1814" s="188"/>
      <c r="AA1814" s="188"/>
      <c r="AB1814" s="188"/>
      <c r="AC1814" s="188"/>
      <c r="AD1814" s="188"/>
      <c r="AE1814" s="188"/>
      <c r="AF1814" s="188"/>
      <c r="AG1814" s="188"/>
      <c r="AH1814" s="188"/>
      <c r="AI1814" s="188"/>
    </row>
    <row r="1815">
      <c r="A1815" s="263"/>
      <c r="B1815" s="264"/>
      <c r="C1815" s="265"/>
      <c r="D1815" s="265"/>
      <c r="E1815" s="264"/>
      <c r="F1815" s="265"/>
      <c r="G1815" s="263"/>
      <c r="H1815" s="432"/>
      <c r="I1815" s="282"/>
      <c r="J1815" s="283"/>
      <c r="K1815" s="265"/>
      <c r="L1815" s="265"/>
      <c r="M1815" s="269"/>
      <c r="N1815" s="270"/>
      <c r="O1815" s="271"/>
      <c r="P1815" s="271"/>
      <c r="Q1815" s="272"/>
      <c r="R1815" s="273"/>
      <c r="S1815" s="273"/>
      <c r="T1815" s="273"/>
      <c r="U1815" s="274"/>
      <c r="V1815" s="263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</row>
    <row r="1816">
      <c r="A1816" s="263"/>
      <c r="B1816" s="264"/>
      <c r="C1816" s="265"/>
      <c r="D1816" s="265"/>
      <c r="E1816" s="264"/>
      <c r="F1816" s="265"/>
      <c r="G1816" s="263"/>
      <c r="H1816" s="432"/>
      <c r="I1816" s="282"/>
      <c r="J1816" s="283"/>
      <c r="K1816" s="265"/>
      <c r="L1816" s="265"/>
      <c r="M1816" s="269"/>
      <c r="N1816" s="270"/>
      <c r="O1816" s="271"/>
      <c r="P1816" s="271"/>
      <c r="Q1816" s="272"/>
      <c r="R1816" s="273"/>
      <c r="S1816" s="273"/>
      <c r="T1816" s="273"/>
      <c r="U1816" s="274"/>
      <c r="V1816" s="263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</row>
    <row r="1817">
      <c r="A1817" s="263"/>
      <c r="B1817" s="264"/>
      <c r="C1817" s="265"/>
      <c r="D1817" s="265"/>
      <c r="E1817" s="264"/>
      <c r="F1817" s="265"/>
      <c r="G1817" s="263"/>
      <c r="H1817" s="432"/>
      <c r="I1817" s="282"/>
      <c r="J1817" s="283"/>
      <c r="K1817" s="265"/>
      <c r="L1817" s="265"/>
      <c r="M1817" s="269"/>
      <c r="N1817" s="270"/>
      <c r="O1817" s="271"/>
      <c r="P1817" s="271"/>
      <c r="Q1817" s="272"/>
      <c r="R1817" s="273"/>
      <c r="S1817" s="273"/>
      <c r="T1817" s="273"/>
      <c r="U1817" s="274"/>
      <c r="V1817" s="263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</row>
    <row r="1818">
      <c r="A1818" s="263"/>
      <c r="B1818" s="264"/>
      <c r="C1818" s="265"/>
      <c r="D1818" s="265"/>
      <c r="E1818" s="264"/>
      <c r="F1818" s="265"/>
      <c r="G1818" s="263"/>
      <c r="H1818" s="432"/>
      <c r="I1818" s="282"/>
      <c r="J1818" s="283"/>
      <c r="K1818" s="265"/>
      <c r="L1818" s="265"/>
      <c r="M1818" s="269"/>
      <c r="N1818" s="270"/>
      <c r="O1818" s="271"/>
      <c r="P1818" s="271"/>
      <c r="Q1818" s="272"/>
      <c r="R1818" s="273"/>
      <c r="S1818" s="273"/>
      <c r="T1818" s="273"/>
      <c r="U1818" s="274"/>
      <c r="V1818" s="263"/>
      <c r="W1818" s="35"/>
      <c r="X1818" s="35"/>
      <c r="Y1818" s="35"/>
      <c r="Z1818" s="35"/>
      <c r="AA1818" s="35"/>
      <c r="AB1818" s="35"/>
      <c r="AC1818" s="35"/>
      <c r="AD1818" s="35"/>
      <c r="AE1818" s="35"/>
      <c r="AF1818" s="35"/>
      <c r="AG1818" s="35"/>
      <c r="AH1818" s="35"/>
      <c r="AI1818" s="35"/>
    </row>
    <row r="1819">
      <c r="A1819" s="263"/>
      <c r="B1819" s="264"/>
      <c r="C1819" s="265"/>
      <c r="D1819" s="265"/>
      <c r="E1819" s="264"/>
      <c r="F1819" s="265"/>
      <c r="G1819" s="263"/>
      <c r="H1819" s="432"/>
      <c r="I1819" s="282"/>
      <c r="J1819" s="283"/>
      <c r="K1819" s="265"/>
      <c r="L1819" s="265"/>
      <c r="M1819" s="269"/>
      <c r="N1819" s="270"/>
      <c r="O1819" s="271"/>
      <c r="P1819" s="271"/>
      <c r="Q1819" s="272"/>
      <c r="R1819" s="273"/>
      <c r="S1819" s="273"/>
      <c r="T1819" s="273"/>
      <c r="U1819" s="274"/>
      <c r="V1819" s="263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</row>
    <row r="1820">
      <c r="A1820" s="263"/>
      <c r="B1820" s="264"/>
      <c r="C1820" s="265"/>
      <c r="D1820" s="265"/>
      <c r="E1820" s="264"/>
      <c r="F1820" s="265"/>
      <c r="G1820" s="263"/>
      <c r="H1820" s="432"/>
      <c r="I1820" s="282"/>
      <c r="J1820" s="283"/>
      <c r="K1820" s="265"/>
      <c r="L1820" s="265"/>
      <c r="M1820" s="269"/>
      <c r="N1820" s="270"/>
      <c r="O1820" s="271"/>
      <c r="P1820" s="271"/>
      <c r="Q1820" s="272"/>
      <c r="R1820" s="273"/>
      <c r="S1820" s="273"/>
      <c r="T1820" s="273"/>
      <c r="U1820" s="274"/>
      <c r="V1820" s="263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</row>
    <row r="1821">
      <c r="A1821" s="263"/>
      <c r="B1821" s="264"/>
      <c r="C1821" s="265"/>
      <c r="D1821" s="265"/>
      <c r="E1821" s="264"/>
      <c r="F1821" s="265"/>
      <c r="G1821" s="263"/>
      <c r="H1821" s="432"/>
      <c r="I1821" s="282"/>
      <c r="J1821" s="283"/>
      <c r="K1821" s="265"/>
      <c r="L1821" s="265"/>
      <c r="M1821" s="269"/>
      <c r="N1821" s="270"/>
      <c r="O1821" s="271"/>
      <c r="P1821" s="271"/>
      <c r="Q1821" s="272"/>
      <c r="R1821" s="273"/>
      <c r="S1821" s="273"/>
      <c r="T1821" s="273"/>
      <c r="U1821" s="274"/>
      <c r="V1821" s="263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</row>
    <row r="1822">
      <c r="A1822" s="263"/>
      <c r="B1822" s="264"/>
      <c r="C1822" s="265"/>
      <c r="D1822" s="265"/>
      <c r="E1822" s="264"/>
      <c r="F1822" s="265"/>
      <c r="G1822" s="263"/>
      <c r="H1822" s="432"/>
      <c r="I1822" s="282"/>
      <c r="J1822" s="283"/>
      <c r="K1822" s="265"/>
      <c r="L1822" s="265"/>
      <c r="M1822" s="269"/>
      <c r="N1822" s="270"/>
      <c r="O1822" s="271"/>
      <c r="P1822" s="271"/>
      <c r="Q1822" s="272"/>
      <c r="R1822" s="273"/>
      <c r="S1822" s="273"/>
      <c r="T1822" s="273"/>
      <c r="U1822" s="274"/>
      <c r="V1822" s="263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</row>
    <row r="1823">
      <c r="A1823" s="263"/>
      <c r="B1823" s="264"/>
      <c r="C1823" s="265"/>
      <c r="D1823" s="265"/>
      <c r="E1823" s="264"/>
      <c r="F1823" s="265"/>
      <c r="G1823" s="263"/>
      <c r="H1823" s="432"/>
      <c r="I1823" s="282"/>
      <c r="J1823" s="283"/>
      <c r="K1823" s="265"/>
      <c r="L1823" s="265"/>
      <c r="M1823" s="269"/>
      <c r="N1823" s="270"/>
      <c r="O1823" s="271"/>
      <c r="P1823" s="271"/>
      <c r="Q1823" s="272"/>
      <c r="R1823" s="273"/>
      <c r="S1823" s="273"/>
      <c r="T1823" s="273"/>
      <c r="U1823" s="274"/>
      <c r="V1823" s="263"/>
      <c r="W1823" s="188"/>
      <c r="X1823" s="188"/>
      <c r="Y1823" s="188"/>
      <c r="Z1823" s="188"/>
      <c r="AA1823" s="188"/>
      <c r="AB1823" s="188"/>
      <c r="AC1823" s="188"/>
      <c r="AD1823" s="188"/>
      <c r="AE1823" s="188"/>
      <c r="AF1823" s="188"/>
      <c r="AG1823" s="188"/>
      <c r="AH1823" s="188"/>
      <c r="AI1823" s="188"/>
    </row>
    <row r="1824">
      <c r="A1824" s="263"/>
      <c r="B1824" s="264"/>
      <c r="C1824" s="265"/>
      <c r="D1824" s="265"/>
      <c r="E1824" s="264"/>
      <c r="F1824" s="265"/>
      <c r="G1824" s="263"/>
      <c r="H1824" s="432"/>
      <c r="I1824" s="282"/>
      <c r="J1824" s="283"/>
      <c r="K1824" s="265"/>
      <c r="L1824" s="265"/>
      <c r="M1824" s="269"/>
      <c r="N1824" s="270"/>
      <c r="O1824" s="271"/>
      <c r="P1824" s="271"/>
      <c r="Q1824" s="272"/>
      <c r="R1824" s="273"/>
      <c r="S1824" s="273"/>
      <c r="T1824" s="273"/>
      <c r="U1824" s="274"/>
      <c r="V1824" s="263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</row>
    <row r="1825">
      <c r="A1825" s="263"/>
      <c r="B1825" s="264"/>
      <c r="C1825" s="265"/>
      <c r="D1825" s="265"/>
      <c r="E1825" s="264"/>
      <c r="F1825" s="265"/>
      <c r="G1825" s="263"/>
      <c r="H1825" s="432"/>
      <c r="I1825" s="282"/>
      <c r="J1825" s="283"/>
      <c r="K1825" s="265"/>
      <c r="L1825" s="265"/>
      <c r="M1825" s="269"/>
      <c r="N1825" s="270"/>
      <c r="O1825" s="271"/>
      <c r="P1825" s="271"/>
      <c r="Q1825" s="272"/>
      <c r="R1825" s="273"/>
      <c r="S1825" s="273"/>
      <c r="T1825" s="273"/>
      <c r="U1825" s="274"/>
      <c r="V1825" s="263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</row>
    <row r="1826">
      <c r="A1826" s="263"/>
      <c r="B1826" s="264"/>
      <c r="C1826" s="265"/>
      <c r="D1826" s="265"/>
      <c r="E1826" s="264"/>
      <c r="F1826" s="265"/>
      <c r="G1826" s="263"/>
      <c r="H1826" s="432"/>
      <c r="I1826" s="282"/>
      <c r="J1826" s="283"/>
      <c r="K1826" s="265"/>
      <c r="L1826" s="265"/>
      <c r="M1826" s="269"/>
      <c r="N1826" s="270"/>
      <c r="O1826" s="271"/>
      <c r="P1826" s="271"/>
      <c r="Q1826" s="272"/>
      <c r="R1826" s="273"/>
      <c r="S1826" s="273"/>
      <c r="T1826" s="273"/>
      <c r="U1826" s="274"/>
      <c r="V1826" s="263"/>
      <c r="W1826" s="35"/>
      <c r="X1826" s="35"/>
      <c r="Y1826" s="35"/>
      <c r="Z1826" s="35"/>
      <c r="AA1826" s="35"/>
      <c r="AB1826" s="35"/>
      <c r="AC1826" s="35"/>
      <c r="AD1826" s="35"/>
      <c r="AE1826" s="35"/>
      <c r="AF1826" s="35"/>
      <c r="AG1826" s="35"/>
      <c r="AH1826" s="35"/>
      <c r="AI1826" s="35"/>
    </row>
    <row r="1827">
      <c r="A1827" s="263"/>
      <c r="B1827" s="264"/>
      <c r="C1827" s="265"/>
      <c r="D1827" s="265"/>
      <c r="E1827" s="264"/>
      <c r="F1827" s="265"/>
      <c r="G1827" s="263"/>
      <c r="H1827" s="432"/>
      <c r="I1827" s="282"/>
      <c r="J1827" s="283"/>
      <c r="K1827" s="265"/>
      <c r="L1827" s="265"/>
      <c r="M1827" s="269"/>
      <c r="N1827" s="270"/>
      <c r="O1827" s="271"/>
      <c r="P1827" s="271"/>
      <c r="Q1827" s="272"/>
      <c r="R1827" s="273"/>
      <c r="S1827" s="273"/>
      <c r="T1827" s="273"/>
      <c r="U1827" s="274"/>
      <c r="V1827" s="263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5"/>
      <c r="AG1827" s="35"/>
      <c r="AH1827" s="35"/>
      <c r="AI1827" s="35"/>
    </row>
    <row r="1828">
      <c r="A1828" s="263"/>
      <c r="B1828" s="264"/>
      <c r="C1828" s="265"/>
      <c r="D1828" s="265"/>
      <c r="E1828" s="264"/>
      <c r="F1828" s="265"/>
      <c r="G1828" s="263"/>
      <c r="H1828" s="432"/>
      <c r="I1828" s="282"/>
      <c r="J1828" s="283"/>
      <c r="K1828" s="265"/>
      <c r="L1828" s="265"/>
      <c r="M1828" s="269"/>
      <c r="N1828" s="270"/>
      <c r="O1828" s="271"/>
      <c r="P1828" s="271"/>
      <c r="Q1828" s="272"/>
      <c r="R1828" s="273"/>
      <c r="S1828" s="273"/>
      <c r="T1828" s="273"/>
      <c r="U1828" s="274"/>
      <c r="V1828" s="263"/>
      <c r="W1828" s="188"/>
      <c r="X1828" s="188"/>
      <c r="Y1828" s="188"/>
      <c r="Z1828" s="188"/>
      <c r="AA1828" s="188"/>
      <c r="AB1828" s="188"/>
      <c r="AC1828" s="188"/>
      <c r="AD1828" s="188"/>
      <c r="AE1828" s="188"/>
      <c r="AF1828" s="188"/>
      <c r="AG1828" s="188"/>
      <c r="AH1828" s="188"/>
      <c r="AI1828" s="188"/>
    </row>
    <row r="1829">
      <c r="A1829" s="263"/>
      <c r="B1829" s="264"/>
      <c r="C1829" s="265"/>
      <c r="D1829" s="265"/>
      <c r="E1829" s="264"/>
      <c r="F1829" s="265"/>
      <c r="G1829" s="263"/>
      <c r="H1829" s="432"/>
      <c r="I1829" s="282"/>
      <c r="J1829" s="283"/>
      <c r="K1829" s="265"/>
      <c r="L1829" s="265"/>
      <c r="M1829" s="269"/>
      <c r="N1829" s="270"/>
      <c r="O1829" s="271"/>
      <c r="P1829" s="271"/>
      <c r="Q1829" s="272"/>
      <c r="R1829" s="273"/>
      <c r="S1829" s="273"/>
      <c r="T1829" s="273"/>
      <c r="U1829" s="274"/>
      <c r="V1829" s="263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</row>
    <row r="1830">
      <c r="A1830" s="263"/>
      <c r="B1830" s="264"/>
      <c r="C1830" s="265"/>
      <c r="D1830" s="265"/>
      <c r="E1830" s="264"/>
      <c r="F1830" s="265"/>
      <c r="G1830" s="263"/>
      <c r="H1830" s="432"/>
      <c r="I1830" s="282"/>
      <c r="J1830" s="283"/>
      <c r="K1830" s="265"/>
      <c r="L1830" s="265"/>
      <c r="M1830" s="269"/>
      <c r="N1830" s="270"/>
      <c r="O1830" s="271"/>
      <c r="P1830" s="271"/>
      <c r="Q1830" s="272"/>
      <c r="R1830" s="273"/>
      <c r="S1830" s="273"/>
      <c r="T1830" s="273"/>
      <c r="U1830" s="274"/>
      <c r="V1830" s="263"/>
      <c r="W1830" s="35"/>
      <c r="X1830" s="35"/>
      <c r="Y1830" s="35"/>
      <c r="Z1830" s="35"/>
      <c r="AA1830" s="35"/>
      <c r="AB1830" s="35"/>
      <c r="AC1830" s="35"/>
      <c r="AD1830" s="35"/>
      <c r="AE1830" s="35"/>
      <c r="AF1830" s="35"/>
      <c r="AG1830" s="35"/>
      <c r="AH1830" s="35"/>
      <c r="AI1830" s="35"/>
    </row>
    <row r="1831">
      <c r="A1831" s="263"/>
      <c r="B1831" s="264"/>
      <c r="C1831" s="265"/>
      <c r="D1831" s="265"/>
      <c r="E1831" s="264"/>
      <c r="F1831" s="265"/>
      <c r="G1831" s="263"/>
      <c r="H1831" s="432"/>
      <c r="I1831" s="282"/>
      <c r="J1831" s="283"/>
      <c r="K1831" s="265"/>
      <c r="L1831" s="265"/>
      <c r="M1831" s="269"/>
      <c r="N1831" s="270"/>
      <c r="O1831" s="271"/>
      <c r="P1831" s="271"/>
      <c r="Q1831" s="272"/>
      <c r="R1831" s="273"/>
      <c r="S1831" s="273"/>
      <c r="T1831" s="273"/>
      <c r="U1831" s="274"/>
      <c r="V1831" s="263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</row>
    <row r="1832">
      <c r="A1832" s="263"/>
      <c r="B1832" s="264"/>
      <c r="C1832" s="265"/>
      <c r="D1832" s="265"/>
      <c r="E1832" s="264"/>
      <c r="F1832" s="265"/>
      <c r="G1832" s="263"/>
      <c r="H1832" s="432"/>
      <c r="I1832" s="282"/>
      <c r="J1832" s="283"/>
      <c r="K1832" s="265"/>
      <c r="L1832" s="265"/>
      <c r="M1832" s="269"/>
      <c r="N1832" s="270"/>
      <c r="O1832" s="271"/>
      <c r="P1832" s="271"/>
      <c r="Q1832" s="272"/>
      <c r="R1832" s="273"/>
      <c r="S1832" s="273"/>
      <c r="T1832" s="273"/>
      <c r="U1832" s="274"/>
      <c r="V1832" s="263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</row>
    <row r="1833">
      <c r="A1833" s="263"/>
      <c r="B1833" s="264"/>
      <c r="C1833" s="265"/>
      <c r="D1833" s="265"/>
      <c r="E1833" s="264"/>
      <c r="F1833" s="265"/>
      <c r="G1833" s="263"/>
      <c r="H1833" s="432"/>
      <c r="I1833" s="282"/>
      <c r="J1833" s="283"/>
      <c r="K1833" s="265"/>
      <c r="L1833" s="265"/>
      <c r="M1833" s="269"/>
      <c r="N1833" s="270"/>
      <c r="O1833" s="271"/>
      <c r="P1833" s="271"/>
      <c r="Q1833" s="272"/>
      <c r="R1833" s="273"/>
      <c r="S1833" s="273"/>
      <c r="T1833" s="273"/>
      <c r="U1833" s="274"/>
      <c r="V1833" s="263"/>
      <c r="W1833" s="188"/>
      <c r="X1833" s="188"/>
      <c r="Y1833" s="188"/>
      <c r="Z1833" s="188"/>
      <c r="AA1833" s="188"/>
      <c r="AB1833" s="188"/>
      <c r="AC1833" s="188"/>
      <c r="AD1833" s="188"/>
      <c r="AE1833" s="188"/>
      <c r="AF1833" s="188"/>
      <c r="AG1833" s="188"/>
      <c r="AH1833" s="188"/>
      <c r="AI1833" s="188"/>
    </row>
    <row r="1834">
      <c r="A1834" s="263"/>
      <c r="B1834" s="264"/>
      <c r="C1834" s="265"/>
      <c r="D1834" s="265"/>
      <c r="E1834" s="264"/>
      <c r="F1834" s="265"/>
      <c r="G1834" s="263"/>
      <c r="H1834" s="432"/>
      <c r="I1834" s="282"/>
      <c r="J1834" s="283"/>
      <c r="K1834" s="265"/>
      <c r="L1834" s="265"/>
      <c r="M1834" s="269"/>
      <c r="N1834" s="270"/>
      <c r="O1834" s="271"/>
      <c r="P1834" s="271"/>
      <c r="Q1834" s="272"/>
      <c r="R1834" s="273"/>
      <c r="S1834" s="273"/>
      <c r="T1834" s="273"/>
      <c r="U1834" s="274"/>
      <c r="V1834" s="263"/>
      <c r="W1834" s="188"/>
      <c r="X1834" s="188"/>
      <c r="Y1834" s="188"/>
      <c r="Z1834" s="188"/>
      <c r="AA1834" s="188"/>
      <c r="AB1834" s="188"/>
      <c r="AC1834" s="188"/>
      <c r="AD1834" s="188"/>
      <c r="AE1834" s="188"/>
      <c r="AF1834" s="188"/>
      <c r="AG1834" s="188"/>
      <c r="AH1834" s="188"/>
      <c r="AI1834" s="188"/>
    </row>
    <row r="1835">
      <c r="A1835" s="263"/>
      <c r="B1835" s="264"/>
      <c r="C1835" s="265"/>
      <c r="D1835" s="265"/>
      <c r="E1835" s="264"/>
      <c r="F1835" s="265"/>
      <c r="G1835" s="263"/>
      <c r="H1835" s="432"/>
      <c r="I1835" s="282"/>
      <c r="J1835" s="283"/>
      <c r="K1835" s="265"/>
      <c r="L1835" s="265"/>
      <c r="M1835" s="269"/>
      <c r="N1835" s="270"/>
      <c r="O1835" s="271"/>
      <c r="P1835" s="271"/>
      <c r="Q1835" s="272"/>
      <c r="R1835" s="273"/>
      <c r="S1835" s="273"/>
      <c r="T1835" s="273"/>
      <c r="U1835" s="274"/>
      <c r="V1835" s="263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</row>
    <row r="1836">
      <c r="A1836" s="263"/>
      <c r="B1836" s="264"/>
      <c r="C1836" s="265"/>
      <c r="D1836" s="265"/>
      <c r="E1836" s="264"/>
      <c r="F1836" s="265"/>
      <c r="G1836" s="263"/>
      <c r="H1836" s="432"/>
      <c r="I1836" s="282"/>
      <c r="J1836" s="283"/>
      <c r="K1836" s="265"/>
      <c r="L1836" s="265"/>
      <c r="M1836" s="269"/>
      <c r="N1836" s="270"/>
      <c r="O1836" s="271"/>
      <c r="P1836" s="271"/>
      <c r="Q1836" s="272"/>
      <c r="R1836" s="273"/>
      <c r="S1836" s="273"/>
      <c r="T1836" s="273"/>
      <c r="U1836" s="274"/>
      <c r="V1836" s="263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</row>
    <row r="1837">
      <c r="A1837" s="263"/>
      <c r="B1837" s="264"/>
      <c r="C1837" s="265"/>
      <c r="D1837" s="265"/>
      <c r="E1837" s="264"/>
      <c r="F1837" s="265"/>
      <c r="G1837" s="263"/>
      <c r="H1837" s="432"/>
      <c r="I1837" s="282"/>
      <c r="J1837" s="283"/>
      <c r="K1837" s="265"/>
      <c r="L1837" s="265"/>
      <c r="M1837" s="269"/>
      <c r="N1837" s="270"/>
      <c r="O1837" s="271"/>
      <c r="P1837" s="271"/>
      <c r="Q1837" s="272"/>
      <c r="R1837" s="273"/>
      <c r="S1837" s="273"/>
      <c r="T1837" s="273"/>
      <c r="U1837" s="274"/>
      <c r="V1837" s="263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</row>
    <row r="1838">
      <c r="A1838" s="263"/>
      <c r="B1838" s="264"/>
      <c r="C1838" s="265"/>
      <c r="D1838" s="265"/>
      <c r="E1838" s="264"/>
      <c r="F1838" s="265"/>
      <c r="G1838" s="263"/>
      <c r="H1838" s="432"/>
      <c r="I1838" s="282"/>
      <c r="J1838" s="283"/>
      <c r="K1838" s="265"/>
      <c r="L1838" s="265"/>
      <c r="M1838" s="269"/>
      <c r="N1838" s="270"/>
      <c r="O1838" s="271"/>
      <c r="P1838" s="271"/>
      <c r="Q1838" s="272"/>
      <c r="R1838" s="273"/>
      <c r="S1838" s="273"/>
      <c r="T1838" s="273"/>
      <c r="U1838" s="274"/>
      <c r="V1838" s="263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</row>
    <row r="1839">
      <c r="A1839" s="263"/>
      <c r="B1839" s="264"/>
      <c r="C1839" s="265"/>
      <c r="D1839" s="265"/>
      <c r="E1839" s="264"/>
      <c r="F1839" s="265"/>
      <c r="G1839" s="263"/>
      <c r="H1839" s="432"/>
      <c r="I1839" s="282"/>
      <c r="J1839" s="283"/>
      <c r="K1839" s="265"/>
      <c r="L1839" s="265"/>
      <c r="M1839" s="269"/>
      <c r="N1839" s="270"/>
      <c r="O1839" s="271"/>
      <c r="P1839" s="271"/>
      <c r="Q1839" s="272"/>
      <c r="R1839" s="273"/>
      <c r="S1839" s="273"/>
      <c r="T1839" s="273"/>
      <c r="U1839" s="274"/>
      <c r="V1839" s="263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</row>
    <row r="1840">
      <c r="A1840" s="263"/>
      <c r="B1840" s="264"/>
      <c r="C1840" s="265"/>
      <c r="D1840" s="265"/>
      <c r="E1840" s="264"/>
      <c r="F1840" s="265"/>
      <c r="G1840" s="263"/>
      <c r="H1840" s="432"/>
      <c r="I1840" s="282"/>
      <c r="J1840" s="283"/>
      <c r="K1840" s="265"/>
      <c r="L1840" s="265"/>
      <c r="M1840" s="269"/>
      <c r="N1840" s="270"/>
      <c r="O1840" s="271"/>
      <c r="P1840" s="271"/>
      <c r="Q1840" s="272"/>
      <c r="R1840" s="273"/>
      <c r="S1840" s="273"/>
      <c r="T1840" s="273"/>
      <c r="U1840" s="274"/>
      <c r="V1840" s="263"/>
      <c r="W1840" s="35"/>
      <c r="X1840" s="35"/>
      <c r="Y1840" s="35"/>
      <c r="Z1840" s="35"/>
      <c r="AA1840" s="35"/>
      <c r="AB1840" s="35"/>
      <c r="AC1840" s="35"/>
      <c r="AD1840" s="35"/>
      <c r="AE1840" s="35"/>
      <c r="AF1840" s="35"/>
      <c r="AG1840" s="35"/>
      <c r="AH1840" s="35"/>
      <c r="AI1840" s="35"/>
    </row>
    <row r="1841">
      <c r="A1841" s="263"/>
      <c r="B1841" s="264"/>
      <c r="C1841" s="265"/>
      <c r="D1841" s="265"/>
      <c r="E1841" s="264"/>
      <c r="F1841" s="265"/>
      <c r="G1841" s="263"/>
      <c r="H1841" s="432"/>
      <c r="I1841" s="282"/>
      <c r="J1841" s="283"/>
      <c r="K1841" s="265"/>
      <c r="L1841" s="265"/>
      <c r="M1841" s="269"/>
      <c r="N1841" s="270"/>
      <c r="O1841" s="271"/>
      <c r="P1841" s="271"/>
      <c r="Q1841" s="272"/>
      <c r="R1841" s="273"/>
      <c r="S1841" s="273"/>
      <c r="T1841" s="273"/>
      <c r="U1841" s="274"/>
      <c r="V1841" s="263"/>
      <c r="W1841" s="36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</row>
    <row r="1842">
      <c r="A1842" s="263"/>
      <c r="B1842" s="264"/>
      <c r="C1842" s="265"/>
      <c r="D1842" s="265"/>
      <c r="E1842" s="264"/>
      <c r="F1842" s="265"/>
      <c r="G1842" s="263"/>
      <c r="H1842" s="432"/>
      <c r="I1842" s="282"/>
      <c r="J1842" s="283"/>
      <c r="K1842" s="265"/>
      <c r="L1842" s="265"/>
      <c r="M1842" s="269"/>
      <c r="N1842" s="270"/>
      <c r="O1842" s="271"/>
      <c r="P1842" s="271"/>
      <c r="Q1842" s="272"/>
      <c r="R1842" s="273"/>
      <c r="S1842" s="273"/>
      <c r="T1842" s="273"/>
      <c r="U1842" s="274"/>
      <c r="V1842" s="263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</row>
    <row r="1843">
      <c r="A1843" s="263"/>
      <c r="B1843" s="264"/>
      <c r="C1843" s="265"/>
      <c r="D1843" s="265"/>
      <c r="E1843" s="264"/>
      <c r="F1843" s="265"/>
      <c r="G1843" s="263"/>
      <c r="H1843" s="432"/>
      <c r="I1843" s="282"/>
      <c r="J1843" s="283"/>
      <c r="K1843" s="265"/>
      <c r="L1843" s="265"/>
      <c r="M1843" s="269"/>
      <c r="N1843" s="270"/>
      <c r="O1843" s="271"/>
      <c r="P1843" s="271"/>
      <c r="Q1843" s="272"/>
      <c r="R1843" s="273"/>
      <c r="S1843" s="273"/>
      <c r="T1843" s="273"/>
      <c r="U1843" s="274"/>
      <c r="V1843" s="263"/>
      <c r="W1843" s="188"/>
      <c r="X1843" s="188"/>
      <c r="Y1843" s="188"/>
      <c r="Z1843" s="188"/>
      <c r="AA1843" s="188"/>
      <c r="AB1843" s="188"/>
      <c r="AC1843" s="188"/>
      <c r="AD1843" s="188"/>
      <c r="AE1843" s="188"/>
      <c r="AF1843" s="188"/>
      <c r="AG1843" s="188"/>
      <c r="AH1843" s="188"/>
      <c r="AI1843" s="188"/>
    </row>
    <row r="1844">
      <c r="A1844" s="263"/>
      <c r="B1844" s="264"/>
      <c r="C1844" s="265"/>
      <c r="D1844" s="265"/>
      <c r="E1844" s="264"/>
      <c r="F1844" s="265"/>
      <c r="G1844" s="263"/>
      <c r="H1844" s="432"/>
      <c r="I1844" s="282"/>
      <c r="J1844" s="283"/>
      <c r="K1844" s="265"/>
      <c r="L1844" s="265"/>
      <c r="M1844" s="269"/>
      <c r="N1844" s="270"/>
      <c r="O1844" s="271"/>
      <c r="P1844" s="271"/>
      <c r="Q1844" s="272"/>
      <c r="R1844" s="273"/>
      <c r="S1844" s="273"/>
      <c r="T1844" s="273"/>
      <c r="U1844" s="274"/>
      <c r="V1844" s="263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</row>
    <row r="1845">
      <c r="A1845" s="263"/>
      <c r="B1845" s="264"/>
      <c r="C1845" s="265"/>
      <c r="D1845" s="265"/>
      <c r="E1845" s="264"/>
      <c r="F1845" s="265"/>
      <c r="G1845" s="263"/>
      <c r="H1845" s="432"/>
      <c r="I1845" s="282"/>
      <c r="J1845" s="283"/>
      <c r="K1845" s="265"/>
      <c r="L1845" s="265"/>
      <c r="M1845" s="269"/>
      <c r="N1845" s="270"/>
      <c r="O1845" s="271"/>
      <c r="P1845" s="271"/>
      <c r="Q1845" s="272"/>
      <c r="R1845" s="273"/>
      <c r="S1845" s="273"/>
      <c r="T1845" s="273"/>
      <c r="U1845" s="274"/>
      <c r="V1845" s="263"/>
      <c r="W1845" s="188"/>
      <c r="X1845" s="188"/>
      <c r="Y1845" s="188"/>
      <c r="Z1845" s="188"/>
      <c r="AA1845" s="188"/>
      <c r="AB1845" s="188"/>
      <c r="AC1845" s="188"/>
      <c r="AD1845" s="188"/>
      <c r="AE1845" s="188"/>
      <c r="AF1845" s="188"/>
      <c r="AG1845" s="188"/>
      <c r="AH1845" s="188"/>
      <c r="AI1845" s="188"/>
    </row>
    <row r="1846">
      <c r="A1846" s="263"/>
      <c r="B1846" s="264"/>
      <c r="C1846" s="265"/>
      <c r="D1846" s="265"/>
      <c r="E1846" s="264"/>
      <c r="F1846" s="265"/>
      <c r="G1846" s="263"/>
      <c r="H1846" s="432"/>
      <c r="I1846" s="282"/>
      <c r="J1846" s="283"/>
      <c r="K1846" s="265"/>
      <c r="L1846" s="265"/>
      <c r="M1846" s="269"/>
      <c r="N1846" s="270"/>
      <c r="O1846" s="271"/>
      <c r="P1846" s="271"/>
      <c r="Q1846" s="272"/>
      <c r="R1846" s="273"/>
      <c r="S1846" s="273"/>
      <c r="T1846" s="273"/>
      <c r="U1846" s="274"/>
      <c r="V1846" s="263"/>
      <c r="W1846" s="35"/>
      <c r="X1846" s="35"/>
      <c r="Y1846" s="35"/>
      <c r="Z1846" s="35"/>
      <c r="AA1846" s="35"/>
      <c r="AB1846" s="35"/>
      <c r="AC1846" s="35"/>
      <c r="AD1846" s="35"/>
      <c r="AE1846" s="35"/>
      <c r="AF1846" s="35"/>
      <c r="AG1846" s="35"/>
      <c r="AH1846" s="35"/>
      <c r="AI1846" s="35"/>
    </row>
    <row r="1847">
      <c r="A1847" s="263"/>
      <c r="B1847" s="264"/>
      <c r="C1847" s="265"/>
      <c r="D1847" s="265"/>
      <c r="E1847" s="264"/>
      <c r="F1847" s="265"/>
      <c r="G1847" s="263"/>
      <c r="H1847" s="432"/>
      <c r="I1847" s="282"/>
      <c r="J1847" s="283"/>
      <c r="K1847" s="265"/>
      <c r="L1847" s="265"/>
      <c r="M1847" s="269"/>
      <c r="N1847" s="270"/>
      <c r="O1847" s="271"/>
      <c r="P1847" s="271"/>
      <c r="Q1847" s="272"/>
      <c r="R1847" s="273"/>
      <c r="S1847" s="273"/>
      <c r="T1847" s="273"/>
      <c r="U1847" s="274"/>
      <c r="V1847" s="263"/>
      <c r="W1847" s="188"/>
      <c r="X1847" s="188"/>
      <c r="Y1847" s="188"/>
      <c r="Z1847" s="188"/>
      <c r="AA1847" s="188"/>
      <c r="AB1847" s="188"/>
      <c r="AC1847" s="188"/>
      <c r="AD1847" s="188"/>
      <c r="AE1847" s="188"/>
      <c r="AF1847" s="188"/>
      <c r="AG1847" s="188"/>
      <c r="AH1847" s="188"/>
      <c r="AI1847" s="188"/>
    </row>
    <row r="1848">
      <c r="A1848" s="263"/>
      <c r="B1848" s="264"/>
      <c r="C1848" s="265"/>
      <c r="D1848" s="265"/>
      <c r="E1848" s="264"/>
      <c r="F1848" s="265"/>
      <c r="G1848" s="263"/>
      <c r="H1848" s="432"/>
      <c r="I1848" s="282"/>
      <c r="J1848" s="283"/>
      <c r="K1848" s="265"/>
      <c r="L1848" s="265"/>
      <c r="M1848" s="269"/>
      <c r="N1848" s="270"/>
      <c r="O1848" s="271"/>
      <c r="P1848" s="271"/>
      <c r="Q1848" s="272"/>
      <c r="R1848" s="273"/>
      <c r="S1848" s="273"/>
      <c r="T1848" s="273"/>
      <c r="U1848" s="274"/>
      <c r="V1848" s="263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</row>
    <row r="1849">
      <c r="A1849" s="263"/>
      <c r="B1849" s="264"/>
      <c r="C1849" s="265"/>
      <c r="D1849" s="265"/>
      <c r="E1849" s="264"/>
      <c r="F1849" s="265"/>
      <c r="G1849" s="263"/>
      <c r="H1849" s="432"/>
      <c r="I1849" s="282"/>
      <c r="J1849" s="283"/>
      <c r="K1849" s="265"/>
      <c r="L1849" s="265"/>
      <c r="M1849" s="269"/>
      <c r="N1849" s="270"/>
      <c r="O1849" s="271"/>
      <c r="P1849" s="271"/>
      <c r="Q1849" s="272"/>
      <c r="R1849" s="273"/>
      <c r="S1849" s="273"/>
      <c r="T1849" s="273"/>
      <c r="U1849" s="274"/>
      <c r="V1849" s="263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</row>
    <row r="1850">
      <c r="A1850" s="263"/>
      <c r="B1850" s="264"/>
      <c r="C1850" s="265"/>
      <c r="D1850" s="265"/>
      <c r="E1850" s="264"/>
      <c r="F1850" s="265"/>
      <c r="G1850" s="263"/>
      <c r="H1850" s="432"/>
      <c r="I1850" s="282"/>
      <c r="J1850" s="283"/>
      <c r="K1850" s="265"/>
      <c r="L1850" s="265"/>
      <c r="M1850" s="269"/>
      <c r="N1850" s="270"/>
      <c r="O1850" s="271"/>
      <c r="P1850" s="271"/>
      <c r="Q1850" s="272"/>
      <c r="R1850" s="273"/>
      <c r="S1850" s="273"/>
      <c r="T1850" s="273"/>
      <c r="U1850" s="274"/>
      <c r="V1850" s="263"/>
      <c r="W1850" s="35"/>
      <c r="X1850" s="35"/>
      <c r="Y1850" s="35"/>
      <c r="Z1850" s="35"/>
      <c r="AA1850" s="35"/>
      <c r="AB1850" s="35"/>
      <c r="AC1850" s="35"/>
      <c r="AD1850" s="35"/>
      <c r="AE1850" s="35"/>
      <c r="AF1850" s="35"/>
      <c r="AG1850" s="35"/>
      <c r="AH1850" s="35"/>
      <c r="AI1850" s="35"/>
    </row>
    <row r="1851">
      <c r="A1851" s="263"/>
      <c r="B1851" s="264"/>
      <c r="C1851" s="265"/>
      <c r="D1851" s="265"/>
      <c r="E1851" s="264"/>
      <c r="F1851" s="265"/>
      <c r="G1851" s="263"/>
      <c r="H1851" s="432"/>
      <c r="I1851" s="282"/>
      <c r="J1851" s="283"/>
      <c r="K1851" s="265"/>
      <c r="L1851" s="265"/>
      <c r="M1851" s="269"/>
      <c r="N1851" s="270"/>
      <c r="O1851" s="271"/>
      <c r="P1851" s="271"/>
      <c r="Q1851" s="272"/>
      <c r="R1851" s="273"/>
      <c r="S1851" s="273"/>
      <c r="T1851" s="273"/>
      <c r="U1851" s="274"/>
      <c r="V1851" s="263"/>
      <c r="W1851" s="188"/>
      <c r="X1851" s="188"/>
      <c r="Y1851" s="188"/>
      <c r="Z1851" s="188"/>
      <c r="AA1851" s="188"/>
      <c r="AB1851" s="188"/>
      <c r="AC1851" s="188"/>
      <c r="AD1851" s="188"/>
      <c r="AE1851" s="188"/>
      <c r="AF1851" s="188"/>
      <c r="AG1851" s="188"/>
      <c r="AH1851" s="188"/>
      <c r="AI1851" s="188"/>
    </row>
    <row r="1852">
      <c r="A1852" s="263"/>
      <c r="B1852" s="264"/>
      <c r="C1852" s="265"/>
      <c r="D1852" s="265"/>
      <c r="E1852" s="264"/>
      <c r="F1852" s="265"/>
      <c r="G1852" s="263"/>
      <c r="H1852" s="432"/>
      <c r="I1852" s="282"/>
      <c r="J1852" s="283"/>
      <c r="K1852" s="265"/>
      <c r="L1852" s="265"/>
      <c r="M1852" s="269"/>
      <c r="N1852" s="270"/>
      <c r="O1852" s="271"/>
      <c r="P1852" s="271"/>
      <c r="Q1852" s="272"/>
      <c r="R1852" s="273"/>
      <c r="S1852" s="273"/>
      <c r="T1852" s="273"/>
      <c r="U1852" s="274"/>
      <c r="V1852" s="263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</row>
    <row r="1853">
      <c r="A1853" s="263"/>
      <c r="B1853" s="264"/>
      <c r="C1853" s="265"/>
      <c r="D1853" s="265"/>
      <c r="E1853" s="264"/>
      <c r="F1853" s="265"/>
      <c r="G1853" s="263"/>
      <c r="H1853" s="432"/>
      <c r="I1853" s="282"/>
      <c r="J1853" s="283"/>
      <c r="K1853" s="265"/>
      <c r="L1853" s="265"/>
      <c r="M1853" s="269"/>
      <c r="N1853" s="270"/>
      <c r="O1853" s="271"/>
      <c r="P1853" s="271"/>
      <c r="Q1853" s="272"/>
      <c r="R1853" s="273"/>
      <c r="S1853" s="273"/>
      <c r="T1853" s="273"/>
      <c r="U1853" s="274"/>
      <c r="V1853" s="263"/>
      <c r="W1853" s="188"/>
      <c r="X1853" s="188"/>
      <c r="Y1853" s="188"/>
      <c r="Z1853" s="188"/>
      <c r="AA1853" s="188"/>
      <c r="AB1853" s="188"/>
      <c r="AC1853" s="188"/>
      <c r="AD1853" s="188"/>
      <c r="AE1853" s="188"/>
      <c r="AF1853" s="188"/>
      <c r="AG1853" s="188"/>
      <c r="AH1853" s="188"/>
      <c r="AI1853" s="188"/>
    </row>
    <row r="1854">
      <c r="A1854" s="263"/>
      <c r="B1854" s="264"/>
      <c r="C1854" s="265"/>
      <c r="D1854" s="265"/>
      <c r="E1854" s="264"/>
      <c r="F1854" s="265"/>
      <c r="G1854" s="263"/>
      <c r="H1854" s="432"/>
      <c r="I1854" s="282"/>
      <c r="J1854" s="283"/>
      <c r="K1854" s="265"/>
      <c r="L1854" s="265"/>
      <c r="M1854" s="269"/>
      <c r="N1854" s="270"/>
      <c r="O1854" s="271"/>
      <c r="P1854" s="271"/>
      <c r="Q1854" s="272"/>
      <c r="R1854" s="273"/>
      <c r="S1854" s="273"/>
      <c r="T1854" s="273"/>
      <c r="U1854" s="274"/>
      <c r="V1854" s="263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</row>
    <row r="1855">
      <c r="A1855" s="263"/>
      <c r="B1855" s="264"/>
      <c r="C1855" s="265"/>
      <c r="D1855" s="265"/>
      <c r="E1855" s="264"/>
      <c r="F1855" s="265"/>
      <c r="G1855" s="263"/>
      <c r="H1855" s="432"/>
      <c r="I1855" s="282"/>
      <c r="J1855" s="283"/>
      <c r="K1855" s="265"/>
      <c r="L1855" s="265"/>
      <c r="M1855" s="269"/>
      <c r="N1855" s="270"/>
      <c r="O1855" s="271"/>
      <c r="P1855" s="271"/>
      <c r="Q1855" s="272"/>
      <c r="R1855" s="273"/>
      <c r="S1855" s="273"/>
      <c r="T1855" s="273"/>
      <c r="U1855" s="274"/>
      <c r="V1855" s="263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</row>
    <row r="1856">
      <c r="A1856" s="263"/>
      <c r="B1856" s="264"/>
      <c r="C1856" s="265"/>
      <c r="D1856" s="265"/>
      <c r="E1856" s="264"/>
      <c r="F1856" s="265"/>
      <c r="G1856" s="263"/>
      <c r="H1856" s="432"/>
      <c r="I1856" s="282"/>
      <c r="J1856" s="283"/>
      <c r="K1856" s="265"/>
      <c r="L1856" s="265"/>
      <c r="M1856" s="269"/>
      <c r="N1856" s="270"/>
      <c r="O1856" s="271"/>
      <c r="P1856" s="271"/>
      <c r="Q1856" s="272"/>
      <c r="R1856" s="273"/>
      <c r="S1856" s="273"/>
      <c r="T1856" s="273"/>
      <c r="U1856" s="274"/>
      <c r="V1856" s="263"/>
      <c r="W1856" s="36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</row>
    <row r="1857">
      <c r="A1857" s="263"/>
      <c r="B1857" s="264"/>
      <c r="C1857" s="265"/>
      <c r="D1857" s="265"/>
      <c r="E1857" s="264"/>
      <c r="F1857" s="265"/>
      <c r="G1857" s="263"/>
      <c r="H1857" s="432"/>
      <c r="I1857" s="282"/>
      <c r="J1857" s="283"/>
      <c r="K1857" s="265"/>
      <c r="L1857" s="265"/>
      <c r="M1857" s="269"/>
      <c r="N1857" s="270"/>
      <c r="O1857" s="271"/>
      <c r="P1857" s="271"/>
      <c r="Q1857" s="272"/>
      <c r="R1857" s="273"/>
      <c r="S1857" s="273"/>
      <c r="T1857" s="273"/>
      <c r="U1857" s="274"/>
      <c r="V1857" s="263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</row>
    <row r="1858">
      <c r="A1858" s="263"/>
      <c r="B1858" s="264"/>
      <c r="C1858" s="265"/>
      <c r="D1858" s="265"/>
      <c r="E1858" s="264"/>
      <c r="F1858" s="265"/>
      <c r="G1858" s="263"/>
      <c r="H1858" s="432"/>
      <c r="I1858" s="282"/>
      <c r="J1858" s="283"/>
      <c r="K1858" s="265"/>
      <c r="L1858" s="265"/>
      <c r="M1858" s="269"/>
      <c r="N1858" s="270"/>
      <c r="O1858" s="271"/>
      <c r="P1858" s="271"/>
      <c r="Q1858" s="272"/>
      <c r="R1858" s="273"/>
      <c r="S1858" s="273"/>
      <c r="T1858" s="273"/>
      <c r="U1858" s="274"/>
      <c r="V1858" s="263"/>
      <c r="W1858" s="35"/>
      <c r="X1858" s="35"/>
      <c r="Y1858" s="35"/>
      <c r="Z1858" s="35"/>
      <c r="AA1858" s="35"/>
      <c r="AB1858" s="35"/>
      <c r="AC1858" s="35"/>
      <c r="AD1858" s="35"/>
      <c r="AE1858" s="35"/>
      <c r="AF1858" s="35"/>
      <c r="AG1858" s="35"/>
      <c r="AH1858" s="35"/>
      <c r="AI1858" s="35"/>
    </row>
    <row r="1859">
      <c r="A1859" s="263"/>
      <c r="B1859" s="264"/>
      <c r="C1859" s="265"/>
      <c r="D1859" s="265"/>
      <c r="E1859" s="264"/>
      <c r="F1859" s="265"/>
      <c r="G1859" s="263"/>
      <c r="H1859" s="432"/>
      <c r="I1859" s="282"/>
      <c r="J1859" s="283"/>
      <c r="K1859" s="265"/>
      <c r="L1859" s="265"/>
      <c r="M1859" s="269"/>
      <c r="N1859" s="270"/>
      <c r="O1859" s="271"/>
      <c r="P1859" s="271"/>
      <c r="Q1859" s="272"/>
      <c r="R1859" s="273"/>
      <c r="S1859" s="273"/>
      <c r="T1859" s="273"/>
      <c r="U1859" s="274"/>
      <c r="V1859" s="263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</row>
    <row r="1860">
      <c r="A1860" s="263"/>
      <c r="B1860" s="264"/>
      <c r="C1860" s="265"/>
      <c r="D1860" s="265"/>
      <c r="E1860" s="264"/>
      <c r="F1860" s="265"/>
      <c r="G1860" s="263"/>
      <c r="H1860" s="432"/>
      <c r="I1860" s="282"/>
      <c r="J1860" s="283"/>
      <c r="K1860" s="265"/>
      <c r="L1860" s="265"/>
      <c r="M1860" s="269"/>
      <c r="N1860" s="270"/>
      <c r="O1860" s="271"/>
      <c r="P1860" s="271"/>
      <c r="Q1860" s="272"/>
      <c r="R1860" s="273"/>
      <c r="S1860" s="273"/>
      <c r="T1860" s="273"/>
      <c r="U1860" s="274"/>
      <c r="V1860" s="263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</row>
    <row r="1861">
      <c r="A1861" s="263"/>
      <c r="B1861" s="264"/>
      <c r="C1861" s="265"/>
      <c r="D1861" s="265"/>
      <c r="E1861" s="264"/>
      <c r="F1861" s="265"/>
      <c r="G1861" s="263"/>
      <c r="H1861" s="432"/>
      <c r="I1861" s="282"/>
      <c r="J1861" s="283"/>
      <c r="K1861" s="265"/>
      <c r="L1861" s="265"/>
      <c r="M1861" s="269"/>
      <c r="N1861" s="270"/>
      <c r="O1861" s="271"/>
      <c r="P1861" s="271"/>
      <c r="Q1861" s="272"/>
      <c r="R1861" s="273"/>
      <c r="S1861" s="273"/>
      <c r="T1861" s="273"/>
      <c r="U1861" s="274"/>
      <c r="V1861" s="263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</row>
    <row r="1862">
      <c r="A1862" s="263"/>
      <c r="B1862" s="264"/>
      <c r="C1862" s="265"/>
      <c r="D1862" s="265"/>
      <c r="E1862" s="264"/>
      <c r="F1862" s="265"/>
      <c r="G1862" s="263"/>
      <c r="H1862" s="432"/>
      <c r="I1862" s="282"/>
      <c r="J1862" s="283"/>
      <c r="K1862" s="265"/>
      <c r="L1862" s="265"/>
      <c r="M1862" s="269"/>
      <c r="N1862" s="270"/>
      <c r="O1862" s="271"/>
      <c r="P1862" s="271"/>
      <c r="Q1862" s="272"/>
      <c r="R1862" s="273"/>
      <c r="S1862" s="273"/>
      <c r="T1862" s="273"/>
      <c r="U1862" s="274"/>
      <c r="V1862" s="263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</row>
    <row r="1863">
      <c r="A1863" s="263"/>
      <c r="B1863" s="264"/>
      <c r="C1863" s="265"/>
      <c r="D1863" s="265"/>
      <c r="E1863" s="264"/>
      <c r="F1863" s="265"/>
      <c r="G1863" s="263"/>
      <c r="H1863" s="432"/>
      <c r="I1863" s="282"/>
      <c r="J1863" s="283"/>
      <c r="K1863" s="265"/>
      <c r="L1863" s="265"/>
      <c r="M1863" s="269"/>
      <c r="N1863" s="270"/>
      <c r="O1863" s="271"/>
      <c r="P1863" s="271"/>
      <c r="Q1863" s="272"/>
      <c r="R1863" s="273"/>
      <c r="S1863" s="273"/>
      <c r="T1863" s="273"/>
      <c r="U1863" s="274"/>
      <c r="V1863" s="263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</row>
    <row r="1864">
      <c r="A1864" s="263"/>
      <c r="B1864" s="264"/>
      <c r="C1864" s="265"/>
      <c r="D1864" s="265"/>
      <c r="E1864" s="264"/>
      <c r="F1864" s="265"/>
      <c r="G1864" s="263"/>
      <c r="H1864" s="432"/>
      <c r="I1864" s="282"/>
      <c r="J1864" s="283"/>
      <c r="K1864" s="265"/>
      <c r="L1864" s="265"/>
      <c r="M1864" s="269"/>
      <c r="N1864" s="270"/>
      <c r="O1864" s="271"/>
      <c r="P1864" s="271"/>
      <c r="Q1864" s="272"/>
      <c r="R1864" s="273"/>
      <c r="S1864" s="273"/>
      <c r="T1864" s="273"/>
      <c r="U1864" s="274"/>
      <c r="V1864" s="263"/>
      <c r="W1864" s="188"/>
      <c r="X1864" s="188"/>
      <c r="Y1864" s="188"/>
      <c r="Z1864" s="188"/>
      <c r="AA1864" s="188"/>
      <c r="AB1864" s="188"/>
      <c r="AC1864" s="188"/>
      <c r="AD1864" s="188"/>
      <c r="AE1864" s="188"/>
      <c r="AF1864" s="188"/>
      <c r="AG1864" s="188"/>
      <c r="AH1864" s="188"/>
      <c r="AI1864" s="188"/>
    </row>
    <row r="1865">
      <c r="A1865" s="263"/>
      <c r="B1865" s="264"/>
      <c r="C1865" s="265"/>
      <c r="D1865" s="265"/>
      <c r="E1865" s="264"/>
      <c r="F1865" s="265"/>
      <c r="G1865" s="263"/>
      <c r="H1865" s="432"/>
      <c r="I1865" s="282"/>
      <c r="J1865" s="283"/>
      <c r="K1865" s="265"/>
      <c r="L1865" s="265"/>
      <c r="M1865" s="269"/>
      <c r="N1865" s="270"/>
      <c r="O1865" s="271"/>
      <c r="P1865" s="271"/>
      <c r="Q1865" s="272"/>
      <c r="R1865" s="273"/>
      <c r="S1865" s="273"/>
      <c r="T1865" s="273"/>
      <c r="U1865" s="274"/>
      <c r="V1865" s="263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</row>
    <row r="1866">
      <c r="A1866" s="263"/>
      <c r="B1866" s="264"/>
      <c r="C1866" s="265"/>
      <c r="D1866" s="265"/>
      <c r="E1866" s="264"/>
      <c r="F1866" s="265"/>
      <c r="G1866" s="263"/>
      <c r="H1866" s="432"/>
      <c r="I1866" s="282"/>
      <c r="J1866" s="283"/>
      <c r="K1866" s="265"/>
      <c r="L1866" s="265"/>
      <c r="M1866" s="269"/>
      <c r="N1866" s="270"/>
      <c r="O1866" s="271"/>
      <c r="P1866" s="271"/>
      <c r="Q1866" s="272"/>
      <c r="R1866" s="273"/>
      <c r="S1866" s="273"/>
      <c r="T1866" s="273"/>
      <c r="U1866" s="274"/>
      <c r="V1866" s="263"/>
      <c r="W1866" s="35"/>
      <c r="X1866" s="35"/>
      <c r="Y1866" s="35"/>
      <c r="Z1866" s="35"/>
      <c r="AA1866" s="35"/>
      <c r="AB1866" s="35"/>
      <c r="AC1866" s="35"/>
      <c r="AD1866" s="35"/>
      <c r="AE1866" s="35"/>
      <c r="AF1866" s="35"/>
      <c r="AG1866" s="35"/>
      <c r="AH1866" s="35"/>
      <c r="AI1866" s="35"/>
    </row>
    <row r="1867">
      <c r="A1867" s="263"/>
      <c r="B1867" s="264"/>
      <c r="C1867" s="265"/>
      <c r="D1867" s="265"/>
      <c r="E1867" s="264"/>
      <c r="F1867" s="265"/>
      <c r="G1867" s="263"/>
      <c r="H1867" s="432"/>
      <c r="I1867" s="282"/>
      <c r="J1867" s="283"/>
      <c r="K1867" s="265"/>
      <c r="L1867" s="265"/>
      <c r="M1867" s="269"/>
      <c r="N1867" s="270"/>
      <c r="O1867" s="271"/>
      <c r="P1867" s="271"/>
      <c r="Q1867" s="272"/>
      <c r="R1867" s="273"/>
      <c r="S1867" s="273"/>
      <c r="T1867" s="273"/>
      <c r="U1867" s="274"/>
      <c r="V1867" s="263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</row>
    <row r="1868">
      <c r="A1868" s="263"/>
      <c r="B1868" s="264"/>
      <c r="C1868" s="265"/>
      <c r="D1868" s="265"/>
      <c r="E1868" s="264"/>
      <c r="F1868" s="265"/>
      <c r="G1868" s="263"/>
      <c r="H1868" s="432"/>
      <c r="I1868" s="282"/>
      <c r="J1868" s="283"/>
      <c r="K1868" s="265"/>
      <c r="L1868" s="265"/>
      <c r="M1868" s="269"/>
      <c r="N1868" s="270"/>
      <c r="O1868" s="271"/>
      <c r="P1868" s="271"/>
      <c r="Q1868" s="272"/>
      <c r="R1868" s="273"/>
      <c r="S1868" s="273"/>
      <c r="T1868" s="273"/>
      <c r="U1868" s="274"/>
      <c r="V1868" s="263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</row>
    <row r="1869">
      <c r="A1869" s="263"/>
      <c r="B1869" s="264"/>
      <c r="C1869" s="265"/>
      <c r="D1869" s="265"/>
      <c r="E1869" s="264"/>
      <c r="F1869" s="265"/>
      <c r="G1869" s="263"/>
      <c r="H1869" s="432"/>
      <c r="I1869" s="282"/>
      <c r="J1869" s="283"/>
      <c r="K1869" s="265"/>
      <c r="L1869" s="265"/>
      <c r="M1869" s="269"/>
      <c r="N1869" s="270"/>
      <c r="O1869" s="271"/>
      <c r="P1869" s="271"/>
      <c r="Q1869" s="272"/>
      <c r="R1869" s="273"/>
      <c r="S1869" s="273"/>
      <c r="T1869" s="273"/>
      <c r="U1869" s="274"/>
      <c r="V1869" s="263"/>
      <c r="W1869" s="35"/>
      <c r="X1869" s="35"/>
      <c r="Y1869" s="35"/>
      <c r="Z1869" s="35"/>
      <c r="AA1869" s="35"/>
      <c r="AB1869" s="35"/>
      <c r="AC1869" s="35"/>
      <c r="AD1869" s="35"/>
      <c r="AE1869" s="35"/>
      <c r="AF1869" s="35"/>
      <c r="AG1869" s="35"/>
      <c r="AH1869" s="35"/>
      <c r="AI1869" s="35"/>
    </row>
    <row r="1870">
      <c r="A1870" s="263"/>
      <c r="B1870" s="264"/>
      <c r="C1870" s="265"/>
      <c r="D1870" s="265"/>
      <c r="E1870" s="264"/>
      <c r="F1870" s="265"/>
      <c r="G1870" s="263"/>
      <c r="H1870" s="432"/>
      <c r="I1870" s="282"/>
      <c r="J1870" s="283"/>
      <c r="K1870" s="265"/>
      <c r="L1870" s="265"/>
      <c r="M1870" s="269"/>
      <c r="N1870" s="270"/>
      <c r="O1870" s="271"/>
      <c r="P1870" s="271"/>
      <c r="Q1870" s="272"/>
      <c r="R1870" s="273"/>
      <c r="S1870" s="273"/>
      <c r="T1870" s="273"/>
      <c r="U1870" s="274"/>
      <c r="V1870" s="263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</row>
    <row r="1871">
      <c r="A1871" s="263"/>
      <c r="B1871" s="264"/>
      <c r="C1871" s="265"/>
      <c r="D1871" s="265"/>
      <c r="E1871" s="264"/>
      <c r="F1871" s="265"/>
      <c r="G1871" s="263"/>
      <c r="H1871" s="432"/>
      <c r="I1871" s="282"/>
      <c r="J1871" s="283"/>
      <c r="K1871" s="265"/>
      <c r="L1871" s="265"/>
      <c r="M1871" s="269"/>
      <c r="N1871" s="270"/>
      <c r="O1871" s="271"/>
      <c r="P1871" s="271"/>
      <c r="Q1871" s="272"/>
      <c r="R1871" s="273"/>
      <c r="S1871" s="273"/>
      <c r="T1871" s="273"/>
      <c r="U1871" s="274"/>
      <c r="V1871" s="263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</row>
    <row r="1872">
      <c r="A1872" s="263"/>
      <c r="B1872" s="264"/>
      <c r="C1872" s="265"/>
      <c r="D1872" s="265"/>
      <c r="E1872" s="264"/>
      <c r="F1872" s="265"/>
      <c r="G1872" s="263"/>
      <c r="H1872" s="432"/>
      <c r="I1872" s="282"/>
      <c r="J1872" s="283"/>
      <c r="K1872" s="265"/>
      <c r="L1872" s="265"/>
      <c r="M1872" s="269"/>
      <c r="N1872" s="270"/>
      <c r="O1872" s="271"/>
      <c r="P1872" s="271"/>
      <c r="Q1872" s="272"/>
      <c r="R1872" s="273"/>
      <c r="S1872" s="273"/>
      <c r="T1872" s="273"/>
      <c r="U1872" s="274"/>
      <c r="V1872" s="263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</row>
    <row r="1873">
      <c r="A1873" s="263"/>
      <c r="B1873" s="264"/>
      <c r="C1873" s="265"/>
      <c r="D1873" s="265"/>
      <c r="E1873" s="264"/>
      <c r="F1873" s="265"/>
      <c r="G1873" s="263"/>
      <c r="H1873" s="432"/>
      <c r="I1873" s="282"/>
      <c r="J1873" s="283"/>
      <c r="K1873" s="265"/>
      <c r="L1873" s="265"/>
      <c r="M1873" s="269"/>
      <c r="N1873" s="270"/>
      <c r="O1873" s="271"/>
      <c r="P1873" s="271"/>
      <c r="Q1873" s="272"/>
      <c r="R1873" s="273"/>
      <c r="S1873" s="273"/>
      <c r="T1873" s="273"/>
      <c r="U1873" s="274"/>
      <c r="V1873" s="263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</row>
    <row r="1874">
      <c r="A1874" s="263"/>
      <c r="B1874" s="264"/>
      <c r="C1874" s="265"/>
      <c r="D1874" s="265"/>
      <c r="E1874" s="264"/>
      <c r="F1874" s="265"/>
      <c r="G1874" s="263"/>
      <c r="H1874" s="432"/>
      <c r="I1874" s="282"/>
      <c r="J1874" s="283"/>
      <c r="K1874" s="265"/>
      <c r="L1874" s="265"/>
      <c r="M1874" s="269"/>
      <c r="N1874" s="270"/>
      <c r="O1874" s="271"/>
      <c r="P1874" s="271"/>
      <c r="Q1874" s="272"/>
      <c r="R1874" s="273"/>
      <c r="S1874" s="273"/>
      <c r="T1874" s="273"/>
      <c r="U1874" s="274"/>
      <c r="V1874" s="263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</row>
    <row r="1875">
      <c r="A1875" s="263"/>
      <c r="B1875" s="264"/>
      <c r="C1875" s="265"/>
      <c r="D1875" s="265"/>
      <c r="E1875" s="264"/>
      <c r="F1875" s="265"/>
      <c r="G1875" s="263"/>
      <c r="H1875" s="432"/>
      <c r="I1875" s="282"/>
      <c r="J1875" s="283"/>
      <c r="K1875" s="265"/>
      <c r="L1875" s="265"/>
      <c r="M1875" s="269"/>
      <c r="N1875" s="270"/>
      <c r="O1875" s="271"/>
      <c r="P1875" s="271"/>
      <c r="Q1875" s="272"/>
      <c r="R1875" s="273"/>
      <c r="S1875" s="273"/>
      <c r="T1875" s="273"/>
      <c r="U1875" s="274"/>
      <c r="V1875" s="263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</row>
    <row r="1876">
      <c r="A1876" s="263"/>
      <c r="B1876" s="264"/>
      <c r="C1876" s="265"/>
      <c r="D1876" s="265"/>
      <c r="E1876" s="264"/>
      <c r="F1876" s="265"/>
      <c r="G1876" s="263"/>
      <c r="H1876" s="432"/>
      <c r="I1876" s="282"/>
      <c r="J1876" s="283"/>
      <c r="K1876" s="265"/>
      <c r="L1876" s="265"/>
      <c r="M1876" s="269"/>
      <c r="N1876" s="270"/>
      <c r="O1876" s="271"/>
      <c r="P1876" s="271"/>
      <c r="Q1876" s="272"/>
      <c r="R1876" s="273"/>
      <c r="S1876" s="273"/>
      <c r="T1876" s="273"/>
      <c r="U1876" s="274"/>
      <c r="V1876" s="263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</row>
    <row r="1877">
      <c r="A1877" s="263"/>
      <c r="B1877" s="264"/>
      <c r="C1877" s="265"/>
      <c r="D1877" s="265"/>
      <c r="E1877" s="264"/>
      <c r="F1877" s="265"/>
      <c r="G1877" s="263"/>
      <c r="H1877" s="432"/>
      <c r="I1877" s="282"/>
      <c r="J1877" s="283"/>
      <c r="K1877" s="265"/>
      <c r="L1877" s="265"/>
      <c r="M1877" s="269"/>
      <c r="N1877" s="270"/>
      <c r="O1877" s="271"/>
      <c r="P1877" s="271"/>
      <c r="Q1877" s="272"/>
      <c r="R1877" s="273"/>
      <c r="S1877" s="273"/>
      <c r="T1877" s="273"/>
      <c r="U1877" s="274"/>
      <c r="V1877" s="263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</row>
    <row r="1878">
      <c r="A1878" s="263"/>
      <c r="B1878" s="264"/>
      <c r="C1878" s="265"/>
      <c r="D1878" s="265"/>
      <c r="E1878" s="264"/>
      <c r="F1878" s="265"/>
      <c r="G1878" s="263"/>
      <c r="H1878" s="432"/>
      <c r="I1878" s="282"/>
      <c r="J1878" s="283"/>
      <c r="K1878" s="265"/>
      <c r="L1878" s="265"/>
      <c r="M1878" s="269"/>
      <c r="N1878" s="270"/>
      <c r="O1878" s="271"/>
      <c r="P1878" s="271"/>
      <c r="Q1878" s="272"/>
      <c r="R1878" s="273"/>
      <c r="S1878" s="273"/>
      <c r="T1878" s="273"/>
      <c r="U1878" s="274"/>
      <c r="V1878" s="263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</row>
    <row r="1879">
      <c r="A1879" s="263"/>
      <c r="B1879" s="264"/>
      <c r="C1879" s="265"/>
      <c r="D1879" s="265"/>
      <c r="E1879" s="264"/>
      <c r="F1879" s="265"/>
      <c r="G1879" s="263"/>
      <c r="H1879" s="432"/>
      <c r="I1879" s="282"/>
      <c r="J1879" s="283"/>
      <c r="K1879" s="265"/>
      <c r="L1879" s="265"/>
      <c r="M1879" s="269"/>
      <c r="N1879" s="270"/>
      <c r="O1879" s="271"/>
      <c r="P1879" s="271"/>
      <c r="Q1879" s="272"/>
      <c r="R1879" s="273"/>
      <c r="S1879" s="273"/>
      <c r="T1879" s="273"/>
      <c r="U1879" s="274"/>
      <c r="V1879" s="263"/>
      <c r="W1879" s="35"/>
      <c r="X1879" s="35"/>
      <c r="Y1879" s="35"/>
      <c r="Z1879" s="35"/>
      <c r="AA1879" s="35"/>
      <c r="AB1879" s="35"/>
      <c r="AC1879" s="35"/>
      <c r="AD1879" s="35"/>
      <c r="AE1879" s="35"/>
      <c r="AF1879" s="35"/>
      <c r="AG1879" s="35"/>
      <c r="AH1879" s="35"/>
      <c r="AI1879" s="35"/>
    </row>
    <row r="1880">
      <c r="A1880" s="263"/>
      <c r="B1880" s="264"/>
      <c r="C1880" s="265"/>
      <c r="D1880" s="265"/>
      <c r="E1880" s="264"/>
      <c r="F1880" s="265"/>
      <c r="G1880" s="263"/>
      <c r="H1880" s="432"/>
      <c r="I1880" s="282"/>
      <c r="J1880" s="283"/>
      <c r="K1880" s="265"/>
      <c r="L1880" s="265"/>
      <c r="M1880" s="269"/>
      <c r="N1880" s="270"/>
      <c r="O1880" s="271"/>
      <c r="P1880" s="271"/>
      <c r="Q1880" s="272"/>
      <c r="R1880" s="273"/>
      <c r="S1880" s="273"/>
      <c r="T1880" s="273"/>
      <c r="U1880" s="274"/>
      <c r="V1880" s="263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</row>
    <row r="1881">
      <c r="A1881" s="263"/>
      <c r="B1881" s="264"/>
      <c r="C1881" s="265"/>
      <c r="D1881" s="265"/>
      <c r="E1881" s="264"/>
      <c r="F1881" s="265"/>
      <c r="G1881" s="263"/>
      <c r="H1881" s="432"/>
      <c r="I1881" s="282"/>
      <c r="J1881" s="283"/>
      <c r="K1881" s="265"/>
      <c r="L1881" s="265"/>
      <c r="M1881" s="269"/>
      <c r="N1881" s="270"/>
      <c r="O1881" s="271"/>
      <c r="P1881" s="271"/>
      <c r="Q1881" s="272"/>
      <c r="R1881" s="273"/>
      <c r="S1881" s="273"/>
      <c r="T1881" s="273"/>
      <c r="U1881" s="274"/>
      <c r="V1881" s="263"/>
      <c r="W1881" s="188"/>
      <c r="X1881" s="188"/>
      <c r="Y1881" s="188"/>
      <c r="Z1881" s="188"/>
      <c r="AA1881" s="188"/>
      <c r="AB1881" s="188"/>
      <c r="AC1881" s="188"/>
      <c r="AD1881" s="188"/>
      <c r="AE1881" s="188"/>
      <c r="AF1881" s="188"/>
      <c r="AG1881" s="188"/>
      <c r="AH1881" s="188"/>
      <c r="AI1881" s="188"/>
    </row>
    <row r="1882">
      <c r="A1882" s="263"/>
      <c r="B1882" s="264"/>
      <c r="C1882" s="265"/>
      <c r="D1882" s="265"/>
      <c r="E1882" s="264"/>
      <c r="F1882" s="265"/>
      <c r="G1882" s="263"/>
      <c r="H1882" s="432"/>
      <c r="I1882" s="282"/>
      <c r="J1882" s="283"/>
      <c r="K1882" s="265"/>
      <c r="L1882" s="265"/>
      <c r="M1882" s="269"/>
      <c r="N1882" s="270"/>
      <c r="O1882" s="271"/>
      <c r="P1882" s="271"/>
      <c r="Q1882" s="272"/>
      <c r="R1882" s="273"/>
      <c r="S1882" s="273"/>
      <c r="T1882" s="273"/>
      <c r="U1882" s="274"/>
      <c r="V1882" s="263"/>
      <c r="W1882" s="35"/>
      <c r="X1882" s="35"/>
      <c r="Y1882" s="35"/>
      <c r="Z1882" s="35"/>
      <c r="AA1882" s="35"/>
      <c r="AB1882" s="35"/>
      <c r="AC1882" s="35"/>
      <c r="AD1882" s="35"/>
      <c r="AE1882" s="35"/>
      <c r="AF1882" s="35"/>
      <c r="AG1882" s="35"/>
      <c r="AH1882" s="35"/>
      <c r="AI1882" s="35"/>
    </row>
    <row r="1883">
      <c r="A1883" s="263"/>
      <c r="B1883" s="264"/>
      <c r="C1883" s="265"/>
      <c r="D1883" s="265"/>
      <c r="E1883" s="264"/>
      <c r="F1883" s="265"/>
      <c r="G1883" s="263"/>
      <c r="H1883" s="432"/>
      <c r="I1883" s="282"/>
      <c r="J1883" s="283"/>
      <c r="K1883" s="265"/>
      <c r="L1883" s="265"/>
      <c r="M1883" s="269"/>
      <c r="N1883" s="270"/>
      <c r="O1883" s="271"/>
      <c r="P1883" s="271"/>
      <c r="Q1883" s="272"/>
      <c r="R1883" s="273"/>
      <c r="S1883" s="273"/>
      <c r="T1883" s="273"/>
      <c r="U1883" s="274"/>
      <c r="V1883" s="263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</row>
    <row r="1884">
      <c r="A1884" s="263"/>
      <c r="B1884" s="264"/>
      <c r="C1884" s="265"/>
      <c r="D1884" s="265"/>
      <c r="E1884" s="264"/>
      <c r="F1884" s="265"/>
      <c r="G1884" s="263"/>
      <c r="H1884" s="432"/>
      <c r="I1884" s="282"/>
      <c r="J1884" s="283"/>
      <c r="K1884" s="265"/>
      <c r="L1884" s="265"/>
      <c r="M1884" s="269"/>
      <c r="N1884" s="270"/>
      <c r="O1884" s="271"/>
      <c r="P1884" s="271"/>
      <c r="Q1884" s="272"/>
      <c r="R1884" s="273"/>
      <c r="S1884" s="273"/>
      <c r="T1884" s="273"/>
      <c r="U1884" s="274"/>
      <c r="V1884" s="263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</row>
    <row r="1885">
      <c r="A1885" s="263"/>
      <c r="B1885" s="264"/>
      <c r="C1885" s="265"/>
      <c r="D1885" s="265"/>
      <c r="E1885" s="264"/>
      <c r="F1885" s="265"/>
      <c r="G1885" s="263"/>
      <c r="H1885" s="432"/>
      <c r="I1885" s="282"/>
      <c r="J1885" s="283"/>
      <c r="K1885" s="265"/>
      <c r="L1885" s="265"/>
      <c r="M1885" s="269"/>
      <c r="N1885" s="270"/>
      <c r="O1885" s="271"/>
      <c r="P1885" s="271"/>
      <c r="Q1885" s="272"/>
      <c r="R1885" s="273"/>
      <c r="S1885" s="273"/>
      <c r="T1885" s="273"/>
      <c r="U1885" s="274"/>
      <c r="V1885" s="263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</row>
    <row r="1886">
      <c r="A1886" s="263"/>
      <c r="B1886" s="264"/>
      <c r="C1886" s="265"/>
      <c r="D1886" s="265"/>
      <c r="E1886" s="264"/>
      <c r="F1886" s="265"/>
      <c r="G1886" s="263"/>
      <c r="H1886" s="432"/>
      <c r="I1886" s="282"/>
      <c r="J1886" s="283"/>
      <c r="K1886" s="265"/>
      <c r="L1886" s="265"/>
      <c r="M1886" s="269"/>
      <c r="N1886" s="270"/>
      <c r="O1886" s="271"/>
      <c r="P1886" s="271"/>
      <c r="Q1886" s="272"/>
      <c r="R1886" s="273"/>
      <c r="S1886" s="273"/>
      <c r="T1886" s="273"/>
      <c r="U1886" s="274"/>
      <c r="V1886" s="263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</row>
    <row r="1887">
      <c r="A1887" s="263"/>
      <c r="B1887" s="264"/>
      <c r="C1887" s="265"/>
      <c r="D1887" s="265"/>
      <c r="E1887" s="264"/>
      <c r="F1887" s="265"/>
      <c r="G1887" s="263"/>
      <c r="H1887" s="432"/>
      <c r="I1887" s="282"/>
      <c r="J1887" s="283"/>
      <c r="K1887" s="265"/>
      <c r="L1887" s="265"/>
      <c r="M1887" s="269"/>
      <c r="N1887" s="270"/>
      <c r="O1887" s="271"/>
      <c r="P1887" s="271"/>
      <c r="Q1887" s="272"/>
      <c r="R1887" s="273"/>
      <c r="S1887" s="273"/>
      <c r="T1887" s="273"/>
      <c r="U1887" s="274"/>
      <c r="V1887" s="263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</row>
    <row r="1888">
      <c r="A1888" s="263"/>
      <c r="B1888" s="264"/>
      <c r="C1888" s="265"/>
      <c r="D1888" s="265"/>
      <c r="E1888" s="264"/>
      <c r="F1888" s="265"/>
      <c r="G1888" s="263"/>
      <c r="H1888" s="432"/>
      <c r="I1888" s="282"/>
      <c r="J1888" s="283"/>
      <c r="K1888" s="265"/>
      <c r="L1888" s="265"/>
      <c r="M1888" s="269"/>
      <c r="N1888" s="270"/>
      <c r="O1888" s="271"/>
      <c r="P1888" s="271"/>
      <c r="Q1888" s="272"/>
      <c r="R1888" s="273"/>
      <c r="S1888" s="273"/>
      <c r="T1888" s="273"/>
      <c r="U1888" s="274"/>
      <c r="V1888" s="263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</row>
    <row r="1889">
      <c r="A1889" s="263"/>
      <c r="B1889" s="264"/>
      <c r="C1889" s="265"/>
      <c r="D1889" s="265"/>
      <c r="E1889" s="264"/>
      <c r="F1889" s="265"/>
      <c r="G1889" s="263"/>
      <c r="H1889" s="432"/>
      <c r="I1889" s="282"/>
      <c r="J1889" s="283"/>
      <c r="K1889" s="265"/>
      <c r="L1889" s="265"/>
      <c r="M1889" s="269"/>
      <c r="N1889" s="270"/>
      <c r="O1889" s="271"/>
      <c r="P1889" s="271"/>
      <c r="Q1889" s="272"/>
      <c r="R1889" s="273"/>
      <c r="S1889" s="273"/>
      <c r="T1889" s="273"/>
      <c r="U1889" s="274"/>
      <c r="V1889" s="263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</row>
    <row r="1890">
      <c r="A1890" s="263"/>
      <c r="B1890" s="264"/>
      <c r="C1890" s="265"/>
      <c r="D1890" s="265"/>
      <c r="E1890" s="264"/>
      <c r="F1890" s="265"/>
      <c r="G1890" s="263"/>
      <c r="H1890" s="432"/>
      <c r="I1890" s="282"/>
      <c r="J1890" s="283"/>
      <c r="K1890" s="265"/>
      <c r="L1890" s="265"/>
      <c r="M1890" s="269"/>
      <c r="N1890" s="270"/>
      <c r="O1890" s="271"/>
      <c r="P1890" s="271"/>
      <c r="Q1890" s="272"/>
      <c r="R1890" s="273"/>
      <c r="S1890" s="273"/>
      <c r="T1890" s="273"/>
      <c r="U1890" s="274"/>
      <c r="V1890" s="263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</row>
    <row r="1891">
      <c r="A1891" s="263"/>
      <c r="B1891" s="264"/>
      <c r="C1891" s="265"/>
      <c r="D1891" s="265"/>
      <c r="E1891" s="264"/>
      <c r="F1891" s="265"/>
      <c r="G1891" s="263"/>
      <c r="H1891" s="432"/>
      <c r="I1891" s="282"/>
      <c r="J1891" s="283"/>
      <c r="K1891" s="265"/>
      <c r="L1891" s="265"/>
      <c r="M1891" s="269"/>
      <c r="N1891" s="270"/>
      <c r="O1891" s="271"/>
      <c r="P1891" s="271"/>
      <c r="Q1891" s="272"/>
      <c r="R1891" s="273"/>
      <c r="S1891" s="273"/>
      <c r="T1891" s="273"/>
      <c r="U1891" s="274"/>
      <c r="V1891" s="263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</row>
    <row r="1892">
      <c r="A1892" s="263"/>
      <c r="B1892" s="264"/>
      <c r="C1892" s="265"/>
      <c r="D1892" s="265"/>
      <c r="E1892" s="264"/>
      <c r="F1892" s="265"/>
      <c r="G1892" s="263"/>
      <c r="H1892" s="432"/>
      <c r="I1892" s="282"/>
      <c r="J1892" s="283"/>
      <c r="K1892" s="265"/>
      <c r="L1892" s="265"/>
      <c r="M1892" s="269"/>
      <c r="N1892" s="270"/>
      <c r="O1892" s="271"/>
      <c r="P1892" s="271"/>
      <c r="Q1892" s="272"/>
      <c r="R1892" s="273"/>
      <c r="S1892" s="273"/>
      <c r="T1892" s="273"/>
      <c r="U1892" s="274"/>
      <c r="V1892" s="263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</row>
    <row r="1893">
      <c r="A1893" s="263"/>
      <c r="B1893" s="264"/>
      <c r="C1893" s="265"/>
      <c r="D1893" s="265"/>
      <c r="E1893" s="264"/>
      <c r="F1893" s="265"/>
      <c r="G1893" s="263"/>
      <c r="H1893" s="432"/>
      <c r="I1893" s="282"/>
      <c r="J1893" s="283"/>
      <c r="K1893" s="265"/>
      <c r="L1893" s="265"/>
      <c r="M1893" s="269"/>
      <c r="N1893" s="270"/>
      <c r="O1893" s="271"/>
      <c r="P1893" s="271"/>
      <c r="Q1893" s="272"/>
      <c r="R1893" s="273"/>
      <c r="S1893" s="273"/>
      <c r="T1893" s="273"/>
      <c r="U1893" s="274"/>
      <c r="V1893" s="263"/>
      <c r="W1893" s="35"/>
      <c r="X1893" s="35"/>
      <c r="Y1893" s="35"/>
      <c r="Z1893" s="35"/>
      <c r="AA1893" s="35"/>
      <c r="AB1893" s="35"/>
      <c r="AC1893" s="35"/>
      <c r="AD1893" s="35"/>
      <c r="AE1893" s="35"/>
      <c r="AF1893" s="35"/>
      <c r="AG1893" s="35"/>
      <c r="AH1893" s="35"/>
      <c r="AI1893" s="35"/>
    </row>
    <row r="1894">
      <c r="A1894" s="263"/>
      <c r="B1894" s="264"/>
      <c r="C1894" s="265"/>
      <c r="D1894" s="265"/>
      <c r="E1894" s="264"/>
      <c r="F1894" s="265"/>
      <c r="G1894" s="263"/>
      <c r="H1894" s="432"/>
      <c r="I1894" s="282"/>
      <c r="J1894" s="283"/>
      <c r="K1894" s="265"/>
      <c r="L1894" s="265"/>
      <c r="M1894" s="269"/>
      <c r="N1894" s="270"/>
      <c r="O1894" s="271"/>
      <c r="P1894" s="271"/>
      <c r="Q1894" s="272"/>
      <c r="R1894" s="273"/>
      <c r="S1894" s="273"/>
      <c r="T1894" s="273"/>
      <c r="U1894" s="274"/>
      <c r="V1894" s="263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</row>
    <row r="1895">
      <c r="A1895" s="263"/>
      <c r="B1895" s="264"/>
      <c r="C1895" s="265"/>
      <c r="D1895" s="265"/>
      <c r="E1895" s="264"/>
      <c r="F1895" s="265"/>
      <c r="G1895" s="263"/>
      <c r="H1895" s="432"/>
      <c r="I1895" s="282"/>
      <c r="J1895" s="283"/>
      <c r="K1895" s="265"/>
      <c r="L1895" s="265"/>
      <c r="M1895" s="269"/>
      <c r="N1895" s="270"/>
      <c r="O1895" s="271"/>
      <c r="P1895" s="271"/>
      <c r="Q1895" s="272"/>
      <c r="R1895" s="273"/>
      <c r="S1895" s="273"/>
      <c r="T1895" s="273"/>
      <c r="U1895" s="274"/>
      <c r="V1895" s="263"/>
      <c r="W1895" s="35"/>
      <c r="X1895" s="35"/>
      <c r="Y1895" s="35"/>
      <c r="Z1895" s="35"/>
      <c r="AA1895" s="35"/>
      <c r="AB1895" s="35"/>
      <c r="AC1895" s="35"/>
      <c r="AD1895" s="35"/>
      <c r="AE1895" s="35"/>
      <c r="AF1895" s="35"/>
      <c r="AG1895" s="35"/>
      <c r="AH1895" s="35"/>
      <c r="AI1895" s="35"/>
    </row>
    <row r="1896">
      <c r="A1896" s="263"/>
      <c r="B1896" s="264"/>
      <c r="C1896" s="265"/>
      <c r="D1896" s="265"/>
      <c r="E1896" s="264"/>
      <c r="F1896" s="265"/>
      <c r="G1896" s="263"/>
      <c r="H1896" s="432"/>
      <c r="I1896" s="282"/>
      <c r="J1896" s="283"/>
      <c r="K1896" s="265"/>
      <c r="L1896" s="265"/>
      <c r="M1896" s="269"/>
      <c r="N1896" s="270"/>
      <c r="O1896" s="271"/>
      <c r="P1896" s="271"/>
      <c r="Q1896" s="272"/>
      <c r="R1896" s="273"/>
      <c r="S1896" s="273"/>
      <c r="T1896" s="273"/>
      <c r="U1896" s="274"/>
      <c r="V1896" s="263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</row>
    <row r="1897">
      <c r="A1897" s="263"/>
      <c r="B1897" s="264"/>
      <c r="C1897" s="265"/>
      <c r="D1897" s="265"/>
      <c r="E1897" s="264"/>
      <c r="F1897" s="265"/>
      <c r="G1897" s="263"/>
      <c r="H1897" s="432"/>
      <c r="I1897" s="282"/>
      <c r="J1897" s="283"/>
      <c r="K1897" s="265"/>
      <c r="L1897" s="265"/>
      <c r="M1897" s="269"/>
      <c r="N1897" s="270"/>
      <c r="O1897" s="271"/>
      <c r="P1897" s="271"/>
      <c r="Q1897" s="272"/>
      <c r="R1897" s="273"/>
      <c r="S1897" s="273"/>
      <c r="T1897" s="273"/>
      <c r="U1897" s="274"/>
      <c r="V1897" s="263"/>
      <c r="W1897" s="35"/>
      <c r="X1897" s="35"/>
      <c r="Y1897" s="35"/>
      <c r="Z1897" s="35"/>
      <c r="AA1897" s="35"/>
      <c r="AB1897" s="35"/>
      <c r="AC1897" s="35"/>
      <c r="AD1897" s="35"/>
      <c r="AE1897" s="35"/>
      <c r="AF1897" s="35"/>
      <c r="AG1897" s="35"/>
      <c r="AH1897" s="35"/>
      <c r="AI1897" s="35"/>
    </row>
    <row r="1898">
      <c r="A1898" s="263"/>
      <c r="B1898" s="264"/>
      <c r="C1898" s="265"/>
      <c r="D1898" s="265"/>
      <c r="E1898" s="264"/>
      <c r="F1898" s="265"/>
      <c r="G1898" s="263"/>
      <c r="H1898" s="432"/>
      <c r="I1898" s="282"/>
      <c r="J1898" s="283"/>
      <c r="K1898" s="265"/>
      <c r="L1898" s="265"/>
      <c r="M1898" s="269"/>
      <c r="N1898" s="270"/>
      <c r="O1898" s="271"/>
      <c r="P1898" s="271"/>
      <c r="Q1898" s="272"/>
      <c r="R1898" s="273"/>
      <c r="S1898" s="273"/>
      <c r="T1898" s="273"/>
      <c r="U1898" s="274"/>
      <c r="V1898" s="263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</row>
    <row r="1899">
      <c r="A1899" s="263"/>
      <c r="B1899" s="264"/>
      <c r="C1899" s="265"/>
      <c r="D1899" s="265"/>
      <c r="E1899" s="264"/>
      <c r="F1899" s="265"/>
      <c r="G1899" s="263"/>
      <c r="H1899" s="432"/>
      <c r="I1899" s="282"/>
      <c r="J1899" s="283"/>
      <c r="K1899" s="265"/>
      <c r="L1899" s="265"/>
      <c r="M1899" s="269"/>
      <c r="N1899" s="270"/>
      <c r="O1899" s="271"/>
      <c r="P1899" s="271"/>
      <c r="Q1899" s="272"/>
      <c r="R1899" s="273"/>
      <c r="S1899" s="273"/>
      <c r="T1899" s="273"/>
      <c r="U1899" s="274"/>
      <c r="V1899" s="263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</row>
    <row r="1900">
      <c r="A1900" s="263"/>
      <c r="B1900" s="264"/>
      <c r="C1900" s="265"/>
      <c r="D1900" s="265"/>
      <c r="E1900" s="264"/>
      <c r="F1900" s="265"/>
      <c r="G1900" s="263"/>
      <c r="H1900" s="432"/>
      <c r="I1900" s="282"/>
      <c r="J1900" s="283"/>
      <c r="K1900" s="265"/>
      <c r="L1900" s="265"/>
      <c r="M1900" s="269"/>
      <c r="N1900" s="270"/>
      <c r="O1900" s="271"/>
      <c r="P1900" s="271"/>
      <c r="Q1900" s="272"/>
      <c r="R1900" s="273"/>
      <c r="S1900" s="273"/>
      <c r="T1900" s="273"/>
      <c r="U1900" s="274"/>
      <c r="V1900" s="263"/>
      <c r="W1900" s="188"/>
      <c r="X1900" s="188"/>
      <c r="Y1900" s="188"/>
      <c r="Z1900" s="188"/>
      <c r="AA1900" s="188"/>
      <c r="AB1900" s="188"/>
      <c r="AC1900" s="188"/>
      <c r="AD1900" s="188"/>
      <c r="AE1900" s="188"/>
      <c r="AF1900" s="188"/>
      <c r="AG1900" s="188"/>
      <c r="AH1900" s="188"/>
      <c r="AI1900" s="188"/>
    </row>
    <row r="1901">
      <c r="A1901" s="263"/>
      <c r="B1901" s="264"/>
      <c r="C1901" s="265"/>
      <c r="D1901" s="265"/>
      <c r="E1901" s="264"/>
      <c r="F1901" s="265"/>
      <c r="G1901" s="263"/>
      <c r="H1901" s="432"/>
      <c r="I1901" s="282"/>
      <c r="J1901" s="283"/>
      <c r="K1901" s="265"/>
      <c r="L1901" s="265"/>
      <c r="M1901" s="269"/>
      <c r="N1901" s="270"/>
      <c r="O1901" s="271"/>
      <c r="P1901" s="271"/>
      <c r="Q1901" s="272"/>
      <c r="R1901" s="273"/>
      <c r="S1901" s="273"/>
      <c r="T1901" s="273"/>
      <c r="U1901" s="274"/>
      <c r="V1901" s="263"/>
      <c r="W1901" s="188"/>
      <c r="X1901" s="188"/>
      <c r="Y1901" s="188"/>
      <c r="Z1901" s="188"/>
      <c r="AA1901" s="188"/>
      <c r="AB1901" s="188"/>
      <c r="AC1901" s="188"/>
      <c r="AD1901" s="188"/>
      <c r="AE1901" s="188"/>
      <c r="AF1901" s="188"/>
      <c r="AG1901" s="188"/>
      <c r="AH1901" s="188"/>
      <c r="AI1901" s="188"/>
    </row>
    <row r="1902">
      <c r="A1902" s="263"/>
      <c r="B1902" s="264"/>
      <c r="C1902" s="265"/>
      <c r="D1902" s="265"/>
      <c r="E1902" s="264"/>
      <c r="F1902" s="265"/>
      <c r="G1902" s="263"/>
      <c r="H1902" s="432"/>
      <c r="I1902" s="282"/>
      <c r="J1902" s="283"/>
      <c r="K1902" s="265"/>
      <c r="L1902" s="265"/>
      <c r="M1902" s="269"/>
      <c r="N1902" s="270"/>
      <c r="O1902" s="271"/>
      <c r="P1902" s="271"/>
      <c r="Q1902" s="272"/>
      <c r="R1902" s="273"/>
      <c r="S1902" s="273"/>
      <c r="T1902" s="273"/>
      <c r="U1902" s="274"/>
      <c r="V1902" s="263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</row>
    <row r="1903">
      <c r="A1903" s="263"/>
      <c r="B1903" s="264"/>
      <c r="C1903" s="265"/>
      <c r="D1903" s="265"/>
      <c r="E1903" s="264"/>
      <c r="F1903" s="265"/>
      <c r="G1903" s="263"/>
      <c r="H1903" s="432"/>
      <c r="I1903" s="282"/>
      <c r="J1903" s="283"/>
      <c r="K1903" s="265"/>
      <c r="L1903" s="265"/>
      <c r="M1903" s="269"/>
      <c r="N1903" s="270"/>
      <c r="O1903" s="271"/>
      <c r="P1903" s="271"/>
      <c r="Q1903" s="272"/>
      <c r="R1903" s="273"/>
      <c r="S1903" s="273"/>
      <c r="T1903" s="273"/>
      <c r="U1903" s="274"/>
      <c r="V1903" s="263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</row>
    <row r="1904">
      <c r="A1904" s="263"/>
      <c r="B1904" s="264"/>
      <c r="C1904" s="265"/>
      <c r="D1904" s="265"/>
      <c r="E1904" s="264"/>
      <c r="F1904" s="265"/>
      <c r="G1904" s="263"/>
      <c r="H1904" s="432"/>
      <c r="I1904" s="282"/>
      <c r="J1904" s="283"/>
      <c r="K1904" s="265"/>
      <c r="L1904" s="265"/>
      <c r="M1904" s="269"/>
      <c r="N1904" s="270"/>
      <c r="O1904" s="271"/>
      <c r="P1904" s="271"/>
      <c r="Q1904" s="272"/>
      <c r="R1904" s="273"/>
      <c r="S1904" s="273"/>
      <c r="T1904" s="273"/>
      <c r="U1904" s="274"/>
      <c r="V1904" s="263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</row>
    <row r="1905">
      <c r="A1905" s="263"/>
      <c r="B1905" s="264"/>
      <c r="C1905" s="265"/>
      <c r="D1905" s="265"/>
      <c r="E1905" s="264"/>
      <c r="F1905" s="265"/>
      <c r="G1905" s="263"/>
      <c r="H1905" s="432"/>
      <c r="I1905" s="282"/>
      <c r="J1905" s="283"/>
      <c r="K1905" s="265"/>
      <c r="L1905" s="265"/>
      <c r="M1905" s="269"/>
      <c r="N1905" s="270"/>
      <c r="O1905" s="271"/>
      <c r="P1905" s="271"/>
      <c r="Q1905" s="272"/>
      <c r="R1905" s="273"/>
      <c r="S1905" s="273"/>
      <c r="T1905" s="273"/>
      <c r="U1905" s="274"/>
      <c r="V1905" s="263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</row>
    <row r="1906">
      <c r="A1906" s="263"/>
      <c r="B1906" s="264"/>
      <c r="C1906" s="265"/>
      <c r="D1906" s="265"/>
      <c r="E1906" s="264"/>
      <c r="F1906" s="265"/>
      <c r="G1906" s="263"/>
      <c r="H1906" s="432"/>
      <c r="I1906" s="282"/>
      <c r="J1906" s="283"/>
      <c r="K1906" s="265"/>
      <c r="L1906" s="265"/>
      <c r="M1906" s="269"/>
      <c r="N1906" s="270"/>
      <c r="O1906" s="271"/>
      <c r="P1906" s="271"/>
      <c r="Q1906" s="272"/>
      <c r="R1906" s="273"/>
      <c r="S1906" s="273"/>
      <c r="T1906" s="273"/>
      <c r="U1906" s="274"/>
      <c r="V1906" s="263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</row>
    <row r="1907">
      <c r="A1907" s="263"/>
      <c r="B1907" s="264"/>
      <c r="C1907" s="265"/>
      <c r="D1907" s="265"/>
      <c r="E1907" s="264"/>
      <c r="F1907" s="265"/>
      <c r="G1907" s="263"/>
      <c r="H1907" s="432"/>
      <c r="I1907" s="282"/>
      <c r="J1907" s="283"/>
      <c r="K1907" s="265"/>
      <c r="L1907" s="265"/>
      <c r="M1907" s="269"/>
      <c r="N1907" s="270"/>
      <c r="O1907" s="271"/>
      <c r="P1907" s="271"/>
      <c r="Q1907" s="272"/>
      <c r="R1907" s="273"/>
      <c r="S1907" s="273"/>
      <c r="T1907" s="273"/>
      <c r="U1907" s="274"/>
      <c r="V1907" s="263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</row>
    <row r="1908">
      <c r="A1908" s="263"/>
      <c r="B1908" s="264"/>
      <c r="C1908" s="265"/>
      <c r="D1908" s="265"/>
      <c r="E1908" s="264"/>
      <c r="F1908" s="265"/>
      <c r="G1908" s="263"/>
      <c r="H1908" s="432"/>
      <c r="I1908" s="282"/>
      <c r="J1908" s="283"/>
      <c r="K1908" s="265"/>
      <c r="L1908" s="265"/>
      <c r="M1908" s="269"/>
      <c r="N1908" s="270"/>
      <c r="O1908" s="271"/>
      <c r="P1908" s="271"/>
      <c r="Q1908" s="272"/>
      <c r="R1908" s="273"/>
      <c r="S1908" s="273"/>
      <c r="T1908" s="273"/>
      <c r="U1908" s="274"/>
      <c r="V1908" s="263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</row>
    <row r="1909">
      <c r="A1909" s="263"/>
      <c r="B1909" s="264"/>
      <c r="C1909" s="265"/>
      <c r="D1909" s="265"/>
      <c r="E1909" s="264"/>
      <c r="F1909" s="265"/>
      <c r="G1909" s="263"/>
      <c r="H1909" s="432"/>
      <c r="I1909" s="282"/>
      <c r="J1909" s="283"/>
      <c r="K1909" s="265"/>
      <c r="L1909" s="265"/>
      <c r="M1909" s="269"/>
      <c r="N1909" s="270"/>
      <c r="O1909" s="271"/>
      <c r="P1909" s="271"/>
      <c r="Q1909" s="272"/>
      <c r="R1909" s="273"/>
      <c r="S1909" s="273"/>
      <c r="T1909" s="273"/>
      <c r="U1909" s="274"/>
      <c r="V1909" s="263"/>
      <c r="W1909" s="35"/>
      <c r="X1909" s="35"/>
      <c r="Y1909" s="35"/>
      <c r="Z1909" s="35"/>
      <c r="AA1909" s="35"/>
      <c r="AB1909" s="35"/>
      <c r="AC1909" s="35"/>
      <c r="AD1909" s="35"/>
      <c r="AE1909" s="35"/>
      <c r="AF1909" s="35"/>
      <c r="AG1909" s="35"/>
      <c r="AH1909" s="35"/>
      <c r="AI1909" s="35"/>
    </row>
    <row r="1910">
      <c r="A1910" s="263"/>
      <c r="B1910" s="264"/>
      <c r="C1910" s="265"/>
      <c r="D1910" s="265"/>
      <c r="E1910" s="264"/>
      <c r="F1910" s="265"/>
      <c r="G1910" s="263"/>
      <c r="H1910" s="432"/>
      <c r="I1910" s="282"/>
      <c r="J1910" s="283"/>
      <c r="K1910" s="265"/>
      <c r="L1910" s="265"/>
      <c r="M1910" s="269"/>
      <c r="N1910" s="270"/>
      <c r="O1910" s="271"/>
      <c r="P1910" s="271"/>
      <c r="Q1910" s="272"/>
      <c r="R1910" s="273"/>
      <c r="S1910" s="273"/>
      <c r="T1910" s="273"/>
      <c r="U1910" s="274"/>
      <c r="V1910" s="263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</row>
    <row r="1911">
      <c r="A1911" s="263"/>
      <c r="B1911" s="264"/>
      <c r="C1911" s="265"/>
      <c r="D1911" s="265"/>
      <c r="E1911" s="264"/>
      <c r="F1911" s="265"/>
      <c r="G1911" s="263"/>
      <c r="H1911" s="432"/>
      <c r="I1911" s="282"/>
      <c r="J1911" s="283"/>
      <c r="K1911" s="265"/>
      <c r="L1911" s="265"/>
      <c r="M1911" s="269"/>
      <c r="N1911" s="270"/>
      <c r="O1911" s="271"/>
      <c r="P1911" s="271"/>
      <c r="Q1911" s="272"/>
      <c r="R1911" s="273"/>
      <c r="S1911" s="273"/>
      <c r="T1911" s="273"/>
      <c r="U1911" s="274"/>
      <c r="V1911" s="263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</row>
    <row r="1912">
      <c r="A1912" s="263"/>
      <c r="B1912" s="264"/>
      <c r="C1912" s="265"/>
      <c r="D1912" s="265"/>
      <c r="E1912" s="264"/>
      <c r="F1912" s="265"/>
      <c r="G1912" s="263"/>
      <c r="H1912" s="432"/>
      <c r="I1912" s="282"/>
      <c r="J1912" s="283"/>
      <c r="K1912" s="265"/>
      <c r="L1912" s="265"/>
      <c r="M1912" s="269"/>
      <c r="N1912" s="270"/>
      <c r="O1912" s="271"/>
      <c r="P1912" s="271"/>
      <c r="Q1912" s="272"/>
      <c r="R1912" s="273"/>
      <c r="S1912" s="273"/>
      <c r="T1912" s="273"/>
      <c r="U1912" s="274"/>
      <c r="V1912" s="263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</row>
    <row r="1913">
      <c r="A1913" s="263"/>
      <c r="B1913" s="264"/>
      <c r="C1913" s="265"/>
      <c r="D1913" s="265"/>
      <c r="E1913" s="264"/>
      <c r="F1913" s="265"/>
      <c r="G1913" s="263"/>
      <c r="H1913" s="432"/>
      <c r="I1913" s="282"/>
      <c r="J1913" s="283"/>
      <c r="K1913" s="265"/>
      <c r="L1913" s="265"/>
      <c r="M1913" s="269"/>
      <c r="N1913" s="270"/>
      <c r="O1913" s="271"/>
      <c r="P1913" s="271"/>
      <c r="Q1913" s="272"/>
      <c r="R1913" s="273"/>
      <c r="S1913" s="273"/>
      <c r="T1913" s="273"/>
      <c r="U1913" s="274"/>
      <c r="V1913" s="263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</row>
    <row r="1914">
      <c r="A1914" s="263"/>
      <c r="B1914" s="264"/>
      <c r="C1914" s="265"/>
      <c r="D1914" s="265"/>
      <c r="E1914" s="264"/>
      <c r="F1914" s="265"/>
      <c r="G1914" s="263"/>
      <c r="H1914" s="432"/>
      <c r="I1914" s="282"/>
      <c r="J1914" s="283"/>
      <c r="K1914" s="265"/>
      <c r="L1914" s="265"/>
      <c r="M1914" s="269"/>
      <c r="N1914" s="270"/>
      <c r="O1914" s="271"/>
      <c r="P1914" s="271"/>
      <c r="Q1914" s="272"/>
      <c r="R1914" s="273"/>
      <c r="S1914" s="273"/>
      <c r="T1914" s="273"/>
      <c r="U1914" s="274"/>
      <c r="V1914" s="263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</row>
    <row r="1915">
      <c r="A1915" s="263"/>
      <c r="B1915" s="264"/>
      <c r="C1915" s="265"/>
      <c r="D1915" s="265"/>
      <c r="E1915" s="264"/>
      <c r="F1915" s="265"/>
      <c r="G1915" s="263"/>
      <c r="H1915" s="432"/>
      <c r="I1915" s="282"/>
      <c r="J1915" s="283"/>
      <c r="K1915" s="265"/>
      <c r="L1915" s="265"/>
      <c r="M1915" s="269"/>
      <c r="N1915" s="270"/>
      <c r="O1915" s="271"/>
      <c r="P1915" s="271"/>
      <c r="Q1915" s="272"/>
      <c r="R1915" s="273"/>
      <c r="S1915" s="273"/>
      <c r="T1915" s="273"/>
      <c r="U1915" s="274"/>
      <c r="V1915" s="263"/>
      <c r="W1915" s="188"/>
      <c r="X1915" s="188"/>
      <c r="Y1915" s="188"/>
      <c r="Z1915" s="188"/>
      <c r="AA1915" s="188"/>
      <c r="AB1915" s="188"/>
      <c r="AC1915" s="188"/>
      <c r="AD1915" s="188"/>
      <c r="AE1915" s="188"/>
      <c r="AF1915" s="188"/>
      <c r="AG1915" s="188"/>
      <c r="AH1915" s="188"/>
      <c r="AI1915" s="188"/>
    </row>
    <row r="1916">
      <c r="A1916" s="263"/>
      <c r="B1916" s="264"/>
      <c r="C1916" s="265"/>
      <c r="D1916" s="265"/>
      <c r="E1916" s="264"/>
      <c r="F1916" s="265"/>
      <c r="G1916" s="263"/>
      <c r="H1916" s="432"/>
      <c r="I1916" s="282"/>
      <c r="J1916" s="283"/>
      <c r="K1916" s="265"/>
      <c r="L1916" s="265"/>
      <c r="M1916" s="269"/>
      <c r="N1916" s="270"/>
      <c r="O1916" s="271"/>
      <c r="P1916" s="271"/>
      <c r="Q1916" s="272"/>
      <c r="R1916" s="273"/>
      <c r="S1916" s="273"/>
      <c r="T1916" s="273"/>
      <c r="U1916" s="274"/>
      <c r="V1916" s="263"/>
      <c r="W1916" s="188"/>
      <c r="X1916" s="188"/>
      <c r="Y1916" s="188"/>
      <c r="Z1916" s="188"/>
      <c r="AA1916" s="188"/>
      <c r="AB1916" s="188"/>
      <c r="AC1916" s="188"/>
      <c r="AD1916" s="188"/>
      <c r="AE1916" s="188"/>
      <c r="AF1916" s="188"/>
      <c r="AG1916" s="188"/>
      <c r="AH1916" s="188"/>
      <c r="AI1916" s="188"/>
    </row>
    <row r="1917">
      <c r="A1917" s="263"/>
      <c r="B1917" s="264"/>
      <c r="C1917" s="265"/>
      <c r="D1917" s="265"/>
      <c r="E1917" s="264"/>
      <c r="F1917" s="265"/>
      <c r="G1917" s="263"/>
      <c r="H1917" s="432"/>
      <c r="I1917" s="282"/>
      <c r="J1917" s="283"/>
      <c r="K1917" s="265"/>
      <c r="L1917" s="265"/>
      <c r="M1917" s="269"/>
      <c r="N1917" s="270"/>
      <c r="O1917" s="271"/>
      <c r="P1917" s="271"/>
      <c r="Q1917" s="272"/>
      <c r="R1917" s="273"/>
      <c r="S1917" s="273"/>
      <c r="T1917" s="273"/>
      <c r="U1917" s="274"/>
      <c r="V1917" s="263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</row>
    <row r="1918">
      <c r="A1918" s="263"/>
      <c r="B1918" s="264"/>
      <c r="C1918" s="265"/>
      <c r="D1918" s="265"/>
      <c r="E1918" s="264"/>
      <c r="F1918" s="265"/>
      <c r="G1918" s="263"/>
      <c r="H1918" s="432"/>
      <c r="I1918" s="282"/>
      <c r="J1918" s="283"/>
      <c r="K1918" s="265"/>
      <c r="L1918" s="265"/>
      <c r="M1918" s="269"/>
      <c r="N1918" s="270"/>
      <c r="O1918" s="271"/>
      <c r="P1918" s="271"/>
      <c r="Q1918" s="272"/>
      <c r="R1918" s="273"/>
      <c r="S1918" s="273"/>
      <c r="T1918" s="273"/>
      <c r="U1918" s="274"/>
      <c r="V1918" s="263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</row>
    <row r="1919">
      <c r="A1919" s="263"/>
      <c r="B1919" s="264"/>
      <c r="C1919" s="265"/>
      <c r="D1919" s="265"/>
      <c r="E1919" s="264"/>
      <c r="F1919" s="265"/>
      <c r="G1919" s="263"/>
      <c r="H1919" s="432"/>
      <c r="I1919" s="282"/>
      <c r="J1919" s="283"/>
      <c r="K1919" s="265"/>
      <c r="L1919" s="265"/>
      <c r="M1919" s="269"/>
      <c r="N1919" s="270"/>
      <c r="O1919" s="271"/>
      <c r="P1919" s="271"/>
      <c r="Q1919" s="272"/>
      <c r="R1919" s="273"/>
      <c r="S1919" s="273"/>
      <c r="T1919" s="273"/>
      <c r="U1919" s="274"/>
      <c r="V1919" s="263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</row>
    <row r="1920">
      <c r="A1920" s="263"/>
      <c r="B1920" s="264"/>
      <c r="C1920" s="265"/>
      <c r="D1920" s="265"/>
      <c r="E1920" s="264"/>
      <c r="F1920" s="265"/>
      <c r="G1920" s="263"/>
      <c r="H1920" s="432"/>
      <c r="I1920" s="282"/>
      <c r="J1920" s="283"/>
      <c r="K1920" s="265"/>
      <c r="L1920" s="265"/>
      <c r="M1920" s="269"/>
      <c r="N1920" s="270"/>
      <c r="O1920" s="271"/>
      <c r="P1920" s="271"/>
      <c r="Q1920" s="272"/>
      <c r="R1920" s="273"/>
      <c r="S1920" s="273"/>
      <c r="T1920" s="273"/>
      <c r="U1920" s="274"/>
      <c r="V1920" s="263"/>
      <c r="W1920" s="35"/>
      <c r="X1920" s="35"/>
      <c r="Y1920" s="35"/>
      <c r="Z1920" s="35"/>
      <c r="AA1920" s="35"/>
      <c r="AB1920" s="35"/>
      <c r="AC1920" s="35"/>
      <c r="AD1920" s="35"/>
      <c r="AE1920" s="35"/>
      <c r="AF1920" s="35"/>
      <c r="AG1920" s="35"/>
      <c r="AH1920" s="35"/>
      <c r="AI1920" s="35"/>
    </row>
    <row r="1921">
      <c r="A1921" s="263"/>
      <c r="B1921" s="264"/>
      <c r="C1921" s="265"/>
      <c r="D1921" s="265"/>
      <c r="E1921" s="264"/>
      <c r="F1921" s="265"/>
      <c r="G1921" s="263"/>
      <c r="H1921" s="432"/>
      <c r="I1921" s="282"/>
      <c r="J1921" s="283"/>
      <c r="K1921" s="265"/>
      <c r="L1921" s="265"/>
      <c r="M1921" s="269"/>
      <c r="N1921" s="270"/>
      <c r="O1921" s="271"/>
      <c r="P1921" s="271"/>
      <c r="Q1921" s="272"/>
      <c r="R1921" s="273"/>
      <c r="S1921" s="273"/>
      <c r="T1921" s="273"/>
      <c r="U1921" s="274"/>
      <c r="V1921" s="263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</row>
    <row r="1922">
      <c r="A1922" s="263"/>
      <c r="B1922" s="264"/>
      <c r="C1922" s="265"/>
      <c r="D1922" s="265"/>
      <c r="E1922" s="264"/>
      <c r="F1922" s="265"/>
      <c r="G1922" s="263"/>
      <c r="H1922" s="432"/>
      <c r="I1922" s="282"/>
      <c r="J1922" s="283"/>
      <c r="K1922" s="265"/>
      <c r="L1922" s="265"/>
      <c r="M1922" s="269"/>
      <c r="N1922" s="270"/>
      <c r="O1922" s="271"/>
      <c r="P1922" s="271"/>
      <c r="Q1922" s="272"/>
      <c r="R1922" s="273"/>
      <c r="S1922" s="273"/>
      <c r="T1922" s="273"/>
      <c r="U1922" s="274"/>
      <c r="V1922" s="263"/>
      <c r="W1922" s="35"/>
      <c r="X1922" s="35"/>
      <c r="Y1922" s="35"/>
      <c r="Z1922" s="35"/>
      <c r="AA1922" s="35"/>
      <c r="AB1922" s="35"/>
      <c r="AC1922" s="35"/>
      <c r="AD1922" s="35"/>
      <c r="AE1922" s="35"/>
      <c r="AF1922" s="35"/>
      <c r="AG1922" s="35"/>
      <c r="AH1922" s="35"/>
      <c r="AI1922" s="35"/>
    </row>
    <row r="1923">
      <c r="A1923" s="263"/>
      <c r="B1923" s="264"/>
      <c r="C1923" s="265"/>
      <c r="D1923" s="265"/>
      <c r="E1923" s="264"/>
      <c r="F1923" s="265"/>
      <c r="G1923" s="263"/>
      <c r="H1923" s="432"/>
      <c r="I1923" s="282"/>
      <c r="J1923" s="283"/>
      <c r="K1923" s="265"/>
      <c r="L1923" s="265"/>
      <c r="M1923" s="269"/>
      <c r="N1923" s="270"/>
      <c r="O1923" s="271"/>
      <c r="P1923" s="271"/>
      <c r="Q1923" s="272"/>
      <c r="R1923" s="273"/>
      <c r="S1923" s="273"/>
      <c r="T1923" s="273"/>
      <c r="U1923" s="274"/>
      <c r="V1923" s="263"/>
      <c r="W1923" s="188"/>
      <c r="X1923" s="188"/>
      <c r="Y1923" s="188"/>
      <c r="Z1923" s="188"/>
      <c r="AA1923" s="188"/>
      <c r="AB1923" s="188"/>
      <c r="AC1923" s="188"/>
      <c r="AD1923" s="188"/>
      <c r="AE1923" s="188"/>
      <c r="AF1923" s="188"/>
      <c r="AG1923" s="188"/>
      <c r="AH1923" s="188"/>
      <c r="AI1923" s="188"/>
    </row>
    <row r="1924">
      <c r="A1924" s="263"/>
      <c r="B1924" s="264"/>
      <c r="C1924" s="265"/>
      <c r="D1924" s="265"/>
      <c r="E1924" s="264"/>
      <c r="F1924" s="265"/>
      <c r="G1924" s="263"/>
      <c r="H1924" s="432"/>
      <c r="I1924" s="282"/>
      <c r="J1924" s="283"/>
      <c r="K1924" s="265"/>
      <c r="L1924" s="265"/>
      <c r="M1924" s="269"/>
      <c r="N1924" s="270"/>
      <c r="O1924" s="271"/>
      <c r="P1924" s="271"/>
      <c r="Q1924" s="272"/>
      <c r="R1924" s="273"/>
      <c r="S1924" s="273"/>
      <c r="T1924" s="273"/>
      <c r="U1924" s="274"/>
      <c r="V1924" s="263"/>
      <c r="W1924" s="35"/>
      <c r="X1924" s="35"/>
      <c r="Y1924" s="35"/>
      <c r="Z1924" s="35"/>
      <c r="AA1924" s="35"/>
      <c r="AB1924" s="35"/>
      <c r="AC1924" s="35"/>
      <c r="AD1924" s="35"/>
      <c r="AE1924" s="35"/>
      <c r="AF1924" s="35"/>
      <c r="AG1924" s="35"/>
      <c r="AH1924" s="35"/>
      <c r="AI1924" s="35"/>
    </row>
    <row r="1925">
      <c r="A1925" s="263"/>
      <c r="B1925" s="264"/>
      <c r="C1925" s="265"/>
      <c r="D1925" s="265"/>
      <c r="E1925" s="264"/>
      <c r="F1925" s="265"/>
      <c r="G1925" s="263"/>
      <c r="H1925" s="432"/>
      <c r="I1925" s="282"/>
      <c r="J1925" s="283"/>
      <c r="K1925" s="265"/>
      <c r="L1925" s="265"/>
      <c r="M1925" s="269"/>
      <c r="N1925" s="270"/>
      <c r="O1925" s="271"/>
      <c r="P1925" s="271"/>
      <c r="Q1925" s="272"/>
      <c r="R1925" s="273"/>
      <c r="S1925" s="273"/>
      <c r="T1925" s="273"/>
      <c r="U1925" s="274"/>
      <c r="V1925" s="263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</row>
    <row r="1926">
      <c r="A1926" s="263"/>
      <c r="B1926" s="264"/>
      <c r="C1926" s="265"/>
      <c r="D1926" s="265"/>
      <c r="E1926" s="264"/>
      <c r="F1926" s="265"/>
      <c r="G1926" s="263"/>
      <c r="H1926" s="432"/>
      <c r="I1926" s="282"/>
      <c r="J1926" s="283"/>
      <c r="K1926" s="265"/>
      <c r="L1926" s="265"/>
      <c r="M1926" s="269"/>
      <c r="N1926" s="270"/>
      <c r="O1926" s="271"/>
      <c r="P1926" s="271"/>
      <c r="Q1926" s="272"/>
      <c r="R1926" s="273"/>
      <c r="S1926" s="273"/>
      <c r="T1926" s="273"/>
      <c r="U1926" s="274"/>
      <c r="V1926" s="263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</row>
    <row r="1927">
      <c r="A1927" s="263"/>
      <c r="B1927" s="264"/>
      <c r="C1927" s="265"/>
      <c r="D1927" s="265"/>
      <c r="E1927" s="264"/>
      <c r="F1927" s="265"/>
      <c r="G1927" s="263"/>
      <c r="H1927" s="432"/>
      <c r="I1927" s="282"/>
      <c r="J1927" s="283"/>
      <c r="K1927" s="265"/>
      <c r="L1927" s="265"/>
      <c r="M1927" s="269"/>
      <c r="N1927" s="270"/>
      <c r="O1927" s="271"/>
      <c r="P1927" s="271"/>
      <c r="Q1927" s="272"/>
      <c r="R1927" s="273"/>
      <c r="S1927" s="273"/>
      <c r="T1927" s="273"/>
      <c r="U1927" s="274"/>
      <c r="V1927" s="263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</row>
    <row r="1928">
      <c r="A1928" s="263"/>
      <c r="B1928" s="264"/>
      <c r="C1928" s="265"/>
      <c r="D1928" s="265"/>
      <c r="E1928" s="264"/>
      <c r="F1928" s="265"/>
      <c r="G1928" s="263"/>
      <c r="H1928" s="432"/>
      <c r="I1928" s="282"/>
      <c r="J1928" s="283"/>
      <c r="K1928" s="265"/>
      <c r="L1928" s="265"/>
      <c r="M1928" s="269"/>
      <c r="N1928" s="270"/>
      <c r="O1928" s="271"/>
      <c r="P1928" s="271"/>
      <c r="Q1928" s="272"/>
      <c r="R1928" s="273"/>
      <c r="S1928" s="273"/>
      <c r="T1928" s="273"/>
      <c r="U1928" s="274"/>
      <c r="V1928" s="263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</row>
    <row r="1929">
      <c r="A1929" s="263"/>
      <c r="B1929" s="264"/>
      <c r="C1929" s="265"/>
      <c r="D1929" s="265"/>
      <c r="E1929" s="264"/>
      <c r="F1929" s="265"/>
      <c r="G1929" s="263"/>
      <c r="H1929" s="432"/>
      <c r="I1929" s="282"/>
      <c r="J1929" s="283"/>
      <c r="K1929" s="265"/>
      <c r="L1929" s="265"/>
      <c r="M1929" s="269"/>
      <c r="N1929" s="270"/>
      <c r="O1929" s="271"/>
      <c r="P1929" s="271"/>
      <c r="Q1929" s="272"/>
      <c r="R1929" s="273"/>
      <c r="S1929" s="273"/>
      <c r="T1929" s="273"/>
      <c r="U1929" s="274"/>
      <c r="V1929" s="263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</row>
    <row r="1930">
      <c r="A1930" s="263"/>
      <c r="B1930" s="264"/>
      <c r="C1930" s="265"/>
      <c r="D1930" s="265"/>
      <c r="E1930" s="264"/>
      <c r="F1930" s="265"/>
      <c r="G1930" s="263"/>
      <c r="H1930" s="432"/>
      <c r="I1930" s="282"/>
      <c r="J1930" s="283"/>
      <c r="K1930" s="265"/>
      <c r="L1930" s="265"/>
      <c r="M1930" s="269"/>
      <c r="N1930" s="270"/>
      <c r="O1930" s="271"/>
      <c r="P1930" s="271"/>
      <c r="Q1930" s="272"/>
      <c r="R1930" s="273"/>
      <c r="S1930" s="273"/>
      <c r="T1930" s="273"/>
      <c r="U1930" s="274"/>
      <c r="V1930" s="263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</row>
    <row r="1931">
      <c r="A1931" s="263"/>
      <c r="B1931" s="264"/>
      <c r="C1931" s="265"/>
      <c r="D1931" s="265"/>
      <c r="E1931" s="264"/>
      <c r="F1931" s="265"/>
      <c r="G1931" s="263"/>
      <c r="H1931" s="432"/>
      <c r="I1931" s="282"/>
      <c r="J1931" s="283"/>
      <c r="K1931" s="265"/>
      <c r="L1931" s="265"/>
      <c r="M1931" s="269"/>
      <c r="N1931" s="270"/>
      <c r="O1931" s="271"/>
      <c r="P1931" s="271"/>
      <c r="Q1931" s="272"/>
      <c r="R1931" s="273"/>
      <c r="S1931" s="273"/>
      <c r="T1931" s="273"/>
      <c r="U1931" s="274"/>
      <c r="V1931" s="263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</row>
    <row r="1932">
      <c r="A1932" s="263"/>
      <c r="B1932" s="264"/>
      <c r="C1932" s="265"/>
      <c r="D1932" s="265"/>
      <c r="E1932" s="264"/>
      <c r="F1932" s="265"/>
      <c r="G1932" s="263"/>
      <c r="H1932" s="432"/>
      <c r="I1932" s="282"/>
      <c r="J1932" s="283"/>
      <c r="K1932" s="265"/>
      <c r="L1932" s="265"/>
      <c r="M1932" s="269"/>
      <c r="N1932" s="270"/>
      <c r="O1932" s="271"/>
      <c r="P1932" s="271"/>
      <c r="Q1932" s="272"/>
      <c r="R1932" s="273"/>
      <c r="S1932" s="273"/>
      <c r="T1932" s="273"/>
      <c r="U1932" s="274"/>
      <c r="V1932" s="263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</row>
    <row r="1933">
      <c r="A1933" s="263"/>
      <c r="B1933" s="264"/>
      <c r="C1933" s="265"/>
      <c r="D1933" s="265"/>
      <c r="E1933" s="264"/>
      <c r="F1933" s="265"/>
      <c r="G1933" s="263"/>
      <c r="H1933" s="432"/>
      <c r="I1933" s="282"/>
      <c r="J1933" s="283"/>
      <c r="K1933" s="265"/>
      <c r="L1933" s="265"/>
      <c r="M1933" s="269"/>
      <c r="N1933" s="270"/>
      <c r="O1933" s="271"/>
      <c r="P1933" s="271"/>
      <c r="Q1933" s="272"/>
      <c r="R1933" s="273"/>
      <c r="S1933" s="273"/>
      <c r="T1933" s="273"/>
      <c r="U1933" s="274"/>
      <c r="V1933" s="263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</row>
    <row r="1934">
      <c r="A1934" s="263"/>
      <c r="B1934" s="264"/>
      <c r="C1934" s="265"/>
      <c r="D1934" s="265"/>
      <c r="E1934" s="264"/>
      <c r="F1934" s="265"/>
      <c r="G1934" s="263"/>
      <c r="H1934" s="432"/>
      <c r="I1934" s="282"/>
      <c r="J1934" s="283"/>
      <c r="K1934" s="265"/>
      <c r="L1934" s="265"/>
      <c r="M1934" s="269"/>
      <c r="N1934" s="270"/>
      <c r="O1934" s="271"/>
      <c r="P1934" s="271"/>
      <c r="Q1934" s="272"/>
      <c r="R1934" s="273"/>
      <c r="S1934" s="273"/>
      <c r="T1934" s="273"/>
      <c r="U1934" s="274"/>
      <c r="V1934" s="263"/>
      <c r="W1934" s="35"/>
      <c r="X1934" s="35"/>
      <c r="Y1934" s="35"/>
      <c r="Z1934" s="35"/>
      <c r="AA1934" s="35"/>
      <c r="AB1934" s="35"/>
      <c r="AC1934" s="35"/>
      <c r="AD1934" s="35"/>
      <c r="AE1934" s="35"/>
      <c r="AF1934" s="35"/>
      <c r="AG1934" s="35"/>
      <c r="AH1934" s="35"/>
      <c r="AI1934" s="35"/>
    </row>
    <row r="1935">
      <c r="A1935" s="263"/>
      <c r="B1935" s="264"/>
      <c r="C1935" s="265"/>
      <c r="D1935" s="265"/>
      <c r="E1935" s="264"/>
      <c r="F1935" s="265"/>
      <c r="G1935" s="263"/>
      <c r="H1935" s="432"/>
      <c r="I1935" s="282"/>
      <c r="J1935" s="283"/>
      <c r="K1935" s="265"/>
      <c r="L1935" s="265"/>
      <c r="M1935" s="269"/>
      <c r="N1935" s="270"/>
      <c r="O1935" s="271"/>
      <c r="P1935" s="271"/>
      <c r="Q1935" s="272"/>
      <c r="R1935" s="273"/>
      <c r="S1935" s="273"/>
      <c r="T1935" s="273"/>
      <c r="U1935" s="274"/>
      <c r="V1935" s="263"/>
      <c r="W1935" s="35"/>
      <c r="X1935" s="35"/>
      <c r="Y1935" s="35"/>
      <c r="Z1935" s="35"/>
      <c r="AA1935" s="35"/>
      <c r="AB1935" s="35"/>
      <c r="AC1935" s="35"/>
      <c r="AD1935" s="35"/>
      <c r="AE1935" s="35"/>
      <c r="AF1935" s="35"/>
      <c r="AG1935" s="35"/>
      <c r="AH1935" s="35"/>
      <c r="AI1935" s="35"/>
    </row>
    <row r="1936">
      <c r="A1936" s="263"/>
      <c r="B1936" s="264"/>
      <c r="C1936" s="265"/>
      <c r="D1936" s="265"/>
      <c r="E1936" s="264"/>
      <c r="F1936" s="265"/>
      <c r="G1936" s="263"/>
      <c r="H1936" s="432"/>
      <c r="I1936" s="282"/>
      <c r="J1936" s="283"/>
      <c r="K1936" s="265"/>
      <c r="L1936" s="265"/>
      <c r="M1936" s="269"/>
      <c r="N1936" s="270"/>
      <c r="O1936" s="271"/>
      <c r="P1936" s="271"/>
      <c r="Q1936" s="272"/>
      <c r="R1936" s="273"/>
      <c r="S1936" s="273"/>
      <c r="T1936" s="273"/>
      <c r="U1936" s="274"/>
      <c r="V1936" s="263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</row>
    <row r="1937">
      <c r="A1937" s="263"/>
      <c r="B1937" s="264"/>
      <c r="C1937" s="265"/>
      <c r="D1937" s="265"/>
      <c r="E1937" s="264"/>
      <c r="F1937" s="265"/>
      <c r="G1937" s="263"/>
      <c r="H1937" s="432"/>
      <c r="I1937" s="282"/>
      <c r="J1937" s="283"/>
      <c r="K1937" s="265"/>
      <c r="L1937" s="265"/>
      <c r="M1937" s="269"/>
      <c r="N1937" s="270"/>
      <c r="O1937" s="271"/>
      <c r="P1937" s="271"/>
      <c r="Q1937" s="272"/>
      <c r="R1937" s="273"/>
      <c r="S1937" s="273"/>
      <c r="T1937" s="273"/>
      <c r="U1937" s="274"/>
      <c r="V1937" s="263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</row>
    <row r="1938">
      <c r="A1938" s="263"/>
      <c r="B1938" s="264"/>
      <c r="C1938" s="265"/>
      <c r="D1938" s="265"/>
      <c r="E1938" s="264"/>
      <c r="F1938" s="265"/>
      <c r="G1938" s="263"/>
      <c r="H1938" s="432"/>
      <c r="I1938" s="282"/>
      <c r="J1938" s="283"/>
      <c r="K1938" s="265"/>
      <c r="L1938" s="265"/>
      <c r="M1938" s="269"/>
      <c r="N1938" s="270"/>
      <c r="O1938" s="271"/>
      <c r="P1938" s="271"/>
      <c r="Q1938" s="272"/>
      <c r="R1938" s="273"/>
      <c r="S1938" s="273"/>
      <c r="T1938" s="273"/>
      <c r="U1938" s="274"/>
      <c r="V1938" s="263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</row>
    <row r="1939">
      <c r="A1939" s="263"/>
      <c r="B1939" s="264"/>
      <c r="C1939" s="265"/>
      <c r="D1939" s="265"/>
      <c r="E1939" s="264"/>
      <c r="F1939" s="265"/>
      <c r="G1939" s="263"/>
      <c r="H1939" s="432"/>
      <c r="I1939" s="282"/>
      <c r="J1939" s="283"/>
      <c r="K1939" s="265"/>
      <c r="L1939" s="265"/>
      <c r="M1939" s="269"/>
      <c r="N1939" s="270"/>
      <c r="O1939" s="271"/>
      <c r="P1939" s="271"/>
      <c r="Q1939" s="272"/>
      <c r="R1939" s="273"/>
      <c r="S1939" s="273"/>
      <c r="T1939" s="273"/>
      <c r="U1939" s="274"/>
      <c r="V1939" s="263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</row>
    <row r="1940">
      <c r="A1940" s="263"/>
      <c r="B1940" s="264"/>
      <c r="C1940" s="265"/>
      <c r="D1940" s="265"/>
      <c r="E1940" s="264"/>
      <c r="F1940" s="265"/>
      <c r="G1940" s="263"/>
      <c r="H1940" s="432"/>
      <c r="I1940" s="282"/>
      <c r="J1940" s="283"/>
      <c r="K1940" s="265"/>
      <c r="L1940" s="265"/>
      <c r="M1940" s="269"/>
      <c r="N1940" s="270"/>
      <c r="O1940" s="271"/>
      <c r="P1940" s="271"/>
      <c r="Q1940" s="272"/>
      <c r="R1940" s="273"/>
      <c r="S1940" s="273"/>
      <c r="T1940" s="273"/>
      <c r="U1940" s="274"/>
      <c r="V1940" s="263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</row>
    <row r="1941">
      <c r="A1941" s="263"/>
      <c r="B1941" s="264"/>
      <c r="C1941" s="265"/>
      <c r="D1941" s="265"/>
      <c r="E1941" s="264"/>
      <c r="F1941" s="265"/>
      <c r="G1941" s="263"/>
      <c r="H1941" s="432"/>
      <c r="I1941" s="282"/>
      <c r="J1941" s="283"/>
      <c r="K1941" s="265"/>
      <c r="L1941" s="265"/>
      <c r="M1941" s="269"/>
      <c r="N1941" s="270"/>
      <c r="O1941" s="271"/>
      <c r="P1941" s="271"/>
      <c r="Q1941" s="272"/>
      <c r="R1941" s="273"/>
      <c r="S1941" s="273"/>
      <c r="T1941" s="273"/>
      <c r="U1941" s="274"/>
      <c r="V1941" s="263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</row>
    <row r="1942">
      <c r="A1942" s="263"/>
      <c r="B1942" s="264"/>
      <c r="C1942" s="265"/>
      <c r="D1942" s="265"/>
      <c r="E1942" s="264"/>
      <c r="F1942" s="265"/>
      <c r="G1942" s="263"/>
      <c r="H1942" s="432"/>
      <c r="I1942" s="282"/>
      <c r="J1942" s="283"/>
      <c r="K1942" s="265"/>
      <c r="L1942" s="265"/>
      <c r="M1942" s="269"/>
      <c r="N1942" s="270"/>
      <c r="O1942" s="271"/>
      <c r="P1942" s="271"/>
      <c r="Q1942" s="272"/>
      <c r="R1942" s="273"/>
      <c r="S1942" s="273"/>
      <c r="T1942" s="273"/>
      <c r="U1942" s="274"/>
      <c r="V1942" s="263"/>
      <c r="W1942" s="188"/>
      <c r="X1942" s="188"/>
      <c r="Y1942" s="188"/>
      <c r="Z1942" s="188"/>
      <c r="AA1942" s="188"/>
      <c r="AB1942" s="188"/>
      <c r="AC1942" s="188"/>
      <c r="AD1942" s="188"/>
      <c r="AE1942" s="188"/>
      <c r="AF1942" s="188"/>
      <c r="AG1942" s="188"/>
      <c r="AH1942" s="188"/>
      <c r="AI1942" s="188"/>
    </row>
    <row r="1943">
      <c r="A1943" s="263"/>
      <c r="B1943" s="264"/>
      <c r="C1943" s="265"/>
      <c r="D1943" s="265"/>
      <c r="E1943" s="264"/>
      <c r="F1943" s="265"/>
      <c r="G1943" s="263"/>
      <c r="H1943" s="432"/>
      <c r="I1943" s="282"/>
      <c r="J1943" s="283"/>
      <c r="K1943" s="265"/>
      <c r="L1943" s="265"/>
      <c r="M1943" s="269"/>
      <c r="N1943" s="270"/>
      <c r="O1943" s="271"/>
      <c r="P1943" s="271"/>
      <c r="Q1943" s="272"/>
      <c r="R1943" s="273"/>
      <c r="S1943" s="273"/>
      <c r="T1943" s="273"/>
      <c r="U1943" s="274"/>
      <c r="V1943" s="263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</row>
    <row r="1944">
      <c r="A1944" s="263"/>
      <c r="B1944" s="264"/>
      <c r="C1944" s="265"/>
      <c r="D1944" s="265"/>
      <c r="E1944" s="264"/>
      <c r="F1944" s="265"/>
      <c r="G1944" s="263"/>
      <c r="H1944" s="432"/>
      <c r="I1944" s="282"/>
      <c r="J1944" s="283"/>
      <c r="K1944" s="265"/>
      <c r="L1944" s="265"/>
      <c r="M1944" s="269"/>
      <c r="N1944" s="270"/>
      <c r="O1944" s="271"/>
      <c r="P1944" s="271"/>
      <c r="Q1944" s="272"/>
      <c r="R1944" s="273"/>
      <c r="S1944" s="273"/>
      <c r="T1944" s="273"/>
      <c r="U1944" s="274"/>
      <c r="V1944" s="263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</row>
    <row r="1945">
      <c r="A1945" s="263"/>
      <c r="B1945" s="264"/>
      <c r="C1945" s="265"/>
      <c r="D1945" s="265"/>
      <c r="E1945" s="264"/>
      <c r="F1945" s="265"/>
      <c r="G1945" s="263"/>
      <c r="H1945" s="432"/>
      <c r="I1945" s="282"/>
      <c r="J1945" s="283"/>
      <c r="K1945" s="265"/>
      <c r="L1945" s="265"/>
      <c r="M1945" s="269"/>
      <c r="N1945" s="270"/>
      <c r="O1945" s="271"/>
      <c r="P1945" s="271"/>
      <c r="Q1945" s="272"/>
      <c r="R1945" s="273"/>
      <c r="S1945" s="273"/>
      <c r="T1945" s="273"/>
      <c r="U1945" s="274"/>
      <c r="V1945" s="263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</row>
    <row r="1946">
      <c r="A1946" s="263"/>
      <c r="B1946" s="264"/>
      <c r="C1946" s="265"/>
      <c r="D1946" s="265"/>
      <c r="E1946" s="264"/>
      <c r="F1946" s="265"/>
      <c r="G1946" s="263"/>
      <c r="H1946" s="432"/>
      <c r="I1946" s="282"/>
      <c r="J1946" s="283"/>
      <c r="K1946" s="265"/>
      <c r="L1946" s="265"/>
      <c r="M1946" s="269"/>
      <c r="N1946" s="270"/>
      <c r="O1946" s="271"/>
      <c r="P1946" s="271"/>
      <c r="Q1946" s="272"/>
      <c r="R1946" s="273"/>
      <c r="S1946" s="273"/>
      <c r="T1946" s="273"/>
      <c r="U1946" s="274"/>
      <c r="V1946" s="263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</row>
    <row r="1947">
      <c r="A1947" s="263"/>
      <c r="B1947" s="264"/>
      <c r="C1947" s="265"/>
      <c r="D1947" s="265"/>
      <c r="E1947" s="264"/>
      <c r="F1947" s="265"/>
      <c r="G1947" s="263"/>
      <c r="H1947" s="432"/>
      <c r="I1947" s="282"/>
      <c r="J1947" s="283"/>
      <c r="K1947" s="265"/>
      <c r="L1947" s="265"/>
      <c r="M1947" s="269"/>
      <c r="N1947" s="270"/>
      <c r="O1947" s="271"/>
      <c r="P1947" s="271"/>
      <c r="Q1947" s="272"/>
      <c r="R1947" s="273"/>
      <c r="S1947" s="273"/>
      <c r="T1947" s="273"/>
      <c r="U1947" s="274"/>
      <c r="V1947" s="263"/>
      <c r="W1947" s="188"/>
      <c r="X1947" s="188"/>
      <c r="Y1947" s="188"/>
      <c r="Z1947" s="188"/>
      <c r="AA1947" s="188"/>
      <c r="AB1947" s="188"/>
      <c r="AC1947" s="188"/>
      <c r="AD1947" s="188"/>
      <c r="AE1947" s="188"/>
      <c r="AF1947" s="188"/>
      <c r="AG1947" s="188"/>
      <c r="AH1947" s="188"/>
      <c r="AI1947" s="188"/>
    </row>
    <row r="1948">
      <c r="A1948" s="263"/>
      <c r="B1948" s="264"/>
      <c r="C1948" s="265"/>
      <c r="D1948" s="265"/>
      <c r="E1948" s="264"/>
      <c r="F1948" s="265"/>
      <c r="G1948" s="263"/>
      <c r="H1948" s="432"/>
      <c r="I1948" s="282"/>
      <c r="J1948" s="283"/>
      <c r="K1948" s="265"/>
      <c r="L1948" s="265"/>
      <c r="M1948" s="269"/>
      <c r="N1948" s="270"/>
      <c r="O1948" s="271"/>
      <c r="P1948" s="271"/>
      <c r="Q1948" s="272"/>
      <c r="R1948" s="273"/>
      <c r="S1948" s="273"/>
      <c r="T1948" s="273"/>
      <c r="U1948" s="274"/>
      <c r="V1948" s="263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</row>
    <row r="1949">
      <c r="A1949" s="263"/>
      <c r="B1949" s="264"/>
      <c r="C1949" s="265"/>
      <c r="D1949" s="265"/>
      <c r="E1949" s="264"/>
      <c r="F1949" s="265"/>
      <c r="G1949" s="263"/>
      <c r="H1949" s="432"/>
      <c r="I1949" s="282"/>
      <c r="J1949" s="283"/>
      <c r="K1949" s="265"/>
      <c r="L1949" s="265"/>
      <c r="M1949" s="269"/>
      <c r="N1949" s="270"/>
      <c r="O1949" s="271"/>
      <c r="P1949" s="271"/>
      <c r="Q1949" s="272"/>
      <c r="R1949" s="273"/>
      <c r="S1949" s="273"/>
      <c r="T1949" s="273"/>
      <c r="U1949" s="274"/>
      <c r="V1949" s="263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</row>
    <row r="1950">
      <c r="A1950" s="263"/>
      <c r="B1950" s="264"/>
      <c r="C1950" s="265"/>
      <c r="D1950" s="265"/>
      <c r="E1950" s="264"/>
      <c r="F1950" s="265"/>
      <c r="G1950" s="263"/>
      <c r="H1950" s="432"/>
      <c r="I1950" s="282"/>
      <c r="J1950" s="283"/>
      <c r="K1950" s="265"/>
      <c r="L1950" s="265"/>
      <c r="M1950" s="269"/>
      <c r="N1950" s="270"/>
      <c r="O1950" s="271"/>
      <c r="P1950" s="271"/>
      <c r="Q1950" s="272"/>
      <c r="R1950" s="273"/>
      <c r="S1950" s="273"/>
      <c r="T1950" s="273"/>
      <c r="U1950" s="274"/>
      <c r="V1950" s="263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</row>
    <row r="1951">
      <c r="A1951" s="263"/>
      <c r="B1951" s="264"/>
      <c r="C1951" s="265"/>
      <c r="D1951" s="265"/>
      <c r="E1951" s="264"/>
      <c r="F1951" s="265"/>
      <c r="G1951" s="263"/>
      <c r="H1951" s="432"/>
      <c r="I1951" s="282"/>
      <c r="J1951" s="283"/>
      <c r="K1951" s="265"/>
      <c r="L1951" s="265"/>
      <c r="M1951" s="269"/>
      <c r="N1951" s="270"/>
      <c r="O1951" s="271"/>
      <c r="P1951" s="271"/>
      <c r="Q1951" s="272"/>
      <c r="R1951" s="273"/>
      <c r="S1951" s="273"/>
      <c r="T1951" s="273"/>
      <c r="U1951" s="274"/>
      <c r="V1951" s="263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</row>
    <row r="1952">
      <c r="A1952" s="263"/>
      <c r="B1952" s="264"/>
      <c r="C1952" s="265"/>
      <c r="D1952" s="265"/>
      <c r="E1952" s="264"/>
      <c r="F1952" s="265"/>
      <c r="G1952" s="263"/>
      <c r="H1952" s="432"/>
      <c r="I1952" s="282"/>
      <c r="J1952" s="283"/>
      <c r="K1952" s="265"/>
      <c r="L1952" s="265"/>
      <c r="M1952" s="269"/>
      <c r="N1952" s="270"/>
      <c r="O1952" s="271"/>
      <c r="P1952" s="271"/>
      <c r="Q1952" s="272"/>
      <c r="R1952" s="273"/>
      <c r="S1952" s="273"/>
      <c r="T1952" s="273"/>
      <c r="U1952" s="274"/>
      <c r="V1952" s="263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</row>
    <row r="1953">
      <c r="A1953" s="263"/>
      <c r="B1953" s="264"/>
      <c r="C1953" s="265"/>
      <c r="D1953" s="265"/>
      <c r="E1953" s="264"/>
      <c r="F1953" s="265"/>
      <c r="G1953" s="263"/>
      <c r="H1953" s="432"/>
      <c r="I1953" s="282"/>
      <c r="J1953" s="283"/>
      <c r="K1953" s="265"/>
      <c r="L1953" s="265"/>
      <c r="M1953" s="269"/>
      <c r="N1953" s="270"/>
      <c r="O1953" s="271"/>
      <c r="P1953" s="271"/>
      <c r="Q1953" s="272"/>
      <c r="R1953" s="273"/>
      <c r="S1953" s="273"/>
      <c r="T1953" s="273"/>
      <c r="U1953" s="274"/>
      <c r="V1953" s="263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</row>
    <row r="1954">
      <c r="A1954" s="263"/>
      <c r="B1954" s="264"/>
      <c r="C1954" s="265"/>
      <c r="D1954" s="265"/>
      <c r="E1954" s="264"/>
      <c r="F1954" s="265"/>
      <c r="G1954" s="263"/>
      <c r="H1954" s="432"/>
      <c r="I1954" s="282"/>
      <c r="J1954" s="283"/>
      <c r="K1954" s="265"/>
      <c r="L1954" s="265"/>
      <c r="M1954" s="269"/>
      <c r="N1954" s="270"/>
      <c r="O1954" s="271"/>
      <c r="P1954" s="271"/>
      <c r="Q1954" s="272"/>
      <c r="R1954" s="273"/>
      <c r="S1954" s="273"/>
      <c r="T1954" s="273"/>
      <c r="U1954" s="274"/>
      <c r="V1954" s="263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</row>
    <row r="1955">
      <c r="A1955" s="263"/>
      <c r="B1955" s="264"/>
      <c r="C1955" s="265"/>
      <c r="D1955" s="265"/>
      <c r="E1955" s="264"/>
      <c r="F1955" s="265"/>
      <c r="G1955" s="263"/>
      <c r="H1955" s="432"/>
      <c r="I1955" s="282"/>
      <c r="J1955" s="283"/>
      <c r="K1955" s="265"/>
      <c r="L1955" s="265"/>
      <c r="M1955" s="269"/>
      <c r="N1955" s="270"/>
      <c r="O1955" s="271"/>
      <c r="P1955" s="271"/>
      <c r="Q1955" s="272"/>
      <c r="R1955" s="273"/>
      <c r="S1955" s="273"/>
      <c r="T1955" s="273"/>
      <c r="U1955" s="274"/>
      <c r="V1955" s="263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</row>
    <row r="1956">
      <c r="A1956" s="263"/>
      <c r="B1956" s="264"/>
      <c r="C1956" s="265"/>
      <c r="D1956" s="265"/>
      <c r="E1956" s="264"/>
      <c r="F1956" s="265"/>
      <c r="G1956" s="263"/>
      <c r="H1956" s="432"/>
      <c r="I1956" s="282"/>
      <c r="J1956" s="283"/>
      <c r="K1956" s="265"/>
      <c r="L1956" s="265"/>
      <c r="M1956" s="269"/>
      <c r="N1956" s="270"/>
      <c r="O1956" s="271"/>
      <c r="P1956" s="271"/>
      <c r="Q1956" s="272"/>
      <c r="R1956" s="273"/>
      <c r="S1956" s="273"/>
      <c r="T1956" s="273"/>
      <c r="U1956" s="274"/>
      <c r="V1956" s="263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</row>
    <row r="1957">
      <c r="A1957" s="263"/>
      <c r="B1957" s="264"/>
      <c r="C1957" s="265"/>
      <c r="D1957" s="265"/>
      <c r="E1957" s="264"/>
      <c r="F1957" s="265"/>
      <c r="G1957" s="263"/>
      <c r="H1957" s="432"/>
      <c r="I1957" s="282"/>
      <c r="J1957" s="283"/>
      <c r="K1957" s="265"/>
      <c r="L1957" s="265"/>
      <c r="M1957" s="269"/>
      <c r="N1957" s="270"/>
      <c r="O1957" s="271"/>
      <c r="P1957" s="271"/>
      <c r="Q1957" s="272"/>
      <c r="R1957" s="273"/>
      <c r="S1957" s="273"/>
      <c r="T1957" s="273"/>
      <c r="U1957" s="274"/>
      <c r="V1957" s="263"/>
      <c r="W1957" s="188"/>
      <c r="X1957" s="188"/>
      <c r="Y1957" s="188"/>
      <c r="Z1957" s="188"/>
      <c r="AA1957" s="188"/>
      <c r="AB1957" s="188"/>
      <c r="AC1957" s="188"/>
      <c r="AD1957" s="188"/>
      <c r="AE1957" s="188"/>
      <c r="AF1957" s="188"/>
      <c r="AG1957" s="188"/>
      <c r="AH1957" s="188"/>
      <c r="AI1957" s="188"/>
    </row>
    <row r="1958">
      <c r="A1958" s="263"/>
      <c r="B1958" s="264"/>
      <c r="C1958" s="265"/>
      <c r="D1958" s="265"/>
      <c r="E1958" s="264"/>
      <c r="F1958" s="265"/>
      <c r="G1958" s="263"/>
      <c r="H1958" s="432"/>
      <c r="I1958" s="282"/>
      <c r="J1958" s="283"/>
      <c r="K1958" s="265"/>
      <c r="L1958" s="265"/>
      <c r="M1958" s="269"/>
      <c r="N1958" s="270"/>
      <c r="O1958" s="271"/>
      <c r="P1958" s="271"/>
      <c r="Q1958" s="272"/>
      <c r="R1958" s="273"/>
      <c r="S1958" s="273"/>
      <c r="T1958" s="273"/>
      <c r="U1958" s="274"/>
      <c r="V1958" s="263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</row>
    <row r="1959">
      <c r="A1959" s="263"/>
      <c r="B1959" s="264"/>
      <c r="C1959" s="265"/>
      <c r="D1959" s="265"/>
      <c r="E1959" s="264"/>
      <c r="F1959" s="265"/>
      <c r="G1959" s="263"/>
      <c r="H1959" s="432"/>
      <c r="I1959" s="282"/>
      <c r="J1959" s="283"/>
      <c r="K1959" s="265"/>
      <c r="L1959" s="265"/>
      <c r="M1959" s="269"/>
      <c r="N1959" s="270"/>
      <c r="O1959" s="271"/>
      <c r="P1959" s="271"/>
      <c r="Q1959" s="272"/>
      <c r="R1959" s="273"/>
      <c r="S1959" s="273"/>
      <c r="T1959" s="273"/>
      <c r="U1959" s="274"/>
      <c r="V1959" s="263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</row>
    <row r="1960">
      <c r="A1960" s="263"/>
      <c r="B1960" s="264"/>
      <c r="C1960" s="265"/>
      <c r="D1960" s="265"/>
      <c r="E1960" s="264"/>
      <c r="F1960" s="265"/>
      <c r="G1960" s="263"/>
      <c r="H1960" s="432"/>
      <c r="I1960" s="282"/>
      <c r="J1960" s="283"/>
      <c r="K1960" s="265"/>
      <c r="L1960" s="265"/>
      <c r="M1960" s="269"/>
      <c r="N1960" s="270"/>
      <c r="O1960" s="271"/>
      <c r="P1960" s="271"/>
      <c r="Q1960" s="272"/>
      <c r="R1960" s="273"/>
      <c r="S1960" s="273"/>
      <c r="T1960" s="273"/>
      <c r="U1960" s="274"/>
      <c r="V1960" s="263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</row>
    <row r="1961">
      <c r="A1961" s="263"/>
      <c r="B1961" s="264"/>
      <c r="C1961" s="265"/>
      <c r="D1961" s="265"/>
      <c r="E1961" s="264"/>
      <c r="F1961" s="265"/>
      <c r="G1961" s="263"/>
      <c r="H1961" s="432"/>
      <c r="I1961" s="282"/>
      <c r="J1961" s="283"/>
      <c r="K1961" s="265"/>
      <c r="L1961" s="265"/>
      <c r="M1961" s="269"/>
      <c r="N1961" s="270"/>
      <c r="O1961" s="271"/>
      <c r="P1961" s="271"/>
      <c r="Q1961" s="272"/>
      <c r="R1961" s="273"/>
      <c r="S1961" s="273"/>
      <c r="T1961" s="273"/>
      <c r="U1961" s="274"/>
      <c r="V1961" s="263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</row>
    <row r="1962">
      <c r="A1962" s="263"/>
      <c r="B1962" s="264"/>
      <c r="C1962" s="265"/>
      <c r="D1962" s="265"/>
      <c r="E1962" s="264"/>
      <c r="F1962" s="265"/>
      <c r="G1962" s="263"/>
      <c r="H1962" s="432"/>
      <c r="I1962" s="282"/>
      <c r="J1962" s="283"/>
      <c r="K1962" s="265"/>
      <c r="L1962" s="265"/>
      <c r="M1962" s="269"/>
      <c r="N1962" s="270"/>
      <c r="O1962" s="271"/>
      <c r="P1962" s="271"/>
      <c r="Q1962" s="272"/>
      <c r="R1962" s="273"/>
      <c r="S1962" s="273"/>
      <c r="T1962" s="273"/>
      <c r="U1962" s="274"/>
      <c r="V1962" s="263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</row>
    <row r="1963">
      <c r="A1963" s="263"/>
      <c r="B1963" s="264"/>
      <c r="C1963" s="265"/>
      <c r="D1963" s="265"/>
      <c r="E1963" s="264"/>
      <c r="F1963" s="265"/>
      <c r="G1963" s="263"/>
      <c r="H1963" s="432"/>
      <c r="I1963" s="282"/>
      <c r="J1963" s="283"/>
      <c r="K1963" s="265"/>
      <c r="L1963" s="265"/>
      <c r="M1963" s="269"/>
      <c r="N1963" s="270"/>
      <c r="O1963" s="271"/>
      <c r="P1963" s="271"/>
      <c r="Q1963" s="272"/>
      <c r="R1963" s="273"/>
      <c r="S1963" s="273"/>
      <c r="T1963" s="273"/>
      <c r="U1963" s="274"/>
      <c r="V1963" s="263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</row>
    <row r="1964">
      <c r="A1964" s="263"/>
      <c r="B1964" s="264"/>
      <c r="C1964" s="265"/>
      <c r="D1964" s="265"/>
      <c r="E1964" s="264"/>
      <c r="F1964" s="265"/>
      <c r="G1964" s="263"/>
      <c r="H1964" s="432"/>
      <c r="I1964" s="282"/>
      <c r="J1964" s="283"/>
      <c r="K1964" s="265"/>
      <c r="L1964" s="265"/>
      <c r="M1964" s="269"/>
      <c r="N1964" s="270"/>
      <c r="O1964" s="271"/>
      <c r="P1964" s="271"/>
      <c r="Q1964" s="272"/>
      <c r="R1964" s="273"/>
      <c r="S1964" s="273"/>
      <c r="T1964" s="273"/>
      <c r="U1964" s="274"/>
      <c r="V1964" s="263"/>
      <c r="W1964" s="35"/>
      <c r="X1964" s="35"/>
      <c r="Y1964" s="35"/>
      <c r="Z1964" s="35"/>
      <c r="AA1964" s="35"/>
      <c r="AB1964" s="35"/>
      <c r="AC1964" s="35"/>
      <c r="AD1964" s="35"/>
      <c r="AE1964" s="35"/>
      <c r="AF1964" s="35"/>
      <c r="AG1964" s="35"/>
      <c r="AH1964" s="35"/>
      <c r="AI1964" s="35"/>
    </row>
    <row r="1965">
      <c r="A1965" s="263"/>
      <c r="B1965" s="264"/>
      <c r="C1965" s="265"/>
      <c r="D1965" s="265"/>
      <c r="E1965" s="264"/>
      <c r="F1965" s="265"/>
      <c r="G1965" s="263"/>
      <c r="H1965" s="432"/>
      <c r="I1965" s="282"/>
      <c r="J1965" s="283"/>
      <c r="K1965" s="265"/>
      <c r="L1965" s="265"/>
      <c r="M1965" s="269"/>
      <c r="N1965" s="270"/>
      <c r="O1965" s="271"/>
      <c r="P1965" s="271"/>
      <c r="Q1965" s="272"/>
      <c r="R1965" s="273"/>
      <c r="S1965" s="273"/>
      <c r="T1965" s="273"/>
      <c r="U1965" s="274"/>
      <c r="V1965" s="263"/>
      <c r="W1965" s="188"/>
      <c r="X1965" s="188"/>
      <c r="Y1965" s="188"/>
      <c r="Z1965" s="188"/>
      <c r="AA1965" s="188"/>
      <c r="AB1965" s="188"/>
      <c r="AC1965" s="188"/>
      <c r="AD1965" s="188"/>
      <c r="AE1965" s="188"/>
      <c r="AF1965" s="188"/>
      <c r="AG1965" s="188"/>
      <c r="AH1965" s="188"/>
      <c r="AI1965" s="188"/>
    </row>
    <row r="1966">
      <c r="A1966" s="263"/>
      <c r="B1966" s="264"/>
      <c r="C1966" s="265"/>
      <c r="D1966" s="265"/>
      <c r="E1966" s="264"/>
      <c r="F1966" s="265"/>
      <c r="G1966" s="263"/>
      <c r="H1966" s="432"/>
      <c r="I1966" s="282"/>
      <c r="J1966" s="283"/>
      <c r="K1966" s="265"/>
      <c r="L1966" s="265"/>
      <c r="M1966" s="269"/>
      <c r="N1966" s="270"/>
      <c r="O1966" s="271"/>
      <c r="P1966" s="271"/>
      <c r="Q1966" s="272"/>
      <c r="R1966" s="273"/>
      <c r="S1966" s="273"/>
      <c r="T1966" s="273"/>
      <c r="U1966" s="274"/>
      <c r="V1966" s="263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</row>
    <row r="1967">
      <c r="A1967" s="263"/>
      <c r="B1967" s="264"/>
      <c r="C1967" s="265"/>
      <c r="D1967" s="265"/>
      <c r="E1967" s="264"/>
      <c r="F1967" s="265"/>
      <c r="G1967" s="263"/>
      <c r="H1967" s="432"/>
      <c r="I1967" s="282"/>
      <c r="J1967" s="283"/>
      <c r="K1967" s="265"/>
      <c r="L1967" s="265"/>
      <c r="M1967" s="269"/>
      <c r="N1967" s="270"/>
      <c r="O1967" s="271"/>
      <c r="P1967" s="271"/>
      <c r="Q1967" s="272"/>
      <c r="R1967" s="273"/>
      <c r="S1967" s="273"/>
      <c r="T1967" s="273"/>
      <c r="U1967" s="274"/>
      <c r="V1967" s="263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</row>
    <row r="1968">
      <c r="A1968" s="263"/>
      <c r="B1968" s="264"/>
      <c r="C1968" s="265"/>
      <c r="D1968" s="265"/>
      <c r="E1968" s="264"/>
      <c r="F1968" s="265"/>
      <c r="G1968" s="263"/>
      <c r="H1968" s="432"/>
      <c r="I1968" s="282"/>
      <c r="J1968" s="283"/>
      <c r="K1968" s="265"/>
      <c r="L1968" s="265"/>
      <c r="M1968" s="269"/>
      <c r="N1968" s="270"/>
      <c r="O1968" s="271"/>
      <c r="P1968" s="271"/>
      <c r="Q1968" s="272"/>
      <c r="R1968" s="273"/>
      <c r="S1968" s="273"/>
      <c r="T1968" s="273"/>
      <c r="U1968" s="274"/>
      <c r="V1968" s="263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</row>
    <row r="1969">
      <c r="A1969" s="263"/>
      <c r="B1969" s="264"/>
      <c r="C1969" s="265"/>
      <c r="D1969" s="265"/>
      <c r="E1969" s="264"/>
      <c r="F1969" s="265"/>
      <c r="G1969" s="263"/>
      <c r="H1969" s="432"/>
      <c r="I1969" s="282"/>
      <c r="J1969" s="283"/>
      <c r="K1969" s="265"/>
      <c r="L1969" s="265"/>
      <c r="M1969" s="269"/>
      <c r="N1969" s="270"/>
      <c r="O1969" s="271"/>
      <c r="P1969" s="271"/>
      <c r="Q1969" s="272"/>
      <c r="R1969" s="273"/>
      <c r="S1969" s="273"/>
      <c r="T1969" s="273"/>
      <c r="U1969" s="274"/>
      <c r="V1969" s="263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</row>
    <row r="1970">
      <c r="A1970" s="263"/>
      <c r="B1970" s="264"/>
      <c r="C1970" s="265"/>
      <c r="D1970" s="265"/>
      <c r="E1970" s="264"/>
      <c r="F1970" s="265"/>
      <c r="G1970" s="263"/>
      <c r="H1970" s="432"/>
      <c r="I1970" s="282"/>
      <c r="J1970" s="283"/>
      <c r="K1970" s="265"/>
      <c r="L1970" s="265"/>
      <c r="M1970" s="269"/>
      <c r="N1970" s="270"/>
      <c r="O1970" s="271"/>
      <c r="P1970" s="271"/>
      <c r="Q1970" s="272"/>
      <c r="R1970" s="273"/>
      <c r="S1970" s="273"/>
      <c r="T1970" s="273"/>
      <c r="U1970" s="274"/>
      <c r="V1970" s="263"/>
      <c r="W1970" s="35"/>
      <c r="X1970" s="35"/>
      <c r="Y1970" s="35"/>
      <c r="Z1970" s="35"/>
      <c r="AA1970" s="35"/>
      <c r="AB1970" s="35"/>
      <c r="AC1970" s="35"/>
      <c r="AD1970" s="35"/>
      <c r="AE1970" s="35"/>
      <c r="AF1970" s="35"/>
      <c r="AG1970" s="35"/>
      <c r="AH1970" s="35"/>
      <c r="AI1970" s="35"/>
    </row>
    <row r="1971">
      <c r="A1971" s="263"/>
      <c r="B1971" s="264"/>
      <c r="C1971" s="265"/>
      <c r="D1971" s="265"/>
      <c r="E1971" s="264"/>
      <c r="F1971" s="265"/>
      <c r="G1971" s="263"/>
      <c r="H1971" s="432"/>
      <c r="I1971" s="282"/>
      <c r="J1971" s="283"/>
      <c r="K1971" s="265"/>
      <c r="L1971" s="265"/>
      <c r="M1971" s="269"/>
      <c r="N1971" s="270"/>
      <c r="O1971" s="271"/>
      <c r="P1971" s="271"/>
      <c r="Q1971" s="272"/>
      <c r="R1971" s="273"/>
      <c r="S1971" s="273"/>
      <c r="T1971" s="273"/>
      <c r="U1971" s="274"/>
      <c r="V1971" s="263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</row>
    <row r="1972">
      <c r="A1972" s="263"/>
      <c r="B1972" s="264"/>
      <c r="C1972" s="265"/>
      <c r="D1972" s="265"/>
      <c r="E1972" s="264"/>
      <c r="F1972" s="265"/>
      <c r="G1972" s="263"/>
      <c r="H1972" s="432"/>
      <c r="I1972" s="282"/>
      <c r="J1972" s="283"/>
      <c r="K1972" s="265"/>
      <c r="L1972" s="265"/>
      <c r="M1972" s="269"/>
      <c r="N1972" s="270"/>
      <c r="O1972" s="271"/>
      <c r="P1972" s="271"/>
      <c r="Q1972" s="272"/>
      <c r="R1972" s="273"/>
      <c r="S1972" s="273"/>
      <c r="T1972" s="273"/>
      <c r="U1972" s="274"/>
      <c r="V1972" s="263"/>
      <c r="W1972" s="188"/>
      <c r="X1972" s="188"/>
      <c r="Y1972" s="188"/>
      <c r="Z1972" s="188"/>
      <c r="AA1972" s="188"/>
      <c r="AB1972" s="188"/>
      <c r="AC1972" s="188"/>
      <c r="AD1972" s="188"/>
      <c r="AE1972" s="188"/>
      <c r="AF1972" s="188"/>
      <c r="AG1972" s="188"/>
      <c r="AH1972" s="188"/>
      <c r="AI1972" s="188"/>
    </row>
    <row r="1973">
      <c r="A1973" s="263"/>
      <c r="B1973" s="264"/>
      <c r="C1973" s="265"/>
      <c r="D1973" s="265"/>
      <c r="E1973" s="264"/>
      <c r="F1973" s="265"/>
      <c r="G1973" s="263"/>
      <c r="H1973" s="432"/>
      <c r="I1973" s="282"/>
      <c r="J1973" s="283"/>
      <c r="K1973" s="265"/>
      <c r="L1973" s="265"/>
      <c r="M1973" s="269"/>
      <c r="N1973" s="270"/>
      <c r="O1973" s="271"/>
      <c r="P1973" s="271"/>
      <c r="Q1973" s="272"/>
      <c r="R1973" s="273"/>
      <c r="S1973" s="273"/>
      <c r="T1973" s="273"/>
      <c r="U1973" s="274"/>
      <c r="V1973" s="263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</row>
    <row r="1974">
      <c r="A1974" s="251"/>
      <c r="B1974" s="252"/>
      <c r="C1974" s="253"/>
      <c r="D1974" s="253"/>
      <c r="E1974" s="252"/>
      <c r="F1974" s="253"/>
      <c r="G1974" s="251"/>
      <c r="H1974" s="433"/>
      <c r="I1974" s="278"/>
      <c r="J1974" s="257"/>
      <c r="K1974" s="253"/>
      <c r="L1974" s="253"/>
      <c r="M1974" s="252"/>
      <c r="N1974" s="258"/>
      <c r="O1974" s="259"/>
      <c r="P1974" s="259"/>
      <c r="Q1974" s="262"/>
      <c r="R1974" s="260"/>
      <c r="S1974" s="260"/>
      <c r="T1974" s="260"/>
      <c r="U1974" s="261"/>
      <c r="V1974" s="251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</row>
    <row r="1975">
      <c r="A1975" s="263"/>
      <c r="B1975" s="264"/>
      <c r="C1975" s="265"/>
      <c r="D1975" s="265"/>
      <c r="E1975" s="264"/>
      <c r="F1975" s="265"/>
      <c r="G1975" s="263"/>
      <c r="H1975" s="432"/>
      <c r="I1975" s="282"/>
      <c r="J1975" s="283"/>
      <c r="K1975" s="265"/>
      <c r="L1975" s="265"/>
      <c r="M1975" s="269"/>
      <c r="N1975" s="270"/>
      <c r="O1975" s="271"/>
      <c r="P1975" s="271"/>
      <c r="Q1975" s="272"/>
      <c r="R1975" s="273"/>
      <c r="S1975" s="273"/>
      <c r="T1975" s="273"/>
      <c r="U1975" s="274"/>
      <c r="V1975" s="263"/>
      <c r="W1975" s="188"/>
      <c r="X1975" s="188"/>
      <c r="Y1975" s="188"/>
      <c r="Z1975" s="188"/>
      <c r="AA1975" s="188"/>
      <c r="AB1975" s="188"/>
      <c r="AC1975" s="188"/>
      <c r="AD1975" s="188"/>
      <c r="AE1975" s="188"/>
      <c r="AF1975" s="188"/>
      <c r="AG1975" s="188"/>
      <c r="AH1975" s="188"/>
      <c r="AI1975" s="188"/>
    </row>
    <row r="1976">
      <c r="A1976" s="263"/>
      <c r="B1976" s="264"/>
      <c r="C1976" s="265"/>
      <c r="D1976" s="265"/>
      <c r="E1976" s="264"/>
      <c r="F1976" s="265"/>
      <c r="G1976" s="263"/>
      <c r="H1976" s="432"/>
      <c r="I1976" s="282"/>
      <c r="J1976" s="283"/>
      <c r="K1976" s="265"/>
      <c r="L1976" s="265"/>
      <c r="M1976" s="269"/>
      <c r="N1976" s="270"/>
      <c r="O1976" s="271"/>
      <c r="P1976" s="271"/>
      <c r="Q1976" s="272"/>
      <c r="R1976" s="273"/>
      <c r="S1976" s="273"/>
      <c r="T1976" s="273"/>
      <c r="U1976" s="274"/>
      <c r="V1976" s="263"/>
      <c r="W1976" s="35"/>
      <c r="X1976" s="35"/>
      <c r="Y1976" s="35"/>
      <c r="Z1976" s="35"/>
      <c r="AA1976" s="35"/>
      <c r="AB1976" s="35"/>
      <c r="AC1976" s="35"/>
      <c r="AD1976" s="35"/>
      <c r="AE1976" s="35"/>
      <c r="AF1976" s="35"/>
      <c r="AG1976" s="35"/>
      <c r="AH1976" s="35"/>
      <c r="AI1976" s="35"/>
    </row>
    <row r="1977">
      <c r="A1977" s="263"/>
      <c r="B1977" s="264"/>
      <c r="C1977" s="265"/>
      <c r="D1977" s="265"/>
      <c r="E1977" s="264"/>
      <c r="F1977" s="265"/>
      <c r="G1977" s="263"/>
      <c r="H1977" s="432"/>
      <c r="I1977" s="282"/>
      <c r="J1977" s="283"/>
      <c r="K1977" s="265"/>
      <c r="L1977" s="265"/>
      <c r="M1977" s="269"/>
      <c r="N1977" s="270"/>
      <c r="O1977" s="271"/>
      <c r="P1977" s="271"/>
      <c r="Q1977" s="272"/>
      <c r="R1977" s="273"/>
      <c r="S1977" s="273"/>
      <c r="T1977" s="273"/>
      <c r="U1977" s="274"/>
      <c r="V1977" s="263"/>
      <c r="W1977" s="35"/>
      <c r="X1977" s="35"/>
      <c r="Y1977" s="35"/>
      <c r="Z1977" s="35"/>
      <c r="AA1977" s="35"/>
      <c r="AB1977" s="35"/>
      <c r="AC1977" s="35"/>
      <c r="AD1977" s="35"/>
      <c r="AE1977" s="35"/>
      <c r="AF1977" s="35"/>
      <c r="AG1977" s="35"/>
      <c r="AH1977" s="35"/>
      <c r="AI1977" s="35"/>
    </row>
    <row r="1978">
      <c r="A1978" s="263"/>
      <c r="B1978" s="264"/>
      <c r="C1978" s="265"/>
      <c r="D1978" s="265"/>
      <c r="E1978" s="264"/>
      <c r="F1978" s="265"/>
      <c r="G1978" s="263"/>
      <c r="H1978" s="432"/>
      <c r="I1978" s="282"/>
      <c r="J1978" s="283"/>
      <c r="K1978" s="265"/>
      <c r="L1978" s="265"/>
      <c r="M1978" s="269"/>
      <c r="N1978" s="270"/>
      <c r="O1978" s="271"/>
      <c r="P1978" s="271"/>
      <c r="Q1978" s="272"/>
      <c r="R1978" s="273"/>
      <c r="S1978" s="273"/>
      <c r="T1978" s="273"/>
      <c r="U1978" s="274"/>
      <c r="V1978" s="263"/>
      <c r="W1978" s="188"/>
      <c r="X1978" s="188"/>
      <c r="Y1978" s="188"/>
      <c r="Z1978" s="188"/>
      <c r="AA1978" s="188"/>
      <c r="AB1978" s="188"/>
      <c r="AC1978" s="188"/>
      <c r="AD1978" s="188"/>
      <c r="AE1978" s="188"/>
      <c r="AF1978" s="188"/>
      <c r="AG1978" s="188"/>
      <c r="AH1978" s="188"/>
      <c r="AI1978" s="188"/>
    </row>
    <row r="1979">
      <c r="A1979" s="263"/>
      <c r="B1979" s="264"/>
      <c r="C1979" s="265"/>
      <c r="D1979" s="265"/>
      <c r="E1979" s="264"/>
      <c r="F1979" s="265"/>
      <c r="G1979" s="263"/>
      <c r="H1979" s="432"/>
      <c r="I1979" s="282"/>
      <c r="J1979" s="283"/>
      <c r="K1979" s="265"/>
      <c r="L1979" s="265"/>
      <c r="M1979" s="269"/>
      <c r="N1979" s="270"/>
      <c r="O1979" s="271"/>
      <c r="P1979" s="271"/>
      <c r="Q1979" s="272"/>
      <c r="R1979" s="273"/>
      <c r="S1979" s="273"/>
      <c r="T1979" s="273"/>
      <c r="U1979" s="274"/>
      <c r="V1979" s="263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</row>
    <row r="1980">
      <c r="A1980" s="263"/>
      <c r="B1980" s="264"/>
      <c r="C1980" s="265"/>
      <c r="D1980" s="265"/>
      <c r="E1980" s="264"/>
      <c r="F1980" s="265"/>
      <c r="G1980" s="263"/>
      <c r="H1980" s="432"/>
      <c r="I1980" s="282"/>
      <c r="J1980" s="283"/>
      <c r="K1980" s="265"/>
      <c r="L1980" s="265"/>
      <c r="M1980" s="269"/>
      <c r="N1980" s="270"/>
      <c r="O1980" s="271"/>
      <c r="P1980" s="271"/>
      <c r="Q1980" s="272"/>
      <c r="R1980" s="273"/>
      <c r="S1980" s="273"/>
      <c r="T1980" s="273"/>
      <c r="U1980" s="274"/>
      <c r="V1980" s="263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</row>
    <row r="1981">
      <c r="A1981" s="263"/>
      <c r="B1981" s="264"/>
      <c r="C1981" s="265"/>
      <c r="D1981" s="265"/>
      <c r="E1981" s="264"/>
      <c r="F1981" s="265"/>
      <c r="G1981" s="263"/>
      <c r="H1981" s="432"/>
      <c r="I1981" s="282"/>
      <c r="J1981" s="283"/>
      <c r="K1981" s="265"/>
      <c r="L1981" s="265"/>
      <c r="M1981" s="269"/>
      <c r="N1981" s="270"/>
      <c r="O1981" s="271"/>
      <c r="P1981" s="271"/>
      <c r="Q1981" s="272"/>
      <c r="R1981" s="273"/>
      <c r="S1981" s="273"/>
      <c r="T1981" s="273"/>
      <c r="U1981" s="274"/>
      <c r="V1981" s="263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</row>
    <row r="1982">
      <c r="A1982" s="263"/>
      <c r="B1982" s="264"/>
      <c r="C1982" s="265"/>
      <c r="D1982" s="265"/>
      <c r="E1982" s="264"/>
      <c r="F1982" s="265"/>
      <c r="G1982" s="263"/>
      <c r="H1982" s="432"/>
      <c r="I1982" s="282"/>
      <c r="J1982" s="283"/>
      <c r="K1982" s="265"/>
      <c r="L1982" s="265"/>
      <c r="M1982" s="269"/>
      <c r="N1982" s="270"/>
      <c r="O1982" s="271"/>
      <c r="P1982" s="271"/>
      <c r="Q1982" s="272"/>
      <c r="R1982" s="273"/>
      <c r="S1982" s="273"/>
      <c r="T1982" s="273"/>
      <c r="U1982" s="274"/>
      <c r="V1982" s="263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</row>
    <row r="1983">
      <c r="A1983" s="263"/>
      <c r="B1983" s="264"/>
      <c r="C1983" s="265"/>
      <c r="D1983" s="265"/>
      <c r="E1983" s="264"/>
      <c r="F1983" s="265"/>
      <c r="G1983" s="263"/>
      <c r="H1983" s="432"/>
      <c r="I1983" s="282"/>
      <c r="J1983" s="283"/>
      <c r="K1983" s="265"/>
      <c r="L1983" s="265"/>
      <c r="M1983" s="269"/>
      <c r="N1983" s="270"/>
      <c r="O1983" s="271"/>
      <c r="P1983" s="271"/>
      <c r="Q1983" s="272"/>
      <c r="R1983" s="273"/>
      <c r="S1983" s="273"/>
      <c r="T1983" s="273"/>
      <c r="U1983" s="274"/>
      <c r="V1983" s="263"/>
      <c r="W1983" s="188"/>
      <c r="X1983" s="188"/>
      <c r="Y1983" s="188"/>
      <c r="Z1983" s="188"/>
      <c r="AA1983" s="188"/>
      <c r="AB1983" s="188"/>
      <c r="AC1983" s="188"/>
      <c r="AD1983" s="188"/>
      <c r="AE1983" s="188"/>
      <c r="AF1983" s="188"/>
      <c r="AG1983" s="188"/>
      <c r="AH1983" s="188"/>
      <c r="AI1983" s="188"/>
    </row>
    <row r="1984">
      <c r="A1984" s="263"/>
      <c r="B1984" s="264"/>
      <c r="C1984" s="265"/>
      <c r="D1984" s="265"/>
      <c r="E1984" s="264"/>
      <c r="F1984" s="265"/>
      <c r="G1984" s="263"/>
      <c r="H1984" s="432"/>
      <c r="I1984" s="282"/>
      <c r="J1984" s="283"/>
      <c r="K1984" s="265"/>
      <c r="L1984" s="265"/>
      <c r="M1984" s="269"/>
      <c r="N1984" s="270"/>
      <c r="O1984" s="271"/>
      <c r="P1984" s="271"/>
      <c r="Q1984" s="272"/>
      <c r="R1984" s="273"/>
      <c r="S1984" s="273"/>
      <c r="T1984" s="273"/>
      <c r="U1984" s="274"/>
      <c r="V1984" s="263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</row>
    <row r="1985">
      <c r="A1985" s="263"/>
      <c r="B1985" s="264"/>
      <c r="C1985" s="265"/>
      <c r="D1985" s="265"/>
      <c r="E1985" s="264"/>
      <c r="F1985" s="265"/>
      <c r="G1985" s="263"/>
      <c r="H1985" s="432"/>
      <c r="I1985" s="282"/>
      <c r="J1985" s="283"/>
      <c r="K1985" s="265"/>
      <c r="L1985" s="265"/>
      <c r="M1985" s="269"/>
      <c r="N1985" s="270"/>
      <c r="O1985" s="271"/>
      <c r="P1985" s="271"/>
      <c r="Q1985" s="272"/>
      <c r="R1985" s="273"/>
      <c r="S1985" s="273"/>
      <c r="T1985" s="273"/>
      <c r="U1985" s="274"/>
      <c r="V1985" s="263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</row>
    <row r="1986">
      <c r="A1986" s="263"/>
      <c r="B1986" s="264"/>
      <c r="C1986" s="265"/>
      <c r="D1986" s="265"/>
      <c r="E1986" s="264"/>
      <c r="F1986" s="265"/>
      <c r="G1986" s="263"/>
      <c r="H1986" s="432"/>
      <c r="I1986" s="282"/>
      <c r="J1986" s="283"/>
      <c r="K1986" s="265"/>
      <c r="L1986" s="265"/>
      <c r="M1986" s="269"/>
      <c r="N1986" s="270"/>
      <c r="O1986" s="271"/>
      <c r="P1986" s="271"/>
      <c r="Q1986" s="272"/>
      <c r="R1986" s="273"/>
      <c r="S1986" s="273"/>
      <c r="T1986" s="273"/>
      <c r="U1986" s="274"/>
      <c r="V1986" s="263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</row>
    <row r="1987">
      <c r="A1987" s="263"/>
      <c r="B1987" s="264"/>
      <c r="C1987" s="265"/>
      <c r="D1987" s="265"/>
      <c r="E1987" s="264"/>
      <c r="F1987" s="265"/>
      <c r="G1987" s="263"/>
      <c r="H1987" s="432"/>
      <c r="I1987" s="282"/>
      <c r="J1987" s="283"/>
      <c r="K1987" s="265"/>
      <c r="L1987" s="265"/>
      <c r="M1987" s="269"/>
      <c r="N1987" s="270"/>
      <c r="O1987" s="271"/>
      <c r="P1987" s="271"/>
      <c r="Q1987" s="272"/>
      <c r="R1987" s="273"/>
      <c r="S1987" s="273"/>
      <c r="T1987" s="273"/>
      <c r="U1987" s="274"/>
      <c r="V1987" s="263"/>
      <c r="W1987" s="35"/>
      <c r="X1987" s="35"/>
      <c r="Y1987" s="35"/>
      <c r="Z1987" s="35"/>
      <c r="AA1987" s="35"/>
      <c r="AB1987" s="35"/>
      <c r="AC1987" s="35"/>
      <c r="AD1987" s="35"/>
      <c r="AE1987" s="35"/>
      <c r="AF1987" s="35"/>
      <c r="AG1987" s="35"/>
      <c r="AH1987" s="35"/>
      <c r="AI1987" s="35"/>
    </row>
    <row r="1988">
      <c r="A1988" s="263"/>
      <c r="B1988" s="264"/>
      <c r="C1988" s="265"/>
      <c r="D1988" s="265"/>
      <c r="E1988" s="264"/>
      <c r="F1988" s="265"/>
      <c r="G1988" s="263"/>
      <c r="H1988" s="432"/>
      <c r="I1988" s="282"/>
      <c r="J1988" s="283"/>
      <c r="K1988" s="265"/>
      <c r="L1988" s="265"/>
      <c r="M1988" s="269"/>
      <c r="N1988" s="270"/>
      <c r="O1988" s="271"/>
      <c r="P1988" s="271"/>
      <c r="Q1988" s="272"/>
      <c r="R1988" s="273"/>
      <c r="S1988" s="273"/>
      <c r="T1988" s="273"/>
      <c r="U1988" s="274"/>
      <c r="V1988" s="263"/>
      <c r="W1988" s="35"/>
      <c r="X1988" s="35"/>
      <c r="Y1988" s="35"/>
      <c r="Z1988" s="35"/>
      <c r="AA1988" s="35"/>
      <c r="AB1988" s="35"/>
      <c r="AC1988" s="35"/>
      <c r="AD1988" s="35"/>
      <c r="AE1988" s="35"/>
      <c r="AF1988" s="35"/>
      <c r="AG1988" s="35"/>
      <c r="AH1988" s="35"/>
      <c r="AI1988" s="35"/>
    </row>
    <row r="1989">
      <c r="A1989" s="263"/>
      <c r="B1989" s="264"/>
      <c r="C1989" s="265"/>
      <c r="D1989" s="265"/>
      <c r="E1989" s="264"/>
      <c r="F1989" s="265"/>
      <c r="G1989" s="263"/>
      <c r="H1989" s="432"/>
      <c r="I1989" s="282"/>
      <c r="J1989" s="283"/>
      <c r="K1989" s="265"/>
      <c r="L1989" s="265"/>
      <c r="M1989" s="269"/>
      <c r="N1989" s="270"/>
      <c r="O1989" s="271"/>
      <c r="P1989" s="271"/>
      <c r="Q1989" s="272"/>
      <c r="R1989" s="273"/>
      <c r="S1989" s="273"/>
      <c r="T1989" s="273"/>
      <c r="U1989" s="274"/>
      <c r="V1989" s="263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</row>
    <row r="1990">
      <c r="A1990" s="263"/>
      <c r="B1990" s="264"/>
      <c r="C1990" s="265"/>
      <c r="D1990" s="265"/>
      <c r="E1990" s="264"/>
      <c r="F1990" s="265"/>
      <c r="G1990" s="263"/>
      <c r="H1990" s="432"/>
      <c r="I1990" s="282"/>
      <c r="J1990" s="283"/>
      <c r="K1990" s="265"/>
      <c r="L1990" s="265"/>
      <c r="M1990" s="269"/>
      <c r="N1990" s="270"/>
      <c r="O1990" s="271"/>
      <c r="P1990" s="271"/>
      <c r="Q1990" s="272"/>
      <c r="R1990" s="273"/>
      <c r="S1990" s="273"/>
      <c r="T1990" s="273"/>
      <c r="U1990" s="274"/>
      <c r="V1990" s="263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</row>
    <row r="1991">
      <c r="A1991" s="263"/>
      <c r="B1991" s="264"/>
      <c r="C1991" s="265"/>
      <c r="D1991" s="265"/>
      <c r="E1991" s="264"/>
      <c r="F1991" s="265"/>
      <c r="G1991" s="263"/>
      <c r="H1991" s="432"/>
      <c r="I1991" s="282"/>
      <c r="J1991" s="283"/>
      <c r="K1991" s="265"/>
      <c r="L1991" s="265"/>
      <c r="M1991" s="269"/>
      <c r="N1991" s="270"/>
      <c r="O1991" s="271"/>
      <c r="P1991" s="271"/>
      <c r="Q1991" s="272"/>
      <c r="R1991" s="273"/>
      <c r="S1991" s="273"/>
      <c r="T1991" s="273"/>
      <c r="U1991" s="274"/>
      <c r="V1991" s="263"/>
      <c r="W1991" s="35"/>
      <c r="X1991" s="35"/>
      <c r="Y1991" s="35"/>
      <c r="Z1991" s="35"/>
      <c r="AA1991" s="35"/>
      <c r="AB1991" s="35"/>
      <c r="AC1991" s="35"/>
      <c r="AD1991" s="35"/>
      <c r="AE1991" s="35"/>
      <c r="AF1991" s="35"/>
      <c r="AG1991" s="35"/>
      <c r="AH1991" s="35"/>
      <c r="AI1991" s="35"/>
    </row>
    <row r="1992">
      <c r="A1992" s="263"/>
      <c r="B1992" s="264"/>
      <c r="C1992" s="265"/>
      <c r="D1992" s="265"/>
      <c r="E1992" s="264"/>
      <c r="F1992" s="265"/>
      <c r="G1992" s="263"/>
      <c r="H1992" s="432"/>
      <c r="I1992" s="282"/>
      <c r="J1992" s="283"/>
      <c r="K1992" s="265"/>
      <c r="L1992" s="265"/>
      <c r="M1992" s="269"/>
      <c r="N1992" s="270"/>
      <c r="O1992" s="271"/>
      <c r="P1992" s="271"/>
      <c r="Q1992" s="272"/>
      <c r="R1992" s="273"/>
      <c r="S1992" s="273"/>
      <c r="T1992" s="273"/>
      <c r="U1992" s="274"/>
      <c r="V1992" s="263"/>
      <c r="W1992" s="35"/>
      <c r="X1992" s="35"/>
      <c r="Y1992" s="35"/>
      <c r="Z1992" s="35"/>
      <c r="AA1992" s="35"/>
      <c r="AB1992" s="35"/>
      <c r="AC1992" s="35"/>
      <c r="AD1992" s="35"/>
      <c r="AE1992" s="35"/>
      <c r="AF1992" s="35"/>
      <c r="AG1992" s="35"/>
      <c r="AH1992" s="35"/>
      <c r="AI1992" s="35"/>
    </row>
    <row r="1993">
      <c r="A1993" s="263"/>
      <c r="B1993" s="264"/>
      <c r="C1993" s="265"/>
      <c r="D1993" s="265"/>
      <c r="E1993" s="264"/>
      <c r="F1993" s="265"/>
      <c r="G1993" s="263"/>
      <c r="H1993" s="432"/>
      <c r="I1993" s="282"/>
      <c r="J1993" s="283"/>
      <c r="K1993" s="265"/>
      <c r="L1993" s="265"/>
      <c r="M1993" s="269"/>
      <c r="N1993" s="270"/>
      <c r="O1993" s="271"/>
      <c r="P1993" s="271"/>
      <c r="Q1993" s="272"/>
      <c r="R1993" s="273"/>
      <c r="S1993" s="273"/>
      <c r="T1993" s="273"/>
      <c r="U1993" s="274"/>
      <c r="V1993" s="263"/>
      <c r="W1993" s="188"/>
      <c r="X1993" s="188"/>
      <c r="Y1993" s="188"/>
      <c r="Z1993" s="188"/>
      <c r="AA1993" s="188"/>
      <c r="AB1993" s="188"/>
      <c r="AC1993" s="188"/>
      <c r="AD1993" s="188"/>
      <c r="AE1993" s="188"/>
      <c r="AF1993" s="188"/>
      <c r="AG1993" s="188"/>
      <c r="AH1993" s="188"/>
      <c r="AI1993" s="188"/>
    </row>
    <row r="1994">
      <c r="A1994" s="263"/>
      <c r="B1994" s="264"/>
      <c r="C1994" s="265"/>
      <c r="D1994" s="265"/>
      <c r="E1994" s="264"/>
      <c r="F1994" s="265"/>
      <c r="G1994" s="263"/>
      <c r="H1994" s="432"/>
      <c r="I1994" s="282"/>
      <c r="J1994" s="283"/>
      <c r="K1994" s="265"/>
      <c r="L1994" s="265"/>
      <c r="M1994" s="269"/>
      <c r="N1994" s="270"/>
      <c r="O1994" s="271"/>
      <c r="P1994" s="271"/>
      <c r="Q1994" s="272"/>
      <c r="R1994" s="273"/>
      <c r="S1994" s="273"/>
      <c r="T1994" s="273"/>
      <c r="U1994" s="274"/>
      <c r="V1994" s="263"/>
      <c r="W1994" s="188"/>
      <c r="X1994" s="188"/>
      <c r="Y1994" s="188"/>
      <c r="Z1994" s="188"/>
      <c r="AA1994" s="188"/>
      <c r="AB1994" s="188"/>
      <c r="AC1994" s="188"/>
      <c r="AD1994" s="188"/>
      <c r="AE1994" s="188"/>
      <c r="AF1994" s="188"/>
      <c r="AG1994" s="188"/>
      <c r="AH1994" s="188"/>
      <c r="AI1994" s="188"/>
    </row>
    <row r="1995">
      <c r="A1995" s="263"/>
      <c r="B1995" s="264"/>
      <c r="C1995" s="265"/>
      <c r="D1995" s="265"/>
      <c r="E1995" s="264"/>
      <c r="F1995" s="265"/>
      <c r="G1995" s="263"/>
      <c r="H1995" s="432"/>
      <c r="I1995" s="282"/>
      <c r="J1995" s="283"/>
      <c r="K1995" s="265"/>
      <c r="L1995" s="265"/>
      <c r="M1995" s="269"/>
      <c r="N1995" s="270"/>
      <c r="O1995" s="271"/>
      <c r="P1995" s="271"/>
      <c r="Q1995" s="272"/>
      <c r="R1995" s="273"/>
      <c r="S1995" s="273"/>
      <c r="T1995" s="273"/>
      <c r="U1995" s="274"/>
      <c r="V1995" s="263"/>
      <c r="W1995" s="35"/>
      <c r="X1995" s="35"/>
      <c r="Y1995" s="35"/>
      <c r="Z1995" s="35"/>
      <c r="AA1995" s="35"/>
      <c r="AB1995" s="35"/>
      <c r="AC1995" s="35"/>
      <c r="AD1995" s="35"/>
      <c r="AE1995" s="35"/>
      <c r="AF1995" s="35"/>
      <c r="AG1995" s="35"/>
      <c r="AH1995" s="35"/>
      <c r="AI1995" s="35"/>
    </row>
    <row r="1996">
      <c r="A1996" s="263"/>
      <c r="B1996" s="264"/>
      <c r="C1996" s="265"/>
      <c r="D1996" s="265"/>
      <c r="E1996" s="264"/>
      <c r="F1996" s="265"/>
      <c r="G1996" s="263"/>
      <c r="H1996" s="432"/>
      <c r="I1996" s="282"/>
      <c r="J1996" s="283"/>
      <c r="K1996" s="265"/>
      <c r="L1996" s="265"/>
      <c r="M1996" s="269"/>
      <c r="N1996" s="270"/>
      <c r="O1996" s="271"/>
      <c r="P1996" s="271"/>
      <c r="Q1996" s="272"/>
      <c r="R1996" s="273"/>
      <c r="S1996" s="273"/>
      <c r="T1996" s="273"/>
      <c r="U1996" s="274"/>
      <c r="V1996" s="263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</row>
    <row r="1997">
      <c r="A1997" s="263"/>
      <c r="B1997" s="264"/>
      <c r="C1997" s="265"/>
      <c r="D1997" s="265"/>
      <c r="E1997" s="264"/>
      <c r="F1997" s="265"/>
      <c r="G1997" s="263"/>
      <c r="H1997" s="432"/>
      <c r="I1997" s="282"/>
      <c r="J1997" s="283"/>
      <c r="K1997" s="265"/>
      <c r="L1997" s="265"/>
      <c r="M1997" s="269"/>
      <c r="N1997" s="270"/>
      <c r="O1997" s="271"/>
      <c r="P1997" s="271"/>
      <c r="Q1997" s="272"/>
      <c r="R1997" s="273"/>
      <c r="S1997" s="273"/>
      <c r="T1997" s="273"/>
      <c r="U1997" s="274"/>
      <c r="V1997" s="263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</row>
    <row r="1998">
      <c r="A1998" s="263"/>
      <c r="B1998" s="264"/>
      <c r="C1998" s="265"/>
      <c r="D1998" s="265"/>
      <c r="E1998" s="264"/>
      <c r="F1998" s="265"/>
      <c r="G1998" s="263"/>
      <c r="H1998" s="432"/>
      <c r="I1998" s="282"/>
      <c r="J1998" s="283"/>
      <c r="K1998" s="265"/>
      <c r="L1998" s="265"/>
      <c r="M1998" s="269"/>
      <c r="N1998" s="270"/>
      <c r="O1998" s="271"/>
      <c r="P1998" s="271"/>
      <c r="Q1998" s="272"/>
      <c r="R1998" s="273"/>
      <c r="S1998" s="273"/>
      <c r="T1998" s="273"/>
      <c r="U1998" s="274"/>
      <c r="V1998" s="263"/>
      <c r="W1998" s="35"/>
      <c r="X1998" s="35"/>
      <c r="Y1998" s="35"/>
      <c r="Z1998" s="35"/>
      <c r="AA1998" s="35"/>
      <c r="AB1998" s="35"/>
      <c r="AC1998" s="35"/>
      <c r="AD1998" s="35"/>
      <c r="AE1998" s="35"/>
      <c r="AF1998" s="35"/>
      <c r="AG1998" s="35"/>
      <c r="AH1998" s="35"/>
      <c r="AI1998" s="35"/>
    </row>
    <row r="1999">
      <c r="A1999" s="263"/>
      <c r="B1999" s="264"/>
      <c r="C1999" s="265"/>
      <c r="D1999" s="265"/>
      <c r="E1999" s="264"/>
      <c r="F1999" s="265"/>
      <c r="G1999" s="263"/>
      <c r="H1999" s="432"/>
      <c r="I1999" s="282"/>
      <c r="J1999" s="283"/>
      <c r="K1999" s="265"/>
      <c r="L1999" s="265"/>
      <c r="M1999" s="269"/>
      <c r="N1999" s="270"/>
      <c r="O1999" s="271"/>
      <c r="P1999" s="271"/>
      <c r="Q1999" s="272"/>
      <c r="R1999" s="273"/>
      <c r="S1999" s="273"/>
      <c r="T1999" s="273"/>
      <c r="U1999" s="274"/>
      <c r="V1999" s="263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</row>
    <row r="2000">
      <c r="A2000" s="263"/>
      <c r="B2000" s="264"/>
      <c r="C2000" s="265"/>
      <c r="D2000" s="265"/>
      <c r="E2000" s="264"/>
      <c r="F2000" s="265"/>
      <c r="G2000" s="263"/>
      <c r="H2000" s="432"/>
      <c r="I2000" s="282"/>
      <c r="J2000" s="283"/>
      <c r="K2000" s="265"/>
      <c r="L2000" s="265"/>
      <c r="M2000" s="269"/>
      <c r="N2000" s="270"/>
      <c r="O2000" s="271"/>
      <c r="P2000" s="271"/>
      <c r="Q2000" s="272"/>
      <c r="R2000" s="273"/>
      <c r="S2000" s="273"/>
      <c r="T2000" s="273"/>
      <c r="U2000" s="274"/>
      <c r="V2000" s="263"/>
      <c r="W2000" s="188"/>
      <c r="X2000" s="188"/>
      <c r="Y2000" s="188"/>
      <c r="Z2000" s="188"/>
      <c r="AA2000" s="188"/>
      <c r="AB2000" s="188"/>
      <c r="AC2000" s="188"/>
      <c r="AD2000" s="188"/>
      <c r="AE2000" s="188"/>
      <c r="AF2000" s="188"/>
      <c r="AG2000" s="188"/>
      <c r="AH2000" s="188"/>
      <c r="AI2000" s="188"/>
    </row>
    <row r="2001">
      <c r="A2001" s="263"/>
      <c r="B2001" s="264"/>
      <c r="C2001" s="265"/>
      <c r="D2001" s="265"/>
      <c r="E2001" s="264"/>
      <c r="F2001" s="265"/>
      <c r="G2001" s="263"/>
      <c r="H2001" s="432"/>
      <c r="I2001" s="282"/>
      <c r="J2001" s="283"/>
      <c r="K2001" s="265"/>
      <c r="L2001" s="265"/>
      <c r="M2001" s="269"/>
      <c r="N2001" s="270"/>
      <c r="O2001" s="271"/>
      <c r="P2001" s="271"/>
      <c r="Q2001" s="272"/>
      <c r="R2001" s="273"/>
      <c r="S2001" s="273"/>
      <c r="T2001" s="273"/>
      <c r="U2001" s="274"/>
      <c r="V2001" s="263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</row>
    <row r="2002">
      <c r="A2002" s="263"/>
      <c r="B2002" s="264"/>
      <c r="C2002" s="265"/>
      <c r="D2002" s="265"/>
      <c r="E2002" s="264"/>
      <c r="F2002" s="265"/>
      <c r="G2002" s="263"/>
      <c r="H2002" s="432"/>
      <c r="I2002" s="282"/>
      <c r="J2002" s="283"/>
      <c r="K2002" s="265"/>
      <c r="L2002" s="265"/>
      <c r="M2002" s="269"/>
      <c r="N2002" s="270"/>
      <c r="O2002" s="271"/>
      <c r="P2002" s="271"/>
      <c r="Q2002" s="272"/>
      <c r="R2002" s="273"/>
      <c r="S2002" s="273"/>
      <c r="T2002" s="273"/>
      <c r="U2002" s="274"/>
      <c r="V2002" s="263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</row>
    <row r="2003">
      <c r="A2003" s="263"/>
      <c r="B2003" s="264"/>
      <c r="C2003" s="265"/>
      <c r="D2003" s="265"/>
      <c r="E2003" s="264"/>
      <c r="F2003" s="265"/>
      <c r="G2003" s="263"/>
      <c r="H2003" s="432"/>
      <c r="I2003" s="282"/>
      <c r="J2003" s="283"/>
      <c r="K2003" s="265"/>
      <c r="L2003" s="265"/>
      <c r="M2003" s="269"/>
      <c r="N2003" s="270"/>
      <c r="O2003" s="271"/>
      <c r="P2003" s="271"/>
      <c r="Q2003" s="272"/>
      <c r="R2003" s="273"/>
      <c r="S2003" s="273"/>
      <c r="T2003" s="273"/>
      <c r="U2003" s="274"/>
      <c r="V2003" s="263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</row>
    <row r="2004">
      <c r="A2004" s="263"/>
      <c r="B2004" s="264"/>
      <c r="C2004" s="265"/>
      <c r="D2004" s="265"/>
      <c r="E2004" s="264"/>
      <c r="F2004" s="265"/>
      <c r="G2004" s="263"/>
      <c r="H2004" s="432"/>
      <c r="I2004" s="282"/>
      <c r="J2004" s="283"/>
      <c r="K2004" s="265"/>
      <c r="L2004" s="265"/>
      <c r="M2004" s="269"/>
      <c r="N2004" s="270"/>
      <c r="O2004" s="271"/>
      <c r="P2004" s="271"/>
      <c r="Q2004" s="272"/>
      <c r="R2004" s="273"/>
      <c r="S2004" s="273"/>
      <c r="T2004" s="273"/>
      <c r="U2004" s="274"/>
      <c r="V2004" s="263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</row>
    <row r="2005">
      <c r="A2005" s="263"/>
      <c r="B2005" s="264"/>
      <c r="C2005" s="265"/>
      <c r="D2005" s="265"/>
      <c r="E2005" s="264"/>
      <c r="F2005" s="265"/>
      <c r="G2005" s="263"/>
      <c r="H2005" s="432"/>
      <c r="I2005" s="282"/>
      <c r="J2005" s="283"/>
      <c r="K2005" s="265"/>
      <c r="L2005" s="265"/>
      <c r="M2005" s="269"/>
      <c r="N2005" s="270"/>
      <c r="O2005" s="271"/>
      <c r="P2005" s="271"/>
      <c r="Q2005" s="272"/>
      <c r="R2005" s="273"/>
      <c r="S2005" s="273"/>
      <c r="T2005" s="273"/>
      <c r="U2005" s="274"/>
      <c r="V2005" s="263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</row>
    <row r="2006">
      <c r="A2006" s="263"/>
      <c r="B2006" s="264"/>
      <c r="C2006" s="265"/>
      <c r="D2006" s="265"/>
      <c r="E2006" s="264"/>
      <c r="F2006" s="265"/>
      <c r="G2006" s="263"/>
      <c r="H2006" s="432"/>
      <c r="I2006" s="282"/>
      <c r="J2006" s="283"/>
      <c r="K2006" s="265"/>
      <c r="L2006" s="265"/>
      <c r="M2006" s="269"/>
      <c r="N2006" s="270"/>
      <c r="O2006" s="271"/>
      <c r="P2006" s="271"/>
      <c r="Q2006" s="272"/>
      <c r="R2006" s="273"/>
      <c r="S2006" s="273"/>
      <c r="T2006" s="273"/>
      <c r="U2006" s="274"/>
      <c r="V2006" s="263"/>
      <c r="W2006" s="188"/>
      <c r="X2006" s="188"/>
      <c r="Y2006" s="188"/>
      <c r="Z2006" s="188"/>
      <c r="AA2006" s="188"/>
      <c r="AB2006" s="188"/>
      <c r="AC2006" s="188"/>
      <c r="AD2006" s="188"/>
      <c r="AE2006" s="188"/>
      <c r="AF2006" s="188"/>
      <c r="AG2006" s="188"/>
      <c r="AH2006" s="188"/>
      <c r="AI2006" s="188"/>
    </row>
    <row r="2007">
      <c r="A2007" s="263"/>
      <c r="B2007" s="264"/>
      <c r="C2007" s="265"/>
      <c r="D2007" s="265"/>
      <c r="E2007" s="264"/>
      <c r="F2007" s="265"/>
      <c r="G2007" s="263"/>
      <c r="H2007" s="432"/>
      <c r="I2007" s="282"/>
      <c r="J2007" s="283"/>
      <c r="K2007" s="265"/>
      <c r="L2007" s="265"/>
      <c r="M2007" s="269"/>
      <c r="N2007" s="270"/>
      <c r="O2007" s="271"/>
      <c r="P2007" s="271"/>
      <c r="Q2007" s="272"/>
      <c r="R2007" s="273"/>
      <c r="S2007" s="273"/>
      <c r="T2007" s="273"/>
      <c r="U2007" s="274"/>
      <c r="V2007" s="263"/>
      <c r="W2007" s="188"/>
      <c r="X2007" s="188"/>
      <c r="Y2007" s="188"/>
      <c r="Z2007" s="188"/>
      <c r="AA2007" s="188"/>
      <c r="AB2007" s="188"/>
      <c r="AC2007" s="188"/>
      <c r="AD2007" s="188"/>
      <c r="AE2007" s="188"/>
      <c r="AF2007" s="188"/>
      <c r="AG2007" s="188"/>
      <c r="AH2007" s="188"/>
      <c r="AI2007" s="188"/>
    </row>
    <row r="2008">
      <c r="A2008" s="263"/>
      <c r="B2008" s="264"/>
      <c r="C2008" s="265"/>
      <c r="D2008" s="265"/>
      <c r="E2008" s="264"/>
      <c r="F2008" s="265"/>
      <c r="G2008" s="263"/>
      <c r="H2008" s="432"/>
      <c r="I2008" s="282"/>
      <c r="J2008" s="283"/>
      <c r="K2008" s="265"/>
      <c r="L2008" s="265"/>
      <c r="M2008" s="269"/>
      <c r="N2008" s="270"/>
      <c r="O2008" s="271"/>
      <c r="P2008" s="271"/>
      <c r="Q2008" s="272"/>
      <c r="R2008" s="273"/>
      <c r="S2008" s="273"/>
      <c r="T2008" s="273"/>
      <c r="U2008" s="274"/>
      <c r="V2008" s="263"/>
      <c r="W2008" s="188"/>
      <c r="X2008" s="188"/>
      <c r="Y2008" s="188"/>
      <c r="Z2008" s="188"/>
      <c r="AA2008" s="188"/>
      <c r="AB2008" s="188"/>
      <c r="AC2008" s="188"/>
      <c r="AD2008" s="188"/>
      <c r="AE2008" s="188"/>
      <c r="AF2008" s="188"/>
      <c r="AG2008" s="188"/>
      <c r="AH2008" s="188"/>
      <c r="AI2008" s="188"/>
    </row>
    <row r="2009">
      <c r="A2009" s="263"/>
      <c r="B2009" s="264"/>
      <c r="C2009" s="265"/>
      <c r="D2009" s="265"/>
      <c r="E2009" s="264"/>
      <c r="F2009" s="265"/>
      <c r="G2009" s="263"/>
      <c r="H2009" s="432"/>
      <c r="I2009" s="282"/>
      <c r="J2009" s="283"/>
      <c r="K2009" s="265"/>
      <c r="L2009" s="265"/>
      <c r="M2009" s="269"/>
      <c r="N2009" s="270"/>
      <c r="O2009" s="271"/>
      <c r="P2009" s="271"/>
      <c r="Q2009" s="272"/>
      <c r="R2009" s="273"/>
      <c r="S2009" s="273"/>
      <c r="T2009" s="273"/>
      <c r="U2009" s="274"/>
      <c r="V2009" s="263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</row>
    <row r="2010">
      <c r="A2010" s="263"/>
      <c r="B2010" s="264"/>
      <c r="C2010" s="265"/>
      <c r="D2010" s="265"/>
      <c r="E2010" s="264"/>
      <c r="F2010" s="265"/>
      <c r="G2010" s="263"/>
      <c r="H2010" s="432"/>
      <c r="I2010" s="282"/>
      <c r="J2010" s="283"/>
      <c r="K2010" s="265"/>
      <c r="L2010" s="265"/>
      <c r="M2010" s="269"/>
      <c r="N2010" s="270"/>
      <c r="O2010" s="271"/>
      <c r="P2010" s="271"/>
      <c r="Q2010" s="272"/>
      <c r="R2010" s="273"/>
      <c r="S2010" s="273"/>
      <c r="T2010" s="273"/>
      <c r="U2010" s="274"/>
      <c r="V2010" s="263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</row>
    <row r="2011">
      <c r="A2011" s="263"/>
      <c r="B2011" s="264"/>
      <c r="C2011" s="265"/>
      <c r="D2011" s="265"/>
      <c r="E2011" s="264"/>
      <c r="F2011" s="265"/>
      <c r="G2011" s="263"/>
      <c r="H2011" s="432"/>
      <c r="I2011" s="282"/>
      <c r="J2011" s="283"/>
      <c r="K2011" s="265"/>
      <c r="L2011" s="265"/>
      <c r="M2011" s="269"/>
      <c r="N2011" s="270"/>
      <c r="O2011" s="271"/>
      <c r="P2011" s="271"/>
      <c r="Q2011" s="272"/>
      <c r="R2011" s="273"/>
      <c r="S2011" s="273"/>
      <c r="T2011" s="273"/>
      <c r="U2011" s="274"/>
      <c r="V2011" s="263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</row>
    <row r="2012">
      <c r="A2012" s="263"/>
      <c r="B2012" s="264"/>
      <c r="C2012" s="265"/>
      <c r="D2012" s="265"/>
      <c r="E2012" s="264"/>
      <c r="F2012" s="265"/>
      <c r="G2012" s="263"/>
      <c r="H2012" s="432"/>
      <c r="I2012" s="282"/>
      <c r="J2012" s="283"/>
      <c r="K2012" s="265"/>
      <c r="L2012" s="265"/>
      <c r="M2012" s="269"/>
      <c r="N2012" s="270"/>
      <c r="O2012" s="271"/>
      <c r="P2012" s="271"/>
      <c r="Q2012" s="272"/>
      <c r="R2012" s="273"/>
      <c r="S2012" s="273"/>
      <c r="T2012" s="273"/>
      <c r="U2012" s="274"/>
      <c r="V2012" s="263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</row>
    <row r="2013">
      <c r="A2013" s="263"/>
      <c r="B2013" s="264"/>
      <c r="C2013" s="265"/>
      <c r="D2013" s="265"/>
      <c r="E2013" s="264"/>
      <c r="F2013" s="265"/>
      <c r="G2013" s="263"/>
      <c r="H2013" s="432"/>
      <c r="I2013" s="282"/>
      <c r="J2013" s="283"/>
      <c r="K2013" s="265"/>
      <c r="L2013" s="265"/>
      <c r="M2013" s="269"/>
      <c r="N2013" s="270"/>
      <c r="O2013" s="271"/>
      <c r="P2013" s="271"/>
      <c r="Q2013" s="272"/>
      <c r="R2013" s="273"/>
      <c r="S2013" s="273"/>
      <c r="T2013" s="273"/>
      <c r="U2013" s="274"/>
      <c r="V2013" s="263"/>
      <c r="W2013" s="35"/>
      <c r="X2013" s="35"/>
      <c r="Y2013" s="35"/>
      <c r="Z2013" s="35"/>
      <c r="AA2013" s="35"/>
      <c r="AB2013" s="35"/>
      <c r="AC2013" s="35"/>
      <c r="AD2013" s="35"/>
      <c r="AE2013" s="35"/>
      <c r="AF2013" s="35"/>
      <c r="AG2013" s="35"/>
      <c r="AH2013" s="35"/>
      <c r="AI2013" s="35"/>
    </row>
    <row r="2014">
      <c r="A2014" s="263"/>
      <c r="B2014" s="264"/>
      <c r="C2014" s="265"/>
      <c r="D2014" s="265"/>
      <c r="E2014" s="264"/>
      <c r="F2014" s="265"/>
      <c r="G2014" s="263"/>
      <c r="H2014" s="432"/>
      <c r="I2014" s="282"/>
      <c r="J2014" s="283"/>
      <c r="K2014" s="265"/>
      <c r="L2014" s="265"/>
      <c r="M2014" s="269"/>
      <c r="N2014" s="270"/>
      <c r="O2014" s="271"/>
      <c r="P2014" s="271"/>
      <c r="Q2014" s="272"/>
      <c r="R2014" s="273"/>
      <c r="S2014" s="273"/>
      <c r="T2014" s="273"/>
      <c r="U2014" s="274"/>
      <c r="V2014" s="263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</row>
    <row r="2015">
      <c r="A2015" s="263"/>
      <c r="B2015" s="264"/>
      <c r="C2015" s="265"/>
      <c r="D2015" s="265"/>
      <c r="E2015" s="264"/>
      <c r="F2015" s="265"/>
      <c r="G2015" s="263"/>
      <c r="H2015" s="432"/>
      <c r="I2015" s="282"/>
      <c r="J2015" s="283"/>
      <c r="K2015" s="265"/>
      <c r="L2015" s="265"/>
      <c r="M2015" s="269"/>
      <c r="N2015" s="270"/>
      <c r="O2015" s="271"/>
      <c r="P2015" s="271"/>
      <c r="Q2015" s="272"/>
      <c r="R2015" s="273"/>
      <c r="S2015" s="273"/>
      <c r="T2015" s="273"/>
      <c r="U2015" s="274"/>
      <c r="V2015" s="263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</row>
    <row r="2016">
      <c r="A2016" s="263"/>
      <c r="B2016" s="264"/>
      <c r="C2016" s="265"/>
      <c r="D2016" s="265"/>
      <c r="E2016" s="264"/>
      <c r="F2016" s="265"/>
      <c r="G2016" s="263"/>
      <c r="H2016" s="432"/>
      <c r="I2016" s="282"/>
      <c r="J2016" s="283"/>
      <c r="K2016" s="265"/>
      <c r="L2016" s="265"/>
      <c r="M2016" s="269"/>
      <c r="N2016" s="270"/>
      <c r="O2016" s="271"/>
      <c r="P2016" s="271"/>
      <c r="Q2016" s="272"/>
      <c r="R2016" s="273"/>
      <c r="S2016" s="273"/>
      <c r="T2016" s="273"/>
      <c r="U2016" s="274"/>
      <c r="V2016" s="263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</row>
    <row r="2017">
      <c r="A2017" s="263"/>
      <c r="B2017" s="264"/>
      <c r="C2017" s="265"/>
      <c r="D2017" s="265"/>
      <c r="E2017" s="264"/>
      <c r="F2017" s="265"/>
      <c r="G2017" s="263"/>
      <c r="H2017" s="432"/>
      <c r="I2017" s="282"/>
      <c r="J2017" s="283"/>
      <c r="K2017" s="265"/>
      <c r="L2017" s="265"/>
      <c r="M2017" s="269"/>
      <c r="N2017" s="270"/>
      <c r="O2017" s="271"/>
      <c r="P2017" s="271"/>
      <c r="Q2017" s="272"/>
      <c r="R2017" s="273"/>
      <c r="S2017" s="273"/>
      <c r="T2017" s="273"/>
      <c r="U2017" s="274"/>
      <c r="V2017" s="263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</row>
    <row r="2018">
      <c r="A2018" s="263"/>
      <c r="B2018" s="264"/>
      <c r="C2018" s="265"/>
      <c r="D2018" s="265"/>
      <c r="E2018" s="264"/>
      <c r="F2018" s="265"/>
      <c r="G2018" s="263"/>
      <c r="H2018" s="432"/>
      <c r="I2018" s="282"/>
      <c r="J2018" s="283"/>
      <c r="K2018" s="265"/>
      <c r="L2018" s="265"/>
      <c r="M2018" s="269"/>
      <c r="N2018" s="270"/>
      <c r="O2018" s="271"/>
      <c r="P2018" s="271"/>
      <c r="Q2018" s="272"/>
      <c r="R2018" s="273"/>
      <c r="S2018" s="273"/>
      <c r="T2018" s="273"/>
      <c r="U2018" s="274"/>
      <c r="V2018" s="263"/>
      <c r="W2018" s="35"/>
      <c r="X2018" s="35"/>
      <c r="Y2018" s="35"/>
      <c r="Z2018" s="35"/>
      <c r="AA2018" s="35"/>
      <c r="AB2018" s="35"/>
      <c r="AC2018" s="35"/>
      <c r="AD2018" s="35"/>
      <c r="AE2018" s="35"/>
      <c r="AF2018" s="35"/>
      <c r="AG2018" s="35"/>
      <c r="AH2018" s="35"/>
      <c r="AI2018" s="35"/>
    </row>
    <row r="2019">
      <c r="A2019" s="263"/>
      <c r="B2019" s="264"/>
      <c r="C2019" s="265"/>
      <c r="D2019" s="265"/>
      <c r="E2019" s="264"/>
      <c r="F2019" s="265"/>
      <c r="G2019" s="263"/>
      <c r="H2019" s="432"/>
      <c r="I2019" s="282"/>
      <c r="J2019" s="283"/>
      <c r="K2019" s="265"/>
      <c r="L2019" s="265"/>
      <c r="M2019" s="269"/>
      <c r="N2019" s="270"/>
      <c r="O2019" s="271"/>
      <c r="P2019" s="271"/>
      <c r="Q2019" s="272"/>
      <c r="R2019" s="273"/>
      <c r="S2019" s="273"/>
      <c r="T2019" s="273"/>
      <c r="U2019" s="274"/>
      <c r="V2019" s="263"/>
      <c r="W2019" s="35"/>
      <c r="X2019" s="35"/>
      <c r="Y2019" s="35"/>
      <c r="Z2019" s="35"/>
      <c r="AA2019" s="35"/>
      <c r="AB2019" s="35"/>
      <c r="AC2019" s="35"/>
      <c r="AD2019" s="35"/>
      <c r="AE2019" s="35"/>
      <c r="AF2019" s="35"/>
      <c r="AG2019" s="35"/>
      <c r="AH2019" s="35"/>
      <c r="AI2019" s="35"/>
    </row>
    <row r="2020">
      <c r="A2020" s="263"/>
      <c r="B2020" s="264"/>
      <c r="C2020" s="265"/>
      <c r="D2020" s="265"/>
      <c r="E2020" s="264"/>
      <c r="F2020" s="265"/>
      <c r="G2020" s="263"/>
      <c r="H2020" s="432"/>
      <c r="I2020" s="282"/>
      <c r="J2020" s="283"/>
      <c r="K2020" s="265"/>
      <c r="L2020" s="265"/>
      <c r="M2020" s="269"/>
      <c r="N2020" s="270"/>
      <c r="O2020" s="271"/>
      <c r="P2020" s="271"/>
      <c r="Q2020" s="272"/>
      <c r="R2020" s="273"/>
      <c r="S2020" s="273"/>
      <c r="T2020" s="273"/>
      <c r="U2020" s="274"/>
      <c r="V2020" s="263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</row>
    <row r="2021">
      <c r="A2021" s="263"/>
      <c r="B2021" s="264"/>
      <c r="C2021" s="265"/>
      <c r="D2021" s="265"/>
      <c r="E2021" s="264"/>
      <c r="F2021" s="265"/>
      <c r="G2021" s="263"/>
      <c r="H2021" s="432"/>
      <c r="I2021" s="282"/>
      <c r="J2021" s="283"/>
      <c r="K2021" s="265"/>
      <c r="L2021" s="265"/>
      <c r="M2021" s="269"/>
      <c r="N2021" s="270"/>
      <c r="O2021" s="271"/>
      <c r="P2021" s="271"/>
      <c r="Q2021" s="272"/>
      <c r="R2021" s="273"/>
      <c r="S2021" s="273"/>
      <c r="T2021" s="273"/>
      <c r="U2021" s="274"/>
      <c r="V2021" s="263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</row>
    <row r="2022">
      <c r="A2022" s="263"/>
      <c r="B2022" s="264"/>
      <c r="C2022" s="265"/>
      <c r="D2022" s="265"/>
      <c r="E2022" s="264"/>
      <c r="F2022" s="265"/>
      <c r="G2022" s="263"/>
      <c r="H2022" s="432"/>
      <c r="I2022" s="282"/>
      <c r="J2022" s="283"/>
      <c r="K2022" s="265"/>
      <c r="L2022" s="265"/>
      <c r="M2022" s="269"/>
      <c r="N2022" s="270"/>
      <c r="O2022" s="271"/>
      <c r="P2022" s="271"/>
      <c r="Q2022" s="272"/>
      <c r="R2022" s="273"/>
      <c r="S2022" s="273"/>
      <c r="T2022" s="273"/>
      <c r="U2022" s="274"/>
      <c r="V2022" s="263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</row>
    <row r="2023">
      <c r="A2023" s="263"/>
      <c r="B2023" s="264"/>
      <c r="C2023" s="265"/>
      <c r="D2023" s="265"/>
      <c r="E2023" s="264"/>
      <c r="F2023" s="265"/>
      <c r="G2023" s="263"/>
      <c r="H2023" s="432"/>
      <c r="I2023" s="282"/>
      <c r="J2023" s="283"/>
      <c r="K2023" s="265"/>
      <c r="L2023" s="265"/>
      <c r="M2023" s="269"/>
      <c r="N2023" s="270"/>
      <c r="O2023" s="271"/>
      <c r="P2023" s="271"/>
      <c r="Q2023" s="272"/>
      <c r="R2023" s="273"/>
      <c r="S2023" s="273"/>
      <c r="T2023" s="273"/>
      <c r="U2023" s="274"/>
      <c r="V2023" s="263"/>
      <c r="W2023" s="35"/>
      <c r="X2023" s="35"/>
      <c r="Y2023" s="35"/>
      <c r="Z2023" s="35"/>
      <c r="AA2023" s="35"/>
      <c r="AB2023" s="35"/>
      <c r="AC2023" s="35"/>
      <c r="AD2023" s="35"/>
      <c r="AE2023" s="35"/>
      <c r="AF2023" s="35"/>
      <c r="AG2023" s="35"/>
      <c r="AH2023" s="35"/>
      <c r="AI2023" s="35"/>
    </row>
    <row r="2024">
      <c r="A2024" s="263"/>
      <c r="B2024" s="264"/>
      <c r="C2024" s="265"/>
      <c r="D2024" s="265"/>
      <c r="E2024" s="264"/>
      <c r="F2024" s="265"/>
      <c r="G2024" s="263"/>
      <c r="H2024" s="432"/>
      <c r="I2024" s="282"/>
      <c r="J2024" s="283"/>
      <c r="K2024" s="265"/>
      <c r="L2024" s="265"/>
      <c r="M2024" s="269"/>
      <c r="N2024" s="270"/>
      <c r="O2024" s="271"/>
      <c r="P2024" s="271"/>
      <c r="Q2024" s="272"/>
      <c r="R2024" s="273"/>
      <c r="S2024" s="273"/>
      <c r="T2024" s="273"/>
      <c r="U2024" s="274"/>
      <c r="V2024" s="263"/>
      <c r="W2024" s="35"/>
      <c r="X2024" s="35"/>
      <c r="Y2024" s="35"/>
      <c r="Z2024" s="35"/>
      <c r="AA2024" s="35"/>
      <c r="AB2024" s="35"/>
      <c r="AC2024" s="35"/>
      <c r="AD2024" s="35"/>
      <c r="AE2024" s="35"/>
      <c r="AF2024" s="35"/>
      <c r="AG2024" s="35"/>
      <c r="AH2024" s="35"/>
      <c r="AI2024" s="35"/>
    </row>
    <row r="2025">
      <c r="A2025" s="263"/>
      <c r="B2025" s="264"/>
      <c r="C2025" s="265"/>
      <c r="D2025" s="265"/>
      <c r="E2025" s="264"/>
      <c r="F2025" s="265"/>
      <c r="G2025" s="263"/>
      <c r="H2025" s="432"/>
      <c r="I2025" s="282"/>
      <c r="J2025" s="283"/>
      <c r="K2025" s="265"/>
      <c r="L2025" s="265"/>
      <c r="M2025" s="269"/>
      <c r="N2025" s="270"/>
      <c r="O2025" s="271"/>
      <c r="P2025" s="271"/>
      <c r="Q2025" s="272"/>
      <c r="R2025" s="273"/>
      <c r="S2025" s="273"/>
      <c r="T2025" s="273"/>
      <c r="U2025" s="274"/>
      <c r="V2025" s="263"/>
      <c r="W2025" s="35"/>
      <c r="X2025" s="35"/>
      <c r="Y2025" s="35"/>
      <c r="Z2025" s="35"/>
      <c r="AA2025" s="35"/>
      <c r="AB2025" s="35"/>
      <c r="AC2025" s="35"/>
      <c r="AD2025" s="35"/>
      <c r="AE2025" s="35"/>
      <c r="AF2025" s="35"/>
      <c r="AG2025" s="35"/>
      <c r="AH2025" s="35"/>
      <c r="AI2025" s="35"/>
    </row>
    <row r="2026">
      <c r="A2026" s="263"/>
      <c r="B2026" s="264"/>
      <c r="C2026" s="265"/>
      <c r="D2026" s="265"/>
      <c r="E2026" s="264"/>
      <c r="F2026" s="265"/>
      <c r="G2026" s="263"/>
      <c r="H2026" s="432"/>
      <c r="I2026" s="282"/>
      <c r="J2026" s="283"/>
      <c r="K2026" s="265"/>
      <c r="L2026" s="265"/>
      <c r="M2026" s="269"/>
      <c r="N2026" s="270"/>
      <c r="O2026" s="271"/>
      <c r="P2026" s="271"/>
      <c r="Q2026" s="272"/>
      <c r="R2026" s="273"/>
      <c r="S2026" s="273"/>
      <c r="T2026" s="273"/>
      <c r="U2026" s="274"/>
      <c r="V2026" s="263"/>
      <c r="W2026" s="36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</row>
    <row r="2027">
      <c r="A2027" s="263"/>
      <c r="B2027" s="264"/>
      <c r="C2027" s="265"/>
      <c r="D2027" s="265"/>
      <c r="E2027" s="264"/>
      <c r="F2027" s="265"/>
      <c r="G2027" s="263"/>
      <c r="H2027" s="432"/>
      <c r="I2027" s="282"/>
      <c r="J2027" s="283"/>
      <c r="K2027" s="265"/>
      <c r="L2027" s="265"/>
      <c r="M2027" s="269"/>
      <c r="N2027" s="270"/>
      <c r="O2027" s="271"/>
      <c r="P2027" s="271"/>
      <c r="Q2027" s="272"/>
      <c r="R2027" s="273"/>
      <c r="S2027" s="273"/>
      <c r="T2027" s="273"/>
      <c r="U2027" s="274"/>
      <c r="V2027" s="263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</row>
    <row r="2028">
      <c r="A2028" s="263"/>
      <c r="B2028" s="264"/>
      <c r="C2028" s="265"/>
      <c r="D2028" s="265"/>
      <c r="E2028" s="264"/>
      <c r="F2028" s="265"/>
      <c r="G2028" s="263"/>
      <c r="H2028" s="432"/>
      <c r="I2028" s="282"/>
      <c r="J2028" s="283"/>
      <c r="K2028" s="265"/>
      <c r="L2028" s="265"/>
      <c r="M2028" s="269"/>
      <c r="N2028" s="270"/>
      <c r="O2028" s="271"/>
      <c r="P2028" s="271"/>
      <c r="Q2028" s="272"/>
      <c r="R2028" s="273"/>
      <c r="S2028" s="273"/>
      <c r="T2028" s="273"/>
      <c r="U2028" s="274"/>
      <c r="V2028" s="263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</row>
    <row r="2029">
      <c r="A2029" s="263"/>
      <c r="B2029" s="264"/>
      <c r="C2029" s="265"/>
      <c r="D2029" s="265"/>
      <c r="E2029" s="264"/>
      <c r="F2029" s="265"/>
      <c r="G2029" s="263"/>
      <c r="H2029" s="432"/>
      <c r="I2029" s="282"/>
      <c r="J2029" s="283"/>
      <c r="K2029" s="265"/>
      <c r="L2029" s="265"/>
      <c r="M2029" s="269"/>
      <c r="N2029" s="270"/>
      <c r="O2029" s="271"/>
      <c r="P2029" s="271"/>
      <c r="Q2029" s="272"/>
      <c r="R2029" s="273"/>
      <c r="S2029" s="273"/>
      <c r="T2029" s="273"/>
      <c r="U2029" s="274"/>
      <c r="V2029" s="263"/>
      <c r="W2029" s="188"/>
      <c r="X2029" s="188"/>
      <c r="Y2029" s="188"/>
      <c r="Z2029" s="188"/>
      <c r="AA2029" s="188"/>
      <c r="AB2029" s="188"/>
      <c r="AC2029" s="188"/>
      <c r="AD2029" s="188"/>
      <c r="AE2029" s="188"/>
      <c r="AF2029" s="188"/>
      <c r="AG2029" s="188"/>
      <c r="AH2029" s="188"/>
      <c r="AI2029" s="188"/>
    </row>
    <row r="2030">
      <c r="A2030" s="263"/>
      <c r="B2030" s="264"/>
      <c r="C2030" s="265"/>
      <c r="D2030" s="265"/>
      <c r="E2030" s="264"/>
      <c r="F2030" s="265"/>
      <c r="G2030" s="263"/>
      <c r="H2030" s="432"/>
      <c r="I2030" s="282"/>
      <c r="J2030" s="283"/>
      <c r="K2030" s="265"/>
      <c r="L2030" s="265"/>
      <c r="M2030" s="269"/>
      <c r="N2030" s="270"/>
      <c r="O2030" s="271"/>
      <c r="P2030" s="271"/>
      <c r="Q2030" s="272"/>
      <c r="R2030" s="273"/>
      <c r="S2030" s="273"/>
      <c r="T2030" s="273"/>
      <c r="U2030" s="274"/>
      <c r="V2030" s="263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</row>
    <row r="2031">
      <c r="A2031" s="263"/>
      <c r="B2031" s="264"/>
      <c r="C2031" s="265"/>
      <c r="D2031" s="265"/>
      <c r="E2031" s="264"/>
      <c r="F2031" s="265"/>
      <c r="G2031" s="263"/>
      <c r="H2031" s="432"/>
      <c r="I2031" s="282"/>
      <c r="J2031" s="283"/>
      <c r="K2031" s="265"/>
      <c r="L2031" s="265"/>
      <c r="M2031" s="269"/>
      <c r="N2031" s="270"/>
      <c r="O2031" s="271"/>
      <c r="P2031" s="271"/>
      <c r="Q2031" s="272"/>
      <c r="R2031" s="273"/>
      <c r="S2031" s="273"/>
      <c r="T2031" s="273"/>
      <c r="U2031" s="274"/>
      <c r="V2031" s="263"/>
      <c r="W2031" s="35"/>
      <c r="X2031" s="35"/>
      <c r="Y2031" s="35"/>
      <c r="Z2031" s="35"/>
      <c r="AA2031" s="35"/>
      <c r="AB2031" s="35"/>
      <c r="AC2031" s="35"/>
      <c r="AD2031" s="35"/>
      <c r="AE2031" s="35"/>
      <c r="AF2031" s="35"/>
      <c r="AG2031" s="35"/>
      <c r="AH2031" s="35"/>
      <c r="AI2031" s="35"/>
    </row>
    <row r="2032">
      <c r="A2032" s="263"/>
      <c r="B2032" s="264"/>
      <c r="C2032" s="265"/>
      <c r="D2032" s="265"/>
      <c r="E2032" s="264"/>
      <c r="F2032" s="265"/>
      <c r="G2032" s="263"/>
      <c r="H2032" s="432"/>
      <c r="I2032" s="282"/>
      <c r="J2032" s="283"/>
      <c r="K2032" s="265"/>
      <c r="L2032" s="265"/>
      <c r="M2032" s="269"/>
      <c r="N2032" s="270"/>
      <c r="O2032" s="271"/>
      <c r="P2032" s="271"/>
      <c r="Q2032" s="272"/>
      <c r="R2032" s="273"/>
      <c r="S2032" s="273"/>
      <c r="T2032" s="273"/>
      <c r="U2032" s="274"/>
      <c r="V2032" s="263"/>
      <c r="W2032" s="35"/>
      <c r="X2032" s="35"/>
      <c r="Y2032" s="35"/>
      <c r="Z2032" s="35"/>
      <c r="AA2032" s="35"/>
      <c r="AB2032" s="35"/>
      <c r="AC2032" s="35"/>
      <c r="AD2032" s="35"/>
      <c r="AE2032" s="35"/>
      <c r="AF2032" s="35"/>
      <c r="AG2032" s="35"/>
      <c r="AH2032" s="35"/>
      <c r="AI2032" s="35"/>
    </row>
    <row r="2033">
      <c r="A2033" s="263"/>
      <c r="B2033" s="264"/>
      <c r="C2033" s="265"/>
      <c r="D2033" s="265"/>
      <c r="E2033" s="264"/>
      <c r="F2033" s="265"/>
      <c r="G2033" s="263"/>
      <c r="H2033" s="432"/>
      <c r="I2033" s="282"/>
      <c r="J2033" s="283"/>
      <c r="K2033" s="265"/>
      <c r="L2033" s="265"/>
      <c r="M2033" s="269"/>
      <c r="N2033" s="270"/>
      <c r="O2033" s="271"/>
      <c r="P2033" s="271"/>
      <c r="Q2033" s="272"/>
      <c r="R2033" s="273"/>
      <c r="S2033" s="273"/>
      <c r="T2033" s="273"/>
      <c r="U2033" s="274"/>
      <c r="V2033" s="263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</row>
    <row r="2034">
      <c r="A2034" s="263"/>
      <c r="B2034" s="264"/>
      <c r="C2034" s="265"/>
      <c r="D2034" s="265"/>
      <c r="E2034" s="264"/>
      <c r="F2034" s="265"/>
      <c r="G2034" s="263"/>
      <c r="H2034" s="432"/>
      <c r="I2034" s="282"/>
      <c r="J2034" s="283"/>
      <c r="K2034" s="265"/>
      <c r="L2034" s="265"/>
      <c r="M2034" s="269"/>
      <c r="N2034" s="270"/>
      <c r="O2034" s="271"/>
      <c r="P2034" s="271"/>
      <c r="Q2034" s="272"/>
      <c r="R2034" s="273"/>
      <c r="S2034" s="273"/>
      <c r="T2034" s="273"/>
      <c r="U2034" s="274"/>
      <c r="V2034" s="263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</row>
    <row r="2035">
      <c r="A2035" s="263"/>
      <c r="B2035" s="264"/>
      <c r="C2035" s="265"/>
      <c r="D2035" s="265"/>
      <c r="E2035" s="264"/>
      <c r="F2035" s="265"/>
      <c r="G2035" s="263"/>
      <c r="H2035" s="432"/>
      <c r="I2035" s="282"/>
      <c r="J2035" s="283"/>
      <c r="K2035" s="265"/>
      <c r="L2035" s="265"/>
      <c r="M2035" s="269"/>
      <c r="N2035" s="270"/>
      <c r="O2035" s="271"/>
      <c r="P2035" s="271"/>
      <c r="Q2035" s="272"/>
      <c r="R2035" s="273"/>
      <c r="S2035" s="273"/>
      <c r="T2035" s="273"/>
      <c r="U2035" s="274"/>
      <c r="V2035" s="263"/>
      <c r="W2035" s="36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</row>
    <row r="2036">
      <c r="A2036" s="263"/>
      <c r="B2036" s="264"/>
      <c r="C2036" s="265"/>
      <c r="D2036" s="265"/>
      <c r="E2036" s="264"/>
      <c r="F2036" s="265"/>
      <c r="G2036" s="263"/>
      <c r="H2036" s="432"/>
      <c r="I2036" s="282"/>
      <c r="J2036" s="283"/>
      <c r="K2036" s="265"/>
      <c r="L2036" s="265"/>
      <c r="M2036" s="269"/>
      <c r="N2036" s="270"/>
      <c r="O2036" s="271"/>
      <c r="P2036" s="271"/>
      <c r="Q2036" s="272"/>
      <c r="R2036" s="273"/>
      <c r="S2036" s="273"/>
      <c r="T2036" s="273"/>
      <c r="U2036" s="274"/>
      <c r="V2036" s="263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</row>
    <row r="2037">
      <c r="A2037" s="263"/>
      <c r="B2037" s="264"/>
      <c r="C2037" s="265"/>
      <c r="D2037" s="265"/>
      <c r="E2037" s="264"/>
      <c r="F2037" s="265"/>
      <c r="G2037" s="263"/>
      <c r="H2037" s="432"/>
      <c r="I2037" s="282"/>
      <c r="J2037" s="283"/>
      <c r="K2037" s="265"/>
      <c r="L2037" s="265"/>
      <c r="M2037" s="269"/>
      <c r="N2037" s="270"/>
      <c r="O2037" s="271"/>
      <c r="P2037" s="271"/>
      <c r="Q2037" s="272"/>
      <c r="R2037" s="273"/>
      <c r="S2037" s="273"/>
      <c r="T2037" s="273"/>
      <c r="U2037" s="274"/>
      <c r="V2037" s="263"/>
      <c r="W2037" s="188"/>
      <c r="X2037" s="188"/>
      <c r="Y2037" s="188"/>
      <c r="Z2037" s="188"/>
      <c r="AA2037" s="188"/>
      <c r="AB2037" s="188"/>
      <c r="AC2037" s="188"/>
      <c r="AD2037" s="188"/>
      <c r="AE2037" s="188"/>
      <c r="AF2037" s="188"/>
      <c r="AG2037" s="188"/>
      <c r="AH2037" s="188"/>
      <c r="AI2037" s="188"/>
    </row>
    <row r="2038">
      <c r="A2038" s="263"/>
      <c r="B2038" s="264"/>
      <c r="C2038" s="265"/>
      <c r="D2038" s="265"/>
      <c r="E2038" s="264"/>
      <c r="F2038" s="265"/>
      <c r="G2038" s="263"/>
      <c r="H2038" s="432"/>
      <c r="I2038" s="282"/>
      <c r="J2038" s="283"/>
      <c r="K2038" s="265"/>
      <c r="L2038" s="265"/>
      <c r="M2038" s="269"/>
      <c r="N2038" s="270"/>
      <c r="O2038" s="271"/>
      <c r="P2038" s="271"/>
      <c r="Q2038" s="272"/>
      <c r="R2038" s="273"/>
      <c r="S2038" s="273"/>
      <c r="T2038" s="273"/>
      <c r="U2038" s="274"/>
      <c r="V2038" s="263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</row>
    <row r="2039">
      <c r="A2039" s="263"/>
      <c r="B2039" s="264"/>
      <c r="C2039" s="265"/>
      <c r="D2039" s="265"/>
      <c r="E2039" s="264"/>
      <c r="F2039" s="265"/>
      <c r="G2039" s="263"/>
      <c r="H2039" s="432"/>
      <c r="I2039" s="282"/>
      <c r="J2039" s="283"/>
      <c r="K2039" s="265"/>
      <c r="L2039" s="265"/>
      <c r="M2039" s="269"/>
      <c r="N2039" s="270"/>
      <c r="O2039" s="271"/>
      <c r="P2039" s="271"/>
      <c r="Q2039" s="272"/>
      <c r="R2039" s="273"/>
      <c r="S2039" s="273"/>
      <c r="T2039" s="273"/>
      <c r="U2039" s="274"/>
      <c r="V2039" s="263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</row>
    <row r="2040">
      <c r="A2040" s="263"/>
      <c r="B2040" s="264"/>
      <c r="C2040" s="265"/>
      <c r="D2040" s="265"/>
      <c r="E2040" s="264"/>
      <c r="F2040" s="265"/>
      <c r="G2040" s="263"/>
      <c r="H2040" s="432"/>
      <c r="I2040" s="282"/>
      <c r="J2040" s="283"/>
      <c r="K2040" s="265"/>
      <c r="L2040" s="265"/>
      <c r="M2040" s="269"/>
      <c r="N2040" s="270"/>
      <c r="O2040" s="271"/>
      <c r="P2040" s="271"/>
      <c r="Q2040" s="272"/>
      <c r="R2040" s="273"/>
      <c r="S2040" s="273"/>
      <c r="T2040" s="273"/>
      <c r="U2040" s="274"/>
      <c r="V2040" s="263"/>
      <c r="W2040" s="35"/>
      <c r="X2040" s="35"/>
      <c r="Y2040" s="35"/>
      <c r="Z2040" s="35"/>
      <c r="AA2040" s="35"/>
      <c r="AB2040" s="35"/>
      <c r="AC2040" s="35"/>
      <c r="AD2040" s="35"/>
      <c r="AE2040" s="35"/>
      <c r="AF2040" s="35"/>
      <c r="AG2040" s="35"/>
      <c r="AH2040" s="35"/>
      <c r="AI2040" s="35"/>
    </row>
    <row r="2041">
      <c r="A2041" s="263"/>
      <c r="B2041" s="264"/>
      <c r="C2041" s="265"/>
      <c r="D2041" s="265"/>
      <c r="E2041" s="264"/>
      <c r="F2041" s="265"/>
      <c r="G2041" s="263"/>
      <c r="H2041" s="432"/>
      <c r="I2041" s="282"/>
      <c r="J2041" s="283"/>
      <c r="K2041" s="265"/>
      <c r="L2041" s="265"/>
      <c r="M2041" s="269"/>
      <c r="N2041" s="270"/>
      <c r="O2041" s="271"/>
      <c r="P2041" s="271"/>
      <c r="Q2041" s="272"/>
      <c r="R2041" s="273"/>
      <c r="S2041" s="273"/>
      <c r="T2041" s="273"/>
      <c r="U2041" s="274"/>
      <c r="V2041" s="263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</row>
    <row r="2042">
      <c r="A2042" s="263"/>
      <c r="B2042" s="264"/>
      <c r="C2042" s="265"/>
      <c r="D2042" s="265"/>
      <c r="E2042" s="264"/>
      <c r="F2042" s="265"/>
      <c r="G2042" s="263"/>
      <c r="H2042" s="432"/>
      <c r="I2042" s="282"/>
      <c r="J2042" s="283"/>
      <c r="K2042" s="265"/>
      <c r="L2042" s="265"/>
      <c r="M2042" s="269"/>
      <c r="N2042" s="270"/>
      <c r="O2042" s="271"/>
      <c r="P2042" s="271"/>
      <c r="Q2042" s="272"/>
      <c r="R2042" s="273"/>
      <c r="S2042" s="273"/>
      <c r="T2042" s="273"/>
      <c r="U2042" s="274"/>
      <c r="V2042" s="263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</row>
    <row r="2043">
      <c r="A2043" s="263"/>
      <c r="B2043" s="264"/>
      <c r="C2043" s="265"/>
      <c r="D2043" s="265"/>
      <c r="E2043" s="264"/>
      <c r="F2043" s="265"/>
      <c r="G2043" s="263"/>
      <c r="H2043" s="432"/>
      <c r="I2043" s="282"/>
      <c r="J2043" s="283"/>
      <c r="K2043" s="265"/>
      <c r="L2043" s="265"/>
      <c r="M2043" s="269"/>
      <c r="N2043" s="270"/>
      <c r="O2043" s="271"/>
      <c r="P2043" s="271"/>
      <c r="Q2043" s="272"/>
      <c r="R2043" s="273"/>
      <c r="S2043" s="273"/>
      <c r="T2043" s="273"/>
      <c r="U2043" s="274"/>
      <c r="V2043" s="263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</row>
    <row r="2044">
      <c r="A2044" s="263"/>
      <c r="B2044" s="264"/>
      <c r="C2044" s="265"/>
      <c r="D2044" s="265"/>
      <c r="E2044" s="264"/>
      <c r="F2044" s="265"/>
      <c r="G2044" s="263"/>
      <c r="H2044" s="432"/>
      <c r="I2044" s="282"/>
      <c r="J2044" s="283"/>
      <c r="K2044" s="265"/>
      <c r="L2044" s="265"/>
      <c r="M2044" s="269"/>
      <c r="N2044" s="270"/>
      <c r="O2044" s="271"/>
      <c r="P2044" s="271"/>
      <c r="Q2044" s="272"/>
      <c r="R2044" s="273"/>
      <c r="S2044" s="273"/>
      <c r="T2044" s="273"/>
      <c r="U2044" s="274"/>
      <c r="V2044" s="263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</row>
    <row r="2045">
      <c r="A2045" s="263"/>
      <c r="B2045" s="264"/>
      <c r="C2045" s="265"/>
      <c r="D2045" s="265"/>
      <c r="E2045" s="264"/>
      <c r="F2045" s="265"/>
      <c r="G2045" s="263"/>
      <c r="H2045" s="432"/>
      <c r="I2045" s="282"/>
      <c r="J2045" s="283"/>
      <c r="K2045" s="265"/>
      <c r="L2045" s="265"/>
      <c r="M2045" s="269"/>
      <c r="N2045" s="270"/>
      <c r="O2045" s="271"/>
      <c r="P2045" s="271"/>
      <c r="Q2045" s="272"/>
      <c r="R2045" s="273"/>
      <c r="S2045" s="273"/>
      <c r="T2045" s="273"/>
      <c r="U2045" s="274"/>
      <c r="V2045" s="263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</row>
    <row r="2046">
      <c r="A2046" s="263"/>
      <c r="B2046" s="264"/>
      <c r="C2046" s="265"/>
      <c r="D2046" s="265"/>
      <c r="E2046" s="264"/>
      <c r="F2046" s="265"/>
      <c r="G2046" s="263"/>
      <c r="H2046" s="432"/>
      <c r="I2046" s="282"/>
      <c r="J2046" s="283"/>
      <c r="K2046" s="265"/>
      <c r="L2046" s="265"/>
      <c r="M2046" s="269"/>
      <c r="N2046" s="270"/>
      <c r="O2046" s="271"/>
      <c r="P2046" s="271"/>
      <c r="Q2046" s="272"/>
      <c r="R2046" s="273"/>
      <c r="S2046" s="273"/>
      <c r="T2046" s="273"/>
      <c r="U2046" s="274"/>
      <c r="V2046" s="263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</row>
    <row r="2047">
      <c r="A2047" s="263"/>
      <c r="B2047" s="264"/>
      <c r="C2047" s="265"/>
      <c r="D2047" s="265"/>
      <c r="E2047" s="264"/>
      <c r="F2047" s="265"/>
      <c r="G2047" s="263"/>
      <c r="H2047" s="432"/>
      <c r="I2047" s="282"/>
      <c r="J2047" s="283"/>
      <c r="K2047" s="265"/>
      <c r="L2047" s="265"/>
      <c r="M2047" s="269"/>
      <c r="N2047" s="270"/>
      <c r="O2047" s="271"/>
      <c r="P2047" s="271"/>
      <c r="Q2047" s="272"/>
      <c r="R2047" s="273"/>
      <c r="S2047" s="273"/>
      <c r="T2047" s="273"/>
      <c r="U2047" s="274"/>
      <c r="V2047" s="263"/>
      <c r="W2047" s="188"/>
      <c r="X2047" s="188"/>
      <c r="Y2047" s="188"/>
      <c r="Z2047" s="188"/>
      <c r="AA2047" s="188"/>
      <c r="AB2047" s="188"/>
      <c r="AC2047" s="188"/>
      <c r="AD2047" s="188"/>
      <c r="AE2047" s="188"/>
      <c r="AF2047" s="188"/>
      <c r="AG2047" s="188"/>
      <c r="AH2047" s="188"/>
      <c r="AI2047" s="188"/>
    </row>
    <row r="2048">
      <c r="A2048" s="263"/>
      <c r="B2048" s="264"/>
      <c r="C2048" s="265"/>
      <c r="D2048" s="265"/>
      <c r="E2048" s="264"/>
      <c r="F2048" s="265"/>
      <c r="G2048" s="263"/>
      <c r="H2048" s="432"/>
      <c r="I2048" s="282"/>
      <c r="J2048" s="283"/>
      <c r="K2048" s="265"/>
      <c r="L2048" s="265"/>
      <c r="M2048" s="269"/>
      <c r="N2048" s="270"/>
      <c r="O2048" s="271"/>
      <c r="P2048" s="271"/>
      <c r="Q2048" s="272"/>
      <c r="R2048" s="273"/>
      <c r="S2048" s="273"/>
      <c r="T2048" s="273"/>
      <c r="U2048" s="274"/>
      <c r="V2048" s="263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</row>
    <row r="2049">
      <c r="A2049" s="263"/>
      <c r="B2049" s="264"/>
      <c r="C2049" s="265"/>
      <c r="D2049" s="265"/>
      <c r="E2049" s="264"/>
      <c r="F2049" s="265"/>
      <c r="G2049" s="263"/>
      <c r="H2049" s="432"/>
      <c r="I2049" s="282"/>
      <c r="J2049" s="283"/>
      <c r="K2049" s="265"/>
      <c r="L2049" s="265"/>
      <c r="M2049" s="269"/>
      <c r="N2049" s="270"/>
      <c r="O2049" s="271"/>
      <c r="P2049" s="271"/>
      <c r="Q2049" s="272"/>
      <c r="R2049" s="273"/>
      <c r="S2049" s="273"/>
      <c r="T2049" s="273"/>
      <c r="U2049" s="274"/>
      <c r="V2049" s="263"/>
      <c r="W2049" s="188"/>
      <c r="X2049" s="188"/>
      <c r="Y2049" s="188"/>
      <c r="Z2049" s="188"/>
      <c r="AA2049" s="188"/>
      <c r="AB2049" s="188"/>
      <c r="AC2049" s="188"/>
      <c r="AD2049" s="188"/>
      <c r="AE2049" s="188"/>
      <c r="AF2049" s="188"/>
      <c r="AG2049" s="188"/>
      <c r="AH2049" s="188"/>
      <c r="AI2049" s="188"/>
    </row>
    <row r="2050">
      <c r="A2050" s="263"/>
      <c r="B2050" s="264"/>
      <c r="C2050" s="265"/>
      <c r="D2050" s="265"/>
      <c r="E2050" s="264"/>
      <c r="F2050" s="265"/>
      <c r="G2050" s="263"/>
      <c r="H2050" s="432"/>
      <c r="I2050" s="282"/>
      <c r="J2050" s="283"/>
      <c r="K2050" s="265"/>
      <c r="L2050" s="265"/>
      <c r="M2050" s="269"/>
      <c r="N2050" s="270"/>
      <c r="O2050" s="271"/>
      <c r="P2050" s="271"/>
      <c r="Q2050" s="272"/>
      <c r="R2050" s="273"/>
      <c r="S2050" s="273"/>
      <c r="T2050" s="273"/>
      <c r="U2050" s="274"/>
      <c r="V2050" s="263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</row>
    <row r="2051">
      <c r="A2051" s="263"/>
      <c r="B2051" s="264"/>
      <c r="C2051" s="265"/>
      <c r="D2051" s="265"/>
      <c r="E2051" s="264"/>
      <c r="F2051" s="265"/>
      <c r="G2051" s="263"/>
      <c r="H2051" s="432"/>
      <c r="I2051" s="282"/>
      <c r="J2051" s="283"/>
      <c r="K2051" s="265"/>
      <c r="L2051" s="265"/>
      <c r="M2051" s="269"/>
      <c r="N2051" s="270"/>
      <c r="O2051" s="271"/>
      <c r="P2051" s="271"/>
      <c r="Q2051" s="272"/>
      <c r="R2051" s="273"/>
      <c r="S2051" s="273"/>
      <c r="T2051" s="273"/>
      <c r="U2051" s="274"/>
      <c r="V2051" s="263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</row>
    <row r="2052">
      <c r="A2052" s="263"/>
      <c r="B2052" s="264"/>
      <c r="C2052" s="265"/>
      <c r="D2052" s="265"/>
      <c r="E2052" s="264"/>
      <c r="F2052" s="265"/>
      <c r="G2052" s="263"/>
      <c r="H2052" s="432"/>
      <c r="I2052" s="282"/>
      <c r="J2052" s="283"/>
      <c r="K2052" s="265"/>
      <c r="L2052" s="265"/>
      <c r="M2052" s="269"/>
      <c r="N2052" s="270"/>
      <c r="O2052" s="271"/>
      <c r="P2052" s="271"/>
      <c r="Q2052" s="272"/>
      <c r="R2052" s="273"/>
      <c r="S2052" s="273"/>
      <c r="T2052" s="273"/>
      <c r="U2052" s="274"/>
      <c r="V2052" s="263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</row>
    <row r="2053">
      <c r="A2053" s="263"/>
      <c r="B2053" s="264"/>
      <c r="C2053" s="265"/>
      <c r="D2053" s="265"/>
      <c r="E2053" s="264"/>
      <c r="F2053" s="265"/>
      <c r="G2053" s="263"/>
      <c r="H2053" s="432"/>
      <c r="I2053" s="282"/>
      <c r="J2053" s="283"/>
      <c r="K2053" s="265"/>
      <c r="L2053" s="265"/>
      <c r="M2053" s="269"/>
      <c r="N2053" s="270"/>
      <c r="O2053" s="271"/>
      <c r="P2053" s="271"/>
      <c r="Q2053" s="272"/>
      <c r="R2053" s="273"/>
      <c r="S2053" s="273"/>
      <c r="T2053" s="273"/>
      <c r="U2053" s="274"/>
      <c r="V2053" s="263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</row>
    <row r="2054">
      <c r="A2054" s="263"/>
      <c r="B2054" s="264"/>
      <c r="C2054" s="265"/>
      <c r="D2054" s="265"/>
      <c r="E2054" s="264"/>
      <c r="F2054" s="265"/>
      <c r="G2054" s="263"/>
      <c r="H2054" s="432"/>
      <c r="I2054" s="282"/>
      <c r="J2054" s="283"/>
      <c r="K2054" s="265"/>
      <c r="L2054" s="265"/>
      <c r="M2054" s="269"/>
      <c r="N2054" s="270"/>
      <c r="O2054" s="271"/>
      <c r="P2054" s="271"/>
      <c r="Q2054" s="272"/>
      <c r="R2054" s="273"/>
      <c r="S2054" s="273"/>
      <c r="T2054" s="273"/>
      <c r="U2054" s="274"/>
      <c r="V2054" s="263"/>
      <c r="W2054" s="35"/>
      <c r="X2054" s="35"/>
      <c r="Y2054" s="35"/>
      <c r="Z2054" s="35"/>
      <c r="AA2054" s="35"/>
      <c r="AB2054" s="35"/>
      <c r="AC2054" s="35"/>
      <c r="AD2054" s="35"/>
      <c r="AE2054" s="35"/>
      <c r="AF2054" s="35"/>
      <c r="AG2054" s="35"/>
      <c r="AH2054" s="35"/>
      <c r="AI2054" s="35"/>
    </row>
    <row r="2055">
      <c r="A2055" s="263"/>
      <c r="B2055" s="264"/>
      <c r="C2055" s="265"/>
      <c r="D2055" s="265"/>
      <c r="E2055" s="264"/>
      <c r="F2055" s="265"/>
      <c r="G2055" s="263"/>
      <c r="H2055" s="432"/>
      <c r="I2055" s="282"/>
      <c r="J2055" s="283"/>
      <c r="K2055" s="265"/>
      <c r="L2055" s="265"/>
      <c r="M2055" s="269"/>
      <c r="N2055" s="270"/>
      <c r="O2055" s="271"/>
      <c r="P2055" s="271"/>
      <c r="Q2055" s="272"/>
      <c r="R2055" s="273"/>
      <c r="S2055" s="273"/>
      <c r="T2055" s="273"/>
      <c r="U2055" s="274"/>
      <c r="V2055" s="263"/>
      <c r="W2055" s="35"/>
      <c r="X2055" s="35"/>
      <c r="Y2055" s="35"/>
      <c r="Z2055" s="35"/>
      <c r="AA2055" s="35"/>
      <c r="AB2055" s="35"/>
      <c r="AC2055" s="35"/>
      <c r="AD2055" s="35"/>
      <c r="AE2055" s="35"/>
      <c r="AF2055" s="35"/>
      <c r="AG2055" s="35"/>
      <c r="AH2055" s="35"/>
      <c r="AI2055" s="35"/>
    </row>
    <row r="2056">
      <c r="A2056" s="263"/>
      <c r="B2056" s="264"/>
      <c r="C2056" s="265"/>
      <c r="D2056" s="265"/>
      <c r="E2056" s="264"/>
      <c r="F2056" s="265"/>
      <c r="G2056" s="263"/>
      <c r="H2056" s="432"/>
      <c r="I2056" s="282"/>
      <c r="J2056" s="283"/>
      <c r="K2056" s="265"/>
      <c r="L2056" s="265"/>
      <c r="M2056" s="269"/>
      <c r="N2056" s="270"/>
      <c r="O2056" s="271"/>
      <c r="P2056" s="271"/>
      <c r="Q2056" s="272"/>
      <c r="R2056" s="273"/>
      <c r="S2056" s="273"/>
      <c r="T2056" s="273"/>
      <c r="U2056" s="274"/>
      <c r="V2056" s="263"/>
      <c r="W2056" s="188"/>
      <c r="X2056" s="188"/>
      <c r="Y2056" s="188"/>
      <c r="Z2056" s="188"/>
      <c r="AA2056" s="188"/>
      <c r="AB2056" s="188"/>
      <c r="AC2056" s="188"/>
      <c r="AD2056" s="188"/>
      <c r="AE2056" s="188"/>
      <c r="AF2056" s="188"/>
      <c r="AG2056" s="188"/>
      <c r="AH2056" s="188"/>
      <c r="AI2056" s="188"/>
    </row>
    <row r="2057">
      <c r="A2057" s="263"/>
      <c r="B2057" s="264"/>
      <c r="C2057" s="265"/>
      <c r="D2057" s="265"/>
      <c r="E2057" s="264"/>
      <c r="F2057" s="265"/>
      <c r="G2057" s="263"/>
      <c r="H2057" s="432"/>
      <c r="I2057" s="282"/>
      <c r="J2057" s="283"/>
      <c r="K2057" s="265"/>
      <c r="L2057" s="265"/>
      <c r="M2057" s="269"/>
      <c r="N2057" s="270"/>
      <c r="O2057" s="271"/>
      <c r="P2057" s="271"/>
      <c r="Q2057" s="272"/>
      <c r="R2057" s="273"/>
      <c r="S2057" s="273"/>
      <c r="T2057" s="273"/>
      <c r="U2057" s="274"/>
      <c r="V2057" s="263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</row>
    <row r="2058">
      <c r="A2058" s="263"/>
      <c r="B2058" s="264"/>
      <c r="C2058" s="265"/>
      <c r="D2058" s="265"/>
      <c r="E2058" s="264"/>
      <c r="F2058" s="265"/>
      <c r="G2058" s="263"/>
      <c r="H2058" s="432"/>
      <c r="I2058" s="282"/>
      <c r="J2058" s="283"/>
      <c r="K2058" s="265"/>
      <c r="L2058" s="265"/>
      <c r="M2058" s="269"/>
      <c r="N2058" s="270"/>
      <c r="O2058" s="271"/>
      <c r="P2058" s="271"/>
      <c r="Q2058" s="272"/>
      <c r="R2058" s="273"/>
      <c r="S2058" s="273"/>
      <c r="T2058" s="273"/>
      <c r="U2058" s="274"/>
      <c r="V2058" s="263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</row>
    <row r="2059">
      <c r="A2059" s="263"/>
      <c r="B2059" s="264"/>
      <c r="C2059" s="265"/>
      <c r="D2059" s="265"/>
      <c r="E2059" s="264"/>
      <c r="F2059" s="265"/>
      <c r="G2059" s="263"/>
      <c r="H2059" s="432"/>
      <c r="I2059" s="282"/>
      <c r="J2059" s="283"/>
      <c r="K2059" s="265"/>
      <c r="L2059" s="265"/>
      <c r="M2059" s="269"/>
      <c r="N2059" s="270"/>
      <c r="O2059" s="271"/>
      <c r="P2059" s="271"/>
      <c r="Q2059" s="272"/>
      <c r="R2059" s="273"/>
      <c r="S2059" s="273"/>
      <c r="T2059" s="273"/>
      <c r="U2059" s="274"/>
      <c r="V2059" s="263"/>
      <c r="W2059" s="188"/>
      <c r="X2059" s="188"/>
      <c r="Y2059" s="188"/>
      <c r="Z2059" s="188"/>
      <c r="AA2059" s="188"/>
      <c r="AB2059" s="188"/>
      <c r="AC2059" s="188"/>
      <c r="AD2059" s="188"/>
      <c r="AE2059" s="188"/>
      <c r="AF2059" s="188"/>
      <c r="AG2059" s="188"/>
      <c r="AH2059" s="188"/>
      <c r="AI2059" s="188"/>
    </row>
    <row r="2060">
      <c r="A2060" s="263"/>
      <c r="B2060" s="264"/>
      <c r="C2060" s="265"/>
      <c r="D2060" s="265"/>
      <c r="E2060" s="264"/>
      <c r="F2060" s="265"/>
      <c r="G2060" s="263"/>
      <c r="H2060" s="432"/>
      <c r="I2060" s="282"/>
      <c r="J2060" s="283"/>
      <c r="K2060" s="265"/>
      <c r="L2060" s="265"/>
      <c r="M2060" s="269"/>
      <c r="N2060" s="270"/>
      <c r="O2060" s="271"/>
      <c r="P2060" s="271"/>
      <c r="Q2060" s="272"/>
      <c r="R2060" s="273"/>
      <c r="S2060" s="273"/>
      <c r="T2060" s="273"/>
      <c r="U2060" s="274"/>
      <c r="V2060" s="263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</row>
    <row r="2061">
      <c r="A2061" s="263"/>
      <c r="B2061" s="264"/>
      <c r="C2061" s="265"/>
      <c r="D2061" s="265"/>
      <c r="E2061" s="264"/>
      <c r="F2061" s="265"/>
      <c r="G2061" s="263"/>
      <c r="H2061" s="432"/>
      <c r="I2061" s="282"/>
      <c r="J2061" s="283"/>
      <c r="K2061" s="265"/>
      <c r="L2061" s="265"/>
      <c r="M2061" s="269"/>
      <c r="N2061" s="270"/>
      <c r="O2061" s="271"/>
      <c r="P2061" s="271"/>
      <c r="Q2061" s="272"/>
      <c r="R2061" s="273"/>
      <c r="S2061" s="273"/>
      <c r="T2061" s="273"/>
      <c r="U2061" s="274"/>
      <c r="V2061" s="263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</row>
    <row r="2062">
      <c r="A2062" s="263"/>
      <c r="B2062" s="264"/>
      <c r="C2062" s="265"/>
      <c r="D2062" s="265"/>
      <c r="E2062" s="264"/>
      <c r="F2062" s="265"/>
      <c r="G2062" s="263"/>
      <c r="H2062" s="432"/>
      <c r="I2062" s="282"/>
      <c r="J2062" s="283"/>
      <c r="K2062" s="265"/>
      <c r="L2062" s="265"/>
      <c r="M2062" s="269"/>
      <c r="N2062" s="270"/>
      <c r="O2062" s="271"/>
      <c r="P2062" s="271"/>
      <c r="Q2062" s="272"/>
      <c r="R2062" s="273"/>
      <c r="S2062" s="273"/>
      <c r="T2062" s="273"/>
      <c r="U2062" s="274"/>
      <c r="V2062" s="263"/>
      <c r="W2062" s="188"/>
      <c r="X2062" s="188"/>
      <c r="Y2062" s="188"/>
      <c r="Z2062" s="188"/>
      <c r="AA2062" s="188"/>
      <c r="AB2062" s="188"/>
      <c r="AC2062" s="188"/>
      <c r="AD2062" s="188"/>
      <c r="AE2062" s="188"/>
      <c r="AF2062" s="188"/>
      <c r="AG2062" s="188"/>
      <c r="AH2062" s="188"/>
      <c r="AI2062" s="188"/>
    </row>
    <row r="2063">
      <c r="A2063" s="263"/>
      <c r="B2063" s="264"/>
      <c r="C2063" s="265"/>
      <c r="D2063" s="265"/>
      <c r="E2063" s="264"/>
      <c r="F2063" s="265"/>
      <c r="G2063" s="263"/>
      <c r="H2063" s="432"/>
      <c r="I2063" s="282"/>
      <c r="J2063" s="283"/>
      <c r="K2063" s="265"/>
      <c r="L2063" s="265"/>
      <c r="M2063" s="269"/>
      <c r="N2063" s="270"/>
      <c r="O2063" s="271"/>
      <c r="P2063" s="271"/>
      <c r="Q2063" s="272"/>
      <c r="R2063" s="273"/>
      <c r="S2063" s="273"/>
      <c r="T2063" s="273"/>
      <c r="U2063" s="274"/>
      <c r="V2063" s="263"/>
      <c r="W2063" s="35"/>
      <c r="X2063" s="35"/>
      <c r="Y2063" s="35"/>
      <c r="Z2063" s="35"/>
      <c r="AA2063" s="35"/>
      <c r="AB2063" s="35"/>
      <c r="AC2063" s="35"/>
      <c r="AD2063" s="35"/>
      <c r="AE2063" s="35"/>
      <c r="AF2063" s="35"/>
      <c r="AG2063" s="35"/>
      <c r="AH2063" s="35"/>
      <c r="AI2063" s="35"/>
    </row>
    <row r="2064">
      <c r="A2064" s="263"/>
      <c r="B2064" s="264"/>
      <c r="C2064" s="265"/>
      <c r="D2064" s="265"/>
      <c r="E2064" s="264"/>
      <c r="F2064" s="265"/>
      <c r="G2064" s="263"/>
      <c r="H2064" s="432"/>
      <c r="I2064" s="282"/>
      <c r="J2064" s="283"/>
      <c r="K2064" s="265"/>
      <c r="L2064" s="265"/>
      <c r="M2064" s="269"/>
      <c r="N2064" s="270"/>
      <c r="O2064" s="271"/>
      <c r="P2064" s="271"/>
      <c r="Q2064" s="272"/>
      <c r="R2064" s="273"/>
      <c r="S2064" s="273"/>
      <c r="T2064" s="273"/>
      <c r="U2064" s="274"/>
      <c r="V2064" s="263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</row>
    <row r="2065">
      <c r="A2065" s="263"/>
      <c r="B2065" s="264"/>
      <c r="C2065" s="265"/>
      <c r="D2065" s="265"/>
      <c r="E2065" s="264"/>
      <c r="F2065" s="265"/>
      <c r="G2065" s="263"/>
      <c r="H2065" s="432"/>
      <c r="I2065" s="282"/>
      <c r="J2065" s="283"/>
      <c r="K2065" s="265"/>
      <c r="L2065" s="265"/>
      <c r="M2065" s="269"/>
      <c r="N2065" s="270"/>
      <c r="O2065" s="271"/>
      <c r="P2065" s="271"/>
      <c r="Q2065" s="272"/>
      <c r="R2065" s="273"/>
      <c r="S2065" s="273"/>
      <c r="T2065" s="273"/>
      <c r="U2065" s="274"/>
      <c r="V2065" s="263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</row>
    <row r="2066">
      <c r="A2066" s="263"/>
      <c r="B2066" s="264"/>
      <c r="C2066" s="265"/>
      <c r="D2066" s="265"/>
      <c r="E2066" s="264"/>
      <c r="F2066" s="265"/>
      <c r="G2066" s="263"/>
      <c r="H2066" s="432"/>
      <c r="I2066" s="282"/>
      <c r="J2066" s="283"/>
      <c r="K2066" s="265"/>
      <c r="L2066" s="265"/>
      <c r="M2066" s="269"/>
      <c r="N2066" s="270"/>
      <c r="O2066" s="271"/>
      <c r="P2066" s="271"/>
      <c r="Q2066" s="272"/>
      <c r="R2066" s="273"/>
      <c r="S2066" s="273"/>
      <c r="T2066" s="273"/>
      <c r="U2066" s="274"/>
      <c r="V2066" s="263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</row>
    <row r="2067">
      <c r="A2067" s="165"/>
      <c r="B2067" s="166"/>
      <c r="C2067" s="166"/>
      <c r="D2067" s="166"/>
      <c r="E2067" s="166"/>
      <c r="F2067" s="166"/>
      <c r="G2067" s="165"/>
      <c r="H2067" s="167"/>
      <c r="I2067" s="168"/>
      <c r="J2067" s="169"/>
      <c r="K2067" s="166"/>
      <c r="L2067" s="166"/>
      <c r="M2067" s="166"/>
      <c r="N2067" s="170"/>
      <c r="O2067" s="171"/>
      <c r="P2067" s="171"/>
      <c r="Q2067" s="172"/>
      <c r="R2067" s="173"/>
      <c r="S2067" s="173"/>
      <c r="T2067" s="173"/>
      <c r="U2067" s="174"/>
      <c r="V2067" s="165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</row>
    <row r="2068">
      <c r="A2068" s="263"/>
      <c r="B2068" s="264"/>
      <c r="C2068" s="265"/>
      <c r="D2068" s="265"/>
      <c r="E2068" s="264"/>
      <c r="F2068" s="265"/>
      <c r="G2068" s="263"/>
      <c r="H2068" s="432"/>
      <c r="I2068" s="282"/>
      <c r="J2068" s="283"/>
      <c r="K2068" s="265"/>
      <c r="L2068" s="265"/>
      <c r="M2068" s="269"/>
      <c r="N2068" s="270"/>
      <c r="O2068" s="271"/>
      <c r="P2068" s="271"/>
      <c r="Q2068" s="272"/>
      <c r="R2068" s="273"/>
      <c r="S2068" s="273"/>
      <c r="T2068" s="273"/>
      <c r="U2068" s="274"/>
      <c r="V2068" s="263"/>
      <c r="W2068" s="35"/>
      <c r="X2068" s="35"/>
      <c r="Y2068" s="35"/>
      <c r="Z2068" s="35"/>
      <c r="AA2068" s="35"/>
      <c r="AB2068" s="35"/>
      <c r="AC2068" s="35"/>
      <c r="AD2068" s="35"/>
      <c r="AE2068" s="35"/>
      <c r="AF2068" s="35"/>
      <c r="AG2068" s="35"/>
      <c r="AH2068" s="35"/>
      <c r="AI2068" s="35"/>
    </row>
    <row r="2069">
      <c r="A2069" s="263"/>
      <c r="B2069" s="264"/>
      <c r="C2069" s="265"/>
      <c r="D2069" s="265"/>
      <c r="E2069" s="264"/>
      <c r="F2069" s="265"/>
      <c r="G2069" s="263"/>
      <c r="H2069" s="432"/>
      <c r="I2069" s="282"/>
      <c r="J2069" s="283"/>
      <c r="K2069" s="265"/>
      <c r="L2069" s="265"/>
      <c r="M2069" s="269"/>
      <c r="N2069" s="270"/>
      <c r="O2069" s="271"/>
      <c r="P2069" s="271"/>
      <c r="Q2069" s="272"/>
      <c r="R2069" s="273"/>
      <c r="S2069" s="273"/>
      <c r="T2069" s="273"/>
      <c r="U2069" s="274"/>
      <c r="V2069" s="263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</row>
    <row r="2070">
      <c r="A2070" s="263"/>
      <c r="B2070" s="264"/>
      <c r="C2070" s="265"/>
      <c r="D2070" s="265"/>
      <c r="E2070" s="264"/>
      <c r="F2070" s="265"/>
      <c r="G2070" s="263"/>
      <c r="H2070" s="432"/>
      <c r="I2070" s="282"/>
      <c r="J2070" s="283"/>
      <c r="K2070" s="265"/>
      <c r="L2070" s="265"/>
      <c r="M2070" s="269"/>
      <c r="N2070" s="270"/>
      <c r="O2070" s="271"/>
      <c r="P2070" s="271"/>
      <c r="Q2070" s="272"/>
      <c r="R2070" s="273"/>
      <c r="S2070" s="273"/>
      <c r="T2070" s="273"/>
      <c r="U2070" s="274"/>
      <c r="V2070" s="263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</row>
    <row r="2071">
      <c r="A2071" s="263"/>
      <c r="B2071" s="264"/>
      <c r="C2071" s="265"/>
      <c r="D2071" s="265"/>
      <c r="E2071" s="264"/>
      <c r="F2071" s="265"/>
      <c r="G2071" s="263"/>
      <c r="H2071" s="432"/>
      <c r="I2071" s="282"/>
      <c r="J2071" s="283"/>
      <c r="K2071" s="265"/>
      <c r="L2071" s="265"/>
      <c r="M2071" s="269"/>
      <c r="N2071" s="270"/>
      <c r="O2071" s="271"/>
      <c r="P2071" s="271"/>
      <c r="Q2071" s="272"/>
      <c r="R2071" s="273"/>
      <c r="S2071" s="273"/>
      <c r="T2071" s="273"/>
      <c r="U2071" s="274"/>
      <c r="V2071" s="263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</row>
    <row r="2072">
      <c r="A2072" s="263"/>
      <c r="B2072" s="264"/>
      <c r="C2072" s="265"/>
      <c r="D2072" s="265"/>
      <c r="E2072" s="264"/>
      <c r="F2072" s="265"/>
      <c r="G2072" s="263"/>
      <c r="H2072" s="432"/>
      <c r="I2072" s="282"/>
      <c r="J2072" s="283"/>
      <c r="K2072" s="265"/>
      <c r="L2072" s="265"/>
      <c r="M2072" s="269"/>
      <c r="N2072" s="270"/>
      <c r="O2072" s="271"/>
      <c r="P2072" s="271"/>
      <c r="Q2072" s="272"/>
      <c r="R2072" s="273"/>
      <c r="S2072" s="273"/>
      <c r="T2072" s="273"/>
      <c r="U2072" s="274"/>
      <c r="V2072" s="263"/>
      <c r="W2072" s="428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</row>
    <row r="2073">
      <c r="A2073" s="263"/>
      <c r="B2073" s="264"/>
      <c r="C2073" s="265"/>
      <c r="D2073" s="265"/>
      <c r="E2073" s="264"/>
      <c r="F2073" s="265"/>
      <c r="G2073" s="263"/>
      <c r="H2073" s="432"/>
      <c r="I2073" s="282"/>
      <c r="J2073" s="283"/>
      <c r="K2073" s="265"/>
      <c r="L2073" s="265"/>
      <c r="M2073" s="269"/>
      <c r="N2073" s="270"/>
      <c r="O2073" s="271"/>
      <c r="P2073" s="271"/>
      <c r="Q2073" s="272"/>
      <c r="R2073" s="273"/>
      <c r="S2073" s="273"/>
      <c r="T2073" s="273"/>
      <c r="U2073" s="274"/>
      <c r="V2073" s="263"/>
      <c r="W2073" s="35"/>
      <c r="X2073" s="35"/>
      <c r="Y2073" s="35"/>
      <c r="Z2073" s="35"/>
      <c r="AA2073" s="35"/>
      <c r="AB2073" s="35"/>
      <c r="AC2073" s="35"/>
      <c r="AD2073" s="35"/>
      <c r="AE2073" s="35"/>
      <c r="AF2073" s="35"/>
      <c r="AG2073" s="35"/>
      <c r="AH2073" s="35"/>
      <c r="AI2073" s="35"/>
    </row>
    <row r="2074">
      <c r="A2074" s="263"/>
      <c r="B2074" s="264"/>
      <c r="C2074" s="265"/>
      <c r="D2074" s="265"/>
      <c r="E2074" s="264"/>
      <c r="F2074" s="265"/>
      <c r="G2074" s="263"/>
      <c r="H2074" s="432"/>
      <c r="I2074" s="282"/>
      <c r="J2074" s="283"/>
      <c r="K2074" s="265"/>
      <c r="L2074" s="265"/>
      <c r="M2074" s="269"/>
      <c r="N2074" s="270"/>
      <c r="O2074" s="271"/>
      <c r="P2074" s="271"/>
      <c r="Q2074" s="272"/>
      <c r="R2074" s="273"/>
      <c r="S2074" s="273"/>
      <c r="T2074" s="273"/>
      <c r="U2074" s="274"/>
      <c r="V2074" s="263"/>
      <c r="W2074" s="35"/>
      <c r="X2074" s="35"/>
      <c r="Y2074" s="35"/>
      <c r="Z2074" s="35"/>
      <c r="AA2074" s="35"/>
      <c r="AB2074" s="35"/>
      <c r="AC2074" s="35"/>
      <c r="AD2074" s="35"/>
      <c r="AE2074" s="35"/>
      <c r="AF2074" s="35"/>
      <c r="AG2074" s="35"/>
      <c r="AH2074" s="35"/>
      <c r="AI2074" s="35"/>
    </row>
    <row r="2075">
      <c r="A2075" s="263"/>
      <c r="B2075" s="264"/>
      <c r="C2075" s="265"/>
      <c r="D2075" s="265"/>
      <c r="E2075" s="264"/>
      <c r="F2075" s="265"/>
      <c r="G2075" s="263"/>
      <c r="H2075" s="432"/>
      <c r="I2075" s="282"/>
      <c r="J2075" s="283"/>
      <c r="K2075" s="265"/>
      <c r="L2075" s="265"/>
      <c r="M2075" s="269"/>
      <c r="N2075" s="270"/>
      <c r="O2075" s="271"/>
      <c r="P2075" s="271"/>
      <c r="Q2075" s="272"/>
      <c r="R2075" s="273"/>
      <c r="S2075" s="273"/>
      <c r="T2075" s="273"/>
      <c r="U2075" s="274"/>
      <c r="V2075" s="263"/>
      <c r="W2075" s="35"/>
      <c r="X2075" s="35"/>
      <c r="Y2075" s="35"/>
      <c r="Z2075" s="35"/>
      <c r="AA2075" s="35"/>
      <c r="AB2075" s="35"/>
      <c r="AC2075" s="35"/>
      <c r="AD2075" s="35"/>
      <c r="AE2075" s="35"/>
      <c r="AF2075" s="35"/>
      <c r="AG2075" s="35"/>
      <c r="AH2075" s="35"/>
      <c r="AI2075" s="35"/>
    </row>
    <row r="2076">
      <c r="A2076" s="263"/>
      <c r="B2076" s="264"/>
      <c r="C2076" s="265"/>
      <c r="D2076" s="265"/>
      <c r="E2076" s="264"/>
      <c r="F2076" s="265"/>
      <c r="G2076" s="263"/>
      <c r="H2076" s="432"/>
      <c r="I2076" s="282"/>
      <c r="J2076" s="283"/>
      <c r="K2076" s="265"/>
      <c r="L2076" s="265"/>
      <c r="M2076" s="269"/>
      <c r="N2076" s="270"/>
      <c r="O2076" s="271"/>
      <c r="P2076" s="271"/>
      <c r="Q2076" s="272"/>
      <c r="R2076" s="273"/>
      <c r="S2076" s="273"/>
      <c r="T2076" s="273"/>
      <c r="U2076" s="274"/>
      <c r="V2076" s="263"/>
      <c r="W2076" s="35"/>
      <c r="X2076" s="35"/>
      <c r="Y2076" s="35"/>
      <c r="Z2076" s="35"/>
      <c r="AA2076" s="35"/>
      <c r="AB2076" s="35"/>
      <c r="AC2076" s="35"/>
      <c r="AD2076" s="35"/>
      <c r="AE2076" s="35"/>
      <c r="AF2076" s="35"/>
      <c r="AG2076" s="35"/>
      <c r="AH2076" s="35"/>
      <c r="AI2076" s="35"/>
    </row>
    <row r="2077">
      <c r="A2077" s="263"/>
      <c r="B2077" s="264"/>
      <c r="C2077" s="265"/>
      <c r="D2077" s="265"/>
      <c r="E2077" s="264"/>
      <c r="F2077" s="265"/>
      <c r="G2077" s="263"/>
      <c r="H2077" s="432"/>
      <c r="I2077" s="282"/>
      <c r="J2077" s="283"/>
      <c r="K2077" s="265"/>
      <c r="L2077" s="265"/>
      <c r="M2077" s="269"/>
      <c r="N2077" s="270"/>
      <c r="O2077" s="271"/>
      <c r="P2077" s="271"/>
      <c r="Q2077" s="272"/>
      <c r="R2077" s="273"/>
      <c r="S2077" s="273"/>
      <c r="T2077" s="273"/>
      <c r="U2077" s="274"/>
      <c r="V2077" s="263"/>
      <c r="W2077" s="188"/>
      <c r="X2077" s="188"/>
      <c r="Y2077" s="188"/>
      <c r="Z2077" s="188"/>
      <c r="AA2077" s="188"/>
      <c r="AB2077" s="188"/>
      <c r="AC2077" s="188"/>
      <c r="AD2077" s="188"/>
      <c r="AE2077" s="188"/>
      <c r="AF2077" s="188"/>
      <c r="AG2077" s="188"/>
      <c r="AH2077" s="188"/>
      <c r="AI2077" s="188"/>
    </row>
    <row r="2078">
      <c r="A2078" s="263"/>
      <c r="B2078" s="264"/>
      <c r="C2078" s="265"/>
      <c r="D2078" s="265"/>
      <c r="E2078" s="264"/>
      <c r="F2078" s="265"/>
      <c r="G2078" s="263"/>
      <c r="H2078" s="432"/>
      <c r="I2078" s="282"/>
      <c r="J2078" s="283"/>
      <c r="K2078" s="265"/>
      <c r="L2078" s="265"/>
      <c r="M2078" s="269"/>
      <c r="N2078" s="270"/>
      <c r="O2078" s="271"/>
      <c r="P2078" s="271"/>
      <c r="Q2078" s="272"/>
      <c r="R2078" s="273"/>
      <c r="S2078" s="273"/>
      <c r="T2078" s="273"/>
      <c r="U2078" s="274"/>
      <c r="V2078" s="263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</row>
    <row r="2079">
      <c r="A2079" s="263"/>
      <c r="B2079" s="264"/>
      <c r="C2079" s="265"/>
      <c r="D2079" s="265"/>
      <c r="E2079" s="264"/>
      <c r="F2079" s="265"/>
      <c r="G2079" s="263"/>
      <c r="H2079" s="432"/>
      <c r="I2079" s="282"/>
      <c r="J2079" s="283"/>
      <c r="K2079" s="265"/>
      <c r="L2079" s="265"/>
      <c r="M2079" s="269"/>
      <c r="N2079" s="270"/>
      <c r="O2079" s="271"/>
      <c r="P2079" s="271"/>
      <c r="Q2079" s="272"/>
      <c r="R2079" s="273"/>
      <c r="S2079" s="273"/>
      <c r="T2079" s="273"/>
      <c r="U2079" s="274"/>
      <c r="V2079" s="263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</row>
    <row r="2080">
      <c r="A2080" s="263"/>
      <c r="B2080" s="264"/>
      <c r="C2080" s="265"/>
      <c r="D2080" s="265"/>
      <c r="E2080" s="264"/>
      <c r="F2080" s="265"/>
      <c r="G2080" s="263"/>
      <c r="H2080" s="432"/>
      <c r="I2080" s="282"/>
      <c r="J2080" s="283"/>
      <c r="K2080" s="265"/>
      <c r="L2080" s="265"/>
      <c r="M2080" s="269"/>
      <c r="N2080" s="270"/>
      <c r="O2080" s="271"/>
      <c r="P2080" s="271"/>
      <c r="Q2080" s="272"/>
      <c r="R2080" s="273"/>
      <c r="S2080" s="273"/>
      <c r="T2080" s="273"/>
      <c r="U2080" s="274"/>
      <c r="V2080" s="263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</row>
    <row r="2081">
      <c r="A2081" s="263"/>
      <c r="B2081" s="264"/>
      <c r="C2081" s="265"/>
      <c r="D2081" s="265"/>
      <c r="E2081" s="264"/>
      <c r="F2081" s="265"/>
      <c r="G2081" s="263"/>
      <c r="H2081" s="432"/>
      <c r="I2081" s="282"/>
      <c r="J2081" s="283"/>
      <c r="K2081" s="265"/>
      <c r="L2081" s="265"/>
      <c r="M2081" s="269"/>
      <c r="N2081" s="270"/>
      <c r="O2081" s="271"/>
      <c r="P2081" s="271"/>
      <c r="Q2081" s="272"/>
      <c r="R2081" s="273"/>
      <c r="S2081" s="273"/>
      <c r="T2081" s="273"/>
      <c r="U2081" s="274"/>
      <c r="V2081" s="263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</row>
    <row r="2082">
      <c r="A2082" s="263"/>
      <c r="B2082" s="264"/>
      <c r="C2082" s="265"/>
      <c r="D2082" s="265"/>
      <c r="E2082" s="264"/>
      <c r="F2082" s="265"/>
      <c r="G2082" s="263"/>
      <c r="H2082" s="432"/>
      <c r="I2082" s="282"/>
      <c r="J2082" s="283"/>
      <c r="K2082" s="265"/>
      <c r="L2082" s="265"/>
      <c r="M2082" s="269"/>
      <c r="N2082" s="270"/>
      <c r="O2082" s="271"/>
      <c r="P2082" s="271"/>
      <c r="Q2082" s="272"/>
      <c r="R2082" s="273"/>
      <c r="S2082" s="273"/>
      <c r="T2082" s="273"/>
      <c r="U2082" s="274"/>
      <c r="V2082" s="263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</row>
    <row r="2083">
      <c r="A2083" s="263"/>
      <c r="B2083" s="264"/>
      <c r="C2083" s="265"/>
      <c r="D2083" s="265"/>
      <c r="E2083" s="264"/>
      <c r="F2083" s="265"/>
      <c r="G2083" s="263"/>
      <c r="H2083" s="432"/>
      <c r="I2083" s="282"/>
      <c r="J2083" s="283"/>
      <c r="K2083" s="265"/>
      <c r="L2083" s="265"/>
      <c r="M2083" s="269"/>
      <c r="N2083" s="270"/>
      <c r="O2083" s="271"/>
      <c r="P2083" s="271"/>
      <c r="Q2083" s="272"/>
      <c r="R2083" s="273"/>
      <c r="S2083" s="273"/>
      <c r="T2083" s="273"/>
      <c r="U2083" s="274"/>
      <c r="V2083" s="263"/>
      <c r="W2083" s="35"/>
      <c r="X2083" s="35"/>
      <c r="Y2083" s="35"/>
      <c r="Z2083" s="35"/>
      <c r="AA2083" s="35"/>
      <c r="AB2083" s="35"/>
      <c r="AC2083" s="35"/>
      <c r="AD2083" s="35"/>
      <c r="AE2083" s="35"/>
      <c r="AF2083" s="35"/>
      <c r="AG2083" s="35"/>
      <c r="AH2083" s="35"/>
      <c r="AI2083" s="35"/>
    </row>
    <row r="2084">
      <c r="A2084" s="263"/>
      <c r="B2084" s="264"/>
      <c r="C2084" s="265"/>
      <c r="D2084" s="265"/>
      <c r="E2084" s="264"/>
      <c r="F2084" s="265"/>
      <c r="G2084" s="263"/>
      <c r="H2084" s="432"/>
      <c r="I2084" s="282"/>
      <c r="J2084" s="283"/>
      <c r="K2084" s="265"/>
      <c r="L2084" s="265"/>
      <c r="M2084" s="269"/>
      <c r="N2084" s="270"/>
      <c r="O2084" s="271"/>
      <c r="P2084" s="271"/>
      <c r="Q2084" s="272"/>
      <c r="R2084" s="273"/>
      <c r="S2084" s="273"/>
      <c r="T2084" s="273"/>
      <c r="U2084" s="274"/>
      <c r="V2084" s="263"/>
      <c r="W2084" s="188"/>
      <c r="X2084" s="188"/>
      <c r="Y2084" s="188"/>
      <c r="Z2084" s="188"/>
      <c r="AA2084" s="188"/>
      <c r="AB2084" s="188"/>
      <c r="AC2084" s="188"/>
      <c r="AD2084" s="188"/>
      <c r="AE2084" s="188"/>
      <c r="AF2084" s="188"/>
      <c r="AG2084" s="188"/>
      <c r="AH2084" s="188"/>
      <c r="AI2084" s="188"/>
    </row>
    <row r="2085">
      <c r="A2085" s="263"/>
      <c r="B2085" s="264"/>
      <c r="C2085" s="265"/>
      <c r="D2085" s="265"/>
      <c r="E2085" s="264"/>
      <c r="F2085" s="265"/>
      <c r="G2085" s="263"/>
      <c r="H2085" s="432"/>
      <c r="I2085" s="282"/>
      <c r="J2085" s="283"/>
      <c r="K2085" s="265"/>
      <c r="L2085" s="265"/>
      <c r="M2085" s="269"/>
      <c r="N2085" s="270"/>
      <c r="O2085" s="271"/>
      <c r="P2085" s="271"/>
      <c r="Q2085" s="272"/>
      <c r="R2085" s="273"/>
      <c r="S2085" s="273"/>
      <c r="T2085" s="273"/>
      <c r="U2085" s="274"/>
      <c r="V2085" s="263"/>
      <c r="W2085" s="35"/>
      <c r="X2085" s="35"/>
      <c r="Y2085" s="35"/>
      <c r="Z2085" s="35"/>
      <c r="AA2085" s="35"/>
      <c r="AB2085" s="35"/>
      <c r="AC2085" s="35"/>
      <c r="AD2085" s="35"/>
      <c r="AE2085" s="35"/>
      <c r="AF2085" s="35"/>
      <c r="AG2085" s="35"/>
      <c r="AH2085" s="35"/>
      <c r="AI2085" s="35"/>
    </row>
    <row r="2086">
      <c r="A2086" s="263"/>
      <c r="B2086" s="264"/>
      <c r="C2086" s="265"/>
      <c r="D2086" s="265"/>
      <c r="E2086" s="264"/>
      <c r="F2086" s="265"/>
      <c r="G2086" s="263"/>
      <c r="H2086" s="432"/>
      <c r="I2086" s="282"/>
      <c r="J2086" s="283"/>
      <c r="K2086" s="265"/>
      <c r="L2086" s="265"/>
      <c r="M2086" s="269"/>
      <c r="N2086" s="270"/>
      <c r="O2086" s="271"/>
      <c r="P2086" s="271"/>
      <c r="Q2086" s="272"/>
      <c r="R2086" s="273"/>
      <c r="S2086" s="273"/>
      <c r="T2086" s="273"/>
      <c r="U2086" s="274"/>
      <c r="V2086" s="263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</row>
    <row r="2087">
      <c r="A2087" s="263"/>
      <c r="B2087" s="264"/>
      <c r="C2087" s="265"/>
      <c r="D2087" s="265"/>
      <c r="E2087" s="264"/>
      <c r="F2087" s="265"/>
      <c r="G2087" s="263"/>
      <c r="H2087" s="432"/>
      <c r="I2087" s="282"/>
      <c r="J2087" s="283"/>
      <c r="K2087" s="265"/>
      <c r="L2087" s="265"/>
      <c r="M2087" s="269"/>
      <c r="N2087" s="270"/>
      <c r="O2087" s="271"/>
      <c r="P2087" s="271"/>
      <c r="Q2087" s="272"/>
      <c r="R2087" s="273"/>
      <c r="S2087" s="273"/>
      <c r="T2087" s="273"/>
      <c r="U2087" s="274"/>
      <c r="V2087" s="263"/>
      <c r="W2087" s="188"/>
      <c r="X2087" s="188"/>
      <c r="Y2087" s="188"/>
      <c r="Z2087" s="188"/>
      <c r="AA2087" s="188"/>
      <c r="AB2087" s="188"/>
      <c r="AC2087" s="188"/>
      <c r="AD2087" s="188"/>
      <c r="AE2087" s="188"/>
      <c r="AF2087" s="188"/>
      <c r="AG2087" s="188"/>
      <c r="AH2087" s="188"/>
      <c r="AI2087" s="188"/>
    </row>
    <row r="2088">
      <c r="A2088" s="263"/>
      <c r="B2088" s="264"/>
      <c r="C2088" s="265"/>
      <c r="D2088" s="265"/>
      <c r="E2088" s="264"/>
      <c r="F2088" s="265"/>
      <c r="G2088" s="263"/>
      <c r="H2088" s="432"/>
      <c r="I2088" s="282"/>
      <c r="J2088" s="283"/>
      <c r="K2088" s="265"/>
      <c r="L2088" s="265"/>
      <c r="M2088" s="269"/>
      <c r="N2088" s="270"/>
      <c r="O2088" s="271"/>
      <c r="P2088" s="271"/>
      <c r="Q2088" s="272"/>
      <c r="R2088" s="273"/>
      <c r="S2088" s="273"/>
      <c r="T2088" s="273"/>
      <c r="U2088" s="274"/>
      <c r="V2088" s="263"/>
      <c r="W2088" s="35"/>
      <c r="X2088" s="35"/>
      <c r="Y2088" s="35"/>
      <c r="Z2088" s="35"/>
      <c r="AA2088" s="35"/>
      <c r="AB2088" s="35"/>
      <c r="AC2088" s="35"/>
      <c r="AD2088" s="35"/>
      <c r="AE2088" s="35"/>
      <c r="AF2088" s="35"/>
      <c r="AG2088" s="35"/>
      <c r="AH2088" s="35"/>
      <c r="AI2088" s="35"/>
    </row>
    <row r="2089">
      <c r="A2089" s="263"/>
      <c r="B2089" s="264"/>
      <c r="C2089" s="265"/>
      <c r="D2089" s="265"/>
      <c r="E2089" s="264"/>
      <c r="F2089" s="265"/>
      <c r="G2089" s="263"/>
      <c r="H2089" s="432"/>
      <c r="I2089" s="282"/>
      <c r="J2089" s="283"/>
      <c r="K2089" s="265"/>
      <c r="L2089" s="265"/>
      <c r="M2089" s="269"/>
      <c r="N2089" s="270"/>
      <c r="O2089" s="271"/>
      <c r="P2089" s="271"/>
      <c r="Q2089" s="272"/>
      <c r="R2089" s="273"/>
      <c r="S2089" s="273"/>
      <c r="T2089" s="273"/>
      <c r="U2089" s="274"/>
      <c r="V2089" s="263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</row>
    <row r="2090">
      <c r="A2090" s="263"/>
      <c r="B2090" s="264"/>
      <c r="C2090" s="265"/>
      <c r="D2090" s="265"/>
      <c r="E2090" s="264"/>
      <c r="F2090" s="265"/>
      <c r="G2090" s="263"/>
      <c r="H2090" s="432"/>
      <c r="I2090" s="282"/>
      <c r="J2090" s="283"/>
      <c r="K2090" s="265"/>
      <c r="L2090" s="265"/>
      <c r="M2090" s="269"/>
      <c r="N2090" s="270"/>
      <c r="O2090" s="271"/>
      <c r="P2090" s="271"/>
      <c r="Q2090" s="272"/>
      <c r="R2090" s="273"/>
      <c r="S2090" s="273"/>
      <c r="T2090" s="273"/>
      <c r="U2090" s="274"/>
      <c r="V2090" s="263"/>
      <c r="W2090" s="188"/>
      <c r="X2090" s="188"/>
      <c r="Y2090" s="188"/>
      <c r="Z2090" s="188"/>
      <c r="AA2090" s="188"/>
      <c r="AB2090" s="188"/>
      <c r="AC2090" s="188"/>
      <c r="AD2090" s="188"/>
      <c r="AE2090" s="188"/>
      <c r="AF2090" s="188"/>
      <c r="AG2090" s="188"/>
      <c r="AH2090" s="188"/>
      <c r="AI2090" s="188"/>
    </row>
    <row r="2091">
      <c r="A2091" s="263"/>
      <c r="B2091" s="264"/>
      <c r="C2091" s="265"/>
      <c r="D2091" s="265"/>
      <c r="E2091" s="264"/>
      <c r="F2091" s="265"/>
      <c r="G2091" s="263"/>
      <c r="H2091" s="432"/>
      <c r="I2091" s="282"/>
      <c r="J2091" s="283"/>
      <c r="K2091" s="265"/>
      <c r="L2091" s="265"/>
      <c r="M2091" s="269"/>
      <c r="N2091" s="270"/>
      <c r="O2091" s="271"/>
      <c r="P2091" s="271"/>
      <c r="Q2091" s="272"/>
      <c r="R2091" s="273"/>
      <c r="S2091" s="273"/>
      <c r="T2091" s="273"/>
      <c r="U2091" s="274"/>
      <c r="V2091" s="263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</row>
    <row r="2092">
      <c r="A2092" s="263"/>
      <c r="B2092" s="264"/>
      <c r="C2092" s="265"/>
      <c r="D2092" s="265"/>
      <c r="E2092" s="264"/>
      <c r="F2092" s="265"/>
      <c r="G2092" s="263"/>
      <c r="H2092" s="432"/>
      <c r="I2092" s="282"/>
      <c r="J2092" s="283"/>
      <c r="K2092" s="265"/>
      <c r="L2092" s="265"/>
      <c r="M2092" s="269"/>
      <c r="N2092" s="270"/>
      <c r="O2092" s="271"/>
      <c r="P2092" s="271"/>
      <c r="Q2092" s="272"/>
      <c r="R2092" s="273"/>
      <c r="S2092" s="273"/>
      <c r="T2092" s="273"/>
      <c r="U2092" s="274"/>
      <c r="V2092" s="263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</row>
    <row r="2093">
      <c r="A2093" s="263"/>
      <c r="B2093" s="264"/>
      <c r="C2093" s="265"/>
      <c r="D2093" s="265"/>
      <c r="E2093" s="264"/>
      <c r="F2093" s="265"/>
      <c r="G2093" s="263"/>
      <c r="H2093" s="432"/>
      <c r="I2093" s="282"/>
      <c r="J2093" s="283"/>
      <c r="K2093" s="265"/>
      <c r="L2093" s="265"/>
      <c r="M2093" s="269"/>
      <c r="N2093" s="270"/>
      <c r="O2093" s="271"/>
      <c r="P2093" s="271"/>
      <c r="Q2093" s="272"/>
      <c r="R2093" s="273"/>
      <c r="S2093" s="273"/>
      <c r="T2093" s="273"/>
      <c r="U2093" s="274"/>
      <c r="V2093" s="263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</row>
    <row r="2094">
      <c r="A2094" s="263"/>
      <c r="B2094" s="264"/>
      <c r="C2094" s="265"/>
      <c r="D2094" s="265"/>
      <c r="E2094" s="264"/>
      <c r="F2094" s="265"/>
      <c r="G2094" s="263"/>
      <c r="H2094" s="432"/>
      <c r="I2094" s="282"/>
      <c r="J2094" s="283"/>
      <c r="K2094" s="265"/>
      <c r="L2094" s="265"/>
      <c r="M2094" s="269"/>
      <c r="N2094" s="270"/>
      <c r="O2094" s="271"/>
      <c r="P2094" s="271"/>
      <c r="Q2094" s="272"/>
      <c r="R2094" s="273"/>
      <c r="S2094" s="273"/>
      <c r="T2094" s="273"/>
      <c r="U2094" s="274"/>
      <c r="V2094" s="263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</row>
    <row r="2095">
      <c r="A2095" s="263"/>
      <c r="B2095" s="264"/>
      <c r="C2095" s="265"/>
      <c r="D2095" s="265"/>
      <c r="E2095" s="264"/>
      <c r="F2095" s="265"/>
      <c r="G2095" s="263"/>
      <c r="H2095" s="432"/>
      <c r="I2095" s="282"/>
      <c r="J2095" s="283"/>
      <c r="K2095" s="265"/>
      <c r="L2095" s="265"/>
      <c r="M2095" s="269"/>
      <c r="N2095" s="270"/>
      <c r="O2095" s="271"/>
      <c r="P2095" s="271"/>
      <c r="Q2095" s="272"/>
      <c r="R2095" s="273"/>
      <c r="S2095" s="273"/>
      <c r="T2095" s="273"/>
      <c r="U2095" s="274"/>
      <c r="V2095" s="263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</row>
    <row r="2096">
      <c r="A2096" s="263"/>
      <c r="B2096" s="264"/>
      <c r="C2096" s="265"/>
      <c r="D2096" s="265"/>
      <c r="E2096" s="264"/>
      <c r="F2096" s="265"/>
      <c r="G2096" s="263"/>
      <c r="H2096" s="432"/>
      <c r="I2096" s="282"/>
      <c r="J2096" s="283"/>
      <c r="K2096" s="265"/>
      <c r="L2096" s="265"/>
      <c r="M2096" s="269"/>
      <c r="N2096" s="270"/>
      <c r="O2096" s="271"/>
      <c r="P2096" s="271"/>
      <c r="Q2096" s="272"/>
      <c r="R2096" s="273"/>
      <c r="S2096" s="273"/>
      <c r="T2096" s="273"/>
      <c r="U2096" s="274"/>
      <c r="V2096" s="263"/>
      <c r="W2096" s="35"/>
      <c r="X2096" s="35"/>
      <c r="Y2096" s="35"/>
      <c r="Z2096" s="35"/>
      <c r="AA2096" s="35"/>
      <c r="AB2096" s="35"/>
      <c r="AC2096" s="35"/>
      <c r="AD2096" s="35"/>
      <c r="AE2096" s="35"/>
      <c r="AF2096" s="35"/>
      <c r="AG2096" s="35"/>
      <c r="AH2096" s="35"/>
      <c r="AI2096" s="35"/>
    </row>
    <row r="2097">
      <c r="A2097" s="263"/>
      <c r="B2097" s="264"/>
      <c r="C2097" s="265"/>
      <c r="D2097" s="265"/>
      <c r="E2097" s="264"/>
      <c r="F2097" s="265"/>
      <c r="G2097" s="263"/>
      <c r="H2097" s="432"/>
      <c r="I2097" s="282"/>
      <c r="J2097" s="283"/>
      <c r="K2097" s="265"/>
      <c r="L2097" s="265"/>
      <c r="M2097" s="269"/>
      <c r="N2097" s="270"/>
      <c r="O2097" s="271"/>
      <c r="P2097" s="271"/>
      <c r="Q2097" s="272"/>
      <c r="R2097" s="273"/>
      <c r="S2097" s="273"/>
      <c r="T2097" s="273"/>
      <c r="U2097" s="274"/>
      <c r="V2097" s="263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</row>
    <row r="2098">
      <c r="A2098" s="263"/>
      <c r="B2098" s="264"/>
      <c r="C2098" s="265"/>
      <c r="D2098" s="265"/>
      <c r="E2098" s="264"/>
      <c r="F2098" s="265"/>
      <c r="G2098" s="263"/>
      <c r="H2098" s="432"/>
      <c r="I2098" s="282"/>
      <c r="J2098" s="283"/>
      <c r="K2098" s="265"/>
      <c r="L2098" s="265"/>
      <c r="M2098" s="269"/>
      <c r="N2098" s="270"/>
      <c r="O2098" s="271"/>
      <c r="P2098" s="271"/>
      <c r="Q2098" s="272"/>
      <c r="R2098" s="273"/>
      <c r="S2098" s="273"/>
      <c r="T2098" s="273"/>
      <c r="U2098" s="274"/>
      <c r="V2098" s="263"/>
      <c r="W2098" s="35"/>
      <c r="X2098" s="35"/>
      <c r="Y2098" s="35"/>
      <c r="Z2098" s="35"/>
      <c r="AA2098" s="35"/>
      <c r="AB2098" s="35"/>
      <c r="AC2098" s="35"/>
      <c r="AD2098" s="35"/>
      <c r="AE2098" s="35"/>
      <c r="AF2098" s="35"/>
      <c r="AG2098" s="35"/>
      <c r="AH2098" s="35"/>
      <c r="AI2098" s="35"/>
    </row>
    <row r="2099">
      <c r="A2099" s="263"/>
      <c r="B2099" s="264"/>
      <c r="C2099" s="265"/>
      <c r="D2099" s="265"/>
      <c r="E2099" s="264"/>
      <c r="F2099" s="265"/>
      <c r="G2099" s="263"/>
      <c r="H2099" s="432"/>
      <c r="I2099" s="282"/>
      <c r="J2099" s="283"/>
      <c r="K2099" s="265"/>
      <c r="L2099" s="265"/>
      <c r="M2099" s="269"/>
      <c r="N2099" s="270"/>
      <c r="O2099" s="271"/>
      <c r="P2099" s="271"/>
      <c r="Q2099" s="272"/>
      <c r="R2099" s="273"/>
      <c r="S2099" s="273"/>
      <c r="T2099" s="273"/>
      <c r="U2099" s="274"/>
      <c r="V2099" s="263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</row>
    <row r="2100">
      <c r="A2100" s="263"/>
      <c r="B2100" s="264"/>
      <c r="C2100" s="265"/>
      <c r="D2100" s="265"/>
      <c r="E2100" s="264"/>
      <c r="F2100" s="265"/>
      <c r="G2100" s="263"/>
      <c r="H2100" s="432"/>
      <c r="I2100" s="282"/>
      <c r="J2100" s="283"/>
      <c r="K2100" s="265"/>
      <c r="L2100" s="265"/>
      <c r="M2100" s="269"/>
      <c r="N2100" s="270"/>
      <c r="O2100" s="271"/>
      <c r="P2100" s="271"/>
      <c r="Q2100" s="272"/>
      <c r="R2100" s="273"/>
      <c r="S2100" s="273"/>
      <c r="T2100" s="273"/>
      <c r="U2100" s="274"/>
      <c r="V2100" s="263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</row>
    <row r="2101">
      <c r="A2101" s="263"/>
      <c r="B2101" s="264"/>
      <c r="C2101" s="265"/>
      <c r="D2101" s="265"/>
      <c r="E2101" s="264"/>
      <c r="F2101" s="265"/>
      <c r="G2101" s="263"/>
      <c r="H2101" s="432"/>
      <c r="I2101" s="282"/>
      <c r="J2101" s="283"/>
      <c r="K2101" s="265"/>
      <c r="L2101" s="265"/>
      <c r="M2101" s="269"/>
      <c r="N2101" s="270"/>
      <c r="O2101" s="271"/>
      <c r="P2101" s="271"/>
      <c r="Q2101" s="272"/>
      <c r="R2101" s="273"/>
      <c r="S2101" s="273"/>
      <c r="T2101" s="273"/>
      <c r="U2101" s="274"/>
      <c r="V2101" s="263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</row>
    <row r="2102">
      <c r="A2102" s="263"/>
      <c r="B2102" s="264"/>
      <c r="C2102" s="265"/>
      <c r="D2102" s="265"/>
      <c r="E2102" s="264"/>
      <c r="F2102" s="265"/>
      <c r="G2102" s="263"/>
      <c r="H2102" s="432"/>
      <c r="I2102" s="282"/>
      <c r="J2102" s="283"/>
      <c r="K2102" s="265"/>
      <c r="L2102" s="265"/>
      <c r="M2102" s="269"/>
      <c r="N2102" s="270"/>
      <c r="O2102" s="271"/>
      <c r="P2102" s="271"/>
      <c r="Q2102" s="272"/>
      <c r="R2102" s="273"/>
      <c r="S2102" s="273"/>
      <c r="T2102" s="273"/>
      <c r="U2102" s="274"/>
      <c r="V2102" s="263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</row>
    <row r="2103">
      <c r="A2103" s="263"/>
      <c r="B2103" s="264"/>
      <c r="C2103" s="265"/>
      <c r="D2103" s="265"/>
      <c r="E2103" s="264"/>
      <c r="F2103" s="265"/>
      <c r="G2103" s="263"/>
      <c r="H2103" s="432"/>
      <c r="I2103" s="282"/>
      <c r="J2103" s="283"/>
      <c r="K2103" s="265"/>
      <c r="L2103" s="265"/>
      <c r="M2103" s="269"/>
      <c r="N2103" s="270"/>
      <c r="O2103" s="271"/>
      <c r="P2103" s="271"/>
      <c r="Q2103" s="272"/>
      <c r="R2103" s="273"/>
      <c r="S2103" s="273"/>
      <c r="T2103" s="273"/>
      <c r="U2103" s="274"/>
      <c r="V2103" s="263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</row>
    <row r="2104">
      <c r="A2104" s="263"/>
      <c r="B2104" s="264"/>
      <c r="C2104" s="265"/>
      <c r="D2104" s="265"/>
      <c r="E2104" s="264"/>
      <c r="F2104" s="265"/>
      <c r="G2104" s="263"/>
      <c r="H2104" s="432"/>
      <c r="I2104" s="282"/>
      <c r="J2104" s="283"/>
      <c r="K2104" s="265"/>
      <c r="L2104" s="265"/>
      <c r="M2104" s="269"/>
      <c r="N2104" s="270"/>
      <c r="O2104" s="271"/>
      <c r="P2104" s="271"/>
      <c r="Q2104" s="272"/>
      <c r="R2104" s="273"/>
      <c r="S2104" s="273"/>
      <c r="T2104" s="273"/>
      <c r="U2104" s="274"/>
      <c r="V2104" s="263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</row>
    <row r="2105">
      <c r="A2105" s="263"/>
      <c r="B2105" s="264"/>
      <c r="C2105" s="265"/>
      <c r="D2105" s="265"/>
      <c r="E2105" s="264"/>
      <c r="F2105" s="265"/>
      <c r="G2105" s="263"/>
      <c r="H2105" s="432"/>
      <c r="I2105" s="282"/>
      <c r="J2105" s="283"/>
      <c r="K2105" s="265"/>
      <c r="L2105" s="265"/>
      <c r="M2105" s="269"/>
      <c r="N2105" s="270"/>
      <c r="O2105" s="271"/>
      <c r="P2105" s="271"/>
      <c r="Q2105" s="272"/>
      <c r="R2105" s="273"/>
      <c r="S2105" s="273"/>
      <c r="T2105" s="273"/>
      <c r="U2105" s="274"/>
      <c r="V2105" s="263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</row>
    <row r="2106">
      <c r="A2106" s="263"/>
      <c r="B2106" s="264"/>
      <c r="C2106" s="265"/>
      <c r="D2106" s="265"/>
      <c r="E2106" s="264"/>
      <c r="F2106" s="265"/>
      <c r="G2106" s="263"/>
      <c r="H2106" s="432"/>
      <c r="I2106" s="282"/>
      <c r="J2106" s="283"/>
      <c r="K2106" s="265"/>
      <c r="L2106" s="265"/>
      <c r="M2106" s="269"/>
      <c r="N2106" s="270"/>
      <c r="O2106" s="271"/>
      <c r="P2106" s="271"/>
      <c r="Q2106" s="272"/>
      <c r="R2106" s="273"/>
      <c r="S2106" s="273"/>
      <c r="T2106" s="273"/>
      <c r="U2106" s="274"/>
      <c r="V2106" s="263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</row>
    <row r="2107">
      <c r="A2107" s="263"/>
      <c r="B2107" s="264"/>
      <c r="C2107" s="265"/>
      <c r="D2107" s="265"/>
      <c r="E2107" s="264"/>
      <c r="F2107" s="265"/>
      <c r="G2107" s="263"/>
      <c r="H2107" s="432"/>
      <c r="I2107" s="282"/>
      <c r="J2107" s="283"/>
      <c r="K2107" s="265"/>
      <c r="L2107" s="265"/>
      <c r="M2107" s="269"/>
      <c r="N2107" s="270"/>
      <c r="O2107" s="271"/>
      <c r="P2107" s="271"/>
      <c r="Q2107" s="272"/>
      <c r="R2107" s="273"/>
      <c r="S2107" s="273"/>
      <c r="T2107" s="273"/>
      <c r="U2107" s="274"/>
      <c r="V2107" s="263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</row>
    <row r="2108">
      <c r="A2108" s="263"/>
      <c r="B2108" s="264"/>
      <c r="C2108" s="265"/>
      <c r="D2108" s="265"/>
      <c r="E2108" s="264"/>
      <c r="F2108" s="265"/>
      <c r="G2108" s="263"/>
      <c r="H2108" s="432"/>
      <c r="I2108" s="282"/>
      <c r="J2108" s="283"/>
      <c r="K2108" s="265"/>
      <c r="L2108" s="265"/>
      <c r="M2108" s="269"/>
      <c r="N2108" s="270"/>
      <c r="O2108" s="271"/>
      <c r="P2108" s="271"/>
      <c r="Q2108" s="272"/>
      <c r="R2108" s="273"/>
      <c r="S2108" s="273"/>
      <c r="T2108" s="273"/>
      <c r="U2108" s="274"/>
      <c r="V2108" s="263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</row>
    <row r="2109">
      <c r="A2109" s="263"/>
      <c r="B2109" s="264"/>
      <c r="C2109" s="265"/>
      <c r="D2109" s="265"/>
      <c r="E2109" s="264"/>
      <c r="F2109" s="265"/>
      <c r="G2109" s="263"/>
      <c r="H2109" s="432"/>
      <c r="I2109" s="282"/>
      <c r="J2109" s="283"/>
      <c r="K2109" s="265"/>
      <c r="L2109" s="265"/>
      <c r="M2109" s="269"/>
      <c r="N2109" s="270"/>
      <c r="O2109" s="271"/>
      <c r="P2109" s="271"/>
      <c r="Q2109" s="272"/>
      <c r="R2109" s="273"/>
      <c r="S2109" s="273"/>
      <c r="T2109" s="273"/>
      <c r="U2109" s="274"/>
      <c r="V2109" s="263"/>
      <c r="W2109" s="188"/>
      <c r="X2109" s="188"/>
      <c r="Y2109" s="188"/>
      <c r="Z2109" s="188"/>
      <c r="AA2109" s="188"/>
      <c r="AB2109" s="188"/>
      <c r="AC2109" s="188"/>
      <c r="AD2109" s="188"/>
      <c r="AE2109" s="188"/>
      <c r="AF2109" s="188"/>
      <c r="AG2109" s="188"/>
      <c r="AH2109" s="188"/>
      <c r="AI2109" s="188"/>
    </row>
    <row r="2110">
      <c r="A2110" s="263"/>
      <c r="B2110" s="264"/>
      <c r="C2110" s="265"/>
      <c r="D2110" s="265"/>
      <c r="E2110" s="264"/>
      <c r="F2110" s="265"/>
      <c r="G2110" s="263"/>
      <c r="H2110" s="432"/>
      <c r="I2110" s="282"/>
      <c r="J2110" s="283"/>
      <c r="K2110" s="265"/>
      <c r="L2110" s="265"/>
      <c r="M2110" s="269"/>
      <c r="N2110" s="270"/>
      <c r="O2110" s="271"/>
      <c r="P2110" s="271"/>
      <c r="Q2110" s="272"/>
      <c r="R2110" s="273"/>
      <c r="S2110" s="273"/>
      <c r="T2110" s="273"/>
      <c r="U2110" s="274"/>
      <c r="V2110" s="263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</row>
    <row r="2111">
      <c r="A2111" s="263"/>
      <c r="B2111" s="264"/>
      <c r="C2111" s="265"/>
      <c r="D2111" s="265"/>
      <c r="E2111" s="264"/>
      <c r="F2111" s="265"/>
      <c r="G2111" s="263"/>
      <c r="H2111" s="432"/>
      <c r="I2111" s="282"/>
      <c r="J2111" s="283"/>
      <c r="K2111" s="265"/>
      <c r="L2111" s="265"/>
      <c r="M2111" s="269"/>
      <c r="N2111" s="270"/>
      <c r="O2111" s="271"/>
      <c r="P2111" s="271"/>
      <c r="Q2111" s="272"/>
      <c r="R2111" s="273"/>
      <c r="S2111" s="273"/>
      <c r="T2111" s="273"/>
      <c r="U2111" s="274"/>
      <c r="V2111" s="263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</row>
    <row r="2112">
      <c r="A2112" s="263"/>
      <c r="B2112" s="264"/>
      <c r="C2112" s="265"/>
      <c r="D2112" s="265"/>
      <c r="E2112" s="264"/>
      <c r="F2112" s="265"/>
      <c r="G2112" s="263"/>
      <c r="H2112" s="432"/>
      <c r="I2112" s="282"/>
      <c r="J2112" s="283"/>
      <c r="K2112" s="265"/>
      <c r="L2112" s="265"/>
      <c r="M2112" s="269"/>
      <c r="N2112" s="270"/>
      <c r="O2112" s="271"/>
      <c r="P2112" s="271"/>
      <c r="Q2112" s="272"/>
      <c r="R2112" s="273"/>
      <c r="S2112" s="273"/>
      <c r="T2112" s="273"/>
      <c r="U2112" s="274"/>
      <c r="V2112" s="263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</row>
    <row r="2113">
      <c r="A2113" s="263"/>
      <c r="B2113" s="264"/>
      <c r="C2113" s="265"/>
      <c r="D2113" s="265"/>
      <c r="E2113" s="264"/>
      <c r="F2113" s="265"/>
      <c r="G2113" s="263"/>
      <c r="H2113" s="432"/>
      <c r="I2113" s="282"/>
      <c r="J2113" s="283"/>
      <c r="K2113" s="265"/>
      <c r="L2113" s="265"/>
      <c r="M2113" s="269"/>
      <c r="N2113" s="270"/>
      <c r="O2113" s="271"/>
      <c r="P2113" s="271"/>
      <c r="Q2113" s="272"/>
      <c r="R2113" s="273"/>
      <c r="S2113" s="273"/>
      <c r="T2113" s="273"/>
      <c r="U2113" s="274"/>
      <c r="V2113" s="263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</row>
    <row r="2114">
      <c r="A2114" s="263"/>
      <c r="B2114" s="264"/>
      <c r="C2114" s="265"/>
      <c r="D2114" s="265"/>
      <c r="E2114" s="264"/>
      <c r="F2114" s="265"/>
      <c r="G2114" s="263"/>
      <c r="H2114" s="432"/>
      <c r="I2114" s="282"/>
      <c r="J2114" s="283"/>
      <c r="K2114" s="265"/>
      <c r="L2114" s="265"/>
      <c r="M2114" s="269"/>
      <c r="N2114" s="270"/>
      <c r="O2114" s="271"/>
      <c r="P2114" s="271"/>
      <c r="Q2114" s="272"/>
      <c r="R2114" s="273"/>
      <c r="S2114" s="273"/>
      <c r="T2114" s="273"/>
      <c r="U2114" s="274"/>
      <c r="V2114" s="263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</row>
    <row r="2115">
      <c r="A2115" s="263"/>
      <c r="B2115" s="264"/>
      <c r="C2115" s="265"/>
      <c r="D2115" s="265"/>
      <c r="E2115" s="264"/>
      <c r="F2115" s="265"/>
      <c r="G2115" s="263"/>
      <c r="H2115" s="432"/>
      <c r="I2115" s="282"/>
      <c r="J2115" s="283"/>
      <c r="K2115" s="265"/>
      <c r="L2115" s="265"/>
      <c r="M2115" s="269"/>
      <c r="N2115" s="270"/>
      <c r="O2115" s="271"/>
      <c r="P2115" s="271"/>
      <c r="Q2115" s="272"/>
      <c r="R2115" s="273"/>
      <c r="S2115" s="273"/>
      <c r="T2115" s="273"/>
      <c r="U2115" s="274"/>
      <c r="V2115" s="263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</row>
    <row r="2116">
      <c r="A2116" s="263"/>
      <c r="B2116" s="264"/>
      <c r="C2116" s="265"/>
      <c r="D2116" s="265"/>
      <c r="E2116" s="264"/>
      <c r="F2116" s="265"/>
      <c r="G2116" s="263"/>
      <c r="H2116" s="432"/>
      <c r="I2116" s="282"/>
      <c r="J2116" s="283"/>
      <c r="K2116" s="265"/>
      <c r="L2116" s="265"/>
      <c r="M2116" s="269"/>
      <c r="N2116" s="270"/>
      <c r="O2116" s="271"/>
      <c r="P2116" s="271"/>
      <c r="Q2116" s="272"/>
      <c r="R2116" s="273"/>
      <c r="S2116" s="273"/>
      <c r="T2116" s="273"/>
      <c r="U2116" s="274"/>
      <c r="V2116" s="263"/>
      <c r="W2116" s="188"/>
      <c r="X2116" s="188"/>
      <c r="Y2116" s="188"/>
      <c r="Z2116" s="188"/>
      <c r="AA2116" s="188"/>
      <c r="AB2116" s="188"/>
      <c r="AC2116" s="188"/>
      <c r="AD2116" s="188"/>
      <c r="AE2116" s="188"/>
      <c r="AF2116" s="188"/>
      <c r="AG2116" s="188"/>
      <c r="AH2116" s="188"/>
      <c r="AI2116" s="188"/>
    </row>
    <row r="2117">
      <c r="A2117" s="263"/>
      <c r="B2117" s="264"/>
      <c r="C2117" s="265"/>
      <c r="D2117" s="265"/>
      <c r="E2117" s="264"/>
      <c r="F2117" s="265"/>
      <c r="G2117" s="263"/>
      <c r="H2117" s="432"/>
      <c r="I2117" s="282"/>
      <c r="J2117" s="283"/>
      <c r="K2117" s="265"/>
      <c r="L2117" s="265"/>
      <c r="M2117" s="269"/>
      <c r="N2117" s="270"/>
      <c r="O2117" s="271"/>
      <c r="P2117" s="271"/>
      <c r="Q2117" s="272"/>
      <c r="R2117" s="273"/>
      <c r="S2117" s="273"/>
      <c r="T2117" s="273"/>
      <c r="U2117" s="274"/>
      <c r="V2117" s="263"/>
      <c r="W2117" s="35"/>
      <c r="X2117" s="35"/>
      <c r="Y2117" s="35"/>
      <c r="Z2117" s="35"/>
      <c r="AA2117" s="35"/>
      <c r="AB2117" s="35"/>
      <c r="AC2117" s="35"/>
      <c r="AD2117" s="35"/>
      <c r="AE2117" s="35"/>
      <c r="AF2117" s="35"/>
      <c r="AG2117" s="35"/>
      <c r="AH2117" s="35"/>
      <c r="AI2117" s="35"/>
    </row>
    <row r="2118">
      <c r="A2118" s="263"/>
      <c r="B2118" s="264"/>
      <c r="C2118" s="265"/>
      <c r="D2118" s="265"/>
      <c r="E2118" s="264"/>
      <c r="F2118" s="265"/>
      <c r="G2118" s="263"/>
      <c r="H2118" s="432"/>
      <c r="I2118" s="282"/>
      <c r="J2118" s="283"/>
      <c r="K2118" s="265"/>
      <c r="L2118" s="265"/>
      <c r="M2118" s="269"/>
      <c r="N2118" s="270"/>
      <c r="O2118" s="271"/>
      <c r="P2118" s="271"/>
      <c r="Q2118" s="272"/>
      <c r="R2118" s="273"/>
      <c r="S2118" s="273"/>
      <c r="T2118" s="273"/>
      <c r="U2118" s="274"/>
      <c r="V2118" s="263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</row>
    <row r="2119">
      <c r="A2119" s="263"/>
      <c r="B2119" s="264"/>
      <c r="C2119" s="265"/>
      <c r="D2119" s="265"/>
      <c r="E2119" s="264"/>
      <c r="F2119" s="265"/>
      <c r="G2119" s="263"/>
      <c r="H2119" s="432"/>
      <c r="I2119" s="282"/>
      <c r="J2119" s="283"/>
      <c r="K2119" s="265"/>
      <c r="L2119" s="265"/>
      <c r="M2119" s="269"/>
      <c r="N2119" s="270"/>
      <c r="O2119" s="271"/>
      <c r="P2119" s="271"/>
      <c r="Q2119" s="272"/>
      <c r="R2119" s="273"/>
      <c r="S2119" s="273"/>
      <c r="T2119" s="273"/>
      <c r="U2119" s="274"/>
      <c r="V2119" s="263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</row>
    <row r="2120">
      <c r="A2120" s="263"/>
      <c r="B2120" s="264"/>
      <c r="C2120" s="265"/>
      <c r="D2120" s="265"/>
      <c r="E2120" s="264"/>
      <c r="F2120" s="265"/>
      <c r="G2120" s="263"/>
      <c r="H2120" s="432"/>
      <c r="I2120" s="282"/>
      <c r="J2120" s="283"/>
      <c r="K2120" s="265"/>
      <c r="L2120" s="265"/>
      <c r="M2120" s="269"/>
      <c r="N2120" s="270"/>
      <c r="O2120" s="271"/>
      <c r="P2120" s="271"/>
      <c r="Q2120" s="272"/>
      <c r="R2120" s="273"/>
      <c r="S2120" s="273"/>
      <c r="T2120" s="273"/>
      <c r="U2120" s="274"/>
      <c r="V2120" s="263"/>
      <c r="W2120" s="188"/>
      <c r="X2120" s="188"/>
      <c r="Y2120" s="188"/>
      <c r="Z2120" s="188"/>
      <c r="AA2120" s="188"/>
      <c r="AB2120" s="188"/>
      <c r="AC2120" s="188"/>
      <c r="AD2120" s="188"/>
      <c r="AE2120" s="188"/>
      <c r="AF2120" s="188"/>
      <c r="AG2120" s="188"/>
      <c r="AH2120" s="188"/>
      <c r="AI2120" s="188"/>
    </row>
    <row r="2121">
      <c r="A2121" s="263"/>
      <c r="B2121" s="264"/>
      <c r="C2121" s="265"/>
      <c r="D2121" s="265"/>
      <c r="E2121" s="264"/>
      <c r="F2121" s="265"/>
      <c r="G2121" s="263"/>
      <c r="H2121" s="432"/>
      <c r="I2121" s="282"/>
      <c r="J2121" s="283"/>
      <c r="K2121" s="265"/>
      <c r="L2121" s="265"/>
      <c r="M2121" s="269"/>
      <c r="N2121" s="270"/>
      <c r="O2121" s="271"/>
      <c r="P2121" s="271"/>
      <c r="Q2121" s="272"/>
      <c r="R2121" s="273"/>
      <c r="S2121" s="273"/>
      <c r="T2121" s="273"/>
      <c r="U2121" s="274"/>
      <c r="V2121" s="263"/>
      <c r="W2121" s="36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</row>
    <row r="2122">
      <c r="A2122" s="263"/>
      <c r="B2122" s="264"/>
      <c r="C2122" s="265"/>
      <c r="D2122" s="265"/>
      <c r="E2122" s="264"/>
      <c r="F2122" s="265"/>
      <c r="G2122" s="263"/>
      <c r="H2122" s="432"/>
      <c r="I2122" s="282"/>
      <c r="J2122" s="283"/>
      <c r="K2122" s="265"/>
      <c r="L2122" s="265"/>
      <c r="M2122" s="269"/>
      <c r="N2122" s="270"/>
      <c r="O2122" s="271"/>
      <c r="P2122" s="271"/>
      <c r="Q2122" s="272"/>
      <c r="R2122" s="273"/>
      <c r="S2122" s="273"/>
      <c r="T2122" s="273"/>
      <c r="U2122" s="274"/>
      <c r="V2122" s="263"/>
      <c r="W2122" s="35"/>
      <c r="X2122" s="35"/>
      <c r="Y2122" s="35"/>
      <c r="Z2122" s="35"/>
      <c r="AA2122" s="35"/>
      <c r="AB2122" s="35"/>
      <c r="AC2122" s="35"/>
      <c r="AD2122" s="35"/>
      <c r="AE2122" s="35"/>
      <c r="AF2122" s="35"/>
      <c r="AG2122" s="35"/>
      <c r="AH2122" s="35"/>
      <c r="AI2122" s="35"/>
    </row>
    <row r="2123">
      <c r="A2123" s="263"/>
      <c r="B2123" s="264"/>
      <c r="C2123" s="265"/>
      <c r="D2123" s="265"/>
      <c r="E2123" s="264"/>
      <c r="F2123" s="265"/>
      <c r="G2123" s="263"/>
      <c r="H2123" s="432"/>
      <c r="I2123" s="282"/>
      <c r="J2123" s="283"/>
      <c r="K2123" s="265"/>
      <c r="L2123" s="265"/>
      <c r="M2123" s="269"/>
      <c r="N2123" s="270"/>
      <c r="O2123" s="271"/>
      <c r="P2123" s="271"/>
      <c r="Q2123" s="272"/>
      <c r="R2123" s="273"/>
      <c r="S2123" s="273"/>
      <c r="T2123" s="273"/>
      <c r="U2123" s="274"/>
      <c r="V2123" s="263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</row>
    <row r="2124">
      <c r="A2124" s="263"/>
      <c r="B2124" s="264"/>
      <c r="C2124" s="265"/>
      <c r="D2124" s="265"/>
      <c r="E2124" s="264"/>
      <c r="F2124" s="265"/>
      <c r="G2124" s="263"/>
      <c r="H2124" s="432"/>
      <c r="I2124" s="282"/>
      <c r="J2124" s="283"/>
      <c r="K2124" s="265"/>
      <c r="L2124" s="265"/>
      <c r="M2124" s="269"/>
      <c r="N2124" s="270"/>
      <c r="O2124" s="271"/>
      <c r="P2124" s="271"/>
      <c r="Q2124" s="272"/>
      <c r="R2124" s="273"/>
      <c r="S2124" s="273"/>
      <c r="T2124" s="273"/>
      <c r="U2124" s="274"/>
      <c r="V2124" s="263"/>
      <c r="W2124" s="188"/>
      <c r="X2124" s="188"/>
      <c r="Y2124" s="188"/>
      <c r="Z2124" s="188"/>
      <c r="AA2124" s="188"/>
      <c r="AB2124" s="188"/>
      <c r="AC2124" s="188"/>
      <c r="AD2124" s="188"/>
      <c r="AE2124" s="188"/>
      <c r="AF2124" s="188"/>
      <c r="AG2124" s="188"/>
      <c r="AH2124" s="188"/>
      <c r="AI2124" s="188"/>
    </row>
    <row r="2125">
      <c r="A2125" s="263"/>
      <c r="B2125" s="264"/>
      <c r="C2125" s="265"/>
      <c r="D2125" s="265"/>
      <c r="E2125" s="264"/>
      <c r="F2125" s="265"/>
      <c r="G2125" s="263"/>
      <c r="H2125" s="432"/>
      <c r="I2125" s="282"/>
      <c r="J2125" s="283"/>
      <c r="K2125" s="265"/>
      <c r="L2125" s="265"/>
      <c r="M2125" s="269"/>
      <c r="N2125" s="270"/>
      <c r="O2125" s="271"/>
      <c r="P2125" s="271"/>
      <c r="Q2125" s="272"/>
      <c r="R2125" s="273"/>
      <c r="S2125" s="273"/>
      <c r="T2125" s="273"/>
      <c r="U2125" s="274"/>
      <c r="V2125" s="263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</row>
    <row r="2126">
      <c r="A2126" s="263"/>
      <c r="B2126" s="264"/>
      <c r="C2126" s="265"/>
      <c r="D2126" s="265"/>
      <c r="E2126" s="264"/>
      <c r="F2126" s="265"/>
      <c r="G2126" s="263"/>
      <c r="H2126" s="432"/>
      <c r="I2126" s="282"/>
      <c r="J2126" s="283"/>
      <c r="K2126" s="265"/>
      <c r="L2126" s="265"/>
      <c r="M2126" s="269"/>
      <c r="N2126" s="270"/>
      <c r="O2126" s="271"/>
      <c r="P2126" s="271"/>
      <c r="Q2126" s="272"/>
      <c r="R2126" s="273"/>
      <c r="S2126" s="273"/>
      <c r="T2126" s="273"/>
      <c r="U2126" s="274"/>
      <c r="V2126" s="263"/>
      <c r="W2126" s="36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</row>
    <row r="2127">
      <c r="A2127" s="263"/>
      <c r="B2127" s="264"/>
      <c r="C2127" s="265"/>
      <c r="D2127" s="265"/>
      <c r="E2127" s="264"/>
      <c r="F2127" s="265"/>
      <c r="G2127" s="263"/>
      <c r="H2127" s="432"/>
      <c r="I2127" s="282"/>
      <c r="J2127" s="283"/>
      <c r="K2127" s="265"/>
      <c r="L2127" s="265"/>
      <c r="M2127" s="269"/>
      <c r="N2127" s="270"/>
      <c r="O2127" s="271"/>
      <c r="P2127" s="271"/>
      <c r="Q2127" s="272"/>
      <c r="R2127" s="273"/>
      <c r="S2127" s="273"/>
      <c r="T2127" s="273"/>
      <c r="U2127" s="274"/>
      <c r="V2127" s="263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</row>
    <row r="2128">
      <c r="A2128" s="263"/>
      <c r="B2128" s="264"/>
      <c r="C2128" s="265"/>
      <c r="D2128" s="265"/>
      <c r="E2128" s="264"/>
      <c r="F2128" s="265"/>
      <c r="G2128" s="263"/>
      <c r="H2128" s="432"/>
      <c r="I2128" s="282"/>
      <c r="J2128" s="283"/>
      <c r="K2128" s="265"/>
      <c r="L2128" s="265"/>
      <c r="M2128" s="269"/>
      <c r="N2128" s="270"/>
      <c r="O2128" s="271"/>
      <c r="P2128" s="271"/>
      <c r="Q2128" s="272"/>
      <c r="R2128" s="273"/>
      <c r="S2128" s="273"/>
      <c r="T2128" s="273"/>
      <c r="U2128" s="274"/>
      <c r="V2128" s="263"/>
      <c r="W2128" s="188"/>
      <c r="X2128" s="188"/>
      <c r="Y2128" s="188"/>
      <c r="Z2128" s="188"/>
      <c r="AA2128" s="188"/>
      <c r="AB2128" s="188"/>
      <c r="AC2128" s="188"/>
      <c r="AD2128" s="188"/>
      <c r="AE2128" s="188"/>
      <c r="AF2128" s="188"/>
      <c r="AG2128" s="188"/>
      <c r="AH2128" s="188"/>
      <c r="AI2128" s="188"/>
    </row>
    <row r="2129">
      <c r="A2129" s="263"/>
      <c r="B2129" s="264"/>
      <c r="C2129" s="265"/>
      <c r="D2129" s="265"/>
      <c r="E2129" s="264"/>
      <c r="F2129" s="265"/>
      <c r="G2129" s="263"/>
      <c r="H2129" s="432"/>
      <c r="I2129" s="282"/>
      <c r="J2129" s="283"/>
      <c r="K2129" s="265"/>
      <c r="L2129" s="265"/>
      <c r="M2129" s="269"/>
      <c r="N2129" s="270"/>
      <c r="O2129" s="271"/>
      <c r="P2129" s="271"/>
      <c r="Q2129" s="272"/>
      <c r="R2129" s="273"/>
      <c r="S2129" s="273"/>
      <c r="T2129" s="273"/>
      <c r="U2129" s="274"/>
      <c r="V2129" s="263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</row>
    <row r="2130">
      <c r="A2130" s="263"/>
      <c r="B2130" s="264"/>
      <c r="C2130" s="265"/>
      <c r="D2130" s="265"/>
      <c r="E2130" s="264"/>
      <c r="F2130" s="265"/>
      <c r="G2130" s="263"/>
      <c r="H2130" s="432"/>
      <c r="I2130" s="282"/>
      <c r="J2130" s="283"/>
      <c r="K2130" s="265"/>
      <c r="L2130" s="265"/>
      <c r="M2130" s="269"/>
      <c r="N2130" s="270"/>
      <c r="O2130" s="271"/>
      <c r="P2130" s="271"/>
      <c r="Q2130" s="272"/>
      <c r="R2130" s="273"/>
      <c r="S2130" s="273"/>
      <c r="T2130" s="273"/>
      <c r="U2130" s="274"/>
      <c r="V2130" s="263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</row>
    <row r="2131">
      <c r="A2131" s="263"/>
      <c r="B2131" s="264"/>
      <c r="C2131" s="265"/>
      <c r="D2131" s="265"/>
      <c r="E2131" s="264"/>
      <c r="F2131" s="265"/>
      <c r="G2131" s="263"/>
      <c r="H2131" s="432"/>
      <c r="I2131" s="282"/>
      <c r="J2131" s="283"/>
      <c r="K2131" s="265"/>
      <c r="L2131" s="265"/>
      <c r="M2131" s="269"/>
      <c r="N2131" s="270"/>
      <c r="O2131" s="271"/>
      <c r="P2131" s="271"/>
      <c r="Q2131" s="272"/>
      <c r="R2131" s="273"/>
      <c r="S2131" s="273"/>
      <c r="T2131" s="273"/>
      <c r="U2131" s="274"/>
      <c r="V2131" s="263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</row>
    <row r="2132">
      <c r="A2132" s="263"/>
      <c r="B2132" s="264"/>
      <c r="C2132" s="265"/>
      <c r="D2132" s="265"/>
      <c r="E2132" s="264"/>
      <c r="F2132" s="265"/>
      <c r="G2132" s="263"/>
      <c r="H2132" s="432"/>
      <c r="I2132" s="282"/>
      <c r="J2132" s="283"/>
      <c r="K2132" s="265"/>
      <c r="L2132" s="265"/>
      <c r="M2132" s="269"/>
      <c r="N2132" s="270"/>
      <c r="O2132" s="271"/>
      <c r="P2132" s="271"/>
      <c r="Q2132" s="272"/>
      <c r="R2132" s="273"/>
      <c r="S2132" s="273"/>
      <c r="T2132" s="273"/>
      <c r="U2132" s="274"/>
      <c r="V2132" s="263"/>
      <c r="W2132" s="35"/>
      <c r="X2132" s="35"/>
      <c r="Y2132" s="35"/>
      <c r="Z2132" s="35"/>
      <c r="AA2132" s="35"/>
      <c r="AB2132" s="35"/>
      <c r="AC2132" s="35"/>
      <c r="AD2132" s="35"/>
      <c r="AE2132" s="35"/>
      <c r="AF2132" s="35"/>
      <c r="AG2132" s="35"/>
      <c r="AH2132" s="35"/>
      <c r="AI2132" s="35"/>
    </row>
    <row r="2133">
      <c r="A2133" s="263"/>
      <c r="B2133" s="264"/>
      <c r="C2133" s="265"/>
      <c r="D2133" s="265"/>
      <c r="E2133" s="264"/>
      <c r="F2133" s="265"/>
      <c r="G2133" s="263"/>
      <c r="H2133" s="432"/>
      <c r="I2133" s="282"/>
      <c r="J2133" s="283"/>
      <c r="K2133" s="265"/>
      <c r="L2133" s="265"/>
      <c r="M2133" s="269"/>
      <c r="N2133" s="270"/>
      <c r="O2133" s="271"/>
      <c r="P2133" s="271"/>
      <c r="Q2133" s="272"/>
      <c r="R2133" s="273"/>
      <c r="S2133" s="273"/>
      <c r="T2133" s="273"/>
      <c r="U2133" s="274"/>
      <c r="V2133" s="263"/>
      <c r="W2133" s="35"/>
      <c r="X2133" s="35"/>
      <c r="Y2133" s="35"/>
      <c r="Z2133" s="35"/>
      <c r="AA2133" s="35"/>
      <c r="AB2133" s="35"/>
      <c r="AC2133" s="35"/>
      <c r="AD2133" s="35"/>
      <c r="AE2133" s="35"/>
      <c r="AF2133" s="35"/>
      <c r="AG2133" s="35"/>
      <c r="AH2133" s="35"/>
      <c r="AI2133" s="35"/>
    </row>
    <row r="2134">
      <c r="A2134" s="263"/>
      <c r="B2134" s="264"/>
      <c r="C2134" s="265"/>
      <c r="D2134" s="265"/>
      <c r="E2134" s="264"/>
      <c r="F2134" s="265"/>
      <c r="G2134" s="263"/>
      <c r="H2134" s="432"/>
      <c r="I2134" s="282"/>
      <c r="J2134" s="283"/>
      <c r="K2134" s="265"/>
      <c r="L2134" s="265"/>
      <c r="M2134" s="269"/>
      <c r="N2134" s="270"/>
      <c r="O2134" s="271"/>
      <c r="P2134" s="271"/>
      <c r="Q2134" s="272"/>
      <c r="R2134" s="273"/>
      <c r="S2134" s="273"/>
      <c r="T2134" s="273"/>
      <c r="U2134" s="274"/>
      <c r="V2134" s="263"/>
      <c r="W2134" s="36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</row>
    <row r="2135">
      <c r="A2135" s="263"/>
      <c r="B2135" s="264"/>
      <c r="C2135" s="265"/>
      <c r="D2135" s="265"/>
      <c r="E2135" s="264"/>
      <c r="F2135" s="265"/>
      <c r="G2135" s="263"/>
      <c r="H2135" s="432"/>
      <c r="I2135" s="282"/>
      <c r="J2135" s="283"/>
      <c r="K2135" s="265"/>
      <c r="L2135" s="265"/>
      <c r="M2135" s="269"/>
      <c r="N2135" s="270"/>
      <c r="O2135" s="271"/>
      <c r="P2135" s="271"/>
      <c r="Q2135" s="272"/>
      <c r="R2135" s="273"/>
      <c r="S2135" s="273"/>
      <c r="T2135" s="273"/>
      <c r="U2135" s="274"/>
      <c r="V2135" s="263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</row>
    <row r="2136">
      <c r="A2136" s="263"/>
      <c r="B2136" s="264"/>
      <c r="C2136" s="265"/>
      <c r="D2136" s="265"/>
      <c r="E2136" s="264"/>
      <c r="F2136" s="265"/>
      <c r="G2136" s="263"/>
      <c r="H2136" s="432"/>
      <c r="I2136" s="282"/>
      <c r="J2136" s="283"/>
      <c r="K2136" s="265"/>
      <c r="L2136" s="265"/>
      <c r="M2136" s="269"/>
      <c r="N2136" s="270"/>
      <c r="O2136" s="271"/>
      <c r="P2136" s="271"/>
      <c r="Q2136" s="272"/>
      <c r="R2136" s="273"/>
      <c r="S2136" s="273"/>
      <c r="T2136" s="273"/>
      <c r="U2136" s="274"/>
      <c r="V2136" s="263"/>
      <c r="W2136" s="36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</row>
    <row r="2137">
      <c r="A2137" s="263"/>
      <c r="B2137" s="264"/>
      <c r="C2137" s="265"/>
      <c r="D2137" s="265"/>
      <c r="E2137" s="264"/>
      <c r="F2137" s="265"/>
      <c r="G2137" s="263"/>
      <c r="H2137" s="432"/>
      <c r="I2137" s="282"/>
      <c r="J2137" s="283"/>
      <c r="K2137" s="265"/>
      <c r="L2137" s="265"/>
      <c r="M2137" s="269"/>
      <c r="N2137" s="270"/>
      <c r="O2137" s="271"/>
      <c r="P2137" s="271"/>
      <c r="Q2137" s="272"/>
      <c r="R2137" s="273"/>
      <c r="S2137" s="273"/>
      <c r="T2137" s="273"/>
      <c r="U2137" s="274"/>
      <c r="V2137" s="263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</row>
    <row r="2138">
      <c r="A2138" s="263"/>
      <c r="B2138" s="264"/>
      <c r="C2138" s="265"/>
      <c r="D2138" s="265"/>
      <c r="E2138" s="264"/>
      <c r="F2138" s="265"/>
      <c r="G2138" s="263"/>
      <c r="H2138" s="432"/>
      <c r="I2138" s="282"/>
      <c r="J2138" s="283"/>
      <c r="K2138" s="265"/>
      <c r="L2138" s="265"/>
      <c r="M2138" s="269"/>
      <c r="N2138" s="270"/>
      <c r="O2138" s="271"/>
      <c r="P2138" s="271"/>
      <c r="Q2138" s="272"/>
      <c r="R2138" s="273"/>
      <c r="S2138" s="273"/>
      <c r="T2138" s="273"/>
      <c r="U2138" s="274"/>
      <c r="V2138" s="263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</row>
    <row r="2139">
      <c r="A2139" s="263"/>
      <c r="B2139" s="264"/>
      <c r="C2139" s="265"/>
      <c r="D2139" s="265"/>
      <c r="E2139" s="264"/>
      <c r="F2139" s="265"/>
      <c r="G2139" s="263"/>
      <c r="H2139" s="432"/>
      <c r="I2139" s="282"/>
      <c r="J2139" s="283"/>
      <c r="K2139" s="265"/>
      <c r="L2139" s="265"/>
      <c r="M2139" s="269"/>
      <c r="N2139" s="270"/>
      <c r="O2139" s="271"/>
      <c r="P2139" s="271"/>
      <c r="Q2139" s="272"/>
      <c r="R2139" s="273"/>
      <c r="S2139" s="273"/>
      <c r="T2139" s="273"/>
      <c r="U2139" s="274"/>
      <c r="V2139" s="263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</row>
    <row r="2140">
      <c r="A2140" s="263"/>
      <c r="B2140" s="264"/>
      <c r="C2140" s="265"/>
      <c r="D2140" s="265"/>
      <c r="E2140" s="264"/>
      <c r="F2140" s="265"/>
      <c r="G2140" s="263"/>
      <c r="H2140" s="432"/>
      <c r="I2140" s="282"/>
      <c r="J2140" s="283"/>
      <c r="K2140" s="265"/>
      <c r="L2140" s="265"/>
      <c r="M2140" s="269"/>
      <c r="N2140" s="270"/>
      <c r="O2140" s="271"/>
      <c r="P2140" s="271"/>
      <c r="Q2140" s="272"/>
      <c r="R2140" s="273"/>
      <c r="S2140" s="273"/>
      <c r="T2140" s="273"/>
      <c r="U2140" s="274"/>
      <c r="V2140" s="263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</row>
    <row r="2141">
      <c r="A2141" s="263"/>
      <c r="B2141" s="264"/>
      <c r="C2141" s="265"/>
      <c r="D2141" s="265"/>
      <c r="E2141" s="264"/>
      <c r="F2141" s="265"/>
      <c r="G2141" s="263"/>
      <c r="H2141" s="432"/>
      <c r="I2141" s="282"/>
      <c r="J2141" s="283"/>
      <c r="K2141" s="265"/>
      <c r="L2141" s="265"/>
      <c r="M2141" s="269"/>
      <c r="N2141" s="270"/>
      <c r="O2141" s="271"/>
      <c r="P2141" s="271"/>
      <c r="Q2141" s="272"/>
      <c r="R2141" s="273"/>
      <c r="S2141" s="273"/>
      <c r="T2141" s="273"/>
      <c r="U2141" s="274"/>
      <c r="V2141" s="263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</row>
    <row r="2142">
      <c r="A2142" s="263"/>
      <c r="B2142" s="264"/>
      <c r="C2142" s="265"/>
      <c r="D2142" s="265"/>
      <c r="E2142" s="264"/>
      <c r="F2142" s="265"/>
      <c r="G2142" s="263"/>
      <c r="H2142" s="432"/>
      <c r="I2142" s="282"/>
      <c r="J2142" s="283"/>
      <c r="K2142" s="265"/>
      <c r="L2142" s="265"/>
      <c r="M2142" s="269"/>
      <c r="N2142" s="270"/>
      <c r="O2142" s="271"/>
      <c r="P2142" s="271"/>
      <c r="Q2142" s="272"/>
      <c r="R2142" s="273"/>
      <c r="S2142" s="273"/>
      <c r="T2142" s="273"/>
      <c r="U2142" s="274"/>
      <c r="V2142" s="263"/>
      <c r="W2142" s="35"/>
      <c r="X2142" s="35"/>
      <c r="Y2142" s="35"/>
      <c r="Z2142" s="35"/>
      <c r="AA2142" s="35"/>
      <c r="AB2142" s="35"/>
      <c r="AC2142" s="35"/>
      <c r="AD2142" s="35"/>
      <c r="AE2142" s="35"/>
      <c r="AF2142" s="35"/>
      <c r="AG2142" s="35"/>
      <c r="AH2142" s="35"/>
      <c r="AI2142" s="35"/>
    </row>
    <row r="2143">
      <c r="A2143" s="263"/>
      <c r="B2143" s="264"/>
      <c r="C2143" s="265"/>
      <c r="D2143" s="265"/>
      <c r="E2143" s="264"/>
      <c r="F2143" s="265"/>
      <c r="G2143" s="263"/>
      <c r="H2143" s="432"/>
      <c r="I2143" s="282"/>
      <c r="J2143" s="283"/>
      <c r="K2143" s="265"/>
      <c r="L2143" s="265"/>
      <c r="M2143" s="269"/>
      <c r="N2143" s="270"/>
      <c r="O2143" s="271"/>
      <c r="P2143" s="271"/>
      <c r="Q2143" s="272"/>
      <c r="R2143" s="273"/>
      <c r="S2143" s="273"/>
      <c r="T2143" s="273"/>
      <c r="U2143" s="274"/>
      <c r="V2143" s="263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</row>
    <row r="2144">
      <c r="A2144" s="263"/>
      <c r="B2144" s="264"/>
      <c r="C2144" s="265"/>
      <c r="D2144" s="265"/>
      <c r="E2144" s="264"/>
      <c r="F2144" s="265"/>
      <c r="G2144" s="263"/>
      <c r="H2144" s="432"/>
      <c r="I2144" s="282"/>
      <c r="J2144" s="283"/>
      <c r="K2144" s="265"/>
      <c r="L2144" s="265"/>
      <c r="M2144" s="269"/>
      <c r="N2144" s="270"/>
      <c r="O2144" s="271"/>
      <c r="P2144" s="271"/>
      <c r="Q2144" s="272"/>
      <c r="R2144" s="273"/>
      <c r="S2144" s="273"/>
      <c r="T2144" s="273"/>
      <c r="U2144" s="274"/>
      <c r="V2144" s="263"/>
      <c r="W2144" s="35"/>
      <c r="X2144" s="35"/>
      <c r="Y2144" s="35"/>
      <c r="Z2144" s="35"/>
      <c r="AA2144" s="35"/>
      <c r="AB2144" s="35"/>
      <c r="AC2144" s="35"/>
      <c r="AD2144" s="35"/>
      <c r="AE2144" s="35"/>
      <c r="AF2144" s="35"/>
      <c r="AG2144" s="35"/>
      <c r="AH2144" s="35"/>
      <c r="AI2144" s="35"/>
    </row>
    <row r="2145">
      <c r="A2145" s="263"/>
      <c r="B2145" s="264"/>
      <c r="C2145" s="265"/>
      <c r="D2145" s="265"/>
      <c r="E2145" s="264"/>
      <c r="F2145" s="265"/>
      <c r="G2145" s="263"/>
      <c r="H2145" s="432"/>
      <c r="I2145" s="282"/>
      <c r="J2145" s="283"/>
      <c r="K2145" s="265"/>
      <c r="L2145" s="265"/>
      <c r="M2145" s="269"/>
      <c r="N2145" s="270"/>
      <c r="O2145" s="271"/>
      <c r="P2145" s="271"/>
      <c r="Q2145" s="272"/>
      <c r="R2145" s="273"/>
      <c r="S2145" s="273"/>
      <c r="T2145" s="273"/>
      <c r="U2145" s="274"/>
      <c r="V2145" s="263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</row>
    <row r="2146">
      <c r="A2146" s="263"/>
      <c r="B2146" s="264"/>
      <c r="C2146" s="265"/>
      <c r="D2146" s="265"/>
      <c r="E2146" s="264"/>
      <c r="F2146" s="265"/>
      <c r="G2146" s="263"/>
      <c r="H2146" s="432"/>
      <c r="I2146" s="282"/>
      <c r="J2146" s="283"/>
      <c r="K2146" s="265"/>
      <c r="L2146" s="265"/>
      <c r="M2146" s="269"/>
      <c r="N2146" s="270"/>
      <c r="O2146" s="271"/>
      <c r="P2146" s="271"/>
      <c r="Q2146" s="272"/>
      <c r="R2146" s="273"/>
      <c r="S2146" s="273"/>
      <c r="T2146" s="273"/>
      <c r="U2146" s="274"/>
      <c r="V2146" s="263"/>
      <c r="W2146" s="225"/>
      <c r="X2146" s="225"/>
      <c r="Y2146" s="225"/>
      <c r="Z2146" s="225"/>
      <c r="AA2146" s="225"/>
      <c r="AB2146" s="225"/>
      <c r="AC2146" s="225"/>
      <c r="AD2146" s="225"/>
      <c r="AE2146" s="225"/>
      <c r="AF2146" s="225"/>
      <c r="AG2146" s="225"/>
      <c r="AH2146" s="225"/>
      <c r="AI2146" s="225"/>
    </row>
    <row r="2147">
      <c r="A2147" s="263"/>
      <c r="B2147" s="264"/>
      <c r="C2147" s="265"/>
      <c r="D2147" s="265"/>
      <c r="E2147" s="264"/>
      <c r="F2147" s="265"/>
      <c r="G2147" s="263"/>
      <c r="H2147" s="432"/>
      <c r="I2147" s="282"/>
      <c r="J2147" s="283"/>
      <c r="K2147" s="265"/>
      <c r="L2147" s="265"/>
      <c r="M2147" s="269"/>
      <c r="N2147" s="270"/>
      <c r="O2147" s="271"/>
      <c r="P2147" s="271"/>
      <c r="Q2147" s="272"/>
      <c r="R2147" s="273"/>
      <c r="S2147" s="273"/>
      <c r="T2147" s="273"/>
      <c r="U2147" s="274"/>
      <c r="V2147" s="263"/>
      <c r="W2147" s="188"/>
      <c r="X2147" s="188"/>
      <c r="Y2147" s="188"/>
      <c r="Z2147" s="188"/>
      <c r="AA2147" s="188"/>
      <c r="AB2147" s="188"/>
      <c r="AC2147" s="188"/>
      <c r="AD2147" s="188"/>
      <c r="AE2147" s="188"/>
      <c r="AF2147" s="188"/>
      <c r="AG2147" s="188"/>
      <c r="AH2147" s="188"/>
      <c r="AI2147" s="188"/>
    </row>
    <row r="2148">
      <c r="A2148" s="263"/>
      <c r="B2148" s="264"/>
      <c r="C2148" s="265"/>
      <c r="D2148" s="265"/>
      <c r="E2148" s="264"/>
      <c r="F2148" s="265"/>
      <c r="G2148" s="263"/>
      <c r="H2148" s="432"/>
      <c r="I2148" s="282"/>
      <c r="J2148" s="283"/>
      <c r="K2148" s="265"/>
      <c r="L2148" s="265"/>
      <c r="M2148" s="269"/>
      <c r="N2148" s="270"/>
      <c r="O2148" s="271"/>
      <c r="P2148" s="271"/>
      <c r="Q2148" s="272"/>
      <c r="R2148" s="273"/>
      <c r="S2148" s="273"/>
      <c r="T2148" s="273"/>
      <c r="U2148" s="274"/>
      <c r="V2148" s="263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</row>
    <row r="2149">
      <c r="A2149" s="263"/>
      <c r="B2149" s="264"/>
      <c r="C2149" s="265"/>
      <c r="D2149" s="265"/>
      <c r="E2149" s="264"/>
      <c r="F2149" s="265"/>
      <c r="G2149" s="263"/>
      <c r="H2149" s="432"/>
      <c r="I2149" s="282"/>
      <c r="J2149" s="283"/>
      <c r="K2149" s="265"/>
      <c r="L2149" s="265"/>
      <c r="M2149" s="269"/>
      <c r="N2149" s="270"/>
      <c r="O2149" s="271"/>
      <c r="P2149" s="271"/>
      <c r="Q2149" s="272"/>
      <c r="R2149" s="273"/>
      <c r="S2149" s="273"/>
      <c r="T2149" s="273"/>
      <c r="U2149" s="274"/>
      <c r="V2149" s="263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</row>
    <row r="2150">
      <c r="A2150" s="263"/>
      <c r="B2150" s="264"/>
      <c r="C2150" s="265"/>
      <c r="D2150" s="265"/>
      <c r="E2150" s="264"/>
      <c r="F2150" s="265"/>
      <c r="G2150" s="263"/>
      <c r="H2150" s="432"/>
      <c r="I2150" s="282"/>
      <c r="J2150" s="283"/>
      <c r="K2150" s="265"/>
      <c r="L2150" s="265"/>
      <c r="M2150" s="269"/>
      <c r="N2150" s="270"/>
      <c r="O2150" s="271"/>
      <c r="P2150" s="271"/>
      <c r="Q2150" s="272"/>
      <c r="R2150" s="273"/>
      <c r="S2150" s="273"/>
      <c r="T2150" s="273"/>
      <c r="U2150" s="274"/>
      <c r="V2150" s="263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</row>
    <row r="2151">
      <c r="A2151" s="263"/>
      <c r="B2151" s="264"/>
      <c r="C2151" s="265"/>
      <c r="D2151" s="265"/>
      <c r="E2151" s="264"/>
      <c r="F2151" s="265"/>
      <c r="G2151" s="263"/>
      <c r="H2151" s="432"/>
      <c r="I2151" s="282"/>
      <c r="J2151" s="283"/>
      <c r="K2151" s="265"/>
      <c r="L2151" s="265"/>
      <c r="M2151" s="269"/>
      <c r="N2151" s="270"/>
      <c r="O2151" s="271"/>
      <c r="P2151" s="271"/>
      <c r="Q2151" s="272"/>
      <c r="R2151" s="273"/>
      <c r="S2151" s="273"/>
      <c r="T2151" s="273"/>
      <c r="U2151" s="274"/>
      <c r="V2151" s="263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</row>
    <row r="2152">
      <c r="A2152" s="263"/>
      <c r="B2152" s="264"/>
      <c r="C2152" s="265"/>
      <c r="D2152" s="265"/>
      <c r="E2152" s="264"/>
      <c r="F2152" s="265"/>
      <c r="G2152" s="263"/>
      <c r="H2152" s="432"/>
      <c r="I2152" s="282"/>
      <c r="J2152" s="283"/>
      <c r="K2152" s="265"/>
      <c r="L2152" s="265"/>
      <c r="M2152" s="269"/>
      <c r="N2152" s="270"/>
      <c r="O2152" s="271"/>
      <c r="P2152" s="271"/>
      <c r="Q2152" s="272"/>
      <c r="R2152" s="273"/>
      <c r="S2152" s="273"/>
      <c r="T2152" s="273"/>
      <c r="U2152" s="274"/>
      <c r="V2152" s="263"/>
      <c r="W2152" s="188"/>
      <c r="X2152" s="188"/>
      <c r="Y2152" s="188"/>
      <c r="Z2152" s="188"/>
      <c r="AA2152" s="188"/>
      <c r="AB2152" s="188"/>
      <c r="AC2152" s="188"/>
      <c r="AD2152" s="188"/>
      <c r="AE2152" s="188"/>
      <c r="AF2152" s="188"/>
      <c r="AG2152" s="188"/>
      <c r="AH2152" s="188"/>
      <c r="AI2152" s="188"/>
    </row>
    <row r="2153">
      <c r="A2153" s="263"/>
      <c r="B2153" s="264"/>
      <c r="C2153" s="265"/>
      <c r="D2153" s="265"/>
      <c r="E2153" s="264"/>
      <c r="F2153" s="265"/>
      <c r="G2153" s="263"/>
      <c r="H2153" s="432"/>
      <c r="I2153" s="282"/>
      <c r="J2153" s="283"/>
      <c r="K2153" s="265"/>
      <c r="L2153" s="265"/>
      <c r="M2153" s="269"/>
      <c r="N2153" s="270"/>
      <c r="O2153" s="271"/>
      <c r="P2153" s="271"/>
      <c r="Q2153" s="272"/>
      <c r="R2153" s="273"/>
      <c r="S2153" s="273"/>
      <c r="T2153" s="273"/>
      <c r="U2153" s="274"/>
      <c r="V2153" s="263"/>
      <c r="W2153" s="35"/>
      <c r="X2153" s="35"/>
      <c r="Y2153" s="35"/>
      <c r="Z2153" s="35"/>
      <c r="AA2153" s="35"/>
      <c r="AB2153" s="35"/>
      <c r="AC2153" s="35"/>
      <c r="AD2153" s="35"/>
      <c r="AE2153" s="35"/>
      <c r="AF2153" s="35"/>
      <c r="AG2153" s="35"/>
      <c r="AH2153" s="35"/>
      <c r="AI2153" s="35"/>
    </row>
    <row r="2154">
      <c r="A2154" s="263"/>
      <c r="B2154" s="264"/>
      <c r="C2154" s="265"/>
      <c r="D2154" s="265"/>
      <c r="E2154" s="264"/>
      <c r="F2154" s="265"/>
      <c r="G2154" s="263"/>
      <c r="H2154" s="432"/>
      <c r="I2154" s="282"/>
      <c r="J2154" s="283"/>
      <c r="K2154" s="265"/>
      <c r="L2154" s="265"/>
      <c r="M2154" s="269"/>
      <c r="N2154" s="270"/>
      <c r="O2154" s="271"/>
      <c r="P2154" s="271"/>
      <c r="Q2154" s="272"/>
      <c r="R2154" s="273"/>
      <c r="S2154" s="273"/>
      <c r="T2154" s="273"/>
      <c r="U2154" s="274"/>
      <c r="V2154" s="263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</row>
    <row r="2155">
      <c r="A2155" s="263"/>
      <c r="B2155" s="264"/>
      <c r="C2155" s="265"/>
      <c r="D2155" s="265"/>
      <c r="E2155" s="264"/>
      <c r="F2155" s="265"/>
      <c r="G2155" s="263"/>
      <c r="H2155" s="432"/>
      <c r="I2155" s="282"/>
      <c r="J2155" s="283"/>
      <c r="K2155" s="265"/>
      <c r="L2155" s="265"/>
      <c r="M2155" s="269"/>
      <c r="N2155" s="270"/>
      <c r="O2155" s="271"/>
      <c r="P2155" s="271"/>
      <c r="Q2155" s="272"/>
      <c r="R2155" s="273"/>
      <c r="S2155" s="273"/>
      <c r="T2155" s="273"/>
      <c r="U2155" s="274"/>
      <c r="V2155" s="263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</row>
    <row r="2156">
      <c r="A2156" s="263"/>
      <c r="B2156" s="264"/>
      <c r="C2156" s="265"/>
      <c r="D2156" s="265"/>
      <c r="E2156" s="264"/>
      <c r="F2156" s="265"/>
      <c r="G2156" s="263"/>
      <c r="H2156" s="432"/>
      <c r="I2156" s="282"/>
      <c r="J2156" s="283"/>
      <c r="K2156" s="265"/>
      <c r="L2156" s="265"/>
      <c r="M2156" s="269"/>
      <c r="N2156" s="270"/>
      <c r="O2156" s="271"/>
      <c r="P2156" s="271"/>
      <c r="Q2156" s="272"/>
      <c r="R2156" s="273"/>
      <c r="S2156" s="273"/>
      <c r="T2156" s="273"/>
      <c r="U2156" s="274"/>
      <c r="V2156" s="263"/>
      <c r="W2156" s="35"/>
      <c r="X2156" s="35"/>
      <c r="Y2156" s="35"/>
      <c r="Z2156" s="35"/>
      <c r="AA2156" s="35"/>
      <c r="AB2156" s="35"/>
      <c r="AC2156" s="35"/>
      <c r="AD2156" s="35"/>
      <c r="AE2156" s="35"/>
      <c r="AF2156" s="35"/>
      <c r="AG2156" s="35"/>
      <c r="AH2156" s="35"/>
      <c r="AI2156" s="35"/>
    </row>
    <row r="2157">
      <c r="A2157" s="263"/>
      <c r="B2157" s="264"/>
      <c r="C2157" s="265"/>
      <c r="D2157" s="265"/>
      <c r="E2157" s="264"/>
      <c r="F2157" s="265"/>
      <c r="G2157" s="263"/>
      <c r="H2157" s="432"/>
      <c r="I2157" s="282"/>
      <c r="J2157" s="283"/>
      <c r="K2157" s="265"/>
      <c r="L2157" s="265"/>
      <c r="M2157" s="269"/>
      <c r="N2157" s="270"/>
      <c r="O2157" s="271"/>
      <c r="P2157" s="271"/>
      <c r="Q2157" s="272"/>
      <c r="R2157" s="273"/>
      <c r="S2157" s="273"/>
      <c r="T2157" s="273"/>
      <c r="U2157" s="274"/>
      <c r="V2157" s="263"/>
      <c r="W2157" s="225"/>
      <c r="X2157" s="225"/>
      <c r="Y2157" s="225"/>
      <c r="Z2157" s="225"/>
      <c r="AA2157" s="225"/>
      <c r="AB2157" s="225"/>
      <c r="AC2157" s="225"/>
      <c r="AD2157" s="225"/>
      <c r="AE2157" s="225"/>
      <c r="AF2157" s="225"/>
      <c r="AG2157" s="225"/>
      <c r="AH2157" s="225"/>
      <c r="AI2157" s="225"/>
    </row>
    <row r="2158">
      <c r="A2158" s="263"/>
      <c r="B2158" s="264"/>
      <c r="C2158" s="265"/>
      <c r="D2158" s="265"/>
      <c r="E2158" s="264"/>
      <c r="F2158" s="265"/>
      <c r="G2158" s="263"/>
      <c r="H2158" s="432"/>
      <c r="I2158" s="282"/>
      <c r="J2158" s="283"/>
      <c r="K2158" s="265"/>
      <c r="L2158" s="265"/>
      <c r="M2158" s="269"/>
      <c r="N2158" s="270"/>
      <c r="O2158" s="271"/>
      <c r="P2158" s="271"/>
      <c r="Q2158" s="272"/>
      <c r="R2158" s="273"/>
      <c r="S2158" s="273"/>
      <c r="T2158" s="273"/>
      <c r="U2158" s="274"/>
      <c r="V2158" s="263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</row>
    <row r="2159">
      <c r="A2159" s="263"/>
      <c r="B2159" s="264"/>
      <c r="C2159" s="265"/>
      <c r="D2159" s="265"/>
      <c r="E2159" s="264"/>
      <c r="F2159" s="265"/>
      <c r="G2159" s="263"/>
      <c r="H2159" s="432"/>
      <c r="I2159" s="282"/>
      <c r="J2159" s="283"/>
      <c r="K2159" s="265"/>
      <c r="L2159" s="265"/>
      <c r="M2159" s="269"/>
      <c r="N2159" s="270"/>
      <c r="O2159" s="271"/>
      <c r="P2159" s="271"/>
      <c r="Q2159" s="272"/>
      <c r="R2159" s="273"/>
      <c r="S2159" s="273"/>
      <c r="T2159" s="273"/>
      <c r="U2159" s="274"/>
      <c r="V2159" s="263"/>
      <c r="W2159" s="35"/>
      <c r="X2159" s="35"/>
      <c r="Y2159" s="35"/>
      <c r="Z2159" s="35"/>
      <c r="AA2159" s="35"/>
      <c r="AB2159" s="35"/>
      <c r="AC2159" s="35"/>
      <c r="AD2159" s="35"/>
      <c r="AE2159" s="35"/>
      <c r="AF2159" s="35"/>
      <c r="AG2159" s="35"/>
      <c r="AH2159" s="35"/>
      <c r="AI2159" s="35"/>
    </row>
    <row r="2160">
      <c r="A2160" s="263"/>
      <c r="B2160" s="264"/>
      <c r="C2160" s="265"/>
      <c r="D2160" s="265"/>
      <c r="E2160" s="264"/>
      <c r="F2160" s="265"/>
      <c r="G2160" s="263"/>
      <c r="H2160" s="432"/>
      <c r="I2160" s="282"/>
      <c r="J2160" s="283"/>
      <c r="K2160" s="265"/>
      <c r="L2160" s="265"/>
      <c r="M2160" s="269"/>
      <c r="N2160" s="270"/>
      <c r="O2160" s="271"/>
      <c r="P2160" s="271"/>
      <c r="Q2160" s="272"/>
      <c r="R2160" s="273"/>
      <c r="S2160" s="273"/>
      <c r="T2160" s="273"/>
      <c r="U2160" s="274"/>
      <c r="V2160" s="263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</row>
    <row r="2161">
      <c r="A2161" s="263"/>
      <c r="B2161" s="264"/>
      <c r="C2161" s="265"/>
      <c r="D2161" s="265"/>
      <c r="E2161" s="264"/>
      <c r="F2161" s="265"/>
      <c r="G2161" s="263"/>
      <c r="H2161" s="432"/>
      <c r="I2161" s="282"/>
      <c r="J2161" s="283"/>
      <c r="K2161" s="265"/>
      <c r="L2161" s="265"/>
      <c r="M2161" s="269"/>
      <c r="N2161" s="270"/>
      <c r="O2161" s="271"/>
      <c r="P2161" s="271"/>
      <c r="Q2161" s="272"/>
      <c r="R2161" s="273"/>
      <c r="S2161" s="273"/>
      <c r="T2161" s="273"/>
      <c r="U2161" s="274"/>
      <c r="V2161" s="263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</row>
    <row r="2162">
      <c r="A2162" s="263"/>
      <c r="B2162" s="264"/>
      <c r="C2162" s="265"/>
      <c r="D2162" s="265"/>
      <c r="E2162" s="264"/>
      <c r="F2162" s="265"/>
      <c r="G2162" s="263"/>
      <c r="H2162" s="432"/>
      <c r="I2162" s="282"/>
      <c r="J2162" s="283"/>
      <c r="K2162" s="265"/>
      <c r="L2162" s="265"/>
      <c r="M2162" s="269"/>
      <c r="N2162" s="270"/>
      <c r="O2162" s="271"/>
      <c r="P2162" s="271"/>
      <c r="Q2162" s="272"/>
      <c r="R2162" s="273"/>
      <c r="S2162" s="273"/>
      <c r="T2162" s="273"/>
      <c r="U2162" s="274"/>
      <c r="V2162" s="263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</row>
    <row r="2163">
      <c r="A2163" s="263"/>
      <c r="B2163" s="264"/>
      <c r="C2163" s="265"/>
      <c r="D2163" s="265"/>
      <c r="E2163" s="264"/>
      <c r="F2163" s="265"/>
      <c r="G2163" s="263"/>
      <c r="H2163" s="432"/>
      <c r="I2163" s="282"/>
      <c r="J2163" s="283"/>
      <c r="K2163" s="265"/>
      <c r="L2163" s="265"/>
      <c r="M2163" s="269"/>
      <c r="N2163" s="270"/>
      <c r="O2163" s="271"/>
      <c r="P2163" s="271"/>
      <c r="Q2163" s="272"/>
      <c r="R2163" s="273"/>
      <c r="S2163" s="273"/>
      <c r="T2163" s="273"/>
      <c r="U2163" s="274"/>
      <c r="V2163" s="263"/>
      <c r="W2163" s="35"/>
      <c r="X2163" s="35"/>
      <c r="Y2163" s="35"/>
      <c r="Z2163" s="35"/>
      <c r="AA2163" s="35"/>
      <c r="AB2163" s="35"/>
      <c r="AC2163" s="35"/>
      <c r="AD2163" s="35"/>
      <c r="AE2163" s="35"/>
      <c r="AF2163" s="35"/>
      <c r="AG2163" s="35"/>
      <c r="AH2163" s="35"/>
      <c r="AI2163" s="35"/>
    </row>
    <row r="2164">
      <c r="A2164" s="263"/>
      <c r="B2164" s="264"/>
      <c r="C2164" s="265"/>
      <c r="D2164" s="265"/>
      <c r="E2164" s="264"/>
      <c r="F2164" s="265"/>
      <c r="G2164" s="263"/>
      <c r="H2164" s="432"/>
      <c r="I2164" s="282"/>
      <c r="J2164" s="283"/>
      <c r="K2164" s="265"/>
      <c r="L2164" s="265"/>
      <c r="M2164" s="269"/>
      <c r="N2164" s="270"/>
      <c r="O2164" s="271"/>
      <c r="P2164" s="271"/>
      <c r="Q2164" s="272"/>
      <c r="R2164" s="273"/>
      <c r="S2164" s="273"/>
      <c r="T2164" s="273"/>
      <c r="U2164" s="274"/>
      <c r="V2164" s="263"/>
      <c r="W2164" s="35"/>
      <c r="X2164" s="35"/>
      <c r="Y2164" s="35"/>
      <c r="Z2164" s="35"/>
      <c r="AA2164" s="35"/>
      <c r="AB2164" s="35"/>
      <c r="AC2164" s="35"/>
      <c r="AD2164" s="35"/>
      <c r="AE2164" s="35"/>
      <c r="AF2164" s="35"/>
      <c r="AG2164" s="35"/>
      <c r="AH2164" s="35"/>
      <c r="AI2164" s="35"/>
    </row>
    <row r="2165">
      <c r="A2165" s="263"/>
      <c r="B2165" s="264"/>
      <c r="C2165" s="265"/>
      <c r="D2165" s="265"/>
      <c r="E2165" s="264"/>
      <c r="F2165" s="265"/>
      <c r="G2165" s="263"/>
      <c r="H2165" s="432"/>
      <c r="I2165" s="282"/>
      <c r="J2165" s="283"/>
      <c r="K2165" s="265"/>
      <c r="L2165" s="265"/>
      <c r="M2165" s="269"/>
      <c r="N2165" s="270"/>
      <c r="O2165" s="271"/>
      <c r="P2165" s="271"/>
      <c r="Q2165" s="272"/>
      <c r="R2165" s="273"/>
      <c r="S2165" s="273"/>
      <c r="T2165" s="273"/>
      <c r="U2165" s="274"/>
      <c r="V2165" s="263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</row>
    <row r="2166">
      <c r="A2166" s="263"/>
      <c r="B2166" s="264"/>
      <c r="C2166" s="265"/>
      <c r="D2166" s="265"/>
      <c r="E2166" s="264"/>
      <c r="F2166" s="265"/>
      <c r="G2166" s="263"/>
      <c r="H2166" s="432"/>
      <c r="I2166" s="282"/>
      <c r="J2166" s="283"/>
      <c r="K2166" s="265"/>
      <c r="L2166" s="265"/>
      <c r="M2166" s="269"/>
      <c r="N2166" s="270"/>
      <c r="O2166" s="271"/>
      <c r="P2166" s="271"/>
      <c r="Q2166" s="272"/>
      <c r="R2166" s="273"/>
      <c r="S2166" s="273"/>
      <c r="T2166" s="273"/>
      <c r="U2166" s="274"/>
      <c r="V2166" s="263"/>
      <c r="W2166" s="35"/>
      <c r="X2166" s="35"/>
      <c r="Y2166" s="35"/>
      <c r="Z2166" s="35"/>
      <c r="AA2166" s="35"/>
      <c r="AB2166" s="35"/>
      <c r="AC2166" s="35"/>
      <c r="AD2166" s="35"/>
      <c r="AE2166" s="35"/>
      <c r="AF2166" s="35"/>
      <c r="AG2166" s="35"/>
      <c r="AH2166" s="35"/>
      <c r="AI2166" s="35"/>
    </row>
    <row r="2167">
      <c r="A2167" s="263"/>
      <c r="B2167" s="264"/>
      <c r="C2167" s="265"/>
      <c r="D2167" s="265"/>
      <c r="E2167" s="264"/>
      <c r="F2167" s="265"/>
      <c r="G2167" s="263"/>
      <c r="H2167" s="432"/>
      <c r="I2167" s="282"/>
      <c r="J2167" s="283"/>
      <c r="K2167" s="265"/>
      <c r="L2167" s="265"/>
      <c r="M2167" s="269"/>
      <c r="N2167" s="270"/>
      <c r="O2167" s="271"/>
      <c r="P2167" s="271"/>
      <c r="Q2167" s="272"/>
      <c r="R2167" s="273"/>
      <c r="S2167" s="273"/>
      <c r="T2167" s="273"/>
      <c r="U2167" s="274"/>
      <c r="V2167" s="263"/>
      <c r="W2167" s="35"/>
      <c r="X2167" s="35"/>
      <c r="Y2167" s="35"/>
      <c r="Z2167" s="35"/>
      <c r="AA2167" s="35"/>
      <c r="AB2167" s="35"/>
      <c r="AC2167" s="35"/>
      <c r="AD2167" s="35"/>
      <c r="AE2167" s="35"/>
      <c r="AF2167" s="35"/>
      <c r="AG2167" s="35"/>
      <c r="AH2167" s="35"/>
      <c r="AI2167" s="35"/>
    </row>
    <row r="2168">
      <c r="A2168" s="263"/>
      <c r="B2168" s="264"/>
      <c r="C2168" s="265"/>
      <c r="D2168" s="265"/>
      <c r="E2168" s="264"/>
      <c r="F2168" s="265"/>
      <c r="G2168" s="263"/>
      <c r="H2168" s="432"/>
      <c r="I2168" s="282"/>
      <c r="J2168" s="283"/>
      <c r="K2168" s="265"/>
      <c r="L2168" s="265"/>
      <c r="M2168" s="269"/>
      <c r="N2168" s="270"/>
      <c r="O2168" s="271"/>
      <c r="P2168" s="271"/>
      <c r="Q2168" s="272"/>
      <c r="R2168" s="273"/>
      <c r="S2168" s="273"/>
      <c r="T2168" s="273"/>
      <c r="U2168" s="274"/>
      <c r="V2168" s="263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</row>
    <row r="2169">
      <c r="A2169" s="263"/>
      <c r="B2169" s="264"/>
      <c r="C2169" s="265"/>
      <c r="D2169" s="265"/>
      <c r="E2169" s="264"/>
      <c r="F2169" s="265"/>
      <c r="G2169" s="263"/>
      <c r="H2169" s="432"/>
      <c r="I2169" s="282"/>
      <c r="J2169" s="283"/>
      <c r="K2169" s="265"/>
      <c r="L2169" s="265"/>
      <c r="M2169" s="269"/>
      <c r="N2169" s="270"/>
      <c r="O2169" s="271"/>
      <c r="P2169" s="271"/>
      <c r="Q2169" s="272"/>
      <c r="R2169" s="273"/>
      <c r="S2169" s="273"/>
      <c r="T2169" s="273"/>
      <c r="U2169" s="274"/>
      <c r="V2169" s="263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</row>
    <row r="2170">
      <c r="A2170" s="263"/>
      <c r="B2170" s="264"/>
      <c r="C2170" s="265"/>
      <c r="D2170" s="265"/>
      <c r="E2170" s="264"/>
      <c r="F2170" s="265"/>
      <c r="G2170" s="263"/>
      <c r="H2170" s="432"/>
      <c r="I2170" s="282"/>
      <c r="J2170" s="283"/>
      <c r="K2170" s="265"/>
      <c r="L2170" s="265"/>
      <c r="M2170" s="269"/>
      <c r="N2170" s="270"/>
      <c r="O2170" s="271"/>
      <c r="P2170" s="271"/>
      <c r="Q2170" s="272"/>
      <c r="R2170" s="273"/>
      <c r="S2170" s="273"/>
      <c r="T2170" s="273"/>
      <c r="U2170" s="274"/>
      <c r="V2170" s="263"/>
      <c r="W2170" s="35"/>
      <c r="X2170" s="35"/>
      <c r="Y2170" s="35"/>
      <c r="Z2170" s="35"/>
      <c r="AA2170" s="35"/>
      <c r="AB2170" s="35"/>
      <c r="AC2170" s="35"/>
      <c r="AD2170" s="35"/>
      <c r="AE2170" s="35"/>
      <c r="AF2170" s="35"/>
      <c r="AG2170" s="35"/>
      <c r="AH2170" s="35"/>
      <c r="AI2170" s="35"/>
    </row>
    <row r="2171">
      <c r="A2171" s="263"/>
      <c r="B2171" s="264"/>
      <c r="C2171" s="265"/>
      <c r="D2171" s="265"/>
      <c r="E2171" s="264"/>
      <c r="F2171" s="265"/>
      <c r="G2171" s="263"/>
      <c r="H2171" s="432"/>
      <c r="I2171" s="282"/>
      <c r="J2171" s="283"/>
      <c r="K2171" s="265"/>
      <c r="L2171" s="265"/>
      <c r="M2171" s="269"/>
      <c r="N2171" s="270"/>
      <c r="O2171" s="271"/>
      <c r="P2171" s="271"/>
      <c r="Q2171" s="272"/>
      <c r="R2171" s="273"/>
      <c r="S2171" s="273"/>
      <c r="T2171" s="273"/>
      <c r="U2171" s="274"/>
      <c r="V2171" s="263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</row>
    <row r="2172">
      <c r="A2172" s="263"/>
      <c r="B2172" s="264"/>
      <c r="C2172" s="265"/>
      <c r="D2172" s="265"/>
      <c r="E2172" s="264"/>
      <c r="F2172" s="265"/>
      <c r="G2172" s="263"/>
      <c r="H2172" s="432"/>
      <c r="I2172" s="282"/>
      <c r="J2172" s="283"/>
      <c r="K2172" s="265"/>
      <c r="L2172" s="265"/>
      <c r="M2172" s="269"/>
      <c r="N2172" s="270"/>
      <c r="O2172" s="271"/>
      <c r="P2172" s="271"/>
      <c r="Q2172" s="272"/>
      <c r="R2172" s="273"/>
      <c r="S2172" s="273"/>
      <c r="T2172" s="273"/>
      <c r="U2172" s="274"/>
      <c r="V2172" s="263"/>
      <c r="W2172" s="188"/>
      <c r="X2172" s="188"/>
      <c r="Y2172" s="188"/>
      <c r="Z2172" s="188"/>
      <c r="AA2172" s="188"/>
      <c r="AB2172" s="188"/>
      <c r="AC2172" s="188"/>
      <c r="AD2172" s="188"/>
      <c r="AE2172" s="188"/>
      <c r="AF2172" s="188"/>
      <c r="AG2172" s="188"/>
      <c r="AH2172" s="188"/>
      <c r="AI2172" s="188"/>
    </row>
    <row r="2173">
      <c r="A2173" s="263"/>
      <c r="B2173" s="264"/>
      <c r="C2173" s="265"/>
      <c r="D2173" s="265"/>
      <c r="E2173" s="264"/>
      <c r="F2173" s="265"/>
      <c r="G2173" s="263"/>
      <c r="H2173" s="432"/>
      <c r="I2173" s="282"/>
      <c r="J2173" s="283"/>
      <c r="K2173" s="265"/>
      <c r="L2173" s="265"/>
      <c r="M2173" s="269"/>
      <c r="N2173" s="270"/>
      <c r="O2173" s="271"/>
      <c r="P2173" s="271"/>
      <c r="Q2173" s="272"/>
      <c r="R2173" s="273"/>
      <c r="S2173" s="273"/>
      <c r="T2173" s="273"/>
      <c r="U2173" s="274"/>
      <c r="V2173" s="263"/>
      <c r="W2173" s="188"/>
      <c r="X2173" s="188"/>
      <c r="Y2173" s="188"/>
      <c r="Z2173" s="188"/>
      <c r="AA2173" s="188"/>
      <c r="AB2173" s="188"/>
      <c r="AC2173" s="188"/>
      <c r="AD2173" s="188"/>
      <c r="AE2173" s="188"/>
      <c r="AF2173" s="188"/>
      <c r="AG2173" s="188"/>
      <c r="AH2173" s="188"/>
      <c r="AI2173" s="188"/>
    </row>
    <row r="2174">
      <c r="A2174" s="263"/>
      <c r="B2174" s="264"/>
      <c r="C2174" s="265"/>
      <c r="D2174" s="265"/>
      <c r="E2174" s="264"/>
      <c r="F2174" s="265"/>
      <c r="G2174" s="263"/>
      <c r="H2174" s="432"/>
      <c r="I2174" s="282"/>
      <c r="J2174" s="283"/>
      <c r="K2174" s="265"/>
      <c r="L2174" s="265"/>
      <c r="M2174" s="269"/>
      <c r="N2174" s="270"/>
      <c r="O2174" s="271"/>
      <c r="P2174" s="271"/>
      <c r="Q2174" s="272"/>
      <c r="R2174" s="273"/>
      <c r="S2174" s="273"/>
      <c r="T2174" s="273"/>
      <c r="U2174" s="274"/>
      <c r="V2174" s="263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</row>
    <row r="2175">
      <c r="A2175" s="263"/>
      <c r="B2175" s="264"/>
      <c r="C2175" s="265"/>
      <c r="D2175" s="265"/>
      <c r="E2175" s="264"/>
      <c r="F2175" s="265"/>
      <c r="G2175" s="263"/>
      <c r="H2175" s="432"/>
      <c r="I2175" s="282"/>
      <c r="J2175" s="283"/>
      <c r="K2175" s="265"/>
      <c r="L2175" s="265"/>
      <c r="M2175" s="269"/>
      <c r="N2175" s="270"/>
      <c r="O2175" s="271"/>
      <c r="P2175" s="271"/>
      <c r="Q2175" s="272"/>
      <c r="R2175" s="273"/>
      <c r="S2175" s="273"/>
      <c r="T2175" s="273"/>
      <c r="U2175" s="274"/>
      <c r="V2175" s="263"/>
      <c r="W2175" s="36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</row>
    <row r="2176">
      <c r="A2176" s="263"/>
      <c r="B2176" s="264"/>
      <c r="C2176" s="265"/>
      <c r="D2176" s="265"/>
      <c r="E2176" s="264"/>
      <c r="F2176" s="265"/>
      <c r="G2176" s="263"/>
      <c r="H2176" s="432"/>
      <c r="I2176" s="282"/>
      <c r="J2176" s="283"/>
      <c r="K2176" s="265"/>
      <c r="L2176" s="265"/>
      <c r="M2176" s="269"/>
      <c r="N2176" s="270"/>
      <c r="O2176" s="271"/>
      <c r="P2176" s="271"/>
      <c r="Q2176" s="272"/>
      <c r="R2176" s="273"/>
      <c r="S2176" s="273"/>
      <c r="T2176" s="273"/>
      <c r="U2176" s="274"/>
      <c r="V2176" s="263"/>
      <c r="W2176" s="36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</row>
    <row r="2177">
      <c r="A2177" s="263"/>
      <c r="B2177" s="264"/>
      <c r="C2177" s="265"/>
      <c r="D2177" s="265"/>
      <c r="E2177" s="264"/>
      <c r="F2177" s="265"/>
      <c r="G2177" s="263"/>
      <c r="H2177" s="432"/>
      <c r="I2177" s="282"/>
      <c r="J2177" s="283"/>
      <c r="K2177" s="265"/>
      <c r="L2177" s="265"/>
      <c r="M2177" s="269"/>
      <c r="N2177" s="270"/>
      <c r="O2177" s="271"/>
      <c r="P2177" s="271"/>
      <c r="Q2177" s="272"/>
      <c r="R2177" s="273"/>
      <c r="S2177" s="273"/>
      <c r="T2177" s="273"/>
      <c r="U2177" s="274"/>
      <c r="V2177" s="263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</row>
    <row r="2178">
      <c r="A2178" s="263"/>
      <c r="B2178" s="264"/>
      <c r="C2178" s="265"/>
      <c r="D2178" s="265"/>
      <c r="E2178" s="264"/>
      <c r="F2178" s="265"/>
      <c r="G2178" s="263"/>
      <c r="H2178" s="432"/>
      <c r="I2178" s="282"/>
      <c r="J2178" s="283"/>
      <c r="K2178" s="265"/>
      <c r="L2178" s="265"/>
      <c r="M2178" s="269"/>
      <c r="N2178" s="270"/>
      <c r="O2178" s="271"/>
      <c r="P2178" s="271"/>
      <c r="Q2178" s="272"/>
      <c r="R2178" s="273"/>
      <c r="S2178" s="273"/>
      <c r="T2178" s="273"/>
      <c r="U2178" s="274"/>
      <c r="V2178" s="263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</row>
    <row r="2179">
      <c r="A2179" s="263"/>
      <c r="B2179" s="264"/>
      <c r="C2179" s="265"/>
      <c r="D2179" s="265"/>
      <c r="E2179" s="264"/>
      <c r="F2179" s="265"/>
      <c r="G2179" s="263"/>
      <c r="H2179" s="432"/>
      <c r="I2179" s="282"/>
      <c r="J2179" s="283"/>
      <c r="K2179" s="265"/>
      <c r="L2179" s="265"/>
      <c r="M2179" s="269"/>
      <c r="N2179" s="270"/>
      <c r="O2179" s="271"/>
      <c r="P2179" s="271"/>
      <c r="Q2179" s="272"/>
      <c r="R2179" s="273"/>
      <c r="S2179" s="273"/>
      <c r="T2179" s="273"/>
      <c r="U2179" s="274"/>
      <c r="V2179" s="263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</row>
    <row r="2180">
      <c r="A2180" s="263"/>
      <c r="B2180" s="264"/>
      <c r="C2180" s="265"/>
      <c r="D2180" s="265"/>
      <c r="E2180" s="264"/>
      <c r="F2180" s="265"/>
      <c r="G2180" s="263"/>
      <c r="H2180" s="432"/>
      <c r="I2180" s="282"/>
      <c r="J2180" s="283"/>
      <c r="K2180" s="265"/>
      <c r="L2180" s="265"/>
      <c r="M2180" s="269"/>
      <c r="N2180" s="270"/>
      <c r="O2180" s="271"/>
      <c r="P2180" s="271"/>
      <c r="Q2180" s="272"/>
      <c r="R2180" s="273"/>
      <c r="S2180" s="273"/>
      <c r="T2180" s="273"/>
      <c r="U2180" s="274"/>
      <c r="V2180" s="263"/>
      <c r="W2180" s="188"/>
      <c r="X2180" s="188"/>
      <c r="Y2180" s="188"/>
      <c r="Z2180" s="188"/>
      <c r="AA2180" s="188"/>
      <c r="AB2180" s="188"/>
      <c r="AC2180" s="188"/>
      <c r="AD2180" s="188"/>
      <c r="AE2180" s="188"/>
      <c r="AF2180" s="188"/>
      <c r="AG2180" s="188"/>
      <c r="AH2180" s="188"/>
      <c r="AI2180" s="188"/>
    </row>
    <row r="2181">
      <c r="A2181" s="263"/>
      <c r="B2181" s="264"/>
      <c r="C2181" s="265"/>
      <c r="D2181" s="265"/>
      <c r="E2181" s="264"/>
      <c r="F2181" s="265"/>
      <c r="G2181" s="263"/>
      <c r="H2181" s="432"/>
      <c r="I2181" s="282"/>
      <c r="J2181" s="283"/>
      <c r="K2181" s="265"/>
      <c r="L2181" s="265"/>
      <c r="M2181" s="269"/>
      <c r="N2181" s="270"/>
      <c r="O2181" s="271"/>
      <c r="P2181" s="271"/>
      <c r="Q2181" s="272"/>
      <c r="R2181" s="273"/>
      <c r="S2181" s="273"/>
      <c r="T2181" s="273"/>
      <c r="U2181" s="274"/>
      <c r="V2181" s="263"/>
      <c r="W2181" s="188"/>
      <c r="X2181" s="188"/>
      <c r="Y2181" s="188"/>
      <c r="Z2181" s="188"/>
      <c r="AA2181" s="188"/>
      <c r="AB2181" s="188"/>
      <c r="AC2181" s="188"/>
      <c r="AD2181" s="188"/>
      <c r="AE2181" s="188"/>
      <c r="AF2181" s="188"/>
      <c r="AG2181" s="188"/>
      <c r="AH2181" s="188"/>
      <c r="AI2181" s="188"/>
    </row>
    <row r="2182">
      <c r="A2182" s="263"/>
      <c r="B2182" s="264"/>
      <c r="C2182" s="265"/>
      <c r="D2182" s="265"/>
      <c r="E2182" s="264"/>
      <c r="F2182" s="265"/>
      <c r="G2182" s="263"/>
      <c r="H2182" s="432"/>
      <c r="I2182" s="282"/>
      <c r="J2182" s="283"/>
      <c r="K2182" s="265"/>
      <c r="L2182" s="265"/>
      <c r="M2182" s="269"/>
      <c r="N2182" s="270"/>
      <c r="O2182" s="271"/>
      <c r="P2182" s="271"/>
      <c r="Q2182" s="272"/>
      <c r="R2182" s="273"/>
      <c r="S2182" s="273"/>
      <c r="T2182" s="273"/>
      <c r="U2182" s="274"/>
      <c r="V2182" s="263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</row>
    <row r="2183">
      <c r="A2183" s="263"/>
      <c r="B2183" s="264"/>
      <c r="C2183" s="265"/>
      <c r="D2183" s="265"/>
      <c r="E2183" s="264"/>
      <c r="F2183" s="265"/>
      <c r="G2183" s="263"/>
      <c r="H2183" s="432"/>
      <c r="I2183" s="282"/>
      <c r="J2183" s="283"/>
      <c r="K2183" s="265"/>
      <c r="L2183" s="265"/>
      <c r="M2183" s="269"/>
      <c r="N2183" s="270"/>
      <c r="O2183" s="271"/>
      <c r="P2183" s="271"/>
      <c r="Q2183" s="272"/>
      <c r="R2183" s="273"/>
      <c r="S2183" s="273"/>
      <c r="T2183" s="273"/>
      <c r="U2183" s="274"/>
      <c r="V2183" s="263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</row>
    <row r="2184">
      <c r="A2184" s="263"/>
      <c r="B2184" s="264"/>
      <c r="C2184" s="265"/>
      <c r="D2184" s="265"/>
      <c r="E2184" s="264"/>
      <c r="F2184" s="265"/>
      <c r="G2184" s="263"/>
      <c r="H2184" s="432"/>
      <c r="I2184" s="282"/>
      <c r="J2184" s="283"/>
      <c r="K2184" s="265"/>
      <c r="L2184" s="265"/>
      <c r="M2184" s="269"/>
      <c r="N2184" s="270"/>
      <c r="O2184" s="271"/>
      <c r="P2184" s="271"/>
      <c r="Q2184" s="272"/>
      <c r="R2184" s="273"/>
      <c r="S2184" s="273"/>
      <c r="T2184" s="273"/>
      <c r="U2184" s="274"/>
      <c r="V2184" s="263"/>
      <c r="W2184" s="188"/>
      <c r="X2184" s="188"/>
      <c r="Y2184" s="188"/>
      <c r="Z2184" s="188"/>
      <c r="AA2184" s="188"/>
      <c r="AB2184" s="188"/>
      <c r="AC2184" s="188"/>
      <c r="AD2184" s="188"/>
      <c r="AE2184" s="188"/>
      <c r="AF2184" s="188"/>
      <c r="AG2184" s="188"/>
      <c r="AH2184" s="188"/>
      <c r="AI2184" s="188"/>
    </row>
    <row r="2185">
      <c r="A2185" s="263"/>
      <c r="B2185" s="264"/>
      <c r="C2185" s="265"/>
      <c r="D2185" s="265"/>
      <c r="E2185" s="264"/>
      <c r="F2185" s="265"/>
      <c r="G2185" s="263"/>
      <c r="H2185" s="432"/>
      <c r="I2185" s="282"/>
      <c r="J2185" s="283"/>
      <c r="K2185" s="265"/>
      <c r="L2185" s="265"/>
      <c r="M2185" s="269"/>
      <c r="N2185" s="270"/>
      <c r="O2185" s="271"/>
      <c r="P2185" s="271"/>
      <c r="Q2185" s="272"/>
      <c r="R2185" s="273"/>
      <c r="S2185" s="273"/>
      <c r="T2185" s="273"/>
      <c r="U2185" s="274"/>
      <c r="V2185" s="263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</row>
    <row r="2186">
      <c r="A2186" s="263"/>
      <c r="B2186" s="264"/>
      <c r="C2186" s="265"/>
      <c r="D2186" s="265"/>
      <c r="E2186" s="264"/>
      <c r="F2186" s="265"/>
      <c r="G2186" s="263"/>
      <c r="H2186" s="432"/>
      <c r="I2186" s="282"/>
      <c r="J2186" s="283"/>
      <c r="K2186" s="265"/>
      <c r="L2186" s="265"/>
      <c r="M2186" s="269"/>
      <c r="N2186" s="270"/>
      <c r="O2186" s="271"/>
      <c r="P2186" s="271"/>
      <c r="Q2186" s="272"/>
      <c r="R2186" s="273"/>
      <c r="S2186" s="273"/>
      <c r="T2186" s="273"/>
      <c r="U2186" s="274"/>
      <c r="V2186" s="263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</row>
    <row r="2187">
      <c r="A2187" s="263"/>
      <c r="B2187" s="264"/>
      <c r="C2187" s="265"/>
      <c r="D2187" s="265"/>
      <c r="E2187" s="264"/>
      <c r="F2187" s="265"/>
      <c r="G2187" s="263"/>
      <c r="H2187" s="432"/>
      <c r="I2187" s="282"/>
      <c r="J2187" s="283"/>
      <c r="K2187" s="265"/>
      <c r="L2187" s="265"/>
      <c r="M2187" s="269"/>
      <c r="N2187" s="270"/>
      <c r="O2187" s="271"/>
      <c r="P2187" s="271"/>
      <c r="Q2187" s="272"/>
      <c r="R2187" s="273"/>
      <c r="S2187" s="273"/>
      <c r="T2187" s="273"/>
      <c r="U2187" s="274"/>
      <c r="V2187" s="263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</row>
    <row r="2188">
      <c r="A2188" s="263"/>
      <c r="B2188" s="264"/>
      <c r="C2188" s="265"/>
      <c r="D2188" s="265"/>
      <c r="E2188" s="264"/>
      <c r="F2188" s="265"/>
      <c r="G2188" s="263"/>
      <c r="H2188" s="432"/>
      <c r="I2188" s="282"/>
      <c r="J2188" s="283"/>
      <c r="K2188" s="265"/>
      <c r="L2188" s="265"/>
      <c r="M2188" s="269"/>
      <c r="N2188" s="270"/>
      <c r="O2188" s="271"/>
      <c r="P2188" s="271"/>
      <c r="Q2188" s="272"/>
      <c r="R2188" s="273"/>
      <c r="S2188" s="273"/>
      <c r="T2188" s="273"/>
      <c r="U2188" s="274"/>
      <c r="V2188" s="263"/>
      <c r="W2188" s="188"/>
      <c r="X2188" s="188"/>
      <c r="Y2188" s="188"/>
      <c r="Z2188" s="188"/>
      <c r="AA2188" s="188"/>
      <c r="AB2188" s="188"/>
      <c r="AC2188" s="188"/>
      <c r="AD2188" s="188"/>
      <c r="AE2188" s="188"/>
      <c r="AF2188" s="188"/>
      <c r="AG2188" s="188"/>
      <c r="AH2188" s="188"/>
      <c r="AI2188" s="188"/>
    </row>
    <row r="2189">
      <c r="A2189" s="263"/>
      <c r="B2189" s="264"/>
      <c r="C2189" s="265"/>
      <c r="D2189" s="265"/>
      <c r="E2189" s="264"/>
      <c r="F2189" s="265"/>
      <c r="G2189" s="263"/>
      <c r="H2189" s="432"/>
      <c r="I2189" s="282"/>
      <c r="J2189" s="283"/>
      <c r="K2189" s="265"/>
      <c r="L2189" s="265"/>
      <c r="M2189" s="269"/>
      <c r="N2189" s="270"/>
      <c r="O2189" s="271"/>
      <c r="P2189" s="271"/>
      <c r="Q2189" s="272"/>
      <c r="R2189" s="273"/>
      <c r="S2189" s="273"/>
      <c r="T2189" s="273"/>
      <c r="U2189" s="274"/>
      <c r="V2189" s="263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</row>
    <row r="2190">
      <c r="A2190" s="263"/>
      <c r="B2190" s="264"/>
      <c r="C2190" s="265"/>
      <c r="D2190" s="265"/>
      <c r="E2190" s="264"/>
      <c r="F2190" s="265"/>
      <c r="G2190" s="263"/>
      <c r="H2190" s="432"/>
      <c r="I2190" s="282"/>
      <c r="J2190" s="283"/>
      <c r="K2190" s="265"/>
      <c r="L2190" s="265"/>
      <c r="M2190" s="269"/>
      <c r="N2190" s="270"/>
      <c r="O2190" s="271"/>
      <c r="P2190" s="271"/>
      <c r="Q2190" s="272"/>
      <c r="R2190" s="273"/>
      <c r="S2190" s="273"/>
      <c r="T2190" s="273"/>
      <c r="U2190" s="274"/>
      <c r="V2190" s="263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</row>
    <row r="2191">
      <c r="A2191" s="263"/>
      <c r="B2191" s="264"/>
      <c r="C2191" s="265"/>
      <c r="D2191" s="265"/>
      <c r="E2191" s="264"/>
      <c r="F2191" s="265"/>
      <c r="G2191" s="263"/>
      <c r="H2191" s="432"/>
      <c r="I2191" s="282"/>
      <c r="J2191" s="283"/>
      <c r="K2191" s="265"/>
      <c r="L2191" s="265"/>
      <c r="M2191" s="269"/>
      <c r="N2191" s="270"/>
      <c r="O2191" s="271"/>
      <c r="P2191" s="271"/>
      <c r="Q2191" s="272"/>
      <c r="R2191" s="273"/>
      <c r="S2191" s="273"/>
      <c r="T2191" s="273"/>
      <c r="U2191" s="274"/>
      <c r="V2191" s="263"/>
      <c r="W2191" s="35"/>
      <c r="X2191" s="35"/>
      <c r="Y2191" s="35"/>
      <c r="Z2191" s="35"/>
      <c r="AA2191" s="35"/>
      <c r="AB2191" s="35"/>
      <c r="AC2191" s="35"/>
      <c r="AD2191" s="35"/>
      <c r="AE2191" s="35"/>
      <c r="AF2191" s="35"/>
      <c r="AG2191" s="35"/>
      <c r="AH2191" s="35"/>
      <c r="AI2191" s="35"/>
    </row>
    <row r="2192">
      <c r="A2192" s="263"/>
      <c r="B2192" s="264"/>
      <c r="C2192" s="265"/>
      <c r="D2192" s="265"/>
      <c r="E2192" s="264"/>
      <c r="F2192" s="265"/>
      <c r="G2192" s="263"/>
      <c r="H2192" s="432"/>
      <c r="I2192" s="282"/>
      <c r="J2192" s="283"/>
      <c r="K2192" s="265"/>
      <c r="L2192" s="265"/>
      <c r="M2192" s="269"/>
      <c r="N2192" s="270"/>
      <c r="O2192" s="271"/>
      <c r="P2192" s="271"/>
      <c r="Q2192" s="272"/>
      <c r="R2192" s="273"/>
      <c r="S2192" s="273"/>
      <c r="T2192" s="273"/>
      <c r="U2192" s="274"/>
      <c r="V2192" s="263"/>
      <c r="W2192" s="188"/>
      <c r="X2192" s="188"/>
      <c r="Y2192" s="188"/>
      <c r="Z2192" s="188"/>
      <c r="AA2192" s="188"/>
      <c r="AB2192" s="188"/>
      <c r="AC2192" s="188"/>
      <c r="AD2192" s="188"/>
      <c r="AE2192" s="188"/>
      <c r="AF2192" s="188"/>
      <c r="AG2192" s="188"/>
      <c r="AH2192" s="188"/>
      <c r="AI2192" s="188"/>
    </row>
    <row r="2193">
      <c r="A2193" s="263"/>
      <c r="B2193" s="264"/>
      <c r="C2193" s="265"/>
      <c r="D2193" s="265"/>
      <c r="E2193" s="264"/>
      <c r="F2193" s="265"/>
      <c r="G2193" s="263"/>
      <c r="H2193" s="432"/>
      <c r="I2193" s="282"/>
      <c r="J2193" s="283"/>
      <c r="K2193" s="265"/>
      <c r="L2193" s="265"/>
      <c r="M2193" s="269"/>
      <c r="N2193" s="270"/>
      <c r="O2193" s="271"/>
      <c r="P2193" s="271"/>
      <c r="Q2193" s="272"/>
      <c r="R2193" s="273"/>
      <c r="S2193" s="273"/>
      <c r="T2193" s="273"/>
      <c r="U2193" s="274"/>
      <c r="V2193" s="263"/>
      <c r="W2193" s="188"/>
      <c r="X2193" s="188"/>
      <c r="Y2193" s="188"/>
      <c r="Z2193" s="188"/>
      <c r="AA2193" s="188"/>
      <c r="AB2193" s="188"/>
      <c r="AC2193" s="188"/>
      <c r="AD2193" s="188"/>
      <c r="AE2193" s="188"/>
      <c r="AF2193" s="188"/>
      <c r="AG2193" s="188"/>
      <c r="AH2193" s="188"/>
      <c r="AI2193" s="188"/>
    </row>
    <row r="2194">
      <c r="A2194" s="263"/>
      <c r="B2194" s="264"/>
      <c r="C2194" s="265"/>
      <c r="D2194" s="265"/>
      <c r="E2194" s="264"/>
      <c r="F2194" s="265"/>
      <c r="G2194" s="263"/>
      <c r="H2194" s="432"/>
      <c r="I2194" s="282"/>
      <c r="J2194" s="283"/>
      <c r="K2194" s="265"/>
      <c r="L2194" s="265"/>
      <c r="M2194" s="269"/>
      <c r="N2194" s="270"/>
      <c r="O2194" s="271"/>
      <c r="P2194" s="271"/>
      <c r="Q2194" s="272"/>
      <c r="R2194" s="273"/>
      <c r="S2194" s="273"/>
      <c r="T2194" s="273"/>
      <c r="U2194" s="274"/>
      <c r="V2194" s="263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</row>
    <row r="2195">
      <c r="A2195" s="263"/>
      <c r="B2195" s="264"/>
      <c r="C2195" s="265"/>
      <c r="D2195" s="265"/>
      <c r="E2195" s="264"/>
      <c r="F2195" s="265"/>
      <c r="G2195" s="263"/>
      <c r="H2195" s="432"/>
      <c r="I2195" s="282"/>
      <c r="J2195" s="283"/>
      <c r="K2195" s="265"/>
      <c r="L2195" s="265"/>
      <c r="M2195" s="269"/>
      <c r="N2195" s="270"/>
      <c r="O2195" s="271"/>
      <c r="P2195" s="271"/>
      <c r="Q2195" s="272"/>
      <c r="R2195" s="273"/>
      <c r="S2195" s="273"/>
      <c r="T2195" s="273"/>
      <c r="U2195" s="274"/>
      <c r="V2195" s="263"/>
      <c r="W2195" s="188"/>
      <c r="X2195" s="188"/>
      <c r="Y2195" s="188"/>
      <c r="Z2195" s="188"/>
      <c r="AA2195" s="188"/>
      <c r="AB2195" s="188"/>
      <c r="AC2195" s="188"/>
      <c r="AD2195" s="188"/>
      <c r="AE2195" s="188"/>
      <c r="AF2195" s="188"/>
      <c r="AG2195" s="188"/>
      <c r="AH2195" s="188"/>
      <c r="AI2195" s="188"/>
    </row>
    <row r="2196">
      <c r="A2196" s="263"/>
      <c r="B2196" s="264"/>
      <c r="C2196" s="265"/>
      <c r="D2196" s="265"/>
      <c r="E2196" s="264"/>
      <c r="F2196" s="265"/>
      <c r="G2196" s="263"/>
      <c r="H2196" s="432"/>
      <c r="I2196" s="282"/>
      <c r="J2196" s="283"/>
      <c r="K2196" s="265"/>
      <c r="L2196" s="265"/>
      <c r="M2196" s="269"/>
      <c r="N2196" s="270"/>
      <c r="O2196" s="271"/>
      <c r="P2196" s="271"/>
      <c r="Q2196" s="272"/>
      <c r="R2196" s="273"/>
      <c r="S2196" s="273"/>
      <c r="T2196" s="273"/>
      <c r="U2196" s="274"/>
      <c r="V2196" s="263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</row>
    <row r="2197">
      <c r="A2197" s="263"/>
      <c r="B2197" s="264"/>
      <c r="C2197" s="265"/>
      <c r="D2197" s="265"/>
      <c r="E2197" s="264"/>
      <c r="F2197" s="265"/>
      <c r="G2197" s="263"/>
      <c r="H2197" s="432"/>
      <c r="I2197" s="282"/>
      <c r="J2197" s="283"/>
      <c r="K2197" s="265"/>
      <c r="L2197" s="265"/>
      <c r="M2197" s="269"/>
      <c r="N2197" s="270"/>
      <c r="O2197" s="271"/>
      <c r="P2197" s="271"/>
      <c r="Q2197" s="272"/>
      <c r="R2197" s="273"/>
      <c r="S2197" s="273"/>
      <c r="T2197" s="273"/>
      <c r="U2197" s="274"/>
      <c r="V2197" s="263"/>
      <c r="W2197" s="35"/>
      <c r="X2197" s="35"/>
      <c r="Y2197" s="35"/>
      <c r="Z2197" s="35"/>
      <c r="AA2197" s="35"/>
      <c r="AB2197" s="35"/>
      <c r="AC2197" s="35"/>
      <c r="AD2197" s="35"/>
      <c r="AE2197" s="35"/>
      <c r="AF2197" s="35"/>
      <c r="AG2197" s="35"/>
      <c r="AH2197" s="35"/>
      <c r="AI2197" s="35"/>
    </row>
    <row r="2198">
      <c r="A2198" s="263"/>
      <c r="B2198" s="264"/>
      <c r="C2198" s="265"/>
      <c r="D2198" s="265"/>
      <c r="E2198" s="264"/>
      <c r="F2198" s="265"/>
      <c r="G2198" s="263"/>
      <c r="H2198" s="432"/>
      <c r="I2198" s="282"/>
      <c r="J2198" s="283"/>
      <c r="K2198" s="265"/>
      <c r="L2198" s="265"/>
      <c r="M2198" s="269"/>
      <c r="N2198" s="270"/>
      <c r="O2198" s="271"/>
      <c r="P2198" s="271"/>
      <c r="Q2198" s="272"/>
      <c r="R2198" s="273"/>
      <c r="S2198" s="273"/>
      <c r="T2198" s="273"/>
      <c r="U2198" s="274"/>
      <c r="V2198" s="263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</row>
    <row r="2199">
      <c r="A2199" s="263"/>
      <c r="B2199" s="264"/>
      <c r="C2199" s="265"/>
      <c r="D2199" s="265"/>
      <c r="E2199" s="264"/>
      <c r="F2199" s="265"/>
      <c r="G2199" s="263"/>
      <c r="H2199" s="432"/>
      <c r="I2199" s="282"/>
      <c r="J2199" s="283"/>
      <c r="K2199" s="265"/>
      <c r="L2199" s="265"/>
      <c r="M2199" s="269"/>
      <c r="N2199" s="270"/>
      <c r="O2199" s="271"/>
      <c r="P2199" s="271"/>
      <c r="Q2199" s="272"/>
      <c r="R2199" s="273"/>
      <c r="S2199" s="273"/>
      <c r="T2199" s="273"/>
      <c r="U2199" s="274"/>
      <c r="V2199" s="263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</row>
    <row r="2200">
      <c r="A2200" s="263"/>
      <c r="B2200" s="264"/>
      <c r="C2200" s="265"/>
      <c r="D2200" s="265"/>
      <c r="E2200" s="264"/>
      <c r="F2200" s="265"/>
      <c r="G2200" s="263"/>
      <c r="H2200" s="432"/>
      <c r="I2200" s="282"/>
      <c r="J2200" s="283"/>
      <c r="K2200" s="265"/>
      <c r="L2200" s="265"/>
      <c r="M2200" s="269"/>
      <c r="N2200" s="270"/>
      <c r="O2200" s="271"/>
      <c r="P2200" s="271"/>
      <c r="Q2200" s="272"/>
      <c r="R2200" s="273"/>
      <c r="S2200" s="273"/>
      <c r="T2200" s="273"/>
      <c r="U2200" s="274"/>
      <c r="V2200" s="263"/>
      <c r="W2200" s="188"/>
      <c r="X2200" s="188"/>
      <c r="Y2200" s="188"/>
      <c r="Z2200" s="188"/>
      <c r="AA2200" s="188"/>
      <c r="AB2200" s="188"/>
      <c r="AC2200" s="188"/>
      <c r="AD2200" s="188"/>
      <c r="AE2200" s="188"/>
      <c r="AF2200" s="188"/>
      <c r="AG2200" s="188"/>
      <c r="AH2200" s="188"/>
      <c r="AI2200" s="188"/>
    </row>
    <row r="2201">
      <c r="A2201" s="263"/>
      <c r="B2201" s="264"/>
      <c r="C2201" s="265"/>
      <c r="D2201" s="265"/>
      <c r="E2201" s="264"/>
      <c r="F2201" s="265"/>
      <c r="G2201" s="263"/>
      <c r="H2201" s="432"/>
      <c r="I2201" s="282"/>
      <c r="J2201" s="283"/>
      <c r="K2201" s="265"/>
      <c r="L2201" s="265"/>
      <c r="M2201" s="269"/>
      <c r="N2201" s="270"/>
      <c r="O2201" s="271"/>
      <c r="P2201" s="271"/>
      <c r="Q2201" s="272"/>
      <c r="R2201" s="273"/>
      <c r="S2201" s="273"/>
      <c r="T2201" s="273"/>
      <c r="U2201" s="274"/>
      <c r="V2201" s="263"/>
      <c r="W2201" s="188"/>
      <c r="X2201" s="188"/>
      <c r="Y2201" s="188"/>
      <c r="Z2201" s="188"/>
      <c r="AA2201" s="188"/>
      <c r="AB2201" s="188"/>
      <c r="AC2201" s="188"/>
      <c r="AD2201" s="188"/>
      <c r="AE2201" s="188"/>
      <c r="AF2201" s="188"/>
      <c r="AG2201" s="188"/>
      <c r="AH2201" s="188"/>
      <c r="AI2201" s="188"/>
    </row>
    <row r="2202">
      <c r="A2202" s="263"/>
      <c r="B2202" s="264"/>
      <c r="C2202" s="265"/>
      <c r="D2202" s="265"/>
      <c r="E2202" s="264"/>
      <c r="F2202" s="265"/>
      <c r="G2202" s="263"/>
      <c r="H2202" s="432"/>
      <c r="I2202" s="282"/>
      <c r="J2202" s="283"/>
      <c r="K2202" s="265"/>
      <c r="L2202" s="265"/>
      <c r="M2202" s="269"/>
      <c r="N2202" s="270"/>
      <c r="O2202" s="271"/>
      <c r="P2202" s="271"/>
      <c r="Q2202" s="272"/>
      <c r="R2202" s="273"/>
      <c r="S2202" s="273"/>
      <c r="T2202" s="273"/>
      <c r="U2202" s="274"/>
      <c r="V2202" s="263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</row>
    <row r="2203">
      <c r="A2203" s="263"/>
      <c r="B2203" s="264"/>
      <c r="C2203" s="265"/>
      <c r="D2203" s="265"/>
      <c r="E2203" s="264"/>
      <c r="F2203" s="265"/>
      <c r="G2203" s="263"/>
      <c r="H2203" s="432"/>
      <c r="I2203" s="282"/>
      <c r="J2203" s="283"/>
      <c r="K2203" s="265"/>
      <c r="L2203" s="265"/>
      <c r="M2203" s="269"/>
      <c r="N2203" s="270"/>
      <c r="O2203" s="271"/>
      <c r="P2203" s="271"/>
      <c r="Q2203" s="272"/>
      <c r="R2203" s="273"/>
      <c r="S2203" s="273"/>
      <c r="T2203" s="273"/>
      <c r="U2203" s="274"/>
      <c r="V2203" s="263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</row>
    <row r="2204">
      <c r="A2204" s="263"/>
      <c r="B2204" s="264"/>
      <c r="C2204" s="265"/>
      <c r="D2204" s="265"/>
      <c r="E2204" s="264"/>
      <c r="F2204" s="265"/>
      <c r="G2204" s="263"/>
      <c r="H2204" s="432"/>
      <c r="I2204" s="282"/>
      <c r="J2204" s="283"/>
      <c r="K2204" s="265"/>
      <c r="L2204" s="265"/>
      <c r="M2204" s="269"/>
      <c r="N2204" s="270"/>
      <c r="O2204" s="271"/>
      <c r="P2204" s="271"/>
      <c r="Q2204" s="272"/>
      <c r="R2204" s="273"/>
      <c r="S2204" s="273"/>
      <c r="T2204" s="273"/>
      <c r="U2204" s="274"/>
      <c r="V2204" s="263"/>
      <c r="W2204" s="188"/>
      <c r="X2204" s="188"/>
      <c r="Y2204" s="188"/>
      <c r="Z2204" s="188"/>
      <c r="AA2204" s="188"/>
      <c r="AB2204" s="188"/>
      <c r="AC2204" s="188"/>
      <c r="AD2204" s="188"/>
      <c r="AE2204" s="188"/>
      <c r="AF2204" s="188"/>
      <c r="AG2204" s="188"/>
      <c r="AH2204" s="188"/>
      <c r="AI2204" s="188"/>
    </row>
    <row r="2205">
      <c r="A2205" s="263"/>
      <c r="B2205" s="264"/>
      <c r="C2205" s="265"/>
      <c r="D2205" s="265"/>
      <c r="E2205" s="264"/>
      <c r="F2205" s="265"/>
      <c r="G2205" s="263"/>
      <c r="H2205" s="432"/>
      <c r="I2205" s="282"/>
      <c r="J2205" s="283"/>
      <c r="K2205" s="265"/>
      <c r="L2205" s="265"/>
      <c r="M2205" s="269"/>
      <c r="N2205" s="270"/>
      <c r="O2205" s="271"/>
      <c r="P2205" s="271"/>
      <c r="Q2205" s="272"/>
      <c r="R2205" s="273"/>
      <c r="S2205" s="273"/>
      <c r="T2205" s="273"/>
      <c r="U2205" s="274"/>
      <c r="V2205" s="263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</row>
    <row r="2206">
      <c r="A2206" s="263"/>
      <c r="B2206" s="264"/>
      <c r="C2206" s="265"/>
      <c r="D2206" s="265"/>
      <c r="E2206" s="264"/>
      <c r="F2206" s="265"/>
      <c r="G2206" s="263"/>
      <c r="H2206" s="432"/>
      <c r="I2206" s="282"/>
      <c r="J2206" s="283"/>
      <c r="K2206" s="265"/>
      <c r="L2206" s="265"/>
      <c r="M2206" s="269"/>
      <c r="N2206" s="270"/>
      <c r="O2206" s="271"/>
      <c r="P2206" s="271"/>
      <c r="Q2206" s="272"/>
      <c r="R2206" s="273"/>
      <c r="S2206" s="273"/>
      <c r="T2206" s="273"/>
      <c r="U2206" s="274"/>
      <c r="V2206" s="263"/>
      <c r="W2206" s="188"/>
      <c r="X2206" s="188"/>
      <c r="Y2206" s="188"/>
      <c r="Z2206" s="188"/>
      <c r="AA2206" s="188"/>
      <c r="AB2206" s="188"/>
      <c r="AC2206" s="188"/>
      <c r="AD2206" s="188"/>
      <c r="AE2206" s="188"/>
      <c r="AF2206" s="188"/>
      <c r="AG2206" s="188"/>
      <c r="AH2206" s="188"/>
      <c r="AI2206" s="188"/>
    </row>
    <row r="2207">
      <c r="A2207" s="263"/>
      <c r="B2207" s="264"/>
      <c r="C2207" s="265"/>
      <c r="D2207" s="265"/>
      <c r="E2207" s="264"/>
      <c r="F2207" s="265"/>
      <c r="G2207" s="263"/>
      <c r="H2207" s="432"/>
      <c r="I2207" s="282"/>
      <c r="J2207" s="283"/>
      <c r="K2207" s="265"/>
      <c r="L2207" s="265"/>
      <c r="M2207" s="269"/>
      <c r="N2207" s="270"/>
      <c r="O2207" s="271"/>
      <c r="P2207" s="271"/>
      <c r="Q2207" s="272"/>
      <c r="R2207" s="273"/>
      <c r="S2207" s="273"/>
      <c r="T2207" s="273"/>
      <c r="U2207" s="274"/>
      <c r="V2207" s="263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</row>
    <row r="2208">
      <c r="A2208" s="263"/>
      <c r="B2208" s="264"/>
      <c r="C2208" s="265"/>
      <c r="D2208" s="265"/>
      <c r="E2208" s="264"/>
      <c r="F2208" s="265"/>
      <c r="G2208" s="263"/>
      <c r="H2208" s="432"/>
      <c r="I2208" s="282"/>
      <c r="J2208" s="283"/>
      <c r="K2208" s="265"/>
      <c r="L2208" s="265"/>
      <c r="M2208" s="269"/>
      <c r="N2208" s="270"/>
      <c r="O2208" s="271"/>
      <c r="P2208" s="271"/>
      <c r="Q2208" s="272"/>
      <c r="R2208" s="273"/>
      <c r="S2208" s="273"/>
      <c r="T2208" s="273"/>
      <c r="U2208" s="274"/>
      <c r="V2208" s="263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</row>
    <row r="2209">
      <c r="A2209" s="263"/>
      <c r="B2209" s="264"/>
      <c r="C2209" s="265"/>
      <c r="D2209" s="265"/>
      <c r="E2209" s="264"/>
      <c r="F2209" s="265"/>
      <c r="G2209" s="263"/>
      <c r="H2209" s="432"/>
      <c r="I2209" s="282"/>
      <c r="J2209" s="283"/>
      <c r="K2209" s="265"/>
      <c r="L2209" s="265"/>
      <c r="M2209" s="269"/>
      <c r="N2209" s="270"/>
      <c r="O2209" s="271"/>
      <c r="P2209" s="271"/>
      <c r="Q2209" s="272"/>
      <c r="R2209" s="273"/>
      <c r="S2209" s="273"/>
      <c r="T2209" s="273"/>
      <c r="U2209" s="274"/>
      <c r="V2209" s="263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</row>
    <row r="2210">
      <c r="A2210" s="263"/>
      <c r="B2210" s="264"/>
      <c r="C2210" s="265"/>
      <c r="D2210" s="265"/>
      <c r="E2210" s="264"/>
      <c r="F2210" s="265"/>
      <c r="G2210" s="263"/>
      <c r="H2210" s="432"/>
      <c r="I2210" s="282"/>
      <c r="J2210" s="283"/>
      <c r="K2210" s="265"/>
      <c r="L2210" s="265"/>
      <c r="M2210" s="269"/>
      <c r="N2210" s="270"/>
      <c r="O2210" s="271"/>
      <c r="P2210" s="271"/>
      <c r="Q2210" s="272"/>
      <c r="R2210" s="273"/>
      <c r="S2210" s="273"/>
      <c r="T2210" s="273"/>
      <c r="U2210" s="274"/>
      <c r="V2210" s="263"/>
      <c r="W2210" s="35"/>
      <c r="X2210" s="35"/>
      <c r="Y2210" s="35"/>
      <c r="Z2210" s="35"/>
      <c r="AA2210" s="35"/>
      <c r="AB2210" s="35"/>
      <c r="AC2210" s="35"/>
      <c r="AD2210" s="35"/>
      <c r="AE2210" s="35"/>
      <c r="AF2210" s="35"/>
      <c r="AG2210" s="35"/>
      <c r="AH2210" s="35"/>
      <c r="AI2210" s="35"/>
    </row>
    <row r="2211">
      <c r="A2211" s="263"/>
      <c r="B2211" s="264"/>
      <c r="C2211" s="265"/>
      <c r="D2211" s="265"/>
      <c r="E2211" s="264"/>
      <c r="F2211" s="265"/>
      <c r="G2211" s="263"/>
      <c r="H2211" s="432"/>
      <c r="I2211" s="282"/>
      <c r="J2211" s="283"/>
      <c r="K2211" s="265"/>
      <c r="L2211" s="265"/>
      <c r="M2211" s="269"/>
      <c r="N2211" s="270"/>
      <c r="O2211" s="271"/>
      <c r="P2211" s="271"/>
      <c r="Q2211" s="272"/>
      <c r="R2211" s="273"/>
      <c r="S2211" s="273"/>
      <c r="T2211" s="273"/>
      <c r="U2211" s="274"/>
      <c r="V2211" s="263"/>
      <c r="W2211" s="35"/>
      <c r="X2211" s="35"/>
      <c r="Y2211" s="35"/>
      <c r="Z2211" s="35"/>
      <c r="AA2211" s="35"/>
      <c r="AB2211" s="35"/>
      <c r="AC2211" s="35"/>
      <c r="AD2211" s="35"/>
      <c r="AE2211" s="35"/>
      <c r="AF2211" s="35"/>
      <c r="AG2211" s="35"/>
      <c r="AH2211" s="35"/>
      <c r="AI2211" s="35"/>
    </row>
    <row r="2212">
      <c r="A2212" s="263"/>
      <c r="B2212" s="264"/>
      <c r="C2212" s="265"/>
      <c r="D2212" s="265"/>
      <c r="E2212" s="264"/>
      <c r="F2212" s="265"/>
      <c r="G2212" s="263"/>
      <c r="H2212" s="432"/>
      <c r="I2212" s="282"/>
      <c r="J2212" s="283"/>
      <c r="K2212" s="265"/>
      <c r="L2212" s="265"/>
      <c r="M2212" s="269"/>
      <c r="N2212" s="270"/>
      <c r="O2212" s="271"/>
      <c r="P2212" s="271"/>
      <c r="Q2212" s="272"/>
      <c r="R2212" s="273"/>
      <c r="S2212" s="273"/>
      <c r="T2212" s="273"/>
      <c r="U2212" s="274"/>
      <c r="V2212" s="263"/>
      <c r="W2212" s="188"/>
      <c r="X2212" s="188"/>
      <c r="Y2212" s="188"/>
      <c r="Z2212" s="188"/>
      <c r="AA2212" s="188"/>
      <c r="AB2212" s="188"/>
      <c r="AC2212" s="188"/>
      <c r="AD2212" s="188"/>
      <c r="AE2212" s="188"/>
      <c r="AF2212" s="188"/>
      <c r="AG2212" s="188"/>
      <c r="AH2212" s="188"/>
      <c r="AI2212" s="188"/>
    </row>
    <row r="2213">
      <c r="A2213" s="263"/>
      <c r="B2213" s="264"/>
      <c r="C2213" s="265"/>
      <c r="D2213" s="265"/>
      <c r="E2213" s="264"/>
      <c r="F2213" s="265"/>
      <c r="G2213" s="263"/>
      <c r="H2213" s="432"/>
      <c r="I2213" s="282"/>
      <c r="J2213" s="283"/>
      <c r="K2213" s="265"/>
      <c r="L2213" s="265"/>
      <c r="M2213" s="269"/>
      <c r="N2213" s="270"/>
      <c r="O2213" s="271"/>
      <c r="P2213" s="271"/>
      <c r="Q2213" s="272"/>
      <c r="R2213" s="273"/>
      <c r="S2213" s="273"/>
      <c r="T2213" s="273"/>
      <c r="U2213" s="274"/>
      <c r="V2213" s="263"/>
      <c r="W2213" s="36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</row>
    <row r="2214">
      <c r="A2214" s="263"/>
      <c r="B2214" s="264"/>
      <c r="C2214" s="265"/>
      <c r="D2214" s="265"/>
      <c r="E2214" s="264"/>
      <c r="F2214" s="265"/>
      <c r="G2214" s="263"/>
      <c r="H2214" s="432"/>
      <c r="I2214" s="282"/>
      <c r="J2214" s="283"/>
      <c r="K2214" s="265"/>
      <c r="L2214" s="265"/>
      <c r="M2214" s="269"/>
      <c r="N2214" s="270"/>
      <c r="O2214" s="271"/>
      <c r="P2214" s="271"/>
      <c r="Q2214" s="272"/>
      <c r="R2214" s="273"/>
      <c r="S2214" s="273"/>
      <c r="T2214" s="273"/>
      <c r="U2214" s="274"/>
      <c r="V2214" s="263"/>
      <c r="W2214" s="35"/>
      <c r="X2214" s="35"/>
      <c r="Y2214" s="35"/>
      <c r="Z2214" s="35"/>
      <c r="AA2214" s="35"/>
      <c r="AB2214" s="35"/>
      <c r="AC2214" s="35"/>
      <c r="AD2214" s="35"/>
      <c r="AE2214" s="35"/>
      <c r="AF2214" s="35"/>
      <c r="AG2214" s="35"/>
      <c r="AH2214" s="35"/>
      <c r="AI2214" s="35"/>
    </row>
    <row r="2215">
      <c r="A2215" s="263"/>
      <c r="B2215" s="264"/>
      <c r="C2215" s="265"/>
      <c r="D2215" s="265"/>
      <c r="E2215" s="264"/>
      <c r="F2215" s="265"/>
      <c r="G2215" s="263"/>
      <c r="H2215" s="432"/>
      <c r="I2215" s="282"/>
      <c r="J2215" s="283"/>
      <c r="K2215" s="265"/>
      <c r="L2215" s="265"/>
      <c r="M2215" s="269"/>
      <c r="N2215" s="270"/>
      <c r="O2215" s="271"/>
      <c r="P2215" s="271"/>
      <c r="Q2215" s="272"/>
      <c r="R2215" s="273"/>
      <c r="S2215" s="273"/>
      <c r="T2215" s="273"/>
      <c r="U2215" s="274"/>
      <c r="V2215" s="263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</row>
    <row r="2216">
      <c r="A2216" s="263"/>
      <c r="B2216" s="264"/>
      <c r="C2216" s="265"/>
      <c r="D2216" s="265"/>
      <c r="E2216" s="264"/>
      <c r="F2216" s="265"/>
      <c r="G2216" s="263"/>
      <c r="H2216" s="432"/>
      <c r="I2216" s="282"/>
      <c r="J2216" s="283"/>
      <c r="K2216" s="265"/>
      <c r="L2216" s="265"/>
      <c r="M2216" s="269"/>
      <c r="N2216" s="270"/>
      <c r="O2216" s="271"/>
      <c r="P2216" s="271"/>
      <c r="Q2216" s="272"/>
      <c r="R2216" s="273"/>
      <c r="S2216" s="273"/>
      <c r="T2216" s="273"/>
      <c r="U2216" s="274"/>
      <c r="V2216" s="263"/>
      <c r="W2216" s="35"/>
      <c r="X2216" s="35"/>
      <c r="Y2216" s="35"/>
      <c r="Z2216" s="35"/>
      <c r="AA2216" s="35"/>
      <c r="AB2216" s="35"/>
      <c r="AC2216" s="35"/>
      <c r="AD2216" s="35"/>
      <c r="AE2216" s="35"/>
      <c r="AF2216" s="35"/>
      <c r="AG2216" s="35"/>
      <c r="AH2216" s="35"/>
      <c r="AI2216" s="35"/>
    </row>
    <row r="2217">
      <c r="A2217" s="263"/>
      <c r="B2217" s="264"/>
      <c r="C2217" s="265"/>
      <c r="D2217" s="265"/>
      <c r="E2217" s="264"/>
      <c r="F2217" s="265"/>
      <c r="G2217" s="263"/>
      <c r="H2217" s="432"/>
      <c r="I2217" s="282"/>
      <c r="J2217" s="283"/>
      <c r="K2217" s="265"/>
      <c r="L2217" s="265"/>
      <c r="M2217" s="269"/>
      <c r="N2217" s="270"/>
      <c r="O2217" s="271"/>
      <c r="P2217" s="271"/>
      <c r="Q2217" s="272"/>
      <c r="R2217" s="273"/>
      <c r="S2217" s="273"/>
      <c r="T2217" s="273"/>
      <c r="U2217" s="274"/>
      <c r="V2217" s="263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</row>
    <row r="2218">
      <c r="A2218" s="263"/>
      <c r="B2218" s="264"/>
      <c r="C2218" s="265"/>
      <c r="D2218" s="265"/>
      <c r="E2218" s="264"/>
      <c r="F2218" s="265"/>
      <c r="G2218" s="263"/>
      <c r="H2218" s="432"/>
      <c r="I2218" s="282"/>
      <c r="J2218" s="283"/>
      <c r="K2218" s="265"/>
      <c r="L2218" s="265"/>
      <c r="M2218" s="269"/>
      <c r="N2218" s="270"/>
      <c r="O2218" s="271"/>
      <c r="P2218" s="271"/>
      <c r="Q2218" s="272"/>
      <c r="R2218" s="273"/>
      <c r="S2218" s="273"/>
      <c r="T2218" s="273"/>
      <c r="U2218" s="274"/>
      <c r="V2218" s="263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</row>
    <row r="2219">
      <c r="A2219" s="263"/>
      <c r="B2219" s="264"/>
      <c r="C2219" s="265"/>
      <c r="D2219" s="265"/>
      <c r="E2219" s="264"/>
      <c r="F2219" s="265"/>
      <c r="G2219" s="263"/>
      <c r="H2219" s="432"/>
      <c r="I2219" s="282"/>
      <c r="J2219" s="283"/>
      <c r="K2219" s="265"/>
      <c r="L2219" s="265"/>
      <c r="M2219" s="269"/>
      <c r="N2219" s="270"/>
      <c r="O2219" s="271"/>
      <c r="P2219" s="271"/>
      <c r="Q2219" s="272"/>
      <c r="R2219" s="273"/>
      <c r="S2219" s="273"/>
      <c r="T2219" s="273"/>
      <c r="U2219" s="274"/>
      <c r="V2219" s="263"/>
      <c r="W2219" s="35"/>
      <c r="X2219" s="35"/>
      <c r="Y2219" s="35"/>
      <c r="Z2219" s="35"/>
      <c r="AA2219" s="35"/>
      <c r="AB2219" s="35"/>
      <c r="AC2219" s="35"/>
      <c r="AD2219" s="35"/>
      <c r="AE2219" s="35"/>
      <c r="AF2219" s="35"/>
      <c r="AG2219" s="35"/>
      <c r="AH2219" s="35"/>
      <c r="AI2219" s="35"/>
    </row>
    <row r="2220">
      <c r="A2220" s="263"/>
      <c r="B2220" s="264"/>
      <c r="C2220" s="265"/>
      <c r="D2220" s="265"/>
      <c r="E2220" s="264"/>
      <c r="F2220" s="265"/>
      <c r="G2220" s="263"/>
      <c r="H2220" s="432"/>
      <c r="I2220" s="282"/>
      <c r="J2220" s="283"/>
      <c r="K2220" s="265"/>
      <c r="L2220" s="265"/>
      <c r="M2220" s="269"/>
      <c r="N2220" s="270"/>
      <c r="O2220" s="271"/>
      <c r="P2220" s="271"/>
      <c r="Q2220" s="272"/>
      <c r="R2220" s="273"/>
      <c r="S2220" s="273"/>
      <c r="T2220" s="273"/>
      <c r="U2220" s="274"/>
      <c r="V2220" s="263"/>
      <c r="W2220" s="35"/>
      <c r="X2220" s="35"/>
      <c r="Y2220" s="35"/>
      <c r="Z2220" s="35"/>
      <c r="AA2220" s="35"/>
      <c r="AB2220" s="35"/>
      <c r="AC2220" s="35"/>
      <c r="AD2220" s="35"/>
      <c r="AE2220" s="35"/>
      <c r="AF2220" s="35"/>
      <c r="AG2220" s="35"/>
      <c r="AH2220" s="35"/>
      <c r="AI2220" s="35"/>
    </row>
    <row r="2221">
      <c r="A2221" s="263"/>
      <c r="B2221" s="264"/>
      <c r="C2221" s="265"/>
      <c r="D2221" s="265"/>
      <c r="E2221" s="264"/>
      <c r="F2221" s="265"/>
      <c r="G2221" s="263"/>
      <c r="H2221" s="432"/>
      <c r="I2221" s="282"/>
      <c r="J2221" s="283"/>
      <c r="K2221" s="265"/>
      <c r="L2221" s="265"/>
      <c r="M2221" s="269"/>
      <c r="N2221" s="270"/>
      <c r="O2221" s="271"/>
      <c r="P2221" s="271"/>
      <c r="Q2221" s="272"/>
      <c r="R2221" s="273"/>
      <c r="S2221" s="273"/>
      <c r="T2221" s="273"/>
      <c r="U2221" s="274"/>
      <c r="V2221" s="263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</row>
    <row r="2222">
      <c r="A2222" s="263"/>
      <c r="B2222" s="264"/>
      <c r="C2222" s="265"/>
      <c r="D2222" s="265"/>
      <c r="E2222" s="264"/>
      <c r="F2222" s="265"/>
      <c r="G2222" s="263"/>
      <c r="H2222" s="432"/>
      <c r="I2222" s="282"/>
      <c r="J2222" s="283"/>
      <c r="K2222" s="265"/>
      <c r="L2222" s="265"/>
      <c r="M2222" s="269"/>
      <c r="N2222" s="270"/>
      <c r="O2222" s="271"/>
      <c r="P2222" s="271"/>
      <c r="Q2222" s="272"/>
      <c r="R2222" s="273"/>
      <c r="S2222" s="273"/>
      <c r="T2222" s="273"/>
      <c r="U2222" s="274"/>
      <c r="V2222" s="263"/>
      <c r="W2222" s="35"/>
      <c r="X2222" s="35"/>
      <c r="Y2222" s="35"/>
      <c r="Z2222" s="35"/>
      <c r="AA2222" s="35"/>
      <c r="AB2222" s="35"/>
      <c r="AC2222" s="35"/>
      <c r="AD2222" s="35"/>
      <c r="AE2222" s="35"/>
      <c r="AF2222" s="35"/>
      <c r="AG2222" s="35"/>
      <c r="AH2222" s="35"/>
      <c r="AI2222" s="35"/>
    </row>
    <row r="2223">
      <c r="A2223" s="263"/>
      <c r="B2223" s="264"/>
      <c r="C2223" s="265"/>
      <c r="D2223" s="265"/>
      <c r="E2223" s="264"/>
      <c r="F2223" s="265"/>
      <c r="G2223" s="263"/>
      <c r="H2223" s="432"/>
      <c r="I2223" s="282"/>
      <c r="J2223" s="283"/>
      <c r="K2223" s="265"/>
      <c r="L2223" s="265"/>
      <c r="M2223" s="269"/>
      <c r="N2223" s="270"/>
      <c r="O2223" s="271"/>
      <c r="P2223" s="271"/>
      <c r="Q2223" s="272"/>
      <c r="R2223" s="273"/>
      <c r="S2223" s="273"/>
      <c r="T2223" s="273"/>
      <c r="U2223" s="274"/>
      <c r="V2223" s="263"/>
      <c r="W2223" s="35"/>
      <c r="X2223" s="35"/>
      <c r="Y2223" s="35"/>
      <c r="Z2223" s="35"/>
      <c r="AA2223" s="35"/>
      <c r="AB2223" s="35"/>
      <c r="AC2223" s="35"/>
      <c r="AD2223" s="35"/>
      <c r="AE2223" s="35"/>
      <c r="AF2223" s="35"/>
      <c r="AG2223" s="35"/>
      <c r="AH2223" s="35"/>
      <c r="AI2223" s="35"/>
    </row>
    <row r="2224">
      <c r="A2224" s="263"/>
      <c r="B2224" s="264"/>
      <c r="C2224" s="265"/>
      <c r="D2224" s="265"/>
      <c r="E2224" s="264"/>
      <c r="F2224" s="265"/>
      <c r="G2224" s="263"/>
      <c r="H2224" s="432"/>
      <c r="I2224" s="282"/>
      <c r="J2224" s="283"/>
      <c r="K2224" s="265"/>
      <c r="L2224" s="265"/>
      <c r="M2224" s="269"/>
      <c r="N2224" s="270"/>
      <c r="O2224" s="271"/>
      <c r="P2224" s="271"/>
      <c r="Q2224" s="272"/>
      <c r="R2224" s="273"/>
      <c r="S2224" s="273"/>
      <c r="T2224" s="273"/>
      <c r="U2224" s="274"/>
      <c r="V2224" s="263"/>
      <c r="W2224" s="188"/>
      <c r="X2224" s="188"/>
      <c r="Y2224" s="188"/>
      <c r="Z2224" s="188"/>
      <c r="AA2224" s="188"/>
      <c r="AB2224" s="188"/>
      <c r="AC2224" s="188"/>
      <c r="AD2224" s="188"/>
      <c r="AE2224" s="188"/>
      <c r="AF2224" s="188"/>
      <c r="AG2224" s="188"/>
      <c r="AH2224" s="188"/>
      <c r="AI2224" s="188"/>
    </row>
    <row r="2225">
      <c r="A2225" s="263"/>
      <c r="B2225" s="264"/>
      <c r="C2225" s="265"/>
      <c r="D2225" s="265"/>
      <c r="E2225" s="264"/>
      <c r="F2225" s="265"/>
      <c r="G2225" s="263"/>
      <c r="H2225" s="432"/>
      <c r="I2225" s="282"/>
      <c r="J2225" s="283"/>
      <c r="K2225" s="265"/>
      <c r="L2225" s="265"/>
      <c r="M2225" s="269"/>
      <c r="N2225" s="270"/>
      <c r="O2225" s="271"/>
      <c r="P2225" s="271"/>
      <c r="Q2225" s="272"/>
      <c r="R2225" s="273"/>
      <c r="S2225" s="273"/>
      <c r="T2225" s="273"/>
      <c r="U2225" s="274"/>
      <c r="V2225" s="263"/>
      <c r="W2225" s="188"/>
      <c r="X2225" s="188"/>
      <c r="Y2225" s="188"/>
      <c r="Z2225" s="188"/>
      <c r="AA2225" s="188"/>
      <c r="AB2225" s="188"/>
      <c r="AC2225" s="188"/>
      <c r="AD2225" s="188"/>
      <c r="AE2225" s="188"/>
      <c r="AF2225" s="188"/>
      <c r="AG2225" s="188"/>
      <c r="AH2225" s="188"/>
      <c r="AI2225" s="188"/>
    </row>
    <row r="2226">
      <c r="A2226" s="263"/>
      <c r="B2226" s="264"/>
      <c r="C2226" s="265"/>
      <c r="D2226" s="265"/>
      <c r="E2226" s="264"/>
      <c r="F2226" s="265"/>
      <c r="G2226" s="263"/>
      <c r="H2226" s="432"/>
      <c r="I2226" s="282"/>
      <c r="J2226" s="283"/>
      <c r="K2226" s="265"/>
      <c r="L2226" s="265"/>
      <c r="M2226" s="269"/>
      <c r="N2226" s="270"/>
      <c r="O2226" s="271"/>
      <c r="P2226" s="271"/>
      <c r="Q2226" s="272"/>
      <c r="R2226" s="273"/>
      <c r="S2226" s="273"/>
      <c r="T2226" s="273"/>
      <c r="U2226" s="274"/>
      <c r="V2226" s="263"/>
      <c r="W2226" s="35"/>
      <c r="X2226" s="35"/>
      <c r="Y2226" s="35"/>
      <c r="Z2226" s="35"/>
      <c r="AA2226" s="35"/>
      <c r="AB2226" s="35"/>
      <c r="AC2226" s="35"/>
      <c r="AD2226" s="35"/>
      <c r="AE2226" s="35"/>
      <c r="AF2226" s="35"/>
      <c r="AG2226" s="35"/>
      <c r="AH2226" s="35"/>
      <c r="AI2226" s="35"/>
    </row>
    <row r="2227">
      <c r="A2227" s="263"/>
      <c r="B2227" s="264"/>
      <c r="C2227" s="265"/>
      <c r="D2227" s="265"/>
      <c r="E2227" s="264"/>
      <c r="F2227" s="265"/>
      <c r="G2227" s="263"/>
      <c r="H2227" s="432"/>
      <c r="I2227" s="282"/>
      <c r="J2227" s="283"/>
      <c r="K2227" s="265"/>
      <c r="L2227" s="265"/>
      <c r="M2227" s="269"/>
      <c r="N2227" s="270"/>
      <c r="O2227" s="271"/>
      <c r="P2227" s="271"/>
      <c r="Q2227" s="272"/>
      <c r="R2227" s="273"/>
      <c r="S2227" s="273"/>
      <c r="T2227" s="273"/>
      <c r="U2227" s="274"/>
      <c r="V2227" s="263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</row>
    <row r="2228">
      <c r="A2228" s="263"/>
      <c r="B2228" s="264"/>
      <c r="C2228" s="265"/>
      <c r="D2228" s="265"/>
      <c r="E2228" s="264"/>
      <c r="F2228" s="265"/>
      <c r="G2228" s="263"/>
      <c r="H2228" s="432"/>
      <c r="I2228" s="282"/>
      <c r="J2228" s="283"/>
      <c r="K2228" s="265"/>
      <c r="L2228" s="265"/>
      <c r="M2228" s="269"/>
      <c r="N2228" s="270"/>
      <c r="O2228" s="271"/>
      <c r="P2228" s="271"/>
      <c r="Q2228" s="272"/>
      <c r="R2228" s="273"/>
      <c r="S2228" s="273"/>
      <c r="T2228" s="273"/>
      <c r="U2228" s="274"/>
      <c r="V2228" s="263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</row>
    <row r="2229">
      <c r="A2229" s="263"/>
      <c r="B2229" s="264"/>
      <c r="C2229" s="265"/>
      <c r="D2229" s="265"/>
      <c r="E2229" s="264"/>
      <c r="F2229" s="265"/>
      <c r="G2229" s="263"/>
      <c r="H2229" s="432"/>
      <c r="I2229" s="282"/>
      <c r="J2229" s="283"/>
      <c r="K2229" s="265"/>
      <c r="L2229" s="265"/>
      <c r="M2229" s="269"/>
      <c r="N2229" s="270"/>
      <c r="O2229" s="271"/>
      <c r="P2229" s="271"/>
      <c r="Q2229" s="272"/>
      <c r="R2229" s="273"/>
      <c r="S2229" s="273"/>
      <c r="T2229" s="273"/>
      <c r="U2229" s="274"/>
      <c r="V2229" s="263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</row>
    <row r="2230">
      <c r="A2230" s="263"/>
      <c r="B2230" s="264"/>
      <c r="C2230" s="265"/>
      <c r="D2230" s="265"/>
      <c r="E2230" s="264"/>
      <c r="F2230" s="265"/>
      <c r="G2230" s="263"/>
      <c r="H2230" s="432"/>
      <c r="I2230" s="282"/>
      <c r="J2230" s="283"/>
      <c r="K2230" s="265"/>
      <c r="L2230" s="265"/>
      <c r="M2230" s="269"/>
      <c r="N2230" s="270"/>
      <c r="O2230" s="271"/>
      <c r="P2230" s="271"/>
      <c r="Q2230" s="272"/>
      <c r="R2230" s="273"/>
      <c r="S2230" s="273"/>
      <c r="T2230" s="273"/>
      <c r="U2230" s="274"/>
      <c r="V2230" s="263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</row>
    <row r="2231">
      <c r="A2231" s="263"/>
      <c r="B2231" s="264"/>
      <c r="C2231" s="265"/>
      <c r="D2231" s="265"/>
      <c r="E2231" s="264"/>
      <c r="F2231" s="265"/>
      <c r="G2231" s="263"/>
      <c r="H2231" s="432"/>
      <c r="I2231" s="282"/>
      <c r="J2231" s="283"/>
      <c r="K2231" s="265"/>
      <c r="L2231" s="265"/>
      <c r="M2231" s="269"/>
      <c r="N2231" s="270"/>
      <c r="O2231" s="271"/>
      <c r="P2231" s="271"/>
      <c r="Q2231" s="272"/>
      <c r="R2231" s="273"/>
      <c r="S2231" s="273"/>
      <c r="T2231" s="273"/>
      <c r="U2231" s="274"/>
      <c r="V2231" s="263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</row>
    <row r="2232">
      <c r="A2232" s="263"/>
      <c r="B2232" s="264"/>
      <c r="C2232" s="265"/>
      <c r="D2232" s="265"/>
      <c r="E2232" s="264"/>
      <c r="F2232" s="265"/>
      <c r="G2232" s="263"/>
      <c r="H2232" s="432"/>
      <c r="I2232" s="282"/>
      <c r="J2232" s="283"/>
      <c r="K2232" s="265"/>
      <c r="L2232" s="265"/>
      <c r="M2232" s="269"/>
      <c r="N2232" s="270"/>
      <c r="O2232" s="271"/>
      <c r="P2232" s="271"/>
      <c r="Q2232" s="272"/>
      <c r="R2232" s="273"/>
      <c r="S2232" s="273"/>
      <c r="T2232" s="273"/>
      <c r="U2232" s="274"/>
      <c r="V2232" s="263"/>
      <c r="W2232" s="36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</row>
    <row r="2233">
      <c r="A2233" s="263"/>
      <c r="B2233" s="264"/>
      <c r="C2233" s="265"/>
      <c r="D2233" s="265"/>
      <c r="E2233" s="264"/>
      <c r="F2233" s="265"/>
      <c r="G2233" s="263"/>
      <c r="H2233" s="432"/>
      <c r="I2233" s="282"/>
      <c r="J2233" s="283"/>
      <c r="K2233" s="265"/>
      <c r="L2233" s="265"/>
      <c r="M2233" s="269"/>
      <c r="N2233" s="270"/>
      <c r="O2233" s="271"/>
      <c r="P2233" s="271"/>
      <c r="Q2233" s="272"/>
      <c r="R2233" s="273"/>
      <c r="S2233" s="273"/>
      <c r="T2233" s="273"/>
      <c r="U2233" s="274"/>
      <c r="V2233" s="263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</row>
    <row r="2234">
      <c r="A2234" s="263"/>
      <c r="B2234" s="264"/>
      <c r="C2234" s="265"/>
      <c r="D2234" s="265"/>
      <c r="E2234" s="264"/>
      <c r="F2234" s="265"/>
      <c r="G2234" s="263"/>
      <c r="H2234" s="432"/>
      <c r="I2234" s="282"/>
      <c r="J2234" s="283"/>
      <c r="K2234" s="265"/>
      <c r="L2234" s="265"/>
      <c r="M2234" s="269"/>
      <c r="N2234" s="270"/>
      <c r="O2234" s="271"/>
      <c r="P2234" s="271"/>
      <c r="Q2234" s="272"/>
      <c r="R2234" s="273"/>
      <c r="S2234" s="273"/>
      <c r="T2234" s="273"/>
      <c r="U2234" s="274"/>
      <c r="V2234" s="263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</row>
    <row r="2235">
      <c r="A2235" s="263"/>
      <c r="B2235" s="264"/>
      <c r="C2235" s="265"/>
      <c r="D2235" s="265"/>
      <c r="E2235" s="264"/>
      <c r="F2235" s="265"/>
      <c r="G2235" s="263"/>
      <c r="H2235" s="432"/>
      <c r="I2235" s="282"/>
      <c r="J2235" s="283"/>
      <c r="K2235" s="265"/>
      <c r="L2235" s="265"/>
      <c r="M2235" s="269"/>
      <c r="N2235" s="270"/>
      <c r="O2235" s="271"/>
      <c r="P2235" s="271"/>
      <c r="Q2235" s="272"/>
      <c r="R2235" s="273"/>
      <c r="S2235" s="273"/>
      <c r="T2235" s="273"/>
      <c r="U2235" s="274"/>
      <c r="V2235" s="263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</row>
    <row r="2236">
      <c r="A2236" s="263"/>
      <c r="B2236" s="264"/>
      <c r="C2236" s="265"/>
      <c r="D2236" s="265"/>
      <c r="E2236" s="264"/>
      <c r="F2236" s="265"/>
      <c r="G2236" s="263"/>
      <c r="H2236" s="432"/>
      <c r="I2236" s="282"/>
      <c r="J2236" s="283"/>
      <c r="K2236" s="265"/>
      <c r="L2236" s="265"/>
      <c r="M2236" s="269"/>
      <c r="N2236" s="270"/>
      <c r="O2236" s="271"/>
      <c r="P2236" s="271"/>
      <c r="Q2236" s="272"/>
      <c r="R2236" s="273"/>
      <c r="S2236" s="273"/>
      <c r="T2236" s="273"/>
      <c r="U2236" s="274"/>
      <c r="V2236" s="263"/>
      <c r="W2236" s="188"/>
      <c r="X2236" s="188"/>
      <c r="Y2236" s="188"/>
      <c r="Z2236" s="188"/>
      <c r="AA2236" s="188"/>
      <c r="AB2236" s="188"/>
      <c r="AC2236" s="188"/>
      <c r="AD2236" s="188"/>
      <c r="AE2236" s="188"/>
      <c r="AF2236" s="188"/>
      <c r="AG2236" s="188"/>
      <c r="AH2236" s="188"/>
      <c r="AI2236" s="188"/>
    </row>
    <row r="2237">
      <c r="A2237" s="263"/>
      <c r="B2237" s="264"/>
      <c r="C2237" s="265"/>
      <c r="D2237" s="265"/>
      <c r="E2237" s="264"/>
      <c r="F2237" s="265"/>
      <c r="G2237" s="263"/>
      <c r="H2237" s="432"/>
      <c r="I2237" s="282"/>
      <c r="J2237" s="283"/>
      <c r="K2237" s="265"/>
      <c r="L2237" s="265"/>
      <c r="M2237" s="269"/>
      <c r="N2237" s="270"/>
      <c r="O2237" s="271"/>
      <c r="P2237" s="271"/>
      <c r="Q2237" s="272"/>
      <c r="R2237" s="273"/>
      <c r="S2237" s="273"/>
      <c r="T2237" s="273"/>
      <c r="U2237" s="274"/>
      <c r="V2237" s="263"/>
      <c r="W2237" s="35"/>
      <c r="X2237" s="35"/>
      <c r="Y2237" s="35"/>
      <c r="Z2237" s="35"/>
      <c r="AA2237" s="35"/>
      <c r="AB2237" s="35"/>
      <c r="AC2237" s="35"/>
      <c r="AD2237" s="35"/>
      <c r="AE2237" s="35"/>
      <c r="AF2237" s="35"/>
      <c r="AG2237" s="35"/>
      <c r="AH2237" s="35"/>
      <c r="AI2237" s="35"/>
    </row>
    <row r="2238">
      <c r="A2238" s="263"/>
      <c r="B2238" s="264"/>
      <c r="C2238" s="265"/>
      <c r="D2238" s="265"/>
      <c r="E2238" s="264"/>
      <c r="F2238" s="265"/>
      <c r="G2238" s="263"/>
      <c r="H2238" s="432"/>
      <c r="I2238" s="282"/>
      <c r="J2238" s="283"/>
      <c r="K2238" s="265"/>
      <c r="L2238" s="265"/>
      <c r="M2238" s="269"/>
      <c r="N2238" s="270"/>
      <c r="O2238" s="271"/>
      <c r="P2238" s="271"/>
      <c r="Q2238" s="272"/>
      <c r="R2238" s="273"/>
      <c r="S2238" s="273"/>
      <c r="T2238" s="273"/>
      <c r="U2238" s="274"/>
      <c r="V2238" s="263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</row>
    <row r="2239">
      <c r="A2239" s="263"/>
      <c r="B2239" s="264"/>
      <c r="C2239" s="265"/>
      <c r="D2239" s="265"/>
      <c r="E2239" s="264"/>
      <c r="F2239" s="265"/>
      <c r="G2239" s="263"/>
      <c r="H2239" s="432"/>
      <c r="I2239" s="282"/>
      <c r="J2239" s="283"/>
      <c r="K2239" s="265"/>
      <c r="L2239" s="265"/>
      <c r="M2239" s="269"/>
      <c r="N2239" s="270"/>
      <c r="O2239" s="271"/>
      <c r="P2239" s="271"/>
      <c r="Q2239" s="272"/>
      <c r="R2239" s="273"/>
      <c r="S2239" s="273"/>
      <c r="T2239" s="273"/>
      <c r="U2239" s="274"/>
      <c r="V2239" s="263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</row>
    <row r="2240">
      <c r="A2240" s="263"/>
      <c r="B2240" s="264"/>
      <c r="C2240" s="265"/>
      <c r="D2240" s="265"/>
      <c r="E2240" s="264"/>
      <c r="F2240" s="265"/>
      <c r="G2240" s="263"/>
      <c r="H2240" s="432"/>
      <c r="I2240" s="282"/>
      <c r="J2240" s="283"/>
      <c r="K2240" s="265"/>
      <c r="L2240" s="265"/>
      <c r="M2240" s="269"/>
      <c r="N2240" s="270"/>
      <c r="O2240" s="271"/>
      <c r="P2240" s="271"/>
      <c r="Q2240" s="272"/>
      <c r="R2240" s="273"/>
      <c r="S2240" s="273"/>
      <c r="T2240" s="273"/>
      <c r="U2240" s="274"/>
      <c r="V2240" s="263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</row>
    <row r="2241">
      <c r="A2241" s="263"/>
      <c r="B2241" s="264"/>
      <c r="C2241" s="265"/>
      <c r="D2241" s="265"/>
      <c r="E2241" s="264"/>
      <c r="F2241" s="265"/>
      <c r="G2241" s="263"/>
      <c r="H2241" s="432"/>
      <c r="I2241" s="282"/>
      <c r="J2241" s="283"/>
      <c r="K2241" s="265"/>
      <c r="L2241" s="265"/>
      <c r="M2241" s="269"/>
      <c r="N2241" s="270"/>
      <c r="O2241" s="271"/>
      <c r="P2241" s="271"/>
      <c r="Q2241" s="272"/>
      <c r="R2241" s="273"/>
      <c r="S2241" s="273"/>
      <c r="T2241" s="273"/>
      <c r="U2241" s="274"/>
      <c r="V2241" s="263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</row>
    <row r="2242">
      <c r="A2242" s="263"/>
      <c r="B2242" s="264"/>
      <c r="C2242" s="265"/>
      <c r="D2242" s="265"/>
      <c r="E2242" s="264"/>
      <c r="F2242" s="265"/>
      <c r="G2242" s="263"/>
      <c r="H2242" s="432"/>
      <c r="I2242" s="282"/>
      <c r="J2242" s="283"/>
      <c r="K2242" s="265"/>
      <c r="L2242" s="265"/>
      <c r="M2242" s="269"/>
      <c r="N2242" s="270"/>
      <c r="O2242" s="271"/>
      <c r="P2242" s="271"/>
      <c r="Q2242" s="272"/>
      <c r="R2242" s="273"/>
      <c r="S2242" s="273"/>
      <c r="T2242" s="273"/>
      <c r="U2242" s="274"/>
      <c r="V2242" s="263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</row>
    <row r="2243">
      <c r="A2243" s="263"/>
      <c r="B2243" s="264"/>
      <c r="C2243" s="265"/>
      <c r="D2243" s="265"/>
      <c r="E2243" s="264"/>
      <c r="F2243" s="265"/>
      <c r="G2243" s="263"/>
      <c r="H2243" s="432"/>
      <c r="I2243" s="282"/>
      <c r="J2243" s="283"/>
      <c r="K2243" s="265"/>
      <c r="L2243" s="265"/>
      <c r="M2243" s="269"/>
      <c r="N2243" s="270"/>
      <c r="O2243" s="271"/>
      <c r="P2243" s="271"/>
      <c r="Q2243" s="272"/>
      <c r="R2243" s="273"/>
      <c r="S2243" s="273"/>
      <c r="T2243" s="273"/>
      <c r="U2243" s="274"/>
      <c r="V2243" s="263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</row>
    <row r="2244">
      <c r="A2244" s="263"/>
      <c r="B2244" s="264"/>
      <c r="C2244" s="265"/>
      <c r="D2244" s="265"/>
      <c r="E2244" s="264"/>
      <c r="F2244" s="265"/>
      <c r="G2244" s="263"/>
      <c r="H2244" s="432"/>
      <c r="I2244" s="282"/>
      <c r="J2244" s="283"/>
      <c r="K2244" s="265"/>
      <c r="L2244" s="265"/>
      <c r="M2244" s="269"/>
      <c r="N2244" s="270"/>
      <c r="O2244" s="271"/>
      <c r="P2244" s="271"/>
      <c r="Q2244" s="272"/>
      <c r="R2244" s="273"/>
      <c r="S2244" s="273"/>
      <c r="T2244" s="273"/>
      <c r="U2244" s="274"/>
      <c r="V2244" s="263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</row>
    <row r="2245">
      <c r="A2245" s="263"/>
      <c r="B2245" s="264"/>
      <c r="C2245" s="265"/>
      <c r="D2245" s="265"/>
      <c r="E2245" s="264"/>
      <c r="F2245" s="265"/>
      <c r="G2245" s="263"/>
      <c r="H2245" s="432"/>
      <c r="I2245" s="282"/>
      <c r="J2245" s="283"/>
      <c r="K2245" s="265"/>
      <c r="L2245" s="265"/>
      <c r="M2245" s="269"/>
      <c r="N2245" s="270"/>
      <c r="O2245" s="271"/>
      <c r="P2245" s="271"/>
      <c r="Q2245" s="272"/>
      <c r="R2245" s="273"/>
      <c r="S2245" s="273"/>
      <c r="T2245" s="273"/>
      <c r="U2245" s="274"/>
      <c r="V2245" s="263"/>
      <c r="W2245" s="188"/>
      <c r="X2245" s="188"/>
      <c r="Y2245" s="188"/>
      <c r="Z2245" s="188"/>
      <c r="AA2245" s="188"/>
      <c r="AB2245" s="188"/>
      <c r="AC2245" s="188"/>
      <c r="AD2245" s="188"/>
      <c r="AE2245" s="188"/>
      <c r="AF2245" s="188"/>
      <c r="AG2245" s="188"/>
      <c r="AH2245" s="188"/>
      <c r="AI2245" s="188"/>
    </row>
    <row r="2246">
      <c r="A2246" s="263"/>
      <c r="B2246" s="264"/>
      <c r="C2246" s="265"/>
      <c r="D2246" s="265"/>
      <c r="E2246" s="264"/>
      <c r="F2246" s="265"/>
      <c r="G2246" s="263"/>
      <c r="H2246" s="432"/>
      <c r="I2246" s="282"/>
      <c r="J2246" s="283"/>
      <c r="K2246" s="265"/>
      <c r="L2246" s="265"/>
      <c r="M2246" s="269"/>
      <c r="N2246" s="270"/>
      <c r="O2246" s="271"/>
      <c r="P2246" s="271"/>
      <c r="Q2246" s="272"/>
      <c r="R2246" s="273"/>
      <c r="S2246" s="273"/>
      <c r="T2246" s="273"/>
      <c r="U2246" s="274"/>
      <c r="V2246" s="263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</row>
    <row r="2247">
      <c r="A2247" s="263"/>
      <c r="B2247" s="264"/>
      <c r="C2247" s="265"/>
      <c r="D2247" s="265"/>
      <c r="E2247" s="264"/>
      <c r="F2247" s="265"/>
      <c r="G2247" s="263"/>
      <c r="H2247" s="432"/>
      <c r="I2247" s="282"/>
      <c r="J2247" s="283"/>
      <c r="K2247" s="265"/>
      <c r="L2247" s="265"/>
      <c r="M2247" s="269"/>
      <c r="N2247" s="270"/>
      <c r="O2247" s="271"/>
      <c r="P2247" s="271"/>
      <c r="Q2247" s="272"/>
      <c r="R2247" s="273"/>
      <c r="S2247" s="273"/>
      <c r="T2247" s="273"/>
      <c r="U2247" s="274"/>
      <c r="V2247" s="263"/>
      <c r="W2247" s="35"/>
      <c r="X2247" s="35"/>
      <c r="Y2247" s="35"/>
      <c r="Z2247" s="35"/>
      <c r="AA2247" s="35"/>
      <c r="AB2247" s="35"/>
      <c r="AC2247" s="35"/>
      <c r="AD2247" s="35"/>
      <c r="AE2247" s="35"/>
      <c r="AF2247" s="35"/>
      <c r="AG2247" s="35"/>
      <c r="AH2247" s="35"/>
      <c r="AI2247" s="35"/>
    </row>
    <row r="2248">
      <c r="A2248" s="263"/>
      <c r="B2248" s="264"/>
      <c r="C2248" s="265"/>
      <c r="D2248" s="265"/>
      <c r="E2248" s="264"/>
      <c r="F2248" s="265"/>
      <c r="G2248" s="263"/>
      <c r="H2248" s="432"/>
      <c r="I2248" s="282"/>
      <c r="J2248" s="283"/>
      <c r="K2248" s="265"/>
      <c r="L2248" s="265"/>
      <c r="M2248" s="269"/>
      <c r="N2248" s="270"/>
      <c r="O2248" s="271"/>
      <c r="P2248" s="271"/>
      <c r="Q2248" s="272"/>
      <c r="R2248" s="273"/>
      <c r="S2248" s="273"/>
      <c r="T2248" s="273"/>
      <c r="U2248" s="274"/>
      <c r="V2248" s="263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</row>
    <row r="2249">
      <c r="A2249" s="263"/>
      <c r="B2249" s="264"/>
      <c r="C2249" s="265"/>
      <c r="D2249" s="265"/>
      <c r="E2249" s="264"/>
      <c r="F2249" s="265"/>
      <c r="G2249" s="263"/>
      <c r="H2249" s="432"/>
      <c r="I2249" s="282"/>
      <c r="J2249" s="283"/>
      <c r="K2249" s="265"/>
      <c r="L2249" s="265"/>
      <c r="M2249" s="269"/>
      <c r="N2249" s="270"/>
      <c r="O2249" s="271"/>
      <c r="P2249" s="271"/>
      <c r="Q2249" s="272"/>
      <c r="R2249" s="273"/>
      <c r="S2249" s="273"/>
      <c r="T2249" s="273"/>
      <c r="U2249" s="274"/>
      <c r="V2249" s="263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</row>
    <row r="2250">
      <c r="A2250" s="263"/>
      <c r="B2250" s="264"/>
      <c r="C2250" s="265"/>
      <c r="D2250" s="265"/>
      <c r="E2250" s="264"/>
      <c r="F2250" s="265"/>
      <c r="G2250" s="263"/>
      <c r="H2250" s="432"/>
      <c r="I2250" s="282"/>
      <c r="J2250" s="283"/>
      <c r="K2250" s="265"/>
      <c r="L2250" s="265"/>
      <c r="M2250" s="269"/>
      <c r="N2250" s="270"/>
      <c r="O2250" s="271"/>
      <c r="P2250" s="271"/>
      <c r="Q2250" s="272"/>
      <c r="R2250" s="273"/>
      <c r="S2250" s="273"/>
      <c r="T2250" s="273"/>
      <c r="U2250" s="274"/>
      <c r="V2250" s="263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</row>
    <row r="2251">
      <c r="A2251" s="263"/>
      <c r="B2251" s="264"/>
      <c r="C2251" s="265"/>
      <c r="D2251" s="265"/>
      <c r="E2251" s="264"/>
      <c r="F2251" s="265"/>
      <c r="G2251" s="263"/>
      <c r="H2251" s="432"/>
      <c r="I2251" s="282"/>
      <c r="J2251" s="283"/>
      <c r="K2251" s="265"/>
      <c r="L2251" s="265"/>
      <c r="M2251" s="269"/>
      <c r="N2251" s="270"/>
      <c r="O2251" s="271"/>
      <c r="P2251" s="271"/>
      <c r="Q2251" s="272"/>
      <c r="R2251" s="273"/>
      <c r="S2251" s="273"/>
      <c r="T2251" s="273"/>
      <c r="U2251" s="274"/>
      <c r="V2251" s="263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</row>
    <row r="2252">
      <c r="A2252" s="263"/>
      <c r="B2252" s="264"/>
      <c r="C2252" s="265"/>
      <c r="D2252" s="265"/>
      <c r="E2252" s="264"/>
      <c r="F2252" s="265"/>
      <c r="G2252" s="263"/>
      <c r="H2252" s="432"/>
      <c r="I2252" s="282"/>
      <c r="J2252" s="283"/>
      <c r="K2252" s="265"/>
      <c r="L2252" s="265"/>
      <c r="M2252" s="269"/>
      <c r="N2252" s="270"/>
      <c r="O2252" s="271"/>
      <c r="P2252" s="271"/>
      <c r="Q2252" s="272"/>
      <c r="R2252" s="273"/>
      <c r="S2252" s="273"/>
      <c r="T2252" s="273"/>
      <c r="U2252" s="274"/>
      <c r="V2252" s="263"/>
      <c r="W2252" s="35"/>
      <c r="X2252" s="35"/>
      <c r="Y2252" s="35"/>
      <c r="Z2252" s="35"/>
      <c r="AA2252" s="35"/>
      <c r="AB2252" s="35"/>
      <c r="AC2252" s="35"/>
      <c r="AD2252" s="35"/>
      <c r="AE2252" s="35"/>
      <c r="AF2252" s="35"/>
      <c r="AG2252" s="35"/>
      <c r="AH2252" s="35"/>
      <c r="AI2252" s="35"/>
    </row>
    <row r="2253">
      <c r="A2253" s="263"/>
      <c r="B2253" s="264"/>
      <c r="C2253" s="265"/>
      <c r="D2253" s="265"/>
      <c r="E2253" s="264"/>
      <c r="F2253" s="265"/>
      <c r="G2253" s="263"/>
      <c r="H2253" s="432"/>
      <c r="I2253" s="282"/>
      <c r="J2253" s="283"/>
      <c r="K2253" s="265"/>
      <c r="L2253" s="265"/>
      <c r="M2253" s="269"/>
      <c r="N2253" s="270"/>
      <c r="O2253" s="271"/>
      <c r="P2253" s="271"/>
      <c r="Q2253" s="272"/>
      <c r="R2253" s="273"/>
      <c r="S2253" s="273"/>
      <c r="T2253" s="273"/>
      <c r="U2253" s="274"/>
      <c r="V2253" s="263"/>
      <c r="W2253" s="35"/>
      <c r="X2253" s="35"/>
      <c r="Y2253" s="35"/>
      <c r="Z2253" s="35"/>
      <c r="AA2253" s="35"/>
      <c r="AB2253" s="35"/>
      <c r="AC2253" s="35"/>
      <c r="AD2253" s="35"/>
      <c r="AE2253" s="35"/>
      <c r="AF2253" s="35"/>
      <c r="AG2253" s="35"/>
      <c r="AH2253" s="35"/>
      <c r="AI2253" s="35"/>
    </row>
    <row r="2254">
      <c r="A2254" s="263"/>
      <c r="B2254" s="264"/>
      <c r="C2254" s="265"/>
      <c r="D2254" s="265"/>
      <c r="E2254" s="264"/>
      <c r="F2254" s="265"/>
      <c r="G2254" s="263"/>
      <c r="H2254" s="432"/>
      <c r="I2254" s="282"/>
      <c r="J2254" s="283"/>
      <c r="K2254" s="265"/>
      <c r="L2254" s="265"/>
      <c r="M2254" s="269"/>
      <c r="N2254" s="270"/>
      <c r="O2254" s="271"/>
      <c r="P2254" s="271"/>
      <c r="Q2254" s="272"/>
      <c r="R2254" s="273"/>
      <c r="S2254" s="273"/>
      <c r="T2254" s="273"/>
      <c r="U2254" s="274"/>
      <c r="V2254" s="263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</row>
    <row r="2255">
      <c r="A2255" s="263"/>
      <c r="B2255" s="264"/>
      <c r="C2255" s="265"/>
      <c r="D2255" s="265"/>
      <c r="E2255" s="264"/>
      <c r="F2255" s="265"/>
      <c r="G2255" s="263"/>
      <c r="H2255" s="432"/>
      <c r="I2255" s="282"/>
      <c r="J2255" s="283"/>
      <c r="K2255" s="265"/>
      <c r="L2255" s="265"/>
      <c r="M2255" s="269"/>
      <c r="N2255" s="270"/>
      <c r="O2255" s="271"/>
      <c r="P2255" s="271"/>
      <c r="Q2255" s="272"/>
      <c r="R2255" s="273"/>
      <c r="S2255" s="273"/>
      <c r="T2255" s="273"/>
      <c r="U2255" s="274"/>
      <c r="V2255" s="263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</row>
    <row r="2256">
      <c r="A2256" s="263"/>
      <c r="B2256" s="264"/>
      <c r="C2256" s="265"/>
      <c r="D2256" s="265"/>
      <c r="E2256" s="264"/>
      <c r="F2256" s="265"/>
      <c r="G2256" s="263"/>
      <c r="H2256" s="432"/>
      <c r="I2256" s="282"/>
      <c r="J2256" s="283"/>
      <c r="K2256" s="265"/>
      <c r="L2256" s="265"/>
      <c r="M2256" s="269"/>
      <c r="N2256" s="270"/>
      <c r="O2256" s="271"/>
      <c r="P2256" s="271"/>
      <c r="Q2256" s="272"/>
      <c r="R2256" s="273"/>
      <c r="S2256" s="273"/>
      <c r="T2256" s="273"/>
      <c r="U2256" s="274"/>
      <c r="V2256" s="263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</row>
    <row r="2257">
      <c r="A2257" s="263"/>
      <c r="B2257" s="264"/>
      <c r="C2257" s="265"/>
      <c r="D2257" s="265"/>
      <c r="E2257" s="264"/>
      <c r="F2257" s="265"/>
      <c r="G2257" s="263"/>
      <c r="H2257" s="432"/>
      <c r="I2257" s="282"/>
      <c r="J2257" s="283"/>
      <c r="K2257" s="265"/>
      <c r="L2257" s="265"/>
      <c r="M2257" s="269"/>
      <c r="N2257" s="270"/>
      <c r="O2257" s="271"/>
      <c r="P2257" s="271"/>
      <c r="Q2257" s="272"/>
      <c r="R2257" s="273"/>
      <c r="S2257" s="273"/>
      <c r="T2257" s="273"/>
      <c r="U2257" s="274"/>
      <c r="V2257" s="263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</row>
    <row r="2258">
      <c r="A2258" s="263"/>
      <c r="B2258" s="264"/>
      <c r="C2258" s="265"/>
      <c r="D2258" s="265"/>
      <c r="E2258" s="264"/>
      <c r="F2258" s="265"/>
      <c r="G2258" s="263"/>
      <c r="H2258" s="432"/>
      <c r="I2258" s="282"/>
      <c r="J2258" s="283"/>
      <c r="K2258" s="265"/>
      <c r="L2258" s="265"/>
      <c r="M2258" s="269"/>
      <c r="N2258" s="270"/>
      <c r="O2258" s="271"/>
      <c r="P2258" s="271"/>
      <c r="Q2258" s="272"/>
      <c r="R2258" s="273"/>
      <c r="S2258" s="273"/>
      <c r="T2258" s="273"/>
      <c r="U2258" s="274"/>
      <c r="V2258" s="263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</row>
    <row r="2259">
      <c r="A2259" s="263"/>
      <c r="B2259" s="264"/>
      <c r="C2259" s="265"/>
      <c r="D2259" s="265"/>
      <c r="E2259" s="264"/>
      <c r="F2259" s="265"/>
      <c r="G2259" s="263"/>
      <c r="H2259" s="432"/>
      <c r="I2259" s="282"/>
      <c r="J2259" s="283"/>
      <c r="K2259" s="265"/>
      <c r="L2259" s="265"/>
      <c r="M2259" s="269"/>
      <c r="N2259" s="270"/>
      <c r="O2259" s="271"/>
      <c r="P2259" s="271"/>
      <c r="Q2259" s="272"/>
      <c r="R2259" s="273"/>
      <c r="S2259" s="273"/>
      <c r="T2259" s="273"/>
      <c r="U2259" s="274"/>
      <c r="V2259" s="263"/>
      <c r="W2259" s="35"/>
      <c r="X2259" s="35"/>
      <c r="Y2259" s="35"/>
      <c r="Z2259" s="35"/>
      <c r="AA2259" s="35"/>
      <c r="AB2259" s="35"/>
      <c r="AC2259" s="35"/>
      <c r="AD2259" s="35"/>
      <c r="AE2259" s="35"/>
      <c r="AF2259" s="35"/>
      <c r="AG2259" s="35"/>
      <c r="AH2259" s="35"/>
      <c r="AI2259" s="35"/>
    </row>
    <row r="2260">
      <c r="A2260" s="263"/>
      <c r="B2260" s="264"/>
      <c r="C2260" s="265"/>
      <c r="D2260" s="265"/>
      <c r="E2260" s="264"/>
      <c r="F2260" s="265"/>
      <c r="G2260" s="263"/>
      <c r="H2260" s="432"/>
      <c r="I2260" s="282"/>
      <c r="J2260" s="283"/>
      <c r="K2260" s="265"/>
      <c r="L2260" s="265"/>
      <c r="M2260" s="269"/>
      <c r="N2260" s="270"/>
      <c r="O2260" s="271"/>
      <c r="P2260" s="271"/>
      <c r="Q2260" s="272"/>
      <c r="R2260" s="273"/>
      <c r="S2260" s="273"/>
      <c r="T2260" s="273"/>
      <c r="U2260" s="274"/>
      <c r="V2260" s="263"/>
      <c r="W2260" s="35"/>
      <c r="X2260" s="35"/>
      <c r="Y2260" s="35"/>
      <c r="Z2260" s="35"/>
      <c r="AA2260" s="35"/>
      <c r="AB2260" s="35"/>
      <c r="AC2260" s="35"/>
      <c r="AD2260" s="35"/>
      <c r="AE2260" s="35"/>
      <c r="AF2260" s="35"/>
      <c r="AG2260" s="35"/>
      <c r="AH2260" s="35"/>
      <c r="AI2260" s="35"/>
    </row>
    <row r="2261">
      <c r="A2261" s="263"/>
      <c r="B2261" s="264"/>
      <c r="C2261" s="265"/>
      <c r="D2261" s="265"/>
      <c r="E2261" s="264"/>
      <c r="F2261" s="265"/>
      <c r="G2261" s="263"/>
      <c r="H2261" s="432"/>
      <c r="I2261" s="282"/>
      <c r="J2261" s="283"/>
      <c r="K2261" s="265"/>
      <c r="L2261" s="265"/>
      <c r="M2261" s="269"/>
      <c r="N2261" s="270"/>
      <c r="O2261" s="271"/>
      <c r="P2261" s="271"/>
      <c r="Q2261" s="272"/>
      <c r="R2261" s="273"/>
      <c r="S2261" s="273"/>
      <c r="T2261" s="273"/>
      <c r="U2261" s="274"/>
      <c r="V2261" s="263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</row>
    <row r="2262">
      <c r="A2262" s="263"/>
      <c r="B2262" s="264"/>
      <c r="C2262" s="265"/>
      <c r="D2262" s="265"/>
      <c r="E2262" s="264"/>
      <c r="F2262" s="265"/>
      <c r="G2262" s="263"/>
      <c r="H2262" s="432"/>
      <c r="I2262" s="282"/>
      <c r="J2262" s="283"/>
      <c r="K2262" s="265"/>
      <c r="L2262" s="265"/>
      <c r="M2262" s="269"/>
      <c r="N2262" s="270"/>
      <c r="O2262" s="271"/>
      <c r="P2262" s="271"/>
      <c r="Q2262" s="272"/>
      <c r="R2262" s="273"/>
      <c r="S2262" s="273"/>
      <c r="T2262" s="273"/>
      <c r="U2262" s="274"/>
      <c r="V2262" s="263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</row>
    <row r="2263">
      <c r="A2263" s="263"/>
      <c r="B2263" s="264"/>
      <c r="C2263" s="265"/>
      <c r="D2263" s="265"/>
      <c r="E2263" s="264"/>
      <c r="F2263" s="265"/>
      <c r="G2263" s="263"/>
      <c r="H2263" s="432"/>
      <c r="I2263" s="282"/>
      <c r="J2263" s="283"/>
      <c r="K2263" s="265"/>
      <c r="L2263" s="265"/>
      <c r="M2263" s="269"/>
      <c r="N2263" s="270"/>
      <c r="O2263" s="271"/>
      <c r="P2263" s="271"/>
      <c r="Q2263" s="272"/>
      <c r="R2263" s="273"/>
      <c r="S2263" s="273"/>
      <c r="T2263" s="273"/>
      <c r="U2263" s="274"/>
      <c r="V2263" s="263"/>
      <c r="W2263" s="35"/>
      <c r="X2263" s="35"/>
      <c r="Y2263" s="35"/>
      <c r="Z2263" s="35"/>
      <c r="AA2263" s="35"/>
      <c r="AB2263" s="35"/>
      <c r="AC2263" s="35"/>
      <c r="AD2263" s="35"/>
      <c r="AE2263" s="35"/>
      <c r="AF2263" s="35"/>
      <c r="AG2263" s="35"/>
      <c r="AH2263" s="35"/>
      <c r="AI2263" s="35"/>
    </row>
    <row r="2264">
      <c r="A2264" s="263"/>
      <c r="B2264" s="264"/>
      <c r="C2264" s="265"/>
      <c r="D2264" s="265"/>
      <c r="E2264" s="264"/>
      <c r="F2264" s="265"/>
      <c r="G2264" s="263"/>
      <c r="H2264" s="432"/>
      <c r="I2264" s="282"/>
      <c r="J2264" s="283"/>
      <c r="K2264" s="265"/>
      <c r="L2264" s="265"/>
      <c r="M2264" s="269"/>
      <c r="N2264" s="270"/>
      <c r="O2264" s="271"/>
      <c r="P2264" s="271"/>
      <c r="Q2264" s="272"/>
      <c r="R2264" s="273"/>
      <c r="S2264" s="273"/>
      <c r="T2264" s="273"/>
      <c r="U2264" s="274"/>
      <c r="V2264" s="263"/>
      <c r="W2264" s="35"/>
      <c r="X2264" s="35"/>
      <c r="Y2264" s="35"/>
      <c r="Z2264" s="35"/>
      <c r="AA2264" s="35"/>
      <c r="AB2264" s="35"/>
      <c r="AC2264" s="35"/>
      <c r="AD2264" s="35"/>
      <c r="AE2264" s="35"/>
      <c r="AF2264" s="35"/>
      <c r="AG2264" s="35"/>
      <c r="AH2264" s="35"/>
      <c r="AI2264" s="35"/>
    </row>
    <row r="2265">
      <c r="A2265" s="263"/>
      <c r="B2265" s="264"/>
      <c r="C2265" s="265"/>
      <c r="D2265" s="265"/>
      <c r="E2265" s="264"/>
      <c r="F2265" s="265"/>
      <c r="G2265" s="263"/>
      <c r="H2265" s="432"/>
      <c r="I2265" s="282"/>
      <c r="J2265" s="283"/>
      <c r="K2265" s="265"/>
      <c r="L2265" s="265"/>
      <c r="M2265" s="269"/>
      <c r="N2265" s="270"/>
      <c r="O2265" s="271"/>
      <c r="P2265" s="271"/>
      <c r="Q2265" s="272"/>
      <c r="R2265" s="273"/>
      <c r="S2265" s="273"/>
      <c r="T2265" s="273"/>
      <c r="U2265" s="274"/>
      <c r="V2265" s="263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</row>
    <row r="2266">
      <c r="A2266" s="263"/>
      <c r="B2266" s="264"/>
      <c r="C2266" s="265"/>
      <c r="D2266" s="265"/>
      <c r="E2266" s="264"/>
      <c r="F2266" s="265"/>
      <c r="G2266" s="263"/>
      <c r="H2266" s="432"/>
      <c r="I2266" s="282"/>
      <c r="J2266" s="283"/>
      <c r="K2266" s="265"/>
      <c r="L2266" s="265"/>
      <c r="M2266" s="269"/>
      <c r="N2266" s="270"/>
      <c r="O2266" s="271"/>
      <c r="P2266" s="271"/>
      <c r="Q2266" s="272"/>
      <c r="R2266" s="273"/>
      <c r="S2266" s="273"/>
      <c r="T2266" s="273"/>
      <c r="U2266" s="274"/>
      <c r="V2266" s="263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</row>
    <row r="2267">
      <c r="A2267" s="263"/>
      <c r="B2267" s="264"/>
      <c r="C2267" s="265"/>
      <c r="D2267" s="265"/>
      <c r="E2267" s="264"/>
      <c r="F2267" s="265"/>
      <c r="G2267" s="263"/>
      <c r="H2267" s="432"/>
      <c r="I2267" s="282"/>
      <c r="J2267" s="283"/>
      <c r="K2267" s="265"/>
      <c r="L2267" s="265"/>
      <c r="M2267" s="269"/>
      <c r="N2267" s="270"/>
      <c r="O2267" s="271"/>
      <c r="P2267" s="271"/>
      <c r="Q2267" s="272"/>
      <c r="R2267" s="273"/>
      <c r="S2267" s="273"/>
      <c r="T2267" s="273"/>
      <c r="U2267" s="274"/>
      <c r="V2267" s="263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</row>
    <row r="2268">
      <c r="A2268" s="263"/>
      <c r="B2268" s="264"/>
      <c r="C2268" s="265"/>
      <c r="D2268" s="265"/>
      <c r="E2268" s="264"/>
      <c r="F2268" s="265"/>
      <c r="G2268" s="263"/>
      <c r="H2268" s="432"/>
      <c r="I2268" s="282"/>
      <c r="J2268" s="283"/>
      <c r="K2268" s="265"/>
      <c r="L2268" s="265"/>
      <c r="M2268" s="269"/>
      <c r="N2268" s="270"/>
      <c r="O2268" s="271"/>
      <c r="P2268" s="271"/>
      <c r="Q2268" s="272"/>
      <c r="R2268" s="273"/>
      <c r="S2268" s="273"/>
      <c r="T2268" s="273"/>
      <c r="U2268" s="274"/>
      <c r="V2268" s="263"/>
      <c r="W2268" s="188"/>
      <c r="X2268" s="188"/>
      <c r="Y2268" s="188"/>
      <c r="Z2268" s="188"/>
      <c r="AA2268" s="188"/>
      <c r="AB2268" s="188"/>
      <c r="AC2268" s="188"/>
      <c r="AD2268" s="188"/>
      <c r="AE2268" s="188"/>
      <c r="AF2268" s="188"/>
      <c r="AG2268" s="188"/>
      <c r="AH2268" s="188"/>
      <c r="AI2268" s="188"/>
    </row>
    <row r="2269">
      <c r="A2269" s="263"/>
      <c r="B2269" s="264"/>
      <c r="C2269" s="265"/>
      <c r="D2269" s="265"/>
      <c r="E2269" s="264"/>
      <c r="F2269" s="265"/>
      <c r="G2269" s="263"/>
      <c r="H2269" s="432"/>
      <c r="I2269" s="282"/>
      <c r="J2269" s="283"/>
      <c r="K2269" s="265"/>
      <c r="L2269" s="265"/>
      <c r="M2269" s="269"/>
      <c r="N2269" s="270"/>
      <c r="O2269" s="271"/>
      <c r="P2269" s="271"/>
      <c r="Q2269" s="272"/>
      <c r="R2269" s="273"/>
      <c r="S2269" s="273"/>
      <c r="T2269" s="273"/>
      <c r="U2269" s="274"/>
      <c r="V2269" s="263"/>
      <c r="W2269" s="35"/>
      <c r="X2269" s="35"/>
      <c r="Y2269" s="35"/>
      <c r="Z2269" s="35"/>
      <c r="AA2269" s="35"/>
      <c r="AB2269" s="35"/>
      <c r="AC2269" s="35"/>
      <c r="AD2269" s="35"/>
      <c r="AE2269" s="35"/>
      <c r="AF2269" s="35"/>
      <c r="AG2269" s="35"/>
      <c r="AH2269" s="35"/>
      <c r="AI2269" s="35"/>
    </row>
    <row r="2270">
      <c r="A2270" s="263"/>
      <c r="B2270" s="264"/>
      <c r="C2270" s="265"/>
      <c r="D2270" s="265"/>
      <c r="E2270" s="264"/>
      <c r="F2270" s="265"/>
      <c r="G2270" s="263"/>
      <c r="H2270" s="432"/>
      <c r="I2270" s="282"/>
      <c r="J2270" s="283"/>
      <c r="K2270" s="265"/>
      <c r="L2270" s="265"/>
      <c r="M2270" s="269"/>
      <c r="N2270" s="270"/>
      <c r="O2270" s="271"/>
      <c r="P2270" s="271"/>
      <c r="Q2270" s="272"/>
      <c r="R2270" s="273"/>
      <c r="S2270" s="273"/>
      <c r="T2270" s="273"/>
      <c r="U2270" s="274"/>
      <c r="V2270" s="263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</row>
    <row r="2271">
      <c r="A2271" s="263"/>
      <c r="B2271" s="264"/>
      <c r="C2271" s="265"/>
      <c r="D2271" s="265"/>
      <c r="E2271" s="264"/>
      <c r="F2271" s="265"/>
      <c r="G2271" s="263"/>
      <c r="H2271" s="432"/>
      <c r="I2271" s="282"/>
      <c r="J2271" s="283"/>
      <c r="K2271" s="265"/>
      <c r="L2271" s="265"/>
      <c r="M2271" s="269"/>
      <c r="N2271" s="270"/>
      <c r="O2271" s="271"/>
      <c r="P2271" s="271"/>
      <c r="Q2271" s="272"/>
      <c r="R2271" s="273"/>
      <c r="S2271" s="273"/>
      <c r="T2271" s="273"/>
      <c r="U2271" s="274"/>
      <c r="V2271" s="263"/>
      <c r="W2271" s="188"/>
      <c r="X2271" s="188"/>
      <c r="Y2271" s="188"/>
      <c r="Z2271" s="188"/>
      <c r="AA2271" s="188"/>
      <c r="AB2271" s="188"/>
      <c r="AC2271" s="188"/>
      <c r="AD2271" s="188"/>
      <c r="AE2271" s="188"/>
      <c r="AF2271" s="188"/>
      <c r="AG2271" s="188"/>
      <c r="AH2271" s="188"/>
      <c r="AI2271" s="188"/>
    </row>
    <row r="2272">
      <c r="A2272" s="263"/>
      <c r="B2272" s="264"/>
      <c r="C2272" s="265"/>
      <c r="D2272" s="265"/>
      <c r="E2272" s="264"/>
      <c r="F2272" s="265"/>
      <c r="G2272" s="263"/>
      <c r="H2272" s="432"/>
      <c r="I2272" s="282"/>
      <c r="J2272" s="283"/>
      <c r="K2272" s="265"/>
      <c r="L2272" s="265"/>
      <c r="M2272" s="269"/>
      <c r="N2272" s="270"/>
      <c r="O2272" s="271"/>
      <c r="P2272" s="271"/>
      <c r="Q2272" s="272"/>
      <c r="R2272" s="273"/>
      <c r="S2272" s="273"/>
      <c r="T2272" s="273"/>
      <c r="U2272" s="274"/>
      <c r="V2272" s="263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</row>
    <row r="2273">
      <c r="A2273" s="263"/>
      <c r="B2273" s="264"/>
      <c r="C2273" s="265"/>
      <c r="D2273" s="265"/>
      <c r="E2273" s="264"/>
      <c r="F2273" s="265"/>
      <c r="G2273" s="263"/>
      <c r="H2273" s="432"/>
      <c r="I2273" s="282"/>
      <c r="J2273" s="283"/>
      <c r="K2273" s="265"/>
      <c r="L2273" s="265"/>
      <c r="M2273" s="269"/>
      <c r="N2273" s="270"/>
      <c r="O2273" s="271"/>
      <c r="P2273" s="271"/>
      <c r="Q2273" s="272"/>
      <c r="R2273" s="273"/>
      <c r="S2273" s="273"/>
      <c r="T2273" s="273"/>
      <c r="U2273" s="274"/>
      <c r="V2273" s="263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</row>
    <row r="2274">
      <c r="A2274" s="263"/>
      <c r="B2274" s="264"/>
      <c r="C2274" s="265"/>
      <c r="D2274" s="265"/>
      <c r="E2274" s="264"/>
      <c r="F2274" s="265"/>
      <c r="G2274" s="263"/>
      <c r="H2274" s="432"/>
      <c r="I2274" s="282"/>
      <c r="J2274" s="283"/>
      <c r="K2274" s="265"/>
      <c r="L2274" s="265"/>
      <c r="M2274" s="269"/>
      <c r="N2274" s="270"/>
      <c r="O2274" s="271"/>
      <c r="P2274" s="271"/>
      <c r="Q2274" s="272"/>
      <c r="R2274" s="273"/>
      <c r="S2274" s="273"/>
      <c r="T2274" s="273"/>
      <c r="U2274" s="274"/>
      <c r="V2274" s="263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</row>
    <row r="2275">
      <c r="A2275" s="263"/>
      <c r="B2275" s="264"/>
      <c r="C2275" s="265"/>
      <c r="D2275" s="265"/>
      <c r="E2275" s="264"/>
      <c r="F2275" s="265"/>
      <c r="G2275" s="263"/>
      <c r="H2275" s="432"/>
      <c r="I2275" s="282"/>
      <c r="J2275" s="283"/>
      <c r="K2275" s="265"/>
      <c r="L2275" s="265"/>
      <c r="M2275" s="269"/>
      <c r="N2275" s="270"/>
      <c r="O2275" s="271"/>
      <c r="P2275" s="271"/>
      <c r="Q2275" s="272"/>
      <c r="R2275" s="273"/>
      <c r="S2275" s="273"/>
      <c r="T2275" s="273"/>
      <c r="U2275" s="274"/>
      <c r="V2275" s="263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</row>
    <row r="2276">
      <c r="A2276" s="263"/>
      <c r="B2276" s="264"/>
      <c r="C2276" s="265"/>
      <c r="D2276" s="265"/>
      <c r="E2276" s="264"/>
      <c r="F2276" s="265"/>
      <c r="G2276" s="263"/>
      <c r="H2276" s="432"/>
      <c r="I2276" s="282"/>
      <c r="J2276" s="283"/>
      <c r="K2276" s="265"/>
      <c r="L2276" s="265"/>
      <c r="M2276" s="269"/>
      <c r="N2276" s="270"/>
      <c r="O2276" s="271"/>
      <c r="P2276" s="271"/>
      <c r="Q2276" s="272"/>
      <c r="R2276" s="273"/>
      <c r="S2276" s="273"/>
      <c r="T2276" s="273"/>
      <c r="U2276" s="274"/>
      <c r="V2276" s="263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</row>
    <row r="2277">
      <c r="A2277" s="263"/>
      <c r="B2277" s="264"/>
      <c r="C2277" s="265"/>
      <c r="D2277" s="265"/>
      <c r="E2277" s="264"/>
      <c r="F2277" s="265"/>
      <c r="G2277" s="263"/>
      <c r="H2277" s="432"/>
      <c r="I2277" s="282"/>
      <c r="J2277" s="283"/>
      <c r="K2277" s="265"/>
      <c r="L2277" s="265"/>
      <c r="M2277" s="269"/>
      <c r="N2277" s="270"/>
      <c r="O2277" s="271"/>
      <c r="P2277" s="271"/>
      <c r="Q2277" s="272"/>
      <c r="R2277" s="273"/>
      <c r="S2277" s="273"/>
      <c r="T2277" s="273"/>
      <c r="U2277" s="274"/>
      <c r="V2277" s="263"/>
      <c r="W2277" s="36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</row>
    <row r="2278">
      <c r="A2278" s="263"/>
      <c r="B2278" s="264"/>
      <c r="C2278" s="265"/>
      <c r="D2278" s="265"/>
      <c r="E2278" s="264"/>
      <c r="F2278" s="265"/>
      <c r="G2278" s="263"/>
      <c r="H2278" s="432"/>
      <c r="I2278" s="282"/>
      <c r="J2278" s="283"/>
      <c r="K2278" s="265"/>
      <c r="L2278" s="265"/>
      <c r="M2278" s="269"/>
      <c r="N2278" s="270"/>
      <c r="O2278" s="271"/>
      <c r="P2278" s="271"/>
      <c r="Q2278" s="272"/>
      <c r="R2278" s="273"/>
      <c r="S2278" s="273"/>
      <c r="T2278" s="273"/>
      <c r="U2278" s="274"/>
      <c r="V2278" s="263"/>
      <c r="W2278" s="36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</row>
    <row r="2279">
      <c r="A2279" s="263"/>
      <c r="B2279" s="264"/>
      <c r="C2279" s="265"/>
      <c r="D2279" s="265"/>
      <c r="E2279" s="264"/>
      <c r="F2279" s="265"/>
      <c r="G2279" s="263"/>
      <c r="H2279" s="432"/>
      <c r="I2279" s="282"/>
      <c r="J2279" s="283"/>
      <c r="K2279" s="265"/>
      <c r="L2279" s="265"/>
      <c r="M2279" s="269"/>
      <c r="N2279" s="270"/>
      <c r="O2279" s="271"/>
      <c r="P2279" s="271"/>
      <c r="Q2279" s="272"/>
      <c r="R2279" s="273"/>
      <c r="S2279" s="273"/>
      <c r="T2279" s="273"/>
      <c r="U2279" s="274"/>
      <c r="V2279" s="263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</row>
    <row r="2280">
      <c r="A2280" s="263"/>
      <c r="B2280" s="264"/>
      <c r="C2280" s="265"/>
      <c r="D2280" s="265"/>
      <c r="E2280" s="264"/>
      <c r="F2280" s="265"/>
      <c r="G2280" s="263"/>
      <c r="H2280" s="432"/>
      <c r="I2280" s="282"/>
      <c r="J2280" s="283"/>
      <c r="K2280" s="265"/>
      <c r="L2280" s="265"/>
      <c r="M2280" s="269"/>
      <c r="N2280" s="270"/>
      <c r="O2280" s="271"/>
      <c r="P2280" s="271"/>
      <c r="Q2280" s="272"/>
      <c r="R2280" s="273"/>
      <c r="S2280" s="273"/>
      <c r="T2280" s="273"/>
      <c r="U2280" s="274"/>
      <c r="V2280" s="263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</row>
    <row r="2281">
      <c r="A2281" s="263"/>
      <c r="B2281" s="264"/>
      <c r="C2281" s="265"/>
      <c r="D2281" s="265"/>
      <c r="E2281" s="264"/>
      <c r="F2281" s="265"/>
      <c r="G2281" s="263"/>
      <c r="H2281" s="432"/>
      <c r="I2281" s="282"/>
      <c r="J2281" s="283"/>
      <c r="K2281" s="265"/>
      <c r="L2281" s="265"/>
      <c r="M2281" s="269"/>
      <c r="N2281" s="270"/>
      <c r="O2281" s="271"/>
      <c r="P2281" s="271"/>
      <c r="Q2281" s="272"/>
      <c r="R2281" s="273"/>
      <c r="S2281" s="273"/>
      <c r="T2281" s="273"/>
      <c r="U2281" s="274"/>
      <c r="V2281" s="263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</row>
    <row r="2282">
      <c r="A2282" s="263"/>
      <c r="B2282" s="264"/>
      <c r="C2282" s="265"/>
      <c r="D2282" s="265"/>
      <c r="E2282" s="264"/>
      <c r="F2282" s="265"/>
      <c r="G2282" s="263"/>
      <c r="H2282" s="432"/>
      <c r="I2282" s="282"/>
      <c r="J2282" s="283"/>
      <c r="K2282" s="265"/>
      <c r="L2282" s="265"/>
      <c r="M2282" s="269"/>
      <c r="N2282" s="270"/>
      <c r="O2282" s="271"/>
      <c r="P2282" s="271"/>
      <c r="Q2282" s="272"/>
      <c r="R2282" s="273"/>
      <c r="S2282" s="273"/>
      <c r="T2282" s="273"/>
      <c r="U2282" s="274"/>
      <c r="V2282" s="263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</row>
    <row r="2283">
      <c r="A2283" s="263"/>
      <c r="B2283" s="264"/>
      <c r="C2283" s="265"/>
      <c r="D2283" s="265"/>
      <c r="E2283" s="264"/>
      <c r="F2283" s="265"/>
      <c r="G2283" s="263"/>
      <c r="H2283" s="432"/>
      <c r="I2283" s="282"/>
      <c r="J2283" s="283"/>
      <c r="K2283" s="265"/>
      <c r="L2283" s="265"/>
      <c r="M2283" s="269"/>
      <c r="N2283" s="270"/>
      <c r="O2283" s="271"/>
      <c r="P2283" s="271"/>
      <c r="Q2283" s="272"/>
      <c r="R2283" s="273"/>
      <c r="S2283" s="273"/>
      <c r="T2283" s="273"/>
      <c r="U2283" s="274"/>
      <c r="V2283" s="263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</row>
    <row r="2284">
      <c r="A2284" s="263"/>
      <c r="B2284" s="264"/>
      <c r="C2284" s="265"/>
      <c r="D2284" s="265"/>
      <c r="E2284" s="264"/>
      <c r="F2284" s="265"/>
      <c r="G2284" s="263"/>
      <c r="H2284" s="432"/>
      <c r="I2284" s="282"/>
      <c r="J2284" s="283"/>
      <c r="K2284" s="265"/>
      <c r="L2284" s="265"/>
      <c r="M2284" s="269"/>
      <c r="N2284" s="270"/>
      <c r="O2284" s="271"/>
      <c r="P2284" s="271"/>
      <c r="Q2284" s="272"/>
      <c r="R2284" s="273"/>
      <c r="S2284" s="273"/>
      <c r="T2284" s="273"/>
      <c r="U2284" s="274"/>
      <c r="V2284" s="263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</row>
    <row r="2285">
      <c r="A2285" s="263"/>
      <c r="B2285" s="264"/>
      <c r="C2285" s="265"/>
      <c r="D2285" s="265"/>
      <c r="E2285" s="264"/>
      <c r="F2285" s="265"/>
      <c r="G2285" s="263"/>
      <c r="H2285" s="432"/>
      <c r="I2285" s="282"/>
      <c r="J2285" s="283"/>
      <c r="K2285" s="265"/>
      <c r="L2285" s="265"/>
      <c r="M2285" s="269"/>
      <c r="N2285" s="270"/>
      <c r="O2285" s="271"/>
      <c r="P2285" s="271"/>
      <c r="Q2285" s="272"/>
      <c r="R2285" s="273"/>
      <c r="S2285" s="273"/>
      <c r="T2285" s="273"/>
      <c r="U2285" s="274"/>
      <c r="V2285" s="263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</row>
    <row r="2286">
      <c r="A2286" s="263"/>
      <c r="B2286" s="264"/>
      <c r="C2286" s="265"/>
      <c r="D2286" s="265"/>
      <c r="E2286" s="264"/>
      <c r="F2286" s="265"/>
      <c r="G2286" s="263"/>
      <c r="H2286" s="432"/>
      <c r="I2286" s="282"/>
      <c r="J2286" s="283"/>
      <c r="K2286" s="265"/>
      <c r="L2286" s="265"/>
      <c r="M2286" s="269"/>
      <c r="N2286" s="270"/>
      <c r="O2286" s="271"/>
      <c r="P2286" s="271"/>
      <c r="Q2286" s="272"/>
      <c r="R2286" s="273"/>
      <c r="S2286" s="273"/>
      <c r="T2286" s="273"/>
      <c r="U2286" s="274"/>
      <c r="V2286" s="263"/>
      <c r="W2286" s="188"/>
      <c r="X2286" s="188"/>
      <c r="Y2286" s="188"/>
      <c r="Z2286" s="188"/>
      <c r="AA2286" s="188"/>
      <c r="AB2286" s="188"/>
      <c r="AC2286" s="188"/>
      <c r="AD2286" s="188"/>
      <c r="AE2286" s="188"/>
      <c r="AF2286" s="188"/>
      <c r="AG2286" s="188"/>
      <c r="AH2286" s="188"/>
      <c r="AI2286" s="188"/>
    </row>
    <row r="2287">
      <c r="A2287" s="263"/>
      <c r="B2287" s="264"/>
      <c r="C2287" s="265"/>
      <c r="D2287" s="265"/>
      <c r="E2287" s="264"/>
      <c r="F2287" s="265"/>
      <c r="G2287" s="263"/>
      <c r="H2287" s="432"/>
      <c r="I2287" s="282"/>
      <c r="J2287" s="283"/>
      <c r="K2287" s="265"/>
      <c r="L2287" s="265"/>
      <c r="M2287" s="269"/>
      <c r="N2287" s="270"/>
      <c r="O2287" s="271"/>
      <c r="P2287" s="271"/>
      <c r="Q2287" s="272"/>
      <c r="R2287" s="273"/>
      <c r="S2287" s="273"/>
      <c r="T2287" s="273"/>
      <c r="U2287" s="274"/>
      <c r="V2287" s="263"/>
      <c r="W2287" s="35"/>
      <c r="X2287" s="35"/>
      <c r="Y2287" s="35"/>
      <c r="Z2287" s="35"/>
      <c r="AA2287" s="35"/>
      <c r="AB2287" s="35"/>
      <c r="AC2287" s="35"/>
      <c r="AD2287" s="35"/>
      <c r="AE2287" s="35"/>
      <c r="AF2287" s="35"/>
      <c r="AG2287" s="35"/>
      <c r="AH2287" s="35"/>
      <c r="AI2287" s="35"/>
    </row>
    <row r="2288">
      <c r="A2288" s="263"/>
      <c r="B2288" s="264"/>
      <c r="C2288" s="265"/>
      <c r="D2288" s="265"/>
      <c r="E2288" s="264"/>
      <c r="F2288" s="265"/>
      <c r="G2288" s="263"/>
      <c r="H2288" s="432"/>
      <c r="I2288" s="282"/>
      <c r="J2288" s="283"/>
      <c r="K2288" s="265"/>
      <c r="L2288" s="265"/>
      <c r="M2288" s="269"/>
      <c r="N2288" s="270"/>
      <c r="O2288" s="271"/>
      <c r="P2288" s="271"/>
      <c r="Q2288" s="272"/>
      <c r="R2288" s="273"/>
      <c r="S2288" s="273"/>
      <c r="T2288" s="273"/>
      <c r="U2288" s="274"/>
      <c r="V2288" s="263"/>
      <c r="W2288" s="188"/>
      <c r="X2288" s="188"/>
      <c r="Y2288" s="188"/>
      <c r="Z2288" s="188"/>
      <c r="AA2288" s="188"/>
      <c r="AB2288" s="188"/>
      <c r="AC2288" s="188"/>
      <c r="AD2288" s="188"/>
      <c r="AE2288" s="188"/>
      <c r="AF2288" s="188"/>
      <c r="AG2288" s="188"/>
      <c r="AH2288" s="188"/>
      <c r="AI2288" s="188"/>
    </row>
    <row r="2289">
      <c r="A2289" s="251"/>
      <c r="B2289" s="252"/>
      <c r="C2289" s="253"/>
      <c r="D2289" s="253"/>
      <c r="E2289" s="252"/>
      <c r="F2289" s="253"/>
      <c r="G2289" s="251"/>
      <c r="H2289" s="433"/>
      <c r="I2289" s="278"/>
      <c r="J2289" s="257"/>
      <c r="K2289" s="253"/>
      <c r="L2289" s="253"/>
      <c r="M2289" s="252"/>
      <c r="N2289" s="258"/>
      <c r="O2289" s="259"/>
      <c r="P2289" s="259"/>
      <c r="Q2289" s="262"/>
      <c r="R2289" s="260"/>
      <c r="S2289" s="260"/>
      <c r="T2289" s="273"/>
      <c r="U2289" s="274"/>
      <c r="V2289" s="263"/>
      <c r="W2289" s="188"/>
      <c r="X2289" s="188"/>
      <c r="Y2289" s="188"/>
      <c r="Z2289" s="188"/>
      <c r="AA2289" s="188"/>
      <c r="AB2289" s="188"/>
      <c r="AC2289" s="188"/>
      <c r="AD2289" s="188"/>
      <c r="AE2289" s="188"/>
      <c r="AF2289" s="188"/>
      <c r="AG2289" s="188"/>
      <c r="AH2289" s="188"/>
      <c r="AI2289" s="188"/>
    </row>
    <row r="2290">
      <c r="A2290" s="263"/>
      <c r="B2290" s="264"/>
      <c r="C2290" s="265"/>
      <c r="D2290" s="265"/>
      <c r="E2290" s="264"/>
      <c r="F2290" s="265"/>
      <c r="G2290" s="263"/>
      <c r="H2290" s="432"/>
      <c r="I2290" s="282"/>
      <c r="J2290" s="283"/>
      <c r="K2290" s="265"/>
      <c r="L2290" s="265"/>
      <c r="M2290" s="269"/>
      <c r="N2290" s="270"/>
      <c r="O2290" s="271"/>
      <c r="P2290" s="271"/>
      <c r="Q2290" s="272"/>
      <c r="R2290" s="273"/>
      <c r="S2290" s="273"/>
      <c r="T2290" s="273"/>
      <c r="U2290" s="274"/>
      <c r="V2290" s="263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</row>
    <row r="2291">
      <c r="A2291" s="263"/>
      <c r="B2291" s="264"/>
      <c r="C2291" s="265"/>
      <c r="D2291" s="265"/>
      <c r="E2291" s="264"/>
      <c r="F2291" s="265"/>
      <c r="G2291" s="263"/>
      <c r="H2291" s="432"/>
      <c r="I2291" s="282"/>
      <c r="J2291" s="283"/>
      <c r="K2291" s="265"/>
      <c r="L2291" s="265"/>
      <c r="M2291" s="269"/>
      <c r="N2291" s="270"/>
      <c r="O2291" s="271"/>
      <c r="P2291" s="271"/>
      <c r="Q2291" s="272"/>
      <c r="R2291" s="273"/>
      <c r="S2291" s="273"/>
      <c r="T2291" s="273"/>
      <c r="U2291" s="274"/>
      <c r="V2291" s="263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</row>
    <row r="2292">
      <c r="A2292" s="263"/>
      <c r="B2292" s="264"/>
      <c r="C2292" s="265"/>
      <c r="D2292" s="265"/>
      <c r="E2292" s="264"/>
      <c r="F2292" s="265"/>
      <c r="G2292" s="263"/>
      <c r="H2292" s="432"/>
      <c r="I2292" s="282"/>
      <c r="J2292" s="283"/>
      <c r="K2292" s="265"/>
      <c r="L2292" s="265"/>
      <c r="M2292" s="269"/>
      <c r="N2292" s="270"/>
      <c r="O2292" s="271"/>
      <c r="P2292" s="271"/>
      <c r="Q2292" s="272"/>
      <c r="R2292" s="273"/>
      <c r="S2292" s="273"/>
      <c r="T2292" s="273"/>
      <c r="U2292" s="274"/>
      <c r="V2292" s="263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</row>
    <row r="2293">
      <c r="A2293" s="263"/>
      <c r="B2293" s="264"/>
      <c r="C2293" s="265"/>
      <c r="D2293" s="265"/>
      <c r="E2293" s="264"/>
      <c r="F2293" s="265"/>
      <c r="G2293" s="263"/>
      <c r="H2293" s="432"/>
      <c r="I2293" s="282"/>
      <c r="J2293" s="283"/>
      <c r="K2293" s="265"/>
      <c r="L2293" s="265"/>
      <c r="M2293" s="269"/>
      <c r="N2293" s="270"/>
      <c r="O2293" s="271"/>
      <c r="P2293" s="271"/>
      <c r="Q2293" s="272"/>
      <c r="R2293" s="273"/>
      <c r="S2293" s="273"/>
      <c r="T2293" s="273"/>
      <c r="U2293" s="274"/>
      <c r="V2293" s="263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</row>
    <row r="2294">
      <c r="A2294" s="263"/>
      <c r="B2294" s="264"/>
      <c r="C2294" s="265"/>
      <c r="D2294" s="265"/>
      <c r="E2294" s="264"/>
      <c r="F2294" s="265"/>
      <c r="G2294" s="263"/>
      <c r="H2294" s="432"/>
      <c r="I2294" s="282"/>
      <c r="J2294" s="283"/>
      <c r="K2294" s="265"/>
      <c r="L2294" s="265"/>
      <c r="M2294" s="269"/>
      <c r="N2294" s="270"/>
      <c r="O2294" s="271"/>
      <c r="P2294" s="271"/>
      <c r="Q2294" s="272"/>
      <c r="R2294" s="273"/>
      <c r="S2294" s="273"/>
      <c r="T2294" s="273"/>
      <c r="U2294" s="274"/>
      <c r="V2294" s="263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</row>
    <row r="2295">
      <c r="A2295" s="263"/>
      <c r="B2295" s="264"/>
      <c r="C2295" s="265"/>
      <c r="D2295" s="265"/>
      <c r="E2295" s="264"/>
      <c r="F2295" s="265"/>
      <c r="G2295" s="263"/>
      <c r="H2295" s="432"/>
      <c r="I2295" s="282"/>
      <c r="J2295" s="283"/>
      <c r="K2295" s="265"/>
      <c r="L2295" s="265"/>
      <c r="M2295" s="269"/>
      <c r="N2295" s="270"/>
      <c r="O2295" s="271"/>
      <c r="P2295" s="271"/>
      <c r="Q2295" s="272"/>
      <c r="R2295" s="273"/>
      <c r="S2295" s="273"/>
      <c r="T2295" s="273"/>
      <c r="U2295" s="274"/>
      <c r="V2295" s="263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</row>
    <row r="2296">
      <c r="A2296" s="263"/>
      <c r="B2296" s="264"/>
      <c r="C2296" s="265"/>
      <c r="D2296" s="265"/>
      <c r="E2296" s="264"/>
      <c r="F2296" s="265"/>
      <c r="G2296" s="263"/>
      <c r="H2296" s="432"/>
      <c r="I2296" s="282"/>
      <c r="J2296" s="283"/>
      <c r="K2296" s="265"/>
      <c r="L2296" s="265"/>
      <c r="M2296" s="269"/>
      <c r="N2296" s="270"/>
      <c r="O2296" s="271"/>
      <c r="P2296" s="271"/>
      <c r="Q2296" s="272"/>
      <c r="R2296" s="273"/>
      <c r="S2296" s="273"/>
      <c r="T2296" s="273"/>
      <c r="U2296" s="274"/>
      <c r="V2296" s="263"/>
      <c r="W2296" s="188"/>
      <c r="X2296" s="188"/>
      <c r="Y2296" s="188"/>
      <c r="Z2296" s="188"/>
      <c r="AA2296" s="188"/>
      <c r="AB2296" s="188"/>
      <c r="AC2296" s="188"/>
      <c r="AD2296" s="188"/>
      <c r="AE2296" s="188"/>
      <c r="AF2296" s="188"/>
      <c r="AG2296" s="188"/>
      <c r="AH2296" s="188"/>
      <c r="AI2296" s="188"/>
    </row>
    <row r="2297">
      <c r="A2297" s="263"/>
      <c r="B2297" s="264"/>
      <c r="C2297" s="265"/>
      <c r="D2297" s="265"/>
      <c r="E2297" s="264"/>
      <c r="F2297" s="265"/>
      <c r="G2297" s="263"/>
      <c r="H2297" s="432"/>
      <c r="I2297" s="282"/>
      <c r="J2297" s="283"/>
      <c r="K2297" s="265"/>
      <c r="L2297" s="265"/>
      <c r="M2297" s="269"/>
      <c r="N2297" s="270"/>
      <c r="O2297" s="271"/>
      <c r="P2297" s="271"/>
      <c r="Q2297" s="272"/>
      <c r="R2297" s="273"/>
      <c r="S2297" s="273"/>
      <c r="T2297" s="273"/>
      <c r="U2297" s="274"/>
      <c r="V2297" s="263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</row>
    <row r="2298">
      <c r="A2298" s="263"/>
      <c r="B2298" s="264"/>
      <c r="C2298" s="265"/>
      <c r="D2298" s="265"/>
      <c r="E2298" s="264"/>
      <c r="F2298" s="265"/>
      <c r="G2298" s="263"/>
      <c r="H2298" s="432"/>
      <c r="I2298" s="282"/>
      <c r="J2298" s="283"/>
      <c r="K2298" s="265"/>
      <c r="L2298" s="265"/>
      <c r="M2298" s="269"/>
      <c r="N2298" s="270"/>
      <c r="O2298" s="271"/>
      <c r="P2298" s="271"/>
      <c r="Q2298" s="272"/>
      <c r="R2298" s="273"/>
      <c r="S2298" s="273"/>
      <c r="T2298" s="273"/>
      <c r="U2298" s="274"/>
      <c r="V2298" s="263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</row>
    <row r="2299">
      <c r="A2299" s="263"/>
      <c r="B2299" s="264"/>
      <c r="C2299" s="265"/>
      <c r="D2299" s="265"/>
      <c r="E2299" s="264"/>
      <c r="F2299" s="265"/>
      <c r="G2299" s="263"/>
      <c r="H2299" s="432"/>
      <c r="I2299" s="282"/>
      <c r="J2299" s="283"/>
      <c r="K2299" s="265"/>
      <c r="L2299" s="265"/>
      <c r="M2299" s="269"/>
      <c r="N2299" s="270"/>
      <c r="O2299" s="271"/>
      <c r="P2299" s="271"/>
      <c r="Q2299" s="272"/>
      <c r="R2299" s="273"/>
      <c r="S2299" s="273"/>
      <c r="T2299" s="273"/>
      <c r="U2299" s="274"/>
      <c r="V2299" s="263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</row>
    <row r="2300">
      <c r="A2300" s="263"/>
      <c r="B2300" s="264"/>
      <c r="C2300" s="265"/>
      <c r="D2300" s="265"/>
      <c r="E2300" s="264"/>
      <c r="F2300" s="265"/>
      <c r="G2300" s="263"/>
      <c r="H2300" s="432"/>
      <c r="I2300" s="282"/>
      <c r="J2300" s="283"/>
      <c r="K2300" s="265"/>
      <c r="L2300" s="265"/>
      <c r="M2300" s="269"/>
      <c r="N2300" s="270"/>
      <c r="O2300" s="271"/>
      <c r="P2300" s="271"/>
      <c r="Q2300" s="272"/>
      <c r="R2300" s="273"/>
      <c r="S2300" s="273"/>
      <c r="T2300" s="273"/>
      <c r="U2300" s="274"/>
      <c r="V2300" s="263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</row>
    <row r="2301">
      <c r="A2301" s="263"/>
      <c r="B2301" s="264"/>
      <c r="C2301" s="265"/>
      <c r="D2301" s="265"/>
      <c r="E2301" s="264"/>
      <c r="F2301" s="265"/>
      <c r="G2301" s="263"/>
      <c r="H2301" s="432"/>
      <c r="I2301" s="282"/>
      <c r="J2301" s="283"/>
      <c r="K2301" s="265"/>
      <c r="L2301" s="265"/>
      <c r="M2301" s="269"/>
      <c r="N2301" s="270"/>
      <c r="O2301" s="271"/>
      <c r="P2301" s="271"/>
      <c r="Q2301" s="272"/>
      <c r="R2301" s="273"/>
      <c r="S2301" s="273"/>
      <c r="T2301" s="273"/>
      <c r="U2301" s="274"/>
      <c r="V2301" s="263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</row>
    <row r="2302">
      <c r="A2302" s="263"/>
      <c r="B2302" s="264"/>
      <c r="C2302" s="265"/>
      <c r="D2302" s="265"/>
      <c r="E2302" s="264"/>
      <c r="F2302" s="265"/>
      <c r="G2302" s="263"/>
      <c r="H2302" s="432"/>
      <c r="I2302" s="282"/>
      <c r="J2302" s="283"/>
      <c r="K2302" s="265"/>
      <c r="L2302" s="265"/>
      <c r="M2302" s="269"/>
      <c r="N2302" s="270"/>
      <c r="O2302" s="271"/>
      <c r="P2302" s="271"/>
      <c r="Q2302" s="272"/>
      <c r="R2302" s="273"/>
      <c r="S2302" s="273"/>
      <c r="T2302" s="273"/>
      <c r="U2302" s="274"/>
      <c r="V2302" s="263"/>
      <c r="W2302" s="35"/>
      <c r="X2302" s="35"/>
      <c r="Y2302" s="35"/>
      <c r="Z2302" s="35"/>
      <c r="AA2302" s="35"/>
      <c r="AB2302" s="35"/>
      <c r="AC2302" s="35"/>
      <c r="AD2302" s="35"/>
      <c r="AE2302" s="35"/>
      <c r="AF2302" s="35"/>
      <c r="AG2302" s="35"/>
      <c r="AH2302" s="35"/>
      <c r="AI2302" s="35"/>
    </row>
    <row r="2303">
      <c r="A2303" s="263"/>
      <c r="B2303" s="264"/>
      <c r="C2303" s="265"/>
      <c r="D2303" s="265"/>
      <c r="E2303" s="264"/>
      <c r="F2303" s="265"/>
      <c r="G2303" s="263"/>
      <c r="H2303" s="432"/>
      <c r="I2303" s="282"/>
      <c r="J2303" s="283"/>
      <c r="K2303" s="265"/>
      <c r="L2303" s="265"/>
      <c r="M2303" s="269"/>
      <c r="N2303" s="270"/>
      <c r="O2303" s="271"/>
      <c r="P2303" s="271"/>
      <c r="Q2303" s="272"/>
      <c r="R2303" s="273"/>
      <c r="S2303" s="273"/>
      <c r="T2303" s="273"/>
      <c r="U2303" s="274"/>
      <c r="V2303" s="263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</row>
    <row r="2304">
      <c r="A2304" s="263"/>
      <c r="B2304" s="264"/>
      <c r="C2304" s="265"/>
      <c r="D2304" s="265"/>
      <c r="E2304" s="264"/>
      <c r="F2304" s="265"/>
      <c r="G2304" s="263"/>
      <c r="H2304" s="432"/>
      <c r="I2304" s="282"/>
      <c r="J2304" s="283"/>
      <c r="K2304" s="265"/>
      <c r="L2304" s="265"/>
      <c r="M2304" s="269"/>
      <c r="N2304" s="270"/>
      <c r="O2304" s="271"/>
      <c r="P2304" s="271"/>
      <c r="Q2304" s="272"/>
      <c r="R2304" s="273"/>
      <c r="S2304" s="273"/>
      <c r="T2304" s="273"/>
      <c r="U2304" s="274"/>
      <c r="V2304" s="263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</row>
    <row r="2305">
      <c r="A2305" s="263"/>
      <c r="B2305" s="264"/>
      <c r="C2305" s="265"/>
      <c r="D2305" s="265"/>
      <c r="E2305" s="264"/>
      <c r="F2305" s="265"/>
      <c r="G2305" s="263"/>
      <c r="H2305" s="432"/>
      <c r="I2305" s="282"/>
      <c r="J2305" s="283"/>
      <c r="K2305" s="265"/>
      <c r="L2305" s="265"/>
      <c r="M2305" s="269"/>
      <c r="N2305" s="270"/>
      <c r="O2305" s="271"/>
      <c r="P2305" s="271"/>
      <c r="Q2305" s="272"/>
      <c r="R2305" s="273"/>
      <c r="S2305" s="273"/>
      <c r="T2305" s="273"/>
      <c r="U2305" s="274"/>
      <c r="V2305" s="263"/>
      <c r="W2305" s="35"/>
      <c r="X2305" s="35"/>
      <c r="Y2305" s="35"/>
      <c r="Z2305" s="35"/>
      <c r="AA2305" s="35"/>
      <c r="AB2305" s="35"/>
      <c r="AC2305" s="35"/>
      <c r="AD2305" s="35"/>
      <c r="AE2305" s="35"/>
      <c r="AF2305" s="35"/>
      <c r="AG2305" s="35"/>
      <c r="AH2305" s="35"/>
      <c r="AI2305" s="35"/>
    </row>
    <row r="2306">
      <c r="A2306" s="263"/>
      <c r="B2306" s="264"/>
      <c r="C2306" s="265"/>
      <c r="D2306" s="265"/>
      <c r="E2306" s="264"/>
      <c r="F2306" s="265"/>
      <c r="G2306" s="263"/>
      <c r="H2306" s="432"/>
      <c r="I2306" s="282"/>
      <c r="J2306" s="283"/>
      <c r="K2306" s="265"/>
      <c r="L2306" s="265"/>
      <c r="M2306" s="269"/>
      <c r="N2306" s="270"/>
      <c r="O2306" s="271"/>
      <c r="P2306" s="271"/>
      <c r="Q2306" s="272"/>
      <c r="R2306" s="273"/>
      <c r="S2306" s="273"/>
      <c r="T2306" s="273"/>
      <c r="U2306" s="274"/>
      <c r="V2306" s="263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</row>
    <row r="2307">
      <c r="A2307" s="263"/>
      <c r="B2307" s="264"/>
      <c r="C2307" s="265"/>
      <c r="D2307" s="265"/>
      <c r="E2307" s="264"/>
      <c r="F2307" s="265"/>
      <c r="G2307" s="263"/>
      <c r="H2307" s="432"/>
      <c r="I2307" s="282"/>
      <c r="J2307" s="283"/>
      <c r="K2307" s="265"/>
      <c r="L2307" s="265"/>
      <c r="M2307" s="269"/>
      <c r="N2307" s="270"/>
      <c r="O2307" s="271"/>
      <c r="P2307" s="271"/>
      <c r="Q2307" s="272"/>
      <c r="R2307" s="273"/>
      <c r="S2307" s="273"/>
      <c r="T2307" s="273"/>
      <c r="U2307" s="274"/>
      <c r="V2307" s="263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</row>
    <row r="2308">
      <c r="A2308" s="263"/>
      <c r="B2308" s="264"/>
      <c r="C2308" s="265"/>
      <c r="D2308" s="265"/>
      <c r="E2308" s="264"/>
      <c r="F2308" s="265"/>
      <c r="G2308" s="263"/>
      <c r="H2308" s="432"/>
      <c r="I2308" s="282"/>
      <c r="J2308" s="283"/>
      <c r="K2308" s="265"/>
      <c r="L2308" s="265"/>
      <c r="M2308" s="269"/>
      <c r="N2308" s="270"/>
      <c r="O2308" s="271"/>
      <c r="P2308" s="271"/>
      <c r="Q2308" s="272"/>
      <c r="R2308" s="273"/>
      <c r="S2308" s="273"/>
      <c r="T2308" s="273"/>
      <c r="U2308" s="274"/>
      <c r="V2308" s="263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</row>
    <row r="2309">
      <c r="A2309" s="263"/>
      <c r="B2309" s="264"/>
      <c r="C2309" s="265"/>
      <c r="D2309" s="265"/>
      <c r="E2309" s="264"/>
      <c r="F2309" s="265"/>
      <c r="G2309" s="263"/>
      <c r="H2309" s="432"/>
      <c r="I2309" s="282"/>
      <c r="J2309" s="283"/>
      <c r="K2309" s="265"/>
      <c r="L2309" s="265"/>
      <c r="M2309" s="269"/>
      <c r="N2309" s="270"/>
      <c r="O2309" s="271"/>
      <c r="P2309" s="271"/>
      <c r="Q2309" s="272"/>
      <c r="R2309" s="273"/>
      <c r="S2309" s="273"/>
      <c r="T2309" s="273"/>
      <c r="U2309" s="274"/>
      <c r="V2309" s="263"/>
      <c r="W2309" s="188"/>
      <c r="X2309" s="188"/>
      <c r="Y2309" s="188"/>
      <c r="Z2309" s="188"/>
      <c r="AA2309" s="188"/>
      <c r="AB2309" s="188"/>
      <c r="AC2309" s="188"/>
      <c r="AD2309" s="188"/>
      <c r="AE2309" s="188"/>
      <c r="AF2309" s="188"/>
      <c r="AG2309" s="188"/>
      <c r="AH2309" s="188"/>
      <c r="AI2309" s="188"/>
    </row>
    <row r="2310">
      <c r="A2310" s="263"/>
      <c r="B2310" s="264"/>
      <c r="C2310" s="265"/>
      <c r="D2310" s="265"/>
      <c r="E2310" s="264"/>
      <c r="F2310" s="265"/>
      <c r="G2310" s="263"/>
      <c r="H2310" s="432"/>
      <c r="I2310" s="282"/>
      <c r="J2310" s="283"/>
      <c r="K2310" s="265"/>
      <c r="L2310" s="265"/>
      <c r="M2310" s="269"/>
      <c r="N2310" s="270"/>
      <c r="O2310" s="271"/>
      <c r="P2310" s="271"/>
      <c r="Q2310" s="272"/>
      <c r="R2310" s="273"/>
      <c r="S2310" s="273"/>
      <c r="T2310" s="273"/>
      <c r="U2310" s="274"/>
      <c r="V2310" s="263"/>
      <c r="W2310" s="35"/>
      <c r="X2310" s="35"/>
      <c r="Y2310" s="35"/>
      <c r="Z2310" s="35"/>
      <c r="AA2310" s="35"/>
      <c r="AB2310" s="35"/>
      <c r="AC2310" s="35"/>
      <c r="AD2310" s="35"/>
      <c r="AE2310" s="35"/>
      <c r="AF2310" s="35"/>
      <c r="AG2310" s="35"/>
      <c r="AH2310" s="35"/>
      <c r="AI2310" s="35"/>
    </row>
    <row r="2311">
      <c r="A2311" s="263"/>
      <c r="B2311" s="264"/>
      <c r="C2311" s="265"/>
      <c r="D2311" s="265"/>
      <c r="E2311" s="264"/>
      <c r="F2311" s="265"/>
      <c r="G2311" s="263"/>
      <c r="H2311" s="432"/>
      <c r="I2311" s="282"/>
      <c r="J2311" s="283"/>
      <c r="K2311" s="265"/>
      <c r="L2311" s="265"/>
      <c r="M2311" s="269"/>
      <c r="N2311" s="270"/>
      <c r="O2311" s="271"/>
      <c r="P2311" s="271"/>
      <c r="Q2311" s="272"/>
      <c r="R2311" s="273"/>
      <c r="S2311" s="273"/>
      <c r="T2311" s="273"/>
      <c r="U2311" s="274"/>
      <c r="V2311" s="263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</row>
    <row r="2312">
      <c r="A2312" s="263"/>
      <c r="B2312" s="264"/>
      <c r="C2312" s="265"/>
      <c r="D2312" s="265"/>
      <c r="E2312" s="264"/>
      <c r="F2312" s="265"/>
      <c r="G2312" s="263"/>
      <c r="H2312" s="432"/>
      <c r="I2312" s="282"/>
      <c r="J2312" s="283"/>
      <c r="K2312" s="265"/>
      <c r="L2312" s="265"/>
      <c r="M2312" s="269"/>
      <c r="N2312" s="270"/>
      <c r="O2312" s="271"/>
      <c r="P2312" s="271"/>
      <c r="Q2312" s="272"/>
      <c r="R2312" s="273"/>
      <c r="S2312" s="273"/>
      <c r="T2312" s="273"/>
      <c r="U2312" s="274"/>
      <c r="V2312" s="263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</row>
    <row r="2313">
      <c r="A2313" s="263"/>
      <c r="B2313" s="264"/>
      <c r="C2313" s="265"/>
      <c r="D2313" s="265"/>
      <c r="E2313" s="264"/>
      <c r="F2313" s="265"/>
      <c r="G2313" s="263"/>
      <c r="H2313" s="432"/>
      <c r="I2313" s="282"/>
      <c r="J2313" s="283"/>
      <c r="K2313" s="265"/>
      <c r="L2313" s="265"/>
      <c r="M2313" s="269"/>
      <c r="N2313" s="270"/>
      <c r="O2313" s="271"/>
      <c r="P2313" s="271"/>
      <c r="Q2313" s="272"/>
      <c r="R2313" s="273"/>
      <c r="S2313" s="273"/>
      <c r="T2313" s="273"/>
      <c r="U2313" s="274"/>
      <c r="V2313" s="263"/>
      <c r="W2313" s="188"/>
      <c r="X2313" s="188"/>
      <c r="Y2313" s="188"/>
      <c r="Z2313" s="188"/>
      <c r="AA2313" s="188"/>
      <c r="AB2313" s="188"/>
      <c r="AC2313" s="188"/>
      <c r="AD2313" s="188"/>
      <c r="AE2313" s="188"/>
      <c r="AF2313" s="188"/>
      <c r="AG2313" s="188"/>
      <c r="AH2313" s="188"/>
      <c r="AI2313" s="188"/>
    </row>
    <row r="2314">
      <c r="A2314" s="263"/>
      <c r="B2314" s="264"/>
      <c r="C2314" s="265"/>
      <c r="D2314" s="265"/>
      <c r="E2314" s="264"/>
      <c r="F2314" s="265"/>
      <c r="G2314" s="263"/>
      <c r="H2314" s="432"/>
      <c r="I2314" s="282"/>
      <c r="J2314" s="283"/>
      <c r="K2314" s="265"/>
      <c r="L2314" s="265"/>
      <c r="M2314" s="269"/>
      <c r="N2314" s="270"/>
      <c r="O2314" s="271"/>
      <c r="P2314" s="271"/>
      <c r="Q2314" s="272"/>
      <c r="R2314" s="273"/>
      <c r="S2314" s="273"/>
      <c r="T2314" s="273"/>
      <c r="U2314" s="274"/>
      <c r="V2314" s="263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</row>
    <row r="2315">
      <c r="A2315" s="263"/>
      <c r="B2315" s="264"/>
      <c r="C2315" s="265"/>
      <c r="D2315" s="265"/>
      <c r="E2315" s="264"/>
      <c r="F2315" s="265"/>
      <c r="G2315" s="263"/>
      <c r="H2315" s="432"/>
      <c r="I2315" s="282"/>
      <c r="J2315" s="283"/>
      <c r="K2315" s="265"/>
      <c r="L2315" s="265"/>
      <c r="M2315" s="269"/>
      <c r="N2315" s="270"/>
      <c r="O2315" s="271"/>
      <c r="P2315" s="271"/>
      <c r="Q2315" s="272"/>
      <c r="R2315" s="273"/>
      <c r="S2315" s="273"/>
      <c r="T2315" s="273"/>
      <c r="U2315" s="274"/>
      <c r="V2315" s="263"/>
      <c r="W2315" s="188"/>
      <c r="X2315" s="188"/>
      <c r="Y2315" s="188"/>
      <c r="Z2315" s="188"/>
      <c r="AA2315" s="188"/>
      <c r="AB2315" s="188"/>
      <c r="AC2315" s="188"/>
      <c r="AD2315" s="188"/>
      <c r="AE2315" s="188"/>
      <c r="AF2315" s="188"/>
      <c r="AG2315" s="188"/>
      <c r="AH2315" s="188"/>
      <c r="AI2315" s="188"/>
    </row>
    <row r="2316">
      <c r="A2316" s="263"/>
      <c r="B2316" s="264"/>
      <c r="C2316" s="265"/>
      <c r="D2316" s="265"/>
      <c r="E2316" s="264"/>
      <c r="F2316" s="265"/>
      <c r="G2316" s="263"/>
      <c r="H2316" s="432"/>
      <c r="I2316" s="282"/>
      <c r="J2316" s="283"/>
      <c r="K2316" s="265"/>
      <c r="L2316" s="265"/>
      <c r="M2316" s="269"/>
      <c r="N2316" s="270"/>
      <c r="O2316" s="271"/>
      <c r="P2316" s="271"/>
      <c r="Q2316" s="272"/>
      <c r="R2316" s="273"/>
      <c r="S2316" s="273"/>
      <c r="T2316" s="273"/>
      <c r="U2316" s="274"/>
      <c r="V2316" s="263"/>
      <c r="W2316" s="188"/>
      <c r="X2316" s="188"/>
      <c r="Y2316" s="188"/>
      <c r="Z2316" s="188"/>
      <c r="AA2316" s="188"/>
      <c r="AB2316" s="188"/>
      <c r="AC2316" s="188"/>
      <c r="AD2316" s="188"/>
      <c r="AE2316" s="188"/>
      <c r="AF2316" s="188"/>
      <c r="AG2316" s="188"/>
      <c r="AH2316" s="188"/>
      <c r="AI2316" s="188"/>
    </row>
    <row r="2317">
      <c r="A2317" s="263"/>
      <c r="B2317" s="264"/>
      <c r="C2317" s="265"/>
      <c r="D2317" s="265"/>
      <c r="E2317" s="264"/>
      <c r="F2317" s="265"/>
      <c r="G2317" s="263"/>
      <c r="H2317" s="432"/>
      <c r="I2317" s="282"/>
      <c r="J2317" s="283"/>
      <c r="K2317" s="265"/>
      <c r="L2317" s="265"/>
      <c r="M2317" s="269"/>
      <c r="N2317" s="270"/>
      <c r="O2317" s="271"/>
      <c r="P2317" s="271"/>
      <c r="Q2317" s="272"/>
      <c r="R2317" s="273"/>
      <c r="S2317" s="273"/>
      <c r="T2317" s="273"/>
      <c r="U2317" s="274"/>
      <c r="V2317" s="263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</row>
    <row r="2318">
      <c r="A2318" s="263"/>
      <c r="B2318" s="264"/>
      <c r="C2318" s="265"/>
      <c r="D2318" s="265"/>
      <c r="E2318" s="264"/>
      <c r="F2318" s="265"/>
      <c r="G2318" s="263"/>
      <c r="H2318" s="432"/>
      <c r="I2318" s="282"/>
      <c r="J2318" s="283"/>
      <c r="K2318" s="265"/>
      <c r="L2318" s="265"/>
      <c r="M2318" s="269"/>
      <c r="N2318" s="270"/>
      <c r="O2318" s="271"/>
      <c r="P2318" s="271"/>
      <c r="Q2318" s="272"/>
      <c r="R2318" s="273"/>
      <c r="S2318" s="273"/>
      <c r="T2318" s="273"/>
      <c r="U2318" s="274"/>
      <c r="V2318" s="263"/>
      <c r="W2318" s="35"/>
      <c r="X2318" s="35"/>
      <c r="Y2318" s="35"/>
      <c r="Z2318" s="35"/>
      <c r="AA2318" s="35"/>
      <c r="AB2318" s="35"/>
      <c r="AC2318" s="35"/>
      <c r="AD2318" s="35"/>
      <c r="AE2318" s="35"/>
      <c r="AF2318" s="35"/>
      <c r="AG2318" s="35"/>
      <c r="AH2318" s="35"/>
      <c r="AI2318" s="35"/>
    </row>
    <row r="2319">
      <c r="A2319" s="263"/>
      <c r="B2319" s="264"/>
      <c r="C2319" s="265"/>
      <c r="D2319" s="265"/>
      <c r="E2319" s="264"/>
      <c r="F2319" s="265"/>
      <c r="G2319" s="263"/>
      <c r="H2319" s="432"/>
      <c r="I2319" s="282"/>
      <c r="J2319" s="283"/>
      <c r="K2319" s="265"/>
      <c r="L2319" s="265"/>
      <c r="M2319" s="269"/>
      <c r="N2319" s="270"/>
      <c r="O2319" s="271"/>
      <c r="P2319" s="271"/>
      <c r="Q2319" s="272"/>
      <c r="R2319" s="273"/>
      <c r="S2319" s="273"/>
      <c r="T2319" s="273"/>
      <c r="U2319" s="274"/>
      <c r="V2319" s="263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</row>
    <row r="2320">
      <c r="A2320" s="263"/>
      <c r="B2320" s="264"/>
      <c r="C2320" s="265"/>
      <c r="D2320" s="265"/>
      <c r="E2320" s="264"/>
      <c r="F2320" s="265"/>
      <c r="G2320" s="263"/>
      <c r="H2320" s="432"/>
      <c r="I2320" s="282"/>
      <c r="J2320" s="283"/>
      <c r="K2320" s="265"/>
      <c r="L2320" s="265"/>
      <c r="M2320" s="269"/>
      <c r="N2320" s="270"/>
      <c r="O2320" s="271"/>
      <c r="P2320" s="271"/>
      <c r="Q2320" s="272"/>
      <c r="R2320" s="273"/>
      <c r="S2320" s="273"/>
      <c r="T2320" s="273"/>
      <c r="U2320" s="274"/>
      <c r="V2320" s="263"/>
      <c r="W2320" s="188"/>
      <c r="X2320" s="188"/>
      <c r="Y2320" s="188"/>
      <c r="Z2320" s="188"/>
      <c r="AA2320" s="188"/>
      <c r="AB2320" s="188"/>
      <c r="AC2320" s="188"/>
      <c r="AD2320" s="188"/>
      <c r="AE2320" s="188"/>
      <c r="AF2320" s="188"/>
      <c r="AG2320" s="188"/>
      <c r="AH2320" s="188"/>
      <c r="AI2320" s="188"/>
    </row>
    <row r="2321">
      <c r="A2321" s="263"/>
      <c r="B2321" s="264"/>
      <c r="C2321" s="265"/>
      <c r="D2321" s="265"/>
      <c r="E2321" s="264"/>
      <c r="F2321" s="265"/>
      <c r="G2321" s="263"/>
      <c r="H2321" s="432"/>
      <c r="I2321" s="282"/>
      <c r="J2321" s="283"/>
      <c r="K2321" s="265"/>
      <c r="L2321" s="265"/>
      <c r="M2321" s="269"/>
      <c r="N2321" s="270"/>
      <c r="O2321" s="271"/>
      <c r="P2321" s="271"/>
      <c r="Q2321" s="272"/>
      <c r="R2321" s="273"/>
      <c r="S2321" s="273"/>
      <c r="T2321" s="273"/>
      <c r="U2321" s="274"/>
      <c r="V2321" s="263"/>
      <c r="W2321" s="35"/>
      <c r="X2321" s="35"/>
      <c r="Y2321" s="35"/>
      <c r="Z2321" s="35"/>
      <c r="AA2321" s="35"/>
      <c r="AB2321" s="35"/>
      <c r="AC2321" s="35"/>
      <c r="AD2321" s="35"/>
      <c r="AE2321" s="35"/>
      <c r="AF2321" s="35"/>
      <c r="AG2321" s="35"/>
      <c r="AH2321" s="35"/>
      <c r="AI2321" s="35"/>
    </row>
    <row r="2322">
      <c r="A2322" s="263"/>
      <c r="B2322" s="264"/>
      <c r="C2322" s="265"/>
      <c r="D2322" s="265"/>
      <c r="E2322" s="264"/>
      <c r="F2322" s="265"/>
      <c r="G2322" s="263"/>
      <c r="H2322" s="432"/>
      <c r="I2322" s="282"/>
      <c r="J2322" s="283"/>
      <c r="K2322" s="265"/>
      <c r="L2322" s="265"/>
      <c r="M2322" s="269"/>
      <c r="N2322" s="270"/>
      <c r="O2322" s="271"/>
      <c r="P2322" s="271"/>
      <c r="Q2322" s="272"/>
      <c r="R2322" s="273"/>
      <c r="S2322" s="273"/>
      <c r="T2322" s="273"/>
      <c r="U2322" s="274"/>
      <c r="V2322" s="263"/>
      <c r="W2322" s="35"/>
      <c r="X2322" s="35"/>
      <c r="Y2322" s="35"/>
      <c r="Z2322" s="35"/>
      <c r="AA2322" s="35"/>
      <c r="AB2322" s="35"/>
      <c r="AC2322" s="35"/>
      <c r="AD2322" s="35"/>
      <c r="AE2322" s="35"/>
      <c r="AF2322" s="35"/>
      <c r="AG2322" s="35"/>
      <c r="AH2322" s="35"/>
      <c r="AI2322" s="35"/>
    </row>
    <row r="2323">
      <c r="A2323" s="263"/>
      <c r="B2323" s="264"/>
      <c r="C2323" s="265"/>
      <c r="D2323" s="265"/>
      <c r="E2323" s="264"/>
      <c r="F2323" s="265"/>
      <c r="G2323" s="263"/>
      <c r="H2323" s="432"/>
      <c r="I2323" s="282"/>
      <c r="J2323" s="283"/>
      <c r="K2323" s="265"/>
      <c r="L2323" s="265"/>
      <c r="M2323" s="269"/>
      <c r="N2323" s="270"/>
      <c r="O2323" s="271"/>
      <c r="P2323" s="271"/>
      <c r="Q2323" s="272"/>
      <c r="R2323" s="273"/>
      <c r="S2323" s="273"/>
      <c r="T2323" s="273"/>
      <c r="U2323" s="274"/>
      <c r="V2323" s="263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</row>
    <row r="2324">
      <c r="A2324" s="263"/>
      <c r="B2324" s="264"/>
      <c r="C2324" s="265"/>
      <c r="D2324" s="265"/>
      <c r="E2324" s="264"/>
      <c r="F2324" s="265"/>
      <c r="G2324" s="263"/>
      <c r="H2324" s="432"/>
      <c r="I2324" s="282"/>
      <c r="J2324" s="283"/>
      <c r="K2324" s="265"/>
      <c r="L2324" s="265"/>
      <c r="M2324" s="269"/>
      <c r="N2324" s="270"/>
      <c r="O2324" s="271"/>
      <c r="P2324" s="271"/>
      <c r="Q2324" s="272"/>
      <c r="R2324" s="273"/>
      <c r="S2324" s="273"/>
      <c r="T2324" s="273"/>
      <c r="U2324" s="274"/>
      <c r="V2324" s="263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</row>
    <row r="2325">
      <c r="A2325" s="263"/>
      <c r="B2325" s="264"/>
      <c r="C2325" s="265"/>
      <c r="D2325" s="265"/>
      <c r="E2325" s="264"/>
      <c r="F2325" s="265"/>
      <c r="G2325" s="263"/>
      <c r="H2325" s="432"/>
      <c r="I2325" s="282"/>
      <c r="J2325" s="283"/>
      <c r="K2325" s="265"/>
      <c r="L2325" s="265"/>
      <c r="M2325" s="269"/>
      <c r="N2325" s="270"/>
      <c r="O2325" s="271"/>
      <c r="P2325" s="271"/>
      <c r="Q2325" s="272"/>
      <c r="R2325" s="273"/>
      <c r="S2325" s="273"/>
      <c r="T2325" s="273"/>
      <c r="U2325" s="274"/>
      <c r="V2325" s="263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</row>
    <row r="2326">
      <c r="A2326" s="263"/>
      <c r="B2326" s="264"/>
      <c r="C2326" s="265"/>
      <c r="D2326" s="265"/>
      <c r="E2326" s="264"/>
      <c r="F2326" s="265"/>
      <c r="G2326" s="263"/>
      <c r="H2326" s="432"/>
      <c r="I2326" s="282"/>
      <c r="J2326" s="283"/>
      <c r="K2326" s="265"/>
      <c r="L2326" s="265"/>
      <c r="M2326" s="269"/>
      <c r="N2326" s="270"/>
      <c r="O2326" s="271"/>
      <c r="P2326" s="271"/>
      <c r="Q2326" s="272"/>
      <c r="R2326" s="273"/>
      <c r="S2326" s="273"/>
      <c r="T2326" s="273"/>
      <c r="U2326" s="274"/>
      <c r="V2326" s="263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</row>
    <row r="2327">
      <c r="A2327" s="263"/>
      <c r="B2327" s="264"/>
      <c r="C2327" s="265"/>
      <c r="D2327" s="265"/>
      <c r="E2327" s="264"/>
      <c r="F2327" s="265"/>
      <c r="G2327" s="263"/>
      <c r="H2327" s="432"/>
      <c r="I2327" s="282"/>
      <c r="J2327" s="283"/>
      <c r="K2327" s="265"/>
      <c r="L2327" s="265"/>
      <c r="M2327" s="269"/>
      <c r="N2327" s="270"/>
      <c r="O2327" s="271"/>
      <c r="P2327" s="271"/>
      <c r="Q2327" s="272"/>
      <c r="R2327" s="273"/>
      <c r="S2327" s="273"/>
      <c r="T2327" s="273"/>
      <c r="U2327" s="274"/>
      <c r="V2327" s="263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</row>
    <row r="2328">
      <c r="A2328" s="263"/>
      <c r="B2328" s="264"/>
      <c r="C2328" s="265"/>
      <c r="D2328" s="265"/>
      <c r="E2328" s="264"/>
      <c r="F2328" s="265"/>
      <c r="G2328" s="263"/>
      <c r="H2328" s="432"/>
      <c r="I2328" s="282"/>
      <c r="J2328" s="283"/>
      <c r="K2328" s="265"/>
      <c r="L2328" s="265"/>
      <c r="M2328" s="269"/>
      <c r="N2328" s="270"/>
      <c r="O2328" s="271"/>
      <c r="P2328" s="271"/>
      <c r="Q2328" s="272"/>
      <c r="R2328" s="273"/>
      <c r="S2328" s="273"/>
      <c r="T2328" s="273"/>
      <c r="U2328" s="274"/>
      <c r="V2328" s="263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</row>
    <row r="2329">
      <c r="A2329" s="263"/>
      <c r="B2329" s="264"/>
      <c r="C2329" s="265"/>
      <c r="D2329" s="265"/>
      <c r="E2329" s="264"/>
      <c r="F2329" s="265"/>
      <c r="G2329" s="263"/>
      <c r="H2329" s="432"/>
      <c r="I2329" s="282"/>
      <c r="J2329" s="283"/>
      <c r="K2329" s="265"/>
      <c r="L2329" s="265"/>
      <c r="M2329" s="269"/>
      <c r="N2329" s="270"/>
      <c r="O2329" s="271"/>
      <c r="P2329" s="271"/>
      <c r="Q2329" s="272"/>
      <c r="R2329" s="273"/>
      <c r="S2329" s="273"/>
      <c r="T2329" s="273"/>
      <c r="U2329" s="274"/>
      <c r="V2329" s="263"/>
      <c r="W2329" s="188"/>
      <c r="X2329" s="188"/>
      <c r="Y2329" s="188"/>
      <c r="Z2329" s="188"/>
      <c r="AA2329" s="188"/>
      <c r="AB2329" s="188"/>
      <c r="AC2329" s="188"/>
      <c r="AD2329" s="188"/>
      <c r="AE2329" s="188"/>
      <c r="AF2329" s="188"/>
      <c r="AG2329" s="188"/>
      <c r="AH2329" s="188"/>
      <c r="AI2329" s="188"/>
    </row>
    <row r="2330">
      <c r="A2330" s="263"/>
      <c r="B2330" s="264"/>
      <c r="C2330" s="265"/>
      <c r="D2330" s="265"/>
      <c r="E2330" s="264"/>
      <c r="F2330" s="265"/>
      <c r="G2330" s="263"/>
      <c r="H2330" s="432"/>
      <c r="I2330" s="282"/>
      <c r="J2330" s="283"/>
      <c r="K2330" s="265"/>
      <c r="L2330" s="265"/>
      <c r="M2330" s="269"/>
      <c r="N2330" s="270"/>
      <c r="O2330" s="271"/>
      <c r="P2330" s="271"/>
      <c r="Q2330" s="272"/>
      <c r="R2330" s="273"/>
      <c r="S2330" s="273"/>
      <c r="T2330" s="273"/>
      <c r="U2330" s="274"/>
      <c r="V2330" s="263"/>
      <c r="W2330" s="188"/>
      <c r="X2330" s="188"/>
      <c r="Y2330" s="188"/>
      <c r="Z2330" s="188"/>
      <c r="AA2330" s="188"/>
      <c r="AB2330" s="188"/>
      <c r="AC2330" s="188"/>
      <c r="AD2330" s="188"/>
      <c r="AE2330" s="188"/>
      <c r="AF2330" s="188"/>
      <c r="AG2330" s="188"/>
      <c r="AH2330" s="188"/>
      <c r="AI2330" s="188"/>
    </row>
    <row r="2331">
      <c r="A2331" s="263"/>
      <c r="B2331" s="264"/>
      <c r="C2331" s="265"/>
      <c r="D2331" s="265"/>
      <c r="E2331" s="264"/>
      <c r="F2331" s="265"/>
      <c r="G2331" s="263"/>
      <c r="H2331" s="432"/>
      <c r="I2331" s="282"/>
      <c r="J2331" s="283"/>
      <c r="K2331" s="265"/>
      <c r="L2331" s="265"/>
      <c r="M2331" s="269"/>
      <c r="N2331" s="270"/>
      <c r="O2331" s="271"/>
      <c r="P2331" s="271"/>
      <c r="Q2331" s="272"/>
      <c r="R2331" s="273"/>
      <c r="S2331" s="273"/>
      <c r="T2331" s="273"/>
      <c r="U2331" s="274"/>
      <c r="V2331" s="263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</row>
    <row r="2332">
      <c r="A2332" s="263"/>
      <c r="B2332" s="264"/>
      <c r="C2332" s="265"/>
      <c r="D2332" s="265"/>
      <c r="E2332" s="264"/>
      <c r="F2332" s="265"/>
      <c r="G2332" s="263"/>
      <c r="H2332" s="432"/>
      <c r="I2332" s="282"/>
      <c r="J2332" s="283"/>
      <c r="K2332" s="265"/>
      <c r="L2332" s="265"/>
      <c r="M2332" s="269"/>
      <c r="N2332" s="270"/>
      <c r="O2332" s="271"/>
      <c r="P2332" s="271"/>
      <c r="Q2332" s="272"/>
      <c r="R2332" s="273"/>
      <c r="S2332" s="273"/>
      <c r="T2332" s="273"/>
      <c r="U2332" s="274"/>
      <c r="V2332" s="263"/>
      <c r="W2332" s="188"/>
      <c r="X2332" s="188"/>
      <c r="Y2332" s="188"/>
      <c r="Z2332" s="188"/>
      <c r="AA2332" s="188"/>
      <c r="AB2332" s="188"/>
      <c r="AC2332" s="188"/>
      <c r="AD2332" s="188"/>
      <c r="AE2332" s="188"/>
      <c r="AF2332" s="188"/>
      <c r="AG2332" s="188"/>
      <c r="AH2332" s="188"/>
      <c r="AI2332" s="188"/>
    </row>
    <row r="2333">
      <c r="A2333" s="263"/>
      <c r="B2333" s="264"/>
      <c r="C2333" s="265"/>
      <c r="D2333" s="265"/>
      <c r="E2333" s="264"/>
      <c r="F2333" s="265"/>
      <c r="G2333" s="263"/>
      <c r="H2333" s="432"/>
      <c r="I2333" s="282"/>
      <c r="J2333" s="283"/>
      <c r="K2333" s="265"/>
      <c r="L2333" s="265"/>
      <c r="M2333" s="269"/>
      <c r="N2333" s="270"/>
      <c r="O2333" s="271"/>
      <c r="P2333" s="271"/>
      <c r="Q2333" s="272"/>
      <c r="R2333" s="273"/>
      <c r="S2333" s="273"/>
      <c r="T2333" s="273"/>
      <c r="U2333" s="274"/>
      <c r="V2333" s="263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</row>
    <row r="2334">
      <c r="A2334" s="263"/>
      <c r="B2334" s="264"/>
      <c r="C2334" s="265"/>
      <c r="D2334" s="265"/>
      <c r="E2334" s="264"/>
      <c r="F2334" s="265"/>
      <c r="G2334" s="263"/>
      <c r="H2334" s="432"/>
      <c r="I2334" s="282"/>
      <c r="J2334" s="283"/>
      <c r="K2334" s="265"/>
      <c r="L2334" s="265"/>
      <c r="M2334" s="269"/>
      <c r="N2334" s="270"/>
      <c r="O2334" s="271"/>
      <c r="P2334" s="271"/>
      <c r="Q2334" s="272"/>
      <c r="R2334" s="273"/>
      <c r="S2334" s="273"/>
      <c r="T2334" s="273"/>
      <c r="U2334" s="274"/>
      <c r="V2334" s="263"/>
      <c r="W2334" s="35"/>
      <c r="X2334" s="35"/>
      <c r="Y2334" s="35"/>
      <c r="Z2334" s="35"/>
      <c r="AA2334" s="35"/>
      <c r="AB2334" s="35"/>
      <c r="AC2334" s="35"/>
      <c r="AD2334" s="35"/>
      <c r="AE2334" s="35"/>
      <c r="AF2334" s="35"/>
      <c r="AG2334" s="35"/>
      <c r="AH2334" s="35"/>
      <c r="AI2334" s="35"/>
    </row>
    <row r="2335">
      <c r="A2335" s="263"/>
      <c r="B2335" s="264"/>
      <c r="C2335" s="265"/>
      <c r="D2335" s="265"/>
      <c r="E2335" s="264"/>
      <c r="F2335" s="265"/>
      <c r="G2335" s="263"/>
      <c r="H2335" s="432"/>
      <c r="I2335" s="282"/>
      <c r="J2335" s="283"/>
      <c r="K2335" s="265"/>
      <c r="L2335" s="265"/>
      <c r="M2335" s="269"/>
      <c r="N2335" s="270"/>
      <c r="O2335" s="271"/>
      <c r="P2335" s="271"/>
      <c r="Q2335" s="272"/>
      <c r="R2335" s="273"/>
      <c r="S2335" s="273"/>
      <c r="T2335" s="273"/>
      <c r="U2335" s="274"/>
      <c r="V2335" s="263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</row>
    <row r="2336">
      <c r="A2336" s="263"/>
      <c r="B2336" s="264"/>
      <c r="C2336" s="265"/>
      <c r="D2336" s="265"/>
      <c r="E2336" s="264"/>
      <c r="F2336" s="265"/>
      <c r="G2336" s="263"/>
      <c r="H2336" s="432"/>
      <c r="I2336" s="282"/>
      <c r="J2336" s="283"/>
      <c r="K2336" s="265"/>
      <c r="L2336" s="265"/>
      <c r="M2336" s="269"/>
      <c r="N2336" s="270"/>
      <c r="O2336" s="271"/>
      <c r="P2336" s="271"/>
      <c r="Q2336" s="272"/>
      <c r="R2336" s="273"/>
      <c r="S2336" s="273"/>
      <c r="T2336" s="273"/>
      <c r="U2336" s="274"/>
      <c r="V2336" s="263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</row>
    <row r="2337">
      <c r="A2337" s="263"/>
      <c r="B2337" s="264"/>
      <c r="C2337" s="265"/>
      <c r="D2337" s="265"/>
      <c r="E2337" s="264"/>
      <c r="F2337" s="265"/>
      <c r="G2337" s="263"/>
      <c r="H2337" s="432"/>
      <c r="I2337" s="282"/>
      <c r="J2337" s="283"/>
      <c r="K2337" s="265"/>
      <c r="L2337" s="265"/>
      <c r="M2337" s="269"/>
      <c r="N2337" s="270"/>
      <c r="O2337" s="271"/>
      <c r="P2337" s="271"/>
      <c r="Q2337" s="272"/>
      <c r="R2337" s="273"/>
      <c r="S2337" s="273"/>
      <c r="T2337" s="273"/>
      <c r="U2337" s="274"/>
      <c r="V2337" s="263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</row>
    <row r="2338">
      <c r="A2338" s="263"/>
      <c r="B2338" s="264"/>
      <c r="C2338" s="265"/>
      <c r="D2338" s="265"/>
      <c r="E2338" s="264"/>
      <c r="F2338" s="265"/>
      <c r="G2338" s="263"/>
      <c r="H2338" s="432"/>
      <c r="I2338" s="282"/>
      <c r="J2338" s="283"/>
      <c r="K2338" s="265"/>
      <c r="L2338" s="265"/>
      <c r="M2338" s="269"/>
      <c r="N2338" s="270"/>
      <c r="O2338" s="271"/>
      <c r="P2338" s="271"/>
      <c r="Q2338" s="272"/>
      <c r="R2338" s="273"/>
      <c r="S2338" s="273"/>
      <c r="T2338" s="273"/>
      <c r="U2338" s="274"/>
      <c r="V2338" s="263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</row>
    <row r="2339">
      <c r="A2339" s="263"/>
      <c r="B2339" s="264"/>
      <c r="C2339" s="265"/>
      <c r="D2339" s="265"/>
      <c r="E2339" s="264"/>
      <c r="F2339" s="265"/>
      <c r="G2339" s="263"/>
      <c r="H2339" s="432"/>
      <c r="I2339" s="282"/>
      <c r="J2339" s="283"/>
      <c r="K2339" s="265"/>
      <c r="L2339" s="265"/>
      <c r="M2339" s="269"/>
      <c r="N2339" s="270"/>
      <c r="O2339" s="271"/>
      <c r="P2339" s="271"/>
      <c r="Q2339" s="272"/>
      <c r="R2339" s="273"/>
      <c r="S2339" s="273"/>
      <c r="T2339" s="273"/>
      <c r="U2339" s="274"/>
      <c r="V2339" s="263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</row>
    <row r="2340">
      <c r="A2340" s="263"/>
      <c r="B2340" s="264"/>
      <c r="C2340" s="265"/>
      <c r="D2340" s="265"/>
      <c r="E2340" s="264"/>
      <c r="F2340" s="265"/>
      <c r="G2340" s="263"/>
      <c r="H2340" s="432"/>
      <c r="I2340" s="282"/>
      <c r="J2340" s="283"/>
      <c r="K2340" s="265"/>
      <c r="L2340" s="265"/>
      <c r="M2340" s="269"/>
      <c r="N2340" s="270"/>
      <c r="O2340" s="271"/>
      <c r="P2340" s="271"/>
      <c r="Q2340" s="272"/>
      <c r="R2340" s="273"/>
      <c r="S2340" s="273"/>
      <c r="T2340" s="273"/>
      <c r="U2340" s="274"/>
      <c r="V2340" s="263"/>
      <c r="W2340" s="188"/>
      <c r="X2340" s="188"/>
      <c r="Y2340" s="188"/>
      <c r="Z2340" s="188"/>
      <c r="AA2340" s="188"/>
      <c r="AB2340" s="188"/>
      <c r="AC2340" s="188"/>
      <c r="AD2340" s="188"/>
      <c r="AE2340" s="188"/>
      <c r="AF2340" s="188"/>
      <c r="AG2340" s="188"/>
      <c r="AH2340" s="188"/>
      <c r="AI2340" s="188"/>
    </row>
    <row r="2341">
      <c r="A2341" s="263"/>
      <c r="B2341" s="264"/>
      <c r="C2341" s="265"/>
      <c r="D2341" s="265"/>
      <c r="E2341" s="264"/>
      <c r="F2341" s="265"/>
      <c r="G2341" s="263"/>
      <c r="H2341" s="432"/>
      <c r="I2341" s="282"/>
      <c r="J2341" s="283"/>
      <c r="K2341" s="265"/>
      <c r="L2341" s="265"/>
      <c r="M2341" s="269"/>
      <c r="N2341" s="270"/>
      <c r="O2341" s="271"/>
      <c r="P2341" s="271"/>
      <c r="Q2341" s="272"/>
      <c r="R2341" s="273"/>
      <c r="S2341" s="273"/>
      <c r="T2341" s="273"/>
      <c r="U2341" s="274"/>
      <c r="V2341" s="263"/>
      <c r="W2341" s="188"/>
      <c r="X2341" s="188"/>
      <c r="Y2341" s="188"/>
      <c r="Z2341" s="188"/>
      <c r="AA2341" s="188"/>
      <c r="AB2341" s="188"/>
      <c r="AC2341" s="188"/>
      <c r="AD2341" s="188"/>
      <c r="AE2341" s="188"/>
      <c r="AF2341" s="188"/>
      <c r="AG2341" s="188"/>
      <c r="AH2341" s="188"/>
      <c r="AI2341" s="188"/>
    </row>
    <row r="2342">
      <c r="A2342" s="263"/>
      <c r="B2342" s="264"/>
      <c r="C2342" s="265"/>
      <c r="D2342" s="265"/>
      <c r="E2342" s="264"/>
      <c r="F2342" s="265"/>
      <c r="G2342" s="263"/>
      <c r="H2342" s="432"/>
      <c r="I2342" s="282"/>
      <c r="J2342" s="283"/>
      <c r="K2342" s="265"/>
      <c r="L2342" s="265"/>
      <c r="M2342" s="269"/>
      <c r="N2342" s="270"/>
      <c r="O2342" s="271"/>
      <c r="P2342" s="271"/>
      <c r="Q2342" s="272"/>
      <c r="R2342" s="273"/>
      <c r="S2342" s="273"/>
      <c r="T2342" s="273"/>
      <c r="U2342" s="274"/>
      <c r="V2342" s="263"/>
      <c r="W2342" s="35"/>
      <c r="X2342" s="35"/>
      <c r="Y2342" s="35"/>
      <c r="Z2342" s="35"/>
      <c r="AA2342" s="35"/>
      <c r="AB2342" s="35"/>
      <c r="AC2342" s="35"/>
      <c r="AD2342" s="35"/>
      <c r="AE2342" s="35"/>
      <c r="AF2342" s="35"/>
      <c r="AG2342" s="35"/>
      <c r="AH2342" s="35"/>
      <c r="AI2342" s="35"/>
    </row>
    <row r="2343">
      <c r="A2343" s="263"/>
      <c r="B2343" s="264"/>
      <c r="C2343" s="265"/>
      <c r="D2343" s="265"/>
      <c r="E2343" s="264"/>
      <c r="F2343" s="265"/>
      <c r="G2343" s="263"/>
      <c r="H2343" s="432"/>
      <c r="I2343" s="282"/>
      <c r="J2343" s="283"/>
      <c r="K2343" s="265"/>
      <c r="L2343" s="265"/>
      <c r="M2343" s="269"/>
      <c r="N2343" s="270"/>
      <c r="O2343" s="271"/>
      <c r="P2343" s="271"/>
      <c r="Q2343" s="272"/>
      <c r="R2343" s="273"/>
      <c r="S2343" s="273"/>
      <c r="T2343" s="273"/>
      <c r="U2343" s="274"/>
      <c r="V2343" s="263"/>
      <c r="W2343" s="188"/>
      <c r="X2343" s="188"/>
      <c r="Y2343" s="188"/>
      <c r="Z2343" s="188"/>
      <c r="AA2343" s="188"/>
      <c r="AB2343" s="188"/>
      <c r="AC2343" s="188"/>
      <c r="AD2343" s="188"/>
      <c r="AE2343" s="188"/>
      <c r="AF2343" s="188"/>
      <c r="AG2343" s="188"/>
      <c r="AH2343" s="188"/>
      <c r="AI2343" s="188"/>
    </row>
    <row r="2344">
      <c r="A2344" s="263"/>
      <c r="B2344" s="264"/>
      <c r="C2344" s="265"/>
      <c r="D2344" s="265"/>
      <c r="E2344" s="264"/>
      <c r="F2344" s="265"/>
      <c r="G2344" s="263"/>
      <c r="H2344" s="432"/>
      <c r="I2344" s="282"/>
      <c r="J2344" s="283"/>
      <c r="K2344" s="265"/>
      <c r="L2344" s="265"/>
      <c r="M2344" s="269"/>
      <c r="N2344" s="270"/>
      <c r="O2344" s="271"/>
      <c r="P2344" s="271"/>
      <c r="Q2344" s="272"/>
      <c r="R2344" s="273"/>
      <c r="S2344" s="273"/>
      <c r="T2344" s="273"/>
      <c r="U2344" s="274"/>
      <c r="V2344" s="263"/>
      <c r="W2344" s="188"/>
      <c r="X2344" s="188"/>
      <c r="Y2344" s="188"/>
      <c r="Z2344" s="188"/>
      <c r="AA2344" s="188"/>
      <c r="AB2344" s="188"/>
      <c r="AC2344" s="188"/>
      <c r="AD2344" s="188"/>
      <c r="AE2344" s="188"/>
      <c r="AF2344" s="188"/>
      <c r="AG2344" s="188"/>
      <c r="AH2344" s="188"/>
      <c r="AI2344" s="188"/>
    </row>
    <row r="2345">
      <c r="A2345" s="263"/>
      <c r="B2345" s="264"/>
      <c r="C2345" s="265"/>
      <c r="D2345" s="265"/>
      <c r="E2345" s="264"/>
      <c r="F2345" s="265"/>
      <c r="G2345" s="263"/>
      <c r="H2345" s="432"/>
      <c r="I2345" s="282"/>
      <c r="J2345" s="283"/>
      <c r="K2345" s="265"/>
      <c r="L2345" s="265"/>
      <c r="M2345" s="269"/>
      <c r="N2345" s="270"/>
      <c r="O2345" s="271"/>
      <c r="P2345" s="271"/>
      <c r="Q2345" s="272"/>
      <c r="R2345" s="273"/>
      <c r="S2345" s="273"/>
      <c r="T2345" s="273"/>
      <c r="U2345" s="274"/>
      <c r="V2345" s="263"/>
      <c r="W2345" s="35"/>
      <c r="X2345" s="35"/>
      <c r="Y2345" s="35"/>
      <c r="Z2345" s="35"/>
      <c r="AA2345" s="35"/>
      <c r="AB2345" s="35"/>
      <c r="AC2345" s="35"/>
      <c r="AD2345" s="35"/>
      <c r="AE2345" s="35"/>
      <c r="AF2345" s="35"/>
      <c r="AG2345" s="35"/>
      <c r="AH2345" s="35"/>
      <c r="AI2345" s="35"/>
    </row>
    <row r="2346">
      <c r="A2346" s="263"/>
      <c r="B2346" s="264"/>
      <c r="C2346" s="265"/>
      <c r="D2346" s="265"/>
      <c r="E2346" s="264"/>
      <c r="F2346" s="265"/>
      <c r="G2346" s="263"/>
      <c r="H2346" s="432"/>
      <c r="I2346" s="282"/>
      <c r="J2346" s="283"/>
      <c r="K2346" s="265"/>
      <c r="L2346" s="265"/>
      <c r="M2346" s="269"/>
      <c r="N2346" s="270"/>
      <c r="O2346" s="271"/>
      <c r="P2346" s="271"/>
      <c r="Q2346" s="272"/>
      <c r="R2346" s="273"/>
      <c r="S2346" s="273"/>
      <c r="T2346" s="273"/>
      <c r="U2346" s="274"/>
      <c r="V2346" s="263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</row>
    <row r="2347">
      <c r="A2347" s="263"/>
      <c r="B2347" s="264"/>
      <c r="C2347" s="265"/>
      <c r="D2347" s="265"/>
      <c r="E2347" s="264"/>
      <c r="F2347" s="265"/>
      <c r="G2347" s="263"/>
      <c r="H2347" s="432"/>
      <c r="I2347" s="282"/>
      <c r="J2347" s="283"/>
      <c r="K2347" s="265"/>
      <c r="L2347" s="265"/>
      <c r="M2347" s="269"/>
      <c r="N2347" s="270"/>
      <c r="O2347" s="271"/>
      <c r="P2347" s="271"/>
      <c r="Q2347" s="272"/>
      <c r="R2347" s="273"/>
      <c r="S2347" s="273"/>
      <c r="T2347" s="273"/>
      <c r="U2347" s="274"/>
      <c r="V2347" s="263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</row>
    <row r="2348">
      <c r="A2348" s="263"/>
      <c r="B2348" s="264"/>
      <c r="C2348" s="265"/>
      <c r="D2348" s="265"/>
      <c r="E2348" s="264"/>
      <c r="F2348" s="265"/>
      <c r="G2348" s="263"/>
      <c r="H2348" s="432"/>
      <c r="I2348" s="282"/>
      <c r="J2348" s="283"/>
      <c r="K2348" s="265"/>
      <c r="L2348" s="265"/>
      <c r="M2348" s="269"/>
      <c r="N2348" s="270"/>
      <c r="O2348" s="271"/>
      <c r="P2348" s="271"/>
      <c r="Q2348" s="272"/>
      <c r="R2348" s="273"/>
      <c r="S2348" s="273"/>
      <c r="T2348" s="273"/>
      <c r="U2348" s="274"/>
      <c r="V2348" s="263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</row>
    <row r="2349">
      <c r="A2349" s="263"/>
      <c r="B2349" s="264"/>
      <c r="C2349" s="265"/>
      <c r="D2349" s="265"/>
      <c r="E2349" s="264"/>
      <c r="F2349" s="265"/>
      <c r="G2349" s="263"/>
      <c r="H2349" s="432"/>
      <c r="I2349" s="282"/>
      <c r="J2349" s="283"/>
      <c r="K2349" s="265"/>
      <c r="L2349" s="265"/>
      <c r="M2349" s="269"/>
      <c r="N2349" s="270"/>
      <c r="O2349" s="271"/>
      <c r="P2349" s="271"/>
      <c r="Q2349" s="272"/>
      <c r="R2349" s="273"/>
      <c r="S2349" s="273"/>
      <c r="T2349" s="273"/>
      <c r="U2349" s="274"/>
      <c r="V2349" s="263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</row>
    <row r="2350">
      <c r="A2350" s="263"/>
      <c r="B2350" s="264"/>
      <c r="C2350" s="265"/>
      <c r="D2350" s="265"/>
      <c r="E2350" s="264"/>
      <c r="F2350" s="265"/>
      <c r="G2350" s="263"/>
      <c r="H2350" s="432"/>
      <c r="I2350" s="282"/>
      <c r="J2350" s="283"/>
      <c r="K2350" s="265"/>
      <c r="L2350" s="265"/>
      <c r="M2350" s="269"/>
      <c r="N2350" s="270"/>
      <c r="O2350" s="271"/>
      <c r="P2350" s="271"/>
      <c r="Q2350" s="272"/>
      <c r="R2350" s="273"/>
      <c r="S2350" s="273"/>
      <c r="T2350" s="273"/>
      <c r="U2350" s="274"/>
      <c r="V2350" s="263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</row>
    <row r="2351">
      <c r="A2351" s="263"/>
      <c r="B2351" s="264"/>
      <c r="C2351" s="265"/>
      <c r="D2351" s="265"/>
      <c r="E2351" s="264"/>
      <c r="F2351" s="265"/>
      <c r="G2351" s="263"/>
      <c r="H2351" s="432"/>
      <c r="I2351" s="282"/>
      <c r="J2351" s="283"/>
      <c r="K2351" s="265"/>
      <c r="L2351" s="265"/>
      <c r="M2351" s="269"/>
      <c r="N2351" s="270"/>
      <c r="O2351" s="271"/>
      <c r="P2351" s="271"/>
      <c r="Q2351" s="272"/>
      <c r="R2351" s="273"/>
      <c r="S2351" s="273"/>
      <c r="T2351" s="273"/>
      <c r="U2351" s="274"/>
      <c r="V2351" s="263"/>
      <c r="W2351" s="35"/>
      <c r="X2351" s="35"/>
      <c r="Y2351" s="35"/>
      <c r="Z2351" s="35"/>
      <c r="AA2351" s="35"/>
      <c r="AB2351" s="35"/>
      <c r="AC2351" s="35"/>
      <c r="AD2351" s="35"/>
      <c r="AE2351" s="35"/>
      <c r="AF2351" s="35"/>
      <c r="AG2351" s="35"/>
      <c r="AH2351" s="35"/>
      <c r="AI2351" s="35"/>
    </row>
    <row r="2352">
      <c r="A2352" s="263"/>
      <c r="B2352" s="264"/>
      <c r="C2352" s="265"/>
      <c r="D2352" s="265"/>
      <c r="E2352" s="264"/>
      <c r="F2352" s="265"/>
      <c r="G2352" s="263"/>
      <c r="H2352" s="432"/>
      <c r="I2352" s="282"/>
      <c r="J2352" s="283"/>
      <c r="K2352" s="265"/>
      <c r="L2352" s="265"/>
      <c r="M2352" s="269"/>
      <c r="N2352" s="270"/>
      <c r="O2352" s="271"/>
      <c r="P2352" s="271"/>
      <c r="Q2352" s="272"/>
      <c r="R2352" s="273"/>
      <c r="S2352" s="273"/>
      <c r="T2352" s="273"/>
      <c r="U2352" s="274"/>
      <c r="V2352" s="263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</row>
    <row r="2353">
      <c r="A2353" s="263"/>
      <c r="B2353" s="264"/>
      <c r="C2353" s="265"/>
      <c r="D2353" s="265"/>
      <c r="E2353" s="264"/>
      <c r="F2353" s="265"/>
      <c r="G2353" s="263"/>
      <c r="H2353" s="432"/>
      <c r="I2353" s="282"/>
      <c r="J2353" s="283"/>
      <c r="K2353" s="265"/>
      <c r="L2353" s="265"/>
      <c r="M2353" s="269"/>
      <c r="N2353" s="270"/>
      <c r="O2353" s="271"/>
      <c r="P2353" s="271"/>
      <c r="Q2353" s="272"/>
      <c r="R2353" s="273"/>
      <c r="S2353" s="273"/>
      <c r="T2353" s="273"/>
      <c r="U2353" s="274"/>
      <c r="V2353" s="263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</row>
    <row r="2354">
      <c r="A2354" s="263"/>
      <c r="B2354" s="264"/>
      <c r="C2354" s="265"/>
      <c r="D2354" s="265"/>
      <c r="E2354" s="264"/>
      <c r="F2354" s="265"/>
      <c r="G2354" s="263"/>
      <c r="H2354" s="432"/>
      <c r="I2354" s="282"/>
      <c r="J2354" s="283"/>
      <c r="K2354" s="265"/>
      <c r="L2354" s="265"/>
      <c r="M2354" s="269"/>
      <c r="N2354" s="270"/>
      <c r="O2354" s="271"/>
      <c r="P2354" s="271"/>
      <c r="Q2354" s="272"/>
      <c r="R2354" s="273"/>
      <c r="S2354" s="273"/>
      <c r="T2354" s="273"/>
      <c r="U2354" s="274"/>
      <c r="V2354" s="263"/>
      <c r="W2354" s="36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</row>
    <row r="2355">
      <c r="A2355" s="263"/>
      <c r="B2355" s="264"/>
      <c r="C2355" s="265"/>
      <c r="D2355" s="265"/>
      <c r="E2355" s="264"/>
      <c r="F2355" s="265"/>
      <c r="G2355" s="263"/>
      <c r="H2355" s="432"/>
      <c r="I2355" s="282"/>
      <c r="J2355" s="283"/>
      <c r="K2355" s="265"/>
      <c r="L2355" s="265"/>
      <c r="M2355" s="269"/>
      <c r="N2355" s="270"/>
      <c r="O2355" s="271"/>
      <c r="P2355" s="271"/>
      <c r="Q2355" s="272"/>
      <c r="R2355" s="273"/>
      <c r="S2355" s="273"/>
      <c r="T2355" s="273"/>
      <c r="U2355" s="274"/>
      <c r="V2355" s="263"/>
      <c r="W2355" s="188"/>
      <c r="X2355" s="188"/>
      <c r="Y2355" s="188"/>
      <c r="Z2355" s="188"/>
      <c r="AA2355" s="188"/>
      <c r="AB2355" s="188"/>
      <c r="AC2355" s="188"/>
      <c r="AD2355" s="188"/>
      <c r="AE2355" s="188"/>
      <c r="AF2355" s="188"/>
      <c r="AG2355" s="188"/>
      <c r="AH2355" s="188"/>
      <c r="AI2355" s="188"/>
    </row>
    <row r="2356">
      <c r="A2356" s="263"/>
      <c r="B2356" s="264"/>
      <c r="C2356" s="265"/>
      <c r="D2356" s="265"/>
      <c r="E2356" s="264"/>
      <c r="F2356" s="265"/>
      <c r="G2356" s="263"/>
      <c r="H2356" s="432"/>
      <c r="I2356" s="282"/>
      <c r="J2356" s="283"/>
      <c r="K2356" s="265"/>
      <c r="L2356" s="265"/>
      <c r="M2356" s="269"/>
      <c r="N2356" s="270"/>
      <c r="O2356" s="271"/>
      <c r="P2356" s="271"/>
      <c r="Q2356" s="272"/>
      <c r="R2356" s="273"/>
      <c r="S2356" s="273"/>
      <c r="T2356" s="273"/>
      <c r="U2356" s="274"/>
      <c r="V2356" s="263"/>
      <c r="W2356" s="188"/>
      <c r="X2356" s="188"/>
      <c r="Y2356" s="188"/>
      <c r="Z2356" s="188"/>
      <c r="AA2356" s="188"/>
      <c r="AB2356" s="188"/>
      <c r="AC2356" s="188"/>
      <c r="AD2356" s="188"/>
      <c r="AE2356" s="188"/>
      <c r="AF2356" s="188"/>
      <c r="AG2356" s="188"/>
      <c r="AH2356" s="188"/>
      <c r="AI2356" s="188"/>
    </row>
    <row r="2357">
      <c r="A2357" s="263"/>
      <c r="B2357" s="264"/>
      <c r="C2357" s="265"/>
      <c r="D2357" s="265"/>
      <c r="E2357" s="264"/>
      <c r="F2357" s="265"/>
      <c r="G2357" s="263"/>
      <c r="H2357" s="432"/>
      <c r="I2357" s="282"/>
      <c r="J2357" s="283"/>
      <c r="K2357" s="265"/>
      <c r="L2357" s="265"/>
      <c r="M2357" s="269"/>
      <c r="N2357" s="270"/>
      <c r="O2357" s="271"/>
      <c r="P2357" s="271"/>
      <c r="Q2357" s="272"/>
      <c r="R2357" s="273"/>
      <c r="S2357" s="273"/>
      <c r="T2357" s="273"/>
      <c r="U2357" s="274"/>
      <c r="V2357" s="263"/>
      <c r="W2357" s="188"/>
      <c r="X2357" s="188"/>
      <c r="Y2357" s="188"/>
      <c r="Z2357" s="188"/>
      <c r="AA2357" s="188"/>
      <c r="AB2357" s="188"/>
      <c r="AC2357" s="188"/>
      <c r="AD2357" s="188"/>
      <c r="AE2357" s="188"/>
      <c r="AF2357" s="188"/>
      <c r="AG2357" s="188"/>
      <c r="AH2357" s="188"/>
      <c r="AI2357" s="188"/>
    </row>
    <row r="2358">
      <c r="A2358" s="263"/>
      <c r="B2358" s="264"/>
      <c r="C2358" s="265"/>
      <c r="D2358" s="265"/>
      <c r="E2358" s="264"/>
      <c r="F2358" s="265"/>
      <c r="G2358" s="263"/>
      <c r="H2358" s="432"/>
      <c r="I2358" s="282"/>
      <c r="J2358" s="283"/>
      <c r="K2358" s="265"/>
      <c r="L2358" s="265"/>
      <c r="M2358" s="269"/>
      <c r="N2358" s="270"/>
      <c r="O2358" s="271"/>
      <c r="P2358" s="271"/>
      <c r="Q2358" s="272"/>
      <c r="R2358" s="273"/>
      <c r="S2358" s="273"/>
      <c r="T2358" s="273"/>
      <c r="U2358" s="274"/>
      <c r="V2358" s="263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</row>
    <row r="2359">
      <c r="A2359" s="263"/>
      <c r="B2359" s="264"/>
      <c r="C2359" s="265"/>
      <c r="D2359" s="265"/>
      <c r="E2359" s="264"/>
      <c r="F2359" s="265"/>
      <c r="G2359" s="263"/>
      <c r="H2359" s="432"/>
      <c r="I2359" s="282"/>
      <c r="J2359" s="283"/>
      <c r="K2359" s="265"/>
      <c r="L2359" s="265"/>
      <c r="M2359" s="269"/>
      <c r="N2359" s="270"/>
      <c r="O2359" s="271"/>
      <c r="P2359" s="271"/>
      <c r="Q2359" s="272"/>
      <c r="R2359" s="273"/>
      <c r="S2359" s="273"/>
      <c r="T2359" s="273"/>
      <c r="U2359" s="274"/>
      <c r="V2359" s="263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</row>
    <row r="2360">
      <c r="A2360" s="263"/>
      <c r="B2360" s="264"/>
      <c r="C2360" s="265"/>
      <c r="D2360" s="265"/>
      <c r="E2360" s="264"/>
      <c r="F2360" s="265"/>
      <c r="G2360" s="263"/>
      <c r="H2360" s="432"/>
      <c r="I2360" s="282"/>
      <c r="J2360" s="283"/>
      <c r="K2360" s="265"/>
      <c r="L2360" s="265"/>
      <c r="M2360" s="269"/>
      <c r="N2360" s="270"/>
      <c r="O2360" s="271"/>
      <c r="P2360" s="271"/>
      <c r="Q2360" s="272"/>
      <c r="R2360" s="273"/>
      <c r="S2360" s="273"/>
      <c r="T2360" s="273"/>
      <c r="U2360" s="274"/>
      <c r="V2360" s="263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</row>
    <row r="2361">
      <c r="A2361" s="263"/>
      <c r="B2361" s="264"/>
      <c r="C2361" s="265"/>
      <c r="D2361" s="265"/>
      <c r="E2361" s="264"/>
      <c r="F2361" s="265"/>
      <c r="G2361" s="263"/>
      <c r="H2361" s="432"/>
      <c r="I2361" s="282"/>
      <c r="J2361" s="283"/>
      <c r="K2361" s="265"/>
      <c r="L2361" s="265"/>
      <c r="M2361" s="269"/>
      <c r="N2361" s="270"/>
      <c r="O2361" s="271"/>
      <c r="P2361" s="271"/>
      <c r="Q2361" s="272"/>
      <c r="R2361" s="273"/>
      <c r="S2361" s="273"/>
      <c r="T2361" s="273"/>
      <c r="U2361" s="274"/>
      <c r="V2361" s="263"/>
      <c r="W2361" s="36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</row>
    <row r="2362">
      <c r="A2362" s="263"/>
      <c r="B2362" s="264"/>
      <c r="C2362" s="265"/>
      <c r="D2362" s="265"/>
      <c r="E2362" s="264"/>
      <c r="F2362" s="265"/>
      <c r="G2362" s="263"/>
      <c r="H2362" s="432"/>
      <c r="I2362" s="282"/>
      <c r="J2362" s="283"/>
      <c r="K2362" s="265"/>
      <c r="L2362" s="265"/>
      <c r="M2362" s="269"/>
      <c r="N2362" s="270"/>
      <c r="O2362" s="271"/>
      <c r="P2362" s="271"/>
      <c r="Q2362" s="272"/>
      <c r="R2362" s="273"/>
      <c r="S2362" s="273"/>
      <c r="T2362" s="273"/>
      <c r="U2362" s="274"/>
      <c r="V2362" s="263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</row>
    <row r="2363">
      <c r="A2363" s="263"/>
      <c r="B2363" s="264"/>
      <c r="C2363" s="265"/>
      <c r="D2363" s="265"/>
      <c r="E2363" s="264"/>
      <c r="F2363" s="265"/>
      <c r="G2363" s="263"/>
      <c r="H2363" s="432"/>
      <c r="I2363" s="282"/>
      <c r="J2363" s="283"/>
      <c r="K2363" s="265"/>
      <c r="L2363" s="265"/>
      <c r="M2363" s="269"/>
      <c r="N2363" s="270"/>
      <c r="O2363" s="271"/>
      <c r="P2363" s="271"/>
      <c r="Q2363" s="272"/>
      <c r="R2363" s="273"/>
      <c r="S2363" s="273"/>
      <c r="T2363" s="273"/>
      <c r="U2363" s="274"/>
      <c r="V2363" s="263"/>
      <c r="W2363" s="35"/>
      <c r="X2363" s="35"/>
      <c r="Y2363" s="35"/>
      <c r="Z2363" s="35"/>
      <c r="AA2363" s="35"/>
      <c r="AB2363" s="35"/>
      <c r="AC2363" s="35"/>
      <c r="AD2363" s="35"/>
      <c r="AE2363" s="35"/>
      <c r="AF2363" s="35"/>
      <c r="AG2363" s="35"/>
      <c r="AH2363" s="35"/>
      <c r="AI2363" s="35"/>
    </row>
    <row r="2364">
      <c r="A2364" s="263"/>
      <c r="B2364" s="264"/>
      <c r="C2364" s="265"/>
      <c r="D2364" s="265"/>
      <c r="E2364" s="264"/>
      <c r="F2364" s="265"/>
      <c r="G2364" s="263"/>
      <c r="H2364" s="432"/>
      <c r="I2364" s="282"/>
      <c r="J2364" s="283"/>
      <c r="K2364" s="265"/>
      <c r="L2364" s="265"/>
      <c r="M2364" s="269"/>
      <c r="N2364" s="270"/>
      <c r="O2364" s="271"/>
      <c r="P2364" s="271"/>
      <c r="Q2364" s="272"/>
      <c r="R2364" s="273"/>
      <c r="S2364" s="273"/>
      <c r="T2364" s="273"/>
      <c r="U2364" s="274"/>
      <c r="V2364" s="263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</row>
    <row r="2365">
      <c r="A2365" s="263"/>
      <c r="B2365" s="264"/>
      <c r="C2365" s="265"/>
      <c r="D2365" s="265"/>
      <c r="E2365" s="264"/>
      <c r="F2365" s="265"/>
      <c r="G2365" s="263"/>
      <c r="H2365" s="432"/>
      <c r="I2365" s="282"/>
      <c r="J2365" s="283"/>
      <c r="K2365" s="265"/>
      <c r="L2365" s="265"/>
      <c r="M2365" s="269"/>
      <c r="N2365" s="270"/>
      <c r="O2365" s="271"/>
      <c r="P2365" s="271"/>
      <c r="Q2365" s="272"/>
      <c r="R2365" s="273"/>
      <c r="S2365" s="273"/>
      <c r="T2365" s="273"/>
      <c r="U2365" s="274"/>
      <c r="V2365" s="263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</row>
    <row r="2366">
      <c r="A2366" s="263"/>
      <c r="B2366" s="264"/>
      <c r="C2366" s="265"/>
      <c r="D2366" s="265"/>
      <c r="E2366" s="264"/>
      <c r="F2366" s="265"/>
      <c r="G2366" s="263"/>
      <c r="H2366" s="432"/>
      <c r="I2366" s="282"/>
      <c r="J2366" s="283"/>
      <c r="K2366" s="265"/>
      <c r="L2366" s="265"/>
      <c r="M2366" s="269"/>
      <c r="N2366" s="270"/>
      <c r="O2366" s="271"/>
      <c r="P2366" s="271"/>
      <c r="Q2366" s="272"/>
      <c r="R2366" s="273"/>
      <c r="S2366" s="273"/>
      <c r="T2366" s="273"/>
      <c r="U2366" s="274"/>
      <c r="V2366" s="263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</row>
    <row r="2367">
      <c r="A2367" s="263"/>
      <c r="B2367" s="264"/>
      <c r="C2367" s="265"/>
      <c r="D2367" s="265"/>
      <c r="E2367" s="264"/>
      <c r="F2367" s="265"/>
      <c r="G2367" s="263"/>
      <c r="H2367" s="432"/>
      <c r="I2367" s="282"/>
      <c r="J2367" s="283"/>
      <c r="K2367" s="265"/>
      <c r="L2367" s="265"/>
      <c r="M2367" s="269"/>
      <c r="N2367" s="270"/>
      <c r="O2367" s="271"/>
      <c r="P2367" s="271"/>
      <c r="Q2367" s="272"/>
      <c r="R2367" s="273"/>
      <c r="S2367" s="273"/>
      <c r="T2367" s="273"/>
      <c r="U2367" s="274"/>
      <c r="V2367" s="263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</row>
    <row r="2368">
      <c r="A2368" s="263"/>
      <c r="B2368" s="264"/>
      <c r="C2368" s="265"/>
      <c r="D2368" s="265"/>
      <c r="E2368" s="264"/>
      <c r="F2368" s="265"/>
      <c r="G2368" s="263"/>
      <c r="H2368" s="432"/>
      <c r="I2368" s="282"/>
      <c r="J2368" s="283"/>
      <c r="K2368" s="265"/>
      <c r="L2368" s="265"/>
      <c r="M2368" s="269"/>
      <c r="N2368" s="270"/>
      <c r="O2368" s="271"/>
      <c r="P2368" s="271"/>
      <c r="Q2368" s="272"/>
      <c r="R2368" s="273"/>
      <c r="S2368" s="273"/>
      <c r="T2368" s="273"/>
      <c r="U2368" s="274"/>
      <c r="V2368" s="263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</row>
    <row r="2369">
      <c r="A2369" s="263"/>
      <c r="B2369" s="264"/>
      <c r="C2369" s="265"/>
      <c r="D2369" s="265"/>
      <c r="E2369" s="264"/>
      <c r="F2369" s="265"/>
      <c r="G2369" s="263"/>
      <c r="H2369" s="432"/>
      <c r="I2369" s="282"/>
      <c r="J2369" s="283"/>
      <c r="K2369" s="265"/>
      <c r="L2369" s="265"/>
      <c r="M2369" s="269"/>
      <c r="N2369" s="270"/>
      <c r="O2369" s="271"/>
      <c r="P2369" s="271"/>
      <c r="Q2369" s="272"/>
      <c r="R2369" s="273"/>
      <c r="S2369" s="273"/>
      <c r="T2369" s="273"/>
      <c r="U2369" s="274"/>
      <c r="V2369" s="263"/>
      <c r="W2369" s="188"/>
      <c r="X2369" s="188"/>
      <c r="Y2369" s="188"/>
      <c r="Z2369" s="188"/>
      <c r="AA2369" s="188"/>
      <c r="AB2369" s="188"/>
      <c r="AC2369" s="188"/>
      <c r="AD2369" s="188"/>
      <c r="AE2369" s="188"/>
      <c r="AF2369" s="188"/>
      <c r="AG2369" s="188"/>
      <c r="AH2369" s="188"/>
      <c r="AI2369" s="188"/>
    </row>
    <row r="2370">
      <c r="A2370" s="263"/>
      <c r="B2370" s="264"/>
      <c r="C2370" s="265"/>
      <c r="D2370" s="265"/>
      <c r="E2370" s="264"/>
      <c r="F2370" s="265"/>
      <c r="G2370" s="263"/>
      <c r="H2370" s="432"/>
      <c r="I2370" s="282"/>
      <c r="J2370" s="283"/>
      <c r="K2370" s="265"/>
      <c r="L2370" s="265"/>
      <c r="M2370" s="269"/>
      <c r="N2370" s="270"/>
      <c r="O2370" s="271"/>
      <c r="P2370" s="271"/>
      <c r="Q2370" s="272"/>
      <c r="R2370" s="273"/>
      <c r="S2370" s="273"/>
      <c r="T2370" s="273"/>
      <c r="U2370" s="274"/>
      <c r="V2370" s="263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</row>
    <row r="2371">
      <c r="A2371" s="263"/>
      <c r="B2371" s="264"/>
      <c r="C2371" s="265"/>
      <c r="D2371" s="265"/>
      <c r="E2371" s="264"/>
      <c r="F2371" s="265"/>
      <c r="G2371" s="263"/>
      <c r="H2371" s="432"/>
      <c r="I2371" s="282"/>
      <c r="J2371" s="283"/>
      <c r="K2371" s="265"/>
      <c r="L2371" s="265"/>
      <c r="M2371" s="269"/>
      <c r="N2371" s="270"/>
      <c r="O2371" s="271"/>
      <c r="P2371" s="271"/>
      <c r="Q2371" s="272"/>
      <c r="R2371" s="273"/>
      <c r="S2371" s="273"/>
      <c r="T2371" s="273"/>
      <c r="U2371" s="274"/>
      <c r="V2371" s="263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</row>
    <row r="2372">
      <c r="A2372" s="263"/>
      <c r="B2372" s="264"/>
      <c r="C2372" s="265"/>
      <c r="D2372" s="265"/>
      <c r="E2372" s="264"/>
      <c r="F2372" s="265"/>
      <c r="G2372" s="263"/>
      <c r="H2372" s="432"/>
      <c r="I2372" s="282"/>
      <c r="J2372" s="283"/>
      <c r="K2372" s="265"/>
      <c r="L2372" s="265"/>
      <c r="M2372" s="269"/>
      <c r="N2372" s="270"/>
      <c r="O2372" s="271"/>
      <c r="P2372" s="271"/>
      <c r="Q2372" s="272"/>
      <c r="R2372" s="273"/>
      <c r="S2372" s="273"/>
      <c r="T2372" s="273"/>
      <c r="U2372" s="274"/>
      <c r="V2372" s="263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</row>
    <row r="2373">
      <c r="A2373" s="263"/>
      <c r="B2373" s="264"/>
      <c r="C2373" s="265"/>
      <c r="D2373" s="265"/>
      <c r="E2373" s="264"/>
      <c r="F2373" s="265"/>
      <c r="G2373" s="263"/>
      <c r="H2373" s="432"/>
      <c r="I2373" s="282"/>
      <c r="J2373" s="283"/>
      <c r="K2373" s="265"/>
      <c r="L2373" s="265"/>
      <c r="M2373" s="269"/>
      <c r="N2373" s="270"/>
      <c r="O2373" s="271"/>
      <c r="P2373" s="271"/>
      <c r="Q2373" s="272"/>
      <c r="R2373" s="273"/>
      <c r="S2373" s="273"/>
      <c r="T2373" s="273"/>
      <c r="U2373" s="274"/>
      <c r="V2373" s="263"/>
      <c r="W2373" s="35"/>
      <c r="X2373" s="35"/>
      <c r="Y2373" s="35"/>
      <c r="Z2373" s="35"/>
      <c r="AA2373" s="35"/>
      <c r="AB2373" s="35"/>
      <c r="AC2373" s="35"/>
      <c r="AD2373" s="35"/>
      <c r="AE2373" s="35"/>
      <c r="AF2373" s="35"/>
      <c r="AG2373" s="35"/>
      <c r="AH2373" s="35"/>
      <c r="AI2373" s="35"/>
    </row>
    <row r="2374">
      <c r="A2374" s="263"/>
      <c r="B2374" s="264"/>
      <c r="C2374" s="265"/>
      <c r="D2374" s="265"/>
      <c r="E2374" s="264"/>
      <c r="F2374" s="265"/>
      <c r="G2374" s="263"/>
      <c r="H2374" s="432"/>
      <c r="I2374" s="282"/>
      <c r="J2374" s="283"/>
      <c r="K2374" s="265"/>
      <c r="L2374" s="265"/>
      <c r="M2374" s="269"/>
      <c r="N2374" s="270"/>
      <c r="O2374" s="271"/>
      <c r="P2374" s="271"/>
      <c r="Q2374" s="272"/>
      <c r="R2374" s="273"/>
      <c r="S2374" s="273"/>
      <c r="T2374" s="273"/>
      <c r="U2374" s="274"/>
      <c r="V2374" s="263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</row>
    <row r="2375">
      <c r="A2375" s="263"/>
      <c r="B2375" s="264"/>
      <c r="C2375" s="265"/>
      <c r="D2375" s="265"/>
      <c r="E2375" s="264"/>
      <c r="F2375" s="265"/>
      <c r="G2375" s="263"/>
      <c r="H2375" s="432"/>
      <c r="I2375" s="282"/>
      <c r="J2375" s="283"/>
      <c r="K2375" s="265"/>
      <c r="L2375" s="265"/>
      <c r="M2375" s="269"/>
      <c r="N2375" s="270"/>
      <c r="O2375" s="271"/>
      <c r="P2375" s="271"/>
      <c r="Q2375" s="272"/>
      <c r="R2375" s="273"/>
      <c r="S2375" s="273"/>
      <c r="T2375" s="273"/>
      <c r="U2375" s="274"/>
      <c r="V2375" s="263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</row>
    <row r="2376">
      <c r="A2376" s="263"/>
      <c r="B2376" s="264"/>
      <c r="C2376" s="265"/>
      <c r="D2376" s="265"/>
      <c r="E2376" s="264"/>
      <c r="F2376" s="265"/>
      <c r="G2376" s="263"/>
      <c r="H2376" s="432"/>
      <c r="I2376" s="282"/>
      <c r="J2376" s="283"/>
      <c r="K2376" s="265"/>
      <c r="L2376" s="265"/>
      <c r="M2376" s="269"/>
      <c r="N2376" s="270"/>
      <c r="O2376" s="271"/>
      <c r="P2376" s="271"/>
      <c r="Q2376" s="272"/>
      <c r="R2376" s="273"/>
      <c r="S2376" s="273"/>
      <c r="T2376" s="273"/>
      <c r="U2376" s="274"/>
      <c r="V2376" s="263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</row>
    <row r="2377">
      <c r="A2377" s="263"/>
      <c r="B2377" s="264"/>
      <c r="C2377" s="265"/>
      <c r="D2377" s="265"/>
      <c r="E2377" s="264"/>
      <c r="F2377" s="265"/>
      <c r="G2377" s="263"/>
      <c r="H2377" s="432"/>
      <c r="I2377" s="282"/>
      <c r="J2377" s="283"/>
      <c r="K2377" s="265"/>
      <c r="L2377" s="265"/>
      <c r="M2377" s="269"/>
      <c r="N2377" s="270"/>
      <c r="O2377" s="271"/>
      <c r="P2377" s="271"/>
      <c r="Q2377" s="272"/>
      <c r="R2377" s="273"/>
      <c r="S2377" s="273"/>
      <c r="T2377" s="273"/>
      <c r="U2377" s="274"/>
      <c r="V2377" s="263"/>
      <c r="W2377" s="188"/>
      <c r="X2377" s="188"/>
      <c r="Y2377" s="188"/>
      <c r="Z2377" s="188"/>
      <c r="AA2377" s="188"/>
      <c r="AB2377" s="188"/>
      <c r="AC2377" s="188"/>
      <c r="AD2377" s="188"/>
      <c r="AE2377" s="188"/>
      <c r="AF2377" s="188"/>
      <c r="AG2377" s="188"/>
      <c r="AH2377" s="188"/>
      <c r="AI2377" s="188"/>
    </row>
    <row r="2378">
      <c r="A2378" s="263"/>
      <c r="B2378" s="264"/>
      <c r="C2378" s="265"/>
      <c r="D2378" s="265"/>
      <c r="E2378" s="264"/>
      <c r="F2378" s="265"/>
      <c r="G2378" s="263"/>
      <c r="H2378" s="432"/>
      <c r="I2378" s="282"/>
      <c r="J2378" s="283"/>
      <c r="K2378" s="265"/>
      <c r="L2378" s="265"/>
      <c r="M2378" s="269"/>
      <c r="N2378" s="270"/>
      <c r="O2378" s="271"/>
      <c r="P2378" s="271"/>
      <c r="Q2378" s="272"/>
      <c r="R2378" s="273"/>
      <c r="S2378" s="273"/>
      <c r="T2378" s="273"/>
      <c r="U2378" s="274"/>
      <c r="V2378" s="263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</row>
    <row r="2379">
      <c r="A2379" s="263"/>
      <c r="B2379" s="264"/>
      <c r="C2379" s="265"/>
      <c r="D2379" s="265"/>
      <c r="E2379" s="264"/>
      <c r="F2379" s="265"/>
      <c r="G2379" s="263"/>
      <c r="H2379" s="432"/>
      <c r="I2379" s="282"/>
      <c r="J2379" s="283"/>
      <c r="K2379" s="265"/>
      <c r="L2379" s="265"/>
      <c r="M2379" s="269"/>
      <c r="N2379" s="270"/>
      <c r="O2379" s="271"/>
      <c r="P2379" s="271"/>
      <c r="Q2379" s="272"/>
      <c r="R2379" s="273"/>
      <c r="S2379" s="273"/>
      <c r="T2379" s="273"/>
      <c r="U2379" s="274"/>
      <c r="V2379" s="263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</row>
    <row r="2380">
      <c r="A2380" s="263"/>
      <c r="B2380" s="264"/>
      <c r="C2380" s="265"/>
      <c r="D2380" s="265"/>
      <c r="E2380" s="264"/>
      <c r="F2380" s="265"/>
      <c r="G2380" s="263"/>
      <c r="H2380" s="432"/>
      <c r="I2380" s="282"/>
      <c r="J2380" s="283"/>
      <c r="K2380" s="265"/>
      <c r="L2380" s="265"/>
      <c r="M2380" s="269"/>
      <c r="N2380" s="270"/>
      <c r="O2380" s="271"/>
      <c r="P2380" s="271"/>
      <c r="Q2380" s="272"/>
      <c r="R2380" s="273"/>
      <c r="S2380" s="273"/>
      <c r="T2380" s="273"/>
      <c r="U2380" s="274"/>
      <c r="V2380" s="263"/>
      <c r="W2380" s="188"/>
      <c r="X2380" s="188"/>
      <c r="Y2380" s="188"/>
      <c r="Z2380" s="188"/>
      <c r="AA2380" s="188"/>
      <c r="AB2380" s="188"/>
      <c r="AC2380" s="188"/>
      <c r="AD2380" s="188"/>
      <c r="AE2380" s="188"/>
      <c r="AF2380" s="188"/>
      <c r="AG2380" s="188"/>
      <c r="AH2380" s="188"/>
      <c r="AI2380" s="188"/>
    </row>
    <row r="2381">
      <c r="A2381" s="263"/>
      <c r="B2381" s="264"/>
      <c r="C2381" s="265"/>
      <c r="D2381" s="265"/>
      <c r="E2381" s="264"/>
      <c r="F2381" s="265"/>
      <c r="G2381" s="263"/>
      <c r="H2381" s="432"/>
      <c r="I2381" s="282"/>
      <c r="J2381" s="283"/>
      <c r="K2381" s="265"/>
      <c r="L2381" s="265"/>
      <c r="M2381" s="269"/>
      <c r="N2381" s="270"/>
      <c r="O2381" s="271"/>
      <c r="P2381" s="271"/>
      <c r="Q2381" s="272"/>
      <c r="R2381" s="273"/>
      <c r="S2381" s="273"/>
      <c r="T2381" s="273"/>
      <c r="U2381" s="274"/>
      <c r="V2381" s="263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</row>
    <row r="2382">
      <c r="A2382" s="263"/>
      <c r="B2382" s="264"/>
      <c r="C2382" s="265"/>
      <c r="D2382" s="265"/>
      <c r="E2382" s="264"/>
      <c r="F2382" s="265"/>
      <c r="G2382" s="263"/>
      <c r="H2382" s="432"/>
      <c r="I2382" s="282"/>
      <c r="J2382" s="283"/>
      <c r="K2382" s="265"/>
      <c r="L2382" s="265"/>
      <c r="M2382" s="269"/>
      <c r="N2382" s="270"/>
      <c r="O2382" s="271"/>
      <c r="P2382" s="271"/>
      <c r="Q2382" s="272"/>
      <c r="R2382" s="273"/>
      <c r="S2382" s="273"/>
      <c r="T2382" s="273"/>
      <c r="U2382" s="274"/>
      <c r="V2382" s="263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</row>
    <row r="2383">
      <c r="A2383" s="263"/>
      <c r="B2383" s="264"/>
      <c r="C2383" s="265"/>
      <c r="D2383" s="265"/>
      <c r="E2383" s="264"/>
      <c r="F2383" s="265"/>
      <c r="G2383" s="263"/>
      <c r="H2383" s="432"/>
      <c r="I2383" s="282"/>
      <c r="J2383" s="283"/>
      <c r="K2383" s="265"/>
      <c r="L2383" s="265"/>
      <c r="M2383" s="269"/>
      <c r="N2383" s="270"/>
      <c r="O2383" s="271"/>
      <c r="P2383" s="271"/>
      <c r="Q2383" s="272"/>
      <c r="R2383" s="273"/>
      <c r="S2383" s="273"/>
      <c r="T2383" s="273"/>
      <c r="U2383" s="274"/>
      <c r="V2383" s="263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</row>
    <row r="2384">
      <c r="A2384" s="263"/>
      <c r="B2384" s="264"/>
      <c r="C2384" s="265"/>
      <c r="D2384" s="265"/>
      <c r="E2384" s="264"/>
      <c r="F2384" s="265"/>
      <c r="G2384" s="263"/>
      <c r="H2384" s="432"/>
      <c r="I2384" s="282"/>
      <c r="J2384" s="283"/>
      <c r="K2384" s="265"/>
      <c r="L2384" s="265"/>
      <c r="M2384" s="269"/>
      <c r="N2384" s="270"/>
      <c r="O2384" s="271"/>
      <c r="P2384" s="271"/>
      <c r="Q2384" s="272"/>
      <c r="R2384" s="273"/>
      <c r="S2384" s="273"/>
      <c r="T2384" s="273"/>
      <c r="U2384" s="274"/>
      <c r="V2384" s="263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</row>
    <row r="2385">
      <c r="A2385" s="263"/>
      <c r="B2385" s="264"/>
      <c r="C2385" s="265"/>
      <c r="D2385" s="265"/>
      <c r="E2385" s="264"/>
      <c r="F2385" s="265"/>
      <c r="G2385" s="263"/>
      <c r="H2385" s="432"/>
      <c r="I2385" s="282"/>
      <c r="J2385" s="283"/>
      <c r="K2385" s="265"/>
      <c r="L2385" s="265"/>
      <c r="M2385" s="269"/>
      <c r="N2385" s="270"/>
      <c r="O2385" s="271"/>
      <c r="P2385" s="271"/>
      <c r="Q2385" s="272"/>
      <c r="R2385" s="273"/>
      <c r="S2385" s="273"/>
      <c r="T2385" s="273"/>
      <c r="U2385" s="274"/>
      <c r="V2385" s="263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</row>
    <row r="2386">
      <c r="A2386" s="263"/>
      <c r="B2386" s="264"/>
      <c r="C2386" s="265"/>
      <c r="D2386" s="265"/>
      <c r="E2386" s="264"/>
      <c r="F2386" s="265"/>
      <c r="G2386" s="263"/>
      <c r="H2386" s="432"/>
      <c r="I2386" s="282"/>
      <c r="J2386" s="283"/>
      <c r="K2386" s="265"/>
      <c r="L2386" s="265"/>
      <c r="M2386" s="269"/>
      <c r="N2386" s="270"/>
      <c r="O2386" s="271"/>
      <c r="P2386" s="271"/>
      <c r="Q2386" s="272"/>
      <c r="R2386" s="273"/>
      <c r="S2386" s="273"/>
      <c r="T2386" s="273"/>
      <c r="U2386" s="274"/>
      <c r="V2386" s="263"/>
      <c r="W2386" s="35"/>
      <c r="X2386" s="35"/>
      <c r="Y2386" s="35"/>
      <c r="Z2386" s="35"/>
      <c r="AA2386" s="35"/>
      <c r="AB2386" s="35"/>
      <c r="AC2386" s="35"/>
      <c r="AD2386" s="35"/>
      <c r="AE2386" s="35"/>
      <c r="AF2386" s="35"/>
      <c r="AG2386" s="35"/>
      <c r="AH2386" s="35"/>
      <c r="AI2386" s="35"/>
    </row>
    <row r="2387">
      <c r="A2387" s="263"/>
      <c r="B2387" s="264"/>
      <c r="C2387" s="265"/>
      <c r="D2387" s="265"/>
      <c r="E2387" s="264"/>
      <c r="F2387" s="265"/>
      <c r="G2387" s="263"/>
      <c r="H2387" s="432"/>
      <c r="I2387" s="282"/>
      <c r="J2387" s="283"/>
      <c r="K2387" s="265"/>
      <c r="L2387" s="265"/>
      <c r="M2387" s="269"/>
      <c r="N2387" s="270"/>
      <c r="O2387" s="271"/>
      <c r="P2387" s="271"/>
      <c r="Q2387" s="272"/>
      <c r="R2387" s="273"/>
      <c r="S2387" s="273"/>
      <c r="T2387" s="273"/>
      <c r="U2387" s="274"/>
      <c r="V2387" s="263"/>
      <c r="W2387" s="35"/>
      <c r="X2387" s="35"/>
      <c r="Y2387" s="35"/>
      <c r="Z2387" s="35"/>
      <c r="AA2387" s="35"/>
      <c r="AB2387" s="35"/>
      <c r="AC2387" s="35"/>
      <c r="AD2387" s="35"/>
      <c r="AE2387" s="35"/>
      <c r="AF2387" s="35"/>
      <c r="AG2387" s="35"/>
      <c r="AH2387" s="35"/>
      <c r="AI2387" s="35"/>
    </row>
    <row r="2388">
      <c r="A2388" s="263"/>
      <c r="B2388" s="264"/>
      <c r="C2388" s="265"/>
      <c r="D2388" s="265"/>
      <c r="E2388" s="264"/>
      <c r="F2388" s="265"/>
      <c r="G2388" s="263"/>
      <c r="H2388" s="432"/>
      <c r="I2388" s="282"/>
      <c r="J2388" s="283"/>
      <c r="K2388" s="265"/>
      <c r="L2388" s="265"/>
      <c r="M2388" s="269"/>
      <c r="N2388" s="270"/>
      <c r="O2388" s="271"/>
      <c r="P2388" s="271"/>
      <c r="Q2388" s="272"/>
      <c r="R2388" s="273"/>
      <c r="S2388" s="273"/>
      <c r="T2388" s="273"/>
      <c r="U2388" s="274"/>
      <c r="V2388" s="263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</row>
    <row r="2389">
      <c r="A2389" s="263"/>
      <c r="B2389" s="264"/>
      <c r="C2389" s="265"/>
      <c r="D2389" s="265"/>
      <c r="E2389" s="264"/>
      <c r="F2389" s="265"/>
      <c r="G2389" s="263"/>
      <c r="H2389" s="432"/>
      <c r="I2389" s="282"/>
      <c r="J2389" s="283"/>
      <c r="K2389" s="265"/>
      <c r="L2389" s="265"/>
      <c r="M2389" s="269"/>
      <c r="N2389" s="270"/>
      <c r="O2389" s="271"/>
      <c r="P2389" s="271"/>
      <c r="Q2389" s="272"/>
      <c r="R2389" s="273"/>
      <c r="S2389" s="273"/>
      <c r="T2389" s="273"/>
      <c r="U2389" s="274"/>
      <c r="V2389" s="263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</row>
    <row r="2390">
      <c r="A2390" s="263"/>
      <c r="B2390" s="264"/>
      <c r="C2390" s="265"/>
      <c r="D2390" s="265"/>
      <c r="E2390" s="264"/>
      <c r="F2390" s="265"/>
      <c r="G2390" s="263"/>
      <c r="H2390" s="432"/>
      <c r="I2390" s="282"/>
      <c r="J2390" s="283"/>
      <c r="K2390" s="265"/>
      <c r="L2390" s="265"/>
      <c r="M2390" s="269"/>
      <c r="N2390" s="270"/>
      <c r="O2390" s="271"/>
      <c r="P2390" s="271"/>
      <c r="Q2390" s="272"/>
      <c r="R2390" s="273"/>
      <c r="S2390" s="273"/>
      <c r="T2390" s="273"/>
      <c r="U2390" s="274"/>
      <c r="V2390" s="263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</row>
    <row r="2391">
      <c r="A2391" s="263"/>
      <c r="B2391" s="264"/>
      <c r="C2391" s="265"/>
      <c r="D2391" s="265"/>
      <c r="E2391" s="264"/>
      <c r="F2391" s="265"/>
      <c r="G2391" s="263"/>
      <c r="H2391" s="432"/>
      <c r="I2391" s="282"/>
      <c r="J2391" s="283"/>
      <c r="K2391" s="265"/>
      <c r="L2391" s="265"/>
      <c r="M2391" s="269"/>
      <c r="N2391" s="270"/>
      <c r="O2391" s="271"/>
      <c r="P2391" s="271"/>
      <c r="Q2391" s="272"/>
      <c r="R2391" s="273"/>
      <c r="S2391" s="273"/>
      <c r="T2391" s="273"/>
      <c r="U2391" s="274"/>
      <c r="V2391" s="263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</row>
    <row r="2392">
      <c r="A2392" s="263"/>
      <c r="B2392" s="264"/>
      <c r="C2392" s="265"/>
      <c r="D2392" s="265"/>
      <c r="E2392" s="264"/>
      <c r="F2392" s="265"/>
      <c r="G2392" s="263"/>
      <c r="H2392" s="432"/>
      <c r="I2392" s="282"/>
      <c r="J2392" s="283"/>
      <c r="K2392" s="265"/>
      <c r="L2392" s="265"/>
      <c r="M2392" s="269"/>
      <c r="N2392" s="270"/>
      <c r="O2392" s="271"/>
      <c r="P2392" s="271"/>
      <c r="Q2392" s="272"/>
      <c r="R2392" s="273"/>
      <c r="S2392" s="273"/>
      <c r="T2392" s="273"/>
      <c r="U2392" s="274"/>
      <c r="V2392" s="263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</row>
    <row r="2393">
      <c r="A2393" s="263"/>
      <c r="B2393" s="264"/>
      <c r="C2393" s="265"/>
      <c r="D2393" s="265"/>
      <c r="E2393" s="264"/>
      <c r="F2393" s="265"/>
      <c r="G2393" s="263"/>
      <c r="H2393" s="432"/>
      <c r="I2393" s="282"/>
      <c r="J2393" s="283"/>
      <c r="K2393" s="265"/>
      <c r="L2393" s="265"/>
      <c r="M2393" s="269"/>
      <c r="N2393" s="270"/>
      <c r="O2393" s="271"/>
      <c r="P2393" s="271"/>
      <c r="Q2393" s="272"/>
      <c r="R2393" s="273"/>
      <c r="S2393" s="273"/>
      <c r="T2393" s="273"/>
      <c r="U2393" s="274"/>
      <c r="V2393" s="263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</row>
    <row r="2394">
      <c r="A2394" s="263"/>
      <c r="B2394" s="264"/>
      <c r="C2394" s="265"/>
      <c r="D2394" s="265"/>
      <c r="E2394" s="264"/>
      <c r="F2394" s="265"/>
      <c r="G2394" s="263"/>
      <c r="H2394" s="432"/>
      <c r="I2394" s="282"/>
      <c r="J2394" s="283"/>
      <c r="K2394" s="265"/>
      <c r="L2394" s="265"/>
      <c r="M2394" s="269"/>
      <c r="N2394" s="270"/>
      <c r="O2394" s="271"/>
      <c r="P2394" s="271"/>
      <c r="Q2394" s="272"/>
      <c r="R2394" s="273"/>
      <c r="S2394" s="273"/>
      <c r="T2394" s="273"/>
      <c r="U2394" s="274"/>
      <c r="V2394" s="263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</row>
    <row r="2395">
      <c r="A2395" s="263"/>
      <c r="B2395" s="264"/>
      <c r="C2395" s="265"/>
      <c r="D2395" s="265"/>
      <c r="E2395" s="264"/>
      <c r="F2395" s="265"/>
      <c r="G2395" s="263"/>
      <c r="H2395" s="432"/>
      <c r="I2395" s="282"/>
      <c r="J2395" s="283"/>
      <c r="K2395" s="265"/>
      <c r="L2395" s="265"/>
      <c r="M2395" s="269"/>
      <c r="N2395" s="270"/>
      <c r="O2395" s="271"/>
      <c r="P2395" s="271"/>
      <c r="Q2395" s="272"/>
      <c r="R2395" s="273"/>
      <c r="S2395" s="273"/>
      <c r="T2395" s="273"/>
      <c r="U2395" s="274"/>
      <c r="V2395" s="263"/>
      <c r="W2395" s="188"/>
      <c r="X2395" s="188"/>
      <c r="Y2395" s="188"/>
      <c r="Z2395" s="188"/>
      <c r="AA2395" s="188"/>
      <c r="AB2395" s="188"/>
      <c r="AC2395" s="188"/>
      <c r="AD2395" s="188"/>
      <c r="AE2395" s="188"/>
      <c r="AF2395" s="188"/>
      <c r="AG2395" s="188"/>
      <c r="AH2395" s="188"/>
      <c r="AI2395" s="188"/>
    </row>
    <row r="2396">
      <c r="A2396" s="263"/>
      <c r="B2396" s="264"/>
      <c r="C2396" s="265"/>
      <c r="D2396" s="265"/>
      <c r="E2396" s="264"/>
      <c r="F2396" s="265"/>
      <c r="G2396" s="263"/>
      <c r="H2396" s="432"/>
      <c r="I2396" s="282"/>
      <c r="J2396" s="283"/>
      <c r="K2396" s="265"/>
      <c r="L2396" s="265"/>
      <c r="M2396" s="269"/>
      <c r="N2396" s="270"/>
      <c r="O2396" s="271"/>
      <c r="P2396" s="271"/>
      <c r="Q2396" s="272"/>
      <c r="R2396" s="273"/>
      <c r="S2396" s="273"/>
      <c r="T2396" s="273"/>
      <c r="U2396" s="274"/>
      <c r="V2396" s="263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</row>
    <row r="2397">
      <c r="A2397" s="263"/>
      <c r="B2397" s="264"/>
      <c r="C2397" s="265"/>
      <c r="D2397" s="265"/>
      <c r="E2397" s="264"/>
      <c r="F2397" s="265"/>
      <c r="G2397" s="263"/>
      <c r="H2397" s="432"/>
      <c r="I2397" s="282"/>
      <c r="J2397" s="283"/>
      <c r="K2397" s="265"/>
      <c r="L2397" s="265"/>
      <c r="M2397" s="269"/>
      <c r="N2397" s="270"/>
      <c r="O2397" s="271"/>
      <c r="P2397" s="271"/>
      <c r="Q2397" s="272"/>
      <c r="R2397" s="273"/>
      <c r="S2397" s="273"/>
      <c r="T2397" s="273"/>
      <c r="U2397" s="274"/>
      <c r="V2397" s="263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</row>
    <row r="2398">
      <c r="A2398" s="263"/>
      <c r="B2398" s="264"/>
      <c r="C2398" s="265"/>
      <c r="D2398" s="265"/>
      <c r="E2398" s="264"/>
      <c r="F2398" s="265"/>
      <c r="G2398" s="263"/>
      <c r="H2398" s="432"/>
      <c r="I2398" s="282"/>
      <c r="J2398" s="283"/>
      <c r="K2398" s="265"/>
      <c r="L2398" s="265"/>
      <c r="M2398" s="269"/>
      <c r="N2398" s="270"/>
      <c r="O2398" s="271"/>
      <c r="P2398" s="271"/>
      <c r="Q2398" s="272"/>
      <c r="R2398" s="273"/>
      <c r="S2398" s="273"/>
      <c r="T2398" s="273"/>
      <c r="U2398" s="274"/>
      <c r="V2398" s="263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</row>
    <row r="2399">
      <c r="A2399" s="263"/>
      <c r="B2399" s="264"/>
      <c r="C2399" s="265"/>
      <c r="D2399" s="265"/>
      <c r="E2399" s="264"/>
      <c r="F2399" s="265"/>
      <c r="G2399" s="263"/>
      <c r="H2399" s="432"/>
      <c r="I2399" s="282"/>
      <c r="J2399" s="283"/>
      <c r="K2399" s="265"/>
      <c r="L2399" s="265"/>
      <c r="M2399" s="269"/>
      <c r="N2399" s="270"/>
      <c r="O2399" s="271"/>
      <c r="P2399" s="271"/>
      <c r="Q2399" s="272"/>
      <c r="R2399" s="273"/>
      <c r="S2399" s="273"/>
      <c r="T2399" s="273"/>
      <c r="U2399" s="274"/>
      <c r="V2399" s="263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</row>
    <row r="2400">
      <c r="A2400" s="263"/>
      <c r="B2400" s="264"/>
      <c r="C2400" s="265"/>
      <c r="D2400" s="265"/>
      <c r="E2400" s="264"/>
      <c r="F2400" s="265"/>
      <c r="G2400" s="263"/>
      <c r="H2400" s="432"/>
      <c r="I2400" s="282"/>
      <c r="J2400" s="283"/>
      <c r="K2400" s="265"/>
      <c r="L2400" s="265"/>
      <c r="M2400" s="269"/>
      <c r="N2400" s="270"/>
      <c r="O2400" s="271"/>
      <c r="P2400" s="271"/>
      <c r="Q2400" s="272"/>
      <c r="R2400" s="273"/>
      <c r="S2400" s="273"/>
      <c r="T2400" s="273"/>
      <c r="U2400" s="274"/>
      <c r="V2400" s="263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</row>
    <row r="2401">
      <c r="A2401" s="263"/>
      <c r="B2401" s="264"/>
      <c r="C2401" s="265"/>
      <c r="D2401" s="265"/>
      <c r="E2401" s="264"/>
      <c r="F2401" s="265"/>
      <c r="G2401" s="263"/>
      <c r="H2401" s="432"/>
      <c r="I2401" s="282"/>
      <c r="J2401" s="283"/>
      <c r="K2401" s="265"/>
      <c r="L2401" s="265"/>
      <c r="M2401" s="269"/>
      <c r="N2401" s="270"/>
      <c r="O2401" s="271"/>
      <c r="P2401" s="271"/>
      <c r="Q2401" s="272"/>
      <c r="R2401" s="273"/>
      <c r="S2401" s="273"/>
      <c r="T2401" s="273"/>
      <c r="U2401" s="274"/>
      <c r="V2401" s="263"/>
      <c r="W2401" s="188"/>
      <c r="X2401" s="188"/>
      <c r="Y2401" s="188"/>
      <c r="Z2401" s="188"/>
      <c r="AA2401" s="188"/>
      <c r="AB2401" s="188"/>
      <c r="AC2401" s="188"/>
      <c r="AD2401" s="188"/>
      <c r="AE2401" s="188"/>
      <c r="AF2401" s="188"/>
      <c r="AG2401" s="188"/>
      <c r="AH2401" s="188"/>
      <c r="AI2401" s="188"/>
    </row>
    <row r="2402">
      <c r="A2402" s="263"/>
      <c r="B2402" s="264"/>
      <c r="C2402" s="265"/>
      <c r="D2402" s="265"/>
      <c r="E2402" s="264"/>
      <c r="F2402" s="265"/>
      <c r="G2402" s="263"/>
      <c r="H2402" s="432"/>
      <c r="I2402" s="282"/>
      <c r="J2402" s="283"/>
      <c r="K2402" s="265"/>
      <c r="L2402" s="265"/>
      <c r="M2402" s="269"/>
      <c r="N2402" s="270"/>
      <c r="O2402" s="271"/>
      <c r="P2402" s="271"/>
      <c r="Q2402" s="272"/>
      <c r="R2402" s="273"/>
      <c r="S2402" s="273"/>
      <c r="T2402" s="273"/>
      <c r="U2402" s="274"/>
      <c r="V2402" s="263"/>
      <c r="W2402" s="35"/>
      <c r="X2402" s="35"/>
      <c r="Y2402" s="35"/>
      <c r="Z2402" s="35"/>
      <c r="AA2402" s="35"/>
      <c r="AB2402" s="35"/>
      <c r="AC2402" s="35"/>
      <c r="AD2402" s="35"/>
      <c r="AE2402" s="35"/>
      <c r="AF2402" s="35"/>
      <c r="AG2402" s="35"/>
      <c r="AH2402" s="35"/>
      <c r="AI2402" s="35"/>
    </row>
    <row r="2403">
      <c r="A2403" s="263"/>
      <c r="B2403" s="264"/>
      <c r="C2403" s="265"/>
      <c r="D2403" s="265"/>
      <c r="E2403" s="264"/>
      <c r="F2403" s="265"/>
      <c r="G2403" s="263"/>
      <c r="H2403" s="432"/>
      <c r="I2403" s="282"/>
      <c r="J2403" s="283"/>
      <c r="K2403" s="265"/>
      <c r="L2403" s="265"/>
      <c r="M2403" s="269"/>
      <c r="N2403" s="270"/>
      <c r="O2403" s="271"/>
      <c r="P2403" s="271"/>
      <c r="Q2403" s="272"/>
      <c r="R2403" s="273"/>
      <c r="S2403" s="273"/>
      <c r="T2403" s="273"/>
      <c r="U2403" s="274"/>
      <c r="V2403" s="263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</row>
    <row r="2404">
      <c r="A2404" s="263"/>
      <c r="B2404" s="264"/>
      <c r="C2404" s="265"/>
      <c r="D2404" s="265"/>
      <c r="E2404" s="264"/>
      <c r="F2404" s="265"/>
      <c r="G2404" s="263"/>
      <c r="H2404" s="432"/>
      <c r="I2404" s="282"/>
      <c r="J2404" s="283"/>
      <c r="K2404" s="265"/>
      <c r="L2404" s="265"/>
      <c r="M2404" s="269"/>
      <c r="N2404" s="270"/>
      <c r="O2404" s="271"/>
      <c r="P2404" s="271"/>
      <c r="Q2404" s="272"/>
      <c r="R2404" s="273"/>
      <c r="S2404" s="273"/>
      <c r="T2404" s="273"/>
      <c r="U2404" s="274"/>
      <c r="V2404" s="263"/>
      <c r="W2404" s="188"/>
      <c r="X2404" s="188"/>
      <c r="Y2404" s="188"/>
      <c r="Z2404" s="188"/>
      <c r="AA2404" s="188"/>
      <c r="AB2404" s="188"/>
      <c r="AC2404" s="188"/>
      <c r="AD2404" s="188"/>
      <c r="AE2404" s="188"/>
      <c r="AF2404" s="188"/>
      <c r="AG2404" s="188"/>
      <c r="AH2404" s="188"/>
      <c r="AI2404" s="188"/>
    </row>
    <row r="2405">
      <c r="A2405" s="263"/>
      <c r="B2405" s="264"/>
      <c r="C2405" s="265"/>
      <c r="D2405" s="265"/>
      <c r="E2405" s="264"/>
      <c r="F2405" s="265"/>
      <c r="G2405" s="263"/>
      <c r="H2405" s="432"/>
      <c r="I2405" s="282"/>
      <c r="J2405" s="283"/>
      <c r="K2405" s="265"/>
      <c r="L2405" s="265"/>
      <c r="M2405" s="269"/>
      <c r="N2405" s="270"/>
      <c r="O2405" s="271"/>
      <c r="P2405" s="271"/>
      <c r="Q2405" s="272"/>
      <c r="R2405" s="273"/>
      <c r="S2405" s="273"/>
      <c r="T2405" s="273"/>
      <c r="U2405" s="274"/>
      <c r="V2405" s="263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</row>
    <row r="2406">
      <c r="A2406" s="263"/>
      <c r="B2406" s="264"/>
      <c r="C2406" s="265"/>
      <c r="D2406" s="265"/>
      <c r="E2406" s="264"/>
      <c r="F2406" s="265"/>
      <c r="G2406" s="263"/>
      <c r="H2406" s="432"/>
      <c r="I2406" s="282"/>
      <c r="J2406" s="283"/>
      <c r="K2406" s="265"/>
      <c r="L2406" s="265"/>
      <c r="M2406" s="269"/>
      <c r="N2406" s="270"/>
      <c r="O2406" s="271"/>
      <c r="P2406" s="271"/>
      <c r="Q2406" s="272"/>
      <c r="R2406" s="273"/>
      <c r="S2406" s="273"/>
      <c r="T2406" s="273"/>
      <c r="U2406" s="274"/>
      <c r="V2406" s="263"/>
      <c r="W2406" s="35"/>
      <c r="X2406" s="35"/>
      <c r="Y2406" s="35"/>
      <c r="Z2406" s="35"/>
      <c r="AA2406" s="35"/>
      <c r="AB2406" s="35"/>
      <c r="AC2406" s="35"/>
      <c r="AD2406" s="35"/>
      <c r="AE2406" s="35"/>
      <c r="AF2406" s="35"/>
      <c r="AG2406" s="35"/>
      <c r="AH2406" s="35"/>
      <c r="AI2406" s="35"/>
    </row>
    <row r="2407">
      <c r="A2407" s="263"/>
      <c r="B2407" s="264"/>
      <c r="C2407" s="265"/>
      <c r="D2407" s="265"/>
      <c r="E2407" s="264"/>
      <c r="F2407" s="265"/>
      <c r="G2407" s="263"/>
      <c r="H2407" s="432"/>
      <c r="I2407" s="282"/>
      <c r="J2407" s="283"/>
      <c r="K2407" s="265"/>
      <c r="L2407" s="265"/>
      <c r="M2407" s="269"/>
      <c r="N2407" s="270"/>
      <c r="O2407" s="271"/>
      <c r="P2407" s="271"/>
      <c r="Q2407" s="272"/>
      <c r="R2407" s="273"/>
      <c r="S2407" s="273"/>
      <c r="T2407" s="273"/>
      <c r="U2407" s="274"/>
      <c r="V2407" s="263"/>
      <c r="W2407" s="36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</row>
    <row r="2408">
      <c r="A2408" s="263"/>
      <c r="B2408" s="264"/>
      <c r="C2408" s="265"/>
      <c r="D2408" s="265"/>
      <c r="E2408" s="264"/>
      <c r="F2408" s="265"/>
      <c r="G2408" s="263"/>
      <c r="H2408" s="432"/>
      <c r="I2408" s="282"/>
      <c r="J2408" s="283"/>
      <c r="K2408" s="265"/>
      <c r="L2408" s="265"/>
      <c r="M2408" s="269"/>
      <c r="N2408" s="270"/>
      <c r="O2408" s="271"/>
      <c r="P2408" s="271"/>
      <c r="Q2408" s="272"/>
      <c r="R2408" s="273"/>
      <c r="S2408" s="273"/>
      <c r="T2408" s="273"/>
      <c r="U2408" s="274"/>
      <c r="V2408" s="263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</row>
    <row r="2409">
      <c r="A2409" s="263"/>
      <c r="B2409" s="264"/>
      <c r="C2409" s="265"/>
      <c r="D2409" s="265"/>
      <c r="E2409" s="264"/>
      <c r="F2409" s="265"/>
      <c r="G2409" s="263"/>
      <c r="H2409" s="432"/>
      <c r="I2409" s="282"/>
      <c r="J2409" s="283"/>
      <c r="K2409" s="265"/>
      <c r="L2409" s="265"/>
      <c r="M2409" s="269"/>
      <c r="N2409" s="270"/>
      <c r="O2409" s="271"/>
      <c r="P2409" s="271"/>
      <c r="Q2409" s="272"/>
      <c r="R2409" s="273"/>
      <c r="S2409" s="273"/>
      <c r="T2409" s="273"/>
      <c r="U2409" s="274"/>
      <c r="V2409" s="263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</row>
    <row r="2410">
      <c r="A2410" s="263"/>
      <c r="B2410" s="264"/>
      <c r="C2410" s="265"/>
      <c r="D2410" s="265"/>
      <c r="E2410" s="264"/>
      <c r="F2410" s="265"/>
      <c r="G2410" s="263"/>
      <c r="H2410" s="432"/>
      <c r="I2410" s="282"/>
      <c r="J2410" s="283"/>
      <c r="K2410" s="265"/>
      <c r="L2410" s="265"/>
      <c r="M2410" s="269"/>
      <c r="N2410" s="270"/>
      <c r="O2410" s="271"/>
      <c r="P2410" s="271"/>
      <c r="Q2410" s="272"/>
      <c r="R2410" s="273"/>
      <c r="S2410" s="273"/>
      <c r="T2410" s="273"/>
      <c r="U2410" s="274"/>
      <c r="V2410" s="263"/>
      <c r="W2410" s="35"/>
      <c r="X2410" s="35"/>
      <c r="Y2410" s="35"/>
      <c r="Z2410" s="35"/>
      <c r="AA2410" s="35"/>
      <c r="AB2410" s="35"/>
      <c r="AC2410" s="35"/>
      <c r="AD2410" s="35"/>
      <c r="AE2410" s="35"/>
      <c r="AF2410" s="35"/>
      <c r="AG2410" s="35"/>
      <c r="AH2410" s="35"/>
      <c r="AI2410" s="35"/>
    </row>
    <row r="2411">
      <c r="A2411" s="263"/>
      <c r="B2411" s="264"/>
      <c r="C2411" s="265"/>
      <c r="D2411" s="265"/>
      <c r="E2411" s="264"/>
      <c r="F2411" s="265"/>
      <c r="G2411" s="263"/>
      <c r="H2411" s="432"/>
      <c r="I2411" s="282"/>
      <c r="J2411" s="283"/>
      <c r="K2411" s="265"/>
      <c r="L2411" s="265"/>
      <c r="M2411" s="269"/>
      <c r="N2411" s="270"/>
      <c r="O2411" s="271"/>
      <c r="P2411" s="271"/>
      <c r="Q2411" s="272"/>
      <c r="R2411" s="273"/>
      <c r="S2411" s="273"/>
      <c r="T2411" s="273"/>
      <c r="U2411" s="274"/>
      <c r="V2411" s="263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</row>
    <row r="2412">
      <c r="A2412" s="263"/>
      <c r="B2412" s="264"/>
      <c r="C2412" s="265"/>
      <c r="D2412" s="265"/>
      <c r="E2412" s="264"/>
      <c r="F2412" s="265"/>
      <c r="G2412" s="263"/>
      <c r="H2412" s="432"/>
      <c r="I2412" s="282"/>
      <c r="J2412" s="283"/>
      <c r="K2412" s="265"/>
      <c r="L2412" s="265"/>
      <c r="M2412" s="269"/>
      <c r="N2412" s="270"/>
      <c r="O2412" s="271"/>
      <c r="P2412" s="271"/>
      <c r="Q2412" s="272"/>
      <c r="R2412" s="273"/>
      <c r="S2412" s="273"/>
      <c r="T2412" s="273"/>
      <c r="U2412" s="274"/>
      <c r="V2412" s="263"/>
      <c r="W2412" s="188"/>
      <c r="X2412" s="188"/>
      <c r="Y2412" s="188"/>
      <c r="Z2412" s="188"/>
      <c r="AA2412" s="188"/>
      <c r="AB2412" s="188"/>
      <c r="AC2412" s="188"/>
      <c r="AD2412" s="188"/>
      <c r="AE2412" s="188"/>
      <c r="AF2412" s="188"/>
      <c r="AG2412" s="188"/>
      <c r="AH2412" s="188"/>
      <c r="AI2412" s="188"/>
    </row>
    <row r="2413">
      <c r="A2413" s="263"/>
      <c r="B2413" s="264"/>
      <c r="C2413" s="265"/>
      <c r="D2413" s="265"/>
      <c r="E2413" s="264"/>
      <c r="F2413" s="265"/>
      <c r="G2413" s="263"/>
      <c r="H2413" s="432"/>
      <c r="I2413" s="282"/>
      <c r="J2413" s="283"/>
      <c r="K2413" s="265"/>
      <c r="L2413" s="265"/>
      <c r="M2413" s="269"/>
      <c r="N2413" s="270"/>
      <c r="O2413" s="271"/>
      <c r="P2413" s="271"/>
      <c r="Q2413" s="272"/>
      <c r="R2413" s="273"/>
      <c r="S2413" s="273"/>
      <c r="T2413" s="273"/>
      <c r="U2413" s="274"/>
      <c r="V2413" s="263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</row>
    <row r="2414">
      <c r="A2414" s="263"/>
      <c r="B2414" s="264"/>
      <c r="C2414" s="265"/>
      <c r="D2414" s="265"/>
      <c r="E2414" s="264"/>
      <c r="F2414" s="265"/>
      <c r="G2414" s="263"/>
      <c r="H2414" s="432"/>
      <c r="I2414" s="282"/>
      <c r="J2414" s="283"/>
      <c r="K2414" s="265"/>
      <c r="L2414" s="265"/>
      <c r="M2414" s="269"/>
      <c r="N2414" s="270"/>
      <c r="O2414" s="271"/>
      <c r="P2414" s="271"/>
      <c r="Q2414" s="272"/>
      <c r="R2414" s="273"/>
      <c r="S2414" s="273"/>
      <c r="T2414" s="273"/>
      <c r="U2414" s="274"/>
      <c r="V2414" s="263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</row>
    <row r="2415">
      <c r="A2415" s="263"/>
      <c r="B2415" s="264"/>
      <c r="C2415" s="265"/>
      <c r="D2415" s="265"/>
      <c r="E2415" s="264"/>
      <c r="F2415" s="265"/>
      <c r="G2415" s="263"/>
      <c r="H2415" s="432"/>
      <c r="I2415" s="282"/>
      <c r="J2415" s="283"/>
      <c r="K2415" s="265"/>
      <c r="L2415" s="265"/>
      <c r="M2415" s="269"/>
      <c r="N2415" s="270"/>
      <c r="O2415" s="271"/>
      <c r="P2415" s="271"/>
      <c r="Q2415" s="272"/>
      <c r="R2415" s="273"/>
      <c r="S2415" s="273"/>
      <c r="T2415" s="273"/>
      <c r="U2415" s="274"/>
      <c r="V2415" s="263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</row>
    <row r="2416">
      <c r="A2416" s="263"/>
      <c r="B2416" s="264"/>
      <c r="C2416" s="265"/>
      <c r="D2416" s="265"/>
      <c r="E2416" s="264"/>
      <c r="F2416" s="265"/>
      <c r="G2416" s="263"/>
      <c r="H2416" s="432"/>
      <c r="I2416" s="282"/>
      <c r="J2416" s="283"/>
      <c r="K2416" s="265"/>
      <c r="L2416" s="265"/>
      <c r="M2416" s="269"/>
      <c r="N2416" s="270"/>
      <c r="O2416" s="271"/>
      <c r="P2416" s="271"/>
      <c r="Q2416" s="272"/>
      <c r="R2416" s="273"/>
      <c r="S2416" s="273"/>
      <c r="T2416" s="273"/>
      <c r="U2416" s="274"/>
      <c r="V2416" s="263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</row>
    <row r="2417">
      <c r="A2417" s="263"/>
      <c r="B2417" s="264"/>
      <c r="C2417" s="265"/>
      <c r="D2417" s="265"/>
      <c r="E2417" s="264"/>
      <c r="F2417" s="265"/>
      <c r="G2417" s="263"/>
      <c r="H2417" s="432"/>
      <c r="I2417" s="282"/>
      <c r="J2417" s="283"/>
      <c r="K2417" s="265"/>
      <c r="L2417" s="265"/>
      <c r="M2417" s="269"/>
      <c r="N2417" s="270"/>
      <c r="O2417" s="271"/>
      <c r="P2417" s="271"/>
      <c r="Q2417" s="272"/>
      <c r="R2417" s="273"/>
      <c r="S2417" s="273"/>
      <c r="T2417" s="273"/>
      <c r="U2417" s="274"/>
      <c r="V2417" s="263"/>
      <c r="W2417" s="188"/>
      <c r="X2417" s="188"/>
      <c r="Y2417" s="188"/>
      <c r="Z2417" s="188"/>
      <c r="AA2417" s="188"/>
      <c r="AB2417" s="188"/>
      <c r="AC2417" s="188"/>
      <c r="AD2417" s="188"/>
      <c r="AE2417" s="188"/>
      <c r="AF2417" s="188"/>
      <c r="AG2417" s="188"/>
      <c r="AH2417" s="188"/>
      <c r="AI2417" s="188"/>
    </row>
    <row r="2418">
      <c r="A2418" s="263"/>
      <c r="B2418" s="264"/>
      <c r="C2418" s="265"/>
      <c r="D2418" s="265"/>
      <c r="E2418" s="264"/>
      <c r="F2418" s="265"/>
      <c r="G2418" s="263"/>
      <c r="H2418" s="432"/>
      <c r="I2418" s="282"/>
      <c r="J2418" s="283"/>
      <c r="K2418" s="265"/>
      <c r="L2418" s="265"/>
      <c r="M2418" s="269"/>
      <c r="N2418" s="270"/>
      <c r="O2418" s="271"/>
      <c r="P2418" s="271"/>
      <c r="Q2418" s="272"/>
      <c r="R2418" s="273"/>
      <c r="S2418" s="273"/>
      <c r="T2418" s="273"/>
      <c r="U2418" s="274"/>
      <c r="V2418" s="263"/>
      <c r="W2418" s="188"/>
      <c r="X2418" s="188"/>
      <c r="Y2418" s="188"/>
      <c r="Z2418" s="188"/>
      <c r="AA2418" s="188"/>
      <c r="AB2418" s="188"/>
      <c r="AC2418" s="188"/>
      <c r="AD2418" s="188"/>
      <c r="AE2418" s="188"/>
      <c r="AF2418" s="188"/>
      <c r="AG2418" s="188"/>
      <c r="AH2418" s="188"/>
      <c r="AI2418" s="188"/>
    </row>
    <row r="2419">
      <c r="A2419" s="263"/>
      <c r="B2419" s="264"/>
      <c r="C2419" s="265"/>
      <c r="D2419" s="265"/>
      <c r="E2419" s="264"/>
      <c r="F2419" s="265"/>
      <c r="G2419" s="263"/>
      <c r="H2419" s="432"/>
      <c r="I2419" s="282"/>
      <c r="J2419" s="283"/>
      <c r="K2419" s="265"/>
      <c r="L2419" s="265"/>
      <c r="M2419" s="269"/>
      <c r="N2419" s="270"/>
      <c r="O2419" s="271"/>
      <c r="P2419" s="271"/>
      <c r="Q2419" s="272"/>
      <c r="R2419" s="273"/>
      <c r="S2419" s="273"/>
      <c r="T2419" s="273"/>
      <c r="U2419" s="274"/>
      <c r="V2419" s="263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</row>
    <row r="2420">
      <c r="A2420" s="263"/>
      <c r="B2420" s="264"/>
      <c r="C2420" s="265"/>
      <c r="D2420" s="265"/>
      <c r="E2420" s="264"/>
      <c r="F2420" s="265"/>
      <c r="G2420" s="263"/>
      <c r="H2420" s="432"/>
      <c r="I2420" s="282"/>
      <c r="J2420" s="283"/>
      <c r="K2420" s="265"/>
      <c r="L2420" s="265"/>
      <c r="M2420" s="269"/>
      <c r="N2420" s="270"/>
      <c r="O2420" s="271"/>
      <c r="P2420" s="271"/>
      <c r="Q2420" s="272"/>
      <c r="R2420" s="273"/>
      <c r="S2420" s="273"/>
      <c r="T2420" s="273"/>
      <c r="U2420" s="274"/>
      <c r="V2420" s="263"/>
      <c r="W2420" s="35"/>
      <c r="X2420" s="35"/>
      <c r="Y2420" s="35"/>
      <c r="Z2420" s="35"/>
      <c r="AA2420" s="35"/>
      <c r="AB2420" s="35"/>
      <c r="AC2420" s="35"/>
      <c r="AD2420" s="35"/>
      <c r="AE2420" s="35"/>
      <c r="AF2420" s="35"/>
      <c r="AG2420" s="35"/>
      <c r="AH2420" s="35"/>
      <c r="AI2420" s="35"/>
    </row>
    <row r="2421">
      <c r="A2421" s="263"/>
      <c r="B2421" s="264"/>
      <c r="C2421" s="265"/>
      <c r="D2421" s="265"/>
      <c r="E2421" s="264"/>
      <c r="F2421" s="265"/>
      <c r="G2421" s="263"/>
      <c r="H2421" s="432"/>
      <c r="I2421" s="282"/>
      <c r="J2421" s="283"/>
      <c r="K2421" s="265"/>
      <c r="L2421" s="265"/>
      <c r="M2421" s="269"/>
      <c r="N2421" s="270"/>
      <c r="O2421" s="271"/>
      <c r="P2421" s="271"/>
      <c r="Q2421" s="272"/>
      <c r="R2421" s="273"/>
      <c r="S2421" s="273"/>
      <c r="T2421" s="273"/>
      <c r="U2421" s="274"/>
      <c r="V2421" s="263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</row>
    <row r="2422">
      <c r="A2422" s="263"/>
      <c r="B2422" s="264"/>
      <c r="C2422" s="265"/>
      <c r="D2422" s="265"/>
      <c r="E2422" s="264"/>
      <c r="F2422" s="265"/>
      <c r="G2422" s="263"/>
      <c r="H2422" s="432"/>
      <c r="I2422" s="282"/>
      <c r="J2422" s="283"/>
      <c r="K2422" s="265"/>
      <c r="L2422" s="265"/>
      <c r="M2422" s="269"/>
      <c r="N2422" s="270"/>
      <c r="O2422" s="271"/>
      <c r="P2422" s="271"/>
      <c r="Q2422" s="272"/>
      <c r="R2422" s="273"/>
      <c r="S2422" s="273"/>
      <c r="T2422" s="273"/>
      <c r="U2422" s="274"/>
      <c r="V2422" s="263"/>
      <c r="W2422" s="188"/>
      <c r="X2422" s="188"/>
      <c r="Y2422" s="188"/>
      <c r="Z2422" s="188"/>
      <c r="AA2422" s="188"/>
      <c r="AB2422" s="188"/>
      <c r="AC2422" s="188"/>
      <c r="AD2422" s="188"/>
      <c r="AE2422" s="188"/>
      <c r="AF2422" s="188"/>
      <c r="AG2422" s="188"/>
      <c r="AH2422" s="188"/>
      <c r="AI2422" s="188"/>
    </row>
    <row r="2423">
      <c r="A2423" s="263"/>
      <c r="B2423" s="264"/>
      <c r="C2423" s="265"/>
      <c r="D2423" s="265"/>
      <c r="E2423" s="264"/>
      <c r="F2423" s="265"/>
      <c r="G2423" s="263"/>
      <c r="H2423" s="432"/>
      <c r="I2423" s="282"/>
      <c r="J2423" s="283"/>
      <c r="K2423" s="265"/>
      <c r="L2423" s="265"/>
      <c r="M2423" s="269"/>
      <c r="N2423" s="270"/>
      <c r="O2423" s="271"/>
      <c r="P2423" s="271"/>
      <c r="Q2423" s="272"/>
      <c r="R2423" s="273"/>
      <c r="S2423" s="273"/>
      <c r="T2423" s="273"/>
      <c r="U2423" s="274"/>
      <c r="V2423" s="263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</row>
    <row r="2424">
      <c r="A2424" s="263"/>
      <c r="B2424" s="264"/>
      <c r="C2424" s="265"/>
      <c r="D2424" s="265"/>
      <c r="E2424" s="264"/>
      <c r="F2424" s="265"/>
      <c r="G2424" s="263"/>
      <c r="H2424" s="432"/>
      <c r="I2424" s="282"/>
      <c r="J2424" s="283"/>
      <c r="K2424" s="265"/>
      <c r="L2424" s="265"/>
      <c r="M2424" s="269"/>
      <c r="N2424" s="270"/>
      <c r="O2424" s="271"/>
      <c r="P2424" s="271"/>
      <c r="Q2424" s="272"/>
      <c r="R2424" s="273"/>
      <c r="S2424" s="273"/>
      <c r="T2424" s="273"/>
      <c r="U2424" s="274"/>
      <c r="V2424" s="263"/>
      <c r="W2424" s="188"/>
      <c r="X2424" s="188"/>
      <c r="Y2424" s="188"/>
      <c r="Z2424" s="188"/>
      <c r="AA2424" s="188"/>
      <c r="AB2424" s="188"/>
      <c r="AC2424" s="188"/>
      <c r="AD2424" s="188"/>
      <c r="AE2424" s="188"/>
      <c r="AF2424" s="188"/>
      <c r="AG2424" s="188"/>
      <c r="AH2424" s="188"/>
      <c r="AI2424" s="188"/>
    </row>
    <row r="2425">
      <c r="A2425" s="263"/>
      <c r="B2425" s="264"/>
      <c r="C2425" s="265"/>
      <c r="D2425" s="265"/>
      <c r="E2425" s="264"/>
      <c r="F2425" s="265"/>
      <c r="G2425" s="263"/>
      <c r="H2425" s="432"/>
      <c r="I2425" s="282"/>
      <c r="J2425" s="283"/>
      <c r="K2425" s="265"/>
      <c r="L2425" s="265"/>
      <c r="M2425" s="269"/>
      <c r="N2425" s="270"/>
      <c r="O2425" s="271"/>
      <c r="P2425" s="271"/>
      <c r="Q2425" s="272"/>
      <c r="R2425" s="273"/>
      <c r="S2425" s="273"/>
      <c r="T2425" s="273"/>
      <c r="U2425" s="274"/>
      <c r="V2425" s="263"/>
      <c r="W2425" s="35"/>
      <c r="X2425" s="35"/>
      <c r="Y2425" s="35"/>
      <c r="Z2425" s="35"/>
      <c r="AA2425" s="35"/>
      <c r="AB2425" s="35"/>
      <c r="AC2425" s="35"/>
      <c r="AD2425" s="35"/>
      <c r="AE2425" s="35"/>
      <c r="AF2425" s="35"/>
      <c r="AG2425" s="35"/>
      <c r="AH2425" s="35"/>
      <c r="AI2425" s="35"/>
    </row>
    <row r="2426">
      <c r="A2426" s="263"/>
      <c r="B2426" s="264"/>
      <c r="C2426" s="265"/>
      <c r="D2426" s="265"/>
      <c r="E2426" s="264"/>
      <c r="F2426" s="265"/>
      <c r="G2426" s="263"/>
      <c r="H2426" s="432"/>
      <c r="I2426" s="282"/>
      <c r="J2426" s="283"/>
      <c r="K2426" s="265"/>
      <c r="L2426" s="265"/>
      <c r="M2426" s="269"/>
      <c r="N2426" s="270"/>
      <c r="O2426" s="271"/>
      <c r="P2426" s="271"/>
      <c r="Q2426" s="272"/>
      <c r="R2426" s="273"/>
      <c r="S2426" s="273"/>
      <c r="T2426" s="273"/>
      <c r="U2426" s="274"/>
      <c r="V2426" s="263"/>
      <c r="W2426" s="35"/>
      <c r="X2426" s="35"/>
      <c r="Y2426" s="35"/>
      <c r="Z2426" s="35"/>
      <c r="AA2426" s="35"/>
      <c r="AB2426" s="35"/>
      <c r="AC2426" s="35"/>
      <c r="AD2426" s="35"/>
      <c r="AE2426" s="35"/>
      <c r="AF2426" s="35"/>
      <c r="AG2426" s="35"/>
      <c r="AH2426" s="35"/>
      <c r="AI2426" s="35"/>
    </row>
    <row r="2427">
      <c r="A2427" s="263"/>
      <c r="B2427" s="264"/>
      <c r="C2427" s="265"/>
      <c r="D2427" s="265"/>
      <c r="E2427" s="264"/>
      <c r="F2427" s="265"/>
      <c r="G2427" s="263"/>
      <c r="H2427" s="432"/>
      <c r="I2427" s="282"/>
      <c r="J2427" s="283"/>
      <c r="K2427" s="265"/>
      <c r="L2427" s="265"/>
      <c r="M2427" s="269"/>
      <c r="N2427" s="270"/>
      <c r="O2427" s="271"/>
      <c r="P2427" s="271"/>
      <c r="Q2427" s="272"/>
      <c r="R2427" s="273"/>
      <c r="S2427" s="273"/>
      <c r="T2427" s="273"/>
      <c r="U2427" s="274"/>
      <c r="V2427" s="263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</row>
    <row r="2428">
      <c r="A2428" s="263"/>
      <c r="B2428" s="264"/>
      <c r="C2428" s="265"/>
      <c r="D2428" s="265"/>
      <c r="E2428" s="264"/>
      <c r="F2428" s="265"/>
      <c r="G2428" s="263"/>
      <c r="H2428" s="432"/>
      <c r="I2428" s="282"/>
      <c r="J2428" s="283"/>
      <c r="K2428" s="265"/>
      <c r="L2428" s="265"/>
      <c r="M2428" s="269"/>
      <c r="N2428" s="270"/>
      <c r="O2428" s="271"/>
      <c r="P2428" s="271"/>
      <c r="Q2428" s="272"/>
      <c r="R2428" s="273"/>
      <c r="S2428" s="273"/>
      <c r="T2428" s="273"/>
      <c r="U2428" s="274"/>
      <c r="V2428" s="263"/>
      <c r="W2428" s="188"/>
      <c r="X2428" s="188"/>
      <c r="Y2428" s="188"/>
      <c r="Z2428" s="188"/>
      <c r="AA2428" s="188"/>
      <c r="AB2428" s="188"/>
      <c r="AC2428" s="188"/>
      <c r="AD2428" s="188"/>
      <c r="AE2428" s="188"/>
      <c r="AF2428" s="188"/>
      <c r="AG2428" s="188"/>
      <c r="AH2428" s="188"/>
      <c r="AI2428" s="188"/>
    </row>
    <row r="2429">
      <c r="A2429" s="263"/>
      <c r="B2429" s="264"/>
      <c r="C2429" s="265"/>
      <c r="D2429" s="265"/>
      <c r="E2429" s="264"/>
      <c r="F2429" s="265"/>
      <c r="G2429" s="263"/>
      <c r="H2429" s="432"/>
      <c r="I2429" s="282"/>
      <c r="J2429" s="283"/>
      <c r="K2429" s="265"/>
      <c r="L2429" s="265"/>
      <c r="M2429" s="269"/>
      <c r="N2429" s="270"/>
      <c r="O2429" s="271"/>
      <c r="P2429" s="271"/>
      <c r="Q2429" s="272"/>
      <c r="R2429" s="273"/>
      <c r="S2429" s="273"/>
      <c r="T2429" s="273"/>
      <c r="U2429" s="274"/>
      <c r="V2429" s="263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</row>
    <row r="2430">
      <c r="A2430" s="263"/>
      <c r="B2430" s="264"/>
      <c r="C2430" s="265"/>
      <c r="D2430" s="265"/>
      <c r="E2430" s="264"/>
      <c r="F2430" s="265"/>
      <c r="G2430" s="263"/>
      <c r="H2430" s="432"/>
      <c r="I2430" s="282"/>
      <c r="J2430" s="283"/>
      <c r="K2430" s="265"/>
      <c r="L2430" s="265"/>
      <c r="M2430" s="269"/>
      <c r="N2430" s="270"/>
      <c r="O2430" s="271"/>
      <c r="P2430" s="271"/>
      <c r="Q2430" s="272"/>
      <c r="R2430" s="273"/>
      <c r="S2430" s="273"/>
      <c r="T2430" s="273"/>
      <c r="U2430" s="274"/>
      <c r="V2430" s="263"/>
      <c r="W2430" s="188"/>
      <c r="X2430" s="188"/>
      <c r="Y2430" s="188"/>
      <c r="Z2430" s="188"/>
      <c r="AA2430" s="188"/>
      <c r="AB2430" s="188"/>
      <c r="AC2430" s="188"/>
      <c r="AD2430" s="188"/>
      <c r="AE2430" s="188"/>
      <c r="AF2430" s="188"/>
      <c r="AG2430" s="188"/>
      <c r="AH2430" s="188"/>
      <c r="AI2430" s="188"/>
    </row>
    <row r="2431">
      <c r="A2431" s="263"/>
      <c r="B2431" s="264"/>
      <c r="C2431" s="265"/>
      <c r="D2431" s="265"/>
      <c r="E2431" s="264"/>
      <c r="F2431" s="265"/>
      <c r="G2431" s="263"/>
      <c r="H2431" s="432"/>
      <c r="I2431" s="282"/>
      <c r="J2431" s="283"/>
      <c r="K2431" s="265"/>
      <c r="L2431" s="265"/>
      <c r="M2431" s="269"/>
      <c r="N2431" s="270"/>
      <c r="O2431" s="271"/>
      <c r="P2431" s="271"/>
      <c r="Q2431" s="272"/>
      <c r="R2431" s="273"/>
      <c r="S2431" s="273"/>
      <c r="T2431" s="273"/>
      <c r="U2431" s="274"/>
      <c r="V2431" s="263"/>
      <c r="W2431" s="188"/>
      <c r="X2431" s="188"/>
      <c r="Y2431" s="188"/>
      <c r="Z2431" s="188"/>
      <c r="AA2431" s="188"/>
      <c r="AB2431" s="188"/>
      <c r="AC2431" s="188"/>
      <c r="AD2431" s="188"/>
      <c r="AE2431" s="188"/>
      <c r="AF2431" s="188"/>
      <c r="AG2431" s="188"/>
      <c r="AH2431" s="188"/>
      <c r="AI2431" s="188"/>
    </row>
    <row r="2432">
      <c r="A2432" s="263"/>
      <c r="B2432" s="264"/>
      <c r="C2432" s="265"/>
      <c r="D2432" s="265"/>
      <c r="E2432" s="264"/>
      <c r="F2432" s="265"/>
      <c r="G2432" s="263"/>
      <c r="H2432" s="432"/>
      <c r="I2432" s="282"/>
      <c r="J2432" s="283"/>
      <c r="K2432" s="265"/>
      <c r="L2432" s="265"/>
      <c r="M2432" s="269"/>
      <c r="N2432" s="270"/>
      <c r="O2432" s="271"/>
      <c r="P2432" s="271"/>
      <c r="Q2432" s="272"/>
      <c r="R2432" s="273"/>
      <c r="S2432" s="273"/>
      <c r="T2432" s="273"/>
      <c r="U2432" s="274"/>
      <c r="V2432" s="263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</row>
    <row r="2433">
      <c r="A2433" s="263"/>
      <c r="B2433" s="264"/>
      <c r="C2433" s="265"/>
      <c r="D2433" s="265"/>
      <c r="E2433" s="264"/>
      <c r="F2433" s="265"/>
      <c r="G2433" s="263"/>
      <c r="H2433" s="432"/>
      <c r="I2433" s="282"/>
      <c r="J2433" s="283"/>
      <c r="K2433" s="265"/>
      <c r="L2433" s="265"/>
      <c r="M2433" s="269"/>
      <c r="N2433" s="270"/>
      <c r="O2433" s="271"/>
      <c r="P2433" s="271"/>
      <c r="Q2433" s="272"/>
      <c r="R2433" s="273"/>
      <c r="S2433" s="273"/>
      <c r="T2433" s="273"/>
      <c r="U2433" s="274"/>
      <c r="V2433" s="263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</row>
    <row r="2434">
      <c r="A2434" s="263"/>
      <c r="B2434" s="264"/>
      <c r="C2434" s="265"/>
      <c r="D2434" s="265"/>
      <c r="E2434" s="264"/>
      <c r="F2434" s="265"/>
      <c r="G2434" s="263"/>
      <c r="H2434" s="432"/>
      <c r="I2434" s="282"/>
      <c r="J2434" s="283"/>
      <c r="K2434" s="265"/>
      <c r="L2434" s="265"/>
      <c r="M2434" s="269"/>
      <c r="N2434" s="270"/>
      <c r="O2434" s="271"/>
      <c r="P2434" s="271"/>
      <c r="Q2434" s="272"/>
      <c r="R2434" s="273"/>
      <c r="S2434" s="273"/>
      <c r="T2434" s="273"/>
      <c r="U2434" s="274"/>
      <c r="V2434" s="263"/>
      <c r="W2434" s="35"/>
      <c r="X2434" s="35"/>
      <c r="Y2434" s="35"/>
      <c r="Z2434" s="35"/>
      <c r="AA2434" s="35"/>
      <c r="AB2434" s="35"/>
      <c r="AC2434" s="35"/>
      <c r="AD2434" s="35"/>
      <c r="AE2434" s="35"/>
      <c r="AF2434" s="35"/>
      <c r="AG2434" s="35"/>
      <c r="AH2434" s="35"/>
      <c r="AI2434" s="35"/>
    </row>
    <row r="2435">
      <c r="A2435" s="263"/>
      <c r="B2435" s="264"/>
      <c r="C2435" s="265"/>
      <c r="D2435" s="265"/>
      <c r="E2435" s="264"/>
      <c r="F2435" s="265"/>
      <c r="G2435" s="263"/>
      <c r="H2435" s="432"/>
      <c r="I2435" s="282"/>
      <c r="J2435" s="283"/>
      <c r="K2435" s="265"/>
      <c r="L2435" s="265"/>
      <c r="M2435" s="269"/>
      <c r="N2435" s="270"/>
      <c r="O2435" s="271"/>
      <c r="P2435" s="271"/>
      <c r="Q2435" s="272"/>
      <c r="R2435" s="273"/>
      <c r="S2435" s="273"/>
      <c r="T2435" s="273"/>
      <c r="U2435" s="274"/>
      <c r="V2435" s="263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</row>
    <row r="2436">
      <c r="A2436" s="263"/>
      <c r="B2436" s="264"/>
      <c r="C2436" s="265"/>
      <c r="D2436" s="265"/>
      <c r="E2436" s="264"/>
      <c r="F2436" s="265"/>
      <c r="G2436" s="263"/>
      <c r="H2436" s="432"/>
      <c r="I2436" s="282"/>
      <c r="J2436" s="283"/>
      <c r="K2436" s="265"/>
      <c r="L2436" s="265"/>
      <c r="M2436" s="269"/>
      <c r="N2436" s="270"/>
      <c r="O2436" s="271"/>
      <c r="P2436" s="271"/>
      <c r="Q2436" s="272"/>
      <c r="R2436" s="273"/>
      <c r="S2436" s="273"/>
      <c r="T2436" s="273"/>
      <c r="U2436" s="274"/>
      <c r="V2436" s="263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</row>
    <row r="2437">
      <c r="A2437" s="263"/>
      <c r="B2437" s="264"/>
      <c r="C2437" s="265"/>
      <c r="D2437" s="265"/>
      <c r="E2437" s="264"/>
      <c r="F2437" s="265"/>
      <c r="G2437" s="263"/>
      <c r="H2437" s="432"/>
      <c r="I2437" s="282"/>
      <c r="J2437" s="283"/>
      <c r="K2437" s="265"/>
      <c r="L2437" s="265"/>
      <c r="M2437" s="269"/>
      <c r="N2437" s="270"/>
      <c r="O2437" s="271"/>
      <c r="P2437" s="271"/>
      <c r="Q2437" s="272"/>
      <c r="R2437" s="273"/>
      <c r="S2437" s="273"/>
      <c r="T2437" s="273"/>
      <c r="U2437" s="274"/>
      <c r="V2437" s="263"/>
      <c r="W2437" s="35"/>
      <c r="X2437" s="35"/>
      <c r="Y2437" s="35"/>
      <c r="Z2437" s="35"/>
      <c r="AA2437" s="35"/>
      <c r="AB2437" s="35"/>
      <c r="AC2437" s="35"/>
      <c r="AD2437" s="35"/>
      <c r="AE2437" s="35"/>
      <c r="AF2437" s="35"/>
      <c r="AG2437" s="35"/>
      <c r="AH2437" s="35"/>
      <c r="AI2437" s="35"/>
    </row>
    <row r="2438">
      <c r="A2438" s="263"/>
      <c r="B2438" s="264"/>
      <c r="C2438" s="265"/>
      <c r="D2438" s="265"/>
      <c r="E2438" s="264"/>
      <c r="F2438" s="265"/>
      <c r="G2438" s="263"/>
      <c r="H2438" s="432"/>
      <c r="I2438" s="282"/>
      <c r="J2438" s="283"/>
      <c r="K2438" s="265"/>
      <c r="L2438" s="265"/>
      <c r="M2438" s="269"/>
      <c r="N2438" s="270"/>
      <c r="O2438" s="271"/>
      <c r="P2438" s="271"/>
      <c r="Q2438" s="272"/>
      <c r="R2438" s="273"/>
      <c r="S2438" s="273"/>
      <c r="T2438" s="273"/>
      <c r="U2438" s="274"/>
      <c r="V2438" s="263"/>
      <c r="W2438" s="188"/>
      <c r="X2438" s="188"/>
      <c r="Y2438" s="188"/>
      <c r="Z2438" s="188"/>
      <c r="AA2438" s="188"/>
      <c r="AB2438" s="188"/>
      <c r="AC2438" s="188"/>
      <c r="AD2438" s="188"/>
      <c r="AE2438" s="188"/>
      <c r="AF2438" s="188"/>
      <c r="AG2438" s="188"/>
      <c r="AH2438" s="188"/>
      <c r="AI2438" s="188"/>
    </row>
    <row r="2439">
      <c r="A2439" s="263"/>
      <c r="B2439" s="264"/>
      <c r="C2439" s="265"/>
      <c r="D2439" s="265"/>
      <c r="E2439" s="264"/>
      <c r="F2439" s="265"/>
      <c r="G2439" s="263"/>
      <c r="H2439" s="432"/>
      <c r="I2439" s="282"/>
      <c r="J2439" s="283"/>
      <c r="K2439" s="265"/>
      <c r="L2439" s="265"/>
      <c r="M2439" s="269"/>
      <c r="N2439" s="270"/>
      <c r="O2439" s="271"/>
      <c r="P2439" s="271"/>
      <c r="Q2439" s="272"/>
      <c r="R2439" s="273"/>
      <c r="S2439" s="273"/>
      <c r="T2439" s="273"/>
      <c r="U2439" s="274"/>
      <c r="V2439" s="263"/>
      <c r="W2439" s="35"/>
      <c r="X2439" s="35"/>
      <c r="Y2439" s="35"/>
      <c r="Z2439" s="35"/>
      <c r="AA2439" s="35"/>
      <c r="AB2439" s="35"/>
      <c r="AC2439" s="35"/>
      <c r="AD2439" s="35"/>
      <c r="AE2439" s="35"/>
      <c r="AF2439" s="35"/>
      <c r="AG2439" s="35"/>
      <c r="AH2439" s="35"/>
      <c r="AI2439" s="35"/>
    </row>
    <row r="2440">
      <c r="A2440" s="263"/>
      <c r="B2440" s="264"/>
      <c r="C2440" s="265"/>
      <c r="D2440" s="265"/>
      <c r="E2440" s="264"/>
      <c r="F2440" s="265"/>
      <c r="G2440" s="263"/>
      <c r="H2440" s="432"/>
      <c r="I2440" s="282"/>
      <c r="J2440" s="283"/>
      <c r="K2440" s="265"/>
      <c r="L2440" s="265"/>
      <c r="M2440" s="269"/>
      <c r="N2440" s="270"/>
      <c r="O2440" s="271"/>
      <c r="P2440" s="271"/>
      <c r="Q2440" s="272"/>
      <c r="R2440" s="273"/>
      <c r="S2440" s="273"/>
      <c r="T2440" s="273"/>
      <c r="U2440" s="274"/>
      <c r="V2440" s="263"/>
      <c r="W2440" s="188"/>
      <c r="X2440" s="188"/>
      <c r="Y2440" s="188"/>
      <c r="Z2440" s="188"/>
      <c r="AA2440" s="188"/>
      <c r="AB2440" s="188"/>
      <c r="AC2440" s="188"/>
      <c r="AD2440" s="188"/>
      <c r="AE2440" s="188"/>
      <c r="AF2440" s="188"/>
      <c r="AG2440" s="188"/>
      <c r="AH2440" s="188"/>
      <c r="AI2440" s="188"/>
    </row>
    <row r="2441">
      <c r="A2441" s="263"/>
      <c r="B2441" s="264"/>
      <c r="C2441" s="265"/>
      <c r="D2441" s="265"/>
      <c r="E2441" s="264"/>
      <c r="F2441" s="265"/>
      <c r="G2441" s="263"/>
      <c r="H2441" s="432"/>
      <c r="I2441" s="282"/>
      <c r="J2441" s="283"/>
      <c r="K2441" s="265"/>
      <c r="L2441" s="265"/>
      <c r="M2441" s="269"/>
      <c r="N2441" s="270"/>
      <c r="O2441" s="271"/>
      <c r="P2441" s="271"/>
      <c r="Q2441" s="272"/>
      <c r="R2441" s="273"/>
      <c r="S2441" s="273"/>
      <c r="T2441" s="273"/>
      <c r="U2441" s="274"/>
      <c r="V2441" s="263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</row>
    <row r="2442">
      <c r="A2442" s="263"/>
      <c r="B2442" s="264"/>
      <c r="C2442" s="265"/>
      <c r="D2442" s="265"/>
      <c r="E2442" s="264"/>
      <c r="F2442" s="265"/>
      <c r="G2442" s="263"/>
      <c r="H2442" s="432"/>
      <c r="I2442" s="282"/>
      <c r="J2442" s="283"/>
      <c r="K2442" s="265"/>
      <c r="L2442" s="265"/>
      <c r="M2442" s="269"/>
      <c r="N2442" s="270"/>
      <c r="O2442" s="271"/>
      <c r="P2442" s="271"/>
      <c r="Q2442" s="272"/>
      <c r="R2442" s="273"/>
      <c r="S2442" s="273"/>
      <c r="T2442" s="273"/>
      <c r="U2442" s="274"/>
      <c r="V2442" s="263"/>
      <c r="W2442" s="188"/>
      <c r="X2442" s="188"/>
      <c r="Y2442" s="188"/>
      <c r="Z2442" s="188"/>
      <c r="AA2442" s="188"/>
      <c r="AB2442" s="188"/>
      <c r="AC2442" s="188"/>
      <c r="AD2442" s="188"/>
      <c r="AE2442" s="188"/>
      <c r="AF2442" s="188"/>
      <c r="AG2442" s="188"/>
      <c r="AH2442" s="188"/>
      <c r="AI2442" s="188"/>
    </row>
    <row r="2443">
      <c r="A2443" s="263"/>
      <c r="B2443" s="264"/>
      <c r="C2443" s="265"/>
      <c r="D2443" s="265"/>
      <c r="E2443" s="264"/>
      <c r="F2443" s="265"/>
      <c r="G2443" s="263"/>
      <c r="H2443" s="432"/>
      <c r="I2443" s="282"/>
      <c r="J2443" s="283"/>
      <c r="K2443" s="265"/>
      <c r="L2443" s="265"/>
      <c r="M2443" s="269"/>
      <c r="N2443" s="270"/>
      <c r="O2443" s="271"/>
      <c r="P2443" s="271"/>
      <c r="Q2443" s="272"/>
      <c r="R2443" s="273"/>
      <c r="S2443" s="273"/>
      <c r="T2443" s="273"/>
      <c r="U2443" s="274"/>
      <c r="V2443" s="263"/>
      <c r="W2443" s="188"/>
      <c r="X2443" s="188"/>
      <c r="Y2443" s="188"/>
      <c r="Z2443" s="188"/>
      <c r="AA2443" s="188"/>
      <c r="AB2443" s="188"/>
      <c r="AC2443" s="188"/>
      <c r="AD2443" s="188"/>
      <c r="AE2443" s="188"/>
      <c r="AF2443" s="188"/>
      <c r="AG2443" s="188"/>
      <c r="AH2443" s="188"/>
      <c r="AI2443" s="188"/>
    </row>
    <row r="2444">
      <c r="A2444" s="263"/>
      <c r="B2444" s="264"/>
      <c r="C2444" s="265"/>
      <c r="D2444" s="265"/>
      <c r="E2444" s="264"/>
      <c r="F2444" s="265"/>
      <c r="G2444" s="263"/>
      <c r="H2444" s="432"/>
      <c r="I2444" s="282"/>
      <c r="J2444" s="283"/>
      <c r="K2444" s="265"/>
      <c r="L2444" s="265"/>
      <c r="M2444" s="269"/>
      <c r="N2444" s="270"/>
      <c r="O2444" s="271"/>
      <c r="P2444" s="271"/>
      <c r="Q2444" s="272"/>
      <c r="R2444" s="273"/>
      <c r="S2444" s="273"/>
      <c r="T2444" s="273"/>
      <c r="U2444" s="274"/>
      <c r="V2444" s="263"/>
      <c r="W2444" s="188"/>
      <c r="X2444" s="188"/>
      <c r="Y2444" s="188"/>
      <c r="Z2444" s="188"/>
      <c r="AA2444" s="188"/>
      <c r="AB2444" s="188"/>
      <c r="AC2444" s="188"/>
      <c r="AD2444" s="188"/>
      <c r="AE2444" s="188"/>
      <c r="AF2444" s="188"/>
      <c r="AG2444" s="188"/>
      <c r="AH2444" s="188"/>
      <c r="AI2444" s="188"/>
    </row>
    <row r="2445">
      <c r="A2445" s="263"/>
      <c r="B2445" s="264"/>
      <c r="C2445" s="265"/>
      <c r="D2445" s="265"/>
      <c r="E2445" s="264"/>
      <c r="F2445" s="265"/>
      <c r="G2445" s="263"/>
      <c r="H2445" s="432"/>
      <c r="I2445" s="282"/>
      <c r="J2445" s="283"/>
      <c r="K2445" s="265"/>
      <c r="L2445" s="265"/>
      <c r="M2445" s="269"/>
      <c r="N2445" s="270"/>
      <c r="O2445" s="271"/>
      <c r="P2445" s="271"/>
      <c r="Q2445" s="272"/>
      <c r="R2445" s="273"/>
      <c r="S2445" s="273"/>
      <c r="T2445" s="273"/>
      <c r="U2445" s="274"/>
      <c r="V2445" s="263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</row>
    <row r="2446">
      <c r="A2446" s="263"/>
      <c r="B2446" s="264"/>
      <c r="C2446" s="265"/>
      <c r="D2446" s="265"/>
      <c r="E2446" s="264"/>
      <c r="F2446" s="265"/>
      <c r="G2446" s="263"/>
      <c r="H2446" s="432"/>
      <c r="I2446" s="282"/>
      <c r="J2446" s="283"/>
      <c r="K2446" s="265"/>
      <c r="L2446" s="265"/>
      <c r="M2446" s="269"/>
      <c r="N2446" s="270"/>
      <c r="O2446" s="271"/>
      <c r="P2446" s="271"/>
      <c r="Q2446" s="272"/>
      <c r="R2446" s="273"/>
      <c r="S2446" s="273"/>
      <c r="T2446" s="273"/>
      <c r="U2446" s="274"/>
      <c r="V2446" s="263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</row>
    <row r="2447">
      <c r="A2447" s="263"/>
      <c r="B2447" s="264"/>
      <c r="C2447" s="265"/>
      <c r="D2447" s="265"/>
      <c r="E2447" s="264"/>
      <c r="F2447" s="265"/>
      <c r="G2447" s="263"/>
      <c r="H2447" s="432"/>
      <c r="I2447" s="282"/>
      <c r="J2447" s="283"/>
      <c r="K2447" s="265"/>
      <c r="L2447" s="265"/>
      <c r="M2447" s="269"/>
      <c r="N2447" s="270"/>
      <c r="O2447" s="271"/>
      <c r="P2447" s="271"/>
      <c r="Q2447" s="272"/>
      <c r="R2447" s="273"/>
      <c r="S2447" s="273"/>
      <c r="T2447" s="273"/>
      <c r="U2447" s="274"/>
      <c r="V2447" s="263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</row>
    <row r="2448">
      <c r="A2448" s="263"/>
      <c r="B2448" s="264"/>
      <c r="C2448" s="265"/>
      <c r="D2448" s="265"/>
      <c r="E2448" s="264"/>
      <c r="F2448" s="265"/>
      <c r="G2448" s="263"/>
      <c r="H2448" s="432"/>
      <c r="I2448" s="282"/>
      <c r="J2448" s="283"/>
      <c r="K2448" s="265"/>
      <c r="L2448" s="265"/>
      <c r="M2448" s="269"/>
      <c r="N2448" s="270"/>
      <c r="O2448" s="271"/>
      <c r="P2448" s="271"/>
      <c r="Q2448" s="272"/>
      <c r="R2448" s="273"/>
      <c r="S2448" s="273"/>
      <c r="T2448" s="273"/>
      <c r="U2448" s="274"/>
      <c r="V2448" s="263"/>
      <c r="W2448" s="188"/>
      <c r="X2448" s="188"/>
      <c r="Y2448" s="188"/>
      <c r="Z2448" s="188"/>
      <c r="AA2448" s="188"/>
      <c r="AB2448" s="188"/>
      <c r="AC2448" s="188"/>
      <c r="AD2448" s="188"/>
      <c r="AE2448" s="188"/>
      <c r="AF2448" s="188"/>
      <c r="AG2448" s="188"/>
      <c r="AH2448" s="188"/>
      <c r="AI2448" s="188"/>
    </row>
    <row r="2449">
      <c r="A2449" s="263"/>
      <c r="B2449" s="264"/>
      <c r="C2449" s="265"/>
      <c r="D2449" s="265"/>
      <c r="E2449" s="264"/>
      <c r="F2449" s="265"/>
      <c r="G2449" s="263"/>
      <c r="H2449" s="432"/>
      <c r="I2449" s="282"/>
      <c r="J2449" s="283"/>
      <c r="K2449" s="265"/>
      <c r="L2449" s="265"/>
      <c r="M2449" s="269"/>
      <c r="N2449" s="270"/>
      <c r="O2449" s="271"/>
      <c r="P2449" s="271"/>
      <c r="Q2449" s="272"/>
      <c r="R2449" s="273"/>
      <c r="S2449" s="273"/>
      <c r="T2449" s="273"/>
      <c r="U2449" s="274"/>
      <c r="V2449" s="263"/>
      <c r="W2449" s="35"/>
      <c r="X2449" s="35"/>
      <c r="Y2449" s="35"/>
      <c r="Z2449" s="35"/>
      <c r="AA2449" s="35"/>
      <c r="AB2449" s="35"/>
      <c r="AC2449" s="35"/>
      <c r="AD2449" s="35"/>
      <c r="AE2449" s="35"/>
      <c r="AF2449" s="35"/>
      <c r="AG2449" s="35"/>
      <c r="AH2449" s="35"/>
      <c r="AI2449" s="35"/>
    </row>
    <row r="2450">
      <c r="A2450" s="263"/>
      <c r="B2450" s="264"/>
      <c r="C2450" s="265"/>
      <c r="D2450" s="265"/>
      <c r="E2450" s="264"/>
      <c r="F2450" s="265"/>
      <c r="G2450" s="263"/>
      <c r="H2450" s="432"/>
      <c r="I2450" s="282"/>
      <c r="J2450" s="283"/>
      <c r="K2450" s="265"/>
      <c r="L2450" s="265"/>
      <c r="M2450" s="269"/>
      <c r="N2450" s="270"/>
      <c r="O2450" s="271"/>
      <c r="P2450" s="271"/>
      <c r="Q2450" s="272"/>
      <c r="R2450" s="273"/>
      <c r="S2450" s="273"/>
      <c r="T2450" s="273"/>
      <c r="U2450" s="274"/>
      <c r="V2450" s="263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</row>
    <row r="2451">
      <c r="A2451" s="263"/>
      <c r="B2451" s="264"/>
      <c r="C2451" s="265"/>
      <c r="D2451" s="265"/>
      <c r="E2451" s="264"/>
      <c r="F2451" s="265"/>
      <c r="G2451" s="263"/>
      <c r="H2451" s="432"/>
      <c r="I2451" s="282"/>
      <c r="J2451" s="283"/>
      <c r="K2451" s="265"/>
      <c r="L2451" s="265"/>
      <c r="M2451" s="269"/>
      <c r="N2451" s="270"/>
      <c r="O2451" s="271"/>
      <c r="P2451" s="271"/>
      <c r="Q2451" s="272"/>
      <c r="R2451" s="273"/>
      <c r="S2451" s="273"/>
      <c r="T2451" s="273"/>
      <c r="U2451" s="274"/>
      <c r="V2451" s="263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</row>
    <row r="2452">
      <c r="A2452" s="263"/>
      <c r="B2452" s="264"/>
      <c r="C2452" s="265"/>
      <c r="D2452" s="265"/>
      <c r="E2452" s="264"/>
      <c r="F2452" s="265"/>
      <c r="G2452" s="263"/>
      <c r="H2452" s="432"/>
      <c r="I2452" s="282"/>
      <c r="J2452" s="283"/>
      <c r="K2452" s="265"/>
      <c r="L2452" s="265"/>
      <c r="M2452" s="269"/>
      <c r="N2452" s="270"/>
      <c r="O2452" s="271"/>
      <c r="P2452" s="271"/>
      <c r="Q2452" s="272"/>
      <c r="R2452" s="273"/>
      <c r="S2452" s="273"/>
      <c r="T2452" s="273"/>
      <c r="U2452" s="274"/>
      <c r="V2452" s="263"/>
      <c r="W2452" s="188"/>
      <c r="X2452" s="188"/>
      <c r="Y2452" s="188"/>
      <c r="Z2452" s="188"/>
      <c r="AA2452" s="188"/>
      <c r="AB2452" s="188"/>
      <c r="AC2452" s="188"/>
      <c r="AD2452" s="188"/>
      <c r="AE2452" s="188"/>
      <c r="AF2452" s="188"/>
      <c r="AG2452" s="188"/>
      <c r="AH2452" s="188"/>
      <c r="AI2452" s="188"/>
    </row>
    <row r="2453">
      <c r="A2453" s="263"/>
      <c r="B2453" s="264"/>
      <c r="C2453" s="265"/>
      <c r="D2453" s="265"/>
      <c r="E2453" s="264"/>
      <c r="F2453" s="265"/>
      <c r="G2453" s="263"/>
      <c r="H2453" s="432"/>
      <c r="I2453" s="282"/>
      <c r="J2453" s="283"/>
      <c r="K2453" s="265"/>
      <c r="L2453" s="265"/>
      <c r="M2453" s="269"/>
      <c r="N2453" s="270"/>
      <c r="O2453" s="271"/>
      <c r="P2453" s="271"/>
      <c r="Q2453" s="272"/>
      <c r="R2453" s="273"/>
      <c r="S2453" s="273"/>
      <c r="T2453" s="273"/>
      <c r="U2453" s="274"/>
      <c r="V2453" s="263"/>
      <c r="W2453" s="188"/>
      <c r="X2453" s="188"/>
      <c r="Y2453" s="188"/>
      <c r="Z2453" s="188"/>
      <c r="AA2453" s="188"/>
      <c r="AB2453" s="188"/>
      <c r="AC2453" s="188"/>
      <c r="AD2453" s="188"/>
      <c r="AE2453" s="188"/>
      <c r="AF2453" s="188"/>
      <c r="AG2453" s="188"/>
      <c r="AH2453" s="188"/>
      <c r="AI2453" s="188"/>
    </row>
    <row r="2454">
      <c r="A2454" s="263"/>
      <c r="B2454" s="264"/>
      <c r="C2454" s="265"/>
      <c r="D2454" s="265"/>
      <c r="E2454" s="264"/>
      <c r="F2454" s="265"/>
      <c r="G2454" s="263"/>
      <c r="H2454" s="432"/>
      <c r="I2454" s="282"/>
      <c r="J2454" s="283"/>
      <c r="K2454" s="265"/>
      <c r="L2454" s="265"/>
      <c r="M2454" s="269"/>
      <c r="N2454" s="270"/>
      <c r="O2454" s="271"/>
      <c r="P2454" s="271"/>
      <c r="Q2454" s="272"/>
      <c r="R2454" s="273"/>
      <c r="S2454" s="273"/>
      <c r="T2454" s="273"/>
      <c r="U2454" s="274"/>
      <c r="V2454" s="263"/>
      <c r="W2454" s="188"/>
      <c r="X2454" s="188"/>
      <c r="Y2454" s="188"/>
      <c r="Z2454" s="188"/>
      <c r="AA2454" s="188"/>
      <c r="AB2454" s="188"/>
      <c r="AC2454" s="188"/>
      <c r="AD2454" s="188"/>
      <c r="AE2454" s="188"/>
      <c r="AF2454" s="188"/>
      <c r="AG2454" s="188"/>
      <c r="AH2454" s="188"/>
      <c r="AI2454" s="188"/>
    </row>
    <row r="2455">
      <c r="A2455" s="263"/>
      <c r="B2455" s="264"/>
      <c r="C2455" s="265"/>
      <c r="D2455" s="265"/>
      <c r="E2455" s="264"/>
      <c r="F2455" s="265"/>
      <c r="G2455" s="263"/>
      <c r="H2455" s="432"/>
      <c r="I2455" s="282"/>
      <c r="J2455" s="283"/>
      <c r="K2455" s="265"/>
      <c r="L2455" s="265"/>
      <c r="M2455" s="269"/>
      <c r="N2455" s="270"/>
      <c r="O2455" s="271"/>
      <c r="P2455" s="271"/>
      <c r="Q2455" s="272"/>
      <c r="R2455" s="273"/>
      <c r="S2455" s="273"/>
      <c r="T2455" s="273"/>
      <c r="U2455" s="274"/>
      <c r="V2455" s="263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</row>
    <row r="2456">
      <c r="A2456" s="263"/>
      <c r="B2456" s="264"/>
      <c r="C2456" s="265"/>
      <c r="D2456" s="265"/>
      <c r="E2456" s="264"/>
      <c r="F2456" s="265"/>
      <c r="G2456" s="263"/>
      <c r="H2456" s="432"/>
      <c r="I2456" s="282"/>
      <c r="J2456" s="283"/>
      <c r="K2456" s="265"/>
      <c r="L2456" s="265"/>
      <c r="M2456" s="269"/>
      <c r="N2456" s="270"/>
      <c r="O2456" s="271"/>
      <c r="P2456" s="271"/>
      <c r="Q2456" s="272"/>
      <c r="R2456" s="273"/>
      <c r="S2456" s="273"/>
      <c r="T2456" s="273"/>
      <c r="U2456" s="274"/>
      <c r="V2456" s="263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</row>
    <row r="2457">
      <c r="A2457" s="263"/>
      <c r="B2457" s="264"/>
      <c r="C2457" s="265"/>
      <c r="D2457" s="265"/>
      <c r="E2457" s="264"/>
      <c r="F2457" s="265"/>
      <c r="G2457" s="263"/>
      <c r="H2457" s="432"/>
      <c r="I2457" s="282"/>
      <c r="J2457" s="283"/>
      <c r="K2457" s="265"/>
      <c r="L2457" s="265"/>
      <c r="M2457" s="269"/>
      <c r="N2457" s="270"/>
      <c r="O2457" s="271"/>
      <c r="P2457" s="271"/>
      <c r="Q2457" s="272"/>
      <c r="R2457" s="273"/>
      <c r="S2457" s="273"/>
      <c r="T2457" s="273"/>
      <c r="U2457" s="274"/>
      <c r="V2457" s="263"/>
      <c r="W2457" s="188"/>
      <c r="X2457" s="188"/>
      <c r="Y2457" s="188"/>
      <c r="Z2457" s="188"/>
      <c r="AA2457" s="188"/>
      <c r="AB2457" s="188"/>
      <c r="AC2457" s="188"/>
      <c r="AD2457" s="188"/>
      <c r="AE2457" s="188"/>
      <c r="AF2457" s="188"/>
      <c r="AG2457" s="188"/>
      <c r="AH2457" s="188"/>
      <c r="AI2457" s="188"/>
    </row>
    <row r="2458">
      <c r="A2458" s="263"/>
      <c r="B2458" s="264"/>
      <c r="C2458" s="265"/>
      <c r="D2458" s="265"/>
      <c r="E2458" s="264"/>
      <c r="F2458" s="265"/>
      <c r="G2458" s="263"/>
      <c r="H2458" s="432"/>
      <c r="I2458" s="282"/>
      <c r="J2458" s="283"/>
      <c r="K2458" s="265"/>
      <c r="L2458" s="265"/>
      <c r="M2458" s="269"/>
      <c r="N2458" s="270"/>
      <c r="O2458" s="271"/>
      <c r="P2458" s="271"/>
      <c r="Q2458" s="272"/>
      <c r="R2458" s="273"/>
      <c r="S2458" s="273"/>
      <c r="T2458" s="273"/>
      <c r="U2458" s="274"/>
      <c r="V2458" s="263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</row>
    <row r="2459">
      <c r="A2459" s="263"/>
      <c r="B2459" s="264"/>
      <c r="C2459" s="265"/>
      <c r="D2459" s="265"/>
      <c r="E2459" s="264"/>
      <c r="F2459" s="265"/>
      <c r="G2459" s="263"/>
      <c r="H2459" s="432"/>
      <c r="I2459" s="282"/>
      <c r="J2459" s="283"/>
      <c r="K2459" s="265"/>
      <c r="L2459" s="265"/>
      <c r="M2459" s="269"/>
      <c r="N2459" s="270"/>
      <c r="O2459" s="271"/>
      <c r="P2459" s="271"/>
      <c r="Q2459" s="272"/>
      <c r="R2459" s="273"/>
      <c r="S2459" s="273"/>
      <c r="T2459" s="273"/>
      <c r="U2459" s="274"/>
      <c r="V2459" s="263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</row>
    <row r="2460">
      <c r="A2460" s="263"/>
      <c r="B2460" s="264"/>
      <c r="C2460" s="265"/>
      <c r="D2460" s="265"/>
      <c r="E2460" s="264"/>
      <c r="F2460" s="265"/>
      <c r="G2460" s="263"/>
      <c r="H2460" s="432"/>
      <c r="I2460" s="282"/>
      <c r="J2460" s="283"/>
      <c r="K2460" s="265"/>
      <c r="L2460" s="265"/>
      <c r="M2460" s="269"/>
      <c r="N2460" s="270"/>
      <c r="O2460" s="271"/>
      <c r="P2460" s="271"/>
      <c r="Q2460" s="272"/>
      <c r="R2460" s="273"/>
      <c r="S2460" s="273"/>
      <c r="T2460" s="273"/>
      <c r="U2460" s="274"/>
      <c r="V2460" s="263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</row>
    <row r="2461">
      <c r="A2461" s="263"/>
      <c r="B2461" s="264"/>
      <c r="C2461" s="265"/>
      <c r="D2461" s="265"/>
      <c r="E2461" s="264"/>
      <c r="F2461" s="265"/>
      <c r="G2461" s="263"/>
      <c r="H2461" s="432"/>
      <c r="I2461" s="282"/>
      <c r="J2461" s="283"/>
      <c r="K2461" s="265"/>
      <c r="L2461" s="265"/>
      <c r="M2461" s="269"/>
      <c r="N2461" s="270"/>
      <c r="O2461" s="271"/>
      <c r="P2461" s="271"/>
      <c r="Q2461" s="272"/>
      <c r="R2461" s="273"/>
      <c r="S2461" s="273"/>
      <c r="T2461" s="273"/>
      <c r="U2461" s="274"/>
      <c r="V2461" s="263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</row>
    <row r="2462">
      <c r="A2462" s="263"/>
      <c r="B2462" s="264"/>
      <c r="C2462" s="265"/>
      <c r="D2462" s="265"/>
      <c r="E2462" s="264"/>
      <c r="F2462" s="265"/>
      <c r="G2462" s="263"/>
      <c r="H2462" s="432"/>
      <c r="I2462" s="282"/>
      <c r="J2462" s="283"/>
      <c r="K2462" s="265"/>
      <c r="L2462" s="265"/>
      <c r="M2462" s="269"/>
      <c r="N2462" s="270"/>
      <c r="O2462" s="271"/>
      <c r="P2462" s="271"/>
      <c r="Q2462" s="272"/>
      <c r="R2462" s="273"/>
      <c r="S2462" s="273"/>
      <c r="T2462" s="273"/>
      <c r="U2462" s="274"/>
      <c r="V2462" s="263"/>
      <c r="W2462" s="35"/>
      <c r="X2462" s="35"/>
      <c r="Y2462" s="35"/>
      <c r="Z2462" s="35"/>
      <c r="AA2462" s="35"/>
      <c r="AB2462" s="35"/>
      <c r="AC2462" s="35"/>
      <c r="AD2462" s="35"/>
      <c r="AE2462" s="35"/>
      <c r="AF2462" s="35"/>
      <c r="AG2462" s="35"/>
      <c r="AH2462" s="35"/>
      <c r="AI2462" s="35"/>
    </row>
    <row r="2463">
      <c r="A2463" s="263"/>
      <c r="B2463" s="264"/>
      <c r="C2463" s="265"/>
      <c r="D2463" s="265"/>
      <c r="E2463" s="264"/>
      <c r="F2463" s="265"/>
      <c r="G2463" s="263"/>
      <c r="H2463" s="432"/>
      <c r="I2463" s="282"/>
      <c r="J2463" s="283"/>
      <c r="K2463" s="265"/>
      <c r="L2463" s="265"/>
      <c r="M2463" s="269"/>
      <c r="N2463" s="270"/>
      <c r="O2463" s="271"/>
      <c r="P2463" s="271"/>
      <c r="Q2463" s="272"/>
      <c r="R2463" s="273"/>
      <c r="S2463" s="273"/>
      <c r="T2463" s="273"/>
      <c r="U2463" s="274"/>
      <c r="V2463" s="263"/>
      <c r="W2463" s="35"/>
      <c r="X2463" s="35"/>
      <c r="Y2463" s="35"/>
      <c r="Z2463" s="35"/>
      <c r="AA2463" s="35"/>
      <c r="AB2463" s="35"/>
      <c r="AC2463" s="35"/>
      <c r="AD2463" s="35"/>
      <c r="AE2463" s="35"/>
      <c r="AF2463" s="35"/>
      <c r="AG2463" s="35"/>
      <c r="AH2463" s="35"/>
      <c r="AI2463" s="35"/>
    </row>
    <row r="2464">
      <c r="A2464" s="263"/>
      <c r="B2464" s="264"/>
      <c r="C2464" s="265"/>
      <c r="D2464" s="265"/>
      <c r="E2464" s="264"/>
      <c r="F2464" s="265"/>
      <c r="G2464" s="263"/>
      <c r="H2464" s="432"/>
      <c r="I2464" s="282"/>
      <c r="J2464" s="283"/>
      <c r="K2464" s="265"/>
      <c r="L2464" s="265"/>
      <c r="M2464" s="269"/>
      <c r="N2464" s="270"/>
      <c r="O2464" s="271"/>
      <c r="P2464" s="271"/>
      <c r="Q2464" s="272"/>
      <c r="R2464" s="273"/>
      <c r="S2464" s="273"/>
      <c r="T2464" s="273"/>
      <c r="U2464" s="274"/>
      <c r="V2464" s="263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</row>
    <row r="2465">
      <c r="A2465" s="263"/>
      <c r="B2465" s="264"/>
      <c r="C2465" s="265"/>
      <c r="D2465" s="265"/>
      <c r="E2465" s="264"/>
      <c r="F2465" s="265"/>
      <c r="G2465" s="263"/>
      <c r="H2465" s="432"/>
      <c r="I2465" s="282"/>
      <c r="J2465" s="283"/>
      <c r="K2465" s="265"/>
      <c r="L2465" s="265"/>
      <c r="M2465" s="269"/>
      <c r="N2465" s="270"/>
      <c r="O2465" s="271"/>
      <c r="P2465" s="271"/>
      <c r="Q2465" s="272"/>
      <c r="R2465" s="273"/>
      <c r="S2465" s="273"/>
      <c r="T2465" s="273"/>
      <c r="U2465" s="274"/>
      <c r="V2465" s="263"/>
      <c r="W2465" s="35"/>
      <c r="X2465" s="35"/>
      <c r="Y2465" s="35"/>
      <c r="Z2465" s="35"/>
      <c r="AA2465" s="35"/>
      <c r="AB2465" s="35"/>
      <c r="AC2465" s="35"/>
      <c r="AD2465" s="35"/>
      <c r="AE2465" s="35"/>
      <c r="AF2465" s="35"/>
      <c r="AG2465" s="35"/>
      <c r="AH2465" s="35"/>
      <c r="AI2465" s="35"/>
    </row>
    <row r="2466">
      <c r="A2466" s="263"/>
      <c r="B2466" s="264"/>
      <c r="C2466" s="265"/>
      <c r="D2466" s="265"/>
      <c r="E2466" s="264"/>
      <c r="F2466" s="265"/>
      <c r="G2466" s="263"/>
      <c r="H2466" s="432"/>
      <c r="I2466" s="282"/>
      <c r="J2466" s="283"/>
      <c r="K2466" s="265"/>
      <c r="L2466" s="265"/>
      <c r="M2466" s="269"/>
      <c r="N2466" s="270"/>
      <c r="O2466" s="271"/>
      <c r="P2466" s="271"/>
      <c r="Q2466" s="272"/>
      <c r="R2466" s="273"/>
      <c r="S2466" s="273"/>
      <c r="T2466" s="273"/>
      <c r="U2466" s="274"/>
      <c r="V2466" s="263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</row>
    <row r="2467">
      <c r="A2467" s="263"/>
      <c r="B2467" s="264"/>
      <c r="C2467" s="265"/>
      <c r="D2467" s="265"/>
      <c r="E2467" s="264"/>
      <c r="F2467" s="265"/>
      <c r="G2467" s="263"/>
      <c r="H2467" s="432"/>
      <c r="I2467" s="282"/>
      <c r="J2467" s="283"/>
      <c r="K2467" s="265"/>
      <c r="L2467" s="265"/>
      <c r="M2467" s="269"/>
      <c r="N2467" s="270"/>
      <c r="O2467" s="271"/>
      <c r="P2467" s="271"/>
      <c r="Q2467" s="272"/>
      <c r="R2467" s="273"/>
      <c r="S2467" s="273"/>
      <c r="T2467" s="273"/>
      <c r="U2467" s="274"/>
      <c r="V2467" s="263"/>
      <c r="W2467" s="36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</row>
    <row r="2468">
      <c r="A2468" s="263"/>
      <c r="B2468" s="264"/>
      <c r="C2468" s="265"/>
      <c r="D2468" s="265"/>
      <c r="E2468" s="264"/>
      <c r="F2468" s="265"/>
      <c r="G2468" s="263"/>
      <c r="H2468" s="432"/>
      <c r="I2468" s="282"/>
      <c r="J2468" s="283"/>
      <c r="K2468" s="265"/>
      <c r="L2468" s="265"/>
      <c r="M2468" s="269"/>
      <c r="N2468" s="270"/>
      <c r="O2468" s="271"/>
      <c r="P2468" s="271"/>
      <c r="Q2468" s="272"/>
      <c r="R2468" s="273"/>
      <c r="S2468" s="273"/>
      <c r="T2468" s="273"/>
      <c r="U2468" s="274"/>
      <c r="V2468" s="263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</row>
    <row r="2469">
      <c r="A2469" s="263"/>
      <c r="B2469" s="264"/>
      <c r="C2469" s="265"/>
      <c r="D2469" s="265"/>
      <c r="E2469" s="264"/>
      <c r="F2469" s="265"/>
      <c r="G2469" s="263"/>
      <c r="H2469" s="432"/>
      <c r="I2469" s="282"/>
      <c r="J2469" s="283"/>
      <c r="K2469" s="265"/>
      <c r="L2469" s="265"/>
      <c r="M2469" s="269"/>
      <c r="N2469" s="270"/>
      <c r="O2469" s="271"/>
      <c r="P2469" s="271"/>
      <c r="Q2469" s="272"/>
      <c r="R2469" s="273"/>
      <c r="S2469" s="273"/>
      <c r="T2469" s="273"/>
      <c r="U2469" s="274"/>
      <c r="V2469" s="263"/>
      <c r="W2469" s="188"/>
      <c r="X2469" s="188"/>
      <c r="Y2469" s="188"/>
      <c r="Z2469" s="188"/>
      <c r="AA2469" s="188"/>
      <c r="AB2469" s="188"/>
      <c r="AC2469" s="188"/>
      <c r="AD2469" s="188"/>
      <c r="AE2469" s="188"/>
      <c r="AF2469" s="188"/>
      <c r="AG2469" s="188"/>
      <c r="AH2469" s="188"/>
      <c r="AI2469" s="188"/>
    </row>
    <row r="2470">
      <c r="A2470" s="263"/>
      <c r="B2470" s="264"/>
      <c r="C2470" s="265"/>
      <c r="D2470" s="265"/>
      <c r="E2470" s="264"/>
      <c r="F2470" s="265"/>
      <c r="G2470" s="263"/>
      <c r="H2470" s="432"/>
      <c r="I2470" s="282"/>
      <c r="J2470" s="283"/>
      <c r="K2470" s="265"/>
      <c r="L2470" s="265"/>
      <c r="M2470" s="269"/>
      <c r="N2470" s="270"/>
      <c r="O2470" s="271"/>
      <c r="P2470" s="271"/>
      <c r="Q2470" s="272"/>
      <c r="R2470" s="273"/>
      <c r="S2470" s="273"/>
      <c r="T2470" s="273"/>
      <c r="U2470" s="274"/>
      <c r="V2470" s="263"/>
      <c r="W2470" s="188"/>
      <c r="X2470" s="188"/>
      <c r="Y2470" s="188"/>
      <c r="Z2470" s="188"/>
      <c r="AA2470" s="188"/>
      <c r="AB2470" s="188"/>
      <c r="AC2470" s="188"/>
      <c r="AD2470" s="188"/>
      <c r="AE2470" s="188"/>
      <c r="AF2470" s="188"/>
      <c r="AG2470" s="188"/>
      <c r="AH2470" s="188"/>
      <c r="AI2470" s="188"/>
    </row>
    <row r="2471">
      <c r="A2471" s="263"/>
      <c r="B2471" s="264"/>
      <c r="C2471" s="265"/>
      <c r="D2471" s="265"/>
      <c r="E2471" s="264"/>
      <c r="F2471" s="265"/>
      <c r="G2471" s="263"/>
      <c r="H2471" s="432"/>
      <c r="I2471" s="282"/>
      <c r="J2471" s="283"/>
      <c r="K2471" s="265"/>
      <c r="L2471" s="265"/>
      <c r="M2471" s="269"/>
      <c r="N2471" s="270"/>
      <c r="O2471" s="271"/>
      <c r="P2471" s="271"/>
      <c r="Q2471" s="272"/>
      <c r="R2471" s="273"/>
      <c r="S2471" s="273"/>
      <c r="T2471" s="273"/>
      <c r="U2471" s="274"/>
      <c r="V2471" s="263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</row>
    <row r="2472">
      <c r="A2472" s="263"/>
      <c r="B2472" s="264"/>
      <c r="C2472" s="265"/>
      <c r="D2472" s="265"/>
      <c r="E2472" s="264"/>
      <c r="F2472" s="265"/>
      <c r="G2472" s="263"/>
      <c r="H2472" s="432"/>
      <c r="I2472" s="282"/>
      <c r="J2472" s="283"/>
      <c r="K2472" s="265"/>
      <c r="L2472" s="265"/>
      <c r="M2472" s="269"/>
      <c r="N2472" s="270"/>
      <c r="O2472" s="271"/>
      <c r="P2472" s="271"/>
      <c r="Q2472" s="272"/>
      <c r="R2472" s="273"/>
      <c r="S2472" s="273"/>
      <c r="T2472" s="273"/>
      <c r="U2472" s="274"/>
      <c r="V2472" s="263"/>
      <c r="W2472" s="35"/>
      <c r="X2472" s="35"/>
      <c r="Y2472" s="35"/>
      <c r="Z2472" s="35"/>
      <c r="AA2472" s="35"/>
      <c r="AB2472" s="35"/>
      <c r="AC2472" s="35"/>
      <c r="AD2472" s="35"/>
      <c r="AE2472" s="35"/>
      <c r="AF2472" s="35"/>
      <c r="AG2472" s="35"/>
      <c r="AH2472" s="35"/>
      <c r="AI2472" s="35"/>
    </row>
    <row r="2473">
      <c r="A2473" s="263"/>
      <c r="B2473" s="264"/>
      <c r="C2473" s="265"/>
      <c r="D2473" s="265"/>
      <c r="E2473" s="264"/>
      <c r="F2473" s="265"/>
      <c r="G2473" s="263"/>
      <c r="H2473" s="432"/>
      <c r="I2473" s="282"/>
      <c r="J2473" s="283"/>
      <c r="K2473" s="265"/>
      <c r="L2473" s="265"/>
      <c r="M2473" s="269"/>
      <c r="N2473" s="270"/>
      <c r="O2473" s="271"/>
      <c r="P2473" s="271"/>
      <c r="Q2473" s="272"/>
      <c r="R2473" s="273"/>
      <c r="S2473" s="273"/>
      <c r="T2473" s="273"/>
      <c r="U2473" s="274"/>
      <c r="V2473" s="263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</row>
    <row r="2474">
      <c r="A2474" s="263"/>
      <c r="B2474" s="264"/>
      <c r="C2474" s="265"/>
      <c r="D2474" s="265"/>
      <c r="E2474" s="264"/>
      <c r="F2474" s="265"/>
      <c r="G2474" s="263"/>
      <c r="H2474" s="432"/>
      <c r="I2474" s="282"/>
      <c r="J2474" s="283"/>
      <c r="K2474" s="265"/>
      <c r="L2474" s="265"/>
      <c r="M2474" s="269"/>
      <c r="N2474" s="270"/>
      <c r="O2474" s="271"/>
      <c r="P2474" s="271"/>
      <c r="Q2474" s="272"/>
      <c r="R2474" s="273"/>
      <c r="S2474" s="273"/>
      <c r="T2474" s="273"/>
      <c r="U2474" s="274"/>
      <c r="V2474" s="263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</row>
    <row r="2475">
      <c r="A2475" s="263"/>
      <c r="B2475" s="264"/>
      <c r="C2475" s="265"/>
      <c r="D2475" s="265"/>
      <c r="E2475" s="264"/>
      <c r="F2475" s="265"/>
      <c r="G2475" s="263"/>
      <c r="H2475" s="432"/>
      <c r="I2475" s="282"/>
      <c r="J2475" s="283"/>
      <c r="K2475" s="265"/>
      <c r="L2475" s="265"/>
      <c r="M2475" s="269"/>
      <c r="N2475" s="270"/>
      <c r="O2475" s="271"/>
      <c r="P2475" s="271"/>
      <c r="Q2475" s="272"/>
      <c r="R2475" s="273"/>
      <c r="S2475" s="273"/>
      <c r="T2475" s="273"/>
      <c r="U2475" s="274"/>
      <c r="V2475" s="263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</row>
    <row r="2476">
      <c r="A2476" s="263"/>
      <c r="B2476" s="264"/>
      <c r="C2476" s="265"/>
      <c r="D2476" s="265"/>
      <c r="E2476" s="264"/>
      <c r="F2476" s="265"/>
      <c r="G2476" s="263"/>
      <c r="H2476" s="432"/>
      <c r="I2476" s="282"/>
      <c r="J2476" s="283"/>
      <c r="K2476" s="265"/>
      <c r="L2476" s="265"/>
      <c r="M2476" s="269"/>
      <c r="N2476" s="270"/>
      <c r="O2476" s="271"/>
      <c r="P2476" s="271"/>
      <c r="Q2476" s="272"/>
      <c r="R2476" s="273"/>
      <c r="S2476" s="273"/>
      <c r="T2476" s="273"/>
      <c r="U2476" s="274"/>
      <c r="V2476" s="263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</row>
    <row r="2477">
      <c r="A2477" s="263"/>
      <c r="B2477" s="264"/>
      <c r="C2477" s="265"/>
      <c r="D2477" s="265"/>
      <c r="E2477" s="264"/>
      <c r="F2477" s="265"/>
      <c r="G2477" s="263"/>
      <c r="H2477" s="432"/>
      <c r="I2477" s="282"/>
      <c r="J2477" s="283"/>
      <c r="K2477" s="265"/>
      <c r="L2477" s="265"/>
      <c r="M2477" s="269"/>
      <c r="N2477" s="270"/>
      <c r="O2477" s="271"/>
      <c r="P2477" s="271"/>
      <c r="Q2477" s="272"/>
      <c r="R2477" s="273"/>
      <c r="S2477" s="273"/>
      <c r="T2477" s="273"/>
      <c r="U2477" s="274"/>
      <c r="V2477" s="263"/>
      <c r="W2477" s="188"/>
      <c r="X2477" s="188"/>
      <c r="Y2477" s="188"/>
      <c r="Z2477" s="188"/>
      <c r="AA2477" s="188"/>
      <c r="AB2477" s="188"/>
      <c r="AC2477" s="188"/>
      <c r="AD2477" s="188"/>
      <c r="AE2477" s="188"/>
      <c r="AF2477" s="188"/>
      <c r="AG2477" s="188"/>
      <c r="AH2477" s="188"/>
      <c r="AI2477" s="188"/>
    </row>
    <row r="2478">
      <c r="A2478" s="263"/>
      <c r="B2478" s="264"/>
      <c r="C2478" s="265"/>
      <c r="D2478" s="265"/>
      <c r="E2478" s="264"/>
      <c r="F2478" s="265"/>
      <c r="G2478" s="263"/>
      <c r="H2478" s="432"/>
      <c r="I2478" s="282"/>
      <c r="J2478" s="283"/>
      <c r="K2478" s="265"/>
      <c r="L2478" s="265"/>
      <c r="M2478" s="269"/>
      <c r="N2478" s="270"/>
      <c r="O2478" s="271"/>
      <c r="P2478" s="271"/>
      <c r="Q2478" s="272"/>
      <c r="R2478" s="273"/>
      <c r="S2478" s="273"/>
      <c r="T2478" s="273"/>
      <c r="U2478" s="274"/>
      <c r="V2478" s="263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</row>
    <row r="2479">
      <c r="A2479" s="263"/>
      <c r="B2479" s="264"/>
      <c r="C2479" s="265"/>
      <c r="D2479" s="265"/>
      <c r="E2479" s="264"/>
      <c r="F2479" s="265"/>
      <c r="G2479" s="263"/>
      <c r="H2479" s="432"/>
      <c r="I2479" s="282"/>
      <c r="J2479" s="283"/>
      <c r="K2479" s="265"/>
      <c r="L2479" s="265"/>
      <c r="M2479" s="269"/>
      <c r="N2479" s="270"/>
      <c r="O2479" s="271"/>
      <c r="P2479" s="271"/>
      <c r="Q2479" s="272"/>
      <c r="R2479" s="273"/>
      <c r="S2479" s="273"/>
      <c r="T2479" s="273"/>
      <c r="U2479" s="274"/>
      <c r="V2479" s="263"/>
      <c r="W2479" s="35"/>
      <c r="X2479" s="35"/>
      <c r="Y2479" s="35"/>
      <c r="Z2479" s="35"/>
      <c r="AA2479" s="35"/>
      <c r="AB2479" s="35"/>
      <c r="AC2479" s="35"/>
      <c r="AD2479" s="35"/>
      <c r="AE2479" s="35"/>
      <c r="AF2479" s="35"/>
      <c r="AG2479" s="35"/>
      <c r="AH2479" s="35"/>
      <c r="AI2479" s="35"/>
    </row>
    <row r="2480">
      <c r="A2480" s="263"/>
      <c r="B2480" s="264"/>
      <c r="C2480" s="265"/>
      <c r="D2480" s="265"/>
      <c r="E2480" s="264"/>
      <c r="F2480" s="265"/>
      <c r="G2480" s="263"/>
      <c r="H2480" s="432"/>
      <c r="I2480" s="282"/>
      <c r="J2480" s="283"/>
      <c r="K2480" s="265"/>
      <c r="L2480" s="265"/>
      <c r="M2480" s="269"/>
      <c r="N2480" s="270"/>
      <c r="O2480" s="271"/>
      <c r="P2480" s="271"/>
      <c r="Q2480" s="272"/>
      <c r="R2480" s="273"/>
      <c r="S2480" s="273"/>
      <c r="T2480" s="273"/>
      <c r="U2480" s="274"/>
      <c r="V2480" s="263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</row>
    <row r="2481">
      <c r="A2481" s="263"/>
      <c r="B2481" s="264"/>
      <c r="C2481" s="265"/>
      <c r="D2481" s="265"/>
      <c r="E2481" s="264"/>
      <c r="F2481" s="265"/>
      <c r="G2481" s="263"/>
      <c r="H2481" s="432"/>
      <c r="I2481" s="282"/>
      <c r="J2481" s="283"/>
      <c r="K2481" s="265"/>
      <c r="L2481" s="265"/>
      <c r="M2481" s="269"/>
      <c r="N2481" s="270"/>
      <c r="O2481" s="271"/>
      <c r="P2481" s="271"/>
      <c r="Q2481" s="272"/>
      <c r="R2481" s="273"/>
      <c r="S2481" s="273"/>
      <c r="T2481" s="273"/>
      <c r="U2481" s="274"/>
      <c r="V2481" s="263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</row>
    <row r="2482">
      <c r="A2482" s="263"/>
      <c r="B2482" s="264"/>
      <c r="C2482" s="265"/>
      <c r="D2482" s="265"/>
      <c r="E2482" s="264"/>
      <c r="F2482" s="265"/>
      <c r="G2482" s="263"/>
      <c r="H2482" s="432"/>
      <c r="I2482" s="282"/>
      <c r="J2482" s="283"/>
      <c r="K2482" s="265"/>
      <c r="L2482" s="265"/>
      <c r="M2482" s="269"/>
      <c r="N2482" s="270"/>
      <c r="O2482" s="271"/>
      <c r="P2482" s="271"/>
      <c r="Q2482" s="272"/>
      <c r="R2482" s="273"/>
      <c r="S2482" s="273"/>
      <c r="T2482" s="273"/>
      <c r="U2482" s="274"/>
      <c r="V2482" s="263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</row>
    <row r="2483">
      <c r="A2483" s="263"/>
      <c r="B2483" s="264"/>
      <c r="C2483" s="265"/>
      <c r="D2483" s="265"/>
      <c r="E2483" s="264"/>
      <c r="F2483" s="265"/>
      <c r="G2483" s="263"/>
      <c r="H2483" s="432"/>
      <c r="I2483" s="282"/>
      <c r="J2483" s="283"/>
      <c r="K2483" s="265"/>
      <c r="L2483" s="265"/>
      <c r="M2483" s="269"/>
      <c r="N2483" s="270"/>
      <c r="O2483" s="271"/>
      <c r="P2483" s="271"/>
      <c r="Q2483" s="272"/>
      <c r="R2483" s="273"/>
      <c r="S2483" s="273"/>
      <c r="T2483" s="273"/>
      <c r="U2483" s="274"/>
      <c r="V2483" s="263"/>
      <c r="W2483" s="35"/>
      <c r="X2483" s="35"/>
      <c r="Y2483" s="35"/>
      <c r="Z2483" s="35"/>
      <c r="AA2483" s="35"/>
      <c r="AB2483" s="35"/>
      <c r="AC2483" s="35"/>
      <c r="AD2483" s="35"/>
      <c r="AE2483" s="35"/>
      <c r="AF2483" s="35"/>
      <c r="AG2483" s="35"/>
      <c r="AH2483" s="35"/>
      <c r="AI2483" s="35"/>
    </row>
    <row r="2484">
      <c r="A2484" s="263"/>
      <c r="B2484" s="264"/>
      <c r="C2484" s="265"/>
      <c r="D2484" s="265"/>
      <c r="E2484" s="264"/>
      <c r="F2484" s="265"/>
      <c r="G2484" s="263"/>
      <c r="H2484" s="432"/>
      <c r="I2484" s="282"/>
      <c r="J2484" s="283"/>
      <c r="K2484" s="265"/>
      <c r="L2484" s="265"/>
      <c r="M2484" s="269"/>
      <c r="N2484" s="270"/>
      <c r="O2484" s="271"/>
      <c r="P2484" s="271"/>
      <c r="Q2484" s="272"/>
      <c r="R2484" s="273"/>
      <c r="S2484" s="273"/>
      <c r="T2484" s="273"/>
      <c r="U2484" s="274"/>
      <c r="V2484" s="263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</row>
    <row r="2485">
      <c r="A2485" s="263"/>
      <c r="B2485" s="264"/>
      <c r="C2485" s="265"/>
      <c r="D2485" s="265"/>
      <c r="E2485" s="264"/>
      <c r="F2485" s="265"/>
      <c r="G2485" s="263"/>
      <c r="H2485" s="432"/>
      <c r="I2485" s="282"/>
      <c r="J2485" s="283"/>
      <c r="K2485" s="265"/>
      <c r="L2485" s="265"/>
      <c r="M2485" s="269"/>
      <c r="N2485" s="270"/>
      <c r="O2485" s="271"/>
      <c r="P2485" s="271"/>
      <c r="Q2485" s="272"/>
      <c r="R2485" s="273"/>
      <c r="S2485" s="273"/>
      <c r="T2485" s="273"/>
      <c r="U2485" s="274"/>
      <c r="V2485" s="263"/>
      <c r="W2485" s="188"/>
      <c r="X2485" s="188"/>
      <c r="Y2485" s="188"/>
      <c r="Z2485" s="188"/>
      <c r="AA2485" s="188"/>
      <c r="AB2485" s="188"/>
      <c r="AC2485" s="188"/>
      <c r="AD2485" s="188"/>
      <c r="AE2485" s="188"/>
      <c r="AF2485" s="188"/>
      <c r="AG2485" s="188"/>
      <c r="AH2485" s="188"/>
      <c r="AI2485" s="188"/>
    </row>
    <row r="2486">
      <c r="A2486" s="263"/>
      <c r="B2486" s="264"/>
      <c r="C2486" s="265"/>
      <c r="D2486" s="265"/>
      <c r="E2486" s="264"/>
      <c r="F2486" s="265"/>
      <c r="G2486" s="263"/>
      <c r="H2486" s="432"/>
      <c r="I2486" s="282"/>
      <c r="J2486" s="283"/>
      <c r="K2486" s="265"/>
      <c r="L2486" s="265"/>
      <c r="M2486" s="269"/>
      <c r="N2486" s="270"/>
      <c r="O2486" s="271"/>
      <c r="P2486" s="271"/>
      <c r="Q2486" s="272"/>
      <c r="R2486" s="273"/>
      <c r="S2486" s="273"/>
      <c r="T2486" s="273"/>
      <c r="U2486" s="274"/>
      <c r="V2486" s="263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</row>
    <row r="2487">
      <c r="A2487" s="263"/>
      <c r="B2487" s="264"/>
      <c r="C2487" s="265"/>
      <c r="D2487" s="265"/>
      <c r="E2487" s="264"/>
      <c r="F2487" s="265"/>
      <c r="G2487" s="263"/>
      <c r="H2487" s="432"/>
      <c r="I2487" s="282"/>
      <c r="J2487" s="283"/>
      <c r="K2487" s="265"/>
      <c r="L2487" s="265"/>
      <c r="M2487" s="269"/>
      <c r="N2487" s="270"/>
      <c r="O2487" s="271"/>
      <c r="P2487" s="271"/>
      <c r="Q2487" s="272"/>
      <c r="R2487" s="273"/>
      <c r="S2487" s="273"/>
      <c r="T2487" s="273"/>
      <c r="U2487" s="274"/>
      <c r="V2487" s="263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</row>
    <row r="2488">
      <c r="A2488" s="263"/>
      <c r="B2488" s="264"/>
      <c r="C2488" s="265"/>
      <c r="D2488" s="265"/>
      <c r="E2488" s="264"/>
      <c r="F2488" s="265"/>
      <c r="G2488" s="263"/>
      <c r="H2488" s="432"/>
      <c r="I2488" s="282"/>
      <c r="J2488" s="283"/>
      <c r="K2488" s="265"/>
      <c r="L2488" s="265"/>
      <c r="M2488" s="269"/>
      <c r="N2488" s="270"/>
      <c r="O2488" s="271"/>
      <c r="P2488" s="271"/>
      <c r="Q2488" s="272"/>
      <c r="R2488" s="273"/>
      <c r="S2488" s="273"/>
      <c r="T2488" s="273"/>
      <c r="U2488" s="274"/>
      <c r="V2488" s="263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</row>
    <row r="2489">
      <c r="A2489" s="263"/>
      <c r="B2489" s="264"/>
      <c r="C2489" s="265"/>
      <c r="D2489" s="265"/>
      <c r="E2489" s="264"/>
      <c r="F2489" s="265"/>
      <c r="G2489" s="263"/>
      <c r="H2489" s="432"/>
      <c r="I2489" s="282"/>
      <c r="J2489" s="283"/>
      <c r="K2489" s="265"/>
      <c r="L2489" s="265"/>
      <c r="M2489" s="269"/>
      <c r="N2489" s="270"/>
      <c r="O2489" s="271"/>
      <c r="P2489" s="271"/>
      <c r="Q2489" s="272"/>
      <c r="R2489" s="273"/>
      <c r="S2489" s="273"/>
      <c r="T2489" s="273"/>
      <c r="U2489" s="274"/>
      <c r="V2489" s="263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</row>
    <row r="2490">
      <c r="A2490" s="263"/>
      <c r="B2490" s="264"/>
      <c r="C2490" s="265"/>
      <c r="D2490" s="265"/>
      <c r="E2490" s="264"/>
      <c r="F2490" s="265"/>
      <c r="G2490" s="263"/>
      <c r="H2490" s="432"/>
      <c r="I2490" s="282"/>
      <c r="J2490" s="283"/>
      <c r="K2490" s="265"/>
      <c r="L2490" s="265"/>
      <c r="M2490" s="269"/>
      <c r="N2490" s="270"/>
      <c r="O2490" s="271"/>
      <c r="P2490" s="271"/>
      <c r="Q2490" s="272"/>
      <c r="R2490" s="273"/>
      <c r="S2490" s="273"/>
      <c r="T2490" s="273"/>
      <c r="U2490" s="274"/>
      <c r="V2490" s="263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</row>
    <row r="2491">
      <c r="A2491" s="263"/>
      <c r="B2491" s="264"/>
      <c r="C2491" s="265"/>
      <c r="D2491" s="265"/>
      <c r="E2491" s="264"/>
      <c r="F2491" s="265"/>
      <c r="G2491" s="263"/>
      <c r="H2491" s="432"/>
      <c r="I2491" s="282"/>
      <c r="J2491" s="283"/>
      <c r="K2491" s="265"/>
      <c r="L2491" s="265"/>
      <c r="M2491" s="269"/>
      <c r="N2491" s="270"/>
      <c r="O2491" s="271"/>
      <c r="P2491" s="271"/>
      <c r="Q2491" s="272"/>
      <c r="R2491" s="273"/>
      <c r="S2491" s="273"/>
      <c r="T2491" s="273"/>
      <c r="U2491" s="274"/>
      <c r="V2491" s="263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</row>
    <row r="2492">
      <c r="A2492" s="263"/>
      <c r="B2492" s="264"/>
      <c r="C2492" s="265"/>
      <c r="D2492" s="265"/>
      <c r="E2492" s="264"/>
      <c r="F2492" s="265"/>
      <c r="G2492" s="263"/>
      <c r="H2492" s="432"/>
      <c r="I2492" s="282"/>
      <c r="J2492" s="283"/>
      <c r="K2492" s="265"/>
      <c r="L2492" s="265"/>
      <c r="M2492" s="269"/>
      <c r="N2492" s="270"/>
      <c r="O2492" s="271"/>
      <c r="P2492" s="271"/>
      <c r="Q2492" s="272"/>
      <c r="R2492" s="273"/>
      <c r="S2492" s="273"/>
      <c r="T2492" s="273"/>
      <c r="U2492" s="274"/>
      <c r="V2492" s="263"/>
      <c r="W2492" s="188"/>
      <c r="X2492" s="188"/>
      <c r="Y2492" s="188"/>
      <c r="Z2492" s="188"/>
      <c r="AA2492" s="188"/>
      <c r="AB2492" s="188"/>
      <c r="AC2492" s="188"/>
      <c r="AD2492" s="188"/>
      <c r="AE2492" s="188"/>
      <c r="AF2492" s="188"/>
      <c r="AG2492" s="188"/>
      <c r="AH2492" s="188"/>
      <c r="AI2492" s="188"/>
    </row>
    <row r="2493">
      <c r="A2493" s="263"/>
      <c r="B2493" s="264"/>
      <c r="C2493" s="265"/>
      <c r="D2493" s="265"/>
      <c r="E2493" s="264"/>
      <c r="F2493" s="265"/>
      <c r="G2493" s="263"/>
      <c r="H2493" s="432"/>
      <c r="I2493" s="282"/>
      <c r="J2493" s="283"/>
      <c r="K2493" s="265"/>
      <c r="L2493" s="265"/>
      <c r="M2493" s="269"/>
      <c r="N2493" s="270"/>
      <c r="O2493" s="271"/>
      <c r="P2493" s="271"/>
      <c r="Q2493" s="272"/>
      <c r="R2493" s="273"/>
      <c r="S2493" s="273"/>
      <c r="T2493" s="273"/>
      <c r="U2493" s="274"/>
      <c r="V2493" s="263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</row>
    <row r="2494">
      <c r="A2494" s="263"/>
      <c r="B2494" s="264"/>
      <c r="C2494" s="265"/>
      <c r="D2494" s="265"/>
      <c r="E2494" s="264"/>
      <c r="F2494" s="265"/>
      <c r="G2494" s="263"/>
      <c r="H2494" s="432"/>
      <c r="I2494" s="282"/>
      <c r="J2494" s="283"/>
      <c r="K2494" s="265"/>
      <c r="L2494" s="265"/>
      <c r="M2494" s="269"/>
      <c r="N2494" s="270"/>
      <c r="O2494" s="271"/>
      <c r="P2494" s="271"/>
      <c r="Q2494" s="272"/>
      <c r="R2494" s="273"/>
      <c r="S2494" s="273"/>
      <c r="T2494" s="273"/>
      <c r="U2494" s="274"/>
      <c r="V2494" s="263"/>
      <c r="W2494" s="188"/>
      <c r="X2494" s="188"/>
      <c r="Y2494" s="188"/>
      <c r="Z2494" s="188"/>
      <c r="AA2494" s="188"/>
      <c r="AB2494" s="188"/>
      <c r="AC2494" s="188"/>
      <c r="AD2494" s="188"/>
      <c r="AE2494" s="188"/>
      <c r="AF2494" s="188"/>
      <c r="AG2494" s="188"/>
      <c r="AH2494" s="188"/>
      <c r="AI2494" s="188"/>
    </row>
    <row r="2495">
      <c r="A2495" s="263"/>
      <c r="B2495" s="264"/>
      <c r="C2495" s="265"/>
      <c r="D2495" s="265"/>
      <c r="E2495" s="264"/>
      <c r="F2495" s="265"/>
      <c r="G2495" s="263"/>
      <c r="H2495" s="432"/>
      <c r="I2495" s="282"/>
      <c r="J2495" s="283"/>
      <c r="K2495" s="265"/>
      <c r="L2495" s="265"/>
      <c r="M2495" s="269"/>
      <c r="N2495" s="270"/>
      <c r="O2495" s="271"/>
      <c r="P2495" s="271"/>
      <c r="Q2495" s="272"/>
      <c r="R2495" s="273"/>
      <c r="S2495" s="273"/>
      <c r="T2495" s="273"/>
      <c r="U2495" s="274"/>
      <c r="V2495" s="263"/>
      <c r="W2495" s="188"/>
      <c r="X2495" s="188"/>
      <c r="Y2495" s="188"/>
      <c r="Z2495" s="188"/>
      <c r="AA2495" s="188"/>
      <c r="AB2495" s="188"/>
      <c r="AC2495" s="188"/>
      <c r="AD2495" s="188"/>
      <c r="AE2495" s="188"/>
      <c r="AF2495" s="188"/>
      <c r="AG2495" s="188"/>
      <c r="AH2495" s="188"/>
      <c r="AI2495" s="188"/>
    </row>
    <row r="2496">
      <c r="A2496" s="263"/>
      <c r="B2496" s="264"/>
      <c r="C2496" s="265"/>
      <c r="D2496" s="265"/>
      <c r="E2496" s="264"/>
      <c r="F2496" s="265"/>
      <c r="G2496" s="263"/>
      <c r="H2496" s="432"/>
      <c r="I2496" s="282"/>
      <c r="J2496" s="283"/>
      <c r="K2496" s="265"/>
      <c r="L2496" s="265"/>
      <c r="M2496" s="269"/>
      <c r="N2496" s="270"/>
      <c r="O2496" s="271"/>
      <c r="P2496" s="271"/>
      <c r="Q2496" s="272"/>
      <c r="R2496" s="273"/>
      <c r="S2496" s="273"/>
      <c r="T2496" s="273"/>
      <c r="U2496" s="274"/>
      <c r="V2496" s="263"/>
      <c r="W2496" s="188"/>
      <c r="X2496" s="188"/>
      <c r="Y2496" s="188"/>
      <c r="Z2496" s="188"/>
      <c r="AA2496" s="188"/>
      <c r="AB2496" s="188"/>
      <c r="AC2496" s="188"/>
      <c r="AD2496" s="188"/>
      <c r="AE2496" s="188"/>
      <c r="AF2496" s="188"/>
      <c r="AG2496" s="188"/>
      <c r="AH2496" s="188"/>
      <c r="AI2496" s="188"/>
    </row>
    <row r="2497">
      <c r="A2497" s="263"/>
      <c r="B2497" s="264"/>
      <c r="C2497" s="265"/>
      <c r="D2497" s="265"/>
      <c r="E2497" s="264"/>
      <c r="F2497" s="265"/>
      <c r="G2497" s="263"/>
      <c r="H2497" s="432"/>
      <c r="I2497" s="282"/>
      <c r="J2497" s="283"/>
      <c r="K2497" s="265"/>
      <c r="L2497" s="265"/>
      <c r="M2497" s="269"/>
      <c r="N2497" s="270"/>
      <c r="O2497" s="271"/>
      <c r="P2497" s="271"/>
      <c r="Q2497" s="272"/>
      <c r="R2497" s="273"/>
      <c r="S2497" s="273"/>
      <c r="T2497" s="273"/>
      <c r="U2497" s="274"/>
      <c r="V2497" s="263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</row>
    <row r="2498">
      <c r="A2498" s="263"/>
      <c r="B2498" s="264"/>
      <c r="C2498" s="265"/>
      <c r="D2498" s="265"/>
      <c r="E2498" s="264"/>
      <c r="F2498" s="265"/>
      <c r="G2498" s="263"/>
      <c r="H2498" s="432"/>
      <c r="I2498" s="282"/>
      <c r="J2498" s="283"/>
      <c r="K2498" s="265"/>
      <c r="L2498" s="265"/>
      <c r="M2498" s="269"/>
      <c r="N2498" s="270"/>
      <c r="O2498" s="271"/>
      <c r="P2498" s="271"/>
      <c r="Q2498" s="272"/>
      <c r="R2498" s="273"/>
      <c r="S2498" s="273"/>
      <c r="T2498" s="273"/>
      <c r="U2498" s="274"/>
      <c r="V2498" s="263"/>
      <c r="W2498" s="35"/>
      <c r="X2498" s="35"/>
      <c r="Y2498" s="35"/>
      <c r="Z2498" s="35"/>
      <c r="AA2498" s="35"/>
      <c r="AB2498" s="35"/>
      <c r="AC2498" s="35"/>
      <c r="AD2498" s="35"/>
      <c r="AE2498" s="35"/>
      <c r="AF2498" s="35"/>
      <c r="AG2498" s="35"/>
      <c r="AH2498" s="35"/>
      <c r="AI2498" s="35"/>
    </row>
    <row r="2499">
      <c r="A2499" s="263"/>
      <c r="B2499" s="264"/>
      <c r="C2499" s="265"/>
      <c r="D2499" s="265"/>
      <c r="E2499" s="264"/>
      <c r="F2499" s="265"/>
      <c r="G2499" s="263"/>
      <c r="H2499" s="432"/>
      <c r="I2499" s="282"/>
      <c r="J2499" s="283"/>
      <c r="K2499" s="265"/>
      <c r="L2499" s="265"/>
      <c r="M2499" s="269"/>
      <c r="N2499" s="270"/>
      <c r="O2499" s="271"/>
      <c r="P2499" s="271"/>
      <c r="Q2499" s="272"/>
      <c r="R2499" s="273"/>
      <c r="S2499" s="273"/>
      <c r="T2499" s="273"/>
      <c r="U2499" s="274"/>
      <c r="V2499" s="263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</row>
    <row r="2500">
      <c r="A2500" s="263"/>
      <c r="B2500" s="264"/>
      <c r="C2500" s="265"/>
      <c r="D2500" s="265"/>
      <c r="E2500" s="264"/>
      <c r="F2500" s="265"/>
      <c r="G2500" s="263"/>
      <c r="H2500" s="432"/>
      <c r="I2500" s="282"/>
      <c r="J2500" s="283"/>
      <c r="K2500" s="265"/>
      <c r="L2500" s="265"/>
      <c r="M2500" s="269"/>
      <c r="N2500" s="270"/>
      <c r="O2500" s="271"/>
      <c r="P2500" s="271"/>
      <c r="Q2500" s="272"/>
      <c r="R2500" s="273"/>
      <c r="S2500" s="273"/>
      <c r="T2500" s="273"/>
      <c r="U2500" s="274"/>
      <c r="V2500" s="263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</row>
    <row r="2501">
      <c r="A2501" s="263"/>
      <c r="B2501" s="264"/>
      <c r="C2501" s="265"/>
      <c r="D2501" s="265"/>
      <c r="E2501" s="264"/>
      <c r="F2501" s="265"/>
      <c r="G2501" s="263"/>
      <c r="H2501" s="432"/>
      <c r="I2501" s="282"/>
      <c r="J2501" s="283"/>
      <c r="K2501" s="265"/>
      <c r="L2501" s="265"/>
      <c r="M2501" s="269"/>
      <c r="N2501" s="270"/>
      <c r="O2501" s="271"/>
      <c r="P2501" s="271"/>
      <c r="Q2501" s="272"/>
      <c r="R2501" s="273"/>
      <c r="S2501" s="273"/>
      <c r="T2501" s="273"/>
      <c r="U2501" s="274"/>
      <c r="V2501" s="263"/>
      <c r="W2501" s="188"/>
      <c r="X2501" s="188"/>
      <c r="Y2501" s="188"/>
      <c r="Z2501" s="188"/>
      <c r="AA2501" s="188"/>
      <c r="AB2501" s="188"/>
      <c r="AC2501" s="188"/>
      <c r="AD2501" s="188"/>
      <c r="AE2501" s="188"/>
      <c r="AF2501" s="188"/>
      <c r="AG2501" s="188"/>
      <c r="AH2501" s="188"/>
      <c r="AI2501" s="188"/>
    </row>
    <row r="2502">
      <c r="A2502" s="263"/>
      <c r="B2502" s="264"/>
      <c r="C2502" s="265"/>
      <c r="D2502" s="265"/>
      <c r="E2502" s="264"/>
      <c r="F2502" s="265"/>
      <c r="G2502" s="263"/>
      <c r="H2502" s="432"/>
      <c r="I2502" s="282"/>
      <c r="J2502" s="283"/>
      <c r="K2502" s="265"/>
      <c r="L2502" s="265"/>
      <c r="M2502" s="269"/>
      <c r="N2502" s="270"/>
      <c r="O2502" s="271"/>
      <c r="P2502" s="271"/>
      <c r="Q2502" s="272"/>
      <c r="R2502" s="273"/>
      <c r="S2502" s="273"/>
      <c r="T2502" s="273"/>
      <c r="U2502" s="274"/>
      <c r="V2502" s="263"/>
      <c r="W2502" s="188"/>
      <c r="X2502" s="188"/>
      <c r="Y2502" s="188"/>
      <c r="Z2502" s="188"/>
      <c r="AA2502" s="188"/>
      <c r="AB2502" s="188"/>
      <c r="AC2502" s="188"/>
      <c r="AD2502" s="188"/>
      <c r="AE2502" s="188"/>
      <c r="AF2502" s="188"/>
      <c r="AG2502" s="188"/>
      <c r="AH2502" s="188"/>
      <c r="AI2502" s="188"/>
    </row>
    <row r="2503">
      <c r="A2503" s="263"/>
      <c r="B2503" s="264"/>
      <c r="C2503" s="265"/>
      <c r="D2503" s="265"/>
      <c r="E2503" s="264"/>
      <c r="F2503" s="265"/>
      <c r="G2503" s="263"/>
      <c r="H2503" s="432"/>
      <c r="I2503" s="282"/>
      <c r="J2503" s="283"/>
      <c r="K2503" s="265"/>
      <c r="L2503" s="265"/>
      <c r="M2503" s="269"/>
      <c r="N2503" s="270"/>
      <c r="O2503" s="271"/>
      <c r="P2503" s="271"/>
      <c r="Q2503" s="272"/>
      <c r="R2503" s="273"/>
      <c r="S2503" s="273"/>
      <c r="T2503" s="273"/>
      <c r="U2503" s="274"/>
      <c r="V2503" s="263"/>
      <c r="W2503" s="188"/>
      <c r="X2503" s="188"/>
      <c r="Y2503" s="188"/>
      <c r="Z2503" s="188"/>
      <c r="AA2503" s="188"/>
      <c r="AB2503" s="188"/>
      <c r="AC2503" s="188"/>
      <c r="AD2503" s="188"/>
      <c r="AE2503" s="188"/>
      <c r="AF2503" s="188"/>
      <c r="AG2503" s="188"/>
      <c r="AH2503" s="188"/>
      <c r="AI2503" s="188"/>
    </row>
    <row r="2504">
      <c r="A2504" s="263"/>
      <c r="B2504" s="264"/>
      <c r="C2504" s="265"/>
      <c r="D2504" s="265"/>
      <c r="E2504" s="264"/>
      <c r="F2504" s="265"/>
      <c r="G2504" s="263"/>
      <c r="H2504" s="432"/>
      <c r="I2504" s="282"/>
      <c r="J2504" s="283"/>
      <c r="K2504" s="265"/>
      <c r="L2504" s="265"/>
      <c r="M2504" s="269"/>
      <c r="N2504" s="270"/>
      <c r="O2504" s="271"/>
      <c r="P2504" s="271"/>
      <c r="Q2504" s="272"/>
      <c r="R2504" s="273"/>
      <c r="S2504" s="273"/>
      <c r="T2504" s="273"/>
      <c r="U2504" s="274"/>
      <c r="V2504" s="263"/>
      <c r="W2504" s="35"/>
      <c r="X2504" s="35"/>
      <c r="Y2504" s="35"/>
      <c r="Z2504" s="35"/>
      <c r="AA2504" s="35"/>
      <c r="AB2504" s="35"/>
      <c r="AC2504" s="35"/>
      <c r="AD2504" s="35"/>
      <c r="AE2504" s="35"/>
      <c r="AF2504" s="35"/>
      <c r="AG2504" s="35"/>
      <c r="AH2504" s="35"/>
      <c r="AI2504" s="35"/>
    </row>
    <row r="2505">
      <c r="A2505" s="263"/>
      <c r="B2505" s="264"/>
      <c r="C2505" s="265"/>
      <c r="D2505" s="265"/>
      <c r="E2505" s="264"/>
      <c r="F2505" s="265"/>
      <c r="G2505" s="263"/>
      <c r="H2505" s="432"/>
      <c r="I2505" s="282"/>
      <c r="J2505" s="283"/>
      <c r="K2505" s="265"/>
      <c r="L2505" s="265"/>
      <c r="M2505" s="269"/>
      <c r="N2505" s="270"/>
      <c r="O2505" s="271"/>
      <c r="P2505" s="271"/>
      <c r="Q2505" s="272"/>
      <c r="R2505" s="273"/>
      <c r="S2505" s="273"/>
      <c r="T2505" s="273"/>
      <c r="U2505" s="274"/>
      <c r="V2505" s="263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</row>
    <row r="2506">
      <c r="A2506" s="263"/>
      <c r="B2506" s="264"/>
      <c r="C2506" s="265"/>
      <c r="D2506" s="265"/>
      <c r="E2506" s="264"/>
      <c r="F2506" s="265"/>
      <c r="G2506" s="263"/>
      <c r="H2506" s="432"/>
      <c r="I2506" s="282"/>
      <c r="J2506" s="283"/>
      <c r="K2506" s="265"/>
      <c r="L2506" s="265"/>
      <c r="M2506" s="269"/>
      <c r="N2506" s="270"/>
      <c r="O2506" s="271"/>
      <c r="P2506" s="271"/>
      <c r="Q2506" s="272"/>
      <c r="R2506" s="273"/>
      <c r="S2506" s="273"/>
      <c r="T2506" s="273"/>
      <c r="U2506" s="274"/>
      <c r="V2506" s="263"/>
      <c r="W2506" s="188"/>
      <c r="X2506" s="188"/>
      <c r="Y2506" s="188"/>
      <c r="Z2506" s="188"/>
      <c r="AA2506" s="188"/>
      <c r="AB2506" s="188"/>
      <c r="AC2506" s="188"/>
      <c r="AD2506" s="188"/>
      <c r="AE2506" s="188"/>
      <c r="AF2506" s="188"/>
      <c r="AG2506" s="188"/>
      <c r="AH2506" s="188"/>
      <c r="AI2506" s="188"/>
    </row>
    <row r="2507">
      <c r="A2507" s="263"/>
      <c r="B2507" s="264"/>
      <c r="C2507" s="265"/>
      <c r="D2507" s="265"/>
      <c r="E2507" s="264"/>
      <c r="F2507" s="265"/>
      <c r="G2507" s="263"/>
      <c r="H2507" s="432"/>
      <c r="I2507" s="282"/>
      <c r="J2507" s="283"/>
      <c r="K2507" s="265"/>
      <c r="L2507" s="265"/>
      <c r="M2507" s="269"/>
      <c r="N2507" s="270"/>
      <c r="O2507" s="271"/>
      <c r="P2507" s="271"/>
      <c r="Q2507" s="272"/>
      <c r="R2507" s="273"/>
      <c r="S2507" s="273"/>
      <c r="T2507" s="273"/>
      <c r="U2507" s="274"/>
      <c r="V2507" s="263"/>
      <c r="W2507" s="188"/>
      <c r="X2507" s="188"/>
      <c r="Y2507" s="188"/>
      <c r="Z2507" s="188"/>
      <c r="AA2507" s="188"/>
      <c r="AB2507" s="188"/>
      <c r="AC2507" s="188"/>
      <c r="AD2507" s="188"/>
      <c r="AE2507" s="188"/>
      <c r="AF2507" s="188"/>
      <c r="AG2507" s="188"/>
      <c r="AH2507" s="188"/>
      <c r="AI2507" s="188"/>
    </row>
    <row r="2508">
      <c r="A2508" s="263"/>
      <c r="B2508" s="264"/>
      <c r="C2508" s="265"/>
      <c r="D2508" s="265"/>
      <c r="E2508" s="264"/>
      <c r="F2508" s="265"/>
      <c r="G2508" s="263"/>
      <c r="H2508" s="432"/>
      <c r="I2508" s="282"/>
      <c r="J2508" s="283"/>
      <c r="K2508" s="265"/>
      <c r="L2508" s="265"/>
      <c r="M2508" s="269"/>
      <c r="N2508" s="270"/>
      <c r="O2508" s="271"/>
      <c r="P2508" s="271"/>
      <c r="Q2508" s="272"/>
      <c r="R2508" s="273"/>
      <c r="S2508" s="273"/>
      <c r="T2508" s="273"/>
      <c r="U2508" s="274"/>
      <c r="V2508" s="263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</row>
    <row r="2509">
      <c r="A2509" s="263"/>
      <c r="B2509" s="264"/>
      <c r="C2509" s="265"/>
      <c r="D2509" s="265"/>
      <c r="E2509" s="264"/>
      <c r="F2509" s="265"/>
      <c r="G2509" s="263"/>
      <c r="H2509" s="432"/>
      <c r="I2509" s="282"/>
      <c r="J2509" s="283"/>
      <c r="K2509" s="265"/>
      <c r="L2509" s="265"/>
      <c r="M2509" s="269"/>
      <c r="N2509" s="270"/>
      <c r="O2509" s="271"/>
      <c r="P2509" s="271"/>
      <c r="Q2509" s="272"/>
      <c r="R2509" s="273"/>
      <c r="S2509" s="273"/>
      <c r="T2509" s="273"/>
      <c r="U2509" s="274"/>
      <c r="V2509" s="263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</row>
    <row r="2510">
      <c r="A2510" s="263"/>
      <c r="B2510" s="264"/>
      <c r="C2510" s="265"/>
      <c r="D2510" s="265"/>
      <c r="E2510" s="264"/>
      <c r="F2510" s="265"/>
      <c r="G2510" s="263"/>
      <c r="H2510" s="432"/>
      <c r="I2510" s="282"/>
      <c r="J2510" s="283"/>
      <c r="K2510" s="265"/>
      <c r="L2510" s="265"/>
      <c r="M2510" s="269"/>
      <c r="N2510" s="270"/>
      <c r="O2510" s="271"/>
      <c r="P2510" s="271"/>
      <c r="Q2510" s="272"/>
      <c r="R2510" s="273"/>
      <c r="S2510" s="273"/>
      <c r="T2510" s="273"/>
      <c r="U2510" s="274"/>
      <c r="V2510" s="263"/>
      <c r="W2510" s="35"/>
      <c r="X2510" s="35"/>
      <c r="Y2510" s="35"/>
      <c r="Z2510" s="35"/>
      <c r="AA2510" s="35"/>
      <c r="AB2510" s="35"/>
      <c r="AC2510" s="35"/>
      <c r="AD2510" s="35"/>
      <c r="AE2510" s="35"/>
      <c r="AF2510" s="35"/>
      <c r="AG2510" s="35"/>
      <c r="AH2510" s="35"/>
      <c r="AI2510" s="35"/>
    </row>
    <row r="2511">
      <c r="A2511" s="263"/>
      <c r="B2511" s="264"/>
      <c r="C2511" s="265"/>
      <c r="D2511" s="265"/>
      <c r="E2511" s="264"/>
      <c r="F2511" s="265"/>
      <c r="G2511" s="263"/>
      <c r="H2511" s="432"/>
      <c r="I2511" s="282"/>
      <c r="J2511" s="283"/>
      <c r="K2511" s="265"/>
      <c r="L2511" s="265"/>
      <c r="M2511" s="269"/>
      <c r="N2511" s="270"/>
      <c r="O2511" s="271"/>
      <c r="P2511" s="271"/>
      <c r="Q2511" s="272"/>
      <c r="R2511" s="273"/>
      <c r="S2511" s="273"/>
      <c r="T2511" s="273"/>
      <c r="U2511" s="274"/>
      <c r="V2511" s="263"/>
      <c r="W2511" s="35"/>
      <c r="X2511" s="35"/>
      <c r="Y2511" s="35"/>
      <c r="Z2511" s="35"/>
      <c r="AA2511" s="35"/>
      <c r="AB2511" s="35"/>
      <c r="AC2511" s="35"/>
      <c r="AD2511" s="35"/>
      <c r="AE2511" s="35"/>
      <c r="AF2511" s="35"/>
      <c r="AG2511" s="35"/>
      <c r="AH2511" s="35"/>
      <c r="AI2511" s="35"/>
    </row>
    <row r="2512">
      <c r="A2512" s="263"/>
      <c r="B2512" s="264"/>
      <c r="C2512" s="265"/>
      <c r="D2512" s="265"/>
      <c r="E2512" s="264"/>
      <c r="F2512" s="265"/>
      <c r="G2512" s="263"/>
      <c r="H2512" s="432"/>
      <c r="I2512" s="282"/>
      <c r="J2512" s="283"/>
      <c r="K2512" s="265"/>
      <c r="L2512" s="265"/>
      <c r="M2512" s="269"/>
      <c r="N2512" s="270"/>
      <c r="O2512" s="271"/>
      <c r="P2512" s="271"/>
      <c r="Q2512" s="272"/>
      <c r="R2512" s="273"/>
      <c r="S2512" s="273"/>
      <c r="T2512" s="273"/>
      <c r="U2512" s="274"/>
      <c r="V2512" s="263"/>
      <c r="W2512" s="35"/>
      <c r="X2512" s="35"/>
      <c r="Y2512" s="35"/>
      <c r="Z2512" s="35"/>
      <c r="AA2512" s="35"/>
      <c r="AB2512" s="35"/>
      <c r="AC2512" s="35"/>
      <c r="AD2512" s="35"/>
      <c r="AE2512" s="35"/>
      <c r="AF2512" s="35"/>
      <c r="AG2512" s="35"/>
      <c r="AH2512" s="35"/>
      <c r="AI2512" s="35"/>
    </row>
    <row r="2513">
      <c r="A2513" s="263"/>
      <c r="B2513" s="264"/>
      <c r="C2513" s="265"/>
      <c r="D2513" s="265"/>
      <c r="E2513" s="264"/>
      <c r="F2513" s="265"/>
      <c r="G2513" s="263"/>
      <c r="H2513" s="432"/>
      <c r="I2513" s="282"/>
      <c r="J2513" s="283"/>
      <c r="K2513" s="265"/>
      <c r="L2513" s="265"/>
      <c r="M2513" s="269"/>
      <c r="N2513" s="270"/>
      <c r="O2513" s="271"/>
      <c r="P2513" s="271"/>
      <c r="Q2513" s="272"/>
      <c r="R2513" s="273"/>
      <c r="S2513" s="273"/>
      <c r="T2513" s="273"/>
      <c r="U2513" s="274"/>
      <c r="V2513" s="263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</row>
    <row r="2514">
      <c r="A2514" s="263"/>
      <c r="B2514" s="264"/>
      <c r="C2514" s="265"/>
      <c r="D2514" s="265"/>
      <c r="E2514" s="264"/>
      <c r="F2514" s="265"/>
      <c r="G2514" s="263"/>
      <c r="H2514" s="432"/>
      <c r="I2514" s="282"/>
      <c r="J2514" s="283"/>
      <c r="K2514" s="265"/>
      <c r="L2514" s="265"/>
      <c r="M2514" s="269"/>
      <c r="N2514" s="270"/>
      <c r="O2514" s="271"/>
      <c r="P2514" s="271"/>
      <c r="Q2514" s="272"/>
      <c r="R2514" s="273"/>
      <c r="S2514" s="273"/>
      <c r="T2514" s="273"/>
      <c r="U2514" s="274"/>
      <c r="V2514" s="263"/>
      <c r="W2514" s="35"/>
      <c r="X2514" s="35"/>
      <c r="Y2514" s="35"/>
      <c r="Z2514" s="35"/>
      <c r="AA2514" s="35"/>
      <c r="AB2514" s="35"/>
      <c r="AC2514" s="35"/>
      <c r="AD2514" s="35"/>
      <c r="AE2514" s="35"/>
      <c r="AF2514" s="35"/>
      <c r="AG2514" s="35"/>
      <c r="AH2514" s="35"/>
      <c r="AI2514" s="35"/>
    </row>
    <row r="2515">
      <c r="A2515" s="263"/>
      <c r="B2515" s="264"/>
      <c r="C2515" s="265"/>
      <c r="D2515" s="265"/>
      <c r="E2515" s="264"/>
      <c r="F2515" s="265"/>
      <c r="G2515" s="263"/>
      <c r="H2515" s="432"/>
      <c r="I2515" s="282"/>
      <c r="J2515" s="283"/>
      <c r="K2515" s="265"/>
      <c r="L2515" s="265"/>
      <c r="M2515" s="269"/>
      <c r="N2515" s="270"/>
      <c r="O2515" s="271"/>
      <c r="P2515" s="271"/>
      <c r="Q2515" s="272"/>
      <c r="R2515" s="273"/>
      <c r="S2515" s="273"/>
      <c r="T2515" s="273"/>
      <c r="U2515" s="274"/>
      <c r="V2515" s="263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</row>
    <row r="2516">
      <c r="A2516" s="263"/>
      <c r="B2516" s="264"/>
      <c r="C2516" s="265"/>
      <c r="D2516" s="265"/>
      <c r="E2516" s="264"/>
      <c r="F2516" s="265"/>
      <c r="G2516" s="263"/>
      <c r="H2516" s="432"/>
      <c r="I2516" s="282"/>
      <c r="J2516" s="283"/>
      <c r="K2516" s="265"/>
      <c r="L2516" s="265"/>
      <c r="M2516" s="269"/>
      <c r="N2516" s="270"/>
      <c r="O2516" s="271"/>
      <c r="P2516" s="271"/>
      <c r="Q2516" s="272"/>
      <c r="R2516" s="273"/>
      <c r="S2516" s="273"/>
      <c r="T2516" s="273"/>
      <c r="U2516" s="274"/>
      <c r="V2516" s="263"/>
      <c r="W2516" s="35"/>
      <c r="X2516" s="35"/>
      <c r="Y2516" s="35"/>
      <c r="Z2516" s="35"/>
      <c r="AA2516" s="35"/>
      <c r="AB2516" s="35"/>
      <c r="AC2516" s="35"/>
      <c r="AD2516" s="35"/>
      <c r="AE2516" s="35"/>
      <c r="AF2516" s="35"/>
      <c r="AG2516" s="35"/>
      <c r="AH2516" s="35"/>
      <c r="AI2516" s="35"/>
    </row>
    <row r="2517">
      <c r="A2517" s="263"/>
      <c r="B2517" s="264"/>
      <c r="C2517" s="265"/>
      <c r="D2517" s="265"/>
      <c r="E2517" s="264"/>
      <c r="F2517" s="265"/>
      <c r="G2517" s="263"/>
      <c r="H2517" s="432"/>
      <c r="I2517" s="282"/>
      <c r="J2517" s="283"/>
      <c r="K2517" s="265"/>
      <c r="L2517" s="265"/>
      <c r="M2517" s="269"/>
      <c r="N2517" s="270"/>
      <c r="O2517" s="271"/>
      <c r="P2517" s="271"/>
      <c r="Q2517" s="272"/>
      <c r="R2517" s="273"/>
      <c r="S2517" s="273"/>
      <c r="T2517" s="273"/>
      <c r="U2517" s="274"/>
      <c r="V2517" s="263"/>
      <c r="W2517" s="35"/>
      <c r="X2517" s="35"/>
      <c r="Y2517" s="35"/>
      <c r="Z2517" s="35"/>
      <c r="AA2517" s="35"/>
      <c r="AB2517" s="35"/>
      <c r="AC2517" s="35"/>
      <c r="AD2517" s="35"/>
      <c r="AE2517" s="35"/>
      <c r="AF2517" s="35"/>
      <c r="AG2517" s="35"/>
      <c r="AH2517" s="35"/>
      <c r="AI2517" s="35"/>
    </row>
    <row r="2518">
      <c r="A2518" s="263"/>
      <c r="B2518" s="264"/>
      <c r="C2518" s="265"/>
      <c r="D2518" s="265"/>
      <c r="E2518" s="264"/>
      <c r="F2518" s="265"/>
      <c r="G2518" s="263"/>
      <c r="H2518" s="432"/>
      <c r="I2518" s="282"/>
      <c r="J2518" s="283"/>
      <c r="K2518" s="265"/>
      <c r="L2518" s="265"/>
      <c r="M2518" s="269"/>
      <c r="N2518" s="270"/>
      <c r="O2518" s="271"/>
      <c r="P2518" s="271"/>
      <c r="Q2518" s="272"/>
      <c r="R2518" s="273"/>
      <c r="S2518" s="273"/>
      <c r="T2518" s="273"/>
      <c r="U2518" s="274"/>
      <c r="V2518" s="263"/>
      <c r="W2518" s="188"/>
      <c r="X2518" s="188"/>
      <c r="Y2518" s="188"/>
      <c r="Z2518" s="188"/>
      <c r="AA2518" s="188"/>
      <c r="AB2518" s="188"/>
      <c r="AC2518" s="188"/>
      <c r="AD2518" s="188"/>
      <c r="AE2518" s="188"/>
      <c r="AF2518" s="188"/>
      <c r="AG2518" s="188"/>
      <c r="AH2518" s="188"/>
      <c r="AI2518" s="188"/>
    </row>
    <row r="2519">
      <c r="A2519" s="263"/>
      <c r="B2519" s="264"/>
      <c r="C2519" s="265"/>
      <c r="D2519" s="265"/>
      <c r="E2519" s="264"/>
      <c r="F2519" s="265"/>
      <c r="G2519" s="263"/>
      <c r="H2519" s="432"/>
      <c r="I2519" s="282"/>
      <c r="J2519" s="283"/>
      <c r="K2519" s="265"/>
      <c r="L2519" s="265"/>
      <c r="M2519" s="269"/>
      <c r="N2519" s="270"/>
      <c r="O2519" s="271"/>
      <c r="P2519" s="271"/>
      <c r="Q2519" s="272"/>
      <c r="R2519" s="273"/>
      <c r="S2519" s="273"/>
      <c r="T2519" s="273"/>
      <c r="U2519" s="274"/>
      <c r="V2519" s="263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</row>
    <row r="2520">
      <c r="A2520" s="263"/>
      <c r="B2520" s="264"/>
      <c r="C2520" s="265"/>
      <c r="D2520" s="265"/>
      <c r="E2520" s="264"/>
      <c r="F2520" s="265"/>
      <c r="G2520" s="263"/>
      <c r="H2520" s="432"/>
      <c r="I2520" s="282"/>
      <c r="J2520" s="283"/>
      <c r="K2520" s="265"/>
      <c r="L2520" s="265"/>
      <c r="M2520" s="269"/>
      <c r="N2520" s="270"/>
      <c r="O2520" s="271"/>
      <c r="P2520" s="271"/>
      <c r="Q2520" s="272"/>
      <c r="R2520" s="273"/>
      <c r="S2520" s="273"/>
      <c r="T2520" s="273"/>
      <c r="U2520" s="274"/>
      <c r="V2520" s="263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</row>
    <row r="2521">
      <c r="A2521" s="263"/>
      <c r="B2521" s="264"/>
      <c r="C2521" s="265"/>
      <c r="D2521" s="265"/>
      <c r="E2521" s="264"/>
      <c r="F2521" s="265"/>
      <c r="G2521" s="263"/>
      <c r="H2521" s="432"/>
      <c r="I2521" s="282"/>
      <c r="J2521" s="283"/>
      <c r="K2521" s="265"/>
      <c r="L2521" s="265"/>
      <c r="M2521" s="269"/>
      <c r="N2521" s="270"/>
      <c r="O2521" s="271"/>
      <c r="P2521" s="271"/>
      <c r="Q2521" s="272"/>
      <c r="R2521" s="273"/>
      <c r="S2521" s="273"/>
      <c r="T2521" s="273"/>
      <c r="U2521" s="274"/>
      <c r="V2521" s="263"/>
      <c r="W2521" s="188"/>
      <c r="X2521" s="188"/>
      <c r="Y2521" s="188"/>
      <c r="Z2521" s="188"/>
      <c r="AA2521" s="188"/>
      <c r="AB2521" s="188"/>
      <c r="AC2521" s="188"/>
      <c r="AD2521" s="188"/>
      <c r="AE2521" s="188"/>
      <c r="AF2521" s="188"/>
      <c r="AG2521" s="188"/>
      <c r="AH2521" s="188"/>
      <c r="AI2521" s="188"/>
    </row>
    <row r="2522">
      <c r="A2522" s="263"/>
      <c r="B2522" s="264"/>
      <c r="C2522" s="265"/>
      <c r="D2522" s="265"/>
      <c r="E2522" s="264"/>
      <c r="F2522" s="265"/>
      <c r="G2522" s="263"/>
      <c r="H2522" s="432"/>
      <c r="I2522" s="282"/>
      <c r="J2522" s="283"/>
      <c r="K2522" s="265"/>
      <c r="L2522" s="265"/>
      <c r="M2522" s="269"/>
      <c r="N2522" s="270"/>
      <c r="O2522" s="271"/>
      <c r="P2522" s="271"/>
      <c r="Q2522" s="272"/>
      <c r="R2522" s="273"/>
      <c r="S2522" s="273"/>
      <c r="T2522" s="273"/>
      <c r="U2522" s="274"/>
      <c r="V2522" s="263"/>
      <c r="W2522" s="188"/>
      <c r="X2522" s="188"/>
      <c r="Y2522" s="188"/>
      <c r="Z2522" s="188"/>
      <c r="AA2522" s="188"/>
      <c r="AB2522" s="188"/>
      <c r="AC2522" s="188"/>
      <c r="AD2522" s="188"/>
      <c r="AE2522" s="188"/>
      <c r="AF2522" s="188"/>
      <c r="AG2522" s="188"/>
      <c r="AH2522" s="188"/>
      <c r="AI2522" s="188"/>
    </row>
    <row r="2523">
      <c r="A2523" s="263"/>
      <c r="B2523" s="264"/>
      <c r="C2523" s="265"/>
      <c r="D2523" s="265"/>
      <c r="E2523" s="264"/>
      <c r="F2523" s="265"/>
      <c r="G2523" s="263"/>
      <c r="H2523" s="432"/>
      <c r="I2523" s="282"/>
      <c r="J2523" s="283"/>
      <c r="K2523" s="265"/>
      <c r="L2523" s="265"/>
      <c r="M2523" s="269"/>
      <c r="N2523" s="270"/>
      <c r="O2523" s="271"/>
      <c r="P2523" s="271"/>
      <c r="Q2523" s="272"/>
      <c r="R2523" s="273"/>
      <c r="S2523" s="273"/>
      <c r="T2523" s="273"/>
      <c r="U2523" s="274"/>
      <c r="V2523" s="263"/>
      <c r="W2523" s="188"/>
      <c r="X2523" s="188"/>
      <c r="Y2523" s="188"/>
      <c r="Z2523" s="188"/>
      <c r="AA2523" s="188"/>
      <c r="AB2523" s="188"/>
      <c r="AC2523" s="188"/>
      <c r="AD2523" s="188"/>
      <c r="AE2523" s="188"/>
      <c r="AF2523" s="188"/>
      <c r="AG2523" s="188"/>
      <c r="AH2523" s="188"/>
      <c r="AI2523" s="188"/>
    </row>
    <row r="2524">
      <c r="A2524" s="263"/>
      <c r="B2524" s="264"/>
      <c r="C2524" s="265"/>
      <c r="D2524" s="265"/>
      <c r="E2524" s="264"/>
      <c r="F2524" s="265"/>
      <c r="G2524" s="263"/>
      <c r="H2524" s="432"/>
      <c r="I2524" s="282"/>
      <c r="J2524" s="283"/>
      <c r="K2524" s="265"/>
      <c r="L2524" s="265"/>
      <c r="M2524" s="269"/>
      <c r="N2524" s="270"/>
      <c r="O2524" s="271"/>
      <c r="P2524" s="271"/>
      <c r="Q2524" s="272"/>
      <c r="R2524" s="273"/>
      <c r="S2524" s="273"/>
      <c r="T2524" s="273"/>
      <c r="U2524" s="274"/>
      <c r="V2524" s="263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</row>
    <row r="2525">
      <c r="A2525" s="263"/>
      <c r="B2525" s="264"/>
      <c r="C2525" s="265"/>
      <c r="D2525" s="265"/>
      <c r="E2525" s="264"/>
      <c r="F2525" s="265"/>
      <c r="G2525" s="263"/>
      <c r="H2525" s="432"/>
      <c r="I2525" s="282"/>
      <c r="J2525" s="283"/>
      <c r="K2525" s="265"/>
      <c r="L2525" s="265"/>
      <c r="M2525" s="269"/>
      <c r="N2525" s="270"/>
      <c r="O2525" s="271"/>
      <c r="P2525" s="271"/>
      <c r="Q2525" s="272"/>
      <c r="R2525" s="273"/>
      <c r="S2525" s="273"/>
      <c r="T2525" s="273"/>
      <c r="U2525" s="274"/>
      <c r="V2525" s="263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</row>
    <row r="2526">
      <c r="A2526" s="263"/>
      <c r="B2526" s="264"/>
      <c r="C2526" s="265"/>
      <c r="D2526" s="265"/>
      <c r="E2526" s="264"/>
      <c r="F2526" s="265"/>
      <c r="G2526" s="263"/>
      <c r="H2526" s="432"/>
      <c r="I2526" s="282"/>
      <c r="J2526" s="283"/>
      <c r="K2526" s="265"/>
      <c r="L2526" s="265"/>
      <c r="M2526" s="269"/>
      <c r="N2526" s="270"/>
      <c r="O2526" s="271"/>
      <c r="P2526" s="271"/>
      <c r="Q2526" s="272"/>
      <c r="R2526" s="273"/>
      <c r="S2526" s="273"/>
      <c r="T2526" s="273"/>
      <c r="U2526" s="274"/>
      <c r="V2526" s="263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</row>
    <row r="2527">
      <c r="A2527" s="263"/>
      <c r="B2527" s="264"/>
      <c r="C2527" s="265"/>
      <c r="D2527" s="265"/>
      <c r="E2527" s="264"/>
      <c r="F2527" s="265"/>
      <c r="G2527" s="263"/>
      <c r="H2527" s="432"/>
      <c r="I2527" s="282"/>
      <c r="J2527" s="283"/>
      <c r="K2527" s="265"/>
      <c r="L2527" s="265"/>
      <c r="M2527" s="269"/>
      <c r="N2527" s="270"/>
      <c r="O2527" s="271"/>
      <c r="P2527" s="271"/>
      <c r="Q2527" s="272"/>
      <c r="R2527" s="273"/>
      <c r="S2527" s="273"/>
      <c r="T2527" s="273"/>
      <c r="U2527" s="274"/>
      <c r="V2527" s="263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</row>
    <row r="2528">
      <c r="A2528" s="263"/>
      <c r="B2528" s="264"/>
      <c r="C2528" s="265"/>
      <c r="D2528" s="265"/>
      <c r="E2528" s="264"/>
      <c r="F2528" s="265"/>
      <c r="G2528" s="263"/>
      <c r="H2528" s="432"/>
      <c r="I2528" s="282"/>
      <c r="J2528" s="283"/>
      <c r="K2528" s="265"/>
      <c r="L2528" s="265"/>
      <c r="M2528" s="269"/>
      <c r="N2528" s="270"/>
      <c r="O2528" s="271"/>
      <c r="P2528" s="271"/>
      <c r="Q2528" s="272"/>
      <c r="R2528" s="273"/>
      <c r="S2528" s="273"/>
      <c r="T2528" s="273"/>
      <c r="U2528" s="274"/>
      <c r="V2528" s="263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</row>
    <row r="2529">
      <c r="A2529" s="263"/>
      <c r="B2529" s="264"/>
      <c r="C2529" s="265"/>
      <c r="D2529" s="265"/>
      <c r="E2529" s="264"/>
      <c r="F2529" s="265"/>
      <c r="G2529" s="263"/>
      <c r="H2529" s="432"/>
      <c r="I2529" s="282"/>
      <c r="J2529" s="283"/>
      <c r="K2529" s="265"/>
      <c r="L2529" s="265"/>
      <c r="M2529" s="269"/>
      <c r="N2529" s="270"/>
      <c r="O2529" s="271"/>
      <c r="P2529" s="271"/>
      <c r="Q2529" s="272"/>
      <c r="R2529" s="273"/>
      <c r="S2529" s="273"/>
      <c r="T2529" s="273"/>
      <c r="U2529" s="274"/>
      <c r="V2529" s="263"/>
      <c r="W2529" s="188"/>
      <c r="X2529" s="188"/>
      <c r="Y2529" s="188"/>
      <c r="Z2529" s="188"/>
      <c r="AA2529" s="188"/>
      <c r="AB2529" s="188"/>
      <c r="AC2529" s="188"/>
      <c r="AD2529" s="188"/>
      <c r="AE2529" s="188"/>
      <c r="AF2529" s="188"/>
      <c r="AG2529" s="188"/>
      <c r="AH2529" s="188"/>
      <c r="AI2529" s="188"/>
    </row>
    <row r="2530">
      <c r="A2530" s="263"/>
      <c r="B2530" s="264"/>
      <c r="C2530" s="265"/>
      <c r="D2530" s="265"/>
      <c r="E2530" s="264"/>
      <c r="F2530" s="265"/>
      <c r="G2530" s="263"/>
      <c r="H2530" s="432"/>
      <c r="I2530" s="282"/>
      <c r="J2530" s="283"/>
      <c r="K2530" s="265"/>
      <c r="L2530" s="265"/>
      <c r="M2530" s="269"/>
      <c r="N2530" s="270"/>
      <c r="O2530" s="271"/>
      <c r="P2530" s="271"/>
      <c r="Q2530" s="272"/>
      <c r="R2530" s="273"/>
      <c r="S2530" s="273"/>
      <c r="T2530" s="273"/>
      <c r="U2530" s="274"/>
      <c r="V2530" s="263"/>
      <c r="W2530" s="188"/>
      <c r="X2530" s="188"/>
      <c r="Y2530" s="188"/>
      <c r="Z2530" s="188"/>
      <c r="AA2530" s="188"/>
      <c r="AB2530" s="188"/>
      <c r="AC2530" s="188"/>
      <c r="AD2530" s="188"/>
      <c r="AE2530" s="188"/>
      <c r="AF2530" s="188"/>
      <c r="AG2530" s="188"/>
      <c r="AH2530" s="188"/>
      <c r="AI2530" s="188"/>
    </row>
    <row r="2531">
      <c r="A2531" s="263"/>
      <c r="B2531" s="264"/>
      <c r="C2531" s="265"/>
      <c r="D2531" s="265"/>
      <c r="E2531" s="264"/>
      <c r="F2531" s="265"/>
      <c r="G2531" s="263"/>
      <c r="H2531" s="432"/>
      <c r="I2531" s="282"/>
      <c r="J2531" s="283"/>
      <c r="K2531" s="265"/>
      <c r="L2531" s="265"/>
      <c r="M2531" s="269"/>
      <c r="N2531" s="270"/>
      <c r="O2531" s="271"/>
      <c r="P2531" s="271"/>
      <c r="Q2531" s="272"/>
      <c r="R2531" s="273"/>
      <c r="S2531" s="273"/>
      <c r="T2531" s="273"/>
      <c r="U2531" s="274"/>
      <c r="V2531" s="263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</row>
    <row r="2532">
      <c r="A2532" s="263"/>
      <c r="B2532" s="264"/>
      <c r="C2532" s="265"/>
      <c r="D2532" s="265"/>
      <c r="E2532" s="264"/>
      <c r="F2532" s="265"/>
      <c r="G2532" s="263"/>
      <c r="H2532" s="432"/>
      <c r="I2532" s="282"/>
      <c r="J2532" s="283"/>
      <c r="K2532" s="265"/>
      <c r="L2532" s="265"/>
      <c r="M2532" s="269"/>
      <c r="N2532" s="270"/>
      <c r="O2532" s="271"/>
      <c r="P2532" s="271"/>
      <c r="Q2532" s="272"/>
      <c r="R2532" s="273"/>
      <c r="S2532" s="273"/>
      <c r="T2532" s="273"/>
      <c r="U2532" s="274"/>
      <c r="V2532" s="263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</row>
    <row r="2533">
      <c r="A2533" s="263"/>
      <c r="B2533" s="264"/>
      <c r="C2533" s="265"/>
      <c r="D2533" s="265"/>
      <c r="E2533" s="264"/>
      <c r="F2533" s="265"/>
      <c r="G2533" s="263"/>
      <c r="H2533" s="432"/>
      <c r="I2533" s="282"/>
      <c r="J2533" s="283"/>
      <c r="K2533" s="265"/>
      <c r="L2533" s="265"/>
      <c r="M2533" s="269"/>
      <c r="N2533" s="270"/>
      <c r="O2533" s="271"/>
      <c r="P2533" s="271"/>
      <c r="Q2533" s="272"/>
      <c r="R2533" s="273"/>
      <c r="S2533" s="273"/>
      <c r="T2533" s="273"/>
      <c r="U2533" s="274"/>
      <c r="V2533" s="263"/>
      <c r="W2533" s="188"/>
      <c r="X2533" s="188"/>
      <c r="Y2533" s="188"/>
      <c r="Z2533" s="188"/>
      <c r="AA2533" s="188"/>
      <c r="AB2533" s="188"/>
      <c r="AC2533" s="188"/>
      <c r="AD2533" s="188"/>
      <c r="AE2533" s="188"/>
      <c r="AF2533" s="188"/>
      <c r="AG2533" s="188"/>
      <c r="AH2533" s="188"/>
      <c r="AI2533" s="188"/>
    </row>
    <row r="2534">
      <c r="A2534" s="263"/>
      <c r="B2534" s="264"/>
      <c r="C2534" s="265"/>
      <c r="D2534" s="265"/>
      <c r="E2534" s="264"/>
      <c r="F2534" s="265"/>
      <c r="G2534" s="263"/>
      <c r="H2534" s="432"/>
      <c r="I2534" s="282"/>
      <c r="J2534" s="283"/>
      <c r="K2534" s="265"/>
      <c r="L2534" s="265"/>
      <c r="M2534" s="269"/>
      <c r="N2534" s="270"/>
      <c r="O2534" s="271"/>
      <c r="P2534" s="271"/>
      <c r="Q2534" s="272"/>
      <c r="R2534" s="273"/>
      <c r="S2534" s="273"/>
      <c r="T2534" s="273"/>
      <c r="U2534" s="274"/>
      <c r="V2534" s="263"/>
      <c r="W2534" s="188"/>
      <c r="X2534" s="188"/>
      <c r="Y2534" s="188"/>
      <c r="Z2534" s="188"/>
      <c r="AA2534" s="188"/>
      <c r="AB2534" s="188"/>
      <c r="AC2534" s="188"/>
      <c r="AD2534" s="188"/>
      <c r="AE2534" s="188"/>
      <c r="AF2534" s="188"/>
      <c r="AG2534" s="188"/>
      <c r="AH2534" s="188"/>
      <c r="AI2534" s="188"/>
    </row>
    <row r="2535">
      <c r="A2535" s="263"/>
      <c r="B2535" s="264"/>
      <c r="C2535" s="265"/>
      <c r="D2535" s="265"/>
      <c r="E2535" s="264"/>
      <c r="F2535" s="265"/>
      <c r="G2535" s="263"/>
      <c r="H2535" s="432"/>
      <c r="I2535" s="282"/>
      <c r="J2535" s="283"/>
      <c r="K2535" s="265"/>
      <c r="L2535" s="265"/>
      <c r="M2535" s="269"/>
      <c r="N2535" s="270"/>
      <c r="O2535" s="271"/>
      <c r="P2535" s="271"/>
      <c r="Q2535" s="272"/>
      <c r="R2535" s="273"/>
      <c r="S2535" s="273"/>
      <c r="T2535" s="273"/>
      <c r="U2535" s="274"/>
      <c r="V2535" s="263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</row>
    <row r="2536">
      <c r="A2536" s="263"/>
      <c r="B2536" s="264"/>
      <c r="C2536" s="265"/>
      <c r="D2536" s="265"/>
      <c r="E2536" s="264"/>
      <c r="F2536" s="265"/>
      <c r="G2536" s="263"/>
      <c r="H2536" s="432"/>
      <c r="I2536" s="282"/>
      <c r="J2536" s="283"/>
      <c r="K2536" s="265"/>
      <c r="L2536" s="265"/>
      <c r="M2536" s="269"/>
      <c r="N2536" s="270"/>
      <c r="O2536" s="271"/>
      <c r="P2536" s="271"/>
      <c r="Q2536" s="272"/>
      <c r="R2536" s="273"/>
      <c r="S2536" s="273"/>
      <c r="T2536" s="273"/>
      <c r="U2536" s="274"/>
      <c r="V2536" s="263"/>
      <c r="W2536" s="35"/>
      <c r="X2536" s="35"/>
      <c r="Y2536" s="35"/>
      <c r="Z2536" s="35"/>
      <c r="AA2536" s="35"/>
      <c r="AB2536" s="35"/>
      <c r="AC2536" s="35"/>
      <c r="AD2536" s="35"/>
      <c r="AE2536" s="35"/>
      <c r="AF2536" s="35"/>
      <c r="AG2536" s="35"/>
      <c r="AH2536" s="35"/>
      <c r="AI2536" s="35"/>
    </row>
    <row r="2537">
      <c r="A2537" s="263"/>
      <c r="B2537" s="264"/>
      <c r="C2537" s="265"/>
      <c r="D2537" s="265"/>
      <c r="E2537" s="264"/>
      <c r="F2537" s="265"/>
      <c r="G2537" s="263"/>
      <c r="H2537" s="432"/>
      <c r="I2537" s="282"/>
      <c r="J2537" s="283"/>
      <c r="K2537" s="265"/>
      <c r="L2537" s="265"/>
      <c r="M2537" s="269"/>
      <c r="N2537" s="270"/>
      <c r="O2537" s="271"/>
      <c r="P2537" s="271"/>
      <c r="Q2537" s="272"/>
      <c r="R2537" s="273"/>
      <c r="S2537" s="273"/>
      <c r="T2537" s="273"/>
      <c r="U2537" s="274"/>
      <c r="V2537" s="263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</row>
    <row r="2538">
      <c r="A2538" s="263"/>
      <c r="B2538" s="264"/>
      <c r="C2538" s="265"/>
      <c r="D2538" s="265"/>
      <c r="E2538" s="264"/>
      <c r="F2538" s="265"/>
      <c r="G2538" s="263"/>
      <c r="H2538" s="432"/>
      <c r="I2538" s="282"/>
      <c r="J2538" s="283"/>
      <c r="K2538" s="265"/>
      <c r="L2538" s="265"/>
      <c r="M2538" s="269"/>
      <c r="N2538" s="270"/>
      <c r="O2538" s="271"/>
      <c r="P2538" s="271"/>
      <c r="Q2538" s="272"/>
      <c r="R2538" s="273"/>
      <c r="S2538" s="273"/>
      <c r="T2538" s="273"/>
      <c r="U2538" s="274"/>
      <c r="V2538" s="263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</row>
    <row r="2539">
      <c r="A2539" s="263"/>
      <c r="B2539" s="264"/>
      <c r="C2539" s="265"/>
      <c r="D2539" s="265"/>
      <c r="E2539" s="264"/>
      <c r="F2539" s="265"/>
      <c r="G2539" s="263"/>
      <c r="H2539" s="432"/>
      <c r="I2539" s="282"/>
      <c r="J2539" s="283"/>
      <c r="K2539" s="265"/>
      <c r="L2539" s="265"/>
      <c r="M2539" s="269"/>
      <c r="N2539" s="270"/>
      <c r="O2539" s="271"/>
      <c r="P2539" s="271"/>
      <c r="Q2539" s="272"/>
      <c r="R2539" s="273"/>
      <c r="S2539" s="273"/>
      <c r="T2539" s="273"/>
      <c r="U2539" s="274"/>
      <c r="V2539" s="263"/>
      <c r="W2539" s="35"/>
      <c r="X2539" s="35"/>
      <c r="Y2539" s="35"/>
      <c r="Z2539" s="35"/>
      <c r="AA2539" s="35"/>
      <c r="AB2539" s="35"/>
      <c r="AC2539" s="35"/>
      <c r="AD2539" s="35"/>
      <c r="AE2539" s="35"/>
      <c r="AF2539" s="35"/>
      <c r="AG2539" s="35"/>
      <c r="AH2539" s="35"/>
      <c r="AI2539" s="35"/>
    </row>
    <row r="2540">
      <c r="A2540" s="263"/>
      <c r="B2540" s="264"/>
      <c r="C2540" s="265"/>
      <c r="D2540" s="265"/>
      <c r="E2540" s="264"/>
      <c r="F2540" s="265"/>
      <c r="G2540" s="263"/>
      <c r="H2540" s="432"/>
      <c r="I2540" s="282"/>
      <c r="J2540" s="283"/>
      <c r="K2540" s="265"/>
      <c r="L2540" s="265"/>
      <c r="M2540" s="269"/>
      <c r="N2540" s="270"/>
      <c r="O2540" s="271"/>
      <c r="P2540" s="271"/>
      <c r="Q2540" s="272"/>
      <c r="R2540" s="273"/>
      <c r="S2540" s="273"/>
      <c r="T2540" s="273"/>
      <c r="U2540" s="274"/>
      <c r="V2540" s="263"/>
      <c r="W2540" s="35"/>
      <c r="X2540" s="35"/>
      <c r="Y2540" s="35"/>
      <c r="Z2540" s="35"/>
      <c r="AA2540" s="35"/>
      <c r="AB2540" s="35"/>
      <c r="AC2540" s="35"/>
      <c r="AD2540" s="35"/>
      <c r="AE2540" s="35"/>
      <c r="AF2540" s="35"/>
      <c r="AG2540" s="35"/>
      <c r="AH2540" s="35"/>
      <c r="AI2540" s="35"/>
    </row>
    <row r="2541">
      <c r="A2541" s="263"/>
      <c r="B2541" s="264"/>
      <c r="C2541" s="265"/>
      <c r="D2541" s="265"/>
      <c r="E2541" s="264"/>
      <c r="F2541" s="265"/>
      <c r="G2541" s="263"/>
      <c r="H2541" s="432"/>
      <c r="I2541" s="282"/>
      <c r="J2541" s="283"/>
      <c r="K2541" s="265"/>
      <c r="L2541" s="265"/>
      <c r="M2541" s="269"/>
      <c r="N2541" s="270"/>
      <c r="O2541" s="271"/>
      <c r="P2541" s="271"/>
      <c r="Q2541" s="272"/>
      <c r="R2541" s="273"/>
      <c r="S2541" s="273"/>
      <c r="T2541" s="273"/>
      <c r="U2541" s="274"/>
      <c r="V2541" s="263"/>
      <c r="W2541" s="35"/>
      <c r="X2541" s="35"/>
      <c r="Y2541" s="35"/>
      <c r="Z2541" s="35"/>
      <c r="AA2541" s="35"/>
      <c r="AB2541" s="35"/>
      <c r="AC2541" s="35"/>
      <c r="AD2541" s="35"/>
      <c r="AE2541" s="35"/>
      <c r="AF2541" s="35"/>
      <c r="AG2541" s="35"/>
      <c r="AH2541" s="35"/>
      <c r="AI2541" s="35"/>
    </row>
    <row r="2542">
      <c r="A2542" s="263"/>
      <c r="B2542" s="264"/>
      <c r="C2542" s="265"/>
      <c r="D2542" s="265"/>
      <c r="E2542" s="264"/>
      <c r="F2542" s="265"/>
      <c r="G2542" s="263"/>
      <c r="H2542" s="432"/>
      <c r="I2542" s="282"/>
      <c r="J2542" s="283"/>
      <c r="K2542" s="265"/>
      <c r="L2542" s="265"/>
      <c r="M2542" s="269"/>
      <c r="N2542" s="270"/>
      <c r="O2542" s="271"/>
      <c r="P2542" s="271"/>
      <c r="Q2542" s="272"/>
      <c r="R2542" s="273"/>
      <c r="S2542" s="273"/>
      <c r="T2542" s="273"/>
      <c r="U2542" s="274"/>
      <c r="V2542" s="263"/>
      <c r="W2542" s="35"/>
      <c r="X2542" s="35"/>
      <c r="Y2542" s="35"/>
      <c r="Z2542" s="35"/>
      <c r="AA2542" s="35"/>
      <c r="AB2542" s="35"/>
      <c r="AC2542" s="35"/>
      <c r="AD2542" s="35"/>
      <c r="AE2542" s="35"/>
      <c r="AF2542" s="35"/>
      <c r="AG2542" s="35"/>
      <c r="AH2542" s="35"/>
      <c r="AI2542" s="35"/>
    </row>
    <row r="2543">
      <c r="A2543" s="263"/>
      <c r="B2543" s="264"/>
      <c r="C2543" s="265"/>
      <c r="D2543" s="265"/>
      <c r="E2543" s="264"/>
      <c r="F2543" s="265"/>
      <c r="G2543" s="263"/>
      <c r="H2543" s="432"/>
      <c r="I2543" s="282"/>
      <c r="J2543" s="283"/>
      <c r="K2543" s="265"/>
      <c r="L2543" s="265"/>
      <c r="M2543" s="269"/>
      <c r="N2543" s="270"/>
      <c r="O2543" s="271"/>
      <c r="P2543" s="271"/>
      <c r="Q2543" s="272"/>
      <c r="R2543" s="273"/>
      <c r="S2543" s="273"/>
      <c r="T2543" s="273"/>
      <c r="U2543" s="274"/>
      <c r="V2543" s="263"/>
      <c r="W2543" s="188"/>
      <c r="X2543" s="188"/>
      <c r="Y2543" s="188"/>
      <c r="Z2543" s="188"/>
      <c r="AA2543" s="188"/>
      <c r="AB2543" s="188"/>
      <c r="AC2543" s="188"/>
      <c r="AD2543" s="188"/>
      <c r="AE2543" s="188"/>
      <c r="AF2543" s="188"/>
      <c r="AG2543" s="188"/>
      <c r="AH2543" s="188"/>
      <c r="AI2543" s="188"/>
    </row>
    <row r="2544">
      <c r="A2544" s="263"/>
      <c r="B2544" s="264"/>
      <c r="C2544" s="265"/>
      <c r="D2544" s="265"/>
      <c r="E2544" s="264"/>
      <c r="F2544" s="265"/>
      <c r="G2544" s="263"/>
      <c r="H2544" s="432"/>
      <c r="I2544" s="282"/>
      <c r="J2544" s="283"/>
      <c r="K2544" s="265"/>
      <c r="L2544" s="265"/>
      <c r="M2544" s="269"/>
      <c r="N2544" s="270"/>
      <c r="O2544" s="271"/>
      <c r="P2544" s="271"/>
      <c r="Q2544" s="272"/>
      <c r="R2544" s="273"/>
      <c r="S2544" s="273"/>
      <c r="T2544" s="273"/>
      <c r="U2544" s="274"/>
      <c r="V2544" s="263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</row>
    <row r="2545">
      <c r="A2545" s="263"/>
      <c r="B2545" s="264"/>
      <c r="C2545" s="265"/>
      <c r="D2545" s="265"/>
      <c r="E2545" s="264"/>
      <c r="F2545" s="265"/>
      <c r="G2545" s="263"/>
      <c r="H2545" s="432"/>
      <c r="I2545" s="282"/>
      <c r="J2545" s="283"/>
      <c r="K2545" s="265"/>
      <c r="L2545" s="265"/>
      <c r="M2545" s="269"/>
      <c r="N2545" s="270"/>
      <c r="O2545" s="271"/>
      <c r="P2545" s="271"/>
      <c r="Q2545" s="272"/>
      <c r="R2545" s="273"/>
      <c r="S2545" s="273"/>
      <c r="T2545" s="273"/>
      <c r="U2545" s="274"/>
      <c r="V2545" s="263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</row>
    <row r="2546">
      <c r="A2546" s="263"/>
      <c r="B2546" s="264"/>
      <c r="C2546" s="265"/>
      <c r="D2546" s="265"/>
      <c r="E2546" s="264"/>
      <c r="F2546" s="265"/>
      <c r="G2546" s="263"/>
      <c r="H2546" s="432"/>
      <c r="I2546" s="282"/>
      <c r="J2546" s="283"/>
      <c r="K2546" s="265"/>
      <c r="L2546" s="265"/>
      <c r="M2546" s="269"/>
      <c r="N2546" s="270"/>
      <c r="O2546" s="271"/>
      <c r="P2546" s="271"/>
      <c r="Q2546" s="272"/>
      <c r="R2546" s="273"/>
      <c r="S2546" s="273"/>
      <c r="T2546" s="273"/>
      <c r="U2546" s="274"/>
      <c r="V2546" s="263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</row>
    <row r="2547">
      <c r="A2547" s="263"/>
      <c r="B2547" s="264"/>
      <c r="C2547" s="265"/>
      <c r="D2547" s="265"/>
      <c r="E2547" s="264"/>
      <c r="F2547" s="265"/>
      <c r="G2547" s="263"/>
      <c r="H2547" s="432"/>
      <c r="I2547" s="282"/>
      <c r="J2547" s="283"/>
      <c r="K2547" s="265"/>
      <c r="L2547" s="265"/>
      <c r="M2547" s="269"/>
      <c r="N2547" s="270"/>
      <c r="O2547" s="271"/>
      <c r="P2547" s="271"/>
      <c r="Q2547" s="272"/>
      <c r="R2547" s="273"/>
      <c r="S2547" s="273"/>
      <c r="T2547" s="273"/>
      <c r="U2547" s="274"/>
      <c r="V2547" s="263"/>
      <c r="W2547" s="188"/>
      <c r="X2547" s="188"/>
      <c r="Y2547" s="188"/>
      <c r="Z2547" s="188"/>
      <c r="AA2547" s="188"/>
      <c r="AB2547" s="188"/>
      <c r="AC2547" s="188"/>
      <c r="AD2547" s="188"/>
      <c r="AE2547" s="188"/>
      <c r="AF2547" s="188"/>
      <c r="AG2547" s="188"/>
      <c r="AH2547" s="188"/>
      <c r="AI2547" s="188"/>
    </row>
    <row r="2548">
      <c r="A2548" s="263"/>
      <c r="B2548" s="264"/>
      <c r="C2548" s="265"/>
      <c r="D2548" s="265"/>
      <c r="E2548" s="264"/>
      <c r="F2548" s="265"/>
      <c r="G2548" s="263"/>
      <c r="H2548" s="432"/>
      <c r="I2548" s="282"/>
      <c r="J2548" s="283"/>
      <c r="K2548" s="265"/>
      <c r="L2548" s="265"/>
      <c r="M2548" s="269"/>
      <c r="N2548" s="270"/>
      <c r="O2548" s="271"/>
      <c r="P2548" s="271"/>
      <c r="Q2548" s="272"/>
      <c r="R2548" s="273"/>
      <c r="S2548" s="273"/>
      <c r="T2548" s="273"/>
      <c r="U2548" s="274"/>
      <c r="V2548" s="263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</row>
    <row r="2549">
      <c r="A2549" s="263"/>
      <c r="B2549" s="264"/>
      <c r="C2549" s="265"/>
      <c r="D2549" s="265"/>
      <c r="E2549" s="264"/>
      <c r="F2549" s="265"/>
      <c r="G2549" s="263"/>
      <c r="H2549" s="432"/>
      <c r="I2549" s="282"/>
      <c r="J2549" s="283"/>
      <c r="K2549" s="265"/>
      <c r="L2549" s="265"/>
      <c r="M2549" s="269"/>
      <c r="N2549" s="270"/>
      <c r="O2549" s="271"/>
      <c r="P2549" s="271"/>
      <c r="Q2549" s="272"/>
      <c r="R2549" s="273"/>
      <c r="S2549" s="273"/>
      <c r="T2549" s="273"/>
      <c r="U2549" s="274"/>
      <c r="V2549" s="263"/>
      <c r="W2549" s="35"/>
      <c r="X2549" s="35"/>
      <c r="Y2549" s="35"/>
      <c r="Z2549" s="35"/>
      <c r="AA2549" s="35"/>
      <c r="AB2549" s="35"/>
      <c r="AC2549" s="35"/>
      <c r="AD2549" s="35"/>
      <c r="AE2549" s="35"/>
      <c r="AF2549" s="35"/>
      <c r="AG2549" s="35"/>
      <c r="AH2549" s="35"/>
      <c r="AI2549" s="35"/>
    </row>
    <row r="2550">
      <c r="A2550" s="263"/>
      <c r="B2550" s="264"/>
      <c r="C2550" s="265"/>
      <c r="D2550" s="265"/>
      <c r="E2550" s="264"/>
      <c r="F2550" s="265"/>
      <c r="G2550" s="263"/>
      <c r="H2550" s="432"/>
      <c r="I2550" s="282"/>
      <c r="J2550" s="283"/>
      <c r="K2550" s="265"/>
      <c r="L2550" s="265"/>
      <c r="M2550" s="269"/>
      <c r="N2550" s="270"/>
      <c r="O2550" s="271"/>
      <c r="P2550" s="271"/>
      <c r="Q2550" s="272"/>
      <c r="R2550" s="273"/>
      <c r="S2550" s="273"/>
      <c r="T2550" s="273"/>
      <c r="U2550" s="274"/>
      <c r="V2550" s="263"/>
      <c r="W2550" s="36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</row>
    <row r="2551">
      <c r="A2551" s="263"/>
      <c r="B2551" s="264"/>
      <c r="C2551" s="265"/>
      <c r="D2551" s="265"/>
      <c r="E2551" s="264"/>
      <c r="F2551" s="265"/>
      <c r="G2551" s="263"/>
      <c r="H2551" s="432"/>
      <c r="I2551" s="282"/>
      <c r="J2551" s="283"/>
      <c r="K2551" s="265"/>
      <c r="L2551" s="265"/>
      <c r="M2551" s="269"/>
      <c r="N2551" s="270"/>
      <c r="O2551" s="271"/>
      <c r="P2551" s="271"/>
      <c r="Q2551" s="272"/>
      <c r="R2551" s="273"/>
      <c r="S2551" s="273"/>
      <c r="T2551" s="273"/>
      <c r="U2551" s="274"/>
      <c r="V2551" s="263"/>
      <c r="W2551" s="188"/>
      <c r="X2551" s="188"/>
      <c r="Y2551" s="188"/>
      <c r="Z2551" s="188"/>
      <c r="AA2551" s="188"/>
      <c r="AB2551" s="188"/>
      <c r="AC2551" s="188"/>
      <c r="AD2551" s="188"/>
      <c r="AE2551" s="188"/>
      <c r="AF2551" s="188"/>
      <c r="AG2551" s="188"/>
      <c r="AH2551" s="188"/>
      <c r="AI2551" s="188"/>
    </row>
    <row r="2552">
      <c r="A2552" s="263"/>
      <c r="B2552" s="264"/>
      <c r="C2552" s="265"/>
      <c r="D2552" s="265"/>
      <c r="E2552" s="264"/>
      <c r="F2552" s="265"/>
      <c r="G2552" s="263"/>
      <c r="H2552" s="432"/>
      <c r="I2552" s="282"/>
      <c r="J2552" s="283"/>
      <c r="K2552" s="265"/>
      <c r="L2552" s="265"/>
      <c r="M2552" s="269"/>
      <c r="N2552" s="270"/>
      <c r="O2552" s="271"/>
      <c r="P2552" s="271"/>
      <c r="Q2552" s="272"/>
      <c r="R2552" s="273"/>
      <c r="S2552" s="273"/>
      <c r="T2552" s="273"/>
      <c r="U2552" s="274"/>
      <c r="V2552" s="263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</row>
    <row r="2553">
      <c r="A2553" s="263"/>
      <c r="B2553" s="264"/>
      <c r="C2553" s="265"/>
      <c r="D2553" s="265"/>
      <c r="E2553" s="264"/>
      <c r="F2553" s="265"/>
      <c r="G2553" s="263"/>
      <c r="H2553" s="432"/>
      <c r="I2553" s="282"/>
      <c r="J2553" s="283"/>
      <c r="K2553" s="265"/>
      <c r="L2553" s="265"/>
      <c r="M2553" s="269"/>
      <c r="N2553" s="270"/>
      <c r="O2553" s="271"/>
      <c r="P2553" s="271"/>
      <c r="Q2553" s="272"/>
      <c r="R2553" s="273"/>
      <c r="S2553" s="273"/>
      <c r="T2553" s="273"/>
      <c r="U2553" s="274"/>
      <c r="V2553" s="263"/>
      <c r="W2553" s="35"/>
      <c r="X2553" s="35"/>
      <c r="Y2553" s="35"/>
      <c r="Z2553" s="35"/>
      <c r="AA2553" s="35"/>
      <c r="AB2553" s="35"/>
      <c r="AC2553" s="35"/>
      <c r="AD2553" s="35"/>
      <c r="AE2553" s="35"/>
      <c r="AF2553" s="35"/>
      <c r="AG2553" s="35"/>
      <c r="AH2553" s="35"/>
      <c r="AI2553" s="35"/>
    </row>
    <row r="2554">
      <c r="A2554" s="263"/>
      <c r="B2554" s="264"/>
      <c r="C2554" s="265"/>
      <c r="D2554" s="265"/>
      <c r="E2554" s="264"/>
      <c r="F2554" s="265"/>
      <c r="G2554" s="263"/>
      <c r="H2554" s="432"/>
      <c r="I2554" s="282"/>
      <c r="J2554" s="283"/>
      <c r="K2554" s="265"/>
      <c r="L2554" s="265"/>
      <c r="M2554" s="269"/>
      <c r="N2554" s="270"/>
      <c r="O2554" s="271"/>
      <c r="P2554" s="271"/>
      <c r="Q2554" s="272"/>
      <c r="R2554" s="273"/>
      <c r="S2554" s="273"/>
      <c r="T2554" s="273"/>
      <c r="U2554" s="274"/>
      <c r="V2554" s="263"/>
      <c r="W2554" s="188"/>
      <c r="X2554" s="188"/>
      <c r="Y2554" s="188"/>
      <c r="Z2554" s="188"/>
      <c r="AA2554" s="188"/>
      <c r="AB2554" s="188"/>
      <c r="AC2554" s="188"/>
      <c r="AD2554" s="188"/>
      <c r="AE2554" s="188"/>
      <c r="AF2554" s="188"/>
      <c r="AG2554" s="188"/>
      <c r="AH2554" s="188"/>
      <c r="AI2554" s="188"/>
    </row>
    <row r="2555">
      <c r="A2555" s="263"/>
      <c r="B2555" s="264"/>
      <c r="C2555" s="265"/>
      <c r="D2555" s="265"/>
      <c r="E2555" s="264"/>
      <c r="F2555" s="265"/>
      <c r="G2555" s="263"/>
      <c r="H2555" s="432"/>
      <c r="I2555" s="282"/>
      <c r="J2555" s="283"/>
      <c r="K2555" s="265"/>
      <c r="L2555" s="265"/>
      <c r="M2555" s="269"/>
      <c r="N2555" s="270"/>
      <c r="O2555" s="271"/>
      <c r="P2555" s="271"/>
      <c r="Q2555" s="272"/>
      <c r="R2555" s="273"/>
      <c r="S2555" s="273"/>
      <c r="T2555" s="273"/>
      <c r="U2555" s="274"/>
      <c r="V2555" s="263"/>
      <c r="W2555" s="188"/>
      <c r="X2555" s="188"/>
      <c r="Y2555" s="188"/>
      <c r="Z2555" s="188"/>
      <c r="AA2555" s="188"/>
      <c r="AB2555" s="188"/>
      <c r="AC2555" s="188"/>
      <c r="AD2555" s="188"/>
      <c r="AE2555" s="188"/>
      <c r="AF2555" s="188"/>
      <c r="AG2555" s="188"/>
      <c r="AH2555" s="188"/>
      <c r="AI2555" s="188"/>
    </row>
    <row r="2556">
      <c r="A2556" s="263"/>
      <c r="B2556" s="264"/>
      <c r="C2556" s="265"/>
      <c r="D2556" s="265"/>
      <c r="E2556" s="264"/>
      <c r="F2556" s="265"/>
      <c r="G2556" s="263"/>
      <c r="H2556" s="432"/>
      <c r="I2556" s="282"/>
      <c r="J2556" s="283"/>
      <c r="K2556" s="265"/>
      <c r="L2556" s="265"/>
      <c r="M2556" s="269"/>
      <c r="N2556" s="270"/>
      <c r="O2556" s="271"/>
      <c r="P2556" s="271"/>
      <c r="Q2556" s="272"/>
      <c r="R2556" s="273"/>
      <c r="S2556" s="273"/>
      <c r="T2556" s="273"/>
      <c r="U2556" s="274"/>
      <c r="V2556" s="263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</row>
    <row r="2557">
      <c r="A2557" s="263"/>
      <c r="B2557" s="264"/>
      <c r="C2557" s="265"/>
      <c r="D2557" s="265"/>
      <c r="E2557" s="264"/>
      <c r="F2557" s="265"/>
      <c r="G2557" s="263"/>
      <c r="H2557" s="432"/>
      <c r="I2557" s="282"/>
      <c r="J2557" s="283"/>
      <c r="K2557" s="265"/>
      <c r="L2557" s="265"/>
      <c r="M2557" s="269"/>
      <c r="N2557" s="270"/>
      <c r="O2557" s="271"/>
      <c r="P2557" s="271"/>
      <c r="Q2557" s="272"/>
      <c r="R2557" s="273"/>
      <c r="S2557" s="273"/>
      <c r="T2557" s="273"/>
      <c r="U2557" s="274"/>
      <c r="V2557" s="263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</row>
    <row r="2558">
      <c r="A2558" s="263"/>
      <c r="B2558" s="264"/>
      <c r="C2558" s="265"/>
      <c r="D2558" s="265"/>
      <c r="E2558" s="264"/>
      <c r="F2558" s="265"/>
      <c r="G2558" s="263"/>
      <c r="H2558" s="432"/>
      <c r="I2558" s="282"/>
      <c r="J2558" s="283"/>
      <c r="K2558" s="265"/>
      <c r="L2558" s="265"/>
      <c r="M2558" s="269"/>
      <c r="N2558" s="270"/>
      <c r="O2558" s="271"/>
      <c r="P2558" s="271"/>
      <c r="Q2558" s="272"/>
      <c r="R2558" s="273"/>
      <c r="S2558" s="273"/>
      <c r="T2558" s="273"/>
      <c r="U2558" s="274"/>
      <c r="V2558" s="263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</row>
    <row r="2559">
      <c r="A2559" s="263"/>
      <c r="B2559" s="264"/>
      <c r="C2559" s="265"/>
      <c r="D2559" s="265"/>
      <c r="E2559" s="264"/>
      <c r="F2559" s="265"/>
      <c r="G2559" s="263"/>
      <c r="H2559" s="432"/>
      <c r="I2559" s="282"/>
      <c r="J2559" s="283"/>
      <c r="K2559" s="265"/>
      <c r="L2559" s="265"/>
      <c r="M2559" s="269"/>
      <c r="N2559" s="270"/>
      <c r="O2559" s="271"/>
      <c r="P2559" s="271"/>
      <c r="Q2559" s="272"/>
      <c r="R2559" s="273"/>
      <c r="S2559" s="273"/>
      <c r="T2559" s="273"/>
      <c r="U2559" s="274"/>
      <c r="V2559" s="263"/>
      <c r="W2559" s="35"/>
      <c r="X2559" s="35"/>
      <c r="Y2559" s="35"/>
      <c r="Z2559" s="35"/>
      <c r="AA2559" s="35"/>
      <c r="AB2559" s="35"/>
      <c r="AC2559" s="35"/>
      <c r="AD2559" s="35"/>
      <c r="AE2559" s="35"/>
      <c r="AF2559" s="35"/>
      <c r="AG2559" s="35"/>
      <c r="AH2559" s="35"/>
      <c r="AI2559" s="35"/>
    </row>
    <row r="2560">
      <c r="A2560" s="263"/>
      <c r="B2560" s="264"/>
      <c r="C2560" s="265"/>
      <c r="D2560" s="265"/>
      <c r="E2560" s="264"/>
      <c r="F2560" s="265"/>
      <c r="G2560" s="263"/>
      <c r="H2560" s="432"/>
      <c r="I2560" s="282"/>
      <c r="J2560" s="283"/>
      <c r="K2560" s="265"/>
      <c r="L2560" s="265"/>
      <c r="M2560" s="269"/>
      <c r="N2560" s="270"/>
      <c r="O2560" s="271"/>
      <c r="P2560" s="271"/>
      <c r="Q2560" s="272"/>
      <c r="R2560" s="273"/>
      <c r="S2560" s="273"/>
      <c r="T2560" s="273"/>
      <c r="U2560" s="274"/>
      <c r="V2560" s="263"/>
      <c r="W2560" s="36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</row>
    <row r="2561">
      <c r="A2561" s="263"/>
      <c r="B2561" s="264"/>
      <c r="C2561" s="265"/>
      <c r="D2561" s="265"/>
      <c r="E2561" s="264"/>
      <c r="F2561" s="265"/>
      <c r="G2561" s="263"/>
      <c r="H2561" s="432"/>
      <c r="I2561" s="282"/>
      <c r="J2561" s="283"/>
      <c r="K2561" s="265"/>
      <c r="L2561" s="265"/>
      <c r="M2561" s="269"/>
      <c r="N2561" s="270"/>
      <c r="O2561" s="271"/>
      <c r="P2561" s="271"/>
      <c r="Q2561" s="272"/>
      <c r="R2561" s="273"/>
      <c r="S2561" s="273"/>
      <c r="T2561" s="273"/>
      <c r="U2561" s="274"/>
      <c r="V2561" s="263"/>
      <c r="W2561" s="188"/>
      <c r="X2561" s="188"/>
      <c r="Y2561" s="188"/>
      <c r="Z2561" s="188"/>
      <c r="AA2561" s="188"/>
      <c r="AB2561" s="188"/>
      <c r="AC2561" s="188"/>
      <c r="AD2561" s="188"/>
      <c r="AE2561" s="188"/>
      <c r="AF2561" s="188"/>
      <c r="AG2561" s="188"/>
      <c r="AH2561" s="188"/>
      <c r="AI2561" s="188"/>
    </row>
    <row r="2562">
      <c r="A2562" s="263"/>
      <c r="B2562" s="264"/>
      <c r="C2562" s="265"/>
      <c r="D2562" s="265"/>
      <c r="E2562" s="264"/>
      <c r="F2562" s="265"/>
      <c r="G2562" s="263"/>
      <c r="H2562" s="432"/>
      <c r="I2562" s="282"/>
      <c r="J2562" s="283"/>
      <c r="K2562" s="265"/>
      <c r="L2562" s="265"/>
      <c r="M2562" s="269"/>
      <c r="N2562" s="270"/>
      <c r="O2562" s="271"/>
      <c r="P2562" s="271"/>
      <c r="Q2562" s="272"/>
      <c r="R2562" s="273"/>
      <c r="S2562" s="273"/>
      <c r="T2562" s="273"/>
      <c r="U2562" s="274"/>
      <c r="V2562" s="263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</row>
    <row r="2563">
      <c r="A2563" s="263"/>
      <c r="B2563" s="264"/>
      <c r="C2563" s="265"/>
      <c r="D2563" s="265"/>
      <c r="E2563" s="264"/>
      <c r="F2563" s="265"/>
      <c r="G2563" s="263"/>
      <c r="H2563" s="432"/>
      <c r="I2563" s="282"/>
      <c r="J2563" s="283"/>
      <c r="K2563" s="265"/>
      <c r="L2563" s="265"/>
      <c r="M2563" s="269"/>
      <c r="N2563" s="270"/>
      <c r="O2563" s="271"/>
      <c r="P2563" s="271"/>
      <c r="Q2563" s="272"/>
      <c r="R2563" s="273"/>
      <c r="S2563" s="273"/>
      <c r="T2563" s="273"/>
      <c r="U2563" s="274"/>
      <c r="V2563" s="263"/>
      <c r="W2563" s="35"/>
      <c r="X2563" s="35"/>
      <c r="Y2563" s="35"/>
      <c r="Z2563" s="35"/>
      <c r="AA2563" s="35"/>
      <c r="AB2563" s="35"/>
      <c r="AC2563" s="35"/>
      <c r="AD2563" s="35"/>
      <c r="AE2563" s="35"/>
      <c r="AF2563" s="35"/>
      <c r="AG2563" s="35"/>
      <c r="AH2563" s="35"/>
      <c r="AI2563" s="35"/>
    </row>
    <row r="2564">
      <c r="A2564" s="263"/>
      <c r="B2564" s="264"/>
      <c r="C2564" s="265"/>
      <c r="D2564" s="265"/>
      <c r="E2564" s="264"/>
      <c r="F2564" s="265"/>
      <c r="G2564" s="263"/>
      <c r="H2564" s="432"/>
      <c r="I2564" s="282"/>
      <c r="J2564" s="283"/>
      <c r="K2564" s="265"/>
      <c r="L2564" s="265"/>
      <c r="M2564" s="269"/>
      <c r="N2564" s="270"/>
      <c r="O2564" s="271"/>
      <c r="P2564" s="271"/>
      <c r="Q2564" s="272"/>
      <c r="R2564" s="273"/>
      <c r="S2564" s="273"/>
      <c r="T2564" s="273"/>
      <c r="U2564" s="274"/>
      <c r="V2564" s="263"/>
      <c r="W2564" s="188"/>
      <c r="X2564" s="188"/>
      <c r="Y2564" s="188"/>
      <c r="Z2564" s="188"/>
      <c r="AA2564" s="188"/>
      <c r="AB2564" s="188"/>
      <c r="AC2564" s="188"/>
      <c r="AD2564" s="188"/>
      <c r="AE2564" s="188"/>
      <c r="AF2564" s="188"/>
      <c r="AG2564" s="188"/>
      <c r="AH2564" s="188"/>
      <c r="AI2564" s="188"/>
    </row>
    <row r="2565">
      <c r="A2565" s="263"/>
      <c r="B2565" s="264"/>
      <c r="C2565" s="265"/>
      <c r="D2565" s="265"/>
      <c r="E2565" s="264"/>
      <c r="F2565" s="265"/>
      <c r="G2565" s="263"/>
      <c r="H2565" s="432"/>
      <c r="I2565" s="282"/>
      <c r="J2565" s="283"/>
      <c r="K2565" s="265"/>
      <c r="L2565" s="265"/>
      <c r="M2565" s="269"/>
      <c r="N2565" s="270"/>
      <c r="O2565" s="271"/>
      <c r="P2565" s="271"/>
      <c r="Q2565" s="272"/>
      <c r="R2565" s="273"/>
      <c r="S2565" s="273"/>
      <c r="T2565" s="273"/>
      <c r="U2565" s="274"/>
      <c r="V2565" s="263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</row>
    <row r="2566">
      <c r="A2566" s="263"/>
      <c r="B2566" s="264"/>
      <c r="C2566" s="265"/>
      <c r="D2566" s="265"/>
      <c r="E2566" s="264"/>
      <c r="F2566" s="265"/>
      <c r="G2566" s="263"/>
      <c r="H2566" s="432"/>
      <c r="I2566" s="282"/>
      <c r="J2566" s="283"/>
      <c r="K2566" s="265"/>
      <c r="L2566" s="265"/>
      <c r="M2566" s="269"/>
      <c r="N2566" s="270"/>
      <c r="O2566" s="271"/>
      <c r="P2566" s="271"/>
      <c r="Q2566" s="272"/>
      <c r="R2566" s="273"/>
      <c r="S2566" s="273"/>
      <c r="T2566" s="273"/>
      <c r="U2566" s="274"/>
      <c r="V2566" s="263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</row>
    <row r="2567">
      <c r="A2567" s="263"/>
      <c r="B2567" s="264"/>
      <c r="C2567" s="265"/>
      <c r="D2567" s="265"/>
      <c r="E2567" s="264"/>
      <c r="F2567" s="265"/>
      <c r="G2567" s="263"/>
      <c r="H2567" s="432"/>
      <c r="I2567" s="282"/>
      <c r="J2567" s="283"/>
      <c r="K2567" s="265"/>
      <c r="L2567" s="265"/>
      <c r="M2567" s="269"/>
      <c r="N2567" s="270"/>
      <c r="O2567" s="271"/>
      <c r="P2567" s="271"/>
      <c r="Q2567" s="272"/>
      <c r="R2567" s="273"/>
      <c r="S2567" s="273"/>
      <c r="T2567" s="273"/>
      <c r="U2567" s="274"/>
      <c r="V2567" s="263"/>
      <c r="W2567" s="188"/>
      <c r="X2567" s="188"/>
      <c r="Y2567" s="188"/>
      <c r="Z2567" s="188"/>
      <c r="AA2567" s="188"/>
      <c r="AB2567" s="188"/>
      <c r="AC2567" s="188"/>
      <c r="AD2567" s="188"/>
      <c r="AE2567" s="188"/>
      <c r="AF2567" s="188"/>
      <c r="AG2567" s="188"/>
      <c r="AH2567" s="188"/>
      <c r="AI2567" s="188"/>
    </row>
    <row r="2568">
      <c r="A2568" s="263"/>
      <c r="B2568" s="264"/>
      <c r="C2568" s="265"/>
      <c r="D2568" s="265"/>
      <c r="E2568" s="264"/>
      <c r="F2568" s="265"/>
      <c r="G2568" s="263"/>
      <c r="H2568" s="432"/>
      <c r="I2568" s="282"/>
      <c r="J2568" s="283"/>
      <c r="K2568" s="265"/>
      <c r="L2568" s="265"/>
      <c r="M2568" s="269"/>
      <c r="N2568" s="270"/>
      <c r="O2568" s="271"/>
      <c r="P2568" s="271"/>
      <c r="Q2568" s="272"/>
      <c r="R2568" s="273"/>
      <c r="S2568" s="273"/>
      <c r="T2568" s="273"/>
      <c r="U2568" s="274"/>
      <c r="V2568" s="263"/>
      <c r="W2568" s="188"/>
      <c r="X2568" s="188"/>
      <c r="Y2568" s="188"/>
      <c r="Z2568" s="188"/>
      <c r="AA2568" s="188"/>
      <c r="AB2568" s="188"/>
      <c r="AC2568" s="188"/>
      <c r="AD2568" s="188"/>
      <c r="AE2568" s="188"/>
      <c r="AF2568" s="188"/>
      <c r="AG2568" s="188"/>
      <c r="AH2568" s="188"/>
      <c r="AI2568" s="188"/>
    </row>
    <row r="2569">
      <c r="A2569" s="263"/>
      <c r="B2569" s="264"/>
      <c r="C2569" s="265"/>
      <c r="D2569" s="265"/>
      <c r="E2569" s="264"/>
      <c r="F2569" s="265"/>
      <c r="G2569" s="263"/>
      <c r="H2569" s="432"/>
      <c r="I2569" s="282"/>
      <c r="J2569" s="283"/>
      <c r="K2569" s="265"/>
      <c r="L2569" s="265"/>
      <c r="M2569" s="269"/>
      <c r="N2569" s="270"/>
      <c r="O2569" s="271"/>
      <c r="P2569" s="271"/>
      <c r="Q2569" s="272"/>
      <c r="R2569" s="273"/>
      <c r="S2569" s="273"/>
      <c r="T2569" s="273"/>
      <c r="U2569" s="274"/>
      <c r="V2569" s="263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</row>
    <row r="2570">
      <c r="A2570" s="263"/>
      <c r="B2570" s="264"/>
      <c r="C2570" s="265"/>
      <c r="D2570" s="265"/>
      <c r="E2570" s="264"/>
      <c r="F2570" s="265"/>
      <c r="G2570" s="263"/>
      <c r="H2570" s="432"/>
      <c r="I2570" s="282"/>
      <c r="J2570" s="283"/>
      <c r="K2570" s="265"/>
      <c r="L2570" s="265"/>
      <c r="M2570" s="269"/>
      <c r="N2570" s="270"/>
      <c r="O2570" s="271"/>
      <c r="P2570" s="271"/>
      <c r="Q2570" s="272"/>
      <c r="R2570" s="273"/>
      <c r="S2570" s="273"/>
      <c r="T2570" s="273"/>
      <c r="U2570" s="274"/>
      <c r="V2570" s="263"/>
      <c r="W2570" s="35"/>
      <c r="X2570" s="35"/>
      <c r="Y2570" s="35"/>
      <c r="Z2570" s="35"/>
      <c r="AA2570" s="35"/>
      <c r="AB2570" s="35"/>
      <c r="AC2570" s="35"/>
      <c r="AD2570" s="35"/>
      <c r="AE2570" s="35"/>
      <c r="AF2570" s="35"/>
      <c r="AG2570" s="35"/>
      <c r="AH2570" s="35"/>
      <c r="AI2570" s="35"/>
    </row>
    <row r="2571">
      <c r="A2571" s="263"/>
      <c r="B2571" s="264"/>
      <c r="C2571" s="265"/>
      <c r="D2571" s="265"/>
      <c r="E2571" s="264"/>
      <c r="F2571" s="265"/>
      <c r="G2571" s="263"/>
      <c r="H2571" s="432"/>
      <c r="I2571" s="282"/>
      <c r="J2571" s="283"/>
      <c r="K2571" s="265"/>
      <c r="L2571" s="265"/>
      <c r="M2571" s="269"/>
      <c r="N2571" s="270"/>
      <c r="O2571" s="271"/>
      <c r="P2571" s="271"/>
      <c r="Q2571" s="272"/>
      <c r="R2571" s="273"/>
      <c r="S2571" s="273"/>
      <c r="T2571" s="273"/>
      <c r="U2571" s="274"/>
      <c r="V2571" s="263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</row>
    <row r="2572">
      <c r="A2572" s="263"/>
      <c r="B2572" s="264"/>
      <c r="C2572" s="265"/>
      <c r="D2572" s="265"/>
      <c r="E2572" s="264"/>
      <c r="F2572" s="265"/>
      <c r="G2572" s="263"/>
      <c r="H2572" s="432"/>
      <c r="I2572" s="282"/>
      <c r="J2572" s="283"/>
      <c r="K2572" s="265"/>
      <c r="L2572" s="265"/>
      <c r="M2572" s="269"/>
      <c r="N2572" s="270"/>
      <c r="O2572" s="271"/>
      <c r="P2572" s="271"/>
      <c r="Q2572" s="272"/>
      <c r="R2572" s="273"/>
      <c r="S2572" s="273"/>
      <c r="T2572" s="273"/>
      <c r="U2572" s="274"/>
      <c r="V2572" s="263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</row>
    <row r="2573">
      <c r="A2573" s="263"/>
      <c r="B2573" s="264"/>
      <c r="C2573" s="265"/>
      <c r="D2573" s="265"/>
      <c r="E2573" s="264"/>
      <c r="F2573" s="265"/>
      <c r="G2573" s="263"/>
      <c r="H2573" s="432"/>
      <c r="I2573" s="282"/>
      <c r="J2573" s="283"/>
      <c r="K2573" s="265"/>
      <c r="L2573" s="265"/>
      <c r="M2573" s="269"/>
      <c r="N2573" s="270"/>
      <c r="O2573" s="271"/>
      <c r="P2573" s="271"/>
      <c r="Q2573" s="272"/>
      <c r="R2573" s="273"/>
      <c r="S2573" s="273"/>
      <c r="T2573" s="273"/>
      <c r="U2573" s="274"/>
      <c r="V2573" s="263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</row>
    <row r="2574">
      <c r="A2574" s="263"/>
      <c r="B2574" s="264"/>
      <c r="C2574" s="265"/>
      <c r="D2574" s="265"/>
      <c r="E2574" s="264"/>
      <c r="F2574" s="265"/>
      <c r="G2574" s="263"/>
      <c r="H2574" s="432"/>
      <c r="I2574" s="282"/>
      <c r="J2574" s="283"/>
      <c r="K2574" s="265"/>
      <c r="L2574" s="265"/>
      <c r="M2574" s="269"/>
      <c r="N2574" s="270"/>
      <c r="O2574" s="271"/>
      <c r="P2574" s="271"/>
      <c r="Q2574" s="272"/>
      <c r="R2574" s="273"/>
      <c r="S2574" s="273"/>
      <c r="T2574" s="273"/>
      <c r="U2574" s="274"/>
      <c r="V2574" s="263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</row>
    <row r="2575">
      <c r="A2575" s="263"/>
      <c r="B2575" s="264"/>
      <c r="C2575" s="265"/>
      <c r="D2575" s="265"/>
      <c r="E2575" s="264"/>
      <c r="F2575" s="265"/>
      <c r="G2575" s="263"/>
      <c r="H2575" s="432"/>
      <c r="I2575" s="282"/>
      <c r="J2575" s="283"/>
      <c r="K2575" s="265"/>
      <c r="L2575" s="265"/>
      <c r="M2575" s="269"/>
      <c r="N2575" s="270"/>
      <c r="O2575" s="271"/>
      <c r="P2575" s="271"/>
      <c r="Q2575" s="272"/>
      <c r="R2575" s="273"/>
      <c r="S2575" s="273"/>
      <c r="T2575" s="273"/>
      <c r="U2575" s="274"/>
      <c r="V2575" s="263"/>
      <c r="W2575" s="188"/>
      <c r="X2575" s="188"/>
      <c r="Y2575" s="188"/>
      <c r="Z2575" s="188"/>
      <c r="AA2575" s="188"/>
      <c r="AB2575" s="188"/>
      <c r="AC2575" s="188"/>
      <c r="AD2575" s="188"/>
      <c r="AE2575" s="188"/>
      <c r="AF2575" s="188"/>
      <c r="AG2575" s="188"/>
      <c r="AH2575" s="188"/>
      <c r="AI2575" s="188"/>
    </row>
    <row r="2576">
      <c r="A2576" s="263"/>
      <c r="B2576" s="264"/>
      <c r="C2576" s="265"/>
      <c r="D2576" s="265"/>
      <c r="E2576" s="264"/>
      <c r="F2576" s="265"/>
      <c r="G2576" s="263"/>
      <c r="H2576" s="432"/>
      <c r="I2576" s="282"/>
      <c r="J2576" s="283"/>
      <c r="K2576" s="265"/>
      <c r="L2576" s="265"/>
      <c r="M2576" s="269"/>
      <c r="N2576" s="270"/>
      <c r="O2576" s="271"/>
      <c r="P2576" s="271"/>
      <c r="Q2576" s="272"/>
      <c r="R2576" s="273"/>
      <c r="S2576" s="273"/>
      <c r="T2576" s="273"/>
      <c r="U2576" s="274"/>
      <c r="V2576" s="263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</row>
    <row r="2577">
      <c r="A2577" s="263"/>
      <c r="B2577" s="264"/>
      <c r="C2577" s="265"/>
      <c r="D2577" s="265"/>
      <c r="E2577" s="264"/>
      <c r="F2577" s="265"/>
      <c r="G2577" s="263"/>
      <c r="H2577" s="432"/>
      <c r="I2577" s="282"/>
      <c r="J2577" s="283"/>
      <c r="K2577" s="265"/>
      <c r="L2577" s="265"/>
      <c r="M2577" s="269"/>
      <c r="N2577" s="270"/>
      <c r="O2577" s="271"/>
      <c r="P2577" s="271"/>
      <c r="Q2577" s="272"/>
      <c r="R2577" s="273"/>
      <c r="S2577" s="273"/>
      <c r="T2577" s="273"/>
      <c r="U2577" s="274"/>
      <c r="V2577" s="263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</row>
    <row r="2578">
      <c r="A2578" s="263"/>
      <c r="B2578" s="264"/>
      <c r="C2578" s="265"/>
      <c r="D2578" s="265"/>
      <c r="E2578" s="264"/>
      <c r="F2578" s="265"/>
      <c r="G2578" s="263"/>
      <c r="H2578" s="432"/>
      <c r="I2578" s="282"/>
      <c r="J2578" s="283"/>
      <c r="K2578" s="265"/>
      <c r="L2578" s="265"/>
      <c r="M2578" s="269"/>
      <c r="N2578" s="270"/>
      <c r="O2578" s="271"/>
      <c r="P2578" s="271"/>
      <c r="Q2578" s="272"/>
      <c r="R2578" s="273"/>
      <c r="S2578" s="273"/>
      <c r="T2578" s="273"/>
      <c r="U2578" s="274"/>
      <c r="V2578" s="263"/>
      <c r="W2578" s="188"/>
      <c r="X2578" s="188"/>
      <c r="Y2578" s="188"/>
      <c r="Z2578" s="188"/>
      <c r="AA2578" s="188"/>
      <c r="AB2578" s="188"/>
      <c r="AC2578" s="188"/>
      <c r="AD2578" s="188"/>
      <c r="AE2578" s="188"/>
      <c r="AF2578" s="188"/>
      <c r="AG2578" s="188"/>
      <c r="AH2578" s="188"/>
      <c r="AI2578" s="188"/>
    </row>
    <row r="2579">
      <c r="A2579" s="263"/>
      <c r="B2579" s="264"/>
      <c r="C2579" s="265"/>
      <c r="D2579" s="265"/>
      <c r="E2579" s="264"/>
      <c r="F2579" s="265"/>
      <c r="G2579" s="263"/>
      <c r="H2579" s="432"/>
      <c r="I2579" s="282"/>
      <c r="J2579" s="283"/>
      <c r="K2579" s="265"/>
      <c r="L2579" s="265"/>
      <c r="M2579" s="269"/>
      <c r="N2579" s="270"/>
      <c r="O2579" s="271"/>
      <c r="P2579" s="271"/>
      <c r="Q2579" s="272"/>
      <c r="R2579" s="273"/>
      <c r="S2579" s="273"/>
      <c r="T2579" s="273"/>
      <c r="U2579" s="274"/>
      <c r="V2579" s="263"/>
      <c r="W2579" s="35"/>
      <c r="X2579" s="35"/>
      <c r="Y2579" s="35"/>
      <c r="Z2579" s="35"/>
      <c r="AA2579" s="35"/>
      <c r="AB2579" s="35"/>
      <c r="AC2579" s="35"/>
      <c r="AD2579" s="35"/>
      <c r="AE2579" s="35"/>
      <c r="AF2579" s="35"/>
      <c r="AG2579" s="35"/>
      <c r="AH2579" s="35"/>
      <c r="AI2579" s="35"/>
    </row>
    <row r="2580">
      <c r="A2580" s="263"/>
      <c r="B2580" s="264"/>
      <c r="C2580" s="265"/>
      <c r="D2580" s="265"/>
      <c r="E2580" s="264"/>
      <c r="F2580" s="265"/>
      <c r="G2580" s="263"/>
      <c r="H2580" s="432"/>
      <c r="I2580" s="282"/>
      <c r="J2580" s="283"/>
      <c r="K2580" s="265"/>
      <c r="L2580" s="265"/>
      <c r="M2580" s="269"/>
      <c r="N2580" s="270"/>
      <c r="O2580" s="271"/>
      <c r="P2580" s="271"/>
      <c r="Q2580" s="272"/>
      <c r="R2580" s="273"/>
      <c r="S2580" s="273"/>
      <c r="T2580" s="273"/>
      <c r="U2580" s="274"/>
      <c r="V2580" s="263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</row>
    <row r="2581">
      <c r="A2581" s="263"/>
      <c r="B2581" s="264"/>
      <c r="C2581" s="265"/>
      <c r="D2581" s="265"/>
      <c r="E2581" s="264"/>
      <c r="F2581" s="265"/>
      <c r="G2581" s="263"/>
      <c r="H2581" s="432"/>
      <c r="I2581" s="282"/>
      <c r="J2581" s="283"/>
      <c r="K2581" s="265"/>
      <c r="L2581" s="265"/>
      <c r="M2581" s="269"/>
      <c r="N2581" s="270"/>
      <c r="O2581" s="271"/>
      <c r="P2581" s="271"/>
      <c r="Q2581" s="272"/>
      <c r="R2581" s="273"/>
      <c r="S2581" s="273"/>
      <c r="T2581" s="273"/>
      <c r="U2581" s="274"/>
      <c r="V2581" s="263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</row>
    <row r="2582">
      <c r="A2582" s="263"/>
      <c r="B2582" s="264"/>
      <c r="C2582" s="265"/>
      <c r="D2582" s="265"/>
      <c r="E2582" s="264"/>
      <c r="F2582" s="265"/>
      <c r="G2582" s="263"/>
      <c r="H2582" s="432"/>
      <c r="I2582" s="282"/>
      <c r="J2582" s="283"/>
      <c r="K2582" s="265"/>
      <c r="L2582" s="265"/>
      <c r="M2582" s="269"/>
      <c r="N2582" s="270"/>
      <c r="O2582" s="271"/>
      <c r="P2582" s="271"/>
      <c r="Q2582" s="272"/>
      <c r="R2582" s="273"/>
      <c r="S2582" s="273"/>
      <c r="T2582" s="273"/>
      <c r="U2582" s="274"/>
      <c r="V2582" s="263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</row>
    <row r="2583">
      <c r="A2583" s="263"/>
      <c r="B2583" s="264"/>
      <c r="C2583" s="265"/>
      <c r="D2583" s="265"/>
      <c r="E2583" s="264"/>
      <c r="F2583" s="265"/>
      <c r="G2583" s="263"/>
      <c r="H2583" s="432"/>
      <c r="I2583" s="282"/>
      <c r="J2583" s="283"/>
      <c r="K2583" s="265"/>
      <c r="L2583" s="265"/>
      <c r="M2583" s="269"/>
      <c r="N2583" s="270"/>
      <c r="O2583" s="271"/>
      <c r="P2583" s="271"/>
      <c r="Q2583" s="272"/>
      <c r="R2583" s="273"/>
      <c r="S2583" s="273"/>
      <c r="T2583" s="273"/>
      <c r="U2583" s="274"/>
      <c r="V2583" s="263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</row>
    <row r="2584">
      <c r="A2584" s="263"/>
      <c r="B2584" s="264"/>
      <c r="C2584" s="265"/>
      <c r="D2584" s="265"/>
      <c r="E2584" s="264"/>
      <c r="F2584" s="265"/>
      <c r="G2584" s="263"/>
      <c r="H2584" s="432"/>
      <c r="I2584" s="282"/>
      <c r="J2584" s="283"/>
      <c r="K2584" s="265"/>
      <c r="L2584" s="265"/>
      <c r="M2584" s="269"/>
      <c r="N2584" s="270"/>
      <c r="O2584" s="271"/>
      <c r="P2584" s="271"/>
      <c r="Q2584" s="272"/>
      <c r="R2584" s="273"/>
      <c r="S2584" s="273"/>
      <c r="T2584" s="273"/>
      <c r="U2584" s="274"/>
      <c r="V2584" s="263"/>
      <c r="W2584" s="188"/>
      <c r="X2584" s="188"/>
      <c r="Y2584" s="188"/>
      <c r="Z2584" s="188"/>
      <c r="AA2584" s="188"/>
      <c r="AB2584" s="188"/>
      <c r="AC2584" s="188"/>
      <c r="AD2584" s="188"/>
      <c r="AE2584" s="188"/>
      <c r="AF2584" s="188"/>
      <c r="AG2584" s="188"/>
      <c r="AH2584" s="188"/>
      <c r="AI2584" s="188"/>
    </row>
    <row r="2585">
      <c r="A2585" s="263"/>
      <c r="B2585" s="264"/>
      <c r="C2585" s="265"/>
      <c r="D2585" s="265"/>
      <c r="E2585" s="264"/>
      <c r="F2585" s="265"/>
      <c r="G2585" s="263"/>
      <c r="H2585" s="432"/>
      <c r="I2585" s="282"/>
      <c r="J2585" s="283"/>
      <c r="K2585" s="265"/>
      <c r="L2585" s="265"/>
      <c r="M2585" s="269"/>
      <c r="N2585" s="270"/>
      <c r="O2585" s="271"/>
      <c r="P2585" s="271"/>
      <c r="Q2585" s="272"/>
      <c r="R2585" s="273"/>
      <c r="S2585" s="273"/>
      <c r="T2585" s="273"/>
      <c r="U2585" s="274"/>
      <c r="V2585" s="263"/>
      <c r="W2585" s="35"/>
      <c r="X2585" s="35"/>
      <c r="Y2585" s="35"/>
      <c r="Z2585" s="35"/>
      <c r="AA2585" s="35"/>
      <c r="AB2585" s="35"/>
      <c r="AC2585" s="35"/>
      <c r="AD2585" s="35"/>
      <c r="AE2585" s="35"/>
      <c r="AF2585" s="35"/>
      <c r="AG2585" s="35"/>
      <c r="AH2585" s="35"/>
      <c r="AI2585" s="35"/>
    </row>
    <row r="2586">
      <c r="A2586" s="263"/>
      <c r="B2586" s="264"/>
      <c r="C2586" s="265"/>
      <c r="D2586" s="265"/>
      <c r="E2586" s="264"/>
      <c r="F2586" s="265"/>
      <c r="G2586" s="263"/>
      <c r="H2586" s="432"/>
      <c r="I2586" s="282"/>
      <c r="J2586" s="283"/>
      <c r="K2586" s="265"/>
      <c r="L2586" s="265"/>
      <c r="M2586" s="269"/>
      <c r="N2586" s="270"/>
      <c r="O2586" s="271"/>
      <c r="P2586" s="271"/>
      <c r="Q2586" s="272"/>
      <c r="R2586" s="273"/>
      <c r="S2586" s="273"/>
      <c r="T2586" s="273"/>
      <c r="U2586" s="274"/>
      <c r="V2586" s="263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</row>
    <row r="2587">
      <c r="A2587" s="263"/>
      <c r="B2587" s="264"/>
      <c r="C2587" s="265"/>
      <c r="D2587" s="265"/>
      <c r="E2587" s="264"/>
      <c r="F2587" s="265"/>
      <c r="G2587" s="263"/>
      <c r="H2587" s="432"/>
      <c r="I2587" s="282"/>
      <c r="J2587" s="283"/>
      <c r="K2587" s="265"/>
      <c r="L2587" s="265"/>
      <c r="M2587" s="269"/>
      <c r="N2587" s="270"/>
      <c r="O2587" s="271"/>
      <c r="P2587" s="271"/>
      <c r="Q2587" s="272"/>
      <c r="R2587" s="273"/>
      <c r="S2587" s="273"/>
      <c r="T2587" s="273"/>
      <c r="U2587" s="274"/>
      <c r="V2587" s="263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</row>
    <row r="2588">
      <c r="A2588" s="263"/>
      <c r="B2588" s="264"/>
      <c r="C2588" s="265"/>
      <c r="D2588" s="265"/>
      <c r="E2588" s="264"/>
      <c r="F2588" s="265"/>
      <c r="G2588" s="263"/>
      <c r="H2588" s="432"/>
      <c r="I2588" s="282"/>
      <c r="J2588" s="283"/>
      <c r="K2588" s="265"/>
      <c r="L2588" s="265"/>
      <c r="M2588" s="269"/>
      <c r="N2588" s="270"/>
      <c r="O2588" s="271"/>
      <c r="P2588" s="271"/>
      <c r="Q2588" s="272"/>
      <c r="R2588" s="273"/>
      <c r="S2588" s="273"/>
      <c r="T2588" s="273"/>
      <c r="U2588" s="274"/>
      <c r="V2588" s="263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</row>
    <row r="2589">
      <c r="A2589" s="263"/>
      <c r="B2589" s="264"/>
      <c r="C2589" s="265"/>
      <c r="D2589" s="265"/>
      <c r="E2589" s="264"/>
      <c r="F2589" s="265"/>
      <c r="G2589" s="263"/>
      <c r="H2589" s="432"/>
      <c r="I2589" s="282"/>
      <c r="J2589" s="283"/>
      <c r="K2589" s="265"/>
      <c r="L2589" s="265"/>
      <c r="M2589" s="269"/>
      <c r="N2589" s="270"/>
      <c r="O2589" s="271"/>
      <c r="P2589" s="271"/>
      <c r="Q2589" s="272"/>
      <c r="R2589" s="273"/>
      <c r="S2589" s="273"/>
      <c r="T2589" s="273"/>
      <c r="U2589" s="274"/>
      <c r="V2589" s="263"/>
      <c r="W2589" s="35"/>
      <c r="X2589" s="35"/>
      <c r="Y2589" s="35"/>
      <c r="Z2589" s="35"/>
      <c r="AA2589" s="35"/>
      <c r="AB2589" s="35"/>
      <c r="AC2589" s="35"/>
      <c r="AD2589" s="35"/>
      <c r="AE2589" s="35"/>
      <c r="AF2589" s="35"/>
      <c r="AG2589" s="35"/>
      <c r="AH2589" s="35"/>
      <c r="AI2589" s="35"/>
    </row>
    <row r="2590">
      <c r="A2590" s="263"/>
      <c r="B2590" s="264"/>
      <c r="C2590" s="265"/>
      <c r="D2590" s="265"/>
      <c r="E2590" s="264"/>
      <c r="F2590" s="265"/>
      <c r="G2590" s="263"/>
      <c r="H2590" s="432"/>
      <c r="I2590" s="282"/>
      <c r="J2590" s="283"/>
      <c r="K2590" s="265"/>
      <c r="L2590" s="265"/>
      <c r="M2590" s="269"/>
      <c r="N2590" s="270"/>
      <c r="O2590" s="271"/>
      <c r="P2590" s="271"/>
      <c r="Q2590" s="272"/>
      <c r="R2590" s="273"/>
      <c r="S2590" s="273"/>
      <c r="T2590" s="273"/>
      <c r="U2590" s="274"/>
      <c r="V2590" s="263"/>
      <c r="W2590" s="188"/>
      <c r="X2590" s="188"/>
      <c r="Y2590" s="188"/>
      <c r="Z2590" s="188"/>
      <c r="AA2590" s="188"/>
      <c r="AB2590" s="188"/>
      <c r="AC2590" s="188"/>
      <c r="AD2590" s="188"/>
      <c r="AE2590" s="188"/>
      <c r="AF2590" s="188"/>
      <c r="AG2590" s="188"/>
      <c r="AH2590" s="188"/>
      <c r="AI2590" s="188"/>
    </row>
    <row r="2591">
      <c r="A2591" s="263"/>
      <c r="B2591" s="264"/>
      <c r="C2591" s="265"/>
      <c r="D2591" s="265"/>
      <c r="E2591" s="264"/>
      <c r="F2591" s="265"/>
      <c r="G2591" s="263"/>
      <c r="H2591" s="432"/>
      <c r="I2591" s="282"/>
      <c r="J2591" s="283"/>
      <c r="K2591" s="265"/>
      <c r="L2591" s="265"/>
      <c r="M2591" s="269"/>
      <c r="N2591" s="270"/>
      <c r="O2591" s="271"/>
      <c r="P2591" s="271"/>
      <c r="Q2591" s="272"/>
      <c r="R2591" s="273"/>
      <c r="S2591" s="273"/>
      <c r="T2591" s="273"/>
      <c r="U2591" s="274"/>
      <c r="V2591" s="263"/>
      <c r="W2591" s="35"/>
      <c r="X2591" s="35"/>
      <c r="Y2591" s="35"/>
      <c r="Z2591" s="35"/>
      <c r="AA2591" s="35"/>
      <c r="AB2591" s="35"/>
      <c r="AC2591" s="35"/>
      <c r="AD2591" s="35"/>
      <c r="AE2591" s="35"/>
      <c r="AF2591" s="35"/>
      <c r="AG2591" s="35"/>
      <c r="AH2591" s="35"/>
      <c r="AI2591" s="35"/>
    </row>
    <row r="2592">
      <c r="A2592" s="263"/>
      <c r="B2592" s="264"/>
      <c r="C2592" s="265"/>
      <c r="D2592" s="265"/>
      <c r="E2592" s="264"/>
      <c r="F2592" s="265"/>
      <c r="G2592" s="263"/>
      <c r="H2592" s="432"/>
      <c r="I2592" s="282"/>
      <c r="J2592" s="283"/>
      <c r="K2592" s="265"/>
      <c r="L2592" s="265"/>
      <c r="M2592" s="269"/>
      <c r="N2592" s="270"/>
      <c r="O2592" s="271"/>
      <c r="P2592" s="271"/>
      <c r="Q2592" s="272"/>
      <c r="R2592" s="273"/>
      <c r="S2592" s="273"/>
      <c r="T2592" s="273"/>
      <c r="U2592" s="274"/>
      <c r="V2592" s="263"/>
      <c r="W2592" s="35"/>
      <c r="X2592" s="35"/>
      <c r="Y2592" s="35"/>
      <c r="Z2592" s="35"/>
      <c r="AA2592" s="35"/>
      <c r="AB2592" s="35"/>
      <c r="AC2592" s="35"/>
      <c r="AD2592" s="35"/>
      <c r="AE2592" s="35"/>
      <c r="AF2592" s="35"/>
      <c r="AG2592" s="35"/>
      <c r="AH2592" s="35"/>
      <c r="AI2592" s="35"/>
    </row>
    <row r="2593">
      <c r="A2593" s="263"/>
      <c r="B2593" s="264"/>
      <c r="C2593" s="265"/>
      <c r="D2593" s="265"/>
      <c r="E2593" s="264"/>
      <c r="F2593" s="265"/>
      <c r="G2593" s="263"/>
      <c r="H2593" s="432"/>
      <c r="I2593" s="282"/>
      <c r="J2593" s="283"/>
      <c r="K2593" s="265"/>
      <c r="L2593" s="265"/>
      <c r="M2593" s="269"/>
      <c r="N2593" s="270"/>
      <c r="O2593" s="271"/>
      <c r="P2593" s="271"/>
      <c r="Q2593" s="272"/>
      <c r="R2593" s="273"/>
      <c r="S2593" s="273"/>
      <c r="T2593" s="273"/>
      <c r="U2593" s="274"/>
      <c r="V2593" s="263"/>
      <c r="W2593" s="35"/>
      <c r="X2593" s="35"/>
      <c r="Y2593" s="35"/>
      <c r="Z2593" s="35"/>
      <c r="AA2593" s="35"/>
      <c r="AB2593" s="35"/>
      <c r="AC2593" s="35"/>
      <c r="AD2593" s="35"/>
      <c r="AE2593" s="35"/>
      <c r="AF2593" s="35"/>
      <c r="AG2593" s="35"/>
      <c r="AH2593" s="35"/>
      <c r="AI2593" s="35"/>
    </row>
    <row r="2594">
      <c r="A2594" s="263"/>
      <c r="B2594" s="264"/>
      <c r="C2594" s="265"/>
      <c r="D2594" s="265"/>
      <c r="E2594" s="264"/>
      <c r="F2594" s="265"/>
      <c r="G2594" s="263"/>
      <c r="H2594" s="432"/>
      <c r="I2594" s="282"/>
      <c r="J2594" s="283"/>
      <c r="K2594" s="265"/>
      <c r="L2594" s="265"/>
      <c r="M2594" s="269"/>
      <c r="N2594" s="270"/>
      <c r="O2594" s="271"/>
      <c r="P2594" s="271"/>
      <c r="Q2594" s="272"/>
      <c r="R2594" s="273"/>
      <c r="S2594" s="273"/>
      <c r="T2594" s="273"/>
      <c r="U2594" s="274"/>
      <c r="V2594" s="263"/>
      <c r="W2594" s="188"/>
      <c r="X2594" s="188"/>
      <c r="Y2594" s="188"/>
      <c r="Z2594" s="188"/>
      <c r="AA2594" s="188"/>
      <c r="AB2594" s="188"/>
      <c r="AC2594" s="188"/>
      <c r="AD2594" s="188"/>
      <c r="AE2594" s="188"/>
      <c r="AF2594" s="188"/>
      <c r="AG2594" s="188"/>
      <c r="AH2594" s="188"/>
      <c r="AI2594" s="188"/>
    </row>
    <row r="2595">
      <c r="A2595" s="263"/>
      <c r="B2595" s="264"/>
      <c r="C2595" s="265"/>
      <c r="D2595" s="265"/>
      <c r="E2595" s="264"/>
      <c r="F2595" s="265"/>
      <c r="G2595" s="263"/>
      <c r="H2595" s="432"/>
      <c r="I2595" s="282"/>
      <c r="J2595" s="283"/>
      <c r="K2595" s="265"/>
      <c r="L2595" s="265"/>
      <c r="M2595" s="269"/>
      <c r="N2595" s="270"/>
      <c r="O2595" s="271"/>
      <c r="P2595" s="271"/>
      <c r="Q2595" s="272"/>
      <c r="R2595" s="273"/>
      <c r="S2595" s="273"/>
      <c r="T2595" s="273"/>
      <c r="U2595" s="274"/>
      <c r="V2595" s="263"/>
      <c r="W2595" s="188"/>
      <c r="X2595" s="188"/>
      <c r="Y2595" s="188"/>
      <c r="Z2595" s="188"/>
      <c r="AA2595" s="188"/>
      <c r="AB2595" s="188"/>
      <c r="AC2595" s="188"/>
      <c r="AD2595" s="188"/>
      <c r="AE2595" s="188"/>
      <c r="AF2595" s="188"/>
      <c r="AG2595" s="188"/>
      <c r="AH2595" s="188"/>
      <c r="AI2595" s="188"/>
    </row>
    <row r="2596">
      <c r="A2596" s="263"/>
      <c r="B2596" s="264"/>
      <c r="C2596" s="265"/>
      <c r="D2596" s="265"/>
      <c r="E2596" s="264"/>
      <c r="F2596" s="265"/>
      <c r="G2596" s="263"/>
      <c r="H2596" s="432"/>
      <c r="I2596" s="282"/>
      <c r="J2596" s="283"/>
      <c r="K2596" s="265"/>
      <c r="L2596" s="265"/>
      <c r="M2596" s="269"/>
      <c r="N2596" s="270"/>
      <c r="O2596" s="271"/>
      <c r="P2596" s="271"/>
      <c r="Q2596" s="272"/>
      <c r="R2596" s="273"/>
      <c r="S2596" s="273"/>
      <c r="T2596" s="273"/>
      <c r="U2596" s="274"/>
      <c r="V2596" s="263"/>
      <c r="W2596" s="188"/>
      <c r="X2596" s="188"/>
      <c r="Y2596" s="188"/>
      <c r="Z2596" s="188"/>
      <c r="AA2596" s="188"/>
      <c r="AB2596" s="188"/>
      <c r="AC2596" s="188"/>
      <c r="AD2596" s="188"/>
      <c r="AE2596" s="188"/>
      <c r="AF2596" s="188"/>
      <c r="AG2596" s="188"/>
      <c r="AH2596" s="188"/>
      <c r="AI2596" s="188"/>
    </row>
    <row r="2597">
      <c r="A2597" s="263"/>
      <c r="B2597" s="264"/>
      <c r="C2597" s="265"/>
      <c r="D2597" s="265"/>
      <c r="E2597" s="264"/>
      <c r="F2597" s="265"/>
      <c r="G2597" s="263"/>
      <c r="H2597" s="432"/>
      <c r="I2597" s="282"/>
      <c r="J2597" s="283"/>
      <c r="K2597" s="265"/>
      <c r="L2597" s="265"/>
      <c r="M2597" s="269"/>
      <c r="N2597" s="270"/>
      <c r="O2597" s="271"/>
      <c r="P2597" s="271"/>
      <c r="Q2597" s="272"/>
      <c r="R2597" s="273"/>
      <c r="S2597" s="273"/>
      <c r="T2597" s="273"/>
      <c r="U2597" s="274"/>
      <c r="V2597" s="263"/>
      <c r="W2597" s="35"/>
      <c r="X2597" s="35"/>
      <c r="Y2597" s="35"/>
      <c r="Z2597" s="35"/>
      <c r="AA2597" s="35"/>
      <c r="AB2597" s="35"/>
      <c r="AC2597" s="35"/>
      <c r="AD2597" s="35"/>
      <c r="AE2597" s="35"/>
      <c r="AF2597" s="35"/>
      <c r="AG2597" s="35"/>
      <c r="AH2597" s="35"/>
      <c r="AI2597" s="35"/>
    </row>
    <row r="2598">
      <c r="A2598" s="263"/>
      <c r="B2598" s="264"/>
      <c r="C2598" s="265"/>
      <c r="D2598" s="265"/>
      <c r="E2598" s="264"/>
      <c r="F2598" s="265"/>
      <c r="G2598" s="263"/>
      <c r="H2598" s="432"/>
      <c r="I2598" s="282"/>
      <c r="J2598" s="283"/>
      <c r="K2598" s="265"/>
      <c r="L2598" s="265"/>
      <c r="M2598" s="269"/>
      <c r="N2598" s="270"/>
      <c r="O2598" s="271"/>
      <c r="P2598" s="271"/>
      <c r="Q2598" s="272"/>
      <c r="R2598" s="273"/>
      <c r="S2598" s="273"/>
      <c r="T2598" s="273"/>
      <c r="U2598" s="274"/>
      <c r="V2598" s="263"/>
      <c r="W2598" s="35"/>
      <c r="X2598" s="35"/>
      <c r="Y2598" s="35"/>
      <c r="Z2598" s="35"/>
      <c r="AA2598" s="35"/>
      <c r="AB2598" s="35"/>
      <c r="AC2598" s="35"/>
      <c r="AD2598" s="35"/>
      <c r="AE2598" s="35"/>
      <c r="AF2598" s="35"/>
      <c r="AG2598" s="35"/>
      <c r="AH2598" s="35"/>
      <c r="AI2598" s="35"/>
    </row>
    <row r="2599">
      <c r="A2599" s="263"/>
      <c r="B2599" s="264"/>
      <c r="C2599" s="265"/>
      <c r="D2599" s="265"/>
      <c r="E2599" s="264"/>
      <c r="F2599" s="265"/>
      <c r="G2599" s="263"/>
      <c r="H2599" s="432"/>
      <c r="I2599" s="282"/>
      <c r="J2599" s="283"/>
      <c r="K2599" s="265"/>
      <c r="L2599" s="265"/>
      <c r="M2599" s="269"/>
      <c r="N2599" s="270"/>
      <c r="O2599" s="271"/>
      <c r="P2599" s="271"/>
      <c r="Q2599" s="272"/>
      <c r="R2599" s="273"/>
      <c r="S2599" s="273"/>
      <c r="T2599" s="273"/>
      <c r="U2599" s="274"/>
      <c r="V2599" s="263"/>
      <c r="W2599" s="36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</row>
    <row r="2600">
      <c r="A2600" s="263"/>
      <c r="B2600" s="264"/>
      <c r="C2600" s="265"/>
      <c r="D2600" s="265"/>
      <c r="E2600" s="264"/>
      <c r="F2600" s="265"/>
      <c r="G2600" s="263"/>
      <c r="H2600" s="432"/>
      <c r="I2600" s="282"/>
      <c r="J2600" s="283"/>
      <c r="K2600" s="265"/>
      <c r="L2600" s="265"/>
      <c r="M2600" s="269"/>
      <c r="N2600" s="270"/>
      <c r="O2600" s="271"/>
      <c r="P2600" s="271"/>
      <c r="Q2600" s="272"/>
      <c r="R2600" s="273"/>
      <c r="S2600" s="273"/>
      <c r="T2600" s="273"/>
      <c r="U2600" s="274"/>
      <c r="V2600" s="263"/>
      <c r="W2600" s="36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</row>
    <row r="2601">
      <c r="A2601" s="263"/>
      <c r="B2601" s="264"/>
      <c r="C2601" s="265"/>
      <c r="D2601" s="265"/>
      <c r="E2601" s="264"/>
      <c r="F2601" s="265"/>
      <c r="G2601" s="263"/>
      <c r="H2601" s="432"/>
      <c r="I2601" s="282"/>
      <c r="J2601" s="283"/>
      <c r="K2601" s="265"/>
      <c r="L2601" s="265"/>
      <c r="M2601" s="269"/>
      <c r="N2601" s="270"/>
      <c r="O2601" s="271"/>
      <c r="P2601" s="271"/>
      <c r="Q2601" s="272"/>
      <c r="R2601" s="273"/>
      <c r="S2601" s="273"/>
      <c r="T2601" s="273"/>
      <c r="U2601" s="274"/>
      <c r="V2601" s="263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</row>
    <row r="2602">
      <c r="A2602" s="263"/>
      <c r="B2602" s="264"/>
      <c r="C2602" s="265"/>
      <c r="D2602" s="265"/>
      <c r="E2602" s="264"/>
      <c r="F2602" s="265"/>
      <c r="G2602" s="263"/>
      <c r="H2602" s="432"/>
      <c r="I2602" s="282"/>
      <c r="J2602" s="283"/>
      <c r="K2602" s="265"/>
      <c r="L2602" s="265"/>
      <c r="M2602" s="269"/>
      <c r="N2602" s="270"/>
      <c r="O2602" s="271"/>
      <c r="P2602" s="271"/>
      <c r="Q2602" s="272"/>
      <c r="R2602" s="273"/>
      <c r="S2602" s="273"/>
      <c r="T2602" s="273"/>
      <c r="U2602" s="274"/>
      <c r="V2602" s="263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</row>
    <row r="2603">
      <c r="A2603" s="263"/>
      <c r="B2603" s="264"/>
      <c r="C2603" s="265"/>
      <c r="D2603" s="265"/>
      <c r="E2603" s="264"/>
      <c r="F2603" s="265"/>
      <c r="G2603" s="263"/>
      <c r="H2603" s="432"/>
      <c r="I2603" s="282"/>
      <c r="J2603" s="283"/>
      <c r="K2603" s="265"/>
      <c r="L2603" s="265"/>
      <c r="M2603" s="269"/>
      <c r="N2603" s="270"/>
      <c r="O2603" s="271"/>
      <c r="P2603" s="271"/>
      <c r="Q2603" s="272"/>
      <c r="R2603" s="273"/>
      <c r="S2603" s="273"/>
      <c r="T2603" s="273"/>
      <c r="U2603" s="274"/>
      <c r="V2603" s="263"/>
      <c r="W2603" s="188"/>
      <c r="X2603" s="188"/>
      <c r="Y2603" s="188"/>
      <c r="Z2603" s="188"/>
      <c r="AA2603" s="188"/>
      <c r="AB2603" s="188"/>
      <c r="AC2603" s="188"/>
      <c r="AD2603" s="188"/>
      <c r="AE2603" s="188"/>
      <c r="AF2603" s="188"/>
      <c r="AG2603" s="188"/>
      <c r="AH2603" s="188"/>
      <c r="AI2603" s="188"/>
    </row>
    <row r="2604">
      <c r="A2604" s="263"/>
      <c r="B2604" s="264"/>
      <c r="C2604" s="265"/>
      <c r="D2604" s="265"/>
      <c r="E2604" s="264"/>
      <c r="F2604" s="265"/>
      <c r="G2604" s="263"/>
      <c r="H2604" s="432"/>
      <c r="I2604" s="282"/>
      <c r="J2604" s="283"/>
      <c r="K2604" s="265"/>
      <c r="L2604" s="265"/>
      <c r="M2604" s="269"/>
      <c r="N2604" s="270"/>
      <c r="O2604" s="271"/>
      <c r="P2604" s="271"/>
      <c r="Q2604" s="272"/>
      <c r="R2604" s="273"/>
      <c r="S2604" s="273"/>
      <c r="T2604" s="273"/>
      <c r="U2604" s="274"/>
      <c r="V2604" s="263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</row>
    <row r="2605">
      <c r="A2605" s="263"/>
      <c r="B2605" s="264"/>
      <c r="C2605" s="265"/>
      <c r="D2605" s="265"/>
      <c r="E2605" s="264"/>
      <c r="F2605" s="265"/>
      <c r="G2605" s="263"/>
      <c r="H2605" s="432"/>
      <c r="I2605" s="282"/>
      <c r="J2605" s="283"/>
      <c r="K2605" s="265"/>
      <c r="L2605" s="265"/>
      <c r="M2605" s="269"/>
      <c r="N2605" s="270"/>
      <c r="O2605" s="271"/>
      <c r="P2605" s="271"/>
      <c r="Q2605" s="272"/>
      <c r="R2605" s="273"/>
      <c r="S2605" s="273"/>
      <c r="T2605" s="273"/>
      <c r="U2605" s="274"/>
      <c r="V2605" s="263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</row>
    <row r="2606">
      <c r="A2606" s="263"/>
      <c r="B2606" s="264"/>
      <c r="C2606" s="265"/>
      <c r="D2606" s="265"/>
      <c r="E2606" s="264"/>
      <c r="F2606" s="265"/>
      <c r="G2606" s="263"/>
      <c r="H2606" s="432"/>
      <c r="I2606" s="282"/>
      <c r="J2606" s="283"/>
      <c r="K2606" s="265"/>
      <c r="L2606" s="265"/>
      <c r="M2606" s="269"/>
      <c r="N2606" s="270"/>
      <c r="O2606" s="271"/>
      <c r="P2606" s="271"/>
      <c r="Q2606" s="272"/>
      <c r="R2606" s="273"/>
      <c r="S2606" s="273"/>
      <c r="T2606" s="273"/>
      <c r="U2606" s="274"/>
      <c r="V2606" s="263"/>
      <c r="W2606" s="188"/>
      <c r="X2606" s="188"/>
      <c r="Y2606" s="188"/>
      <c r="Z2606" s="188"/>
      <c r="AA2606" s="188"/>
      <c r="AB2606" s="188"/>
      <c r="AC2606" s="188"/>
      <c r="AD2606" s="188"/>
      <c r="AE2606" s="188"/>
      <c r="AF2606" s="188"/>
      <c r="AG2606" s="188"/>
      <c r="AH2606" s="188"/>
      <c r="AI2606" s="188"/>
    </row>
    <row r="2607">
      <c r="A2607" s="263"/>
      <c r="B2607" s="264"/>
      <c r="C2607" s="265"/>
      <c r="D2607" s="265"/>
      <c r="E2607" s="264"/>
      <c r="F2607" s="265"/>
      <c r="G2607" s="263"/>
      <c r="H2607" s="432"/>
      <c r="I2607" s="282"/>
      <c r="J2607" s="283"/>
      <c r="K2607" s="265"/>
      <c r="L2607" s="265"/>
      <c r="M2607" s="269"/>
      <c r="N2607" s="270"/>
      <c r="O2607" s="271"/>
      <c r="P2607" s="271"/>
      <c r="Q2607" s="272"/>
      <c r="R2607" s="273"/>
      <c r="S2607" s="273"/>
      <c r="T2607" s="273"/>
      <c r="U2607" s="274"/>
      <c r="V2607" s="263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</row>
    <row r="2608">
      <c r="A2608" s="263"/>
      <c r="B2608" s="264"/>
      <c r="C2608" s="265"/>
      <c r="D2608" s="265"/>
      <c r="E2608" s="264"/>
      <c r="F2608" s="265"/>
      <c r="G2608" s="263"/>
      <c r="H2608" s="432"/>
      <c r="I2608" s="282"/>
      <c r="J2608" s="283"/>
      <c r="K2608" s="265"/>
      <c r="L2608" s="265"/>
      <c r="M2608" s="269"/>
      <c r="N2608" s="270"/>
      <c r="O2608" s="271"/>
      <c r="P2608" s="271"/>
      <c r="Q2608" s="272"/>
      <c r="R2608" s="273"/>
      <c r="S2608" s="273"/>
      <c r="T2608" s="273"/>
      <c r="U2608" s="274"/>
      <c r="V2608" s="263"/>
      <c r="W2608" s="188"/>
      <c r="X2608" s="188"/>
      <c r="Y2608" s="188"/>
      <c r="Z2608" s="188"/>
      <c r="AA2608" s="188"/>
      <c r="AB2608" s="188"/>
      <c r="AC2608" s="188"/>
      <c r="AD2608" s="188"/>
      <c r="AE2608" s="188"/>
      <c r="AF2608" s="188"/>
      <c r="AG2608" s="188"/>
      <c r="AH2608" s="188"/>
      <c r="AI2608" s="188"/>
    </row>
    <row r="2609">
      <c r="A2609" s="263"/>
      <c r="B2609" s="264"/>
      <c r="C2609" s="265"/>
      <c r="D2609" s="265"/>
      <c r="E2609" s="264"/>
      <c r="F2609" s="265"/>
      <c r="G2609" s="263"/>
      <c r="H2609" s="432"/>
      <c r="I2609" s="282"/>
      <c r="J2609" s="283"/>
      <c r="K2609" s="265"/>
      <c r="L2609" s="265"/>
      <c r="M2609" s="269"/>
      <c r="N2609" s="270"/>
      <c r="O2609" s="271"/>
      <c r="P2609" s="271"/>
      <c r="Q2609" s="272"/>
      <c r="R2609" s="273"/>
      <c r="S2609" s="273"/>
      <c r="T2609" s="273"/>
      <c r="U2609" s="274"/>
      <c r="V2609" s="263"/>
      <c r="W2609" s="36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</row>
    <row r="2610">
      <c r="A2610" s="263"/>
      <c r="B2610" s="264"/>
      <c r="C2610" s="265"/>
      <c r="D2610" s="265"/>
      <c r="E2610" s="264"/>
      <c r="F2610" s="265"/>
      <c r="G2610" s="263"/>
      <c r="H2610" s="432"/>
      <c r="I2610" s="282"/>
      <c r="J2610" s="283"/>
      <c r="K2610" s="265"/>
      <c r="L2610" s="265"/>
      <c r="M2610" s="269"/>
      <c r="N2610" s="270"/>
      <c r="O2610" s="271"/>
      <c r="P2610" s="271"/>
      <c r="Q2610" s="272"/>
      <c r="R2610" s="273"/>
      <c r="S2610" s="273"/>
      <c r="T2610" s="273"/>
      <c r="U2610" s="274"/>
      <c r="V2610" s="263"/>
      <c r="W2610" s="188"/>
      <c r="X2610" s="188"/>
      <c r="Y2610" s="188"/>
      <c r="Z2610" s="188"/>
      <c r="AA2610" s="188"/>
      <c r="AB2610" s="188"/>
      <c r="AC2610" s="188"/>
      <c r="AD2610" s="188"/>
      <c r="AE2610" s="188"/>
      <c r="AF2610" s="188"/>
      <c r="AG2610" s="188"/>
      <c r="AH2610" s="188"/>
      <c r="AI2610" s="188"/>
    </row>
    <row r="2611">
      <c r="A2611" s="263"/>
      <c r="B2611" s="264"/>
      <c r="C2611" s="265"/>
      <c r="D2611" s="265"/>
      <c r="E2611" s="264"/>
      <c r="F2611" s="265"/>
      <c r="G2611" s="263"/>
      <c r="H2611" s="432"/>
      <c r="I2611" s="282"/>
      <c r="J2611" s="283"/>
      <c r="K2611" s="265"/>
      <c r="L2611" s="265"/>
      <c r="M2611" s="269"/>
      <c r="N2611" s="270"/>
      <c r="O2611" s="271"/>
      <c r="P2611" s="271"/>
      <c r="Q2611" s="272"/>
      <c r="R2611" s="273"/>
      <c r="S2611" s="273"/>
      <c r="T2611" s="273"/>
      <c r="U2611" s="274"/>
      <c r="V2611" s="263"/>
      <c r="W2611" s="188"/>
      <c r="X2611" s="188"/>
      <c r="Y2611" s="188"/>
      <c r="Z2611" s="188"/>
      <c r="AA2611" s="188"/>
      <c r="AB2611" s="188"/>
      <c r="AC2611" s="188"/>
      <c r="AD2611" s="188"/>
      <c r="AE2611" s="188"/>
      <c r="AF2611" s="188"/>
      <c r="AG2611" s="188"/>
      <c r="AH2611" s="188"/>
      <c r="AI2611" s="188"/>
    </row>
    <row r="2612">
      <c r="A2612" s="263"/>
      <c r="B2612" s="264"/>
      <c r="C2612" s="265"/>
      <c r="D2612" s="265"/>
      <c r="E2612" s="264"/>
      <c r="F2612" s="265"/>
      <c r="G2612" s="263"/>
      <c r="H2612" s="432"/>
      <c r="I2612" s="282"/>
      <c r="J2612" s="283"/>
      <c r="K2612" s="265"/>
      <c r="L2612" s="265"/>
      <c r="M2612" s="269"/>
      <c r="N2612" s="270"/>
      <c r="O2612" s="271"/>
      <c r="P2612" s="271"/>
      <c r="Q2612" s="272"/>
      <c r="R2612" s="273"/>
      <c r="S2612" s="273"/>
      <c r="T2612" s="273"/>
      <c r="U2612" s="274"/>
      <c r="V2612" s="263"/>
      <c r="W2612" s="188"/>
      <c r="X2612" s="188"/>
      <c r="Y2612" s="188"/>
      <c r="Z2612" s="188"/>
      <c r="AA2612" s="188"/>
      <c r="AB2612" s="188"/>
      <c r="AC2612" s="188"/>
      <c r="AD2612" s="188"/>
      <c r="AE2612" s="188"/>
      <c r="AF2612" s="188"/>
      <c r="AG2612" s="188"/>
      <c r="AH2612" s="188"/>
      <c r="AI2612" s="188"/>
    </row>
    <row r="2613">
      <c r="A2613" s="263"/>
      <c r="B2613" s="264"/>
      <c r="C2613" s="265"/>
      <c r="D2613" s="265"/>
      <c r="E2613" s="264"/>
      <c r="F2613" s="265"/>
      <c r="G2613" s="263"/>
      <c r="H2613" s="432"/>
      <c r="I2613" s="282"/>
      <c r="J2613" s="283"/>
      <c r="K2613" s="265"/>
      <c r="L2613" s="265"/>
      <c r="M2613" s="269"/>
      <c r="N2613" s="270"/>
      <c r="O2613" s="271"/>
      <c r="P2613" s="271"/>
      <c r="Q2613" s="272"/>
      <c r="R2613" s="273"/>
      <c r="S2613" s="273"/>
      <c r="T2613" s="273"/>
      <c r="U2613" s="274"/>
      <c r="V2613" s="263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</row>
    <row r="2614">
      <c r="A2614" s="263"/>
      <c r="B2614" s="264"/>
      <c r="C2614" s="265"/>
      <c r="D2614" s="265"/>
      <c r="E2614" s="264"/>
      <c r="F2614" s="265"/>
      <c r="G2614" s="263"/>
      <c r="H2614" s="432"/>
      <c r="I2614" s="282"/>
      <c r="J2614" s="283"/>
      <c r="K2614" s="265"/>
      <c r="L2614" s="265"/>
      <c r="M2614" s="269"/>
      <c r="N2614" s="270"/>
      <c r="O2614" s="271"/>
      <c r="P2614" s="271"/>
      <c r="Q2614" s="272"/>
      <c r="R2614" s="273"/>
      <c r="S2614" s="273"/>
      <c r="T2614" s="273"/>
      <c r="U2614" s="274"/>
      <c r="V2614" s="263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</row>
    <row r="2615">
      <c r="A2615" s="263"/>
      <c r="B2615" s="264"/>
      <c r="C2615" s="265"/>
      <c r="D2615" s="265"/>
      <c r="E2615" s="264"/>
      <c r="F2615" s="265"/>
      <c r="G2615" s="263"/>
      <c r="H2615" s="432"/>
      <c r="I2615" s="282"/>
      <c r="J2615" s="283"/>
      <c r="K2615" s="265"/>
      <c r="L2615" s="265"/>
      <c r="M2615" s="269"/>
      <c r="N2615" s="270"/>
      <c r="O2615" s="271"/>
      <c r="P2615" s="271"/>
      <c r="Q2615" s="272"/>
      <c r="R2615" s="273"/>
      <c r="S2615" s="273"/>
      <c r="T2615" s="273"/>
      <c r="U2615" s="274"/>
      <c r="V2615" s="263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</row>
    <row r="2616">
      <c r="A2616" s="263"/>
      <c r="B2616" s="264"/>
      <c r="C2616" s="265"/>
      <c r="D2616" s="265"/>
      <c r="E2616" s="264"/>
      <c r="F2616" s="265"/>
      <c r="G2616" s="263"/>
      <c r="H2616" s="432"/>
      <c r="I2616" s="282"/>
      <c r="J2616" s="283"/>
      <c r="K2616" s="265"/>
      <c r="L2616" s="265"/>
      <c r="M2616" s="269"/>
      <c r="N2616" s="270"/>
      <c r="O2616" s="271"/>
      <c r="P2616" s="271"/>
      <c r="Q2616" s="272"/>
      <c r="R2616" s="273"/>
      <c r="S2616" s="273"/>
      <c r="T2616" s="273"/>
      <c r="U2616" s="274"/>
      <c r="V2616" s="263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</row>
    <row r="2617">
      <c r="A2617" s="263"/>
      <c r="B2617" s="264"/>
      <c r="C2617" s="265"/>
      <c r="D2617" s="265"/>
      <c r="E2617" s="264"/>
      <c r="F2617" s="265"/>
      <c r="G2617" s="263"/>
      <c r="H2617" s="432"/>
      <c r="I2617" s="282"/>
      <c r="J2617" s="283"/>
      <c r="K2617" s="265"/>
      <c r="L2617" s="265"/>
      <c r="M2617" s="269"/>
      <c r="N2617" s="270"/>
      <c r="O2617" s="271"/>
      <c r="P2617" s="271"/>
      <c r="Q2617" s="272"/>
      <c r="R2617" s="273"/>
      <c r="S2617" s="273"/>
      <c r="T2617" s="273"/>
      <c r="U2617" s="274"/>
      <c r="V2617" s="263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</row>
    <row r="2618">
      <c r="A2618" s="263"/>
      <c r="B2618" s="264"/>
      <c r="C2618" s="265"/>
      <c r="D2618" s="265"/>
      <c r="E2618" s="264"/>
      <c r="F2618" s="265"/>
      <c r="G2618" s="263"/>
      <c r="H2618" s="432"/>
      <c r="I2618" s="282"/>
      <c r="J2618" s="283"/>
      <c r="K2618" s="265"/>
      <c r="L2618" s="265"/>
      <c r="M2618" s="269"/>
      <c r="N2618" s="270"/>
      <c r="O2618" s="271"/>
      <c r="P2618" s="271"/>
      <c r="Q2618" s="272"/>
      <c r="R2618" s="273"/>
      <c r="S2618" s="273"/>
      <c r="T2618" s="273"/>
      <c r="U2618" s="274"/>
      <c r="V2618" s="263"/>
      <c r="W2618" s="188"/>
      <c r="X2618" s="188"/>
      <c r="Y2618" s="188"/>
      <c r="Z2618" s="188"/>
      <c r="AA2618" s="188"/>
      <c r="AB2618" s="188"/>
      <c r="AC2618" s="188"/>
      <c r="AD2618" s="188"/>
      <c r="AE2618" s="188"/>
      <c r="AF2618" s="188"/>
      <c r="AG2618" s="188"/>
      <c r="AH2618" s="188"/>
      <c r="AI2618" s="188"/>
    </row>
    <row r="2619">
      <c r="A2619" s="263"/>
      <c r="B2619" s="264"/>
      <c r="C2619" s="265"/>
      <c r="D2619" s="265"/>
      <c r="E2619" s="264"/>
      <c r="F2619" s="265"/>
      <c r="G2619" s="263"/>
      <c r="H2619" s="432"/>
      <c r="I2619" s="282"/>
      <c r="J2619" s="283"/>
      <c r="K2619" s="265"/>
      <c r="L2619" s="265"/>
      <c r="M2619" s="269"/>
      <c r="N2619" s="270"/>
      <c r="O2619" s="271"/>
      <c r="P2619" s="271"/>
      <c r="Q2619" s="272"/>
      <c r="R2619" s="273"/>
      <c r="S2619" s="273"/>
      <c r="T2619" s="273"/>
      <c r="U2619" s="274"/>
      <c r="V2619" s="263"/>
      <c r="W2619" s="188"/>
      <c r="X2619" s="188"/>
      <c r="Y2619" s="188"/>
      <c r="Z2619" s="188"/>
      <c r="AA2619" s="188"/>
      <c r="AB2619" s="188"/>
      <c r="AC2619" s="188"/>
      <c r="AD2619" s="188"/>
      <c r="AE2619" s="188"/>
      <c r="AF2619" s="188"/>
      <c r="AG2619" s="188"/>
      <c r="AH2619" s="188"/>
      <c r="AI2619" s="188"/>
    </row>
    <row r="2620">
      <c r="A2620" s="263"/>
      <c r="B2620" s="264"/>
      <c r="C2620" s="265"/>
      <c r="D2620" s="265"/>
      <c r="E2620" s="264"/>
      <c r="F2620" s="265"/>
      <c r="G2620" s="263"/>
      <c r="H2620" s="432"/>
      <c r="I2620" s="282"/>
      <c r="J2620" s="283"/>
      <c r="K2620" s="265"/>
      <c r="L2620" s="265"/>
      <c r="M2620" s="269"/>
      <c r="N2620" s="270"/>
      <c r="O2620" s="271"/>
      <c r="P2620" s="271"/>
      <c r="Q2620" s="272"/>
      <c r="R2620" s="273"/>
      <c r="S2620" s="273"/>
      <c r="T2620" s="273"/>
      <c r="U2620" s="274"/>
      <c r="V2620" s="263"/>
      <c r="W2620" s="188"/>
      <c r="X2620" s="188"/>
      <c r="Y2620" s="188"/>
      <c r="Z2620" s="188"/>
      <c r="AA2620" s="188"/>
      <c r="AB2620" s="188"/>
      <c r="AC2620" s="188"/>
      <c r="AD2620" s="188"/>
      <c r="AE2620" s="188"/>
      <c r="AF2620" s="188"/>
      <c r="AG2620" s="188"/>
      <c r="AH2620" s="188"/>
      <c r="AI2620" s="188"/>
    </row>
    <row r="2621">
      <c r="A2621" s="263"/>
      <c r="B2621" s="264"/>
      <c r="C2621" s="265"/>
      <c r="D2621" s="265"/>
      <c r="E2621" s="264"/>
      <c r="F2621" s="265"/>
      <c r="G2621" s="263"/>
      <c r="H2621" s="432"/>
      <c r="I2621" s="282"/>
      <c r="J2621" s="283"/>
      <c r="K2621" s="265"/>
      <c r="L2621" s="265"/>
      <c r="M2621" s="269"/>
      <c r="N2621" s="270"/>
      <c r="O2621" s="271"/>
      <c r="P2621" s="271"/>
      <c r="Q2621" s="272"/>
      <c r="R2621" s="273"/>
      <c r="S2621" s="273"/>
      <c r="T2621" s="273"/>
      <c r="U2621" s="274"/>
      <c r="V2621" s="263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</row>
    <row r="2622">
      <c r="A2622" s="263"/>
      <c r="B2622" s="264"/>
      <c r="C2622" s="265"/>
      <c r="D2622" s="265"/>
      <c r="E2622" s="264"/>
      <c r="F2622" s="265"/>
      <c r="G2622" s="263"/>
      <c r="H2622" s="432"/>
      <c r="I2622" s="282"/>
      <c r="J2622" s="283"/>
      <c r="K2622" s="265"/>
      <c r="L2622" s="265"/>
      <c r="M2622" s="269"/>
      <c r="N2622" s="270"/>
      <c r="O2622" s="271"/>
      <c r="P2622" s="271"/>
      <c r="Q2622" s="272"/>
      <c r="R2622" s="273"/>
      <c r="S2622" s="273"/>
      <c r="T2622" s="273"/>
      <c r="U2622" s="274"/>
      <c r="V2622" s="263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</row>
    <row r="2623">
      <c r="A2623" s="263"/>
      <c r="B2623" s="264"/>
      <c r="C2623" s="265"/>
      <c r="D2623" s="265"/>
      <c r="E2623" s="264"/>
      <c r="F2623" s="265"/>
      <c r="G2623" s="263"/>
      <c r="H2623" s="432"/>
      <c r="I2623" s="282"/>
      <c r="J2623" s="283"/>
      <c r="K2623" s="265"/>
      <c r="L2623" s="265"/>
      <c r="M2623" s="269"/>
      <c r="N2623" s="270"/>
      <c r="O2623" s="271"/>
      <c r="P2623" s="271"/>
      <c r="Q2623" s="272"/>
      <c r="R2623" s="273"/>
      <c r="S2623" s="273"/>
      <c r="T2623" s="273"/>
      <c r="U2623" s="274"/>
      <c r="V2623" s="263"/>
      <c r="W2623" s="35"/>
      <c r="X2623" s="35"/>
      <c r="Y2623" s="35"/>
      <c r="Z2623" s="35"/>
      <c r="AA2623" s="35"/>
      <c r="AB2623" s="35"/>
      <c r="AC2623" s="35"/>
      <c r="AD2623" s="35"/>
      <c r="AE2623" s="35"/>
      <c r="AF2623" s="35"/>
      <c r="AG2623" s="35"/>
      <c r="AH2623" s="35"/>
      <c r="AI2623" s="35"/>
    </row>
    <row r="2624">
      <c r="A2624" s="263"/>
      <c r="B2624" s="264"/>
      <c r="C2624" s="265"/>
      <c r="D2624" s="265"/>
      <c r="E2624" s="264"/>
      <c r="F2624" s="265"/>
      <c r="G2624" s="263"/>
      <c r="H2624" s="432"/>
      <c r="I2624" s="282"/>
      <c r="J2624" s="283"/>
      <c r="K2624" s="265"/>
      <c r="L2624" s="265"/>
      <c r="M2624" s="269"/>
      <c r="N2624" s="270"/>
      <c r="O2624" s="271"/>
      <c r="P2624" s="271"/>
      <c r="Q2624" s="272"/>
      <c r="R2624" s="273"/>
      <c r="S2624" s="273"/>
      <c r="T2624" s="273"/>
      <c r="U2624" s="274"/>
      <c r="V2624" s="263"/>
      <c r="W2624" s="35"/>
      <c r="X2624" s="35"/>
      <c r="Y2624" s="35"/>
      <c r="Z2624" s="35"/>
      <c r="AA2624" s="35"/>
      <c r="AB2624" s="35"/>
      <c r="AC2624" s="35"/>
      <c r="AD2624" s="35"/>
      <c r="AE2624" s="35"/>
      <c r="AF2624" s="35"/>
      <c r="AG2624" s="35"/>
      <c r="AH2624" s="35"/>
      <c r="AI2624" s="35"/>
    </row>
    <row r="2625">
      <c r="A2625" s="263"/>
      <c r="B2625" s="264"/>
      <c r="C2625" s="265"/>
      <c r="D2625" s="265"/>
      <c r="E2625" s="264"/>
      <c r="F2625" s="265"/>
      <c r="G2625" s="263"/>
      <c r="H2625" s="432"/>
      <c r="I2625" s="282"/>
      <c r="J2625" s="283"/>
      <c r="K2625" s="265"/>
      <c r="L2625" s="265"/>
      <c r="M2625" s="269"/>
      <c r="N2625" s="270"/>
      <c r="O2625" s="271"/>
      <c r="P2625" s="271"/>
      <c r="Q2625" s="272"/>
      <c r="R2625" s="273"/>
      <c r="S2625" s="273"/>
      <c r="T2625" s="273"/>
      <c r="U2625" s="274"/>
      <c r="V2625" s="263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</row>
    <row r="2626">
      <c r="A2626" s="263"/>
      <c r="B2626" s="264"/>
      <c r="C2626" s="265"/>
      <c r="D2626" s="265"/>
      <c r="E2626" s="264"/>
      <c r="F2626" s="265"/>
      <c r="G2626" s="263"/>
      <c r="H2626" s="432"/>
      <c r="I2626" s="282"/>
      <c r="J2626" s="283"/>
      <c r="K2626" s="265"/>
      <c r="L2626" s="265"/>
      <c r="M2626" s="269"/>
      <c r="N2626" s="270"/>
      <c r="O2626" s="271"/>
      <c r="P2626" s="271"/>
      <c r="Q2626" s="272"/>
      <c r="R2626" s="273"/>
      <c r="S2626" s="273"/>
      <c r="T2626" s="273"/>
      <c r="U2626" s="274"/>
      <c r="V2626" s="263"/>
      <c r="W2626" s="35"/>
      <c r="X2626" s="35"/>
      <c r="Y2626" s="35"/>
      <c r="Z2626" s="35"/>
      <c r="AA2626" s="35"/>
      <c r="AB2626" s="35"/>
      <c r="AC2626" s="35"/>
      <c r="AD2626" s="35"/>
      <c r="AE2626" s="35"/>
      <c r="AF2626" s="35"/>
      <c r="AG2626" s="35"/>
      <c r="AH2626" s="35"/>
      <c r="AI2626" s="35"/>
    </row>
    <row r="2627">
      <c r="A2627" s="263"/>
      <c r="B2627" s="264"/>
      <c r="C2627" s="265"/>
      <c r="D2627" s="265"/>
      <c r="E2627" s="264"/>
      <c r="F2627" s="265"/>
      <c r="G2627" s="263"/>
      <c r="H2627" s="432"/>
      <c r="I2627" s="282"/>
      <c r="J2627" s="283"/>
      <c r="K2627" s="265"/>
      <c r="L2627" s="265"/>
      <c r="M2627" s="269"/>
      <c r="N2627" s="270"/>
      <c r="O2627" s="271"/>
      <c r="P2627" s="271"/>
      <c r="Q2627" s="272"/>
      <c r="R2627" s="273"/>
      <c r="S2627" s="273"/>
      <c r="T2627" s="273"/>
      <c r="U2627" s="274"/>
      <c r="V2627" s="263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</row>
    <row r="2628">
      <c r="A2628" s="263"/>
      <c r="B2628" s="264"/>
      <c r="C2628" s="265"/>
      <c r="D2628" s="265"/>
      <c r="E2628" s="264"/>
      <c r="F2628" s="265"/>
      <c r="G2628" s="263"/>
      <c r="H2628" s="432"/>
      <c r="I2628" s="282"/>
      <c r="J2628" s="283"/>
      <c r="K2628" s="265"/>
      <c r="L2628" s="265"/>
      <c r="M2628" s="269"/>
      <c r="N2628" s="270"/>
      <c r="O2628" s="271"/>
      <c r="P2628" s="271"/>
      <c r="Q2628" s="272"/>
      <c r="R2628" s="273"/>
      <c r="S2628" s="273"/>
      <c r="T2628" s="273"/>
      <c r="U2628" s="274"/>
      <c r="V2628" s="263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</row>
    <row r="2629">
      <c r="A2629" s="263"/>
      <c r="B2629" s="264"/>
      <c r="C2629" s="265"/>
      <c r="D2629" s="265"/>
      <c r="E2629" s="264"/>
      <c r="F2629" s="265"/>
      <c r="G2629" s="263"/>
      <c r="H2629" s="432"/>
      <c r="I2629" s="282"/>
      <c r="J2629" s="283"/>
      <c r="K2629" s="265"/>
      <c r="L2629" s="265"/>
      <c r="M2629" s="269"/>
      <c r="N2629" s="270"/>
      <c r="O2629" s="271"/>
      <c r="P2629" s="271"/>
      <c r="Q2629" s="272"/>
      <c r="R2629" s="273"/>
      <c r="S2629" s="273"/>
      <c r="T2629" s="273"/>
      <c r="U2629" s="274"/>
      <c r="V2629" s="263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</row>
    <row r="2630">
      <c r="A2630" s="263"/>
      <c r="B2630" s="264"/>
      <c r="C2630" s="265"/>
      <c r="D2630" s="265"/>
      <c r="E2630" s="264"/>
      <c r="F2630" s="265"/>
      <c r="G2630" s="263"/>
      <c r="H2630" s="432"/>
      <c r="I2630" s="282"/>
      <c r="J2630" s="283"/>
      <c r="K2630" s="265"/>
      <c r="L2630" s="265"/>
      <c r="M2630" s="269"/>
      <c r="N2630" s="270"/>
      <c r="O2630" s="271"/>
      <c r="P2630" s="271"/>
      <c r="Q2630" s="272"/>
      <c r="R2630" s="273"/>
      <c r="S2630" s="273"/>
      <c r="T2630" s="273"/>
      <c r="U2630" s="274"/>
      <c r="V2630" s="263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</row>
    <row r="2631">
      <c r="A2631" s="263"/>
      <c r="B2631" s="264"/>
      <c r="C2631" s="265"/>
      <c r="D2631" s="265"/>
      <c r="E2631" s="264"/>
      <c r="F2631" s="265"/>
      <c r="G2631" s="263"/>
      <c r="H2631" s="432"/>
      <c r="I2631" s="282"/>
      <c r="J2631" s="283"/>
      <c r="K2631" s="265"/>
      <c r="L2631" s="265"/>
      <c r="M2631" s="269"/>
      <c r="N2631" s="270"/>
      <c r="O2631" s="271"/>
      <c r="P2631" s="271"/>
      <c r="Q2631" s="272"/>
      <c r="R2631" s="273"/>
      <c r="S2631" s="273"/>
      <c r="T2631" s="273"/>
      <c r="U2631" s="274"/>
      <c r="V2631" s="263"/>
      <c r="W2631" s="35"/>
      <c r="X2631" s="35"/>
      <c r="Y2631" s="35"/>
      <c r="Z2631" s="35"/>
      <c r="AA2631" s="35"/>
      <c r="AB2631" s="35"/>
      <c r="AC2631" s="35"/>
      <c r="AD2631" s="35"/>
      <c r="AE2631" s="35"/>
      <c r="AF2631" s="35"/>
      <c r="AG2631" s="35"/>
      <c r="AH2631" s="35"/>
      <c r="AI2631" s="35"/>
    </row>
    <row r="2632">
      <c r="A2632" s="263"/>
      <c r="B2632" s="264"/>
      <c r="C2632" s="265"/>
      <c r="D2632" s="265"/>
      <c r="E2632" s="264"/>
      <c r="F2632" s="265"/>
      <c r="G2632" s="263"/>
      <c r="H2632" s="432"/>
      <c r="I2632" s="282"/>
      <c r="J2632" s="283"/>
      <c r="K2632" s="265"/>
      <c r="L2632" s="265"/>
      <c r="M2632" s="269"/>
      <c r="N2632" s="270"/>
      <c r="O2632" s="271"/>
      <c r="P2632" s="271"/>
      <c r="Q2632" s="272"/>
      <c r="R2632" s="273"/>
      <c r="S2632" s="273"/>
      <c r="T2632" s="273"/>
      <c r="U2632" s="274"/>
      <c r="V2632" s="263"/>
      <c r="W2632" s="188"/>
      <c r="X2632" s="188"/>
      <c r="Y2632" s="188"/>
      <c r="Z2632" s="188"/>
      <c r="AA2632" s="188"/>
      <c r="AB2632" s="188"/>
      <c r="AC2632" s="188"/>
      <c r="AD2632" s="188"/>
      <c r="AE2632" s="188"/>
      <c r="AF2632" s="188"/>
      <c r="AG2632" s="188"/>
      <c r="AH2632" s="188"/>
      <c r="AI2632" s="188"/>
    </row>
    <row r="2633">
      <c r="A2633" s="263"/>
      <c r="B2633" s="264"/>
      <c r="C2633" s="265"/>
      <c r="D2633" s="265"/>
      <c r="E2633" s="264"/>
      <c r="F2633" s="265"/>
      <c r="G2633" s="263"/>
      <c r="H2633" s="432"/>
      <c r="I2633" s="282"/>
      <c r="J2633" s="283"/>
      <c r="K2633" s="265"/>
      <c r="L2633" s="265"/>
      <c r="M2633" s="269"/>
      <c r="N2633" s="270"/>
      <c r="O2633" s="271"/>
      <c r="P2633" s="271"/>
      <c r="Q2633" s="272"/>
      <c r="R2633" s="273"/>
      <c r="S2633" s="273"/>
      <c r="T2633" s="273"/>
      <c r="U2633" s="274"/>
      <c r="V2633" s="263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  <c r="AH2633" s="35"/>
      <c r="AI2633" s="35"/>
    </row>
    <row r="2634">
      <c r="A2634" s="263"/>
      <c r="B2634" s="264"/>
      <c r="C2634" s="265"/>
      <c r="D2634" s="265"/>
      <c r="E2634" s="264"/>
      <c r="F2634" s="265"/>
      <c r="G2634" s="263"/>
      <c r="H2634" s="432"/>
      <c r="I2634" s="282"/>
      <c r="J2634" s="283"/>
      <c r="K2634" s="265"/>
      <c r="L2634" s="265"/>
      <c r="M2634" s="269"/>
      <c r="N2634" s="270"/>
      <c r="O2634" s="271"/>
      <c r="P2634" s="271"/>
      <c r="Q2634" s="272"/>
      <c r="R2634" s="273"/>
      <c r="S2634" s="273"/>
      <c r="T2634" s="273"/>
      <c r="U2634" s="274"/>
      <c r="V2634" s="263"/>
      <c r="W2634" s="188"/>
      <c r="X2634" s="188"/>
      <c r="Y2634" s="188"/>
      <c r="Z2634" s="188"/>
      <c r="AA2634" s="188"/>
      <c r="AB2634" s="188"/>
      <c r="AC2634" s="188"/>
      <c r="AD2634" s="188"/>
      <c r="AE2634" s="188"/>
      <c r="AF2634" s="188"/>
      <c r="AG2634" s="188"/>
      <c r="AH2634" s="188"/>
      <c r="AI2634" s="188"/>
    </row>
    <row r="2635">
      <c r="A2635" s="263"/>
      <c r="B2635" s="264"/>
      <c r="C2635" s="265"/>
      <c r="D2635" s="265"/>
      <c r="E2635" s="264"/>
      <c r="F2635" s="265"/>
      <c r="G2635" s="263"/>
      <c r="H2635" s="432"/>
      <c r="I2635" s="282"/>
      <c r="J2635" s="283"/>
      <c r="K2635" s="265"/>
      <c r="L2635" s="265"/>
      <c r="M2635" s="269"/>
      <c r="N2635" s="270"/>
      <c r="O2635" s="271"/>
      <c r="P2635" s="271"/>
      <c r="Q2635" s="272"/>
      <c r="R2635" s="273"/>
      <c r="S2635" s="273"/>
      <c r="T2635" s="273"/>
      <c r="U2635" s="274"/>
      <c r="V2635" s="263"/>
      <c r="W2635" s="188"/>
      <c r="X2635" s="188"/>
      <c r="Y2635" s="188"/>
      <c r="Z2635" s="188"/>
      <c r="AA2635" s="188"/>
      <c r="AB2635" s="188"/>
      <c r="AC2635" s="188"/>
      <c r="AD2635" s="188"/>
      <c r="AE2635" s="188"/>
      <c r="AF2635" s="188"/>
      <c r="AG2635" s="188"/>
      <c r="AH2635" s="188"/>
      <c r="AI2635" s="188"/>
    </row>
    <row r="2636">
      <c r="A2636" s="263"/>
      <c r="B2636" s="264"/>
      <c r="C2636" s="265"/>
      <c r="D2636" s="265"/>
      <c r="E2636" s="264"/>
      <c r="F2636" s="265"/>
      <c r="G2636" s="263"/>
      <c r="H2636" s="432"/>
      <c r="I2636" s="282"/>
      <c r="J2636" s="283"/>
      <c r="K2636" s="265"/>
      <c r="L2636" s="265"/>
      <c r="M2636" s="269"/>
      <c r="N2636" s="270"/>
      <c r="O2636" s="271"/>
      <c r="P2636" s="271"/>
      <c r="Q2636" s="272"/>
      <c r="R2636" s="273"/>
      <c r="S2636" s="273"/>
      <c r="T2636" s="273"/>
      <c r="U2636" s="274"/>
      <c r="V2636" s="263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</row>
    <row r="2637">
      <c r="A2637" s="263"/>
      <c r="B2637" s="264"/>
      <c r="C2637" s="265"/>
      <c r="D2637" s="265"/>
      <c r="E2637" s="264"/>
      <c r="F2637" s="265"/>
      <c r="G2637" s="263"/>
      <c r="H2637" s="432"/>
      <c r="I2637" s="282"/>
      <c r="J2637" s="283"/>
      <c r="K2637" s="265"/>
      <c r="L2637" s="265"/>
      <c r="M2637" s="269"/>
      <c r="N2637" s="270"/>
      <c r="O2637" s="271"/>
      <c r="P2637" s="271"/>
      <c r="Q2637" s="272"/>
      <c r="R2637" s="273"/>
      <c r="S2637" s="273"/>
      <c r="T2637" s="273"/>
      <c r="U2637" s="274"/>
      <c r="V2637" s="263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</row>
    <row r="2638">
      <c r="A2638" s="263"/>
      <c r="B2638" s="264"/>
      <c r="C2638" s="265"/>
      <c r="D2638" s="265"/>
      <c r="E2638" s="264"/>
      <c r="F2638" s="265"/>
      <c r="G2638" s="263"/>
      <c r="H2638" s="432"/>
      <c r="I2638" s="282"/>
      <c r="J2638" s="283"/>
      <c r="K2638" s="265"/>
      <c r="L2638" s="265"/>
      <c r="M2638" s="269"/>
      <c r="N2638" s="270"/>
      <c r="O2638" s="271"/>
      <c r="P2638" s="271"/>
      <c r="Q2638" s="272"/>
      <c r="R2638" s="273"/>
      <c r="S2638" s="273"/>
      <c r="T2638" s="273"/>
      <c r="U2638" s="274"/>
      <c r="V2638" s="263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</row>
    <row r="2639">
      <c r="A2639" s="263"/>
      <c r="B2639" s="264"/>
      <c r="C2639" s="265"/>
      <c r="D2639" s="265"/>
      <c r="E2639" s="264"/>
      <c r="F2639" s="265"/>
      <c r="G2639" s="263"/>
      <c r="H2639" s="432"/>
      <c r="I2639" s="282"/>
      <c r="J2639" s="283"/>
      <c r="K2639" s="265"/>
      <c r="L2639" s="265"/>
      <c r="M2639" s="269"/>
      <c r="N2639" s="270"/>
      <c r="O2639" s="271"/>
      <c r="P2639" s="271"/>
      <c r="Q2639" s="272"/>
      <c r="R2639" s="273"/>
      <c r="S2639" s="273"/>
      <c r="T2639" s="273"/>
      <c r="U2639" s="274"/>
      <c r="V2639" s="263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</row>
    <row r="2640">
      <c r="A2640" s="263"/>
      <c r="B2640" s="264"/>
      <c r="C2640" s="265"/>
      <c r="D2640" s="265"/>
      <c r="E2640" s="264"/>
      <c r="F2640" s="265"/>
      <c r="G2640" s="263"/>
      <c r="H2640" s="432"/>
      <c r="I2640" s="282"/>
      <c r="J2640" s="283"/>
      <c r="K2640" s="265"/>
      <c r="L2640" s="265"/>
      <c r="M2640" s="269"/>
      <c r="N2640" s="270"/>
      <c r="O2640" s="271"/>
      <c r="P2640" s="271"/>
      <c r="Q2640" s="272"/>
      <c r="R2640" s="273"/>
      <c r="S2640" s="273"/>
      <c r="T2640" s="273"/>
      <c r="U2640" s="274"/>
      <c r="V2640" s="263"/>
      <c r="W2640" s="188"/>
      <c r="X2640" s="188"/>
      <c r="Y2640" s="188"/>
      <c r="Z2640" s="188"/>
      <c r="AA2640" s="188"/>
      <c r="AB2640" s="188"/>
      <c r="AC2640" s="188"/>
      <c r="AD2640" s="188"/>
      <c r="AE2640" s="188"/>
      <c r="AF2640" s="188"/>
      <c r="AG2640" s="188"/>
      <c r="AH2640" s="188"/>
      <c r="AI2640" s="188"/>
    </row>
    <row r="2641">
      <c r="A2641" s="263"/>
      <c r="B2641" s="264"/>
      <c r="C2641" s="265"/>
      <c r="D2641" s="265"/>
      <c r="E2641" s="264"/>
      <c r="F2641" s="265"/>
      <c r="G2641" s="263"/>
      <c r="H2641" s="432"/>
      <c r="I2641" s="282"/>
      <c r="J2641" s="283"/>
      <c r="K2641" s="265"/>
      <c r="L2641" s="265"/>
      <c r="M2641" s="269"/>
      <c r="N2641" s="270"/>
      <c r="O2641" s="271"/>
      <c r="P2641" s="271"/>
      <c r="Q2641" s="272"/>
      <c r="R2641" s="273"/>
      <c r="S2641" s="273"/>
      <c r="T2641" s="273"/>
      <c r="U2641" s="274"/>
      <c r="V2641" s="263"/>
      <c r="W2641" s="35"/>
      <c r="X2641" s="35"/>
      <c r="Y2641" s="35"/>
      <c r="Z2641" s="35"/>
      <c r="AA2641" s="35"/>
      <c r="AB2641" s="35"/>
      <c r="AC2641" s="35"/>
      <c r="AD2641" s="35"/>
      <c r="AE2641" s="35"/>
      <c r="AF2641" s="35"/>
      <c r="AG2641" s="35"/>
      <c r="AH2641" s="35"/>
      <c r="AI2641" s="35"/>
    </row>
    <row r="2642">
      <c r="A2642" s="263"/>
      <c r="B2642" s="264"/>
      <c r="C2642" s="265"/>
      <c r="D2642" s="265"/>
      <c r="E2642" s="264"/>
      <c r="F2642" s="265"/>
      <c r="G2642" s="263"/>
      <c r="H2642" s="432"/>
      <c r="I2642" s="282"/>
      <c r="J2642" s="283"/>
      <c r="K2642" s="265"/>
      <c r="L2642" s="265"/>
      <c r="M2642" s="269"/>
      <c r="N2642" s="270"/>
      <c r="O2642" s="271"/>
      <c r="P2642" s="271"/>
      <c r="Q2642" s="272"/>
      <c r="R2642" s="273"/>
      <c r="S2642" s="273"/>
      <c r="T2642" s="273"/>
      <c r="U2642" s="274"/>
      <c r="V2642" s="263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</row>
    <row r="2643">
      <c r="A2643" s="263"/>
      <c r="B2643" s="264"/>
      <c r="C2643" s="265"/>
      <c r="D2643" s="265"/>
      <c r="E2643" s="264"/>
      <c r="F2643" s="265"/>
      <c r="G2643" s="263"/>
      <c r="H2643" s="432"/>
      <c r="I2643" s="282"/>
      <c r="J2643" s="283"/>
      <c r="K2643" s="265"/>
      <c r="L2643" s="265"/>
      <c r="M2643" s="269"/>
      <c r="N2643" s="270"/>
      <c r="O2643" s="271"/>
      <c r="P2643" s="271"/>
      <c r="Q2643" s="272"/>
      <c r="R2643" s="273"/>
      <c r="S2643" s="273"/>
      <c r="T2643" s="273"/>
      <c r="U2643" s="274"/>
      <c r="V2643" s="263"/>
      <c r="W2643" s="35"/>
      <c r="X2643" s="35"/>
      <c r="Y2643" s="35"/>
      <c r="Z2643" s="35"/>
      <c r="AA2643" s="35"/>
      <c r="AB2643" s="35"/>
      <c r="AC2643" s="35"/>
      <c r="AD2643" s="35"/>
      <c r="AE2643" s="35"/>
      <c r="AF2643" s="35"/>
      <c r="AG2643" s="35"/>
      <c r="AH2643" s="35"/>
      <c r="AI2643" s="35"/>
    </row>
    <row r="2644">
      <c r="A2644" s="263"/>
      <c r="B2644" s="264"/>
      <c r="C2644" s="265"/>
      <c r="D2644" s="265"/>
      <c r="E2644" s="264"/>
      <c r="F2644" s="265"/>
      <c r="G2644" s="263"/>
      <c r="H2644" s="432"/>
      <c r="I2644" s="282"/>
      <c r="J2644" s="283"/>
      <c r="K2644" s="265"/>
      <c r="L2644" s="265"/>
      <c r="M2644" s="269"/>
      <c r="N2644" s="270"/>
      <c r="O2644" s="271"/>
      <c r="P2644" s="271"/>
      <c r="Q2644" s="272"/>
      <c r="R2644" s="273"/>
      <c r="S2644" s="273"/>
      <c r="T2644" s="273"/>
      <c r="U2644" s="274"/>
      <c r="V2644" s="263"/>
      <c r="W2644" s="35"/>
      <c r="X2644" s="35"/>
      <c r="Y2644" s="35"/>
      <c r="Z2644" s="35"/>
      <c r="AA2644" s="35"/>
      <c r="AB2644" s="35"/>
      <c r="AC2644" s="35"/>
      <c r="AD2644" s="35"/>
      <c r="AE2644" s="35"/>
      <c r="AF2644" s="35"/>
      <c r="AG2644" s="35"/>
      <c r="AH2644" s="35"/>
      <c r="AI2644" s="35"/>
    </row>
    <row r="2645">
      <c r="A2645" s="263"/>
      <c r="B2645" s="264"/>
      <c r="C2645" s="265"/>
      <c r="D2645" s="265"/>
      <c r="E2645" s="264"/>
      <c r="F2645" s="265"/>
      <c r="G2645" s="263"/>
      <c r="H2645" s="432"/>
      <c r="I2645" s="282"/>
      <c r="J2645" s="283"/>
      <c r="K2645" s="265"/>
      <c r="L2645" s="265"/>
      <c r="M2645" s="269"/>
      <c r="N2645" s="270"/>
      <c r="O2645" s="271"/>
      <c r="P2645" s="271"/>
      <c r="Q2645" s="272"/>
      <c r="R2645" s="273"/>
      <c r="S2645" s="273"/>
      <c r="T2645" s="273"/>
      <c r="U2645" s="274"/>
      <c r="V2645" s="263"/>
      <c r="W2645" s="35"/>
      <c r="X2645" s="35"/>
      <c r="Y2645" s="35"/>
      <c r="Z2645" s="35"/>
      <c r="AA2645" s="35"/>
      <c r="AB2645" s="35"/>
      <c r="AC2645" s="35"/>
      <c r="AD2645" s="35"/>
      <c r="AE2645" s="35"/>
      <c r="AF2645" s="35"/>
      <c r="AG2645" s="35"/>
      <c r="AH2645" s="35"/>
      <c r="AI2645" s="35"/>
    </row>
    <row r="2646">
      <c r="A2646" s="263"/>
      <c r="B2646" s="264"/>
      <c r="C2646" s="265"/>
      <c r="D2646" s="265"/>
      <c r="E2646" s="264"/>
      <c r="F2646" s="265"/>
      <c r="G2646" s="263"/>
      <c r="H2646" s="432"/>
      <c r="I2646" s="282"/>
      <c r="J2646" s="283"/>
      <c r="K2646" s="265"/>
      <c r="L2646" s="265"/>
      <c r="M2646" s="269"/>
      <c r="N2646" s="270"/>
      <c r="O2646" s="271"/>
      <c r="P2646" s="271"/>
      <c r="Q2646" s="272"/>
      <c r="R2646" s="273"/>
      <c r="S2646" s="273"/>
      <c r="T2646" s="273"/>
      <c r="U2646" s="274"/>
      <c r="V2646" s="263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</row>
    <row r="2647">
      <c r="A2647" s="263"/>
      <c r="B2647" s="264"/>
      <c r="C2647" s="265"/>
      <c r="D2647" s="265"/>
      <c r="E2647" s="264"/>
      <c r="F2647" s="265"/>
      <c r="G2647" s="263"/>
      <c r="H2647" s="432"/>
      <c r="I2647" s="282"/>
      <c r="J2647" s="283"/>
      <c r="K2647" s="265"/>
      <c r="L2647" s="265"/>
      <c r="M2647" s="269"/>
      <c r="N2647" s="270"/>
      <c r="O2647" s="271"/>
      <c r="P2647" s="271"/>
      <c r="Q2647" s="272"/>
      <c r="R2647" s="273"/>
      <c r="S2647" s="273"/>
      <c r="T2647" s="273"/>
      <c r="U2647" s="274"/>
      <c r="V2647" s="263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</row>
    <row r="2648">
      <c r="A2648" s="263"/>
      <c r="B2648" s="264"/>
      <c r="C2648" s="265"/>
      <c r="D2648" s="265"/>
      <c r="E2648" s="264"/>
      <c r="F2648" s="265"/>
      <c r="G2648" s="263"/>
      <c r="H2648" s="432"/>
      <c r="I2648" s="282"/>
      <c r="J2648" s="283"/>
      <c r="K2648" s="265"/>
      <c r="L2648" s="265"/>
      <c r="M2648" s="269"/>
      <c r="N2648" s="270"/>
      <c r="O2648" s="271"/>
      <c r="P2648" s="271"/>
      <c r="Q2648" s="272"/>
      <c r="R2648" s="273"/>
      <c r="S2648" s="273"/>
      <c r="T2648" s="273"/>
      <c r="U2648" s="274"/>
      <c r="V2648" s="263"/>
      <c r="W2648" s="188"/>
      <c r="X2648" s="188"/>
      <c r="Y2648" s="188"/>
      <c r="Z2648" s="188"/>
      <c r="AA2648" s="188"/>
      <c r="AB2648" s="188"/>
      <c r="AC2648" s="188"/>
      <c r="AD2648" s="188"/>
      <c r="AE2648" s="188"/>
      <c r="AF2648" s="188"/>
      <c r="AG2648" s="188"/>
      <c r="AH2648" s="188"/>
      <c r="AI2648" s="188"/>
    </row>
    <row r="2649">
      <c r="A2649" s="263"/>
      <c r="B2649" s="264"/>
      <c r="C2649" s="265"/>
      <c r="D2649" s="265"/>
      <c r="E2649" s="264"/>
      <c r="F2649" s="265"/>
      <c r="G2649" s="263"/>
      <c r="H2649" s="432"/>
      <c r="I2649" s="282"/>
      <c r="J2649" s="283"/>
      <c r="K2649" s="265"/>
      <c r="L2649" s="265"/>
      <c r="M2649" s="269"/>
      <c r="N2649" s="270"/>
      <c r="O2649" s="271"/>
      <c r="P2649" s="271"/>
      <c r="Q2649" s="272"/>
      <c r="R2649" s="273"/>
      <c r="S2649" s="273"/>
      <c r="T2649" s="273"/>
      <c r="U2649" s="274"/>
      <c r="V2649" s="263"/>
      <c r="W2649" s="188"/>
      <c r="X2649" s="188"/>
      <c r="Y2649" s="188"/>
      <c r="Z2649" s="188"/>
      <c r="AA2649" s="188"/>
      <c r="AB2649" s="188"/>
      <c r="AC2649" s="188"/>
      <c r="AD2649" s="188"/>
      <c r="AE2649" s="188"/>
      <c r="AF2649" s="188"/>
      <c r="AG2649" s="188"/>
      <c r="AH2649" s="188"/>
      <c r="AI2649" s="188"/>
    </row>
    <row r="2650">
      <c r="A2650" s="263"/>
      <c r="B2650" s="264"/>
      <c r="C2650" s="265"/>
      <c r="D2650" s="265"/>
      <c r="E2650" s="264"/>
      <c r="F2650" s="265"/>
      <c r="G2650" s="263"/>
      <c r="H2650" s="432"/>
      <c r="I2650" s="282"/>
      <c r="J2650" s="283"/>
      <c r="K2650" s="265"/>
      <c r="L2650" s="265"/>
      <c r="M2650" s="269"/>
      <c r="N2650" s="270"/>
      <c r="O2650" s="271"/>
      <c r="P2650" s="271"/>
      <c r="Q2650" s="272"/>
      <c r="R2650" s="273"/>
      <c r="S2650" s="273"/>
      <c r="T2650" s="273"/>
      <c r="U2650" s="274"/>
      <c r="V2650" s="263"/>
      <c r="W2650" s="188"/>
      <c r="X2650" s="188"/>
      <c r="Y2650" s="188"/>
      <c r="Z2650" s="188"/>
      <c r="AA2650" s="188"/>
      <c r="AB2650" s="188"/>
      <c r="AC2650" s="188"/>
      <c r="AD2650" s="188"/>
      <c r="AE2650" s="188"/>
      <c r="AF2650" s="188"/>
      <c r="AG2650" s="188"/>
      <c r="AH2650" s="188"/>
      <c r="AI2650" s="188"/>
    </row>
    <row r="2651">
      <c r="A2651" s="263"/>
      <c r="B2651" s="264"/>
      <c r="C2651" s="265"/>
      <c r="D2651" s="265"/>
      <c r="E2651" s="264"/>
      <c r="F2651" s="265"/>
      <c r="G2651" s="263"/>
      <c r="H2651" s="432"/>
      <c r="I2651" s="282"/>
      <c r="J2651" s="283"/>
      <c r="K2651" s="265"/>
      <c r="L2651" s="265"/>
      <c r="M2651" s="269"/>
      <c r="N2651" s="270"/>
      <c r="O2651" s="271"/>
      <c r="P2651" s="271"/>
      <c r="Q2651" s="272"/>
      <c r="R2651" s="273"/>
      <c r="S2651" s="273"/>
      <c r="T2651" s="273"/>
      <c r="U2651" s="274"/>
      <c r="V2651" s="263"/>
      <c r="W2651" s="188"/>
      <c r="X2651" s="188"/>
      <c r="Y2651" s="188"/>
      <c r="Z2651" s="188"/>
      <c r="AA2651" s="188"/>
      <c r="AB2651" s="188"/>
      <c r="AC2651" s="188"/>
      <c r="AD2651" s="188"/>
      <c r="AE2651" s="188"/>
      <c r="AF2651" s="188"/>
      <c r="AG2651" s="188"/>
      <c r="AH2651" s="188"/>
      <c r="AI2651" s="188"/>
    </row>
    <row r="2652">
      <c r="A2652" s="263"/>
      <c r="B2652" s="264"/>
      <c r="C2652" s="265"/>
      <c r="D2652" s="265"/>
      <c r="E2652" s="264"/>
      <c r="F2652" s="265"/>
      <c r="G2652" s="263"/>
      <c r="H2652" s="432"/>
      <c r="I2652" s="282"/>
      <c r="J2652" s="283"/>
      <c r="K2652" s="265"/>
      <c r="L2652" s="265"/>
      <c r="M2652" s="269"/>
      <c r="N2652" s="270"/>
      <c r="O2652" s="271"/>
      <c r="P2652" s="271"/>
      <c r="Q2652" s="272"/>
      <c r="R2652" s="273"/>
      <c r="S2652" s="273"/>
      <c r="T2652" s="273"/>
      <c r="U2652" s="274"/>
      <c r="V2652" s="263"/>
      <c r="W2652" s="188"/>
      <c r="X2652" s="188"/>
      <c r="Y2652" s="188"/>
      <c r="Z2652" s="188"/>
      <c r="AA2652" s="188"/>
      <c r="AB2652" s="188"/>
      <c r="AC2652" s="188"/>
      <c r="AD2652" s="188"/>
      <c r="AE2652" s="188"/>
      <c r="AF2652" s="188"/>
      <c r="AG2652" s="188"/>
      <c r="AH2652" s="188"/>
      <c r="AI2652" s="188"/>
    </row>
    <row r="2653">
      <c r="A2653" s="263"/>
      <c r="B2653" s="264"/>
      <c r="C2653" s="265"/>
      <c r="D2653" s="265"/>
      <c r="E2653" s="264"/>
      <c r="F2653" s="265"/>
      <c r="G2653" s="263"/>
      <c r="H2653" s="432"/>
      <c r="I2653" s="282"/>
      <c r="J2653" s="283"/>
      <c r="K2653" s="265"/>
      <c r="L2653" s="265"/>
      <c r="M2653" s="269"/>
      <c r="N2653" s="270"/>
      <c r="O2653" s="271"/>
      <c r="P2653" s="271"/>
      <c r="Q2653" s="272"/>
      <c r="R2653" s="273"/>
      <c r="S2653" s="273"/>
      <c r="T2653" s="273"/>
      <c r="U2653" s="274"/>
      <c r="V2653" s="263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</row>
    <row r="2654">
      <c r="A2654" s="263"/>
      <c r="B2654" s="264"/>
      <c r="C2654" s="265"/>
      <c r="D2654" s="265"/>
      <c r="E2654" s="264"/>
      <c r="F2654" s="265"/>
      <c r="G2654" s="263"/>
      <c r="H2654" s="432"/>
      <c r="I2654" s="282"/>
      <c r="J2654" s="283"/>
      <c r="K2654" s="265"/>
      <c r="L2654" s="265"/>
      <c r="M2654" s="269"/>
      <c r="N2654" s="270"/>
      <c r="O2654" s="271"/>
      <c r="P2654" s="271"/>
      <c r="Q2654" s="272"/>
      <c r="R2654" s="273"/>
      <c r="S2654" s="273"/>
      <c r="T2654" s="273"/>
      <c r="U2654" s="274"/>
      <c r="V2654" s="263"/>
      <c r="W2654" s="35"/>
      <c r="X2654" s="35"/>
      <c r="Y2654" s="35"/>
      <c r="Z2654" s="35"/>
      <c r="AA2654" s="35"/>
      <c r="AB2654" s="35"/>
      <c r="AC2654" s="35"/>
      <c r="AD2654" s="35"/>
      <c r="AE2654" s="35"/>
      <c r="AF2654" s="35"/>
      <c r="AG2654" s="35"/>
      <c r="AH2654" s="35"/>
      <c r="AI2654" s="35"/>
    </row>
    <row r="2655">
      <c r="A2655" s="263"/>
      <c r="B2655" s="264"/>
      <c r="C2655" s="265"/>
      <c r="D2655" s="265"/>
      <c r="E2655" s="264"/>
      <c r="F2655" s="265"/>
      <c r="G2655" s="263"/>
      <c r="H2655" s="432"/>
      <c r="I2655" s="282"/>
      <c r="J2655" s="283"/>
      <c r="K2655" s="265"/>
      <c r="L2655" s="265"/>
      <c r="M2655" s="269"/>
      <c r="N2655" s="270"/>
      <c r="O2655" s="271"/>
      <c r="P2655" s="271"/>
      <c r="Q2655" s="272"/>
      <c r="R2655" s="273"/>
      <c r="S2655" s="273"/>
      <c r="T2655" s="273"/>
      <c r="U2655" s="274"/>
      <c r="V2655" s="263"/>
      <c r="W2655" s="188"/>
      <c r="X2655" s="188"/>
      <c r="Y2655" s="188"/>
      <c r="Z2655" s="188"/>
      <c r="AA2655" s="188"/>
      <c r="AB2655" s="188"/>
      <c r="AC2655" s="188"/>
      <c r="AD2655" s="188"/>
      <c r="AE2655" s="188"/>
      <c r="AF2655" s="188"/>
      <c r="AG2655" s="188"/>
      <c r="AH2655" s="188"/>
      <c r="AI2655" s="188"/>
    </row>
    <row r="2656">
      <c r="A2656" s="263"/>
      <c r="B2656" s="264"/>
      <c r="C2656" s="265"/>
      <c r="D2656" s="265"/>
      <c r="E2656" s="264"/>
      <c r="F2656" s="265"/>
      <c r="G2656" s="263"/>
      <c r="H2656" s="432"/>
      <c r="I2656" s="282"/>
      <c r="J2656" s="283"/>
      <c r="K2656" s="265"/>
      <c r="L2656" s="265"/>
      <c r="M2656" s="269"/>
      <c r="N2656" s="270"/>
      <c r="O2656" s="271"/>
      <c r="P2656" s="271"/>
      <c r="Q2656" s="272"/>
      <c r="R2656" s="273"/>
      <c r="S2656" s="273"/>
      <c r="T2656" s="273"/>
      <c r="U2656" s="274"/>
      <c r="V2656" s="263"/>
      <c r="W2656" s="188"/>
      <c r="X2656" s="188"/>
      <c r="Y2656" s="188"/>
      <c r="Z2656" s="188"/>
      <c r="AA2656" s="188"/>
      <c r="AB2656" s="188"/>
      <c r="AC2656" s="188"/>
      <c r="AD2656" s="188"/>
      <c r="AE2656" s="188"/>
      <c r="AF2656" s="188"/>
      <c r="AG2656" s="188"/>
      <c r="AH2656" s="188"/>
      <c r="AI2656" s="188"/>
    </row>
    <row r="2657">
      <c r="A2657" s="263"/>
      <c r="B2657" s="264"/>
      <c r="C2657" s="265"/>
      <c r="D2657" s="265"/>
      <c r="E2657" s="264"/>
      <c r="F2657" s="265"/>
      <c r="G2657" s="263"/>
      <c r="H2657" s="432"/>
      <c r="I2657" s="282"/>
      <c r="J2657" s="283"/>
      <c r="K2657" s="265"/>
      <c r="L2657" s="265"/>
      <c r="M2657" s="269"/>
      <c r="N2657" s="270"/>
      <c r="O2657" s="271"/>
      <c r="P2657" s="271"/>
      <c r="Q2657" s="272"/>
      <c r="R2657" s="273"/>
      <c r="S2657" s="273"/>
      <c r="T2657" s="273"/>
      <c r="U2657" s="274"/>
      <c r="V2657" s="263"/>
      <c r="W2657" s="35"/>
      <c r="X2657" s="35"/>
      <c r="Y2657" s="35"/>
      <c r="Z2657" s="35"/>
      <c r="AA2657" s="35"/>
      <c r="AB2657" s="35"/>
      <c r="AC2657" s="35"/>
      <c r="AD2657" s="35"/>
      <c r="AE2657" s="35"/>
      <c r="AF2657" s="35"/>
      <c r="AG2657" s="35"/>
      <c r="AH2657" s="35"/>
      <c r="AI2657" s="35"/>
    </row>
    <row r="2658">
      <c r="A2658" s="263"/>
      <c r="B2658" s="264"/>
      <c r="C2658" s="265"/>
      <c r="D2658" s="265"/>
      <c r="E2658" s="264"/>
      <c r="F2658" s="265"/>
      <c r="G2658" s="263"/>
      <c r="H2658" s="432"/>
      <c r="I2658" s="282"/>
      <c r="J2658" s="283"/>
      <c r="K2658" s="265"/>
      <c r="L2658" s="265"/>
      <c r="M2658" s="269"/>
      <c r="N2658" s="270"/>
      <c r="O2658" s="271"/>
      <c r="P2658" s="271"/>
      <c r="Q2658" s="272"/>
      <c r="R2658" s="273"/>
      <c r="S2658" s="273"/>
      <c r="T2658" s="273"/>
      <c r="U2658" s="274"/>
      <c r="V2658" s="263"/>
      <c r="W2658" s="188"/>
      <c r="X2658" s="188"/>
      <c r="Y2658" s="188"/>
      <c r="Z2658" s="188"/>
      <c r="AA2658" s="188"/>
      <c r="AB2658" s="188"/>
      <c r="AC2658" s="188"/>
      <c r="AD2658" s="188"/>
      <c r="AE2658" s="188"/>
      <c r="AF2658" s="188"/>
      <c r="AG2658" s="188"/>
      <c r="AH2658" s="188"/>
      <c r="AI2658" s="188"/>
    </row>
    <row r="2659">
      <c r="A2659" s="263"/>
      <c r="B2659" s="264"/>
      <c r="C2659" s="265"/>
      <c r="D2659" s="265"/>
      <c r="E2659" s="264"/>
      <c r="F2659" s="265"/>
      <c r="G2659" s="263"/>
      <c r="H2659" s="432"/>
      <c r="I2659" s="282"/>
      <c r="J2659" s="283"/>
      <c r="K2659" s="265"/>
      <c r="L2659" s="265"/>
      <c r="M2659" s="269"/>
      <c r="N2659" s="270"/>
      <c r="O2659" s="271"/>
      <c r="P2659" s="271"/>
      <c r="Q2659" s="272"/>
      <c r="R2659" s="273"/>
      <c r="S2659" s="273"/>
      <c r="T2659" s="273"/>
      <c r="U2659" s="274"/>
      <c r="V2659" s="263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</row>
    <row r="2660">
      <c r="A2660" s="263"/>
      <c r="B2660" s="264"/>
      <c r="C2660" s="265"/>
      <c r="D2660" s="265"/>
      <c r="E2660" s="264"/>
      <c r="F2660" s="265"/>
      <c r="G2660" s="263"/>
      <c r="H2660" s="432"/>
      <c r="I2660" s="282"/>
      <c r="J2660" s="283"/>
      <c r="K2660" s="265"/>
      <c r="L2660" s="265"/>
      <c r="M2660" s="269"/>
      <c r="N2660" s="270"/>
      <c r="O2660" s="271"/>
      <c r="P2660" s="271"/>
      <c r="Q2660" s="272"/>
      <c r="R2660" s="273"/>
      <c r="S2660" s="273"/>
      <c r="T2660" s="273"/>
      <c r="U2660" s="274"/>
      <c r="V2660" s="263"/>
      <c r="W2660" s="188"/>
      <c r="X2660" s="188"/>
      <c r="Y2660" s="188"/>
      <c r="Z2660" s="188"/>
      <c r="AA2660" s="188"/>
      <c r="AB2660" s="188"/>
      <c r="AC2660" s="188"/>
      <c r="AD2660" s="188"/>
      <c r="AE2660" s="188"/>
      <c r="AF2660" s="188"/>
      <c r="AG2660" s="188"/>
      <c r="AH2660" s="188"/>
      <c r="AI2660" s="188"/>
    </row>
    <row r="2661">
      <c r="A2661" s="263"/>
      <c r="B2661" s="264"/>
      <c r="C2661" s="265"/>
      <c r="D2661" s="265"/>
      <c r="E2661" s="264"/>
      <c r="F2661" s="265"/>
      <c r="G2661" s="263"/>
      <c r="H2661" s="432"/>
      <c r="I2661" s="282"/>
      <c r="J2661" s="283"/>
      <c r="K2661" s="265"/>
      <c r="L2661" s="265"/>
      <c r="M2661" s="269"/>
      <c r="N2661" s="270"/>
      <c r="O2661" s="271"/>
      <c r="P2661" s="271"/>
      <c r="Q2661" s="272"/>
      <c r="R2661" s="273"/>
      <c r="S2661" s="273"/>
      <c r="T2661" s="273"/>
      <c r="U2661" s="274"/>
      <c r="V2661" s="263"/>
      <c r="W2661" s="35"/>
      <c r="X2661" s="35"/>
      <c r="Y2661" s="35"/>
      <c r="Z2661" s="35"/>
      <c r="AA2661" s="35"/>
      <c r="AB2661" s="35"/>
      <c r="AC2661" s="35"/>
      <c r="AD2661" s="35"/>
      <c r="AE2661" s="35"/>
      <c r="AF2661" s="35"/>
      <c r="AG2661" s="35"/>
      <c r="AH2661" s="35"/>
      <c r="AI2661" s="35"/>
    </row>
    <row r="2662">
      <c r="A2662" s="263"/>
      <c r="B2662" s="264"/>
      <c r="C2662" s="265"/>
      <c r="D2662" s="265"/>
      <c r="E2662" s="264"/>
      <c r="F2662" s="265"/>
      <c r="G2662" s="263"/>
      <c r="H2662" s="432"/>
      <c r="I2662" s="282"/>
      <c r="J2662" s="283"/>
      <c r="K2662" s="265"/>
      <c r="L2662" s="265"/>
      <c r="M2662" s="269"/>
      <c r="N2662" s="270"/>
      <c r="O2662" s="271"/>
      <c r="P2662" s="271"/>
      <c r="Q2662" s="272"/>
      <c r="R2662" s="273"/>
      <c r="S2662" s="273"/>
      <c r="T2662" s="273"/>
      <c r="U2662" s="274"/>
      <c r="V2662" s="263"/>
      <c r="W2662" s="188"/>
      <c r="X2662" s="188"/>
      <c r="Y2662" s="188"/>
      <c r="Z2662" s="188"/>
      <c r="AA2662" s="188"/>
      <c r="AB2662" s="188"/>
      <c r="AC2662" s="188"/>
      <c r="AD2662" s="188"/>
      <c r="AE2662" s="188"/>
      <c r="AF2662" s="188"/>
      <c r="AG2662" s="188"/>
      <c r="AH2662" s="188"/>
      <c r="AI2662" s="188"/>
    </row>
    <row r="2663">
      <c r="A2663" s="263"/>
      <c r="B2663" s="264"/>
      <c r="C2663" s="265"/>
      <c r="D2663" s="265"/>
      <c r="E2663" s="264"/>
      <c r="F2663" s="265"/>
      <c r="G2663" s="263"/>
      <c r="H2663" s="432"/>
      <c r="I2663" s="282"/>
      <c r="J2663" s="283"/>
      <c r="K2663" s="265"/>
      <c r="L2663" s="265"/>
      <c r="M2663" s="269"/>
      <c r="N2663" s="270"/>
      <c r="O2663" s="271"/>
      <c r="P2663" s="271"/>
      <c r="Q2663" s="272"/>
      <c r="R2663" s="273"/>
      <c r="S2663" s="273"/>
      <c r="T2663" s="273"/>
      <c r="U2663" s="274"/>
      <c r="V2663" s="263"/>
      <c r="W2663" s="188"/>
      <c r="X2663" s="188"/>
      <c r="Y2663" s="188"/>
      <c r="Z2663" s="188"/>
      <c r="AA2663" s="188"/>
      <c r="AB2663" s="188"/>
      <c r="AC2663" s="188"/>
      <c r="AD2663" s="188"/>
      <c r="AE2663" s="188"/>
      <c r="AF2663" s="188"/>
      <c r="AG2663" s="188"/>
      <c r="AH2663" s="188"/>
      <c r="AI2663" s="188"/>
    </row>
    <row r="2664">
      <c r="A2664" s="263"/>
      <c r="B2664" s="264"/>
      <c r="C2664" s="265"/>
      <c r="D2664" s="265"/>
      <c r="E2664" s="264"/>
      <c r="F2664" s="265"/>
      <c r="G2664" s="263"/>
      <c r="H2664" s="432"/>
      <c r="I2664" s="282"/>
      <c r="J2664" s="283"/>
      <c r="K2664" s="265"/>
      <c r="L2664" s="265"/>
      <c r="M2664" s="269"/>
      <c r="N2664" s="270"/>
      <c r="O2664" s="271"/>
      <c r="P2664" s="271"/>
      <c r="Q2664" s="272"/>
      <c r="R2664" s="273"/>
      <c r="S2664" s="273"/>
      <c r="T2664" s="273"/>
      <c r="U2664" s="274"/>
      <c r="V2664" s="263"/>
      <c r="W2664" s="188"/>
      <c r="X2664" s="188"/>
      <c r="Y2664" s="188"/>
      <c r="Z2664" s="188"/>
      <c r="AA2664" s="188"/>
      <c r="AB2664" s="188"/>
      <c r="AC2664" s="188"/>
      <c r="AD2664" s="188"/>
      <c r="AE2664" s="188"/>
      <c r="AF2664" s="188"/>
      <c r="AG2664" s="188"/>
      <c r="AH2664" s="188"/>
      <c r="AI2664" s="188"/>
    </row>
    <row r="2665">
      <c r="A2665" s="263"/>
      <c r="B2665" s="264"/>
      <c r="C2665" s="265"/>
      <c r="D2665" s="265"/>
      <c r="E2665" s="264"/>
      <c r="F2665" s="265"/>
      <c r="G2665" s="263"/>
      <c r="H2665" s="432"/>
      <c r="I2665" s="282"/>
      <c r="J2665" s="283"/>
      <c r="K2665" s="265"/>
      <c r="L2665" s="265"/>
      <c r="M2665" s="269"/>
      <c r="N2665" s="270"/>
      <c r="O2665" s="271"/>
      <c r="P2665" s="271"/>
      <c r="Q2665" s="272"/>
      <c r="R2665" s="273"/>
      <c r="S2665" s="273"/>
      <c r="T2665" s="273"/>
      <c r="U2665" s="274"/>
      <c r="V2665" s="263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</row>
    <row r="2666">
      <c r="A2666" s="263"/>
      <c r="B2666" s="264"/>
      <c r="C2666" s="265"/>
      <c r="D2666" s="265"/>
      <c r="E2666" s="264"/>
      <c r="F2666" s="265"/>
      <c r="G2666" s="263"/>
      <c r="H2666" s="432"/>
      <c r="I2666" s="282"/>
      <c r="J2666" s="283"/>
      <c r="K2666" s="265"/>
      <c r="L2666" s="265"/>
      <c r="M2666" s="269"/>
      <c r="N2666" s="270"/>
      <c r="O2666" s="271"/>
      <c r="P2666" s="271"/>
      <c r="Q2666" s="272"/>
      <c r="R2666" s="273"/>
      <c r="S2666" s="273"/>
      <c r="T2666" s="273"/>
      <c r="U2666" s="274"/>
      <c r="V2666" s="263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</row>
    <row r="2667">
      <c r="A2667" s="263"/>
      <c r="B2667" s="264"/>
      <c r="C2667" s="265"/>
      <c r="D2667" s="265"/>
      <c r="E2667" s="264"/>
      <c r="F2667" s="265"/>
      <c r="G2667" s="263"/>
      <c r="H2667" s="432"/>
      <c r="I2667" s="282"/>
      <c r="J2667" s="283"/>
      <c r="K2667" s="265"/>
      <c r="L2667" s="265"/>
      <c r="M2667" s="269"/>
      <c r="N2667" s="270"/>
      <c r="O2667" s="271"/>
      <c r="P2667" s="271"/>
      <c r="Q2667" s="272"/>
      <c r="R2667" s="273"/>
      <c r="S2667" s="273"/>
      <c r="T2667" s="273"/>
      <c r="U2667" s="274"/>
      <c r="V2667" s="263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</row>
    <row r="2668">
      <c r="A2668" s="263"/>
      <c r="B2668" s="264"/>
      <c r="C2668" s="265"/>
      <c r="D2668" s="265"/>
      <c r="E2668" s="264"/>
      <c r="F2668" s="265"/>
      <c r="G2668" s="263"/>
      <c r="H2668" s="432"/>
      <c r="I2668" s="282"/>
      <c r="J2668" s="283"/>
      <c r="K2668" s="265"/>
      <c r="L2668" s="265"/>
      <c r="M2668" s="269"/>
      <c r="N2668" s="270"/>
      <c r="O2668" s="271"/>
      <c r="P2668" s="271"/>
      <c r="Q2668" s="272"/>
      <c r="R2668" s="273"/>
      <c r="S2668" s="273"/>
      <c r="T2668" s="273"/>
      <c r="U2668" s="274"/>
      <c r="V2668" s="263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</row>
    <row r="2669">
      <c r="A2669" s="263"/>
      <c r="B2669" s="264"/>
      <c r="C2669" s="265"/>
      <c r="D2669" s="265"/>
      <c r="E2669" s="264"/>
      <c r="F2669" s="265"/>
      <c r="G2669" s="263"/>
      <c r="H2669" s="432"/>
      <c r="I2669" s="282"/>
      <c r="J2669" s="283"/>
      <c r="K2669" s="265"/>
      <c r="L2669" s="265"/>
      <c r="M2669" s="269"/>
      <c r="N2669" s="270"/>
      <c r="O2669" s="271"/>
      <c r="P2669" s="271"/>
      <c r="Q2669" s="272"/>
      <c r="R2669" s="273"/>
      <c r="S2669" s="273"/>
      <c r="T2669" s="273"/>
      <c r="U2669" s="274"/>
      <c r="V2669" s="263"/>
      <c r="W2669" s="188"/>
      <c r="X2669" s="188"/>
      <c r="Y2669" s="188"/>
      <c r="Z2669" s="188"/>
      <c r="AA2669" s="188"/>
      <c r="AB2669" s="188"/>
      <c r="AC2669" s="188"/>
      <c r="AD2669" s="188"/>
      <c r="AE2669" s="188"/>
      <c r="AF2669" s="188"/>
      <c r="AG2669" s="188"/>
      <c r="AH2669" s="188"/>
      <c r="AI2669" s="188"/>
    </row>
    <row r="2670">
      <c r="A2670" s="263"/>
      <c r="B2670" s="264"/>
      <c r="C2670" s="265"/>
      <c r="D2670" s="265"/>
      <c r="E2670" s="264"/>
      <c r="F2670" s="265"/>
      <c r="G2670" s="263"/>
      <c r="H2670" s="432"/>
      <c r="I2670" s="282"/>
      <c r="J2670" s="283"/>
      <c r="K2670" s="265"/>
      <c r="L2670" s="265"/>
      <c r="M2670" s="269"/>
      <c r="N2670" s="270"/>
      <c r="O2670" s="271"/>
      <c r="P2670" s="271"/>
      <c r="Q2670" s="272"/>
      <c r="R2670" s="273"/>
      <c r="S2670" s="273"/>
      <c r="T2670" s="273"/>
      <c r="U2670" s="274"/>
      <c r="V2670" s="263"/>
      <c r="W2670" s="35"/>
      <c r="X2670" s="35"/>
      <c r="Y2670" s="35"/>
      <c r="Z2670" s="35"/>
      <c r="AA2670" s="35"/>
      <c r="AB2670" s="35"/>
      <c r="AC2670" s="35"/>
      <c r="AD2670" s="35"/>
      <c r="AE2670" s="35"/>
      <c r="AF2670" s="35"/>
      <c r="AG2670" s="35"/>
      <c r="AH2670" s="35"/>
      <c r="AI2670" s="35"/>
    </row>
    <row r="2671">
      <c r="A2671" s="263"/>
      <c r="B2671" s="264"/>
      <c r="C2671" s="265"/>
      <c r="D2671" s="265"/>
      <c r="E2671" s="264"/>
      <c r="F2671" s="265"/>
      <c r="G2671" s="263"/>
      <c r="H2671" s="432"/>
      <c r="I2671" s="282"/>
      <c r="J2671" s="283"/>
      <c r="K2671" s="265"/>
      <c r="L2671" s="265"/>
      <c r="M2671" s="269"/>
      <c r="N2671" s="270"/>
      <c r="O2671" s="271"/>
      <c r="P2671" s="271"/>
      <c r="Q2671" s="272"/>
      <c r="R2671" s="273"/>
      <c r="S2671" s="273"/>
      <c r="T2671" s="273"/>
      <c r="U2671" s="274"/>
      <c r="V2671" s="263"/>
      <c r="W2671" s="188"/>
      <c r="X2671" s="188"/>
      <c r="Y2671" s="188"/>
      <c r="Z2671" s="188"/>
      <c r="AA2671" s="188"/>
      <c r="AB2671" s="188"/>
      <c r="AC2671" s="188"/>
      <c r="AD2671" s="188"/>
      <c r="AE2671" s="188"/>
      <c r="AF2671" s="188"/>
      <c r="AG2671" s="188"/>
      <c r="AH2671" s="188"/>
      <c r="AI2671" s="188"/>
    </row>
    <row r="2672">
      <c r="A2672" s="263"/>
      <c r="B2672" s="264"/>
      <c r="C2672" s="265"/>
      <c r="D2672" s="265"/>
      <c r="E2672" s="264"/>
      <c r="F2672" s="265"/>
      <c r="G2672" s="263"/>
      <c r="H2672" s="432"/>
      <c r="I2672" s="282"/>
      <c r="J2672" s="283"/>
      <c r="K2672" s="265"/>
      <c r="L2672" s="265"/>
      <c r="M2672" s="269"/>
      <c r="N2672" s="270"/>
      <c r="O2672" s="271"/>
      <c r="P2672" s="271"/>
      <c r="Q2672" s="272"/>
      <c r="R2672" s="273"/>
      <c r="S2672" s="273"/>
      <c r="T2672" s="273"/>
      <c r="U2672" s="274"/>
      <c r="V2672" s="263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</row>
    <row r="2673">
      <c r="A2673" s="263"/>
      <c r="B2673" s="264"/>
      <c r="C2673" s="265"/>
      <c r="D2673" s="265"/>
      <c r="E2673" s="264"/>
      <c r="F2673" s="265"/>
      <c r="G2673" s="263"/>
      <c r="H2673" s="432"/>
      <c r="I2673" s="282"/>
      <c r="J2673" s="283"/>
      <c r="K2673" s="265"/>
      <c r="L2673" s="265"/>
      <c r="M2673" s="269"/>
      <c r="N2673" s="270"/>
      <c r="O2673" s="271"/>
      <c r="P2673" s="271"/>
      <c r="Q2673" s="272"/>
      <c r="R2673" s="273"/>
      <c r="S2673" s="273"/>
      <c r="T2673" s="273"/>
      <c r="U2673" s="274"/>
      <c r="V2673" s="263"/>
      <c r="W2673" s="35"/>
      <c r="X2673" s="35"/>
      <c r="Y2673" s="35"/>
      <c r="Z2673" s="35"/>
      <c r="AA2673" s="35"/>
      <c r="AB2673" s="35"/>
      <c r="AC2673" s="35"/>
      <c r="AD2673" s="35"/>
      <c r="AE2673" s="35"/>
      <c r="AF2673" s="35"/>
      <c r="AG2673" s="35"/>
      <c r="AH2673" s="35"/>
      <c r="AI2673" s="35"/>
    </row>
    <row r="2674">
      <c r="A2674" s="263"/>
      <c r="B2674" s="264"/>
      <c r="C2674" s="265"/>
      <c r="D2674" s="265"/>
      <c r="E2674" s="264"/>
      <c r="F2674" s="265"/>
      <c r="G2674" s="263"/>
      <c r="H2674" s="432"/>
      <c r="I2674" s="282"/>
      <c r="J2674" s="283"/>
      <c r="K2674" s="265"/>
      <c r="L2674" s="265"/>
      <c r="M2674" s="269"/>
      <c r="N2674" s="270"/>
      <c r="O2674" s="271"/>
      <c r="P2674" s="271"/>
      <c r="Q2674" s="272"/>
      <c r="R2674" s="273"/>
      <c r="S2674" s="273"/>
      <c r="T2674" s="273"/>
      <c r="U2674" s="274"/>
      <c r="V2674" s="263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</row>
    <row r="2675">
      <c r="A2675" s="263"/>
      <c r="B2675" s="264"/>
      <c r="C2675" s="265"/>
      <c r="D2675" s="265"/>
      <c r="E2675" s="264"/>
      <c r="F2675" s="265"/>
      <c r="G2675" s="263"/>
      <c r="H2675" s="432"/>
      <c r="I2675" s="282"/>
      <c r="J2675" s="283"/>
      <c r="K2675" s="265"/>
      <c r="L2675" s="265"/>
      <c r="M2675" s="269"/>
      <c r="N2675" s="270"/>
      <c r="O2675" s="271"/>
      <c r="P2675" s="271"/>
      <c r="Q2675" s="272"/>
      <c r="R2675" s="273"/>
      <c r="S2675" s="273"/>
      <c r="T2675" s="273"/>
      <c r="U2675" s="274"/>
      <c r="V2675" s="263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</row>
    <row r="2676">
      <c r="A2676" s="263"/>
      <c r="B2676" s="264"/>
      <c r="C2676" s="265"/>
      <c r="D2676" s="265"/>
      <c r="E2676" s="264"/>
      <c r="F2676" s="265"/>
      <c r="G2676" s="263"/>
      <c r="H2676" s="432"/>
      <c r="I2676" s="282"/>
      <c r="J2676" s="283"/>
      <c r="K2676" s="265"/>
      <c r="L2676" s="265"/>
      <c r="M2676" s="269"/>
      <c r="N2676" s="270"/>
      <c r="O2676" s="271"/>
      <c r="P2676" s="271"/>
      <c r="Q2676" s="272"/>
      <c r="R2676" s="273"/>
      <c r="S2676" s="273"/>
      <c r="T2676" s="273"/>
      <c r="U2676" s="274"/>
      <c r="V2676" s="263"/>
      <c r="W2676" s="188"/>
      <c r="X2676" s="188"/>
      <c r="Y2676" s="188"/>
      <c r="Z2676" s="188"/>
      <c r="AA2676" s="188"/>
      <c r="AB2676" s="188"/>
      <c r="AC2676" s="188"/>
      <c r="AD2676" s="188"/>
      <c r="AE2676" s="188"/>
      <c r="AF2676" s="188"/>
      <c r="AG2676" s="188"/>
      <c r="AH2676" s="188"/>
      <c r="AI2676" s="188"/>
    </row>
    <row r="2677">
      <c r="A2677" s="263"/>
      <c r="B2677" s="264"/>
      <c r="C2677" s="265"/>
      <c r="D2677" s="265"/>
      <c r="E2677" s="264"/>
      <c r="F2677" s="265"/>
      <c r="G2677" s="263"/>
      <c r="H2677" s="432"/>
      <c r="I2677" s="282"/>
      <c r="J2677" s="283"/>
      <c r="K2677" s="265"/>
      <c r="L2677" s="265"/>
      <c r="M2677" s="269"/>
      <c r="N2677" s="270"/>
      <c r="O2677" s="271"/>
      <c r="P2677" s="271"/>
      <c r="Q2677" s="272"/>
      <c r="R2677" s="273"/>
      <c r="S2677" s="273"/>
      <c r="T2677" s="273"/>
      <c r="U2677" s="274"/>
      <c r="V2677" s="263"/>
      <c r="W2677" s="188"/>
      <c r="X2677" s="188"/>
      <c r="Y2677" s="188"/>
      <c r="Z2677" s="188"/>
      <c r="AA2677" s="188"/>
      <c r="AB2677" s="188"/>
      <c r="AC2677" s="188"/>
      <c r="AD2677" s="188"/>
      <c r="AE2677" s="188"/>
      <c r="AF2677" s="188"/>
      <c r="AG2677" s="188"/>
      <c r="AH2677" s="188"/>
      <c r="AI2677" s="188"/>
    </row>
    <row r="2678">
      <c r="A2678" s="263"/>
      <c r="B2678" s="264"/>
      <c r="C2678" s="265"/>
      <c r="D2678" s="265"/>
      <c r="E2678" s="264"/>
      <c r="F2678" s="265"/>
      <c r="G2678" s="263"/>
      <c r="H2678" s="432"/>
      <c r="I2678" s="282"/>
      <c r="J2678" s="283"/>
      <c r="K2678" s="265"/>
      <c r="L2678" s="265"/>
      <c r="M2678" s="269"/>
      <c r="N2678" s="270"/>
      <c r="O2678" s="271"/>
      <c r="P2678" s="271"/>
      <c r="Q2678" s="272"/>
      <c r="R2678" s="273"/>
      <c r="S2678" s="273"/>
      <c r="T2678" s="273"/>
      <c r="U2678" s="274"/>
      <c r="V2678" s="263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</row>
    <row r="2679">
      <c r="A2679" s="263"/>
      <c r="B2679" s="264"/>
      <c r="C2679" s="265"/>
      <c r="D2679" s="265"/>
      <c r="E2679" s="264"/>
      <c r="F2679" s="265"/>
      <c r="G2679" s="263"/>
      <c r="H2679" s="432"/>
      <c r="I2679" s="282"/>
      <c r="J2679" s="283"/>
      <c r="K2679" s="265"/>
      <c r="L2679" s="265"/>
      <c r="M2679" s="269"/>
      <c r="N2679" s="270"/>
      <c r="O2679" s="271"/>
      <c r="P2679" s="271"/>
      <c r="Q2679" s="272"/>
      <c r="R2679" s="273"/>
      <c r="S2679" s="273"/>
      <c r="T2679" s="273"/>
      <c r="U2679" s="274"/>
      <c r="V2679" s="263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</row>
    <row r="2680">
      <c r="A2680" s="263"/>
      <c r="B2680" s="264"/>
      <c r="C2680" s="265"/>
      <c r="D2680" s="265"/>
      <c r="E2680" s="264"/>
      <c r="F2680" s="265"/>
      <c r="G2680" s="263"/>
      <c r="H2680" s="432"/>
      <c r="I2680" s="282"/>
      <c r="J2680" s="283"/>
      <c r="K2680" s="265"/>
      <c r="L2680" s="265"/>
      <c r="M2680" s="269"/>
      <c r="N2680" s="270"/>
      <c r="O2680" s="271"/>
      <c r="P2680" s="271"/>
      <c r="Q2680" s="272"/>
      <c r="R2680" s="273"/>
      <c r="S2680" s="273"/>
      <c r="T2680" s="273"/>
      <c r="U2680" s="274"/>
      <c r="V2680" s="263"/>
      <c r="W2680" s="35"/>
      <c r="X2680" s="35"/>
      <c r="Y2680" s="35"/>
      <c r="Z2680" s="35"/>
      <c r="AA2680" s="35"/>
      <c r="AB2680" s="35"/>
      <c r="AC2680" s="35"/>
      <c r="AD2680" s="35"/>
      <c r="AE2680" s="35"/>
      <c r="AF2680" s="35"/>
      <c r="AG2680" s="35"/>
      <c r="AH2680" s="35"/>
      <c r="AI2680" s="35"/>
    </row>
    <row r="2681">
      <c r="A2681" s="263"/>
      <c r="B2681" s="264"/>
      <c r="C2681" s="265"/>
      <c r="D2681" s="265"/>
      <c r="E2681" s="264"/>
      <c r="F2681" s="265"/>
      <c r="G2681" s="263"/>
      <c r="H2681" s="432"/>
      <c r="I2681" s="282"/>
      <c r="J2681" s="283"/>
      <c r="K2681" s="265"/>
      <c r="L2681" s="265"/>
      <c r="M2681" s="269"/>
      <c r="N2681" s="270"/>
      <c r="O2681" s="271"/>
      <c r="P2681" s="271"/>
      <c r="Q2681" s="272"/>
      <c r="R2681" s="273"/>
      <c r="S2681" s="273"/>
      <c r="T2681" s="273"/>
      <c r="U2681" s="274"/>
      <c r="V2681" s="263"/>
      <c r="W2681" s="35"/>
      <c r="X2681" s="35"/>
      <c r="Y2681" s="35"/>
      <c r="Z2681" s="35"/>
      <c r="AA2681" s="35"/>
      <c r="AB2681" s="35"/>
      <c r="AC2681" s="35"/>
      <c r="AD2681" s="35"/>
      <c r="AE2681" s="35"/>
      <c r="AF2681" s="35"/>
      <c r="AG2681" s="35"/>
      <c r="AH2681" s="35"/>
      <c r="AI2681" s="35"/>
    </row>
    <row r="2682">
      <c r="A2682" s="263"/>
      <c r="B2682" s="264"/>
      <c r="C2682" s="265"/>
      <c r="D2682" s="265"/>
      <c r="E2682" s="264"/>
      <c r="F2682" s="265"/>
      <c r="G2682" s="263"/>
      <c r="H2682" s="432"/>
      <c r="I2682" s="282"/>
      <c r="J2682" s="283"/>
      <c r="K2682" s="265"/>
      <c r="L2682" s="265"/>
      <c r="M2682" s="269"/>
      <c r="N2682" s="270"/>
      <c r="O2682" s="271"/>
      <c r="P2682" s="271"/>
      <c r="Q2682" s="272"/>
      <c r="R2682" s="273"/>
      <c r="S2682" s="273"/>
      <c r="T2682" s="273"/>
      <c r="U2682" s="274"/>
      <c r="V2682" s="263"/>
      <c r="W2682" s="35"/>
      <c r="X2682" s="35"/>
      <c r="Y2682" s="35"/>
      <c r="Z2682" s="35"/>
      <c r="AA2682" s="35"/>
      <c r="AB2682" s="35"/>
      <c r="AC2682" s="35"/>
      <c r="AD2682" s="35"/>
      <c r="AE2682" s="35"/>
      <c r="AF2682" s="35"/>
      <c r="AG2682" s="35"/>
      <c r="AH2682" s="35"/>
      <c r="AI2682" s="35"/>
    </row>
    <row r="2683">
      <c r="A2683" s="263"/>
      <c r="B2683" s="264"/>
      <c r="C2683" s="265"/>
      <c r="D2683" s="265"/>
      <c r="E2683" s="264"/>
      <c r="F2683" s="265"/>
      <c r="G2683" s="263"/>
      <c r="H2683" s="432"/>
      <c r="I2683" s="282"/>
      <c r="J2683" s="283"/>
      <c r="K2683" s="265"/>
      <c r="L2683" s="265"/>
      <c r="M2683" s="269"/>
      <c r="N2683" s="270"/>
      <c r="O2683" s="271"/>
      <c r="P2683" s="271"/>
      <c r="Q2683" s="272"/>
      <c r="R2683" s="273"/>
      <c r="S2683" s="273"/>
      <c r="T2683" s="273"/>
      <c r="U2683" s="274"/>
      <c r="V2683" s="263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</row>
    <row r="2684">
      <c r="A2684" s="263"/>
      <c r="B2684" s="264"/>
      <c r="C2684" s="265"/>
      <c r="D2684" s="265"/>
      <c r="E2684" s="264"/>
      <c r="F2684" s="265"/>
      <c r="G2684" s="263"/>
      <c r="H2684" s="432"/>
      <c r="I2684" s="282"/>
      <c r="J2684" s="283"/>
      <c r="K2684" s="265"/>
      <c r="L2684" s="265"/>
      <c r="M2684" s="269"/>
      <c r="N2684" s="270"/>
      <c r="O2684" s="271"/>
      <c r="P2684" s="271"/>
      <c r="Q2684" s="272"/>
      <c r="R2684" s="273"/>
      <c r="S2684" s="273"/>
      <c r="T2684" s="273"/>
      <c r="U2684" s="274"/>
      <c r="V2684" s="263"/>
      <c r="W2684" s="35"/>
      <c r="X2684" s="35"/>
      <c r="Y2684" s="35"/>
      <c r="Z2684" s="35"/>
      <c r="AA2684" s="35"/>
      <c r="AB2684" s="35"/>
      <c r="AC2684" s="35"/>
      <c r="AD2684" s="35"/>
      <c r="AE2684" s="35"/>
      <c r="AF2684" s="35"/>
      <c r="AG2684" s="35"/>
      <c r="AH2684" s="35"/>
      <c r="AI2684" s="35"/>
    </row>
    <row r="2685">
      <c r="A2685" s="263"/>
      <c r="B2685" s="264"/>
      <c r="C2685" s="265"/>
      <c r="D2685" s="265"/>
      <c r="E2685" s="264"/>
      <c r="F2685" s="265"/>
      <c r="G2685" s="263"/>
      <c r="H2685" s="432"/>
      <c r="I2685" s="282"/>
      <c r="J2685" s="283"/>
      <c r="K2685" s="265"/>
      <c r="L2685" s="265"/>
      <c r="M2685" s="269"/>
      <c r="N2685" s="270"/>
      <c r="O2685" s="271"/>
      <c r="P2685" s="271"/>
      <c r="Q2685" s="272"/>
      <c r="R2685" s="273"/>
      <c r="S2685" s="273"/>
      <c r="T2685" s="273"/>
      <c r="U2685" s="274"/>
      <c r="V2685" s="263"/>
      <c r="W2685" s="35"/>
      <c r="X2685" s="35"/>
      <c r="Y2685" s="35"/>
      <c r="Z2685" s="35"/>
      <c r="AA2685" s="35"/>
      <c r="AB2685" s="35"/>
      <c r="AC2685" s="35"/>
      <c r="AD2685" s="35"/>
      <c r="AE2685" s="35"/>
      <c r="AF2685" s="35"/>
      <c r="AG2685" s="35"/>
      <c r="AH2685" s="35"/>
      <c r="AI2685" s="35"/>
    </row>
    <row r="2686">
      <c r="A2686" s="263"/>
      <c r="B2686" s="264"/>
      <c r="C2686" s="265"/>
      <c r="D2686" s="265"/>
      <c r="E2686" s="264"/>
      <c r="F2686" s="265"/>
      <c r="G2686" s="263"/>
      <c r="H2686" s="432"/>
      <c r="I2686" s="282"/>
      <c r="J2686" s="283"/>
      <c r="K2686" s="265"/>
      <c r="L2686" s="265"/>
      <c r="M2686" s="269"/>
      <c r="N2686" s="270"/>
      <c r="O2686" s="271"/>
      <c r="P2686" s="271"/>
      <c r="Q2686" s="272"/>
      <c r="R2686" s="273"/>
      <c r="S2686" s="273"/>
      <c r="T2686" s="273"/>
      <c r="U2686" s="274"/>
      <c r="V2686" s="263"/>
      <c r="W2686" s="35"/>
      <c r="X2686" s="35"/>
      <c r="Y2686" s="35"/>
      <c r="Z2686" s="35"/>
      <c r="AA2686" s="35"/>
      <c r="AB2686" s="35"/>
      <c r="AC2686" s="35"/>
      <c r="AD2686" s="35"/>
      <c r="AE2686" s="35"/>
      <c r="AF2686" s="35"/>
      <c r="AG2686" s="35"/>
      <c r="AH2686" s="35"/>
      <c r="AI2686" s="35"/>
    </row>
    <row r="2687">
      <c r="A2687" s="263"/>
      <c r="B2687" s="264"/>
      <c r="C2687" s="265"/>
      <c r="D2687" s="265"/>
      <c r="E2687" s="264"/>
      <c r="F2687" s="265"/>
      <c r="G2687" s="263"/>
      <c r="H2687" s="432"/>
      <c r="I2687" s="282"/>
      <c r="J2687" s="283"/>
      <c r="K2687" s="265"/>
      <c r="L2687" s="265"/>
      <c r="M2687" s="269"/>
      <c r="N2687" s="270"/>
      <c r="O2687" s="271"/>
      <c r="P2687" s="271"/>
      <c r="Q2687" s="272"/>
      <c r="R2687" s="273"/>
      <c r="S2687" s="273"/>
      <c r="T2687" s="273"/>
      <c r="U2687" s="274"/>
      <c r="V2687" s="263"/>
      <c r="W2687" s="188"/>
      <c r="X2687" s="188"/>
      <c r="Y2687" s="188"/>
      <c r="Z2687" s="188"/>
      <c r="AA2687" s="188"/>
      <c r="AB2687" s="188"/>
      <c r="AC2687" s="188"/>
      <c r="AD2687" s="188"/>
      <c r="AE2687" s="188"/>
      <c r="AF2687" s="188"/>
      <c r="AG2687" s="188"/>
      <c r="AH2687" s="188"/>
      <c r="AI2687" s="188"/>
    </row>
    <row r="2688">
      <c r="A2688" s="263"/>
      <c r="B2688" s="264"/>
      <c r="C2688" s="265"/>
      <c r="D2688" s="265"/>
      <c r="E2688" s="264"/>
      <c r="F2688" s="265"/>
      <c r="G2688" s="263"/>
      <c r="H2688" s="432"/>
      <c r="I2688" s="282"/>
      <c r="J2688" s="283"/>
      <c r="K2688" s="265"/>
      <c r="L2688" s="265"/>
      <c r="M2688" s="269"/>
      <c r="N2688" s="270"/>
      <c r="O2688" s="271"/>
      <c r="P2688" s="271"/>
      <c r="Q2688" s="272"/>
      <c r="R2688" s="273"/>
      <c r="S2688" s="273"/>
      <c r="T2688" s="273"/>
      <c r="U2688" s="274"/>
      <c r="V2688" s="263"/>
      <c r="W2688" s="35"/>
      <c r="X2688" s="35"/>
      <c r="Y2688" s="35"/>
      <c r="Z2688" s="35"/>
      <c r="AA2688" s="35"/>
      <c r="AB2688" s="35"/>
      <c r="AC2688" s="35"/>
      <c r="AD2688" s="35"/>
      <c r="AE2688" s="35"/>
      <c r="AF2688" s="35"/>
      <c r="AG2688" s="35"/>
      <c r="AH2688" s="35"/>
      <c r="AI2688" s="35"/>
    </row>
    <row r="2689">
      <c r="A2689" s="263"/>
      <c r="B2689" s="264"/>
      <c r="C2689" s="265"/>
      <c r="D2689" s="265"/>
      <c r="E2689" s="264"/>
      <c r="F2689" s="265"/>
      <c r="G2689" s="263"/>
      <c r="H2689" s="432"/>
      <c r="I2689" s="282"/>
      <c r="J2689" s="283"/>
      <c r="K2689" s="265"/>
      <c r="L2689" s="265"/>
      <c r="M2689" s="269"/>
      <c r="N2689" s="270"/>
      <c r="O2689" s="271"/>
      <c r="P2689" s="271"/>
      <c r="Q2689" s="272"/>
      <c r="R2689" s="273"/>
      <c r="S2689" s="273"/>
      <c r="T2689" s="273"/>
      <c r="U2689" s="274"/>
      <c r="V2689" s="263"/>
      <c r="W2689" s="188"/>
      <c r="X2689" s="188"/>
      <c r="Y2689" s="188"/>
      <c r="Z2689" s="188"/>
      <c r="AA2689" s="188"/>
      <c r="AB2689" s="188"/>
      <c r="AC2689" s="188"/>
      <c r="AD2689" s="188"/>
      <c r="AE2689" s="188"/>
      <c r="AF2689" s="188"/>
      <c r="AG2689" s="188"/>
      <c r="AH2689" s="188"/>
      <c r="AI2689" s="188"/>
    </row>
    <row r="2690">
      <c r="A2690" s="263"/>
      <c r="B2690" s="264"/>
      <c r="C2690" s="265"/>
      <c r="D2690" s="265"/>
      <c r="E2690" s="264"/>
      <c r="F2690" s="265"/>
      <c r="G2690" s="263"/>
      <c r="H2690" s="432"/>
      <c r="I2690" s="282"/>
      <c r="J2690" s="283"/>
      <c r="K2690" s="265"/>
      <c r="L2690" s="265"/>
      <c r="M2690" s="269"/>
      <c r="N2690" s="270"/>
      <c r="O2690" s="271"/>
      <c r="P2690" s="271"/>
      <c r="Q2690" s="272"/>
      <c r="R2690" s="273"/>
      <c r="S2690" s="273"/>
      <c r="T2690" s="273"/>
      <c r="U2690" s="274"/>
      <c r="V2690" s="263"/>
      <c r="W2690" s="35"/>
      <c r="X2690" s="35"/>
      <c r="Y2690" s="35"/>
      <c r="Z2690" s="35"/>
      <c r="AA2690" s="35"/>
      <c r="AB2690" s="35"/>
      <c r="AC2690" s="35"/>
      <c r="AD2690" s="35"/>
      <c r="AE2690" s="35"/>
      <c r="AF2690" s="35"/>
      <c r="AG2690" s="35"/>
      <c r="AH2690" s="35"/>
      <c r="AI2690" s="35"/>
    </row>
    <row r="2691">
      <c r="A2691" s="263"/>
      <c r="B2691" s="264"/>
      <c r="C2691" s="265"/>
      <c r="D2691" s="265"/>
      <c r="E2691" s="264"/>
      <c r="F2691" s="265"/>
      <c r="G2691" s="263"/>
      <c r="H2691" s="432"/>
      <c r="I2691" s="282"/>
      <c r="J2691" s="283"/>
      <c r="K2691" s="265"/>
      <c r="L2691" s="265"/>
      <c r="M2691" s="269"/>
      <c r="N2691" s="270"/>
      <c r="O2691" s="271"/>
      <c r="P2691" s="271"/>
      <c r="Q2691" s="272"/>
      <c r="R2691" s="273"/>
      <c r="S2691" s="273"/>
      <c r="T2691" s="273"/>
      <c r="U2691" s="274"/>
      <c r="V2691" s="263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</row>
    <row r="2692">
      <c r="A2692" s="263"/>
      <c r="B2692" s="264"/>
      <c r="C2692" s="265"/>
      <c r="D2692" s="265"/>
      <c r="E2692" s="264"/>
      <c r="F2692" s="265"/>
      <c r="G2692" s="263"/>
      <c r="H2692" s="432"/>
      <c r="I2692" s="282"/>
      <c r="J2692" s="283"/>
      <c r="K2692" s="265"/>
      <c r="L2692" s="265"/>
      <c r="M2692" s="269"/>
      <c r="N2692" s="270"/>
      <c r="O2692" s="271"/>
      <c r="P2692" s="271"/>
      <c r="Q2692" s="272"/>
      <c r="R2692" s="273"/>
      <c r="S2692" s="273"/>
      <c r="T2692" s="273"/>
      <c r="U2692" s="274"/>
      <c r="V2692" s="263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</row>
    <row r="2693">
      <c r="A2693" s="263"/>
      <c r="B2693" s="264"/>
      <c r="C2693" s="265"/>
      <c r="D2693" s="265"/>
      <c r="E2693" s="264"/>
      <c r="F2693" s="265"/>
      <c r="G2693" s="263"/>
      <c r="H2693" s="432"/>
      <c r="I2693" s="282"/>
      <c r="J2693" s="283"/>
      <c r="K2693" s="265"/>
      <c r="L2693" s="265"/>
      <c r="M2693" s="269"/>
      <c r="N2693" s="270"/>
      <c r="O2693" s="271"/>
      <c r="P2693" s="271"/>
      <c r="Q2693" s="272"/>
      <c r="R2693" s="273"/>
      <c r="S2693" s="273"/>
      <c r="T2693" s="273"/>
      <c r="U2693" s="274"/>
      <c r="V2693" s="263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</row>
    <row r="2694">
      <c r="A2694" s="263"/>
      <c r="B2694" s="264"/>
      <c r="C2694" s="265"/>
      <c r="D2694" s="265"/>
      <c r="E2694" s="264"/>
      <c r="F2694" s="265"/>
      <c r="G2694" s="263"/>
      <c r="H2694" s="432"/>
      <c r="I2694" s="282"/>
      <c r="J2694" s="283"/>
      <c r="K2694" s="265"/>
      <c r="L2694" s="265"/>
      <c r="M2694" s="269"/>
      <c r="N2694" s="270"/>
      <c r="O2694" s="271"/>
      <c r="P2694" s="271"/>
      <c r="Q2694" s="272"/>
      <c r="R2694" s="273"/>
      <c r="S2694" s="273"/>
      <c r="T2694" s="273"/>
      <c r="U2694" s="274"/>
      <c r="V2694" s="263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</row>
    <row r="2695">
      <c r="A2695" s="263"/>
      <c r="B2695" s="264"/>
      <c r="C2695" s="265"/>
      <c r="D2695" s="265"/>
      <c r="E2695" s="264"/>
      <c r="F2695" s="265"/>
      <c r="G2695" s="263"/>
      <c r="H2695" s="432"/>
      <c r="I2695" s="282"/>
      <c r="J2695" s="283"/>
      <c r="K2695" s="265"/>
      <c r="L2695" s="265"/>
      <c r="M2695" s="269"/>
      <c r="N2695" s="270"/>
      <c r="O2695" s="271"/>
      <c r="P2695" s="271"/>
      <c r="Q2695" s="272"/>
      <c r="R2695" s="273"/>
      <c r="S2695" s="273"/>
      <c r="T2695" s="273"/>
      <c r="U2695" s="274"/>
      <c r="V2695" s="263"/>
      <c r="W2695" s="188"/>
      <c r="X2695" s="188"/>
      <c r="Y2695" s="188"/>
      <c r="Z2695" s="188"/>
      <c r="AA2695" s="188"/>
      <c r="AB2695" s="188"/>
      <c r="AC2695" s="188"/>
      <c r="AD2695" s="188"/>
      <c r="AE2695" s="188"/>
      <c r="AF2695" s="188"/>
      <c r="AG2695" s="188"/>
      <c r="AH2695" s="188"/>
      <c r="AI2695" s="188"/>
    </row>
    <row r="2696">
      <c r="A2696" s="263"/>
      <c r="B2696" s="264"/>
      <c r="C2696" s="265"/>
      <c r="D2696" s="265"/>
      <c r="E2696" s="264"/>
      <c r="F2696" s="265"/>
      <c r="G2696" s="263"/>
      <c r="H2696" s="432"/>
      <c r="I2696" s="282"/>
      <c r="J2696" s="283"/>
      <c r="K2696" s="265"/>
      <c r="L2696" s="265"/>
      <c r="M2696" s="269"/>
      <c r="N2696" s="270"/>
      <c r="O2696" s="271"/>
      <c r="P2696" s="271"/>
      <c r="Q2696" s="272"/>
      <c r="R2696" s="273"/>
      <c r="S2696" s="273"/>
      <c r="T2696" s="273"/>
      <c r="U2696" s="274"/>
      <c r="V2696" s="263"/>
      <c r="W2696" s="188"/>
      <c r="X2696" s="188"/>
      <c r="Y2696" s="188"/>
      <c r="Z2696" s="188"/>
      <c r="AA2696" s="188"/>
      <c r="AB2696" s="188"/>
      <c r="AC2696" s="188"/>
      <c r="AD2696" s="188"/>
      <c r="AE2696" s="188"/>
      <c r="AF2696" s="188"/>
      <c r="AG2696" s="188"/>
      <c r="AH2696" s="188"/>
      <c r="AI2696" s="188"/>
    </row>
    <row r="2697">
      <c r="A2697" s="263"/>
      <c r="B2697" s="264"/>
      <c r="C2697" s="265"/>
      <c r="D2697" s="265"/>
      <c r="E2697" s="264"/>
      <c r="F2697" s="265"/>
      <c r="G2697" s="263"/>
      <c r="H2697" s="432"/>
      <c r="I2697" s="282"/>
      <c r="J2697" s="283"/>
      <c r="K2697" s="265"/>
      <c r="L2697" s="265"/>
      <c r="M2697" s="269"/>
      <c r="N2697" s="270"/>
      <c r="O2697" s="271"/>
      <c r="P2697" s="271"/>
      <c r="Q2697" s="272"/>
      <c r="R2697" s="273"/>
      <c r="S2697" s="273"/>
      <c r="T2697" s="273"/>
      <c r="U2697" s="274"/>
      <c r="V2697" s="263"/>
      <c r="W2697" s="188"/>
      <c r="X2697" s="188"/>
      <c r="Y2697" s="188"/>
      <c r="Z2697" s="188"/>
      <c r="AA2697" s="188"/>
      <c r="AB2697" s="188"/>
      <c r="AC2697" s="188"/>
      <c r="AD2697" s="188"/>
      <c r="AE2697" s="188"/>
      <c r="AF2697" s="188"/>
      <c r="AG2697" s="188"/>
      <c r="AH2697" s="188"/>
      <c r="AI2697" s="188"/>
    </row>
    <row r="2698">
      <c r="A2698" s="263"/>
      <c r="B2698" s="264"/>
      <c r="C2698" s="265"/>
      <c r="D2698" s="265"/>
      <c r="E2698" s="264"/>
      <c r="F2698" s="265"/>
      <c r="G2698" s="263"/>
      <c r="H2698" s="432"/>
      <c r="I2698" s="282"/>
      <c r="J2698" s="283"/>
      <c r="K2698" s="265"/>
      <c r="L2698" s="265"/>
      <c r="M2698" s="269"/>
      <c r="N2698" s="270"/>
      <c r="O2698" s="271"/>
      <c r="P2698" s="271"/>
      <c r="Q2698" s="272"/>
      <c r="R2698" s="273"/>
      <c r="S2698" s="273"/>
      <c r="T2698" s="273"/>
      <c r="U2698" s="274"/>
      <c r="V2698" s="263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</row>
    <row r="2699">
      <c r="A2699" s="263"/>
      <c r="B2699" s="264"/>
      <c r="C2699" s="265"/>
      <c r="D2699" s="265"/>
      <c r="E2699" s="264"/>
      <c r="F2699" s="265"/>
      <c r="G2699" s="263"/>
      <c r="H2699" s="432"/>
      <c r="I2699" s="282"/>
      <c r="J2699" s="283"/>
      <c r="K2699" s="265"/>
      <c r="L2699" s="265"/>
      <c r="M2699" s="269"/>
      <c r="N2699" s="270"/>
      <c r="O2699" s="271"/>
      <c r="P2699" s="271"/>
      <c r="Q2699" s="272"/>
      <c r="R2699" s="273"/>
      <c r="S2699" s="273"/>
      <c r="T2699" s="273"/>
      <c r="U2699" s="274"/>
      <c r="V2699" s="263"/>
      <c r="W2699" s="35"/>
      <c r="X2699" s="35"/>
      <c r="Y2699" s="35"/>
      <c r="Z2699" s="35"/>
      <c r="AA2699" s="35"/>
      <c r="AB2699" s="35"/>
      <c r="AC2699" s="35"/>
      <c r="AD2699" s="35"/>
      <c r="AE2699" s="35"/>
      <c r="AF2699" s="35"/>
      <c r="AG2699" s="35"/>
      <c r="AH2699" s="35"/>
      <c r="AI2699" s="35"/>
    </row>
    <row r="2700">
      <c r="A2700" s="263"/>
      <c r="B2700" s="264"/>
      <c r="C2700" s="265"/>
      <c r="D2700" s="265"/>
      <c r="E2700" s="264"/>
      <c r="F2700" s="265"/>
      <c r="G2700" s="263"/>
      <c r="H2700" s="432"/>
      <c r="I2700" s="282"/>
      <c r="J2700" s="283"/>
      <c r="K2700" s="265"/>
      <c r="L2700" s="265"/>
      <c r="M2700" s="269"/>
      <c r="N2700" s="270"/>
      <c r="O2700" s="271"/>
      <c r="P2700" s="271"/>
      <c r="Q2700" s="272"/>
      <c r="R2700" s="273"/>
      <c r="S2700" s="273"/>
      <c r="T2700" s="273"/>
      <c r="U2700" s="274"/>
      <c r="V2700" s="263"/>
      <c r="W2700" s="35"/>
      <c r="X2700" s="35"/>
      <c r="Y2700" s="35"/>
      <c r="Z2700" s="35"/>
      <c r="AA2700" s="35"/>
      <c r="AB2700" s="35"/>
      <c r="AC2700" s="35"/>
      <c r="AD2700" s="35"/>
      <c r="AE2700" s="35"/>
      <c r="AF2700" s="35"/>
      <c r="AG2700" s="35"/>
      <c r="AH2700" s="35"/>
      <c r="AI2700" s="35"/>
    </row>
    <row r="2701">
      <c r="A2701" s="263"/>
      <c r="B2701" s="264"/>
      <c r="C2701" s="265"/>
      <c r="D2701" s="265"/>
      <c r="E2701" s="264"/>
      <c r="F2701" s="265"/>
      <c r="G2701" s="263"/>
      <c r="H2701" s="432"/>
      <c r="I2701" s="282"/>
      <c r="J2701" s="283"/>
      <c r="K2701" s="265"/>
      <c r="L2701" s="265"/>
      <c r="M2701" s="269"/>
      <c r="N2701" s="270"/>
      <c r="O2701" s="271"/>
      <c r="P2701" s="271"/>
      <c r="Q2701" s="272"/>
      <c r="R2701" s="273"/>
      <c r="S2701" s="273"/>
      <c r="T2701" s="273"/>
      <c r="U2701" s="274"/>
      <c r="V2701" s="263"/>
      <c r="W2701" s="188"/>
      <c r="X2701" s="188"/>
      <c r="Y2701" s="188"/>
      <c r="Z2701" s="188"/>
      <c r="AA2701" s="188"/>
      <c r="AB2701" s="188"/>
      <c r="AC2701" s="188"/>
      <c r="AD2701" s="188"/>
      <c r="AE2701" s="188"/>
      <c r="AF2701" s="188"/>
      <c r="AG2701" s="188"/>
      <c r="AH2701" s="188"/>
      <c r="AI2701" s="188"/>
    </row>
    <row r="2702">
      <c r="A2702" s="263"/>
      <c r="B2702" s="264"/>
      <c r="C2702" s="265"/>
      <c r="D2702" s="265"/>
      <c r="E2702" s="264"/>
      <c r="F2702" s="265"/>
      <c r="G2702" s="263"/>
      <c r="H2702" s="432"/>
      <c r="I2702" s="282"/>
      <c r="J2702" s="283"/>
      <c r="K2702" s="265"/>
      <c r="L2702" s="265"/>
      <c r="M2702" s="269"/>
      <c r="N2702" s="270"/>
      <c r="O2702" s="271"/>
      <c r="P2702" s="271"/>
      <c r="Q2702" s="272"/>
      <c r="R2702" s="273"/>
      <c r="S2702" s="273"/>
      <c r="T2702" s="273"/>
      <c r="U2702" s="274"/>
      <c r="V2702" s="263"/>
      <c r="W2702" s="188"/>
      <c r="X2702" s="188"/>
      <c r="Y2702" s="188"/>
      <c r="Z2702" s="188"/>
      <c r="AA2702" s="188"/>
      <c r="AB2702" s="188"/>
      <c r="AC2702" s="188"/>
      <c r="AD2702" s="188"/>
      <c r="AE2702" s="188"/>
      <c r="AF2702" s="188"/>
      <c r="AG2702" s="188"/>
      <c r="AH2702" s="188"/>
      <c r="AI2702" s="188"/>
    </row>
    <row r="2703">
      <c r="A2703" s="263"/>
      <c r="B2703" s="264"/>
      <c r="C2703" s="265"/>
      <c r="D2703" s="265"/>
      <c r="E2703" s="264"/>
      <c r="F2703" s="265"/>
      <c r="G2703" s="263"/>
      <c r="H2703" s="432"/>
      <c r="I2703" s="282"/>
      <c r="J2703" s="283"/>
      <c r="K2703" s="265"/>
      <c r="L2703" s="265"/>
      <c r="M2703" s="269"/>
      <c r="N2703" s="270"/>
      <c r="O2703" s="271"/>
      <c r="P2703" s="271"/>
      <c r="Q2703" s="272"/>
      <c r="R2703" s="273"/>
      <c r="S2703" s="273"/>
      <c r="T2703" s="273"/>
      <c r="U2703" s="274"/>
      <c r="V2703" s="263"/>
      <c r="W2703" s="188"/>
      <c r="X2703" s="188"/>
      <c r="Y2703" s="188"/>
      <c r="Z2703" s="188"/>
      <c r="AA2703" s="188"/>
      <c r="AB2703" s="188"/>
      <c r="AC2703" s="188"/>
      <c r="AD2703" s="188"/>
      <c r="AE2703" s="188"/>
      <c r="AF2703" s="188"/>
      <c r="AG2703" s="188"/>
      <c r="AH2703" s="188"/>
      <c r="AI2703" s="188"/>
    </row>
    <row r="2704">
      <c r="A2704" s="263"/>
      <c r="B2704" s="264"/>
      <c r="C2704" s="265"/>
      <c r="D2704" s="265"/>
      <c r="E2704" s="264"/>
      <c r="F2704" s="265"/>
      <c r="G2704" s="263"/>
      <c r="H2704" s="432"/>
      <c r="I2704" s="282"/>
      <c r="J2704" s="283"/>
      <c r="K2704" s="265"/>
      <c r="L2704" s="265"/>
      <c r="M2704" s="269"/>
      <c r="N2704" s="270"/>
      <c r="O2704" s="271"/>
      <c r="P2704" s="271"/>
      <c r="Q2704" s="272"/>
      <c r="R2704" s="273"/>
      <c r="S2704" s="273"/>
      <c r="T2704" s="273"/>
      <c r="U2704" s="274"/>
      <c r="V2704" s="263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</row>
    <row r="2705">
      <c r="A2705" s="263"/>
      <c r="B2705" s="264"/>
      <c r="C2705" s="265"/>
      <c r="D2705" s="265"/>
      <c r="E2705" s="264"/>
      <c r="F2705" s="265"/>
      <c r="G2705" s="263"/>
      <c r="H2705" s="432"/>
      <c r="I2705" s="282"/>
      <c r="J2705" s="283"/>
      <c r="K2705" s="265"/>
      <c r="L2705" s="265"/>
      <c r="M2705" s="269"/>
      <c r="N2705" s="270"/>
      <c r="O2705" s="271"/>
      <c r="P2705" s="271"/>
      <c r="Q2705" s="272"/>
      <c r="R2705" s="273"/>
      <c r="S2705" s="273"/>
      <c r="T2705" s="273"/>
      <c r="U2705" s="274"/>
      <c r="V2705" s="263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</row>
    <row r="2706">
      <c r="A2706" s="263"/>
      <c r="B2706" s="264"/>
      <c r="C2706" s="265"/>
      <c r="D2706" s="265"/>
      <c r="E2706" s="264"/>
      <c r="F2706" s="265"/>
      <c r="G2706" s="263"/>
      <c r="H2706" s="432"/>
      <c r="I2706" s="282"/>
      <c r="J2706" s="283"/>
      <c r="K2706" s="265"/>
      <c r="L2706" s="265"/>
      <c r="M2706" s="269"/>
      <c r="N2706" s="270"/>
      <c r="O2706" s="271"/>
      <c r="P2706" s="271"/>
      <c r="Q2706" s="272"/>
      <c r="R2706" s="273"/>
      <c r="S2706" s="273"/>
      <c r="T2706" s="273"/>
      <c r="U2706" s="274"/>
      <c r="V2706" s="263"/>
      <c r="W2706" s="188"/>
      <c r="X2706" s="188"/>
      <c r="Y2706" s="188"/>
      <c r="Z2706" s="188"/>
      <c r="AA2706" s="188"/>
      <c r="AB2706" s="188"/>
      <c r="AC2706" s="188"/>
      <c r="AD2706" s="188"/>
      <c r="AE2706" s="188"/>
      <c r="AF2706" s="188"/>
      <c r="AG2706" s="188"/>
      <c r="AH2706" s="188"/>
      <c r="AI2706" s="188"/>
    </row>
    <row r="2707">
      <c r="A2707" s="263"/>
      <c r="B2707" s="264"/>
      <c r="C2707" s="265"/>
      <c r="D2707" s="265"/>
      <c r="E2707" s="264"/>
      <c r="F2707" s="265"/>
      <c r="G2707" s="263"/>
      <c r="H2707" s="432"/>
      <c r="I2707" s="282"/>
      <c r="J2707" s="283"/>
      <c r="K2707" s="265"/>
      <c r="L2707" s="265"/>
      <c r="M2707" s="269"/>
      <c r="N2707" s="270"/>
      <c r="O2707" s="271"/>
      <c r="P2707" s="271"/>
      <c r="Q2707" s="272"/>
      <c r="R2707" s="273"/>
      <c r="S2707" s="273"/>
      <c r="T2707" s="273"/>
      <c r="U2707" s="274"/>
      <c r="V2707" s="263"/>
      <c r="W2707" s="35"/>
      <c r="X2707" s="35"/>
      <c r="Y2707" s="35"/>
      <c r="Z2707" s="35"/>
      <c r="AA2707" s="35"/>
      <c r="AB2707" s="35"/>
      <c r="AC2707" s="35"/>
      <c r="AD2707" s="35"/>
      <c r="AE2707" s="35"/>
      <c r="AF2707" s="35"/>
      <c r="AG2707" s="35"/>
      <c r="AH2707" s="35"/>
      <c r="AI2707" s="35"/>
    </row>
    <row r="2708">
      <c r="A2708" s="263"/>
      <c r="B2708" s="264"/>
      <c r="C2708" s="265"/>
      <c r="D2708" s="265"/>
      <c r="E2708" s="264"/>
      <c r="F2708" s="265"/>
      <c r="G2708" s="263"/>
      <c r="H2708" s="432"/>
      <c r="I2708" s="282"/>
      <c r="J2708" s="283"/>
      <c r="K2708" s="265"/>
      <c r="L2708" s="265"/>
      <c r="M2708" s="269"/>
      <c r="N2708" s="270"/>
      <c r="O2708" s="271"/>
      <c r="P2708" s="271"/>
      <c r="Q2708" s="272"/>
      <c r="R2708" s="273"/>
      <c r="S2708" s="273"/>
      <c r="T2708" s="273"/>
      <c r="U2708" s="274"/>
      <c r="V2708" s="263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</row>
    <row r="2709">
      <c r="A2709" s="263"/>
      <c r="B2709" s="264"/>
      <c r="C2709" s="265"/>
      <c r="D2709" s="265"/>
      <c r="E2709" s="264"/>
      <c r="F2709" s="265"/>
      <c r="G2709" s="263"/>
      <c r="H2709" s="432"/>
      <c r="I2709" s="282"/>
      <c r="J2709" s="283"/>
      <c r="K2709" s="265"/>
      <c r="L2709" s="265"/>
      <c r="M2709" s="269"/>
      <c r="N2709" s="270"/>
      <c r="O2709" s="271"/>
      <c r="P2709" s="271"/>
      <c r="Q2709" s="272"/>
      <c r="R2709" s="273"/>
      <c r="S2709" s="273"/>
      <c r="T2709" s="273"/>
      <c r="U2709" s="274"/>
      <c r="V2709" s="263"/>
      <c r="W2709" s="35"/>
      <c r="X2709" s="35"/>
      <c r="Y2709" s="35"/>
      <c r="Z2709" s="35"/>
      <c r="AA2709" s="35"/>
      <c r="AB2709" s="35"/>
      <c r="AC2709" s="35"/>
      <c r="AD2709" s="35"/>
      <c r="AE2709" s="35"/>
      <c r="AF2709" s="35"/>
      <c r="AG2709" s="35"/>
      <c r="AH2709" s="35"/>
      <c r="AI2709" s="35"/>
    </row>
    <row r="2710">
      <c r="A2710" s="263"/>
      <c r="B2710" s="264"/>
      <c r="C2710" s="265"/>
      <c r="D2710" s="265"/>
      <c r="E2710" s="264"/>
      <c r="F2710" s="265"/>
      <c r="G2710" s="263"/>
      <c r="H2710" s="432"/>
      <c r="I2710" s="282"/>
      <c r="J2710" s="283"/>
      <c r="K2710" s="265"/>
      <c r="L2710" s="265"/>
      <c r="M2710" s="269"/>
      <c r="N2710" s="270"/>
      <c r="O2710" s="271"/>
      <c r="P2710" s="271"/>
      <c r="Q2710" s="272"/>
      <c r="R2710" s="273"/>
      <c r="S2710" s="273"/>
      <c r="T2710" s="273"/>
      <c r="U2710" s="274"/>
      <c r="V2710" s="263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</row>
    <row r="2711">
      <c r="A2711" s="263"/>
      <c r="B2711" s="264"/>
      <c r="C2711" s="265"/>
      <c r="D2711" s="265"/>
      <c r="E2711" s="264"/>
      <c r="F2711" s="265"/>
      <c r="G2711" s="263"/>
      <c r="H2711" s="432"/>
      <c r="I2711" s="282"/>
      <c r="J2711" s="283"/>
      <c r="K2711" s="265"/>
      <c r="L2711" s="265"/>
      <c r="M2711" s="269"/>
      <c r="N2711" s="270"/>
      <c r="O2711" s="271"/>
      <c r="P2711" s="271"/>
      <c r="Q2711" s="272"/>
      <c r="R2711" s="273"/>
      <c r="S2711" s="273"/>
      <c r="T2711" s="273"/>
      <c r="U2711" s="274"/>
      <c r="V2711" s="263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</row>
    <row r="2712">
      <c r="A2712" s="263"/>
      <c r="B2712" s="264"/>
      <c r="C2712" s="265"/>
      <c r="D2712" s="265"/>
      <c r="E2712" s="264"/>
      <c r="F2712" s="265"/>
      <c r="G2712" s="263"/>
      <c r="H2712" s="432"/>
      <c r="I2712" s="282"/>
      <c r="J2712" s="283"/>
      <c r="K2712" s="265"/>
      <c r="L2712" s="265"/>
      <c r="M2712" s="269"/>
      <c r="N2712" s="270"/>
      <c r="O2712" s="271"/>
      <c r="P2712" s="271"/>
      <c r="Q2712" s="272"/>
      <c r="R2712" s="273"/>
      <c r="S2712" s="273"/>
      <c r="T2712" s="273"/>
      <c r="U2712" s="274"/>
      <c r="V2712" s="263"/>
      <c r="W2712" s="36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</row>
    <row r="2713">
      <c r="A2713" s="263"/>
      <c r="B2713" s="264"/>
      <c r="C2713" s="265"/>
      <c r="D2713" s="265"/>
      <c r="E2713" s="264"/>
      <c r="F2713" s="265"/>
      <c r="G2713" s="263"/>
      <c r="H2713" s="432"/>
      <c r="I2713" s="282"/>
      <c r="J2713" s="283"/>
      <c r="K2713" s="265"/>
      <c r="L2713" s="265"/>
      <c r="M2713" s="269"/>
      <c r="N2713" s="270"/>
      <c r="O2713" s="271"/>
      <c r="P2713" s="271"/>
      <c r="Q2713" s="272"/>
      <c r="R2713" s="273"/>
      <c r="S2713" s="273"/>
      <c r="T2713" s="273"/>
      <c r="U2713" s="274"/>
      <c r="V2713" s="263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</row>
    <row r="2714">
      <c r="A2714" s="263"/>
      <c r="B2714" s="264"/>
      <c r="C2714" s="265"/>
      <c r="D2714" s="265"/>
      <c r="E2714" s="264"/>
      <c r="F2714" s="265"/>
      <c r="G2714" s="263"/>
      <c r="H2714" s="432"/>
      <c r="I2714" s="282"/>
      <c r="J2714" s="283"/>
      <c r="K2714" s="265"/>
      <c r="L2714" s="265"/>
      <c r="M2714" s="269"/>
      <c r="N2714" s="270"/>
      <c r="O2714" s="271"/>
      <c r="P2714" s="271"/>
      <c r="Q2714" s="272"/>
      <c r="R2714" s="273"/>
      <c r="S2714" s="273"/>
      <c r="T2714" s="273"/>
      <c r="U2714" s="274"/>
      <c r="V2714" s="263"/>
      <c r="W2714" s="35"/>
      <c r="X2714" s="35"/>
      <c r="Y2714" s="35"/>
      <c r="Z2714" s="35"/>
      <c r="AA2714" s="35"/>
      <c r="AB2714" s="35"/>
      <c r="AC2714" s="35"/>
      <c r="AD2714" s="35"/>
      <c r="AE2714" s="35"/>
      <c r="AF2714" s="35"/>
      <c r="AG2714" s="35"/>
      <c r="AH2714" s="35"/>
      <c r="AI2714" s="35"/>
    </row>
    <row r="2715">
      <c r="A2715" s="263"/>
      <c r="B2715" s="264"/>
      <c r="C2715" s="265"/>
      <c r="D2715" s="265"/>
      <c r="E2715" s="264"/>
      <c r="F2715" s="265"/>
      <c r="G2715" s="263"/>
      <c r="H2715" s="432"/>
      <c r="I2715" s="282"/>
      <c r="J2715" s="283"/>
      <c r="K2715" s="265"/>
      <c r="L2715" s="265"/>
      <c r="M2715" s="269"/>
      <c r="N2715" s="270"/>
      <c r="O2715" s="271"/>
      <c r="P2715" s="271"/>
      <c r="Q2715" s="272"/>
      <c r="R2715" s="273"/>
      <c r="S2715" s="273"/>
      <c r="T2715" s="273"/>
      <c r="U2715" s="274"/>
      <c r="V2715" s="263"/>
      <c r="W2715" s="188"/>
      <c r="X2715" s="188"/>
      <c r="Y2715" s="188"/>
      <c r="Z2715" s="188"/>
      <c r="AA2715" s="188"/>
      <c r="AB2715" s="188"/>
      <c r="AC2715" s="188"/>
      <c r="AD2715" s="188"/>
      <c r="AE2715" s="188"/>
      <c r="AF2715" s="188"/>
      <c r="AG2715" s="188"/>
      <c r="AH2715" s="188"/>
      <c r="AI2715" s="188"/>
    </row>
    <row r="2716">
      <c r="A2716" s="263"/>
      <c r="B2716" s="264"/>
      <c r="C2716" s="265"/>
      <c r="D2716" s="265"/>
      <c r="E2716" s="264"/>
      <c r="F2716" s="265"/>
      <c r="G2716" s="263"/>
      <c r="H2716" s="432"/>
      <c r="I2716" s="282"/>
      <c r="J2716" s="283"/>
      <c r="K2716" s="265"/>
      <c r="L2716" s="265"/>
      <c r="M2716" s="269"/>
      <c r="N2716" s="270"/>
      <c r="O2716" s="271"/>
      <c r="P2716" s="271"/>
      <c r="Q2716" s="272"/>
      <c r="R2716" s="273"/>
      <c r="S2716" s="273"/>
      <c r="T2716" s="273"/>
      <c r="U2716" s="274"/>
      <c r="V2716" s="263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</row>
    <row r="2717">
      <c r="A2717" s="263"/>
      <c r="B2717" s="264"/>
      <c r="C2717" s="265"/>
      <c r="D2717" s="265"/>
      <c r="E2717" s="264"/>
      <c r="F2717" s="265"/>
      <c r="G2717" s="263"/>
      <c r="H2717" s="432"/>
      <c r="I2717" s="282"/>
      <c r="J2717" s="283"/>
      <c r="K2717" s="265"/>
      <c r="L2717" s="265"/>
      <c r="M2717" s="269"/>
      <c r="N2717" s="270"/>
      <c r="O2717" s="271"/>
      <c r="P2717" s="271"/>
      <c r="Q2717" s="272"/>
      <c r="R2717" s="273"/>
      <c r="S2717" s="273"/>
      <c r="T2717" s="273"/>
      <c r="U2717" s="274"/>
      <c r="V2717" s="263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</row>
    <row r="2718">
      <c r="A2718" s="263"/>
      <c r="B2718" s="264"/>
      <c r="C2718" s="265"/>
      <c r="D2718" s="265"/>
      <c r="E2718" s="264"/>
      <c r="F2718" s="265"/>
      <c r="G2718" s="263"/>
      <c r="H2718" s="432"/>
      <c r="I2718" s="282"/>
      <c r="J2718" s="283"/>
      <c r="K2718" s="265"/>
      <c r="L2718" s="265"/>
      <c r="M2718" s="269"/>
      <c r="N2718" s="270"/>
      <c r="O2718" s="271"/>
      <c r="P2718" s="271"/>
      <c r="Q2718" s="272"/>
      <c r="R2718" s="273"/>
      <c r="S2718" s="273"/>
      <c r="T2718" s="273"/>
      <c r="U2718" s="274"/>
      <c r="V2718" s="263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</row>
    <row r="2719">
      <c r="A2719" s="263"/>
      <c r="B2719" s="264"/>
      <c r="C2719" s="265"/>
      <c r="D2719" s="265"/>
      <c r="E2719" s="264"/>
      <c r="F2719" s="265"/>
      <c r="G2719" s="263"/>
      <c r="H2719" s="432"/>
      <c r="I2719" s="282"/>
      <c r="J2719" s="283"/>
      <c r="K2719" s="265"/>
      <c r="L2719" s="265"/>
      <c r="M2719" s="269"/>
      <c r="N2719" s="270"/>
      <c r="O2719" s="271"/>
      <c r="P2719" s="271"/>
      <c r="Q2719" s="272"/>
      <c r="R2719" s="273"/>
      <c r="S2719" s="273"/>
      <c r="T2719" s="273"/>
      <c r="U2719" s="274"/>
      <c r="V2719" s="263"/>
      <c r="W2719" s="35"/>
      <c r="X2719" s="35"/>
      <c r="Y2719" s="35"/>
      <c r="Z2719" s="35"/>
      <c r="AA2719" s="35"/>
      <c r="AB2719" s="35"/>
      <c r="AC2719" s="35"/>
      <c r="AD2719" s="35"/>
      <c r="AE2719" s="35"/>
      <c r="AF2719" s="35"/>
      <c r="AG2719" s="35"/>
      <c r="AH2719" s="35"/>
      <c r="AI2719" s="35"/>
    </row>
    <row r="2720">
      <c r="A2720" s="263"/>
      <c r="B2720" s="264"/>
      <c r="C2720" s="265"/>
      <c r="D2720" s="265"/>
      <c r="E2720" s="264"/>
      <c r="F2720" s="265"/>
      <c r="G2720" s="263"/>
      <c r="H2720" s="432"/>
      <c r="I2720" s="282"/>
      <c r="J2720" s="283"/>
      <c r="K2720" s="265"/>
      <c r="L2720" s="265"/>
      <c r="M2720" s="269"/>
      <c r="N2720" s="270"/>
      <c r="O2720" s="271"/>
      <c r="P2720" s="271"/>
      <c r="Q2720" s="272"/>
      <c r="R2720" s="273"/>
      <c r="S2720" s="273"/>
      <c r="T2720" s="273"/>
      <c r="U2720" s="274"/>
      <c r="V2720" s="263"/>
      <c r="W2720" s="188"/>
      <c r="X2720" s="188"/>
      <c r="Y2720" s="188"/>
      <c r="Z2720" s="188"/>
      <c r="AA2720" s="188"/>
      <c r="AB2720" s="188"/>
      <c r="AC2720" s="188"/>
      <c r="AD2720" s="188"/>
      <c r="AE2720" s="188"/>
      <c r="AF2720" s="188"/>
      <c r="AG2720" s="188"/>
      <c r="AH2720" s="188"/>
      <c r="AI2720" s="188"/>
    </row>
    <row r="2721">
      <c r="A2721" s="263"/>
      <c r="B2721" s="264"/>
      <c r="C2721" s="265"/>
      <c r="D2721" s="265"/>
      <c r="E2721" s="264"/>
      <c r="F2721" s="265"/>
      <c r="G2721" s="263"/>
      <c r="H2721" s="432"/>
      <c r="I2721" s="282"/>
      <c r="J2721" s="283"/>
      <c r="K2721" s="265"/>
      <c r="L2721" s="265"/>
      <c r="M2721" s="269"/>
      <c r="N2721" s="270"/>
      <c r="O2721" s="271"/>
      <c r="P2721" s="271"/>
      <c r="Q2721" s="272"/>
      <c r="R2721" s="273"/>
      <c r="S2721" s="273"/>
      <c r="T2721" s="273"/>
      <c r="U2721" s="274"/>
      <c r="V2721" s="263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</row>
    <row r="2722">
      <c r="A2722" s="263"/>
      <c r="B2722" s="264"/>
      <c r="C2722" s="265"/>
      <c r="D2722" s="265"/>
      <c r="E2722" s="264"/>
      <c r="F2722" s="265"/>
      <c r="G2722" s="263"/>
      <c r="H2722" s="432"/>
      <c r="I2722" s="282"/>
      <c r="J2722" s="283"/>
      <c r="K2722" s="265"/>
      <c r="L2722" s="265"/>
      <c r="M2722" s="269"/>
      <c r="N2722" s="270"/>
      <c r="O2722" s="271"/>
      <c r="P2722" s="271"/>
      <c r="Q2722" s="272"/>
      <c r="R2722" s="273"/>
      <c r="S2722" s="273"/>
      <c r="T2722" s="273"/>
      <c r="U2722" s="274"/>
      <c r="V2722" s="263"/>
      <c r="W2722" s="188"/>
      <c r="X2722" s="188"/>
      <c r="Y2722" s="188"/>
      <c r="Z2722" s="188"/>
      <c r="AA2722" s="188"/>
      <c r="AB2722" s="188"/>
      <c r="AC2722" s="188"/>
      <c r="AD2722" s="188"/>
      <c r="AE2722" s="188"/>
      <c r="AF2722" s="188"/>
      <c r="AG2722" s="188"/>
      <c r="AH2722" s="188"/>
      <c r="AI2722" s="188"/>
    </row>
    <row r="2723">
      <c r="A2723" s="263"/>
      <c r="B2723" s="264"/>
      <c r="C2723" s="265"/>
      <c r="D2723" s="265"/>
      <c r="E2723" s="264"/>
      <c r="F2723" s="265"/>
      <c r="G2723" s="263"/>
      <c r="H2723" s="432"/>
      <c r="I2723" s="282"/>
      <c r="J2723" s="283"/>
      <c r="K2723" s="265"/>
      <c r="L2723" s="265"/>
      <c r="M2723" s="269"/>
      <c r="N2723" s="270"/>
      <c r="O2723" s="271"/>
      <c r="P2723" s="271"/>
      <c r="Q2723" s="272"/>
      <c r="R2723" s="273"/>
      <c r="S2723" s="273"/>
      <c r="T2723" s="273"/>
      <c r="U2723" s="274"/>
      <c r="V2723" s="263"/>
      <c r="W2723" s="188"/>
      <c r="X2723" s="188"/>
      <c r="Y2723" s="188"/>
      <c r="Z2723" s="188"/>
      <c r="AA2723" s="188"/>
      <c r="AB2723" s="188"/>
      <c r="AC2723" s="188"/>
      <c r="AD2723" s="188"/>
      <c r="AE2723" s="188"/>
      <c r="AF2723" s="188"/>
      <c r="AG2723" s="188"/>
      <c r="AH2723" s="188"/>
      <c r="AI2723" s="188"/>
    </row>
    <row r="2724">
      <c r="A2724" s="263"/>
      <c r="B2724" s="264"/>
      <c r="C2724" s="265"/>
      <c r="D2724" s="265"/>
      <c r="E2724" s="264"/>
      <c r="F2724" s="265"/>
      <c r="G2724" s="263"/>
      <c r="H2724" s="432"/>
      <c r="I2724" s="282"/>
      <c r="J2724" s="283"/>
      <c r="K2724" s="265"/>
      <c r="L2724" s="265"/>
      <c r="M2724" s="269"/>
      <c r="N2724" s="270"/>
      <c r="O2724" s="271"/>
      <c r="P2724" s="271"/>
      <c r="Q2724" s="272"/>
      <c r="R2724" s="273"/>
      <c r="S2724" s="273"/>
      <c r="T2724" s="273"/>
      <c r="U2724" s="274"/>
      <c r="V2724" s="263"/>
      <c r="W2724" s="35"/>
      <c r="X2724" s="35"/>
      <c r="Y2724" s="35"/>
      <c r="Z2724" s="35"/>
      <c r="AA2724" s="35"/>
      <c r="AB2724" s="35"/>
      <c r="AC2724" s="35"/>
      <c r="AD2724" s="35"/>
      <c r="AE2724" s="35"/>
      <c r="AF2724" s="35"/>
      <c r="AG2724" s="35"/>
      <c r="AH2724" s="35"/>
      <c r="AI2724" s="35"/>
    </row>
    <row r="2725">
      <c r="A2725" s="263"/>
      <c r="B2725" s="264"/>
      <c r="C2725" s="265"/>
      <c r="D2725" s="265"/>
      <c r="E2725" s="264"/>
      <c r="F2725" s="265"/>
      <c r="G2725" s="263"/>
      <c r="H2725" s="432"/>
      <c r="I2725" s="282"/>
      <c r="J2725" s="283"/>
      <c r="K2725" s="265"/>
      <c r="L2725" s="265"/>
      <c r="M2725" s="269"/>
      <c r="N2725" s="270"/>
      <c r="O2725" s="271"/>
      <c r="P2725" s="271"/>
      <c r="Q2725" s="272"/>
      <c r="R2725" s="273"/>
      <c r="S2725" s="273"/>
      <c r="T2725" s="273"/>
      <c r="U2725" s="274"/>
      <c r="V2725" s="263"/>
      <c r="W2725" s="188"/>
      <c r="X2725" s="188"/>
      <c r="Y2725" s="188"/>
      <c r="Z2725" s="188"/>
      <c r="AA2725" s="188"/>
      <c r="AB2725" s="188"/>
      <c r="AC2725" s="188"/>
      <c r="AD2725" s="188"/>
      <c r="AE2725" s="188"/>
      <c r="AF2725" s="188"/>
      <c r="AG2725" s="188"/>
      <c r="AH2725" s="188"/>
      <c r="AI2725" s="188"/>
    </row>
    <row r="2726">
      <c r="A2726" s="263"/>
      <c r="B2726" s="264"/>
      <c r="C2726" s="265"/>
      <c r="D2726" s="265"/>
      <c r="E2726" s="264"/>
      <c r="F2726" s="265"/>
      <c r="G2726" s="263"/>
      <c r="H2726" s="432"/>
      <c r="I2726" s="282"/>
      <c r="J2726" s="283"/>
      <c r="K2726" s="265"/>
      <c r="L2726" s="265"/>
      <c r="M2726" s="269"/>
      <c r="N2726" s="270"/>
      <c r="O2726" s="271"/>
      <c r="P2726" s="271"/>
      <c r="Q2726" s="272"/>
      <c r="R2726" s="273"/>
      <c r="S2726" s="273"/>
      <c r="T2726" s="273"/>
      <c r="U2726" s="274"/>
      <c r="V2726" s="263"/>
      <c r="W2726" s="188"/>
      <c r="X2726" s="188"/>
      <c r="Y2726" s="188"/>
      <c r="Z2726" s="188"/>
      <c r="AA2726" s="188"/>
      <c r="AB2726" s="188"/>
      <c r="AC2726" s="188"/>
      <c r="AD2726" s="188"/>
      <c r="AE2726" s="188"/>
      <c r="AF2726" s="188"/>
      <c r="AG2726" s="188"/>
      <c r="AH2726" s="188"/>
      <c r="AI2726" s="188"/>
    </row>
    <row r="2727">
      <c r="A2727" s="263"/>
      <c r="B2727" s="264"/>
      <c r="C2727" s="265"/>
      <c r="D2727" s="265"/>
      <c r="E2727" s="264"/>
      <c r="F2727" s="265"/>
      <c r="G2727" s="263"/>
      <c r="H2727" s="432"/>
      <c r="I2727" s="282"/>
      <c r="J2727" s="283"/>
      <c r="K2727" s="265"/>
      <c r="L2727" s="265"/>
      <c r="M2727" s="269"/>
      <c r="N2727" s="270"/>
      <c r="O2727" s="271"/>
      <c r="P2727" s="271"/>
      <c r="Q2727" s="272"/>
      <c r="R2727" s="273"/>
      <c r="S2727" s="273"/>
      <c r="T2727" s="273"/>
      <c r="U2727" s="274"/>
      <c r="V2727" s="263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</row>
    <row r="2728">
      <c r="A2728" s="263"/>
      <c r="B2728" s="264"/>
      <c r="C2728" s="265"/>
      <c r="D2728" s="265"/>
      <c r="E2728" s="264"/>
      <c r="F2728" s="265"/>
      <c r="G2728" s="263"/>
      <c r="H2728" s="432"/>
      <c r="I2728" s="282"/>
      <c r="J2728" s="283"/>
      <c r="K2728" s="265"/>
      <c r="L2728" s="265"/>
      <c r="M2728" s="269"/>
      <c r="N2728" s="270"/>
      <c r="O2728" s="271"/>
      <c r="P2728" s="271"/>
      <c r="Q2728" s="272"/>
      <c r="R2728" s="273"/>
      <c r="S2728" s="273"/>
      <c r="T2728" s="273"/>
      <c r="U2728" s="274"/>
      <c r="V2728" s="263"/>
      <c r="W2728" s="188"/>
      <c r="X2728" s="188"/>
      <c r="Y2728" s="188"/>
      <c r="Z2728" s="188"/>
      <c r="AA2728" s="188"/>
      <c r="AB2728" s="188"/>
      <c r="AC2728" s="188"/>
      <c r="AD2728" s="188"/>
      <c r="AE2728" s="188"/>
      <c r="AF2728" s="188"/>
      <c r="AG2728" s="188"/>
      <c r="AH2728" s="188"/>
      <c r="AI2728" s="188"/>
    </row>
    <row r="2729">
      <c r="A2729" s="263"/>
      <c r="B2729" s="264"/>
      <c r="C2729" s="265"/>
      <c r="D2729" s="265"/>
      <c r="E2729" s="264"/>
      <c r="F2729" s="265"/>
      <c r="G2729" s="263"/>
      <c r="H2729" s="432"/>
      <c r="I2729" s="282"/>
      <c r="J2729" s="283"/>
      <c r="K2729" s="265"/>
      <c r="L2729" s="265"/>
      <c r="M2729" s="269"/>
      <c r="N2729" s="270"/>
      <c r="O2729" s="271"/>
      <c r="P2729" s="271"/>
      <c r="Q2729" s="272"/>
      <c r="R2729" s="273"/>
      <c r="S2729" s="273"/>
      <c r="T2729" s="273"/>
      <c r="U2729" s="274"/>
      <c r="V2729" s="263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</row>
    <row r="2730">
      <c r="A2730" s="263"/>
      <c r="B2730" s="264"/>
      <c r="C2730" s="265"/>
      <c r="D2730" s="265"/>
      <c r="E2730" s="264"/>
      <c r="F2730" s="265"/>
      <c r="G2730" s="263"/>
      <c r="H2730" s="432"/>
      <c r="I2730" s="282"/>
      <c r="J2730" s="283"/>
      <c r="K2730" s="265"/>
      <c r="L2730" s="265"/>
      <c r="M2730" s="269"/>
      <c r="N2730" s="270"/>
      <c r="O2730" s="271"/>
      <c r="P2730" s="271"/>
      <c r="Q2730" s="272"/>
      <c r="R2730" s="273"/>
      <c r="S2730" s="273"/>
      <c r="T2730" s="273"/>
      <c r="U2730" s="274"/>
      <c r="V2730" s="263"/>
      <c r="W2730" s="35"/>
      <c r="X2730" s="35"/>
      <c r="Y2730" s="35"/>
      <c r="Z2730" s="35"/>
      <c r="AA2730" s="35"/>
      <c r="AB2730" s="35"/>
      <c r="AC2730" s="35"/>
      <c r="AD2730" s="35"/>
      <c r="AE2730" s="35"/>
      <c r="AF2730" s="35"/>
      <c r="AG2730" s="35"/>
      <c r="AH2730" s="35"/>
      <c r="AI2730" s="35"/>
    </row>
    <row r="2731">
      <c r="A2731" s="263"/>
      <c r="B2731" s="264"/>
      <c r="C2731" s="265"/>
      <c r="D2731" s="265"/>
      <c r="E2731" s="264"/>
      <c r="F2731" s="265"/>
      <c r="G2731" s="263"/>
      <c r="H2731" s="432"/>
      <c r="I2731" s="282"/>
      <c r="J2731" s="283"/>
      <c r="K2731" s="265"/>
      <c r="L2731" s="265"/>
      <c r="M2731" s="269"/>
      <c r="N2731" s="270"/>
      <c r="O2731" s="271"/>
      <c r="P2731" s="271"/>
      <c r="Q2731" s="272"/>
      <c r="R2731" s="273"/>
      <c r="S2731" s="273"/>
      <c r="T2731" s="273"/>
      <c r="U2731" s="274"/>
      <c r="V2731" s="263"/>
      <c r="W2731" s="35"/>
      <c r="X2731" s="35"/>
      <c r="Y2731" s="35"/>
      <c r="Z2731" s="35"/>
      <c r="AA2731" s="35"/>
      <c r="AB2731" s="35"/>
      <c r="AC2731" s="35"/>
      <c r="AD2731" s="35"/>
      <c r="AE2731" s="35"/>
      <c r="AF2731" s="35"/>
      <c r="AG2731" s="35"/>
      <c r="AH2731" s="35"/>
      <c r="AI2731" s="35"/>
    </row>
    <row r="2732">
      <c r="A2732" s="263"/>
      <c r="B2732" s="264"/>
      <c r="C2732" s="265"/>
      <c r="D2732" s="265"/>
      <c r="E2732" s="264"/>
      <c r="F2732" s="265"/>
      <c r="G2732" s="263"/>
      <c r="H2732" s="432"/>
      <c r="I2732" s="282"/>
      <c r="J2732" s="283"/>
      <c r="K2732" s="265"/>
      <c r="L2732" s="265"/>
      <c r="M2732" s="269"/>
      <c r="N2732" s="270"/>
      <c r="O2732" s="271"/>
      <c r="P2732" s="271"/>
      <c r="Q2732" s="272"/>
      <c r="R2732" s="273"/>
      <c r="S2732" s="273"/>
      <c r="T2732" s="273"/>
      <c r="U2732" s="274"/>
      <c r="V2732" s="263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</row>
    <row r="2733">
      <c r="A2733" s="263"/>
      <c r="B2733" s="264"/>
      <c r="C2733" s="265"/>
      <c r="D2733" s="265"/>
      <c r="E2733" s="264"/>
      <c r="F2733" s="265"/>
      <c r="G2733" s="263"/>
      <c r="H2733" s="432"/>
      <c r="I2733" s="282"/>
      <c r="J2733" s="283"/>
      <c r="K2733" s="265"/>
      <c r="L2733" s="265"/>
      <c r="M2733" s="269"/>
      <c r="N2733" s="270"/>
      <c r="O2733" s="271"/>
      <c r="P2733" s="271"/>
      <c r="Q2733" s="272"/>
      <c r="R2733" s="273"/>
      <c r="S2733" s="273"/>
      <c r="T2733" s="273"/>
      <c r="U2733" s="274"/>
      <c r="V2733" s="263"/>
      <c r="W2733" s="35"/>
      <c r="X2733" s="35"/>
      <c r="Y2733" s="35"/>
      <c r="Z2733" s="35"/>
      <c r="AA2733" s="35"/>
      <c r="AB2733" s="35"/>
      <c r="AC2733" s="35"/>
      <c r="AD2733" s="35"/>
      <c r="AE2733" s="35"/>
      <c r="AF2733" s="35"/>
      <c r="AG2733" s="35"/>
      <c r="AH2733" s="35"/>
      <c r="AI2733" s="35"/>
    </row>
    <row r="2734">
      <c r="A2734" s="263"/>
      <c r="B2734" s="264"/>
      <c r="C2734" s="265"/>
      <c r="D2734" s="265"/>
      <c r="E2734" s="264"/>
      <c r="F2734" s="265"/>
      <c r="G2734" s="263"/>
      <c r="H2734" s="432"/>
      <c r="I2734" s="282"/>
      <c r="J2734" s="283"/>
      <c r="K2734" s="265"/>
      <c r="L2734" s="265"/>
      <c r="M2734" s="269"/>
      <c r="N2734" s="270"/>
      <c r="O2734" s="271"/>
      <c r="P2734" s="271"/>
      <c r="Q2734" s="272"/>
      <c r="R2734" s="273"/>
      <c r="S2734" s="273"/>
      <c r="T2734" s="273"/>
      <c r="U2734" s="274"/>
      <c r="V2734" s="263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</row>
    <row r="2735">
      <c r="A2735" s="263"/>
      <c r="B2735" s="264"/>
      <c r="C2735" s="265"/>
      <c r="D2735" s="265"/>
      <c r="E2735" s="264"/>
      <c r="F2735" s="265"/>
      <c r="G2735" s="263"/>
      <c r="H2735" s="432"/>
      <c r="I2735" s="282"/>
      <c r="J2735" s="283"/>
      <c r="K2735" s="265"/>
      <c r="L2735" s="265"/>
      <c r="M2735" s="269"/>
      <c r="N2735" s="270"/>
      <c r="O2735" s="271"/>
      <c r="P2735" s="271"/>
      <c r="Q2735" s="272"/>
      <c r="R2735" s="273"/>
      <c r="S2735" s="273"/>
      <c r="T2735" s="273"/>
      <c r="U2735" s="274"/>
      <c r="V2735" s="263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</row>
    <row r="2736">
      <c r="A2736" s="263"/>
      <c r="B2736" s="264"/>
      <c r="C2736" s="265"/>
      <c r="D2736" s="265"/>
      <c r="E2736" s="264"/>
      <c r="F2736" s="265"/>
      <c r="G2736" s="263"/>
      <c r="H2736" s="432"/>
      <c r="I2736" s="282"/>
      <c r="J2736" s="283"/>
      <c r="K2736" s="265"/>
      <c r="L2736" s="265"/>
      <c r="M2736" s="269"/>
      <c r="N2736" s="270"/>
      <c r="O2736" s="271"/>
      <c r="P2736" s="271"/>
      <c r="Q2736" s="272"/>
      <c r="R2736" s="273"/>
      <c r="S2736" s="273"/>
      <c r="T2736" s="273"/>
      <c r="U2736" s="274"/>
      <c r="V2736" s="263"/>
      <c r="W2736" s="188"/>
      <c r="X2736" s="188"/>
      <c r="Y2736" s="188"/>
      <c r="Z2736" s="188"/>
      <c r="AA2736" s="188"/>
      <c r="AB2736" s="188"/>
      <c r="AC2736" s="188"/>
      <c r="AD2736" s="188"/>
      <c r="AE2736" s="188"/>
      <c r="AF2736" s="188"/>
      <c r="AG2736" s="188"/>
      <c r="AH2736" s="188"/>
      <c r="AI2736" s="188"/>
    </row>
    <row r="2737">
      <c r="A2737" s="263"/>
      <c r="B2737" s="264"/>
      <c r="C2737" s="265"/>
      <c r="D2737" s="265"/>
      <c r="E2737" s="264"/>
      <c r="F2737" s="265"/>
      <c r="G2737" s="263"/>
      <c r="H2737" s="432"/>
      <c r="I2737" s="282"/>
      <c r="J2737" s="283"/>
      <c r="K2737" s="265"/>
      <c r="L2737" s="265"/>
      <c r="M2737" s="269"/>
      <c r="N2737" s="270"/>
      <c r="O2737" s="271"/>
      <c r="P2737" s="271"/>
      <c r="Q2737" s="272"/>
      <c r="R2737" s="273"/>
      <c r="S2737" s="273"/>
      <c r="T2737" s="273"/>
      <c r="U2737" s="274"/>
      <c r="V2737" s="263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</row>
    <row r="2738">
      <c r="A2738" s="263"/>
      <c r="B2738" s="264"/>
      <c r="C2738" s="265"/>
      <c r="D2738" s="265"/>
      <c r="E2738" s="264"/>
      <c r="F2738" s="265"/>
      <c r="G2738" s="263"/>
      <c r="H2738" s="432"/>
      <c r="I2738" s="282"/>
      <c r="J2738" s="283"/>
      <c r="K2738" s="265"/>
      <c r="L2738" s="265"/>
      <c r="M2738" s="269"/>
      <c r="N2738" s="270"/>
      <c r="O2738" s="271"/>
      <c r="P2738" s="271"/>
      <c r="Q2738" s="272"/>
      <c r="R2738" s="273"/>
      <c r="S2738" s="273"/>
      <c r="T2738" s="273"/>
      <c r="U2738" s="274"/>
      <c r="V2738" s="263"/>
      <c r="W2738" s="35"/>
      <c r="X2738" s="35"/>
      <c r="Y2738" s="35"/>
      <c r="Z2738" s="35"/>
      <c r="AA2738" s="35"/>
      <c r="AB2738" s="35"/>
      <c r="AC2738" s="35"/>
      <c r="AD2738" s="35"/>
      <c r="AE2738" s="35"/>
      <c r="AF2738" s="35"/>
      <c r="AG2738" s="35"/>
      <c r="AH2738" s="35"/>
      <c r="AI2738" s="35"/>
    </row>
    <row r="2739">
      <c r="A2739" s="263"/>
      <c r="B2739" s="264"/>
      <c r="C2739" s="265"/>
      <c r="D2739" s="265"/>
      <c r="E2739" s="264"/>
      <c r="F2739" s="265"/>
      <c r="G2739" s="263"/>
      <c r="H2739" s="432"/>
      <c r="I2739" s="282"/>
      <c r="J2739" s="283"/>
      <c r="K2739" s="265"/>
      <c r="L2739" s="265"/>
      <c r="M2739" s="269"/>
      <c r="N2739" s="270"/>
      <c r="O2739" s="271"/>
      <c r="P2739" s="271"/>
      <c r="Q2739" s="272"/>
      <c r="R2739" s="273"/>
      <c r="S2739" s="273"/>
      <c r="T2739" s="273"/>
      <c r="U2739" s="274"/>
      <c r="V2739" s="263"/>
      <c r="W2739" s="188"/>
      <c r="X2739" s="188"/>
      <c r="Y2739" s="188"/>
      <c r="Z2739" s="188"/>
      <c r="AA2739" s="188"/>
      <c r="AB2739" s="188"/>
      <c r="AC2739" s="188"/>
      <c r="AD2739" s="188"/>
      <c r="AE2739" s="188"/>
      <c r="AF2739" s="188"/>
      <c r="AG2739" s="188"/>
      <c r="AH2739" s="188"/>
      <c r="AI2739" s="188"/>
    </row>
    <row r="2740">
      <c r="A2740" s="263"/>
      <c r="B2740" s="264"/>
      <c r="C2740" s="265"/>
      <c r="D2740" s="265"/>
      <c r="E2740" s="264"/>
      <c r="F2740" s="265"/>
      <c r="G2740" s="263"/>
      <c r="H2740" s="432"/>
      <c r="I2740" s="282"/>
      <c r="J2740" s="283"/>
      <c r="K2740" s="265"/>
      <c r="L2740" s="265"/>
      <c r="M2740" s="269"/>
      <c r="N2740" s="270"/>
      <c r="O2740" s="271"/>
      <c r="P2740" s="271"/>
      <c r="Q2740" s="272"/>
      <c r="R2740" s="273"/>
      <c r="S2740" s="273"/>
      <c r="T2740" s="273"/>
      <c r="U2740" s="274"/>
      <c r="V2740" s="263"/>
      <c r="W2740" s="188"/>
      <c r="X2740" s="188"/>
      <c r="Y2740" s="188"/>
      <c r="Z2740" s="188"/>
      <c r="AA2740" s="188"/>
      <c r="AB2740" s="188"/>
      <c r="AC2740" s="188"/>
      <c r="AD2740" s="188"/>
      <c r="AE2740" s="188"/>
      <c r="AF2740" s="188"/>
      <c r="AG2740" s="188"/>
      <c r="AH2740" s="188"/>
      <c r="AI2740" s="188"/>
    </row>
    <row r="2741">
      <c r="A2741" s="263"/>
      <c r="B2741" s="264"/>
      <c r="C2741" s="265"/>
      <c r="D2741" s="265"/>
      <c r="E2741" s="264"/>
      <c r="F2741" s="265"/>
      <c r="G2741" s="263"/>
      <c r="H2741" s="432"/>
      <c r="I2741" s="282"/>
      <c r="J2741" s="283"/>
      <c r="K2741" s="265"/>
      <c r="L2741" s="265"/>
      <c r="M2741" s="269"/>
      <c r="N2741" s="270"/>
      <c r="O2741" s="271"/>
      <c r="P2741" s="271"/>
      <c r="Q2741" s="272"/>
      <c r="R2741" s="273"/>
      <c r="S2741" s="273"/>
      <c r="T2741" s="273"/>
      <c r="U2741" s="274"/>
      <c r="V2741" s="263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</row>
    <row r="2742">
      <c r="A2742" s="263"/>
      <c r="B2742" s="264"/>
      <c r="C2742" s="265"/>
      <c r="D2742" s="265"/>
      <c r="E2742" s="264"/>
      <c r="F2742" s="265"/>
      <c r="G2742" s="263"/>
      <c r="H2742" s="432"/>
      <c r="I2742" s="282"/>
      <c r="J2742" s="283"/>
      <c r="K2742" s="265"/>
      <c r="L2742" s="265"/>
      <c r="M2742" s="269"/>
      <c r="N2742" s="270"/>
      <c r="O2742" s="271"/>
      <c r="P2742" s="271"/>
      <c r="Q2742" s="272"/>
      <c r="R2742" s="273"/>
      <c r="S2742" s="273"/>
      <c r="T2742" s="273"/>
      <c r="U2742" s="274"/>
      <c r="V2742" s="263"/>
      <c r="W2742" s="188"/>
      <c r="X2742" s="188"/>
      <c r="Y2742" s="188"/>
      <c r="Z2742" s="188"/>
      <c r="AA2742" s="188"/>
      <c r="AB2742" s="188"/>
      <c r="AC2742" s="188"/>
      <c r="AD2742" s="188"/>
      <c r="AE2742" s="188"/>
      <c r="AF2742" s="188"/>
      <c r="AG2742" s="188"/>
      <c r="AH2742" s="188"/>
      <c r="AI2742" s="188"/>
    </row>
    <row r="2743">
      <c r="A2743" s="263"/>
      <c r="B2743" s="264"/>
      <c r="C2743" s="265"/>
      <c r="D2743" s="265"/>
      <c r="E2743" s="264"/>
      <c r="F2743" s="265"/>
      <c r="G2743" s="263"/>
      <c r="H2743" s="432"/>
      <c r="I2743" s="282"/>
      <c r="J2743" s="283"/>
      <c r="K2743" s="265"/>
      <c r="L2743" s="265"/>
      <c r="M2743" s="269"/>
      <c r="N2743" s="270"/>
      <c r="O2743" s="271"/>
      <c r="P2743" s="271"/>
      <c r="Q2743" s="272"/>
      <c r="R2743" s="273"/>
      <c r="S2743" s="273"/>
      <c r="T2743" s="273"/>
      <c r="U2743" s="274"/>
      <c r="V2743" s="263"/>
      <c r="W2743" s="35"/>
      <c r="X2743" s="35"/>
      <c r="Y2743" s="35"/>
      <c r="Z2743" s="35"/>
      <c r="AA2743" s="35"/>
      <c r="AB2743" s="35"/>
      <c r="AC2743" s="35"/>
      <c r="AD2743" s="35"/>
      <c r="AE2743" s="35"/>
      <c r="AF2743" s="35"/>
      <c r="AG2743" s="35"/>
      <c r="AH2743" s="35"/>
      <c r="AI2743" s="35"/>
    </row>
    <row r="2744">
      <c r="A2744" s="263"/>
      <c r="B2744" s="264"/>
      <c r="C2744" s="265"/>
      <c r="D2744" s="265"/>
      <c r="E2744" s="264"/>
      <c r="F2744" s="265"/>
      <c r="G2744" s="263"/>
      <c r="H2744" s="432"/>
      <c r="I2744" s="282"/>
      <c r="J2744" s="283"/>
      <c r="K2744" s="265"/>
      <c r="L2744" s="265"/>
      <c r="M2744" s="269"/>
      <c r="N2744" s="270"/>
      <c r="O2744" s="271"/>
      <c r="P2744" s="271"/>
      <c r="Q2744" s="272"/>
      <c r="R2744" s="273"/>
      <c r="S2744" s="273"/>
      <c r="T2744" s="273"/>
      <c r="U2744" s="274"/>
      <c r="V2744" s="263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</row>
    <row r="2745">
      <c r="A2745" s="263"/>
      <c r="B2745" s="264"/>
      <c r="C2745" s="265"/>
      <c r="D2745" s="265"/>
      <c r="E2745" s="264"/>
      <c r="F2745" s="265"/>
      <c r="G2745" s="263"/>
      <c r="H2745" s="432"/>
      <c r="I2745" s="282"/>
      <c r="J2745" s="283"/>
      <c r="K2745" s="265"/>
      <c r="L2745" s="265"/>
      <c r="M2745" s="269"/>
      <c r="N2745" s="270"/>
      <c r="O2745" s="271"/>
      <c r="P2745" s="271"/>
      <c r="Q2745" s="272"/>
      <c r="R2745" s="273"/>
      <c r="S2745" s="273"/>
      <c r="T2745" s="273"/>
      <c r="U2745" s="274"/>
      <c r="V2745" s="263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</row>
    <row r="2746">
      <c r="A2746" s="263"/>
      <c r="B2746" s="264"/>
      <c r="C2746" s="265"/>
      <c r="D2746" s="265"/>
      <c r="E2746" s="264"/>
      <c r="F2746" s="265"/>
      <c r="G2746" s="263"/>
      <c r="H2746" s="432"/>
      <c r="I2746" s="282"/>
      <c r="J2746" s="283"/>
      <c r="K2746" s="265"/>
      <c r="L2746" s="265"/>
      <c r="M2746" s="269"/>
      <c r="N2746" s="270"/>
      <c r="O2746" s="271"/>
      <c r="P2746" s="271"/>
      <c r="Q2746" s="272"/>
      <c r="R2746" s="273"/>
      <c r="S2746" s="273"/>
      <c r="T2746" s="273"/>
      <c r="U2746" s="274"/>
      <c r="V2746" s="263"/>
      <c r="W2746" s="35"/>
      <c r="X2746" s="35"/>
      <c r="Y2746" s="35"/>
      <c r="Z2746" s="35"/>
      <c r="AA2746" s="35"/>
      <c r="AB2746" s="35"/>
      <c r="AC2746" s="35"/>
      <c r="AD2746" s="35"/>
      <c r="AE2746" s="35"/>
      <c r="AF2746" s="35"/>
      <c r="AG2746" s="35"/>
      <c r="AH2746" s="35"/>
      <c r="AI2746" s="35"/>
    </row>
    <row r="2747">
      <c r="A2747" s="263"/>
      <c r="B2747" s="264"/>
      <c r="C2747" s="265"/>
      <c r="D2747" s="265"/>
      <c r="E2747" s="264"/>
      <c r="F2747" s="265"/>
      <c r="G2747" s="263"/>
      <c r="H2747" s="432"/>
      <c r="I2747" s="282"/>
      <c r="J2747" s="283"/>
      <c r="K2747" s="265"/>
      <c r="L2747" s="265"/>
      <c r="M2747" s="269"/>
      <c r="N2747" s="270"/>
      <c r="O2747" s="271"/>
      <c r="P2747" s="271"/>
      <c r="Q2747" s="272"/>
      <c r="R2747" s="273"/>
      <c r="S2747" s="273"/>
      <c r="T2747" s="273"/>
      <c r="U2747" s="274"/>
      <c r="V2747" s="263"/>
      <c r="W2747" s="35"/>
      <c r="X2747" s="35"/>
      <c r="Y2747" s="35"/>
      <c r="Z2747" s="35"/>
      <c r="AA2747" s="35"/>
      <c r="AB2747" s="35"/>
      <c r="AC2747" s="35"/>
      <c r="AD2747" s="35"/>
      <c r="AE2747" s="35"/>
      <c r="AF2747" s="35"/>
      <c r="AG2747" s="35"/>
      <c r="AH2747" s="35"/>
      <c r="AI2747" s="35"/>
    </row>
    <row r="2748">
      <c r="A2748" s="263"/>
      <c r="B2748" s="264"/>
      <c r="C2748" s="265"/>
      <c r="D2748" s="265"/>
      <c r="E2748" s="264"/>
      <c r="F2748" s="265"/>
      <c r="G2748" s="263"/>
      <c r="H2748" s="432"/>
      <c r="I2748" s="282"/>
      <c r="J2748" s="283"/>
      <c r="K2748" s="265"/>
      <c r="L2748" s="265"/>
      <c r="M2748" s="269"/>
      <c r="N2748" s="270"/>
      <c r="O2748" s="271"/>
      <c r="P2748" s="271"/>
      <c r="Q2748" s="272"/>
      <c r="R2748" s="273"/>
      <c r="S2748" s="273"/>
      <c r="T2748" s="273"/>
      <c r="U2748" s="274"/>
      <c r="V2748" s="263"/>
      <c r="W2748" s="188"/>
      <c r="X2748" s="188"/>
      <c r="Y2748" s="188"/>
      <c r="Z2748" s="188"/>
      <c r="AA2748" s="188"/>
      <c r="AB2748" s="188"/>
      <c r="AC2748" s="188"/>
      <c r="AD2748" s="188"/>
      <c r="AE2748" s="188"/>
      <c r="AF2748" s="188"/>
      <c r="AG2748" s="188"/>
      <c r="AH2748" s="188"/>
      <c r="AI2748" s="188"/>
    </row>
    <row r="2749">
      <c r="A2749" s="263"/>
      <c r="B2749" s="264"/>
      <c r="C2749" s="265"/>
      <c r="D2749" s="265"/>
      <c r="E2749" s="264"/>
      <c r="F2749" s="265"/>
      <c r="G2749" s="263"/>
      <c r="H2749" s="432"/>
      <c r="I2749" s="282"/>
      <c r="J2749" s="283"/>
      <c r="K2749" s="265"/>
      <c r="L2749" s="265"/>
      <c r="M2749" s="269"/>
      <c r="N2749" s="270"/>
      <c r="O2749" s="271"/>
      <c r="P2749" s="271"/>
      <c r="Q2749" s="272"/>
      <c r="R2749" s="273"/>
      <c r="S2749" s="273"/>
      <c r="T2749" s="273"/>
      <c r="U2749" s="274"/>
      <c r="V2749" s="263"/>
      <c r="W2749" s="188"/>
      <c r="X2749" s="188"/>
      <c r="Y2749" s="188"/>
      <c r="Z2749" s="188"/>
      <c r="AA2749" s="188"/>
      <c r="AB2749" s="188"/>
      <c r="AC2749" s="188"/>
      <c r="AD2749" s="188"/>
      <c r="AE2749" s="188"/>
      <c r="AF2749" s="188"/>
      <c r="AG2749" s="188"/>
      <c r="AH2749" s="188"/>
      <c r="AI2749" s="188"/>
    </row>
    <row r="2750">
      <c r="A2750" s="263"/>
      <c r="B2750" s="264"/>
      <c r="C2750" s="265"/>
      <c r="D2750" s="265"/>
      <c r="E2750" s="264"/>
      <c r="F2750" s="265"/>
      <c r="G2750" s="263"/>
      <c r="H2750" s="432"/>
      <c r="I2750" s="282"/>
      <c r="J2750" s="283"/>
      <c r="K2750" s="265"/>
      <c r="L2750" s="265"/>
      <c r="M2750" s="269"/>
      <c r="N2750" s="270"/>
      <c r="O2750" s="271"/>
      <c r="P2750" s="271"/>
      <c r="Q2750" s="272"/>
      <c r="R2750" s="273"/>
      <c r="S2750" s="273"/>
      <c r="T2750" s="273"/>
      <c r="U2750" s="274"/>
      <c r="V2750" s="263"/>
      <c r="W2750" s="35"/>
      <c r="X2750" s="35"/>
      <c r="Y2750" s="35"/>
      <c r="Z2750" s="35"/>
      <c r="AA2750" s="35"/>
      <c r="AB2750" s="35"/>
      <c r="AC2750" s="35"/>
      <c r="AD2750" s="35"/>
      <c r="AE2750" s="35"/>
      <c r="AF2750" s="35"/>
      <c r="AG2750" s="35"/>
      <c r="AH2750" s="35"/>
      <c r="AI2750" s="35"/>
    </row>
    <row r="2751">
      <c r="A2751" s="263"/>
      <c r="B2751" s="264"/>
      <c r="C2751" s="265"/>
      <c r="D2751" s="265"/>
      <c r="E2751" s="264"/>
      <c r="F2751" s="265"/>
      <c r="G2751" s="263"/>
      <c r="H2751" s="432"/>
      <c r="I2751" s="282"/>
      <c r="J2751" s="283"/>
      <c r="K2751" s="265"/>
      <c r="L2751" s="265"/>
      <c r="M2751" s="269"/>
      <c r="N2751" s="270"/>
      <c r="O2751" s="271"/>
      <c r="P2751" s="271"/>
      <c r="Q2751" s="272"/>
      <c r="R2751" s="273"/>
      <c r="S2751" s="273"/>
      <c r="T2751" s="273"/>
      <c r="U2751" s="274"/>
      <c r="V2751" s="263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</row>
    <row r="2752">
      <c r="A2752" s="263"/>
      <c r="B2752" s="264"/>
      <c r="C2752" s="265"/>
      <c r="D2752" s="265"/>
      <c r="E2752" s="264"/>
      <c r="F2752" s="265"/>
      <c r="G2752" s="263"/>
      <c r="H2752" s="432"/>
      <c r="I2752" s="282"/>
      <c r="J2752" s="283"/>
      <c r="K2752" s="265"/>
      <c r="L2752" s="265"/>
      <c r="M2752" s="269"/>
      <c r="N2752" s="270"/>
      <c r="O2752" s="271"/>
      <c r="P2752" s="271"/>
      <c r="Q2752" s="272"/>
      <c r="R2752" s="273"/>
      <c r="S2752" s="273"/>
      <c r="T2752" s="273"/>
      <c r="U2752" s="274"/>
      <c r="V2752" s="263"/>
      <c r="W2752" s="35"/>
      <c r="X2752" s="35"/>
      <c r="Y2752" s="35"/>
      <c r="Z2752" s="35"/>
      <c r="AA2752" s="35"/>
      <c r="AB2752" s="35"/>
      <c r="AC2752" s="35"/>
      <c r="AD2752" s="35"/>
      <c r="AE2752" s="35"/>
      <c r="AF2752" s="35"/>
      <c r="AG2752" s="35"/>
      <c r="AH2752" s="35"/>
      <c r="AI2752" s="35"/>
    </row>
    <row r="2753">
      <c r="A2753" s="263"/>
      <c r="B2753" s="264"/>
      <c r="C2753" s="265"/>
      <c r="D2753" s="265"/>
      <c r="E2753" s="264"/>
      <c r="F2753" s="265"/>
      <c r="G2753" s="263"/>
      <c r="H2753" s="432"/>
      <c r="I2753" s="282"/>
      <c r="J2753" s="283"/>
      <c r="K2753" s="265"/>
      <c r="L2753" s="265"/>
      <c r="M2753" s="269"/>
      <c r="N2753" s="270"/>
      <c r="O2753" s="271"/>
      <c r="P2753" s="271"/>
      <c r="Q2753" s="272"/>
      <c r="R2753" s="273"/>
      <c r="S2753" s="273"/>
      <c r="T2753" s="273"/>
      <c r="U2753" s="274"/>
      <c r="V2753" s="263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</row>
    <row r="2754">
      <c r="A2754" s="263"/>
      <c r="B2754" s="264"/>
      <c r="C2754" s="265"/>
      <c r="D2754" s="265"/>
      <c r="E2754" s="264"/>
      <c r="F2754" s="265"/>
      <c r="G2754" s="263"/>
      <c r="H2754" s="432"/>
      <c r="I2754" s="282"/>
      <c r="J2754" s="283"/>
      <c r="K2754" s="265"/>
      <c r="L2754" s="265"/>
      <c r="M2754" s="269"/>
      <c r="N2754" s="270"/>
      <c r="O2754" s="271"/>
      <c r="P2754" s="271"/>
      <c r="Q2754" s="272"/>
      <c r="R2754" s="273"/>
      <c r="S2754" s="273"/>
      <c r="T2754" s="273"/>
      <c r="U2754" s="274"/>
      <c r="V2754" s="263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</row>
    <row r="2755">
      <c r="A2755" s="263"/>
      <c r="B2755" s="264"/>
      <c r="C2755" s="265"/>
      <c r="D2755" s="265"/>
      <c r="E2755" s="264"/>
      <c r="F2755" s="265"/>
      <c r="G2755" s="263"/>
      <c r="H2755" s="432"/>
      <c r="I2755" s="282"/>
      <c r="J2755" s="283"/>
      <c r="K2755" s="265"/>
      <c r="L2755" s="265"/>
      <c r="M2755" s="269"/>
      <c r="N2755" s="270"/>
      <c r="O2755" s="271"/>
      <c r="P2755" s="271"/>
      <c r="Q2755" s="272"/>
      <c r="R2755" s="273"/>
      <c r="S2755" s="273"/>
      <c r="T2755" s="273"/>
      <c r="U2755" s="274"/>
      <c r="V2755" s="263"/>
      <c r="W2755" s="188"/>
      <c r="X2755" s="188"/>
      <c r="Y2755" s="188"/>
      <c r="Z2755" s="188"/>
      <c r="AA2755" s="188"/>
      <c r="AB2755" s="188"/>
      <c r="AC2755" s="188"/>
      <c r="AD2755" s="188"/>
      <c r="AE2755" s="188"/>
      <c r="AF2755" s="188"/>
      <c r="AG2755" s="188"/>
      <c r="AH2755" s="188"/>
      <c r="AI2755" s="188"/>
    </row>
    <row r="2756">
      <c r="A2756" s="263"/>
      <c r="B2756" s="264"/>
      <c r="C2756" s="265"/>
      <c r="D2756" s="265"/>
      <c r="E2756" s="264"/>
      <c r="F2756" s="265"/>
      <c r="G2756" s="263"/>
      <c r="H2756" s="432"/>
      <c r="I2756" s="282"/>
      <c r="J2756" s="283"/>
      <c r="K2756" s="265"/>
      <c r="L2756" s="265"/>
      <c r="M2756" s="269"/>
      <c r="N2756" s="270"/>
      <c r="O2756" s="271"/>
      <c r="P2756" s="271"/>
      <c r="Q2756" s="272"/>
      <c r="R2756" s="273"/>
      <c r="S2756" s="273"/>
      <c r="T2756" s="273"/>
      <c r="U2756" s="274"/>
      <c r="V2756" s="263"/>
      <c r="W2756" s="35"/>
      <c r="X2756" s="35"/>
      <c r="Y2756" s="35"/>
      <c r="Z2756" s="35"/>
      <c r="AA2756" s="35"/>
      <c r="AB2756" s="35"/>
      <c r="AC2756" s="35"/>
      <c r="AD2756" s="35"/>
      <c r="AE2756" s="35"/>
      <c r="AF2756" s="35"/>
      <c r="AG2756" s="35"/>
      <c r="AH2756" s="35"/>
      <c r="AI2756" s="35"/>
    </row>
    <row r="2757">
      <c r="A2757" s="263"/>
      <c r="B2757" s="264"/>
      <c r="C2757" s="265"/>
      <c r="D2757" s="265"/>
      <c r="E2757" s="264"/>
      <c r="F2757" s="265"/>
      <c r="G2757" s="263"/>
      <c r="H2757" s="432"/>
      <c r="I2757" s="282"/>
      <c r="J2757" s="283"/>
      <c r="K2757" s="265"/>
      <c r="L2757" s="265"/>
      <c r="M2757" s="269"/>
      <c r="N2757" s="270"/>
      <c r="O2757" s="271"/>
      <c r="P2757" s="271"/>
      <c r="Q2757" s="272"/>
      <c r="R2757" s="273"/>
      <c r="S2757" s="273"/>
      <c r="T2757" s="273"/>
      <c r="U2757" s="274"/>
      <c r="V2757" s="263"/>
      <c r="W2757" s="188"/>
      <c r="X2757" s="188"/>
      <c r="Y2757" s="188"/>
      <c r="Z2757" s="188"/>
      <c r="AA2757" s="188"/>
      <c r="AB2757" s="188"/>
      <c r="AC2757" s="188"/>
      <c r="AD2757" s="188"/>
      <c r="AE2757" s="188"/>
      <c r="AF2757" s="188"/>
      <c r="AG2757" s="188"/>
      <c r="AH2757" s="188"/>
      <c r="AI2757" s="188"/>
    </row>
    <row r="2758">
      <c r="A2758" s="263"/>
      <c r="B2758" s="264"/>
      <c r="C2758" s="265"/>
      <c r="D2758" s="265"/>
      <c r="E2758" s="264"/>
      <c r="F2758" s="265"/>
      <c r="G2758" s="263"/>
      <c r="H2758" s="432"/>
      <c r="I2758" s="282"/>
      <c r="J2758" s="283"/>
      <c r="K2758" s="265"/>
      <c r="L2758" s="265"/>
      <c r="M2758" s="269"/>
      <c r="N2758" s="270"/>
      <c r="O2758" s="271"/>
      <c r="P2758" s="271"/>
      <c r="Q2758" s="272"/>
      <c r="R2758" s="273"/>
      <c r="S2758" s="273"/>
      <c r="T2758" s="273"/>
      <c r="U2758" s="274"/>
      <c r="V2758" s="263"/>
      <c r="W2758" s="35"/>
      <c r="X2758" s="35"/>
      <c r="Y2758" s="35"/>
      <c r="Z2758" s="35"/>
      <c r="AA2758" s="35"/>
      <c r="AB2758" s="35"/>
      <c r="AC2758" s="35"/>
      <c r="AD2758" s="35"/>
      <c r="AE2758" s="35"/>
      <c r="AF2758" s="35"/>
      <c r="AG2758" s="35"/>
      <c r="AH2758" s="35"/>
      <c r="AI2758" s="35"/>
    </row>
    <row r="2759">
      <c r="A2759" s="263"/>
      <c r="B2759" s="264"/>
      <c r="C2759" s="265"/>
      <c r="D2759" s="265"/>
      <c r="E2759" s="264"/>
      <c r="F2759" s="265"/>
      <c r="G2759" s="263"/>
      <c r="H2759" s="432"/>
      <c r="I2759" s="282"/>
      <c r="J2759" s="283"/>
      <c r="K2759" s="265"/>
      <c r="L2759" s="265"/>
      <c r="M2759" s="269"/>
      <c r="N2759" s="270"/>
      <c r="O2759" s="271"/>
      <c r="P2759" s="271"/>
      <c r="Q2759" s="272"/>
      <c r="R2759" s="273"/>
      <c r="S2759" s="273"/>
      <c r="T2759" s="273"/>
      <c r="U2759" s="274"/>
      <c r="V2759" s="263"/>
      <c r="W2759" s="35"/>
      <c r="X2759" s="35"/>
      <c r="Y2759" s="35"/>
      <c r="Z2759" s="35"/>
      <c r="AA2759" s="35"/>
      <c r="AB2759" s="35"/>
      <c r="AC2759" s="35"/>
      <c r="AD2759" s="35"/>
      <c r="AE2759" s="35"/>
      <c r="AF2759" s="35"/>
      <c r="AG2759" s="35"/>
      <c r="AH2759" s="35"/>
      <c r="AI2759" s="35"/>
    </row>
    <row r="2760">
      <c r="A2760" s="263"/>
      <c r="B2760" s="264"/>
      <c r="C2760" s="265"/>
      <c r="D2760" s="265"/>
      <c r="E2760" s="264"/>
      <c r="F2760" s="265"/>
      <c r="G2760" s="263"/>
      <c r="H2760" s="432"/>
      <c r="I2760" s="282"/>
      <c r="J2760" s="283"/>
      <c r="K2760" s="265"/>
      <c r="L2760" s="265"/>
      <c r="M2760" s="269"/>
      <c r="N2760" s="270"/>
      <c r="O2760" s="271"/>
      <c r="P2760" s="271"/>
      <c r="Q2760" s="272"/>
      <c r="R2760" s="273"/>
      <c r="S2760" s="273"/>
      <c r="T2760" s="273"/>
      <c r="U2760" s="274"/>
      <c r="V2760" s="263"/>
      <c r="W2760" s="188"/>
      <c r="X2760" s="188"/>
      <c r="Y2760" s="188"/>
      <c r="Z2760" s="188"/>
      <c r="AA2760" s="188"/>
      <c r="AB2760" s="188"/>
      <c r="AC2760" s="188"/>
      <c r="AD2760" s="188"/>
      <c r="AE2760" s="188"/>
      <c r="AF2760" s="188"/>
      <c r="AG2760" s="188"/>
      <c r="AH2760" s="188"/>
      <c r="AI2760" s="188"/>
    </row>
    <row r="2761">
      <c r="A2761" s="263"/>
      <c r="B2761" s="264"/>
      <c r="C2761" s="265"/>
      <c r="D2761" s="265"/>
      <c r="E2761" s="264"/>
      <c r="F2761" s="265"/>
      <c r="G2761" s="263"/>
      <c r="H2761" s="432"/>
      <c r="I2761" s="282"/>
      <c r="J2761" s="283"/>
      <c r="K2761" s="265"/>
      <c r="L2761" s="265"/>
      <c r="M2761" s="269"/>
      <c r="N2761" s="270"/>
      <c r="O2761" s="271"/>
      <c r="P2761" s="271"/>
      <c r="Q2761" s="272"/>
      <c r="R2761" s="273"/>
      <c r="S2761" s="273"/>
      <c r="T2761" s="273"/>
      <c r="U2761" s="274"/>
      <c r="V2761" s="263"/>
      <c r="W2761" s="35"/>
      <c r="X2761" s="35"/>
      <c r="Y2761" s="35"/>
      <c r="Z2761" s="35"/>
      <c r="AA2761" s="35"/>
      <c r="AB2761" s="35"/>
      <c r="AC2761" s="35"/>
      <c r="AD2761" s="35"/>
      <c r="AE2761" s="35"/>
      <c r="AF2761" s="35"/>
      <c r="AG2761" s="35"/>
      <c r="AH2761" s="35"/>
      <c r="AI2761" s="35"/>
    </row>
    <row r="2762">
      <c r="A2762" s="263"/>
      <c r="B2762" s="264"/>
      <c r="C2762" s="265"/>
      <c r="D2762" s="265"/>
      <c r="E2762" s="264"/>
      <c r="F2762" s="265"/>
      <c r="G2762" s="263"/>
      <c r="H2762" s="432"/>
      <c r="I2762" s="282"/>
      <c r="J2762" s="283"/>
      <c r="K2762" s="265"/>
      <c r="L2762" s="265"/>
      <c r="M2762" s="269"/>
      <c r="N2762" s="270"/>
      <c r="O2762" s="271"/>
      <c r="P2762" s="271"/>
      <c r="Q2762" s="272"/>
      <c r="R2762" s="273"/>
      <c r="S2762" s="273"/>
      <c r="T2762" s="273"/>
      <c r="U2762" s="274"/>
      <c r="V2762" s="263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</row>
    <row r="2763">
      <c r="A2763" s="263"/>
      <c r="B2763" s="264"/>
      <c r="C2763" s="265"/>
      <c r="D2763" s="265"/>
      <c r="E2763" s="264"/>
      <c r="F2763" s="265"/>
      <c r="G2763" s="263"/>
      <c r="H2763" s="432"/>
      <c r="I2763" s="282"/>
      <c r="J2763" s="283"/>
      <c r="K2763" s="265"/>
      <c r="L2763" s="265"/>
      <c r="M2763" s="269"/>
      <c r="N2763" s="270"/>
      <c r="O2763" s="271"/>
      <c r="P2763" s="271"/>
      <c r="Q2763" s="272"/>
      <c r="R2763" s="273"/>
      <c r="S2763" s="273"/>
      <c r="T2763" s="273"/>
      <c r="U2763" s="274"/>
      <c r="V2763" s="263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</row>
    <row r="2764">
      <c r="A2764" s="263"/>
      <c r="B2764" s="264"/>
      <c r="C2764" s="265"/>
      <c r="D2764" s="265"/>
      <c r="E2764" s="264"/>
      <c r="F2764" s="265"/>
      <c r="G2764" s="263"/>
      <c r="H2764" s="432"/>
      <c r="I2764" s="282"/>
      <c r="J2764" s="283"/>
      <c r="K2764" s="265"/>
      <c r="L2764" s="265"/>
      <c r="M2764" s="269"/>
      <c r="N2764" s="270"/>
      <c r="O2764" s="271"/>
      <c r="P2764" s="271"/>
      <c r="Q2764" s="272"/>
      <c r="R2764" s="273"/>
      <c r="S2764" s="273"/>
      <c r="T2764" s="273"/>
      <c r="U2764" s="274"/>
      <c r="V2764" s="263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</row>
    <row r="2765">
      <c r="A2765" s="263"/>
      <c r="B2765" s="264"/>
      <c r="C2765" s="265"/>
      <c r="D2765" s="265"/>
      <c r="E2765" s="264"/>
      <c r="F2765" s="265"/>
      <c r="G2765" s="263"/>
      <c r="H2765" s="432"/>
      <c r="I2765" s="282"/>
      <c r="J2765" s="283"/>
      <c r="K2765" s="265"/>
      <c r="L2765" s="265"/>
      <c r="M2765" s="269"/>
      <c r="N2765" s="270"/>
      <c r="O2765" s="271"/>
      <c r="P2765" s="271"/>
      <c r="Q2765" s="272"/>
      <c r="R2765" s="273"/>
      <c r="S2765" s="273"/>
      <c r="T2765" s="273"/>
      <c r="U2765" s="274"/>
      <c r="V2765" s="263"/>
      <c r="W2765" s="188"/>
      <c r="X2765" s="188"/>
      <c r="Y2765" s="188"/>
      <c r="Z2765" s="188"/>
      <c r="AA2765" s="188"/>
      <c r="AB2765" s="188"/>
      <c r="AC2765" s="188"/>
      <c r="AD2765" s="188"/>
      <c r="AE2765" s="188"/>
      <c r="AF2765" s="188"/>
      <c r="AG2765" s="188"/>
      <c r="AH2765" s="188"/>
      <c r="AI2765" s="188"/>
    </row>
    <row r="2766">
      <c r="A2766" s="263"/>
      <c r="B2766" s="264"/>
      <c r="C2766" s="265"/>
      <c r="D2766" s="265"/>
      <c r="E2766" s="264"/>
      <c r="F2766" s="265"/>
      <c r="G2766" s="263"/>
      <c r="H2766" s="432"/>
      <c r="I2766" s="282"/>
      <c r="J2766" s="283"/>
      <c r="K2766" s="265"/>
      <c r="L2766" s="265"/>
      <c r="M2766" s="269"/>
      <c r="N2766" s="270"/>
      <c r="O2766" s="271"/>
      <c r="P2766" s="271"/>
      <c r="Q2766" s="272"/>
      <c r="R2766" s="273"/>
      <c r="S2766" s="273"/>
      <c r="T2766" s="273"/>
      <c r="U2766" s="274"/>
      <c r="V2766" s="263"/>
      <c r="W2766" s="188"/>
      <c r="X2766" s="188"/>
      <c r="Y2766" s="188"/>
      <c r="Z2766" s="188"/>
      <c r="AA2766" s="188"/>
      <c r="AB2766" s="188"/>
      <c r="AC2766" s="188"/>
      <c r="AD2766" s="188"/>
      <c r="AE2766" s="188"/>
      <c r="AF2766" s="188"/>
      <c r="AG2766" s="188"/>
      <c r="AH2766" s="188"/>
      <c r="AI2766" s="188"/>
    </row>
    <row r="2767">
      <c r="A2767" s="263"/>
      <c r="B2767" s="264"/>
      <c r="C2767" s="265"/>
      <c r="D2767" s="265"/>
      <c r="E2767" s="264"/>
      <c r="F2767" s="265"/>
      <c r="G2767" s="263"/>
      <c r="H2767" s="432"/>
      <c r="I2767" s="282"/>
      <c r="J2767" s="283"/>
      <c r="K2767" s="265"/>
      <c r="L2767" s="265"/>
      <c r="M2767" s="269"/>
      <c r="N2767" s="270"/>
      <c r="O2767" s="271"/>
      <c r="P2767" s="271"/>
      <c r="Q2767" s="272"/>
      <c r="R2767" s="273"/>
      <c r="S2767" s="273"/>
      <c r="T2767" s="273"/>
      <c r="U2767" s="274"/>
      <c r="V2767" s="263"/>
      <c r="W2767" s="188"/>
      <c r="X2767" s="188"/>
      <c r="Y2767" s="188"/>
      <c r="Z2767" s="188"/>
      <c r="AA2767" s="188"/>
      <c r="AB2767" s="188"/>
      <c r="AC2767" s="188"/>
      <c r="AD2767" s="188"/>
      <c r="AE2767" s="188"/>
      <c r="AF2767" s="188"/>
      <c r="AG2767" s="188"/>
      <c r="AH2767" s="188"/>
      <c r="AI2767" s="188"/>
    </row>
    <row r="2768">
      <c r="A2768" s="263"/>
      <c r="B2768" s="264"/>
      <c r="C2768" s="265"/>
      <c r="D2768" s="265"/>
      <c r="E2768" s="264"/>
      <c r="F2768" s="265"/>
      <c r="G2768" s="263"/>
      <c r="H2768" s="432"/>
      <c r="I2768" s="282"/>
      <c r="J2768" s="283"/>
      <c r="K2768" s="265"/>
      <c r="L2768" s="265"/>
      <c r="M2768" s="269"/>
      <c r="N2768" s="270"/>
      <c r="O2768" s="271"/>
      <c r="P2768" s="271"/>
      <c r="Q2768" s="272"/>
      <c r="R2768" s="273"/>
      <c r="S2768" s="273"/>
      <c r="T2768" s="273"/>
      <c r="U2768" s="274"/>
      <c r="V2768" s="263"/>
      <c r="W2768" s="188"/>
      <c r="X2768" s="188"/>
      <c r="Y2768" s="188"/>
      <c r="Z2768" s="188"/>
      <c r="AA2768" s="188"/>
      <c r="AB2768" s="188"/>
      <c r="AC2768" s="188"/>
      <c r="AD2768" s="188"/>
      <c r="AE2768" s="188"/>
      <c r="AF2768" s="188"/>
      <c r="AG2768" s="188"/>
      <c r="AH2768" s="188"/>
      <c r="AI2768" s="188"/>
    </row>
    <row r="2769">
      <c r="A2769" s="263"/>
      <c r="B2769" s="264"/>
      <c r="C2769" s="265"/>
      <c r="D2769" s="265"/>
      <c r="E2769" s="264"/>
      <c r="F2769" s="265"/>
      <c r="G2769" s="263"/>
      <c r="H2769" s="432"/>
      <c r="I2769" s="282"/>
      <c r="J2769" s="283"/>
      <c r="K2769" s="265"/>
      <c r="L2769" s="265"/>
      <c r="M2769" s="269"/>
      <c r="N2769" s="270"/>
      <c r="O2769" s="271"/>
      <c r="P2769" s="271"/>
      <c r="Q2769" s="272"/>
      <c r="R2769" s="273"/>
      <c r="S2769" s="273"/>
      <c r="T2769" s="273"/>
      <c r="U2769" s="274"/>
      <c r="V2769" s="263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</row>
    <row r="2770">
      <c r="A2770" s="263"/>
      <c r="B2770" s="264"/>
      <c r="C2770" s="265"/>
      <c r="D2770" s="265"/>
      <c r="E2770" s="264"/>
      <c r="F2770" s="265"/>
      <c r="G2770" s="263"/>
      <c r="H2770" s="432"/>
      <c r="I2770" s="282"/>
      <c r="J2770" s="283"/>
      <c r="K2770" s="265"/>
      <c r="L2770" s="265"/>
      <c r="M2770" s="269"/>
      <c r="N2770" s="270"/>
      <c r="O2770" s="271"/>
      <c r="P2770" s="271"/>
      <c r="Q2770" s="272"/>
      <c r="R2770" s="273"/>
      <c r="S2770" s="273"/>
      <c r="T2770" s="273"/>
      <c r="U2770" s="274"/>
      <c r="V2770" s="263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</row>
    <row r="2771">
      <c r="A2771" s="263"/>
      <c r="B2771" s="264"/>
      <c r="C2771" s="265"/>
      <c r="D2771" s="265"/>
      <c r="E2771" s="264"/>
      <c r="F2771" s="265"/>
      <c r="G2771" s="263"/>
      <c r="H2771" s="432"/>
      <c r="I2771" s="282"/>
      <c r="J2771" s="283"/>
      <c r="K2771" s="265"/>
      <c r="L2771" s="265"/>
      <c r="M2771" s="269"/>
      <c r="N2771" s="270"/>
      <c r="O2771" s="271"/>
      <c r="P2771" s="271"/>
      <c r="Q2771" s="272"/>
      <c r="R2771" s="273"/>
      <c r="S2771" s="273"/>
      <c r="T2771" s="273"/>
      <c r="U2771" s="274"/>
      <c r="V2771" s="263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  <c r="AH2771" s="35"/>
      <c r="AI2771" s="35"/>
    </row>
    <row r="2772">
      <c r="A2772" s="263"/>
      <c r="B2772" s="264"/>
      <c r="C2772" s="265"/>
      <c r="D2772" s="265"/>
      <c r="E2772" s="264"/>
      <c r="F2772" s="265"/>
      <c r="G2772" s="263"/>
      <c r="H2772" s="432"/>
      <c r="I2772" s="282"/>
      <c r="J2772" s="283"/>
      <c r="K2772" s="265"/>
      <c r="L2772" s="265"/>
      <c r="M2772" s="269"/>
      <c r="N2772" s="270"/>
      <c r="O2772" s="271"/>
      <c r="P2772" s="271"/>
      <c r="Q2772" s="272"/>
      <c r="R2772" s="273"/>
      <c r="S2772" s="273"/>
      <c r="T2772" s="273"/>
      <c r="U2772" s="274"/>
      <c r="V2772" s="263"/>
      <c r="W2772" s="188"/>
      <c r="X2772" s="188"/>
      <c r="Y2772" s="188"/>
      <c r="Z2772" s="188"/>
      <c r="AA2772" s="188"/>
      <c r="AB2772" s="188"/>
      <c r="AC2772" s="188"/>
      <c r="AD2772" s="188"/>
      <c r="AE2772" s="188"/>
      <c r="AF2772" s="188"/>
      <c r="AG2772" s="188"/>
      <c r="AH2772" s="188"/>
      <c r="AI2772" s="188"/>
    </row>
    <row r="2773">
      <c r="A2773" s="263"/>
      <c r="B2773" s="264"/>
      <c r="C2773" s="265"/>
      <c r="D2773" s="265"/>
      <c r="E2773" s="264"/>
      <c r="F2773" s="265"/>
      <c r="G2773" s="263"/>
      <c r="H2773" s="432"/>
      <c r="I2773" s="282"/>
      <c r="J2773" s="283"/>
      <c r="K2773" s="265"/>
      <c r="L2773" s="265"/>
      <c r="M2773" s="269"/>
      <c r="N2773" s="270"/>
      <c r="O2773" s="271"/>
      <c r="P2773" s="271"/>
      <c r="Q2773" s="272"/>
      <c r="R2773" s="273"/>
      <c r="S2773" s="273"/>
      <c r="T2773" s="273"/>
      <c r="U2773" s="274"/>
      <c r="V2773" s="263"/>
      <c r="W2773" s="35"/>
      <c r="X2773" s="35"/>
      <c r="Y2773" s="35"/>
      <c r="Z2773" s="35"/>
      <c r="AA2773" s="35"/>
      <c r="AB2773" s="35"/>
      <c r="AC2773" s="35"/>
      <c r="AD2773" s="35"/>
      <c r="AE2773" s="35"/>
      <c r="AF2773" s="35"/>
      <c r="AG2773" s="35"/>
      <c r="AH2773" s="35"/>
      <c r="AI2773" s="35"/>
    </row>
    <row r="2774">
      <c r="A2774" s="263"/>
      <c r="B2774" s="264"/>
      <c r="C2774" s="265"/>
      <c r="D2774" s="265"/>
      <c r="E2774" s="264"/>
      <c r="F2774" s="265"/>
      <c r="G2774" s="263"/>
      <c r="H2774" s="432"/>
      <c r="I2774" s="282"/>
      <c r="J2774" s="283"/>
      <c r="K2774" s="265"/>
      <c r="L2774" s="265"/>
      <c r="M2774" s="269"/>
      <c r="N2774" s="270"/>
      <c r="O2774" s="271"/>
      <c r="P2774" s="271"/>
      <c r="Q2774" s="272"/>
      <c r="R2774" s="273"/>
      <c r="S2774" s="273"/>
      <c r="T2774" s="273"/>
      <c r="U2774" s="274"/>
      <c r="V2774" s="263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</row>
    <row r="2775">
      <c r="A2775" s="263"/>
      <c r="B2775" s="264"/>
      <c r="C2775" s="265"/>
      <c r="D2775" s="265"/>
      <c r="E2775" s="264"/>
      <c r="F2775" s="265"/>
      <c r="G2775" s="263"/>
      <c r="H2775" s="432"/>
      <c r="I2775" s="282"/>
      <c r="J2775" s="283"/>
      <c r="K2775" s="265"/>
      <c r="L2775" s="265"/>
      <c r="M2775" s="269"/>
      <c r="N2775" s="270"/>
      <c r="O2775" s="271"/>
      <c r="P2775" s="271"/>
      <c r="Q2775" s="272"/>
      <c r="R2775" s="273"/>
      <c r="S2775" s="273"/>
      <c r="T2775" s="273"/>
      <c r="U2775" s="274"/>
      <c r="V2775" s="263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</row>
    <row r="2776">
      <c r="A2776" s="263"/>
      <c r="B2776" s="264"/>
      <c r="C2776" s="265"/>
      <c r="D2776" s="265"/>
      <c r="E2776" s="264"/>
      <c r="F2776" s="265"/>
      <c r="G2776" s="263"/>
      <c r="H2776" s="432"/>
      <c r="I2776" s="282"/>
      <c r="J2776" s="283"/>
      <c r="K2776" s="265"/>
      <c r="L2776" s="265"/>
      <c r="M2776" s="269"/>
      <c r="N2776" s="270"/>
      <c r="O2776" s="271"/>
      <c r="P2776" s="271"/>
      <c r="Q2776" s="272"/>
      <c r="R2776" s="273"/>
      <c r="S2776" s="273"/>
      <c r="T2776" s="273"/>
      <c r="U2776" s="274"/>
      <c r="V2776" s="263"/>
      <c r="W2776" s="35"/>
      <c r="X2776" s="35"/>
      <c r="Y2776" s="35"/>
      <c r="Z2776" s="35"/>
      <c r="AA2776" s="35"/>
      <c r="AB2776" s="35"/>
      <c r="AC2776" s="35"/>
      <c r="AD2776" s="35"/>
      <c r="AE2776" s="35"/>
      <c r="AF2776" s="35"/>
      <c r="AG2776" s="35"/>
      <c r="AH2776" s="35"/>
      <c r="AI2776" s="35"/>
    </row>
    <row r="2777">
      <c r="A2777" s="263"/>
      <c r="B2777" s="264"/>
      <c r="C2777" s="265"/>
      <c r="D2777" s="265"/>
      <c r="E2777" s="264"/>
      <c r="F2777" s="265"/>
      <c r="G2777" s="263"/>
      <c r="H2777" s="432"/>
      <c r="I2777" s="282"/>
      <c r="J2777" s="283"/>
      <c r="K2777" s="265"/>
      <c r="L2777" s="265"/>
      <c r="M2777" s="269"/>
      <c r="N2777" s="270"/>
      <c r="O2777" s="271"/>
      <c r="P2777" s="271"/>
      <c r="Q2777" s="272"/>
      <c r="R2777" s="273"/>
      <c r="S2777" s="273"/>
      <c r="T2777" s="273"/>
      <c r="U2777" s="274"/>
      <c r="V2777" s="263"/>
      <c r="W2777" s="188"/>
      <c r="X2777" s="188"/>
      <c r="Y2777" s="188"/>
      <c r="Z2777" s="188"/>
      <c r="AA2777" s="188"/>
      <c r="AB2777" s="188"/>
      <c r="AC2777" s="188"/>
      <c r="AD2777" s="188"/>
      <c r="AE2777" s="188"/>
      <c r="AF2777" s="188"/>
      <c r="AG2777" s="188"/>
      <c r="AH2777" s="188"/>
      <c r="AI2777" s="188"/>
    </row>
    <row r="2778">
      <c r="A2778" s="263"/>
      <c r="B2778" s="264"/>
      <c r="C2778" s="265"/>
      <c r="D2778" s="265"/>
      <c r="E2778" s="264"/>
      <c r="F2778" s="265"/>
      <c r="G2778" s="263"/>
      <c r="H2778" s="432"/>
      <c r="I2778" s="282"/>
      <c r="J2778" s="283"/>
      <c r="K2778" s="265"/>
      <c r="L2778" s="265"/>
      <c r="M2778" s="269"/>
      <c r="N2778" s="270"/>
      <c r="O2778" s="271"/>
      <c r="P2778" s="271"/>
      <c r="Q2778" s="272"/>
      <c r="R2778" s="273"/>
      <c r="S2778" s="273"/>
      <c r="T2778" s="273"/>
      <c r="U2778" s="274"/>
      <c r="V2778" s="263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</row>
    <row r="2779">
      <c r="A2779" s="263"/>
      <c r="B2779" s="264"/>
      <c r="C2779" s="265"/>
      <c r="D2779" s="265"/>
      <c r="E2779" s="264"/>
      <c r="F2779" s="265"/>
      <c r="G2779" s="263"/>
      <c r="H2779" s="432"/>
      <c r="I2779" s="282"/>
      <c r="J2779" s="283"/>
      <c r="K2779" s="265"/>
      <c r="L2779" s="265"/>
      <c r="M2779" s="269"/>
      <c r="N2779" s="270"/>
      <c r="O2779" s="271"/>
      <c r="P2779" s="271"/>
      <c r="Q2779" s="272"/>
      <c r="R2779" s="273"/>
      <c r="S2779" s="273"/>
      <c r="T2779" s="273"/>
      <c r="U2779" s="274"/>
      <c r="V2779" s="263"/>
      <c r="W2779" s="35"/>
      <c r="X2779" s="35"/>
      <c r="Y2779" s="35"/>
      <c r="Z2779" s="35"/>
      <c r="AA2779" s="35"/>
      <c r="AB2779" s="35"/>
      <c r="AC2779" s="35"/>
      <c r="AD2779" s="35"/>
      <c r="AE2779" s="35"/>
      <c r="AF2779" s="35"/>
      <c r="AG2779" s="35"/>
      <c r="AH2779" s="35"/>
      <c r="AI2779" s="35"/>
    </row>
    <row r="2780">
      <c r="A2780" s="263"/>
      <c r="B2780" s="264"/>
      <c r="C2780" s="265"/>
      <c r="D2780" s="265"/>
      <c r="E2780" s="264"/>
      <c r="F2780" s="265"/>
      <c r="G2780" s="263"/>
      <c r="H2780" s="432"/>
      <c r="I2780" s="282"/>
      <c r="J2780" s="283"/>
      <c r="K2780" s="265"/>
      <c r="L2780" s="265"/>
      <c r="M2780" s="269"/>
      <c r="N2780" s="270"/>
      <c r="O2780" s="271"/>
      <c r="P2780" s="271"/>
      <c r="Q2780" s="272"/>
      <c r="R2780" s="273"/>
      <c r="S2780" s="273"/>
      <c r="T2780" s="273"/>
      <c r="U2780" s="274"/>
      <c r="V2780" s="263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</row>
    <row r="2781">
      <c r="A2781" s="263"/>
      <c r="B2781" s="264"/>
      <c r="C2781" s="265"/>
      <c r="D2781" s="265"/>
      <c r="E2781" s="264"/>
      <c r="F2781" s="265"/>
      <c r="G2781" s="263"/>
      <c r="H2781" s="432"/>
      <c r="I2781" s="282"/>
      <c r="J2781" s="283"/>
      <c r="K2781" s="265"/>
      <c r="L2781" s="265"/>
      <c r="M2781" s="269"/>
      <c r="N2781" s="270"/>
      <c r="O2781" s="271"/>
      <c r="P2781" s="271"/>
      <c r="Q2781" s="272"/>
      <c r="R2781" s="273"/>
      <c r="S2781" s="273"/>
      <c r="T2781" s="273"/>
      <c r="U2781" s="274"/>
      <c r="V2781" s="263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</row>
    <row r="2782">
      <c r="A2782" s="263"/>
      <c r="B2782" s="264"/>
      <c r="C2782" s="265"/>
      <c r="D2782" s="265"/>
      <c r="E2782" s="264"/>
      <c r="F2782" s="265"/>
      <c r="G2782" s="263"/>
      <c r="H2782" s="432"/>
      <c r="I2782" s="282"/>
      <c r="J2782" s="283"/>
      <c r="K2782" s="265"/>
      <c r="L2782" s="265"/>
      <c r="M2782" s="269"/>
      <c r="N2782" s="270"/>
      <c r="O2782" s="271"/>
      <c r="P2782" s="271"/>
      <c r="Q2782" s="272"/>
      <c r="R2782" s="273"/>
      <c r="S2782" s="273"/>
      <c r="T2782" s="273"/>
      <c r="U2782" s="274"/>
      <c r="V2782" s="263"/>
      <c r="W2782" s="35"/>
      <c r="X2782" s="35"/>
      <c r="Y2782" s="35"/>
      <c r="Z2782" s="35"/>
      <c r="AA2782" s="35"/>
      <c r="AB2782" s="35"/>
      <c r="AC2782" s="35"/>
      <c r="AD2782" s="35"/>
      <c r="AE2782" s="35"/>
      <c r="AF2782" s="35"/>
      <c r="AG2782" s="35"/>
      <c r="AH2782" s="35"/>
      <c r="AI2782" s="35"/>
    </row>
    <row r="2783">
      <c r="A2783" s="263"/>
      <c r="B2783" s="264"/>
      <c r="C2783" s="265"/>
      <c r="D2783" s="265"/>
      <c r="E2783" s="264"/>
      <c r="F2783" s="265"/>
      <c r="G2783" s="263"/>
      <c r="H2783" s="432"/>
      <c r="I2783" s="282"/>
      <c r="J2783" s="283"/>
      <c r="K2783" s="265"/>
      <c r="L2783" s="265"/>
      <c r="M2783" s="269"/>
      <c r="N2783" s="270"/>
      <c r="O2783" s="271"/>
      <c r="P2783" s="271"/>
      <c r="Q2783" s="272"/>
      <c r="R2783" s="273"/>
      <c r="S2783" s="273"/>
      <c r="T2783" s="273"/>
      <c r="U2783" s="274"/>
      <c r="V2783" s="263"/>
      <c r="W2783" s="35"/>
      <c r="X2783" s="35"/>
      <c r="Y2783" s="35"/>
      <c r="Z2783" s="35"/>
      <c r="AA2783" s="35"/>
      <c r="AB2783" s="35"/>
      <c r="AC2783" s="35"/>
      <c r="AD2783" s="35"/>
      <c r="AE2783" s="35"/>
      <c r="AF2783" s="35"/>
      <c r="AG2783" s="35"/>
      <c r="AH2783" s="35"/>
      <c r="AI2783" s="35"/>
    </row>
    <row r="2784">
      <c r="A2784" s="263"/>
      <c r="B2784" s="264"/>
      <c r="C2784" s="265"/>
      <c r="D2784" s="265"/>
      <c r="E2784" s="264"/>
      <c r="F2784" s="265"/>
      <c r="G2784" s="263"/>
      <c r="H2784" s="432"/>
      <c r="I2784" s="282"/>
      <c r="J2784" s="283"/>
      <c r="K2784" s="265"/>
      <c r="L2784" s="265"/>
      <c r="M2784" s="269"/>
      <c r="N2784" s="270"/>
      <c r="O2784" s="271"/>
      <c r="P2784" s="271"/>
      <c r="Q2784" s="272"/>
      <c r="R2784" s="273"/>
      <c r="S2784" s="273"/>
      <c r="T2784" s="273"/>
      <c r="U2784" s="274"/>
      <c r="V2784" s="263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</row>
    <row r="2785">
      <c r="A2785" s="263"/>
      <c r="B2785" s="264"/>
      <c r="C2785" s="265"/>
      <c r="D2785" s="265"/>
      <c r="E2785" s="264"/>
      <c r="F2785" s="265"/>
      <c r="G2785" s="263"/>
      <c r="H2785" s="432"/>
      <c r="I2785" s="282"/>
      <c r="J2785" s="283"/>
      <c r="K2785" s="265"/>
      <c r="L2785" s="265"/>
      <c r="M2785" s="269"/>
      <c r="N2785" s="270"/>
      <c r="O2785" s="271"/>
      <c r="P2785" s="271"/>
      <c r="Q2785" s="272"/>
      <c r="R2785" s="273"/>
      <c r="S2785" s="273"/>
      <c r="T2785" s="273"/>
      <c r="U2785" s="274"/>
      <c r="V2785" s="263"/>
      <c r="W2785" s="188"/>
      <c r="X2785" s="188"/>
      <c r="Y2785" s="188"/>
      <c r="Z2785" s="188"/>
      <c r="AA2785" s="188"/>
      <c r="AB2785" s="188"/>
      <c r="AC2785" s="188"/>
      <c r="AD2785" s="188"/>
      <c r="AE2785" s="188"/>
      <c r="AF2785" s="188"/>
      <c r="AG2785" s="188"/>
      <c r="AH2785" s="188"/>
      <c r="AI2785" s="188"/>
    </row>
    <row r="2786">
      <c r="A2786" s="263"/>
      <c r="B2786" s="264"/>
      <c r="C2786" s="265"/>
      <c r="D2786" s="265"/>
      <c r="E2786" s="264"/>
      <c r="F2786" s="265"/>
      <c r="G2786" s="263"/>
      <c r="H2786" s="432"/>
      <c r="I2786" s="282"/>
      <c r="J2786" s="283"/>
      <c r="K2786" s="265"/>
      <c r="L2786" s="265"/>
      <c r="M2786" s="269"/>
      <c r="N2786" s="270"/>
      <c r="O2786" s="271"/>
      <c r="P2786" s="271"/>
      <c r="Q2786" s="272"/>
      <c r="R2786" s="273"/>
      <c r="S2786" s="273"/>
      <c r="T2786" s="273"/>
      <c r="U2786" s="274"/>
      <c r="V2786" s="263"/>
      <c r="W2786" s="35"/>
      <c r="X2786" s="35"/>
      <c r="Y2786" s="35"/>
      <c r="Z2786" s="35"/>
      <c r="AA2786" s="35"/>
      <c r="AB2786" s="35"/>
      <c r="AC2786" s="35"/>
      <c r="AD2786" s="35"/>
      <c r="AE2786" s="35"/>
      <c r="AF2786" s="35"/>
      <c r="AG2786" s="35"/>
      <c r="AH2786" s="35"/>
      <c r="AI2786" s="35"/>
    </row>
    <row r="2787">
      <c r="A2787" s="263"/>
      <c r="B2787" s="264"/>
      <c r="C2787" s="265"/>
      <c r="D2787" s="265"/>
      <c r="E2787" s="264"/>
      <c r="F2787" s="265"/>
      <c r="G2787" s="263"/>
      <c r="H2787" s="432"/>
      <c r="I2787" s="282"/>
      <c r="J2787" s="283"/>
      <c r="K2787" s="265"/>
      <c r="L2787" s="265"/>
      <c r="M2787" s="269"/>
      <c r="N2787" s="270"/>
      <c r="O2787" s="271"/>
      <c r="P2787" s="271"/>
      <c r="Q2787" s="272"/>
      <c r="R2787" s="273"/>
      <c r="S2787" s="273"/>
      <c r="T2787" s="273"/>
      <c r="U2787" s="274"/>
      <c r="V2787" s="263"/>
      <c r="W2787" s="35"/>
      <c r="X2787" s="35"/>
      <c r="Y2787" s="35"/>
      <c r="Z2787" s="35"/>
      <c r="AA2787" s="35"/>
      <c r="AB2787" s="35"/>
      <c r="AC2787" s="35"/>
      <c r="AD2787" s="35"/>
      <c r="AE2787" s="35"/>
      <c r="AF2787" s="35"/>
      <c r="AG2787" s="35"/>
      <c r="AH2787" s="35"/>
      <c r="AI2787" s="35"/>
    </row>
    <row r="2788">
      <c r="A2788" s="263"/>
      <c r="B2788" s="264"/>
      <c r="C2788" s="265"/>
      <c r="D2788" s="265"/>
      <c r="E2788" s="264"/>
      <c r="F2788" s="265"/>
      <c r="G2788" s="263"/>
      <c r="H2788" s="432"/>
      <c r="I2788" s="282"/>
      <c r="J2788" s="283"/>
      <c r="K2788" s="265"/>
      <c r="L2788" s="265"/>
      <c r="M2788" s="269"/>
      <c r="N2788" s="270"/>
      <c r="O2788" s="271"/>
      <c r="P2788" s="271"/>
      <c r="Q2788" s="272"/>
      <c r="R2788" s="273"/>
      <c r="S2788" s="273"/>
      <c r="T2788" s="273"/>
      <c r="U2788" s="274"/>
      <c r="V2788" s="263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</row>
    <row r="2789">
      <c r="A2789" s="263"/>
      <c r="B2789" s="264"/>
      <c r="C2789" s="265"/>
      <c r="D2789" s="265"/>
      <c r="E2789" s="264"/>
      <c r="F2789" s="265"/>
      <c r="G2789" s="263"/>
      <c r="H2789" s="432"/>
      <c r="I2789" s="282"/>
      <c r="J2789" s="283"/>
      <c r="K2789" s="265"/>
      <c r="L2789" s="265"/>
      <c r="M2789" s="269"/>
      <c r="N2789" s="270"/>
      <c r="O2789" s="271"/>
      <c r="P2789" s="271"/>
      <c r="Q2789" s="272"/>
      <c r="R2789" s="273"/>
      <c r="S2789" s="273"/>
      <c r="T2789" s="273"/>
      <c r="U2789" s="274"/>
      <c r="V2789" s="263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</row>
    <row r="2790">
      <c r="A2790" s="263"/>
      <c r="B2790" s="264"/>
      <c r="C2790" s="265"/>
      <c r="D2790" s="265"/>
      <c r="E2790" s="264"/>
      <c r="F2790" s="265"/>
      <c r="G2790" s="263"/>
      <c r="H2790" s="432"/>
      <c r="I2790" s="282"/>
      <c r="J2790" s="283"/>
      <c r="K2790" s="265"/>
      <c r="L2790" s="265"/>
      <c r="M2790" s="269"/>
      <c r="N2790" s="270"/>
      <c r="O2790" s="271"/>
      <c r="P2790" s="271"/>
      <c r="Q2790" s="272"/>
      <c r="R2790" s="273"/>
      <c r="S2790" s="273"/>
      <c r="T2790" s="273"/>
      <c r="U2790" s="274"/>
      <c r="V2790" s="263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</row>
    <row r="2791">
      <c r="A2791" s="263"/>
      <c r="B2791" s="264"/>
      <c r="C2791" s="265"/>
      <c r="D2791" s="265"/>
      <c r="E2791" s="264"/>
      <c r="F2791" s="265"/>
      <c r="G2791" s="263"/>
      <c r="H2791" s="432"/>
      <c r="I2791" s="282"/>
      <c r="J2791" s="283"/>
      <c r="K2791" s="265"/>
      <c r="L2791" s="265"/>
      <c r="M2791" s="269"/>
      <c r="N2791" s="270"/>
      <c r="O2791" s="271"/>
      <c r="P2791" s="271"/>
      <c r="Q2791" s="272"/>
      <c r="R2791" s="273"/>
      <c r="S2791" s="273"/>
      <c r="T2791" s="273"/>
      <c r="U2791" s="274"/>
      <c r="V2791" s="263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</row>
    <row r="2792">
      <c r="A2792" s="263"/>
      <c r="B2792" s="264"/>
      <c r="C2792" s="265"/>
      <c r="D2792" s="265"/>
      <c r="E2792" s="264"/>
      <c r="F2792" s="265"/>
      <c r="G2792" s="263"/>
      <c r="H2792" s="432"/>
      <c r="I2792" s="282"/>
      <c r="J2792" s="283"/>
      <c r="K2792" s="265"/>
      <c r="L2792" s="265"/>
      <c r="M2792" s="269"/>
      <c r="N2792" s="270"/>
      <c r="O2792" s="271"/>
      <c r="P2792" s="271"/>
      <c r="Q2792" s="272"/>
      <c r="R2792" s="273"/>
      <c r="S2792" s="273"/>
      <c r="T2792" s="273"/>
      <c r="U2792" s="274"/>
      <c r="V2792" s="263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</row>
    <row r="2793">
      <c r="A2793" s="263"/>
      <c r="B2793" s="264"/>
      <c r="C2793" s="265"/>
      <c r="D2793" s="265"/>
      <c r="E2793" s="264"/>
      <c r="F2793" s="265"/>
      <c r="G2793" s="263"/>
      <c r="H2793" s="432"/>
      <c r="I2793" s="282"/>
      <c r="J2793" s="283"/>
      <c r="K2793" s="265"/>
      <c r="L2793" s="265"/>
      <c r="M2793" s="269"/>
      <c r="N2793" s="270"/>
      <c r="O2793" s="271"/>
      <c r="P2793" s="271"/>
      <c r="Q2793" s="272"/>
      <c r="R2793" s="273"/>
      <c r="S2793" s="273"/>
      <c r="T2793" s="273"/>
      <c r="U2793" s="274"/>
      <c r="V2793" s="263"/>
      <c r="W2793" s="35"/>
      <c r="X2793" s="35"/>
      <c r="Y2793" s="35"/>
      <c r="Z2793" s="35"/>
      <c r="AA2793" s="35"/>
      <c r="AB2793" s="35"/>
      <c r="AC2793" s="35"/>
      <c r="AD2793" s="35"/>
      <c r="AE2793" s="35"/>
      <c r="AF2793" s="35"/>
      <c r="AG2793" s="35"/>
      <c r="AH2793" s="35"/>
      <c r="AI2793" s="35"/>
    </row>
    <row r="2794">
      <c r="A2794" s="263"/>
      <c r="B2794" s="264"/>
      <c r="C2794" s="265"/>
      <c r="D2794" s="265"/>
      <c r="E2794" s="264"/>
      <c r="F2794" s="265"/>
      <c r="G2794" s="263"/>
      <c r="H2794" s="432"/>
      <c r="I2794" s="282"/>
      <c r="J2794" s="283"/>
      <c r="K2794" s="265"/>
      <c r="L2794" s="265"/>
      <c r="M2794" s="269"/>
      <c r="N2794" s="270"/>
      <c r="O2794" s="271"/>
      <c r="P2794" s="271"/>
      <c r="Q2794" s="272"/>
      <c r="R2794" s="273"/>
      <c r="S2794" s="273"/>
      <c r="T2794" s="273"/>
      <c r="U2794" s="274"/>
      <c r="V2794" s="263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</row>
    <row r="2795">
      <c r="A2795" s="263"/>
      <c r="B2795" s="264"/>
      <c r="C2795" s="265"/>
      <c r="D2795" s="265"/>
      <c r="E2795" s="264"/>
      <c r="F2795" s="265"/>
      <c r="G2795" s="263"/>
      <c r="H2795" s="432"/>
      <c r="I2795" s="282"/>
      <c r="J2795" s="283"/>
      <c r="K2795" s="265"/>
      <c r="L2795" s="265"/>
      <c r="M2795" s="269"/>
      <c r="N2795" s="270"/>
      <c r="O2795" s="271"/>
      <c r="P2795" s="271"/>
      <c r="Q2795" s="272"/>
      <c r="R2795" s="273"/>
      <c r="S2795" s="273"/>
      <c r="T2795" s="273"/>
      <c r="U2795" s="274"/>
      <c r="V2795" s="263"/>
      <c r="W2795" s="35"/>
      <c r="X2795" s="35"/>
      <c r="Y2795" s="35"/>
      <c r="Z2795" s="35"/>
      <c r="AA2795" s="35"/>
      <c r="AB2795" s="35"/>
      <c r="AC2795" s="35"/>
      <c r="AD2795" s="35"/>
      <c r="AE2795" s="35"/>
      <c r="AF2795" s="35"/>
      <c r="AG2795" s="35"/>
      <c r="AH2795" s="35"/>
      <c r="AI2795" s="35"/>
    </row>
    <row r="2796">
      <c r="A2796" s="263"/>
      <c r="B2796" s="264"/>
      <c r="C2796" s="265"/>
      <c r="D2796" s="265"/>
      <c r="E2796" s="264"/>
      <c r="F2796" s="265"/>
      <c r="G2796" s="263"/>
      <c r="H2796" s="432"/>
      <c r="I2796" s="282"/>
      <c r="J2796" s="283"/>
      <c r="K2796" s="265"/>
      <c r="L2796" s="265"/>
      <c r="M2796" s="269"/>
      <c r="N2796" s="270"/>
      <c r="O2796" s="271"/>
      <c r="P2796" s="271"/>
      <c r="Q2796" s="272"/>
      <c r="R2796" s="273"/>
      <c r="S2796" s="273"/>
      <c r="T2796" s="273"/>
      <c r="U2796" s="274"/>
      <c r="V2796" s="263"/>
      <c r="W2796" s="188"/>
      <c r="X2796" s="188"/>
      <c r="Y2796" s="188"/>
      <c r="Z2796" s="188"/>
      <c r="AA2796" s="188"/>
      <c r="AB2796" s="188"/>
      <c r="AC2796" s="188"/>
      <c r="AD2796" s="188"/>
      <c r="AE2796" s="188"/>
      <c r="AF2796" s="188"/>
      <c r="AG2796" s="188"/>
      <c r="AH2796" s="188"/>
      <c r="AI2796" s="188"/>
    </row>
    <row r="2797">
      <c r="A2797" s="263"/>
      <c r="B2797" s="264"/>
      <c r="C2797" s="265"/>
      <c r="D2797" s="265"/>
      <c r="E2797" s="264"/>
      <c r="F2797" s="265"/>
      <c r="G2797" s="263"/>
      <c r="H2797" s="432"/>
      <c r="I2797" s="282"/>
      <c r="J2797" s="283"/>
      <c r="K2797" s="265"/>
      <c r="L2797" s="265"/>
      <c r="M2797" s="269"/>
      <c r="N2797" s="270"/>
      <c r="O2797" s="271"/>
      <c r="P2797" s="271"/>
      <c r="Q2797" s="272"/>
      <c r="R2797" s="273"/>
      <c r="S2797" s="273"/>
      <c r="T2797" s="273"/>
      <c r="U2797" s="274"/>
      <c r="V2797" s="263"/>
      <c r="W2797" s="35"/>
      <c r="X2797" s="35"/>
      <c r="Y2797" s="35"/>
      <c r="Z2797" s="35"/>
      <c r="AA2797" s="35"/>
      <c r="AB2797" s="35"/>
      <c r="AC2797" s="35"/>
      <c r="AD2797" s="35"/>
      <c r="AE2797" s="35"/>
      <c r="AF2797" s="35"/>
      <c r="AG2797" s="35"/>
      <c r="AH2797" s="35"/>
      <c r="AI2797" s="35"/>
    </row>
    <row r="2798">
      <c r="A2798" s="263"/>
      <c r="B2798" s="264"/>
      <c r="C2798" s="265"/>
      <c r="D2798" s="265"/>
      <c r="E2798" s="264"/>
      <c r="F2798" s="265"/>
      <c r="G2798" s="263"/>
      <c r="H2798" s="432"/>
      <c r="I2798" s="282"/>
      <c r="J2798" s="283"/>
      <c r="K2798" s="265"/>
      <c r="L2798" s="265"/>
      <c r="M2798" s="269"/>
      <c r="N2798" s="270"/>
      <c r="O2798" s="271"/>
      <c r="P2798" s="271"/>
      <c r="Q2798" s="272"/>
      <c r="R2798" s="273"/>
      <c r="S2798" s="273"/>
      <c r="T2798" s="273"/>
      <c r="U2798" s="274"/>
      <c r="V2798" s="263"/>
      <c r="W2798" s="188"/>
      <c r="X2798" s="188"/>
      <c r="Y2798" s="188"/>
      <c r="Z2798" s="188"/>
      <c r="AA2798" s="188"/>
      <c r="AB2798" s="188"/>
      <c r="AC2798" s="188"/>
      <c r="AD2798" s="188"/>
      <c r="AE2798" s="188"/>
      <c r="AF2798" s="188"/>
      <c r="AG2798" s="188"/>
      <c r="AH2798" s="188"/>
      <c r="AI2798" s="188"/>
    </row>
    <row r="2799">
      <c r="A2799" s="263"/>
      <c r="B2799" s="264"/>
      <c r="C2799" s="265"/>
      <c r="D2799" s="265"/>
      <c r="E2799" s="264"/>
      <c r="F2799" s="265"/>
      <c r="G2799" s="263"/>
      <c r="H2799" s="432"/>
      <c r="I2799" s="282"/>
      <c r="J2799" s="283"/>
      <c r="K2799" s="265"/>
      <c r="L2799" s="265"/>
      <c r="M2799" s="269"/>
      <c r="N2799" s="270"/>
      <c r="O2799" s="271"/>
      <c r="P2799" s="271"/>
      <c r="Q2799" s="272"/>
      <c r="R2799" s="273"/>
      <c r="S2799" s="273"/>
      <c r="T2799" s="273"/>
      <c r="U2799" s="274"/>
      <c r="V2799" s="263"/>
      <c r="W2799" s="188"/>
      <c r="X2799" s="188"/>
      <c r="Y2799" s="188"/>
      <c r="Z2799" s="188"/>
      <c r="AA2799" s="188"/>
      <c r="AB2799" s="188"/>
      <c r="AC2799" s="188"/>
      <c r="AD2799" s="188"/>
      <c r="AE2799" s="188"/>
      <c r="AF2799" s="188"/>
      <c r="AG2799" s="188"/>
      <c r="AH2799" s="188"/>
      <c r="AI2799" s="188"/>
    </row>
    <row r="2800">
      <c r="A2800" s="263"/>
      <c r="B2800" s="264"/>
      <c r="C2800" s="265"/>
      <c r="D2800" s="265"/>
      <c r="E2800" s="264"/>
      <c r="F2800" s="265"/>
      <c r="G2800" s="263"/>
      <c r="H2800" s="432"/>
      <c r="I2800" s="282"/>
      <c r="J2800" s="283"/>
      <c r="K2800" s="265"/>
      <c r="L2800" s="265"/>
      <c r="M2800" s="269"/>
      <c r="N2800" s="270"/>
      <c r="O2800" s="271"/>
      <c r="P2800" s="271"/>
      <c r="Q2800" s="272"/>
      <c r="R2800" s="273"/>
      <c r="S2800" s="273"/>
      <c r="T2800" s="273"/>
      <c r="U2800" s="274"/>
      <c r="V2800" s="263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</row>
    <row r="2801">
      <c r="A2801" s="263"/>
      <c r="B2801" s="264"/>
      <c r="C2801" s="265"/>
      <c r="D2801" s="265"/>
      <c r="E2801" s="264"/>
      <c r="F2801" s="265"/>
      <c r="G2801" s="263"/>
      <c r="H2801" s="432"/>
      <c r="I2801" s="282"/>
      <c r="J2801" s="283"/>
      <c r="K2801" s="265"/>
      <c r="L2801" s="265"/>
      <c r="M2801" s="269"/>
      <c r="N2801" s="270"/>
      <c r="O2801" s="271"/>
      <c r="P2801" s="271"/>
      <c r="Q2801" s="272"/>
      <c r="R2801" s="273"/>
      <c r="S2801" s="273"/>
      <c r="T2801" s="273"/>
      <c r="U2801" s="274"/>
      <c r="V2801" s="263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</row>
    <row r="2802">
      <c r="A2802" s="263"/>
      <c r="B2802" s="264"/>
      <c r="C2802" s="265"/>
      <c r="D2802" s="265"/>
      <c r="E2802" s="264"/>
      <c r="F2802" s="265"/>
      <c r="G2802" s="263"/>
      <c r="H2802" s="432"/>
      <c r="I2802" s="282"/>
      <c r="J2802" s="283"/>
      <c r="K2802" s="265"/>
      <c r="L2802" s="265"/>
      <c r="M2802" s="269"/>
      <c r="N2802" s="270"/>
      <c r="O2802" s="271"/>
      <c r="P2802" s="271"/>
      <c r="Q2802" s="272"/>
      <c r="R2802" s="273"/>
      <c r="S2802" s="273"/>
      <c r="T2802" s="273"/>
      <c r="U2802" s="274"/>
      <c r="V2802" s="263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</row>
    <row r="2803">
      <c r="A2803" s="263"/>
      <c r="B2803" s="264"/>
      <c r="C2803" s="265"/>
      <c r="D2803" s="265"/>
      <c r="E2803" s="264"/>
      <c r="F2803" s="265"/>
      <c r="G2803" s="263"/>
      <c r="H2803" s="432"/>
      <c r="I2803" s="282"/>
      <c r="J2803" s="283"/>
      <c r="K2803" s="265"/>
      <c r="L2803" s="265"/>
      <c r="M2803" s="269"/>
      <c r="N2803" s="270"/>
      <c r="O2803" s="271"/>
      <c r="P2803" s="271"/>
      <c r="Q2803" s="272"/>
      <c r="R2803" s="273"/>
      <c r="S2803" s="273"/>
      <c r="T2803" s="273"/>
      <c r="U2803" s="274"/>
      <c r="V2803" s="263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</row>
    <row r="2804">
      <c r="A2804" s="263"/>
      <c r="B2804" s="264"/>
      <c r="C2804" s="265"/>
      <c r="D2804" s="265"/>
      <c r="E2804" s="264"/>
      <c r="F2804" s="265"/>
      <c r="G2804" s="263"/>
      <c r="H2804" s="432"/>
      <c r="I2804" s="282"/>
      <c r="J2804" s="283"/>
      <c r="K2804" s="265"/>
      <c r="L2804" s="265"/>
      <c r="M2804" s="269"/>
      <c r="N2804" s="270"/>
      <c r="O2804" s="271"/>
      <c r="P2804" s="271"/>
      <c r="Q2804" s="272"/>
      <c r="R2804" s="273"/>
      <c r="S2804" s="273"/>
      <c r="T2804" s="273"/>
      <c r="U2804" s="274"/>
      <c r="V2804" s="263"/>
      <c r="W2804" s="188"/>
      <c r="X2804" s="188"/>
      <c r="Y2804" s="188"/>
      <c r="Z2804" s="188"/>
      <c r="AA2804" s="188"/>
      <c r="AB2804" s="188"/>
      <c r="AC2804" s="188"/>
      <c r="AD2804" s="188"/>
      <c r="AE2804" s="188"/>
      <c r="AF2804" s="188"/>
      <c r="AG2804" s="188"/>
      <c r="AH2804" s="188"/>
      <c r="AI2804" s="188"/>
    </row>
    <row r="2805">
      <c r="A2805" s="263"/>
      <c r="B2805" s="264"/>
      <c r="C2805" s="265"/>
      <c r="D2805" s="265"/>
      <c r="E2805" s="264"/>
      <c r="F2805" s="265"/>
      <c r="G2805" s="263"/>
      <c r="H2805" s="432"/>
      <c r="I2805" s="282"/>
      <c r="J2805" s="283"/>
      <c r="K2805" s="265"/>
      <c r="L2805" s="265"/>
      <c r="M2805" s="269"/>
      <c r="N2805" s="270"/>
      <c r="O2805" s="271"/>
      <c r="P2805" s="271"/>
      <c r="Q2805" s="272"/>
      <c r="R2805" s="273"/>
      <c r="S2805" s="273"/>
      <c r="T2805" s="273"/>
      <c r="U2805" s="274"/>
      <c r="V2805" s="263"/>
      <c r="W2805" s="35"/>
      <c r="X2805" s="35"/>
      <c r="Y2805" s="35"/>
      <c r="Z2805" s="35"/>
      <c r="AA2805" s="35"/>
      <c r="AB2805" s="35"/>
      <c r="AC2805" s="35"/>
      <c r="AD2805" s="35"/>
      <c r="AE2805" s="35"/>
      <c r="AF2805" s="35"/>
      <c r="AG2805" s="35"/>
      <c r="AH2805" s="35"/>
      <c r="AI2805" s="35"/>
    </row>
    <row r="2806">
      <c r="A2806" s="263"/>
      <c r="B2806" s="264"/>
      <c r="C2806" s="265"/>
      <c r="D2806" s="265"/>
      <c r="E2806" s="264"/>
      <c r="F2806" s="265"/>
      <c r="G2806" s="263"/>
      <c r="H2806" s="432"/>
      <c r="I2806" s="282"/>
      <c r="J2806" s="283"/>
      <c r="K2806" s="265"/>
      <c r="L2806" s="265"/>
      <c r="M2806" s="269"/>
      <c r="N2806" s="270"/>
      <c r="O2806" s="271"/>
      <c r="P2806" s="271"/>
      <c r="Q2806" s="272"/>
      <c r="R2806" s="273"/>
      <c r="S2806" s="273"/>
      <c r="T2806" s="273"/>
      <c r="U2806" s="274"/>
      <c r="V2806" s="263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</row>
    <row r="2807">
      <c r="A2807" s="263"/>
      <c r="B2807" s="264"/>
      <c r="C2807" s="265"/>
      <c r="D2807" s="265"/>
      <c r="E2807" s="264"/>
      <c r="F2807" s="265"/>
      <c r="G2807" s="263"/>
      <c r="H2807" s="432"/>
      <c r="I2807" s="282"/>
      <c r="J2807" s="283"/>
      <c r="K2807" s="265"/>
      <c r="L2807" s="265"/>
      <c r="M2807" s="269"/>
      <c r="N2807" s="270"/>
      <c r="O2807" s="271"/>
      <c r="P2807" s="271"/>
      <c r="Q2807" s="272"/>
      <c r="R2807" s="273"/>
      <c r="S2807" s="273"/>
      <c r="T2807" s="273"/>
      <c r="U2807" s="274"/>
      <c r="V2807" s="263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</row>
    <row r="2808">
      <c r="A2808" s="263"/>
      <c r="B2808" s="264"/>
      <c r="C2808" s="265"/>
      <c r="D2808" s="265"/>
      <c r="E2808" s="264"/>
      <c r="F2808" s="265"/>
      <c r="G2808" s="263"/>
      <c r="H2808" s="432"/>
      <c r="I2808" s="282"/>
      <c r="J2808" s="283"/>
      <c r="K2808" s="265"/>
      <c r="L2808" s="265"/>
      <c r="M2808" s="269"/>
      <c r="N2808" s="270"/>
      <c r="O2808" s="271"/>
      <c r="P2808" s="271"/>
      <c r="Q2808" s="272"/>
      <c r="R2808" s="273"/>
      <c r="S2808" s="273"/>
      <c r="T2808" s="273"/>
      <c r="U2808" s="274"/>
      <c r="V2808" s="263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</row>
    <row r="2809">
      <c r="A2809" s="263"/>
      <c r="B2809" s="264"/>
      <c r="C2809" s="265"/>
      <c r="D2809" s="265"/>
      <c r="E2809" s="264"/>
      <c r="F2809" s="265"/>
      <c r="G2809" s="263"/>
      <c r="H2809" s="432"/>
      <c r="I2809" s="282"/>
      <c r="J2809" s="283"/>
      <c r="K2809" s="265"/>
      <c r="L2809" s="265"/>
      <c r="M2809" s="269"/>
      <c r="N2809" s="270"/>
      <c r="O2809" s="271"/>
      <c r="P2809" s="271"/>
      <c r="Q2809" s="272"/>
      <c r="R2809" s="273"/>
      <c r="S2809" s="273"/>
      <c r="T2809" s="273"/>
      <c r="U2809" s="274"/>
      <c r="V2809" s="263"/>
      <c r="W2809" s="188"/>
      <c r="X2809" s="188"/>
      <c r="Y2809" s="188"/>
      <c r="Z2809" s="188"/>
      <c r="AA2809" s="188"/>
      <c r="AB2809" s="188"/>
      <c r="AC2809" s="188"/>
      <c r="AD2809" s="188"/>
      <c r="AE2809" s="188"/>
      <c r="AF2809" s="188"/>
      <c r="AG2809" s="188"/>
      <c r="AH2809" s="188"/>
      <c r="AI2809" s="188"/>
    </row>
    <row r="2810">
      <c r="A2810" s="263"/>
      <c r="B2810" s="264"/>
      <c r="C2810" s="265"/>
      <c r="D2810" s="265"/>
      <c r="E2810" s="264"/>
      <c r="F2810" s="265"/>
      <c r="G2810" s="263"/>
      <c r="H2810" s="432"/>
      <c r="I2810" s="282"/>
      <c r="J2810" s="283"/>
      <c r="K2810" s="265"/>
      <c r="L2810" s="265"/>
      <c r="M2810" s="269"/>
      <c r="N2810" s="270"/>
      <c r="O2810" s="271"/>
      <c r="P2810" s="271"/>
      <c r="Q2810" s="272"/>
      <c r="R2810" s="273"/>
      <c r="S2810" s="273"/>
      <c r="T2810" s="273"/>
      <c r="U2810" s="274"/>
      <c r="V2810" s="263"/>
      <c r="W2810" s="188"/>
      <c r="X2810" s="188"/>
      <c r="Y2810" s="188"/>
      <c r="Z2810" s="188"/>
      <c r="AA2810" s="188"/>
      <c r="AB2810" s="188"/>
      <c r="AC2810" s="188"/>
      <c r="AD2810" s="188"/>
      <c r="AE2810" s="188"/>
      <c r="AF2810" s="188"/>
      <c r="AG2810" s="188"/>
      <c r="AH2810" s="188"/>
      <c r="AI2810" s="188"/>
    </row>
    <row r="2811">
      <c r="A2811" s="263"/>
      <c r="B2811" s="264"/>
      <c r="C2811" s="265"/>
      <c r="D2811" s="265"/>
      <c r="E2811" s="264"/>
      <c r="F2811" s="265"/>
      <c r="G2811" s="263"/>
      <c r="H2811" s="432"/>
      <c r="I2811" s="282"/>
      <c r="J2811" s="283"/>
      <c r="K2811" s="265"/>
      <c r="L2811" s="265"/>
      <c r="M2811" s="269"/>
      <c r="N2811" s="270"/>
      <c r="O2811" s="271"/>
      <c r="P2811" s="271"/>
      <c r="Q2811" s="272"/>
      <c r="R2811" s="273"/>
      <c r="S2811" s="273"/>
      <c r="T2811" s="273"/>
      <c r="U2811" s="274"/>
      <c r="V2811" s="263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</row>
    <row r="2812">
      <c r="A2812" s="263"/>
      <c r="B2812" s="264"/>
      <c r="C2812" s="265"/>
      <c r="D2812" s="265"/>
      <c r="E2812" s="264"/>
      <c r="F2812" s="265"/>
      <c r="G2812" s="263"/>
      <c r="H2812" s="432"/>
      <c r="I2812" s="282"/>
      <c r="J2812" s="283"/>
      <c r="K2812" s="265"/>
      <c r="L2812" s="265"/>
      <c r="M2812" s="269"/>
      <c r="N2812" s="270"/>
      <c r="O2812" s="271"/>
      <c r="P2812" s="271"/>
      <c r="Q2812" s="272"/>
      <c r="R2812" s="273"/>
      <c r="S2812" s="273"/>
      <c r="T2812" s="273"/>
      <c r="U2812" s="274"/>
      <c r="V2812" s="263"/>
      <c r="W2812" s="35"/>
      <c r="X2812" s="35"/>
      <c r="Y2812" s="35"/>
      <c r="Z2812" s="35"/>
      <c r="AA2812" s="35"/>
      <c r="AB2812" s="35"/>
      <c r="AC2812" s="35"/>
      <c r="AD2812" s="35"/>
      <c r="AE2812" s="35"/>
      <c r="AF2812" s="35"/>
      <c r="AG2812" s="35"/>
      <c r="AH2812" s="35"/>
      <c r="AI2812" s="35"/>
    </row>
    <row r="2813">
      <c r="A2813" s="263"/>
      <c r="B2813" s="264"/>
      <c r="C2813" s="265"/>
      <c r="D2813" s="265"/>
      <c r="E2813" s="264"/>
      <c r="F2813" s="265"/>
      <c r="G2813" s="263"/>
      <c r="H2813" s="432"/>
      <c r="I2813" s="282"/>
      <c r="J2813" s="283"/>
      <c r="K2813" s="265"/>
      <c r="L2813" s="265"/>
      <c r="M2813" s="269"/>
      <c r="N2813" s="270"/>
      <c r="O2813" s="271"/>
      <c r="P2813" s="271"/>
      <c r="Q2813" s="272"/>
      <c r="R2813" s="273"/>
      <c r="S2813" s="273"/>
      <c r="T2813" s="273"/>
      <c r="U2813" s="274"/>
      <c r="V2813" s="263"/>
      <c r="W2813" s="35"/>
      <c r="X2813" s="35"/>
      <c r="Y2813" s="35"/>
      <c r="Z2813" s="35"/>
      <c r="AA2813" s="35"/>
      <c r="AB2813" s="35"/>
      <c r="AC2813" s="35"/>
      <c r="AD2813" s="35"/>
      <c r="AE2813" s="35"/>
      <c r="AF2813" s="35"/>
      <c r="AG2813" s="35"/>
      <c r="AH2813" s="35"/>
      <c r="AI2813" s="35"/>
    </row>
    <row r="2814">
      <c r="A2814" s="263"/>
      <c r="B2814" s="264"/>
      <c r="C2814" s="265"/>
      <c r="D2814" s="265"/>
      <c r="E2814" s="264"/>
      <c r="F2814" s="265"/>
      <c r="G2814" s="263"/>
      <c r="H2814" s="432"/>
      <c r="I2814" s="282"/>
      <c r="J2814" s="283"/>
      <c r="K2814" s="265"/>
      <c r="L2814" s="265"/>
      <c r="M2814" s="269"/>
      <c r="N2814" s="270"/>
      <c r="O2814" s="271"/>
      <c r="P2814" s="271"/>
      <c r="Q2814" s="272"/>
      <c r="R2814" s="273"/>
      <c r="S2814" s="273"/>
      <c r="T2814" s="273"/>
      <c r="U2814" s="274"/>
      <c r="V2814" s="263"/>
      <c r="W2814" s="35"/>
      <c r="X2814" s="35"/>
      <c r="Y2814" s="35"/>
      <c r="Z2814" s="35"/>
      <c r="AA2814" s="35"/>
      <c r="AB2814" s="35"/>
      <c r="AC2814" s="35"/>
      <c r="AD2814" s="35"/>
      <c r="AE2814" s="35"/>
      <c r="AF2814" s="35"/>
      <c r="AG2814" s="35"/>
      <c r="AH2814" s="35"/>
      <c r="AI2814" s="35"/>
    </row>
    <row r="2815">
      <c r="A2815" s="263"/>
      <c r="B2815" s="264"/>
      <c r="C2815" s="265"/>
      <c r="D2815" s="265"/>
      <c r="E2815" s="264"/>
      <c r="F2815" s="265"/>
      <c r="G2815" s="263"/>
      <c r="H2815" s="432"/>
      <c r="I2815" s="282"/>
      <c r="J2815" s="283"/>
      <c r="K2815" s="265"/>
      <c r="L2815" s="265"/>
      <c r="M2815" s="269"/>
      <c r="N2815" s="270"/>
      <c r="O2815" s="271"/>
      <c r="P2815" s="271"/>
      <c r="Q2815" s="272"/>
      <c r="R2815" s="273"/>
      <c r="S2815" s="273"/>
      <c r="T2815" s="273"/>
      <c r="U2815" s="274"/>
      <c r="V2815" s="263"/>
      <c r="W2815" s="35"/>
      <c r="X2815" s="35"/>
      <c r="Y2815" s="35"/>
      <c r="Z2815" s="35"/>
      <c r="AA2815" s="35"/>
      <c r="AB2815" s="35"/>
      <c r="AC2815" s="35"/>
      <c r="AD2815" s="35"/>
      <c r="AE2815" s="35"/>
      <c r="AF2815" s="35"/>
      <c r="AG2815" s="35"/>
      <c r="AH2815" s="35"/>
      <c r="AI2815" s="35"/>
    </row>
    <row r="2816">
      <c r="A2816" s="263"/>
      <c r="B2816" s="264"/>
      <c r="C2816" s="265"/>
      <c r="D2816" s="265"/>
      <c r="E2816" s="264"/>
      <c r="F2816" s="265"/>
      <c r="G2816" s="263"/>
      <c r="H2816" s="432"/>
      <c r="I2816" s="282"/>
      <c r="J2816" s="283"/>
      <c r="K2816" s="265"/>
      <c r="L2816" s="265"/>
      <c r="M2816" s="269"/>
      <c r="N2816" s="270"/>
      <c r="O2816" s="271"/>
      <c r="P2816" s="271"/>
      <c r="Q2816" s="272"/>
      <c r="R2816" s="273"/>
      <c r="S2816" s="273"/>
      <c r="T2816" s="273"/>
      <c r="U2816" s="274"/>
      <c r="V2816" s="263"/>
      <c r="W2816" s="35"/>
      <c r="X2816" s="35"/>
      <c r="Y2816" s="35"/>
      <c r="Z2816" s="35"/>
      <c r="AA2816" s="35"/>
      <c r="AB2816" s="35"/>
      <c r="AC2816" s="35"/>
      <c r="AD2816" s="35"/>
      <c r="AE2816" s="35"/>
      <c r="AF2816" s="35"/>
      <c r="AG2816" s="35"/>
      <c r="AH2816" s="35"/>
      <c r="AI2816" s="35"/>
    </row>
    <row r="2817">
      <c r="A2817" s="263"/>
      <c r="B2817" s="264"/>
      <c r="C2817" s="265"/>
      <c r="D2817" s="265"/>
      <c r="E2817" s="264"/>
      <c r="F2817" s="265"/>
      <c r="G2817" s="263"/>
      <c r="H2817" s="432"/>
      <c r="I2817" s="282"/>
      <c r="J2817" s="283"/>
      <c r="K2817" s="265"/>
      <c r="L2817" s="265"/>
      <c r="M2817" s="269"/>
      <c r="N2817" s="270"/>
      <c r="O2817" s="271"/>
      <c r="P2817" s="271"/>
      <c r="Q2817" s="272"/>
      <c r="R2817" s="273"/>
      <c r="S2817" s="273"/>
      <c r="T2817" s="273"/>
      <c r="U2817" s="274"/>
      <c r="V2817" s="263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</row>
    <row r="2818">
      <c r="A2818" s="263"/>
      <c r="B2818" s="264"/>
      <c r="C2818" s="265"/>
      <c r="D2818" s="265"/>
      <c r="E2818" s="264"/>
      <c r="F2818" s="265"/>
      <c r="G2818" s="263"/>
      <c r="H2818" s="432"/>
      <c r="I2818" s="282"/>
      <c r="J2818" s="283"/>
      <c r="K2818" s="265"/>
      <c r="L2818" s="265"/>
      <c r="M2818" s="269"/>
      <c r="N2818" s="270"/>
      <c r="O2818" s="271"/>
      <c r="P2818" s="271"/>
      <c r="Q2818" s="272"/>
      <c r="R2818" s="273"/>
      <c r="S2818" s="273"/>
      <c r="T2818" s="273"/>
      <c r="U2818" s="274"/>
      <c r="V2818" s="263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</row>
    <row r="2819">
      <c r="A2819" s="263"/>
      <c r="B2819" s="264"/>
      <c r="C2819" s="265"/>
      <c r="D2819" s="265"/>
      <c r="E2819" s="264"/>
      <c r="F2819" s="265"/>
      <c r="G2819" s="263"/>
      <c r="H2819" s="432"/>
      <c r="I2819" s="282"/>
      <c r="J2819" s="283"/>
      <c r="K2819" s="265"/>
      <c r="L2819" s="265"/>
      <c r="M2819" s="269"/>
      <c r="N2819" s="270"/>
      <c r="O2819" s="271"/>
      <c r="P2819" s="271"/>
      <c r="Q2819" s="272"/>
      <c r="R2819" s="273"/>
      <c r="S2819" s="273"/>
      <c r="T2819" s="273"/>
      <c r="U2819" s="274"/>
      <c r="V2819" s="263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</row>
    <row r="2820">
      <c r="A2820" s="263"/>
      <c r="B2820" s="264"/>
      <c r="C2820" s="265"/>
      <c r="D2820" s="265"/>
      <c r="E2820" s="264"/>
      <c r="F2820" s="265"/>
      <c r="G2820" s="263"/>
      <c r="H2820" s="432"/>
      <c r="I2820" s="282"/>
      <c r="J2820" s="283"/>
      <c r="K2820" s="265"/>
      <c r="L2820" s="265"/>
      <c r="M2820" s="269"/>
      <c r="N2820" s="270"/>
      <c r="O2820" s="271"/>
      <c r="P2820" s="271"/>
      <c r="Q2820" s="272"/>
      <c r="R2820" s="273"/>
      <c r="S2820" s="273"/>
      <c r="T2820" s="273"/>
      <c r="U2820" s="274"/>
      <c r="V2820" s="263"/>
      <c r="W2820" s="188"/>
      <c r="X2820" s="188"/>
      <c r="Y2820" s="188"/>
      <c r="Z2820" s="188"/>
      <c r="AA2820" s="188"/>
      <c r="AB2820" s="188"/>
      <c r="AC2820" s="188"/>
      <c r="AD2820" s="188"/>
      <c r="AE2820" s="188"/>
      <c r="AF2820" s="188"/>
      <c r="AG2820" s="188"/>
      <c r="AH2820" s="188"/>
      <c r="AI2820" s="188"/>
    </row>
    <row r="2821">
      <c r="A2821" s="263"/>
      <c r="B2821" s="264"/>
      <c r="C2821" s="265"/>
      <c r="D2821" s="265"/>
      <c r="E2821" s="264"/>
      <c r="F2821" s="265"/>
      <c r="G2821" s="263"/>
      <c r="H2821" s="432"/>
      <c r="I2821" s="282"/>
      <c r="J2821" s="283"/>
      <c r="K2821" s="265"/>
      <c r="L2821" s="265"/>
      <c r="M2821" s="269"/>
      <c r="N2821" s="270"/>
      <c r="O2821" s="271"/>
      <c r="P2821" s="271"/>
      <c r="Q2821" s="272"/>
      <c r="R2821" s="273"/>
      <c r="S2821" s="273"/>
      <c r="T2821" s="273"/>
      <c r="U2821" s="274"/>
      <c r="V2821" s="263"/>
      <c r="W2821" s="35"/>
      <c r="X2821" s="35"/>
      <c r="Y2821" s="35"/>
      <c r="Z2821" s="35"/>
      <c r="AA2821" s="35"/>
      <c r="AB2821" s="35"/>
      <c r="AC2821" s="35"/>
      <c r="AD2821" s="35"/>
      <c r="AE2821" s="35"/>
      <c r="AF2821" s="35"/>
      <c r="AG2821" s="35"/>
      <c r="AH2821" s="35"/>
      <c r="AI2821" s="35"/>
    </row>
    <row r="2822">
      <c r="A2822" s="263"/>
      <c r="B2822" s="264"/>
      <c r="C2822" s="265"/>
      <c r="D2822" s="265"/>
      <c r="E2822" s="264"/>
      <c r="F2822" s="265"/>
      <c r="G2822" s="263"/>
      <c r="H2822" s="432"/>
      <c r="I2822" s="282"/>
      <c r="J2822" s="283"/>
      <c r="K2822" s="265"/>
      <c r="L2822" s="265"/>
      <c r="M2822" s="269"/>
      <c r="N2822" s="270"/>
      <c r="O2822" s="271"/>
      <c r="P2822" s="271"/>
      <c r="Q2822" s="272"/>
      <c r="R2822" s="273"/>
      <c r="S2822" s="273"/>
      <c r="T2822" s="273"/>
      <c r="U2822" s="274"/>
      <c r="V2822" s="263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</row>
    <row r="2823">
      <c r="A2823" s="263"/>
      <c r="B2823" s="264"/>
      <c r="C2823" s="265"/>
      <c r="D2823" s="265"/>
      <c r="E2823" s="264"/>
      <c r="F2823" s="265"/>
      <c r="G2823" s="263"/>
      <c r="H2823" s="432"/>
      <c r="I2823" s="282"/>
      <c r="J2823" s="283"/>
      <c r="K2823" s="265"/>
      <c r="L2823" s="265"/>
      <c r="M2823" s="269"/>
      <c r="N2823" s="270"/>
      <c r="O2823" s="271"/>
      <c r="P2823" s="271"/>
      <c r="Q2823" s="272"/>
      <c r="R2823" s="273"/>
      <c r="S2823" s="273"/>
      <c r="T2823" s="273"/>
      <c r="U2823" s="274"/>
      <c r="V2823" s="263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</row>
    <row r="2824">
      <c r="A2824" s="263"/>
      <c r="B2824" s="264"/>
      <c r="C2824" s="265"/>
      <c r="D2824" s="265"/>
      <c r="E2824" s="264"/>
      <c r="F2824" s="265"/>
      <c r="G2824" s="263"/>
      <c r="H2824" s="432"/>
      <c r="I2824" s="282"/>
      <c r="J2824" s="283"/>
      <c r="K2824" s="265"/>
      <c r="L2824" s="265"/>
      <c r="M2824" s="269"/>
      <c r="N2824" s="270"/>
      <c r="O2824" s="271"/>
      <c r="P2824" s="271"/>
      <c r="Q2824" s="272"/>
      <c r="R2824" s="273"/>
      <c r="S2824" s="273"/>
      <c r="T2824" s="273"/>
      <c r="U2824" s="274"/>
      <c r="V2824" s="263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</row>
    <row r="2825">
      <c r="A2825" s="263"/>
      <c r="B2825" s="264"/>
      <c r="C2825" s="265"/>
      <c r="D2825" s="265"/>
      <c r="E2825" s="264"/>
      <c r="F2825" s="265"/>
      <c r="G2825" s="263"/>
      <c r="H2825" s="432"/>
      <c r="I2825" s="282"/>
      <c r="J2825" s="283"/>
      <c r="K2825" s="265"/>
      <c r="L2825" s="265"/>
      <c r="M2825" s="269"/>
      <c r="N2825" s="270"/>
      <c r="O2825" s="271"/>
      <c r="P2825" s="271"/>
      <c r="Q2825" s="272"/>
      <c r="R2825" s="273"/>
      <c r="S2825" s="273"/>
      <c r="T2825" s="273"/>
      <c r="U2825" s="274"/>
      <c r="V2825" s="263"/>
      <c r="W2825" s="35"/>
      <c r="X2825" s="35"/>
      <c r="Y2825" s="35"/>
      <c r="Z2825" s="35"/>
      <c r="AA2825" s="35"/>
      <c r="AB2825" s="35"/>
      <c r="AC2825" s="35"/>
      <c r="AD2825" s="35"/>
      <c r="AE2825" s="35"/>
      <c r="AF2825" s="35"/>
      <c r="AG2825" s="35"/>
      <c r="AH2825" s="35"/>
      <c r="AI2825" s="35"/>
    </row>
    <row r="2826">
      <c r="A2826" s="263"/>
      <c r="B2826" s="264"/>
      <c r="C2826" s="265"/>
      <c r="D2826" s="265"/>
      <c r="E2826" s="264"/>
      <c r="F2826" s="265"/>
      <c r="G2826" s="263"/>
      <c r="H2826" s="432"/>
      <c r="I2826" s="282"/>
      <c r="J2826" s="283"/>
      <c r="K2826" s="265"/>
      <c r="L2826" s="265"/>
      <c r="M2826" s="269"/>
      <c r="N2826" s="270"/>
      <c r="O2826" s="271"/>
      <c r="P2826" s="271"/>
      <c r="Q2826" s="272"/>
      <c r="R2826" s="273"/>
      <c r="S2826" s="273"/>
      <c r="T2826" s="273"/>
      <c r="U2826" s="274"/>
      <c r="V2826" s="263"/>
      <c r="W2826" s="188"/>
      <c r="X2826" s="188"/>
      <c r="Y2826" s="188"/>
      <c r="Z2826" s="188"/>
      <c r="AA2826" s="188"/>
      <c r="AB2826" s="188"/>
      <c r="AC2826" s="188"/>
      <c r="AD2826" s="188"/>
      <c r="AE2826" s="188"/>
      <c r="AF2826" s="188"/>
      <c r="AG2826" s="188"/>
      <c r="AH2826" s="188"/>
      <c r="AI2826" s="188"/>
    </row>
    <row r="2827">
      <c r="A2827" s="263"/>
      <c r="B2827" s="264"/>
      <c r="C2827" s="265"/>
      <c r="D2827" s="265"/>
      <c r="E2827" s="264"/>
      <c r="F2827" s="265"/>
      <c r="G2827" s="263"/>
      <c r="H2827" s="432"/>
      <c r="I2827" s="282"/>
      <c r="J2827" s="283"/>
      <c r="K2827" s="265"/>
      <c r="L2827" s="265"/>
      <c r="M2827" s="269"/>
      <c r="N2827" s="270"/>
      <c r="O2827" s="271"/>
      <c r="P2827" s="271"/>
      <c r="Q2827" s="272"/>
      <c r="R2827" s="273"/>
      <c r="S2827" s="273"/>
      <c r="T2827" s="273"/>
      <c r="U2827" s="274"/>
      <c r="V2827" s="263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</row>
    <row r="2828">
      <c r="A2828" s="263"/>
      <c r="B2828" s="264"/>
      <c r="C2828" s="265"/>
      <c r="D2828" s="265"/>
      <c r="E2828" s="264"/>
      <c r="F2828" s="265"/>
      <c r="G2828" s="263"/>
      <c r="H2828" s="432"/>
      <c r="I2828" s="282"/>
      <c r="J2828" s="283"/>
      <c r="K2828" s="265"/>
      <c r="L2828" s="265"/>
      <c r="M2828" s="269"/>
      <c r="N2828" s="270"/>
      <c r="O2828" s="271"/>
      <c r="P2828" s="271"/>
      <c r="Q2828" s="272"/>
      <c r="R2828" s="273"/>
      <c r="S2828" s="273"/>
      <c r="T2828" s="273"/>
      <c r="U2828" s="274"/>
      <c r="V2828" s="263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</row>
    <row r="2829">
      <c r="A2829" s="263"/>
      <c r="B2829" s="264"/>
      <c r="C2829" s="265"/>
      <c r="D2829" s="265"/>
      <c r="E2829" s="264"/>
      <c r="F2829" s="265"/>
      <c r="G2829" s="263"/>
      <c r="H2829" s="432"/>
      <c r="I2829" s="282"/>
      <c r="J2829" s="283"/>
      <c r="K2829" s="265"/>
      <c r="L2829" s="265"/>
      <c r="M2829" s="269"/>
      <c r="N2829" s="270"/>
      <c r="O2829" s="271"/>
      <c r="P2829" s="271"/>
      <c r="Q2829" s="272"/>
      <c r="R2829" s="273"/>
      <c r="S2829" s="273"/>
      <c r="T2829" s="273"/>
      <c r="U2829" s="274"/>
      <c r="V2829" s="263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</row>
    <row r="2830">
      <c r="A2830" s="263"/>
      <c r="B2830" s="264"/>
      <c r="C2830" s="265"/>
      <c r="D2830" s="265"/>
      <c r="E2830" s="264"/>
      <c r="F2830" s="265"/>
      <c r="G2830" s="263"/>
      <c r="H2830" s="432"/>
      <c r="I2830" s="282"/>
      <c r="J2830" s="283"/>
      <c r="K2830" s="265"/>
      <c r="L2830" s="265"/>
      <c r="M2830" s="269"/>
      <c r="N2830" s="270"/>
      <c r="O2830" s="271"/>
      <c r="P2830" s="271"/>
      <c r="Q2830" s="272"/>
      <c r="R2830" s="273"/>
      <c r="S2830" s="273"/>
      <c r="T2830" s="273"/>
      <c r="U2830" s="274"/>
      <c r="V2830" s="263"/>
      <c r="W2830" s="35"/>
      <c r="X2830" s="35"/>
      <c r="Y2830" s="35"/>
      <c r="Z2830" s="35"/>
      <c r="AA2830" s="35"/>
      <c r="AB2830" s="35"/>
      <c r="AC2830" s="35"/>
      <c r="AD2830" s="35"/>
      <c r="AE2830" s="35"/>
      <c r="AF2830" s="35"/>
      <c r="AG2830" s="35"/>
      <c r="AH2830" s="35"/>
      <c r="AI2830" s="35"/>
    </row>
    <row r="2831">
      <c r="A2831" s="263"/>
      <c r="B2831" s="264"/>
      <c r="C2831" s="265"/>
      <c r="D2831" s="265"/>
      <c r="E2831" s="264"/>
      <c r="F2831" s="265"/>
      <c r="G2831" s="263"/>
      <c r="H2831" s="432"/>
      <c r="I2831" s="282"/>
      <c r="J2831" s="283"/>
      <c r="K2831" s="265"/>
      <c r="L2831" s="265"/>
      <c r="M2831" s="269"/>
      <c r="N2831" s="270"/>
      <c r="O2831" s="271"/>
      <c r="P2831" s="271"/>
      <c r="Q2831" s="272"/>
      <c r="R2831" s="273"/>
      <c r="S2831" s="273"/>
      <c r="T2831" s="273"/>
      <c r="U2831" s="274"/>
      <c r="V2831" s="263"/>
      <c r="W2831" s="35"/>
      <c r="X2831" s="35"/>
      <c r="Y2831" s="35"/>
      <c r="Z2831" s="35"/>
      <c r="AA2831" s="35"/>
      <c r="AB2831" s="35"/>
      <c r="AC2831" s="35"/>
      <c r="AD2831" s="35"/>
      <c r="AE2831" s="35"/>
      <c r="AF2831" s="35"/>
      <c r="AG2831" s="35"/>
      <c r="AH2831" s="35"/>
      <c r="AI2831" s="35"/>
    </row>
    <row r="2832">
      <c r="A2832" s="263"/>
      <c r="B2832" s="264"/>
      <c r="C2832" s="265"/>
      <c r="D2832" s="265"/>
      <c r="E2832" s="264"/>
      <c r="F2832" s="265"/>
      <c r="G2832" s="263"/>
      <c r="H2832" s="432"/>
      <c r="I2832" s="282"/>
      <c r="J2832" s="283"/>
      <c r="K2832" s="265"/>
      <c r="L2832" s="265"/>
      <c r="M2832" s="269"/>
      <c r="N2832" s="270"/>
      <c r="O2832" s="271"/>
      <c r="P2832" s="271"/>
      <c r="Q2832" s="272"/>
      <c r="R2832" s="273"/>
      <c r="S2832" s="273"/>
      <c r="T2832" s="273"/>
      <c r="U2832" s="274"/>
      <c r="V2832" s="263"/>
      <c r="W2832" s="188"/>
      <c r="X2832" s="188"/>
      <c r="Y2832" s="188"/>
      <c r="Z2832" s="188"/>
      <c r="AA2832" s="188"/>
      <c r="AB2832" s="188"/>
      <c r="AC2832" s="188"/>
      <c r="AD2832" s="188"/>
      <c r="AE2832" s="188"/>
      <c r="AF2832" s="188"/>
      <c r="AG2832" s="188"/>
      <c r="AH2832" s="188"/>
      <c r="AI2832" s="188"/>
    </row>
    <row r="2833">
      <c r="A2833" s="263"/>
      <c r="B2833" s="264"/>
      <c r="C2833" s="265"/>
      <c r="D2833" s="265"/>
      <c r="E2833" s="264"/>
      <c r="F2833" s="265"/>
      <c r="G2833" s="263"/>
      <c r="H2833" s="432"/>
      <c r="I2833" s="282"/>
      <c r="J2833" s="283"/>
      <c r="K2833" s="265"/>
      <c r="L2833" s="265"/>
      <c r="M2833" s="269"/>
      <c r="N2833" s="270"/>
      <c r="O2833" s="271"/>
      <c r="P2833" s="271"/>
      <c r="Q2833" s="272"/>
      <c r="R2833" s="273"/>
      <c r="S2833" s="273"/>
      <c r="T2833" s="273"/>
      <c r="U2833" s="274"/>
      <c r="V2833" s="263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</row>
    <row r="2834">
      <c r="A2834" s="263"/>
      <c r="B2834" s="264"/>
      <c r="C2834" s="265"/>
      <c r="D2834" s="265"/>
      <c r="E2834" s="264"/>
      <c r="F2834" s="265"/>
      <c r="G2834" s="263"/>
      <c r="H2834" s="432"/>
      <c r="I2834" s="282"/>
      <c r="J2834" s="283"/>
      <c r="K2834" s="265"/>
      <c r="L2834" s="265"/>
      <c r="M2834" s="269"/>
      <c r="N2834" s="270"/>
      <c r="O2834" s="271"/>
      <c r="P2834" s="271"/>
      <c r="Q2834" s="272"/>
      <c r="R2834" s="273"/>
      <c r="S2834" s="273"/>
      <c r="T2834" s="273"/>
      <c r="U2834" s="274"/>
      <c r="V2834" s="263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</row>
    <row r="2835">
      <c r="A2835" s="263"/>
      <c r="B2835" s="264"/>
      <c r="C2835" s="265"/>
      <c r="D2835" s="265"/>
      <c r="E2835" s="264"/>
      <c r="F2835" s="265"/>
      <c r="G2835" s="263"/>
      <c r="H2835" s="432"/>
      <c r="I2835" s="282"/>
      <c r="J2835" s="283"/>
      <c r="K2835" s="265"/>
      <c r="L2835" s="265"/>
      <c r="M2835" s="269"/>
      <c r="N2835" s="270"/>
      <c r="O2835" s="271"/>
      <c r="P2835" s="271"/>
      <c r="Q2835" s="272"/>
      <c r="R2835" s="273"/>
      <c r="S2835" s="273"/>
      <c r="T2835" s="273"/>
      <c r="U2835" s="274"/>
      <c r="V2835" s="263"/>
      <c r="W2835" s="188"/>
      <c r="X2835" s="188"/>
      <c r="Y2835" s="188"/>
      <c r="Z2835" s="188"/>
      <c r="AA2835" s="188"/>
      <c r="AB2835" s="188"/>
      <c r="AC2835" s="188"/>
      <c r="AD2835" s="188"/>
      <c r="AE2835" s="188"/>
      <c r="AF2835" s="188"/>
      <c r="AG2835" s="188"/>
      <c r="AH2835" s="188"/>
      <c r="AI2835" s="188"/>
    </row>
    <row r="2836">
      <c r="A2836" s="263"/>
      <c r="B2836" s="264"/>
      <c r="C2836" s="265"/>
      <c r="D2836" s="265"/>
      <c r="E2836" s="264"/>
      <c r="F2836" s="265"/>
      <c r="G2836" s="263"/>
      <c r="H2836" s="432"/>
      <c r="I2836" s="282"/>
      <c r="J2836" s="283"/>
      <c r="K2836" s="265"/>
      <c r="L2836" s="265"/>
      <c r="M2836" s="269"/>
      <c r="N2836" s="270"/>
      <c r="O2836" s="271"/>
      <c r="P2836" s="271"/>
      <c r="Q2836" s="272"/>
      <c r="R2836" s="273"/>
      <c r="S2836" s="273"/>
      <c r="T2836" s="273"/>
      <c r="U2836" s="274"/>
      <c r="V2836" s="263"/>
      <c r="W2836" s="36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</row>
    <row r="2837">
      <c r="A2837" s="263"/>
      <c r="B2837" s="264"/>
      <c r="C2837" s="265"/>
      <c r="D2837" s="265"/>
      <c r="E2837" s="264"/>
      <c r="F2837" s="265"/>
      <c r="G2837" s="263"/>
      <c r="H2837" s="432"/>
      <c r="I2837" s="282"/>
      <c r="J2837" s="283"/>
      <c r="K2837" s="265"/>
      <c r="L2837" s="265"/>
      <c r="M2837" s="269"/>
      <c r="N2837" s="270"/>
      <c r="O2837" s="271"/>
      <c r="P2837" s="271"/>
      <c r="Q2837" s="272"/>
      <c r="R2837" s="273"/>
      <c r="S2837" s="273"/>
      <c r="T2837" s="273"/>
      <c r="U2837" s="274"/>
      <c r="V2837" s="263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</row>
    <row r="2838">
      <c r="A2838" s="263"/>
      <c r="B2838" s="264"/>
      <c r="C2838" s="265"/>
      <c r="D2838" s="265"/>
      <c r="E2838" s="264"/>
      <c r="F2838" s="265"/>
      <c r="G2838" s="263"/>
      <c r="H2838" s="432"/>
      <c r="I2838" s="282"/>
      <c r="J2838" s="283"/>
      <c r="K2838" s="265"/>
      <c r="L2838" s="265"/>
      <c r="M2838" s="269"/>
      <c r="N2838" s="270"/>
      <c r="O2838" s="271"/>
      <c r="P2838" s="271"/>
      <c r="Q2838" s="272"/>
      <c r="R2838" s="273"/>
      <c r="S2838" s="273"/>
      <c r="T2838" s="273"/>
      <c r="U2838" s="274"/>
      <c r="V2838" s="263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</row>
    <row r="2839">
      <c r="A2839" s="263"/>
      <c r="B2839" s="264"/>
      <c r="C2839" s="265"/>
      <c r="D2839" s="265"/>
      <c r="E2839" s="264"/>
      <c r="F2839" s="265"/>
      <c r="G2839" s="263"/>
      <c r="H2839" s="432"/>
      <c r="I2839" s="282"/>
      <c r="J2839" s="283"/>
      <c r="K2839" s="265"/>
      <c r="L2839" s="265"/>
      <c r="M2839" s="269"/>
      <c r="N2839" s="270"/>
      <c r="O2839" s="271"/>
      <c r="P2839" s="271"/>
      <c r="Q2839" s="272"/>
      <c r="R2839" s="273"/>
      <c r="S2839" s="273"/>
      <c r="T2839" s="273"/>
      <c r="U2839" s="274"/>
      <c r="V2839" s="263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</row>
    <row r="2840">
      <c r="A2840" s="263"/>
      <c r="B2840" s="264"/>
      <c r="C2840" s="265"/>
      <c r="D2840" s="265"/>
      <c r="E2840" s="264"/>
      <c r="F2840" s="265"/>
      <c r="G2840" s="263"/>
      <c r="H2840" s="432"/>
      <c r="I2840" s="282"/>
      <c r="J2840" s="283"/>
      <c r="K2840" s="265"/>
      <c r="L2840" s="265"/>
      <c r="M2840" s="269"/>
      <c r="N2840" s="270"/>
      <c r="O2840" s="271"/>
      <c r="P2840" s="271"/>
      <c r="Q2840" s="272"/>
      <c r="R2840" s="273"/>
      <c r="S2840" s="273"/>
      <c r="T2840" s="273"/>
      <c r="U2840" s="274"/>
      <c r="V2840" s="263"/>
      <c r="W2840" s="36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</row>
    <row r="2841">
      <c r="A2841" s="263"/>
      <c r="B2841" s="264"/>
      <c r="C2841" s="265"/>
      <c r="D2841" s="265"/>
      <c r="E2841" s="264"/>
      <c r="F2841" s="265"/>
      <c r="G2841" s="263"/>
      <c r="H2841" s="432"/>
      <c r="I2841" s="282"/>
      <c r="J2841" s="283"/>
      <c r="K2841" s="265"/>
      <c r="L2841" s="265"/>
      <c r="M2841" s="269"/>
      <c r="N2841" s="270"/>
      <c r="O2841" s="271"/>
      <c r="P2841" s="271"/>
      <c r="Q2841" s="272"/>
      <c r="R2841" s="273"/>
      <c r="S2841" s="273"/>
      <c r="T2841" s="273"/>
      <c r="U2841" s="274"/>
      <c r="V2841" s="263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</row>
    <row r="2842">
      <c r="A2842" s="263"/>
      <c r="B2842" s="264"/>
      <c r="C2842" s="265"/>
      <c r="D2842" s="265"/>
      <c r="E2842" s="264"/>
      <c r="F2842" s="265"/>
      <c r="G2842" s="263"/>
      <c r="H2842" s="432"/>
      <c r="I2842" s="282"/>
      <c r="J2842" s="283"/>
      <c r="K2842" s="265"/>
      <c r="L2842" s="265"/>
      <c r="M2842" s="269"/>
      <c r="N2842" s="270"/>
      <c r="O2842" s="271"/>
      <c r="P2842" s="271"/>
      <c r="Q2842" s="272"/>
      <c r="R2842" s="273"/>
      <c r="S2842" s="273"/>
      <c r="T2842" s="273"/>
      <c r="U2842" s="274"/>
      <c r="V2842" s="263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</row>
    <row r="2843">
      <c r="A2843" s="263"/>
      <c r="B2843" s="264"/>
      <c r="C2843" s="265"/>
      <c r="D2843" s="265"/>
      <c r="E2843" s="264"/>
      <c r="F2843" s="265"/>
      <c r="G2843" s="263"/>
      <c r="H2843" s="432"/>
      <c r="I2843" s="282"/>
      <c r="J2843" s="283"/>
      <c r="K2843" s="265"/>
      <c r="L2843" s="265"/>
      <c r="M2843" s="269"/>
      <c r="N2843" s="270"/>
      <c r="O2843" s="271"/>
      <c r="P2843" s="271"/>
      <c r="Q2843" s="272"/>
      <c r="R2843" s="273"/>
      <c r="S2843" s="273"/>
      <c r="T2843" s="273"/>
      <c r="U2843" s="274"/>
      <c r="V2843" s="263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</row>
    <row r="2844">
      <c r="A2844" s="263"/>
      <c r="B2844" s="264"/>
      <c r="C2844" s="265"/>
      <c r="D2844" s="265"/>
      <c r="E2844" s="264"/>
      <c r="F2844" s="265"/>
      <c r="G2844" s="263"/>
      <c r="H2844" s="432"/>
      <c r="I2844" s="282"/>
      <c r="J2844" s="283"/>
      <c r="K2844" s="265"/>
      <c r="L2844" s="265"/>
      <c r="M2844" s="269"/>
      <c r="N2844" s="270"/>
      <c r="O2844" s="271"/>
      <c r="P2844" s="271"/>
      <c r="Q2844" s="272"/>
      <c r="R2844" s="273"/>
      <c r="S2844" s="273"/>
      <c r="T2844" s="273"/>
      <c r="U2844" s="274"/>
      <c r="V2844" s="263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</row>
    <row r="2845">
      <c r="A2845" s="263"/>
      <c r="B2845" s="264"/>
      <c r="C2845" s="265"/>
      <c r="D2845" s="265"/>
      <c r="E2845" s="264"/>
      <c r="F2845" s="265"/>
      <c r="G2845" s="263"/>
      <c r="H2845" s="432"/>
      <c r="I2845" s="282"/>
      <c r="J2845" s="283"/>
      <c r="K2845" s="265"/>
      <c r="L2845" s="265"/>
      <c r="M2845" s="269"/>
      <c r="N2845" s="270"/>
      <c r="O2845" s="271"/>
      <c r="P2845" s="271"/>
      <c r="Q2845" s="272"/>
      <c r="R2845" s="273"/>
      <c r="S2845" s="273"/>
      <c r="T2845" s="273"/>
      <c r="U2845" s="274"/>
      <c r="V2845" s="263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</row>
    <row r="2846">
      <c r="A2846" s="263"/>
      <c r="B2846" s="264"/>
      <c r="C2846" s="265"/>
      <c r="D2846" s="265"/>
      <c r="E2846" s="264"/>
      <c r="F2846" s="265"/>
      <c r="G2846" s="263"/>
      <c r="H2846" s="432"/>
      <c r="I2846" s="282"/>
      <c r="J2846" s="283"/>
      <c r="K2846" s="265"/>
      <c r="L2846" s="265"/>
      <c r="M2846" s="269"/>
      <c r="N2846" s="270"/>
      <c r="O2846" s="271"/>
      <c r="P2846" s="271"/>
      <c r="Q2846" s="272"/>
      <c r="R2846" s="273"/>
      <c r="S2846" s="273"/>
      <c r="T2846" s="273"/>
      <c r="U2846" s="274"/>
      <c r="V2846" s="263"/>
      <c r="W2846" s="188"/>
      <c r="X2846" s="188"/>
      <c r="Y2846" s="188"/>
      <c r="Z2846" s="188"/>
      <c r="AA2846" s="188"/>
      <c r="AB2846" s="188"/>
      <c r="AC2846" s="188"/>
      <c r="AD2846" s="188"/>
      <c r="AE2846" s="188"/>
      <c r="AF2846" s="188"/>
      <c r="AG2846" s="188"/>
      <c r="AH2846" s="188"/>
      <c r="AI2846" s="188"/>
    </row>
    <row r="2847">
      <c r="A2847" s="263"/>
      <c r="B2847" s="264"/>
      <c r="C2847" s="265"/>
      <c r="D2847" s="265"/>
      <c r="E2847" s="264"/>
      <c r="F2847" s="265"/>
      <c r="G2847" s="263"/>
      <c r="H2847" s="432"/>
      <c r="I2847" s="282"/>
      <c r="J2847" s="283"/>
      <c r="K2847" s="265"/>
      <c r="L2847" s="265"/>
      <c r="M2847" s="269"/>
      <c r="N2847" s="270"/>
      <c r="O2847" s="271"/>
      <c r="P2847" s="271"/>
      <c r="Q2847" s="272"/>
      <c r="R2847" s="273"/>
      <c r="S2847" s="273"/>
      <c r="T2847" s="273"/>
      <c r="U2847" s="274"/>
      <c r="V2847" s="263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</row>
    <row r="2848">
      <c r="A2848" s="263"/>
      <c r="B2848" s="264"/>
      <c r="C2848" s="265"/>
      <c r="D2848" s="265"/>
      <c r="E2848" s="264"/>
      <c r="F2848" s="265"/>
      <c r="G2848" s="263"/>
      <c r="H2848" s="432"/>
      <c r="I2848" s="282"/>
      <c r="J2848" s="283"/>
      <c r="K2848" s="265"/>
      <c r="L2848" s="265"/>
      <c r="M2848" s="269"/>
      <c r="N2848" s="270"/>
      <c r="O2848" s="271"/>
      <c r="P2848" s="271"/>
      <c r="Q2848" s="272"/>
      <c r="R2848" s="273"/>
      <c r="S2848" s="273"/>
      <c r="T2848" s="273"/>
      <c r="U2848" s="274"/>
      <c r="V2848" s="263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</row>
    <row r="2849">
      <c r="A2849" s="263"/>
      <c r="B2849" s="264"/>
      <c r="C2849" s="265"/>
      <c r="D2849" s="265"/>
      <c r="E2849" s="264"/>
      <c r="F2849" s="265"/>
      <c r="G2849" s="263"/>
      <c r="H2849" s="432"/>
      <c r="I2849" s="282"/>
      <c r="J2849" s="283"/>
      <c r="K2849" s="265"/>
      <c r="L2849" s="265"/>
      <c r="M2849" s="269"/>
      <c r="N2849" s="270"/>
      <c r="O2849" s="271"/>
      <c r="P2849" s="271"/>
      <c r="Q2849" s="272"/>
      <c r="R2849" s="273"/>
      <c r="S2849" s="273"/>
      <c r="T2849" s="273"/>
      <c r="U2849" s="274"/>
      <c r="V2849" s="263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</row>
    <row r="2850">
      <c r="A2850" s="263"/>
      <c r="B2850" s="264"/>
      <c r="C2850" s="265"/>
      <c r="D2850" s="265"/>
      <c r="E2850" s="264"/>
      <c r="F2850" s="265"/>
      <c r="G2850" s="263"/>
      <c r="H2850" s="432"/>
      <c r="I2850" s="282"/>
      <c r="J2850" s="283"/>
      <c r="K2850" s="265"/>
      <c r="L2850" s="265"/>
      <c r="M2850" s="269"/>
      <c r="N2850" s="270"/>
      <c r="O2850" s="271"/>
      <c r="P2850" s="271"/>
      <c r="Q2850" s="272"/>
      <c r="R2850" s="273"/>
      <c r="S2850" s="273"/>
      <c r="T2850" s="273"/>
      <c r="U2850" s="274"/>
      <c r="V2850" s="263"/>
      <c r="W2850" s="188"/>
      <c r="X2850" s="188"/>
      <c r="Y2850" s="188"/>
      <c r="Z2850" s="188"/>
      <c r="AA2850" s="188"/>
      <c r="AB2850" s="188"/>
      <c r="AC2850" s="188"/>
      <c r="AD2850" s="188"/>
      <c r="AE2850" s="188"/>
      <c r="AF2850" s="188"/>
      <c r="AG2850" s="188"/>
      <c r="AH2850" s="188"/>
      <c r="AI2850" s="188"/>
    </row>
    <row r="2851">
      <c r="A2851" s="263"/>
      <c r="B2851" s="264"/>
      <c r="C2851" s="265"/>
      <c r="D2851" s="265"/>
      <c r="E2851" s="264"/>
      <c r="F2851" s="265"/>
      <c r="G2851" s="263"/>
      <c r="H2851" s="432"/>
      <c r="I2851" s="282"/>
      <c r="J2851" s="283"/>
      <c r="K2851" s="265"/>
      <c r="L2851" s="265"/>
      <c r="M2851" s="269"/>
      <c r="N2851" s="270"/>
      <c r="O2851" s="271"/>
      <c r="P2851" s="271"/>
      <c r="Q2851" s="272"/>
      <c r="R2851" s="273"/>
      <c r="S2851" s="273"/>
      <c r="T2851" s="273"/>
      <c r="U2851" s="274"/>
      <c r="V2851" s="263"/>
      <c r="W2851" s="188"/>
      <c r="X2851" s="188"/>
      <c r="Y2851" s="188"/>
      <c r="Z2851" s="188"/>
      <c r="AA2851" s="188"/>
      <c r="AB2851" s="188"/>
      <c r="AC2851" s="188"/>
      <c r="AD2851" s="188"/>
      <c r="AE2851" s="188"/>
      <c r="AF2851" s="188"/>
      <c r="AG2851" s="188"/>
      <c r="AH2851" s="188"/>
      <c r="AI2851" s="188"/>
    </row>
    <row r="2852">
      <c r="A2852" s="263"/>
      <c r="B2852" s="264"/>
      <c r="C2852" s="265"/>
      <c r="D2852" s="265"/>
      <c r="E2852" s="264"/>
      <c r="F2852" s="265"/>
      <c r="G2852" s="263"/>
      <c r="H2852" s="432"/>
      <c r="I2852" s="282"/>
      <c r="J2852" s="283"/>
      <c r="K2852" s="265"/>
      <c r="L2852" s="265"/>
      <c r="M2852" s="269"/>
      <c r="N2852" s="270"/>
      <c r="O2852" s="271"/>
      <c r="P2852" s="271"/>
      <c r="Q2852" s="272"/>
      <c r="R2852" s="273"/>
      <c r="S2852" s="273"/>
      <c r="T2852" s="273"/>
      <c r="U2852" s="274"/>
      <c r="V2852" s="263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</row>
    <row r="2853">
      <c r="A2853" s="263"/>
      <c r="B2853" s="264"/>
      <c r="C2853" s="265"/>
      <c r="D2853" s="265"/>
      <c r="E2853" s="264"/>
      <c r="F2853" s="265"/>
      <c r="G2853" s="263"/>
      <c r="H2853" s="432"/>
      <c r="I2853" s="282"/>
      <c r="J2853" s="283"/>
      <c r="K2853" s="265"/>
      <c r="L2853" s="265"/>
      <c r="M2853" s="269"/>
      <c r="N2853" s="270"/>
      <c r="O2853" s="271"/>
      <c r="P2853" s="271"/>
      <c r="Q2853" s="272"/>
      <c r="R2853" s="273"/>
      <c r="S2853" s="273"/>
      <c r="T2853" s="273"/>
      <c r="U2853" s="274"/>
      <c r="V2853" s="263"/>
      <c r="W2853" s="35"/>
      <c r="X2853" s="35"/>
      <c r="Y2853" s="35"/>
      <c r="Z2853" s="35"/>
      <c r="AA2853" s="35"/>
      <c r="AB2853" s="35"/>
      <c r="AC2853" s="35"/>
      <c r="AD2853" s="35"/>
      <c r="AE2853" s="35"/>
      <c r="AF2853" s="35"/>
      <c r="AG2853" s="35"/>
      <c r="AH2853" s="35"/>
      <c r="AI2853" s="35"/>
    </row>
    <row r="2854">
      <c r="A2854" s="263"/>
      <c r="B2854" s="264"/>
      <c r="C2854" s="265"/>
      <c r="D2854" s="265"/>
      <c r="E2854" s="264"/>
      <c r="F2854" s="265"/>
      <c r="G2854" s="263"/>
      <c r="H2854" s="432"/>
      <c r="I2854" s="282"/>
      <c r="J2854" s="283"/>
      <c r="K2854" s="265"/>
      <c r="L2854" s="265"/>
      <c r="M2854" s="269"/>
      <c r="N2854" s="270"/>
      <c r="O2854" s="271"/>
      <c r="P2854" s="271"/>
      <c r="Q2854" s="272"/>
      <c r="R2854" s="273"/>
      <c r="S2854" s="273"/>
      <c r="T2854" s="273"/>
      <c r="U2854" s="274"/>
      <c r="V2854" s="263"/>
      <c r="W2854" s="188"/>
      <c r="X2854" s="188"/>
      <c r="Y2854" s="188"/>
      <c r="Z2854" s="188"/>
      <c r="AA2854" s="188"/>
      <c r="AB2854" s="188"/>
      <c r="AC2854" s="188"/>
      <c r="AD2854" s="188"/>
      <c r="AE2854" s="188"/>
      <c r="AF2854" s="188"/>
      <c r="AG2854" s="188"/>
      <c r="AH2854" s="188"/>
      <c r="AI2854" s="188"/>
    </row>
    <row r="2855">
      <c r="A2855" s="263"/>
      <c r="B2855" s="264"/>
      <c r="C2855" s="265"/>
      <c r="D2855" s="265"/>
      <c r="E2855" s="264"/>
      <c r="F2855" s="265"/>
      <c r="G2855" s="263"/>
      <c r="H2855" s="432"/>
      <c r="I2855" s="282"/>
      <c r="J2855" s="283"/>
      <c r="K2855" s="265"/>
      <c r="L2855" s="265"/>
      <c r="M2855" s="269"/>
      <c r="N2855" s="270"/>
      <c r="O2855" s="271"/>
      <c r="P2855" s="271"/>
      <c r="Q2855" s="272"/>
      <c r="R2855" s="273"/>
      <c r="S2855" s="273"/>
      <c r="T2855" s="273"/>
      <c r="U2855" s="274"/>
      <c r="V2855" s="263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</row>
    <row r="2856">
      <c r="A2856" s="263"/>
      <c r="B2856" s="264"/>
      <c r="C2856" s="265"/>
      <c r="D2856" s="265"/>
      <c r="E2856" s="264"/>
      <c r="F2856" s="265"/>
      <c r="G2856" s="263"/>
      <c r="H2856" s="432"/>
      <c r="I2856" s="282"/>
      <c r="J2856" s="283"/>
      <c r="K2856" s="265"/>
      <c r="L2856" s="265"/>
      <c r="M2856" s="269"/>
      <c r="N2856" s="270"/>
      <c r="O2856" s="271"/>
      <c r="P2856" s="271"/>
      <c r="Q2856" s="272"/>
      <c r="R2856" s="273"/>
      <c r="S2856" s="273"/>
      <c r="T2856" s="273"/>
      <c r="U2856" s="274"/>
      <c r="V2856" s="263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</row>
    <row r="2857">
      <c r="A2857" s="263"/>
      <c r="B2857" s="264"/>
      <c r="C2857" s="265"/>
      <c r="D2857" s="265"/>
      <c r="E2857" s="264"/>
      <c r="F2857" s="265"/>
      <c r="G2857" s="263"/>
      <c r="H2857" s="432"/>
      <c r="I2857" s="282"/>
      <c r="J2857" s="283"/>
      <c r="K2857" s="265"/>
      <c r="L2857" s="265"/>
      <c r="M2857" s="269"/>
      <c r="N2857" s="270"/>
      <c r="O2857" s="271"/>
      <c r="P2857" s="271"/>
      <c r="Q2857" s="272"/>
      <c r="R2857" s="273"/>
      <c r="S2857" s="273"/>
      <c r="T2857" s="273"/>
      <c r="U2857" s="274"/>
      <c r="V2857" s="263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</row>
    <row r="2858">
      <c r="A2858" s="263"/>
      <c r="B2858" s="264"/>
      <c r="C2858" s="265"/>
      <c r="D2858" s="265"/>
      <c r="E2858" s="264"/>
      <c r="F2858" s="265"/>
      <c r="G2858" s="263"/>
      <c r="H2858" s="432"/>
      <c r="I2858" s="282"/>
      <c r="J2858" s="283"/>
      <c r="K2858" s="265"/>
      <c r="L2858" s="265"/>
      <c r="M2858" s="269"/>
      <c r="N2858" s="270"/>
      <c r="O2858" s="271"/>
      <c r="P2858" s="271"/>
      <c r="Q2858" s="272"/>
      <c r="R2858" s="273"/>
      <c r="S2858" s="273"/>
      <c r="T2858" s="273"/>
      <c r="U2858" s="274"/>
      <c r="V2858" s="263"/>
      <c r="W2858" s="35"/>
      <c r="X2858" s="35"/>
      <c r="Y2858" s="35"/>
      <c r="Z2858" s="35"/>
      <c r="AA2858" s="35"/>
      <c r="AB2858" s="35"/>
      <c r="AC2858" s="35"/>
      <c r="AD2858" s="35"/>
      <c r="AE2858" s="35"/>
      <c r="AF2858" s="35"/>
      <c r="AG2858" s="35"/>
      <c r="AH2858" s="35"/>
      <c r="AI2858" s="35"/>
    </row>
    <row r="2859">
      <c r="A2859" s="263"/>
      <c r="B2859" s="264"/>
      <c r="C2859" s="265"/>
      <c r="D2859" s="265"/>
      <c r="E2859" s="264"/>
      <c r="F2859" s="265"/>
      <c r="G2859" s="263"/>
      <c r="H2859" s="432"/>
      <c r="I2859" s="282"/>
      <c r="J2859" s="283"/>
      <c r="K2859" s="265"/>
      <c r="L2859" s="265"/>
      <c r="M2859" s="269"/>
      <c r="N2859" s="270"/>
      <c r="O2859" s="271"/>
      <c r="P2859" s="271"/>
      <c r="Q2859" s="272"/>
      <c r="R2859" s="273"/>
      <c r="S2859" s="273"/>
      <c r="T2859" s="273"/>
      <c r="U2859" s="274"/>
      <c r="V2859" s="263"/>
      <c r="W2859" s="188"/>
      <c r="X2859" s="188"/>
      <c r="Y2859" s="188"/>
      <c r="Z2859" s="188"/>
      <c r="AA2859" s="188"/>
      <c r="AB2859" s="188"/>
      <c r="AC2859" s="188"/>
      <c r="AD2859" s="188"/>
      <c r="AE2859" s="188"/>
      <c r="AF2859" s="188"/>
      <c r="AG2859" s="188"/>
      <c r="AH2859" s="188"/>
      <c r="AI2859" s="188"/>
    </row>
    <row r="2860">
      <c r="A2860" s="263"/>
      <c r="B2860" s="264"/>
      <c r="C2860" s="265"/>
      <c r="D2860" s="265"/>
      <c r="E2860" s="264"/>
      <c r="F2860" s="265"/>
      <c r="G2860" s="263"/>
      <c r="H2860" s="432"/>
      <c r="I2860" s="282"/>
      <c r="J2860" s="283"/>
      <c r="K2860" s="265"/>
      <c r="L2860" s="265"/>
      <c r="M2860" s="269"/>
      <c r="N2860" s="270"/>
      <c r="O2860" s="271"/>
      <c r="P2860" s="271"/>
      <c r="Q2860" s="272"/>
      <c r="R2860" s="273"/>
      <c r="S2860" s="273"/>
      <c r="T2860" s="273"/>
      <c r="U2860" s="274"/>
      <c r="V2860" s="263"/>
      <c r="W2860" s="188"/>
      <c r="X2860" s="188"/>
      <c r="Y2860" s="188"/>
      <c r="Z2860" s="188"/>
      <c r="AA2860" s="188"/>
      <c r="AB2860" s="188"/>
      <c r="AC2860" s="188"/>
      <c r="AD2860" s="188"/>
      <c r="AE2860" s="188"/>
      <c r="AF2860" s="188"/>
      <c r="AG2860" s="188"/>
      <c r="AH2860" s="188"/>
      <c r="AI2860" s="188"/>
    </row>
    <row r="2861">
      <c r="A2861" s="263"/>
      <c r="B2861" s="264"/>
      <c r="C2861" s="265"/>
      <c r="D2861" s="265"/>
      <c r="E2861" s="264"/>
      <c r="F2861" s="265"/>
      <c r="G2861" s="263"/>
      <c r="H2861" s="432"/>
      <c r="I2861" s="282"/>
      <c r="J2861" s="283"/>
      <c r="K2861" s="265"/>
      <c r="L2861" s="265"/>
      <c r="M2861" s="269"/>
      <c r="N2861" s="270"/>
      <c r="O2861" s="271"/>
      <c r="P2861" s="271"/>
      <c r="Q2861" s="272"/>
      <c r="R2861" s="273"/>
      <c r="S2861" s="273"/>
      <c r="T2861" s="273"/>
      <c r="U2861" s="274"/>
      <c r="V2861" s="263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</row>
    <row r="2862">
      <c r="A2862" s="263"/>
      <c r="B2862" s="264"/>
      <c r="C2862" s="265"/>
      <c r="D2862" s="265"/>
      <c r="E2862" s="264"/>
      <c r="F2862" s="265"/>
      <c r="G2862" s="263"/>
      <c r="H2862" s="432"/>
      <c r="I2862" s="282"/>
      <c r="J2862" s="283"/>
      <c r="K2862" s="265"/>
      <c r="L2862" s="265"/>
      <c r="M2862" s="269"/>
      <c r="N2862" s="270"/>
      <c r="O2862" s="271"/>
      <c r="P2862" s="271"/>
      <c r="Q2862" s="272"/>
      <c r="R2862" s="273"/>
      <c r="S2862" s="273"/>
      <c r="T2862" s="273"/>
      <c r="U2862" s="274"/>
      <c r="V2862" s="263"/>
      <c r="W2862" s="35"/>
      <c r="X2862" s="35"/>
      <c r="Y2862" s="35"/>
      <c r="Z2862" s="35"/>
      <c r="AA2862" s="35"/>
      <c r="AB2862" s="35"/>
      <c r="AC2862" s="35"/>
      <c r="AD2862" s="35"/>
      <c r="AE2862" s="35"/>
      <c r="AF2862" s="35"/>
      <c r="AG2862" s="35"/>
      <c r="AH2862" s="35"/>
      <c r="AI2862" s="35"/>
    </row>
    <row r="2863">
      <c r="A2863" s="263"/>
      <c r="B2863" s="264"/>
      <c r="C2863" s="265"/>
      <c r="D2863" s="265"/>
      <c r="E2863" s="264"/>
      <c r="F2863" s="265"/>
      <c r="G2863" s="263"/>
      <c r="H2863" s="432"/>
      <c r="I2863" s="282"/>
      <c r="J2863" s="283"/>
      <c r="K2863" s="265"/>
      <c r="L2863" s="265"/>
      <c r="M2863" s="269"/>
      <c r="N2863" s="270"/>
      <c r="O2863" s="271"/>
      <c r="P2863" s="271"/>
      <c r="Q2863" s="272"/>
      <c r="R2863" s="273"/>
      <c r="S2863" s="273"/>
      <c r="T2863" s="273"/>
      <c r="U2863" s="274"/>
      <c r="V2863" s="263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</row>
    <row r="2864">
      <c r="A2864" s="263"/>
      <c r="B2864" s="264"/>
      <c r="C2864" s="265"/>
      <c r="D2864" s="265"/>
      <c r="E2864" s="264"/>
      <c r="F2864" s="265"/>
      <c r="G2864" s="263"/>
      <c r="H2864" s="432"/>
      <c r="I2864" s="282"/>
      <c r="J2864" s="283"/>
      <c r="K2864" s="265"/>
      <c r="L2864" s="265"/>
      <c r="M2864" s="269"/>
      <c r="N2864" s="270"/>
      <c r="O2864" s="271"/>
      <c r="P2864" s="271"/>
      <c r="Q2864" s="272"/>
      <c r="R2864" s="273"/>
      <c r="S2864" s="273"/>
      <c r="T2864" s="273"/>
      <c r="U2864" s="274"/>
      <c r="V2864" s="263"/>
      <c r="W2864" s="35"/>
      <c r="X2864" s="35"/>
      <c r="Y2864" s="35"/>
      <c r="Z2864" s="35"/>
      <c r="AA2864" s="35"/>
      <c r="AB2864" s="35"/>
      <c r="AC2864" s="35"/>
      <c r="AD2864" s="35"/>
      <c r="AE2864" s="35"/>
      <c r="AF2864" s="35"/>
      <c r="AG2864" s="35"/>
      <c r="AH2864" s="35"/>
      <c r="AI2864" s="35"/>
    </row>
    <row r="2865">
      <c r="A2865" s="263"/>
      <c r="B2865" s="264"/>
      <c r="C2865" s="265"/>
      <c r="D2865" s="265"/>
      <c r="E2865" s="264"/>
      <c r="F2865" s="265"/>
      <c r="G2865" s="263"/>
      <c r="H2865" s="432"/>
      <c r="I2865" s="282"/>
      <c r="J2865" s="283"/>
      <c r="K2865" s="265"/>
      <c r="L2865" s="265"/>
      <c r="M2865" s="269"/>
      <c r="N2865" s="270"/>
      <c r="O2865" s="271"/>
      <c r="P2865" s="271"/>
      <c r="Q2865" s="272"/>
      <c r="R2865" s="273"/>
      <c r="S2865" s="273"/>
      <c r="T2865" s="273"/>
      <c r="U2865" s="274"/>
      <c r="V2865" s="263"/>
      <c r="W2865" s="188"/>
      <c r="X2865" s="188"/>
      <c r="Y2865" s="188"/>
      <c r="Z2865" s="188"/>
      <c r="AA2865" s="188"/>
      <c r="AB2865" s="188"/>
      <c r="AC2865" s="188"/>
      <c r="AD2865" s="188"/>
      <c r="AE2865" s="188"/>
      <c r="AF2865" s="188"/>
      <c r="AG2865" s="188"/>
      <c r="AH2865" s="188"/>
      <c r="AI2865" s="188"/>
    </row>
    <row r="2866">
      <c r="A2866" s="263"/>
      <c r="B2866" s="264"/>
      <c r="C2866" s="265"/>
      <c r="D2866" s="265"/>
      <c r="E2866" s="264"/>
      <c r="F2866" s="265"/>
      <c r="G2866" s="263"/>
      <c r="H2866" s="432"/>
      <c r="I2866" s="282"/>
      <c r="J2866" s="283"/>
      <c r="K2866" s="265"/>
      <c r="L2866" s="265"/>
      <c r="M2866" s="269"/>
      <c r="N2866" s="270"/>
      <c r="O2866" s="271"/>
      <c r="P2866" s="271"/>
      <c r="Q2866" s="272"/>
      <c r="R2866" s="273"/>
      <c r="S2866" s="273"/>
      <c r="T2866" s="273"/>
      <c r="U2866" s="274"/>
      <c r="V2866" s="263"/>
      <c r="W2866" s="188"/>
      <c r="X2866" s="188"/>
      <c r="Y2866" s="188"/>
      <c r="Z2866" s="188"/>
      <c r="AA2866" s="188"/>
      <c r="AB2866" s="188"/>
      <c r="AC2866" s="188"/>
      <c r="AD2866" s="188"/>
      <c r="AE2866" s="188"/>
      <c r="AF2866" s="188"/>
      <c r="AG2866" s="188"/>
      <c r="AH2866" s="188"/>
      <c r="AI2866" s="188"/>
    </row>
    <row r="2867">
      <c r="A2867" s="263"/>
      <c r="B2867" s="264"/>
      <c r="C2867" s="265"/>
      <c r="D2867" s="265"/>
      <c r="E2867" s="264"/>
      <c r="F2867" s="265"/>
      <c r="G2867" s="263"/>
      <c r="H2867" s="432"/>
      <c r="I2867" s="282"/>
      <c r="J2867" s="283"/>
      <c r="K2867" s="265"/>
      <c r="L2867" s="265"/>
      <c r="M2867" s="269"/>
      <c r="N2867" s="270"/>
      <c r="O2867" s="271"/>
      <c r="P2867" s="271"/>
      <c r="Q2867" s="272"/>
      <c r="R2867" s="273"/>
      <c r="S2867" s="273"/>
      <c r="T2867" s="273"/>
      <c r="U2867" s="274"/>
      <c r="V2867" s="263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</row>
    <row r="2868">
      <c r="A2868" s="263"/>
      <c r="B2868" s="264"/>
      <c r="C2868" s="265"/>
      <c r="D2868" s="265"/>
      <c r="E2868" s="264"/>
      <c r="F2868" s="265"/>
      <c r="G2868" s="263"/>
      <c r="H2868" s="432"/>
      <c r="I2868" s="282"/>
      <c r="J2868" s="283"/>
      <c r="K2868" s="265"/>
      <c r="L2868" s="265"/>
      <c r="M2868" s="269"/>
      <c r="N2868" s="270"/>
      <c r="O2868" s="271"/>
      <c r="P2868" s="271"/>
      <c r="Q2868" s="272"/>
      <c r="R2868" s="273"/>
      <c r="S2868" s="273"/>
      <c r="T2868" s="273"/>
      <c r="U2868" s="274"/>
      <c r="V2868" s="263"/>
      <c r="W2868" s="35"/>
      <c r="X2868" s="35"/>
      <c r="Y2868" s="35"/>
      <c r="Z2868" s="35"/>
      <c r="AA2868" s="35"/>
      <c r="AB2868" s="35"/>
      <c r="AC2868" s="35"/>
      <c r="AD2868" s="35"/>
      <c r="AE2868" s="35"/>
      <c r="AF2868" s="35"/>
      <c r="AG2868" s="35"/>
      <c r="AH2868" s="35"/>
      <c r="AI2868" s="35"/>
    </row>
    <row r="2869">
      <c r="A2869" s="263"/>
      <c r="B2869" s="264"/>
      <c r="C2869" s="265"/>
      <c r="D2869" s="265"/>
      <c r="E2869" s="264"/>
      <c r="F2869" s="265"/>
      <c r="G2869" s="263"/>
      <c r="H2869" s="432"/>
      <c r="I2869" s="282"/>
      <c r="J2869" s="283"/>
      <c r="K2869" s="265"/>
      <c r="L2869" s="265"/>
      <c r="M2869" s="269"/>
      <c r="N2869" s="270"/>
      <c r="O2869" s="271"/>
      <c r="P2869" s="271"/>
      <c r="Q2869" s="272"/>
      <c r="R2869" s="273"/>
      <c r="S2869" s="273"/>
      <c r="T2869" s="273"/>
      <c r="U2869" s="274"/>
      <c r="V2869" s="263"/>
      <c r="W2869" s="188"/>
      <c r="X2869" s="188"/>
      <c r="Y2869" s="188"/>
      <c r="Z2869" s="188"/>
      <c r="AA2869" s="188"/>
      <c r="AB2869" s="188"/>
      <c r="AC2869" s="188"/>
      <c r="AD2869" s="188"/>
      <c r="AE2869" s="188"/>
      <c r="AF2869" s="188"/>
      <c r="AG2869" s="188"/>
      <c r="AH2869" s="188"/>
      <c r="AI2869" s="188"/>
    </row>
    <row r="2870">
      <c r="A2870" s="263"/>
      <c r="B2870" s="264"/>
      <c r="C2870" s="265"/>
      <c r="D2870" s="265"/>
      <c r="E2870" s="264"/>
      <c r="F2870" s="265"/>
      <c r="G2870" s="263"/>
      <c r="H2870" s="432"/>
      <c r="I2870" s="282"/>
      <c r="J2870" s="283"/>
      <c r="K2870" s="265"/>
      <c r="L2870" s="265"/>
      <c r="M2870" s="269"/>
      <c r="N2870" s="270"/>
      <c r="O2870" s="271"/>
      <c r="P2870" s="271"/>
      <c r="Q2870" s="272"/>
      <c r="R2870" s="273"/>
      <c r="S2870" s="273"/>
      <c r="T2870" s="273"/>
      <c r="U2870" s="274"/>
      <c r="V2870" s="263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</row>
    <row r="2871">
      <c r="A2871" s="263"/>
      <c r="B2871" s="264"/>
      <c r="C2871" s="265"/>
      <c r="D2871" s="265"/>
      <c r="E2871" s="264"/>
      <c r="F2871" s="265"/>
      <c r="G2871" s="263"/>
      <c r="H2871" s="432"/>
      <c r="I2871" s="282"/>
      <c r="J2871" s="283"/>
      <c r="K2871" s="265"/>
      <c r="L2871" s="265"/>
      <c r="M2871" s="269"/>
      <c r="N2871" s="270"/>
      <c r="O2871" s="271"/>
      <c r="P2871" s="271"/>
      <c r="Q2871" s="272"/>
      <c r="R2871" s="273"/>
      <c r="S2871" s="273"/>
      <c r="T2871" s="273"/>
      <c r="U2871" s="274"/>
      <c r="V2871" s="263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</row>
    <row r="2872">
      <c r="A2872" s="263"/>
      <c r="B2872" s="264"/>
      <c r="C2872" s="265"/>
      <c r="D2872" s="265"/>
      <c r="E2872" s="264"/>
      <c r="F2872" s="265"/>
      <c r="G2872" s="263"/>
      <c r="H2872" s="432"/>
      <c r="I2872" s="282"/>
      <c r="J2872" s="283"/>
      <c r="K2872" s="265"/>
      <c r="L2872" s="265"/>
      <c r="M2872" s="269"/>
      <c r="N2872" s="270"/>
      <c r="O2872" s="271"/>
      <c r="P2872" s="271"/>
      <c r="Q2872" s="272"/>
      <c r="R2872" s="273"/>
      <c r="S2872" s="273"/>
      <c r="T2872" s="273"/>
      <c r="U2872" s="274"/>
      <c r="V2872" s="263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</row>
    <row r="2873">
      <c r="A2873" s="263"/>
      <c r="B2873" s="264"/>
      <c r="C2873" s="265"/>
      <c r="D2873" s="265"/>
      <c r="E2873" s="264"/>
      <c r="F2873" s="265"/>
      <c r="G2873" s="263"/>
      <c r="H2873" s="432"/>
      <c r="I2873" s="282"/>
      <c r="J2873" s="283"/>
      <c r="K2873" s="265"/>
      <c r="L2873" s="265"/>
      <c r="M2873" s="269"/>
      <c r="N2873" s="270"/>
      <c r="O2873" s="271"/>
      <c r="P2873" s="271"/>
      <c r="Q2873" s="272"/>
      <c r="R2873" s="273"/>
      <c r="S2873" s="273"/>
      <c r="T2873" s="273"/>
      <c r="U2873" s="274"/>
      <c r="V2873" s="263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</row>
    <row r="2874">
      <c r="A2874" s="263"/>
      <c r="B2874" s="264"/>
      <c r="C2874" s="265"/>
      <c r="D2874" s="265"/>
      <c r="E2874" s="264"/>
      <c r="F2874" s="265"/>
      <c r="G2874" s="263"/>
      <c r="H2874" s="432"/>
      <c r="I2874" s="282"/>
      <c r="J2874" s="283"/>
      <c r="K2874" s="265"/>
      <c r="L2874" s="265"/>
      <c r="M2874" s="269"/>
      <c r="N2874" s="270"/>
      <c r="O2874" s="271"/>
      <c r="P2874" s="271"/>
      <c r="Q2874" s="272"/>
      <c r="R2874" s="273"/>
      <c r="S2874" s="273"/>
      <c r="T2874" s="273"/>
      <c r="U2874" s="274"/>
      <c r="V2874" s="263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</row>
    <row r="2875">
      <c r="A2875" s="263"/>
      <c r="B2875" s="264"/>
      <c r="C2875" s="265"/>
      <c r="D2875" s="265"/>
      <c r="E2875" s="264"/>
      <c r="F2875" s="265"/>
      <c r="G2875" s="263"/>
      <c r="H2875" s="432"/>
      <c r="I2875" s="282"/>
      <c r="J2875" s="283"/>
      <c r="K2875" s="265"/>
      <c r="L2875" s="265"/>
      <c r="M2875" s="269"/>
      <c r="N2875" s="270"/>
      <c r="O2875" s="271"/>
      <c r="P2875" s="271"/>
      <c r="Q2875" s="272"/>
      <c r="R2875" s="273"/>
      <c r="S2875" s="273"/>
      <c r="T2875" s="273"/>
      <c r="U2875" s="274"/>
      <c r="V2875" s="263"/>
      <c r="W2875" s="35"/>
      <c r="X2875" s="35"/>
      <c r="Y2875" s="35"/>
      <c r="Z2875" s="35"/>
      <c r="AA2875" s="35"/>
      <c r="AB2875" s="35"/>
      <c r="AC2875" s="35"/>
      <c r="AD2875" s="35"/>
      <c r="AE2875" s="35"/>
      <c r="AF2875" s="35"/>
      <c r="AG2875" s="35"/>
      <c r="AH2875" s="35"/>
      <c r="AI2875" s="35"/>
    </row>
    <row r="2876">
      <c r="A2876" s="263"/>
      <c r="B2876" s="264"/>
      <c r="C2876" s="265"/>
      <c r="D2876" s="265"/>
      <c r="E2876" s="264"/>
      <c r="F2876" s="265"/>
      <c r="G2876" s="263"/>
      <c r="H2876" s="432"/>
      <c r="I2876" s="282"/>
      <c r="J2876" s="283"/>
      <c r="K2876" s="265"/>
      <c r="L2876" s="265"/>
      <c r="M2876" s="269"/>
      <c r="N2876" s="270"/>
      <c r="O2876" s="271"/>
      <c r="P2876" s="271"/>
      <c r="Q2876" s="272"/>
      <c r="R2876" s="273"/>
      <c r="S2876" s="273"/>
      <c r="T2876" s="273"/>
      <c r="U2876" s="274"/>
      <c r="V2876" s="263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</row>
    <row r="2877">
      <c r="A2877" s="263"/>
      <c r="B2877" s="264"/>
      <c r="C2877" s="265"/>
      <c r="D2877" s="265"/>
      <c r="E2877" s="264"/>
      <c r="F2877" s="265"/>
      <c r="G2877" s="263"/>
      <c r="H2877" s="432"/>
      <c r="I2877" s="282"/>
      <c r="J2877" s="283"/>
      <c r="K2877" s="265"/>
      <c r="L2877" s="265"/>
      <c r="M2877" s="269"/>
      <c r="N2877" s="270"/>
      <c r="O2877" s="271"/>
      <c r="P2877" s="271"/>
      <c r="Q2877" s="272"/>
      <c r="R2877" s="273"/>
      <c r="S2877" s="273"/>
      <c r="T2877" s="273"/>
      <c r="U2877" s="274"/>
      <c r="V2877" s="263"/>
      <c r="W2877" s="188"/>
      <c r="X2877" s="188"/>
      <c r="Y2877" s="188"/>
      <c r="Z2877" s="188"/>
      <c r="AA2877" s="188"/>
      <c r="AB2877" s="188"/>
      <c r="AC2877" s="188"/>
      <c r="AD2877" s="188"/>
      <c r="AE2877" s="188"/>
      <c r="AF2877" s="188"/>
      <c r="AG2877" s="188"/>
      <c r="AH2877" s="188"/>
      <c r="AI2877" s="188"/>
    </row>
    <row r="2878">
      <c r="A2878" s="263"/>
      <c r="B2878" s="264"/>
      <c r="C2878" s="265"/>
      <c r="D2878" s="265"/>
      <c r="E2878" s="264"/>
      <c r="F2878" s="265"/>
      <c r="G2878" s="263"/>
      <c r="H2878" s="432"/>
      <c r="I2878" s="282"/>
      <c r="J2878" s="283"/>
      <c r="K2878" s="265"/>
      <c r="L2878" s="265"/>
      <c r="M2878" s="269"/>
      <c r="N2878" s="270"/>
      <c r="O2878" s="271"/>
      <c r="P2878" s="271"/>
      <c r="Q2878" s="272"/>
      <c r="R2878" s="273"/>
      <c r="S2878" s="273"/>
      <c r="T2878" s="273"/>
      <c r="U2878" s="274"/>
      <c r="V2878" s="263"/>
      <c r="W2878" s="35"/>
      <c r="X2878" s="35"/>
      <c r="Y2878" s="35"/>
      <c r="Z2878" s="35"/>
      <c r="AA2878" s="35"/>
      <c r="AB2878" s="35"/>
      <c r="AC2878" s="35"/>
      <c r="AD2878" s="35"/>
      <c r="AE2878" s="35"/>
      <c r="AF2878" s="35"/>
      <c r="AG2878" s="35"/>
      <c r="AH2878" s="35"/>
      <c r="AI2878" s="35"/>
    </row>
    <row r="2879">
      <c r="A2879" s="263"/>
      <c r="B2879" s="264"/>
      <c r="C2879" s="265"/>
      <c r="D2879" s="265"/>
      <c r="E2879" s="264"/>
      <c r="F2879" s="265"/>
      <c r="G2879" s="263"/>
      <c r="H2879" s="432"/>
      <c r="I2879" s="282"/>
      <c r="J2879" s="283"/>
      <c r="K2879" s="265"/>
      <c r="L2879" s="265"/>
      <c r="M2879" s="269"/>
      <c r="N2879" s="270"/>
      <c r="O2879" s="271"/>
      <c r="P2879" s="271"/>
      <c r="Q2879" s="272"/>
      <c r="R2879" s="273"/>
      <c r="S2879" s="273"/>
      <c r="T2879" s="273"/>
      <c r="U2879" s="274"/>
      <c r="V2879" s="263"/>
      <c r="W2879" s="35"/>
      <c r="X2879" s="35"/>
      <c r="Y2879" s="35"/>
      <c r="Z2879" s="35"/>
      <c r="AA2879" s="35"/>
      <c r="AB2879" s="35"/>
      <c r="AC2879" s="35"/>
      <c r="AD2879" s="35"/>
      <c r="AE2879" s="35"/>
      <c r="AF2879" s="35"/>
      <c r="AG2879" s="35"/>
      <c r="AH2879" s="35"/>
      <c r="AI2879" s="35"/>
    </row>
    <row r="2880">
      <c r="A2880" s="263"/>
      <c r="B2880" s="264"/>
      <c r="C2880" s="265"/>
      <c r="D2880" s="265"/>
      <c r="E2880" s="264"/>
      <c r="F2880" s="265"/>
      <c r="G2880" s="263"/>
      <c r="H2880" s="432"/>
      <c r="I2880" s="282"/>
      <c r="J2880" s="283"/>
      <c r="K2880" s="265"/>
      <c r="L2880" s="265"/>
      <c r="M2880" s="269"/>
      <c r="N2880" s="270"/>
      <c r="O2880" s="271"/>
      <c r="P2880" s="271"/>
      <c r="Q2880" s="272"/>
      <c r="R2880" s="273"/>
      <c r="S2880" s="273"/>
      <c r="T2880" s="273"/>
      <c r="U2880" s="274"/>
      <c r="V2880" s="263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</row>
    <row r="2881">
      <c r="A2881" s="263"/>
      <c r="B2881" s="264"/>
      <c r="C2881" s="265"/>
      <c r="D2881" s="265"/>
      <c r="E2881" s="264"/>
      <c r="F2881" s="265"/>
      <c r="G2881" s="263"/>
      <c r="H2881" s="432"/>
      <c r="I2881" s="282"/>
      <c r="J2881" s="283"/>
      <c r="K2881" s="265"/>
      <c r="L2881" s="265"/>
      <c r="M2881" s="269"/>
      <c r="N2881" s="270"/>
      <c r="O2881" s="271"/>
      <c r="P2881" s="271"/>
      <c r="Q2881" s="272"/>
      <c r="R2881" s="273"/>
      <c r="S2881" s="273"/>
      <c r="T2881" s="273"/>
      <c r="U2881" s="274"/>
      <c r="V2881" s="263"/>
      <c r="W2881" s="188"/>
      <c r="X2881" s="188"/>
      <c r="Y2881" s="188"/>
      <c r="Z2881" s="188"/>
      <c r="AA2881" s="188"/>
      <c r="AB2881" s="188"/>
      <c r="AC2881" s="188"/>
      <c r="AD2881" s="188"/>
      <c r="AE2881" s="188"/>
      <c r="AF2881" s="188"/>
      <c r="AG2881" s="188"/>
      <c r="AH2881" s="188"/>
      <c r="AI2881" s="188"/>
    </row>
    <row r="2882">
      <c r="A2882" s="263"/>
      <c r="B2882" s="264"/>
      <c r="C2882" s="265"/>
      <c r="D2882" s="265"/>
      <c r="E2882" s="264"/>
      <c r="F2882" s="265"/>
      <c r="G2882" s="263"/>
      <c r="H2882" s="432"/>
      <c r="I2882" s="282"/>
      <c r="J2882" s="283"/>
      <c r="K2882" s="265"/>
      <c r="L2882" s="265"/>
      <c r="M2882" s="269"/>
      <c r="N2882" s="270"/>
      <c r="O2882" s="271"/>
      <c r="P2882" s="271"/>
      <c r="Q2882" s="272"/>
      <c r="R2882" s="273"/>
      <c r="S2882" s="273"/>
      <c r="T2882" s="273"/>
      <c r="U2882" s="274"/>
      <c r="V2882" s="263"/>
      <c r="W2882" s="35"/>
      <c r="X2882" s="35"/>
      <c r="Y2882" s="35"/>
      <c r="Z2882" s="35"/>
      <c r="AA2882" s="35"/>
      <c r="AB2882" s="35"/>
      <c r="AC2882" s="35"/>
      <c r="AD2882" s="35"/>
      <c r="AE2882" s="35"/>
      <c r="AF2882" s="35"/>
      <c r="AG2882" s="35"/>
      <c r="AH2882" s="35"/>
      <c r="AI2882" s="35"/>
    </row>
    <row r="2883">
      <c r="A2883" s="263"/>
      <c r="B2883" s="264"/>
      <c r="C2883" s="265"/>
      <c r="D2883" s="265"/>
      <c r="E2883" s="264"/>
      <c r="F2883" s="265"/>
      <c r="G2883" s="263"/>
      <c r="H2883" s="432"/>
      <c r="I2883" s="282"/>
      <c r="J2883" s="283"/>
      <c r="K2883" s="265"/>
      <c r="L2883" s="265"/>
      <c r="M2883" s="269"/>
      <c r="N2883" s="270"/>
      <c r="O2883" s="271"/>
      <c r="P2883" s="271"/>
      <c r="Q2883" s="272"/>
      <c r="R2883" s="273"/>
      <c r="S2883" s="273"/>
      <c r="T2883" s="273"/>
      <c r="U2883" s="274"/>
      <c r="V2883" s="263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</row>
    <row r="2884">
      <c r="A2884" s="263"/>
      <c r="B2884" s="264"/>
      <c r="C2884" s="265"/>
      <c r="D2884" s="265"/>
      <c r="E2884" s="264"/>
      <c r="F2884" s="265"/>
      <c r="G2884" s="263"/>
      <c r="H2884" s="432"/>
      <c r="I2884" s="282"/>
      <c r="J2884" s="283"/>
      <c r="K2884" s="265"/>
      <c r="L2884" s="265"/>
      <c r="M2884" s="269"/>
      <c r="N2884" s="270"/>
      <c r="O2884" s="271"/>
      <c r="P2884" s="271"/>
      <c r="Q2884" s="272"/>
      <c r="R2884" s="273"/>
      <c r="S2884" s="273"/>
      <c r="T2884" s="273"/>
      <c r="U2884" s="274"/>
      <c r="V2884" s="263"/>
      <c r="W2884" s="188"/>
      <c r="X2884" s="188"/>
      <c r="Y2884" s="188"/>
      <c r="Z2884" s="188"/>
      <c r="AA2884" s="188"/>
      <c r="AB2884" s="188"/>
      <c r="AC2884" s="188"/>
      <c r="AD2884" s="188"/>
      <c r="AE2884" s="188"/>
      <c r="AF2884" s="188"/>
      <c r="AG2884" s="188"/>
      <c r="AH2884" s="188"/>
      <c r="AI2884" s="188"/>
    </row>
    <row r="2885">
      <c r="A2885" s="263"/>
      <c r="B2885" s="264"/>
      <c r="C2885" s="265"/>
      <c r="D2885" s="265"/>
      <c r="E2885" s="264"/>
      <c r="F2885" s="265"/>
      <c r="G2885" s="263"/>
      <c r="H2885" s="432"/>
      <c r="I2885" s="282"/>
      <c r="J2885" s="283"/>
      <c r="K2885" s="265"/>
      <c r="L2885" s="265"/>
      <c r="M2885" s="269"/>
      <c r="N2885" s="270"/>
      <c r="O2885" s="271"/>
      <c r="P2885" s="271"/>
      <c r="Q2885" s="272"/>
      <c r="R2885" s="273"/>
      <c r="S2885" s="273"/>
      <c r="T2885" s="273"/>
      <c r="U2885" s="274"/>
      <c r="V2885" s="263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</row>
    <row r="2886">
      <c r="A2886" s="263"/>
      <c r="B2886" s="264"/>
      <c r="C2886" s="265"/>
      <c r="D2886" s="265"/>
      <c r="E2886" s="264"/>
      <c r="F2886" s="265"/>
      <c r="G2886" s="263"/>
      <c r="H2886" s="432"/>
      <c r="I2886" s="282"/>
      <c r="J2886" s="283"/>
      <c r="K2886" s="265"/>
      <c r="L2886" s="265"/>
      <c r="M2886" s="269"/>
      <c r="N2886" s="270"/>
      <c r="O2886" s="271"/>
      <c r="P2886" s="271"/>
      <c r="Q2886" s="272"/>
      <c r="R2886" s="273"/>
      <c r="S2886" s="273"/>
      <c r="T2886" s="273"/>
      <c r="U2886" s="274"/>
      <c r="V2886" s="263"/>
      <c r="W2886" s="188"/>
      <c r="X2886" s="188"/>
      <c r="Y2886" s="188"/>
      <c r="Z2886" s="188"/>
      <c r="AA2886" s="188"/>
      <c r="AB2886" s="188"/>
      <c r="AC2886" s="188"/>
      <c r="AD2886" s="188"/>
      <c r="AE2886" s="188"/>
      <c r="AF2886" s="188"/>
      <c r="AG2886" s="188"/>
      <c r="AH2886" s="188"/>
      <c r="AI2886" s="188"/>
    </row>
    <row r="2887">
      <c r="A2887" s="263"/>
      <c r="B2887" s="264"/>
      <c r="C2887" s="265"/>
      <c r="D2887" s="265"/>
      <c r="E2887" s="264"/>
      <c r="F2887" s="265"/>
      <c r="G2887" s="263"/>
      <c r="H2887" s="432"/>
      <c r="I2887" s="282"/>
      <c r="J2887" s="283"/>
      <c r="K2887" s="265"/>
      <c r="L2887" s="265"/>
      <c r="M2887" s="269"/>
      <c r="N2887" s="270"/>
      <c r="O2887" s="271"/>
      <c r="P2887" s="271"/>
      <c r="Q2887" s="272"/>
      <c r="R2887" s="273"/>
      <c r="S2887" s="273"/>
      <c r="T2887" s="273"/>
      <c r="U2887" s="274"/>
      <c r="V2887" s="263"/>
      <c r="W2887" s="35"/>
      <c r="X2887" s="35"/>
      <c r="Y2887" s="35"/>
      <c r="Z2887" s="35"/>
      <c r="AA2887" s="35"/>
      <c r="AB2887" s="35"/>
      <c r="AC2887" s="35"/>
      <c r="AD2887" s="35"/>
      <c r="AE2887" s="35"/>
      <c r="AF2887" s="35"/>
      <c r="AG2887" s="35"/>
      <c r="AH2887" s="35"/>
      <c r="AI2887" s="35"/>
    </row>
    <row r="2888">
      <c r="A2888" s="263"/>
      <c r="B2888" s="264"/>
      <c r="C2888" s="265"/>
      <c r="D2888" s="265"/>
      <c r="E2888" s="264"/>
      <c r="F2888" s="265"/>
      <c r="G2888" s="263"/>
      <c r="H2888" s="432"/>
      <c r="I2888" s="282"/>
      <c r="J2888" s="283"/>
      <c r="K2888" s="265"/>
      <c r="L2888" s="265"/>
      <c r="M2888" s="269"/>
      <c r="N2888" s="270"/>
      <c r="O2888" s="271"/>
      <c r="P2888" s="271"/>
      <c r="Q2888" s="272"/>
      <c r="R2888" s="273"/>
      <c r="S2888" s="273"/>
      <c r="T2888" s="273"/>
      <c r="U2888" s="274"/>
      <c r="V2888" s="263"/>
      <c r="W2888" s="35"/>
      <c r="X2888" s="35"/>
      <c r="Y2888" s="35"/>
      <c r="Z2888" s="35"/>
      <c r="AA2888" s="35"/>
      <c r="AB2888" s="35"/>
      <c r="AC2888" s="35"/>
      <c r="AD2888" s="35"/>
      <c r="AE2888" s="35"/>
      <c r="AF2888" s="35"/>
      <c r="AG2888" s="35"/>
      <c r="AH2888" s="35"/>
      <c r="AI2888" s="35"/>
    </row>
    <row r="2889">
      <c r="A2889" s="263"/>
      <c r="B2889" s="264"/>
      <c r="C2889" s="265"/>
      <c r="D2889" s="265"/>
      <c r="E2889" s="264"/>
      <c r="F2889" s="265"/>
      <c r="G2889" s="263"/>
      <c r="H2889" s="432"/>
      <c r="I2889" s="282"/>
      <c r="J2889" s="283"/>
      <c r="K2889" s="265"/>
      <c r="L2889" s="265"/>
      <c r="M2889" s="269"/>
      <c r="N2889" s="270"/>
      <c r="O2889" s="271"/>
      <c r="P2889" s="271"/>
      <c r="Q2889" s="272"/>
      <c r="R2889" s="273"/>
      <c r="S2889" s="273"/>
      <c r="T2889" s="273"/>
      <c r="U2889" s="274"/>
      <c r="V2889" s="263"/>
      <c r="W2889" s="188"/>
      <c r="X2889" s="188"/>
      <c r="Y2889" s="188"/>
      <c r="Z2889" s="188"/>
      <c r="AA2889" s="188"/>
      <c r="AB2889" s="188"/>
      <c r="AC2889" s="188"/>
      <c r="AD2889" s="188"/>
      <c r="AE2889" s="188"/>
      <c r="AF2889" s="188"/>
      <c r="AG2889" s="188"/>
      <c r="AH2889" s="188"/>
      <c r="AI2889" s="188"/>
    </row>
    <row r="2890">
      <c r="A2890" s="263"/>
      <c r="B2890" s="264"/>
      <c r="C2890" s="265"/>
      <c r="D2890" s="265"/>
      <c r="E2890" s="264"/>
      <c r="F2890" s="265"/>
      <c r="G2890" s="263"/>
      <c r="H2890" s="432"/>
      <c r="I2890" s="282"/>
      <c r="J2890" s="283"/>
      <c r="K2890" s="265"/>
      <c r="L2890" s="265"/>
      <c r="M2890" s="269"/>
      <c r="N2890" s="270"/>
      <c r="O2890" s="271"/>
      <c r="P2890" s="271"/>
      <c r="Q2890" s="272"/>
      <c r="R2890" s="273"/>
      <c r="S2890" s="273"/>
      <c r="T2890" s="273"/>
      <c r="U2890" s="274"/>
      <c r="V2890" s="263"/>
      <c r="W2890" s="188"/>
      <c r="X2890" s="188"/>
      <c r="Y2890" s="188"/>
      <c r="Z2890" s="188"/>
      <c r="AA2890" s="188"/>
      <c r="AB2890" s="188"/>
      <c r="AC2890" s="188"/>
      <c r="AD2890" s="188"/>
      <c r="AE2890" s="188"/>
      <c r="AF2890" s="188"/>
      <c r="AG2890" s="188"/>
      <c r="AH2890" s="188"/>
      <c r="AI2890" s="188"/>
    </row>
    <row r="2891">
      <c r="A2891" s="263"/>
      <c r="B2891" s="264"/>
      <c r="C2891" s="265"/>
      <c r="D2891" s="265"/>
      <c r="E2891" s="264"/>
      <c r="F2891" s="265"/>
      <c r="G2891" s="263"/>
      <c r="H2891" s="432"/>
      <c r="I2891" s="282"/>
      <c r="J2891" s="283"/>
      <c r="K2891" s="265"/>
      <c r="L2891" s="265"/>
      <c r="M2891" s="269"/>
      <c r="N2891" s="270"/>
      <c r="O2891" s="271"/>
      <c r="P2891" s="271"/>
      <c r="Q2891" s="272"/>
      <c r="R2891" s="273"/>
      <c r="S2891" s="273"/>
      <c r="T2891" s="273"/>
      <c r="U2891" s="274"/>
      <c r="V2891" s="263"/>
      <c r="W2891" s="35"/>
      <c r="X2891" s="35"/>
      <c r="Y2891" s="35"/>
      <c r="Z2891" s="35"/>
      <c r="AA2891" s="35"/>
      <c r="AB2891" s="35"/>
      <c r="AC2891" s="35"/>
      <c r="AD2891" s="35"/>
      <c r="AE2891" s="35"/>
      <c r="AF2891" s="35"/>
      <c r="AG2891" s="35"/>
      <c r="AH2891" s="35"/>
      <c r="AI2891" s="35"/>
    </row>
    <row r="2892">
      <c r="A2892" s="263"/>
      <c r="B2892" s="264"/>
      <c r="C2892" s="265"/>
      <c r="D2892" s="265"/>
      <c r="E2892" s="264"/>
      <c r="F2892" s="265"/>
      <c r="G2892" s="263"/>
      <c r="H2892" s="432"/>
      <c r="I2892" s="282"/>
      <c r="J2892" s="283"/>
      <c r="K2892" s="265"/>
      <c r="L2892" s="265"/>
      <c r="M2892" s="269"/>
      <c r="N2892" s="270"/>
      <c r="O2892" s="271"/>
      <c r="P2892" s="271"/>
      <c r="Q2892" s="272"/>
      <c r="R2892" s="273"/>
      <c r="S2892" s="273"/>
      <c r="T2892" s="273"/>
      <c r="U2892" s="274"/>
      <c r="V2892" s="263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</row>
    <row r="2893">
      <c r="A2893" s="263"/>
      <c r="B2893" s="264"/>
      <c r="C2893" s="265"/>
      <c r="D2893" s="265"/>
      <c r="E2893" s="264"/>
      <c r="F2893" s="265"/>
      <c r="G2893" s="263"/>
      <c r="H2893" s="432"/>
      <c r="I2893" s="282"/>
      <c r="J2893" s="283"/>
      <c r="K2893" s="265"/>
      <c r="L2893" s="265"/>
      <c r="M2893" s="269"/>
      <c r="N2893" s="270"/>
      <c r="O2893" s="271"/>
      <c r="P2893" s="271"/>
      <c r="Q2893" s="272"/>
      <c r="R2893" s="273"/>
      <c r="S2893" s="273"/>
      <c r="T2893" s="273"/>
      <c r="U2893" s="274"/>
      <c r="V2893" s="263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</row>
    <row r="2894">
      <c r="A2894" s="263"/>
      <c r="B2894" s="264"/>
      <c r="C2894" s="265"/>
      <c r="D2894" s="265"/>
      <c r="E2894" s="264"/>
      <c r="F2894" s="265"/>
      <c r="G2894" s="263"/>
      <c r="H2894" s="432"/>
      <c r="I2894" s="282"/>
      <c r="J2894" s="283"/>
      <c r="K2894" s="265"/>
      <c r="L2894" s="265"/>
      <c r="M2894" s="269"/>
      <c r="N2894" s="270"/>
      <c r="O2894" s="271"/>
      <c r="P2894" s="271"/>
      <c r="Q2894" s="272"/>
      <c r="R2894" s="273"/>
      <c r="S2894" s="273"/>
      <c r="T2894" s="273"/>
      <c r="U2894" s="274"/>
      <c r="V2894" s="263"/>
      <c r="W2894" s="188"/>
      <c r="X2894" s="188"/>
      <c r="Y2894" s="188"/>
      <c r="Z2894" s="188"/>
      <c r="AA2894" s="188"/>
      <c r="AB2894" s="188"/>
      <c r="AC2894" s="188"/>
      <c r="AD2894" s="188"/>
      <c r="AE2894" s="188"/>
      <c r="AF2894" s="188"/>
      <c r="AG2894" s="188"/>
      <c r="AH2894" s="188"/>
      <c r="AI2894" s="188"/>
    </row>
    <row r="2895">
      <c r="A2895" s="263"/>
      <c r="B2895" s="264"/>
      <c r="C2895" s="265"/>
      <c r="D2895" s="265"/>
      <c r="E2895" s="264"/>
      <c r="F2895" s="265"/>
      <c r="G2895" s="263"/>
      <c r="H2895" s="432"/>
      <c r="I2895" s="282"/>
      <c r="J2895" s="283"/>
      <c r="K2895" s="265"/>
      <c r="L2895" s="265"/>
      <c r="M2895" s="269"/>
      <c r="N2895" s="270"/>
      <c r="O2895" s="271"/>
      <c r="P2895" s="271"/>
      <c r="Q2895" s="272"/>
      <c r="R2895" s="273"/>
      <c r="S2895" s="273"/>
      <c r="T2895" s="273"/>
      <c r="U2895" s="274"/>
      <c r="V2895" s="263"/>
      <c r="W2895" s="36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</row>
    <row r="2896">
      <c r="A2896" s="263"/>
      <c r="B2896" s="264"/>
      <c r="C2896" s="265"/>
      <c r="D2896" s="265"/>
      <c r="E2896" s="264"/>
      <c r="F2896" s="265"/>
      <c r="G2896" s="263"/>
      <c r="H2896" s="432"/>
      <c r="I2896" s="282"/>
      <c r="J2896" s="283"/>
      <c r="K2896" s="265"/>
      <c r="L2896" s="265"/>
      <c r="M2896" s="269"/>
      <c r="N2896" s="270"/>
      <c r="O2896" s="271"/>
      <c r="P2896" s="271"/>
      <c r="Q2896" s="272"/>
      <c r="R2896" s="273"/>
      <c r="S2896" s="273"/>
      <c r="T2896" s="273"/>
      <c r="U2896" s="274"/>
      <c r="V2896" s="263"/>
      <c r="W2896" s="188"/>
      <c r="X2896" s="188"/>
      <c r="Y2896" s="188"/>
      <c r="Z2896" s="188"/>
      <c r="AA2896" s="188"/>
      <c r="AB2896" s="188"/>
      <c r="AC2896" s="188"/>
      <c r="AD2896" s="188"/>
      <c r="AE2896" s="188"/>
      <c r="AF2896" s="188"/>
      <c r="AG2896" s="188"/>
      <c r="AH2896" s="188"/>
      <c r="AI2896" s="188"/>
    </row>
    <row r="2897">
      <c r="A2897" s="263"/>
      <c r="B2897" s="264"/>
      <c r="C2897" s="265"/>
      <c r="D2897" s="265"/>
      <c r="E2897" s="264"/>
      <c r="F2897" s="265"/>
      <c r="G2897" s="263"/>
      <c r="H2897" s="432"/>
      <c r="I2897" s="282"/>
      <c r="J2897" s="283"/>
      <c r="K2897" s="265"/>
      <c r="L2897" s="265"/>
      <c r="M2897" s="269"/>
      <c r="N2897" s="270"/>
      <c r="O2897" s="271"/>
      <c r="P2897" s="271"/>
      <c r="Q2897" s="272"/>
      <c r="R2897" s="273"/>
      <c r="S2897" s="273"/>
      <c r="T2897" s="273"/>
      <c r="U2897" s="274"/>
      <c r="V2897" s="263"/>
      <c r="W2897" s="188"/>
      <c r="X2897" s="188"/>
      <c r="Y2897" s="188"/>
      <c r="Z2897" s="188"/>
      <c r="AA2897" s="188"/>
      <c r="AB2897" s="188"/>
      <c r="AC2897" s="188"/>
      <c r="AD2897" s="188"/>
      <c r="AE2897" s="188"/>
      <c r="AF2897" s="188"/>
      <c r="AG2897" s="188"/>
      <c r="AH2897" s="188"/>
      <c r="AI2897" s="188"/>
    </row>
    <row r="2898">
      <c r="A2898" s="263"/>
      <c r="B2898" s="264"/>
      <c r="C2898" s="265"/>
      <c r="D2898" s="265"/>
      <c r="E2898" s="264"/>
      <c r="F2898" s="265"/>
      <c r="G2898" s="263"/>
      <c r="H2898" s="432"/>
      <c r="I2898" s="282"/>
      <c r="J2898" s="283"/>
      <c r="K2898" s="265"/>
      <c r="L2898" s="265"/>
      <c r="M2898" s="269"/>
      <c r="N2898" s="270"/>
      <c r="O2898" s="271"/>
      <c r="P2898" s="271"/>
      <c r="Q2898" s="272"/>
      <c r="R2898" s="273"/>
      <c r="S2898" s="273"/>
      <c r="T2898" s="273"/>
      <c r="U2898" s="274"/>
      <c r="V2898" s="263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</row>
    <row r="2899">
      <c r="A2899" s="263"/>
      <c r="B2899" s="264"/>
      <c r="C2899" s="265"/>
      <c r="D2899" s="265"/>
      <c r="E2899" s="264"/>
      <c r="F2899" s="265"/>
      <c r="G2899" s="263"/>
      <c r="H2899" s="432"/>
      <c r="I2899" s="282"/>
      <c r="J2899" s="283"/>
      <c r="K2899" s="265"/>
      <c r="L2899" s="265"/>
      <c r="M2899" s="269"/>
      <c r="N2899" s="270"/>
      <c r="O2899" s="271"/>
      <c r="P2899" s="271"/>
      <c r="Q2899" s="272"/>
      <c r="R2899" s="273"/>
      <c r="S2899" s="273"/>
      <c r="T2899" s="273"/>
      <c r="U2899" s="274"/>
      <c r="V2899" s="263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</row>
    <row r="2900">
      <c r="A2900" s="263"/>
      <c r="B2900" s="264"/>
      <c r="C2900" s="265"/>
      <c r="D2900" s="265"/>
      <c r="E2900" s="264"/>
      <c r="F2900" s="265"/>
      <c r="G2900" s="263"/>
      <c r="H2900" s="432"/>
      <c r="I2900" s="282"/>
      <c r="J2900" s="283"/>
      <c r="K2900" s="265"/>
      <c r="L2900" s="265"/>
      <c r="M2900" s="269"/>
      <c r="N2900" s="270"/>
      <c r="O2900" s="271"/>
      <c r="P2900" s="271"/>
      <c r="Q2900" s="272"/>
      <c r="R2900" s="273"/>
      <c r="S2900" s="273"/>
      <c r="T2900" s="273"/>
      <c r="U2900" s="274"/>
      <c r="V2900" s="263"/>
      <c r="W2900" s="188"/>
      <c r="X2900" s="188"/>
      <c r="Y2900" s="188"/>
      <c r="Z2900" s="188"/>
      <c r="AA2900" s="188"/>
      <c r="AB2900" s="188"/>
      <c r="AC2900" s="188"/>
      <c r="AD2900" s="188"/>
      <c r="AE2900" s="188"/>
      <c r="AF2900" s="188"/>
      <c r="AG2900" s="188"/>
      <c r="AH2900" s="188"/>
      <c r="AI2900" s="188"/>
    </row>
    <row r="2901">
      <c r="A2901" s="263"/>
      <c r="B2901" s="264"/>
      <c r="C2901" s="265"/>
      <c r="D2901" s="265"/>
      <c r="E2901" s="264"/>
      <c r="F2901" s="265"/>
      <c r="G2901" s="263"/>
      <c r="H2901" s="432"/>
      <c r="I2901" s="282"/>
      <c r="J2901" s="283"/>
      <c r="K2901" s="265"/>
      <c r="L2901" s="265"/>
      <c r="M2901" s="269"/>
      <c r="N2901" s="270"/>
      <c r="O2901" s="271"/>
      <c r="P2901" s="271"/>
      <c r="Q2901" s="272"/>
      <c r="R2901" s="273"/>
      <c r="S2901" s="273"/>
      <c r="T2901" s="273"/>
      <c r="U2901" s="274"/>
      <c r="V2901" s="263"/>
      <c r="W2901" s="188"/>
      <c r="X2901" s="188"/>
      <c r="Y2901" s="188"/>
      <c r="Z2901" s="188"/>
      <c r="AA2901" s="188"/>
      <c r="AB2901" s="188"/>
      <c r="AC2901" s="188"/>
      <c r="AD2901" s="188"/>
      <c r="AE2901" s="188"/>
      <c r="AF2901" s="188"/>
      <c r="AG2901" s="188"/>
      <c r="AH2901" s="188"/>
      <c r="AI2901" s="188"/>
    </row>
    <row r="2902">
      <c r="A2902" s="263"/>
      <c r="B2902" s="264"/>
      <c r="C2902" s="265"/>
      <c r="D2902" s="265"/>
      <c r="E2902" s="264"/>
      <c r="F2902" s="265"/>
      <c r="G2902" s="263"/>
      <c r="H2902" s="432"/>
      <c r="I2902" s="282"/>
      <c r="J2902" s="283"/>
      <c r="K2902" s="265"/>
      <c r="L2902" s="265"/>
      <c r="M2902" s="269"/>
      <c r="N2902" s="270"/>
      <c r="O2902" s="271"/>
      <c r="P2902" s="271"/>
      <c r="Q2902" s="272"/>
      <c r="R2902" s="273"/>
      <c r="S2902" s="273"/>
      <c r="T2902" s="273"/>
      <c r="U2902" s="274"/>
      <c r="V2902" s="263"/>
      <c r="W2902" s="35"/>
      <c r="X2902" s="35"/>
      <c r="Y2902" s="35"/>
      <c r="Z2902" s="35"/>
      <c r="AA2902" s="35"/>
      <c r="AB2902" s="35"/>
      <c r="AC2902" s="35"/>
      <c r="AD2902" s="35"/>
      <c r="AE2902" s="35"/>
      <c r="AF2902" s="35"/>
      <c r="AG2902" s="35"/>
      <c r="AH2902" s="35"/>
      <c r="AI2902" s="35"/>
    </row>
    <row r="2903">
      <c r="A2903" s="263"/>
      <c r="B2903" s="264"/>
      <c r="C2903" s="265"/>
      <c r="D2903" s="265"/>
      <c r="E2903" s="264"/>
      <c r="F2903" s="265"/>
      <c r="G2903" s="263"/>
      <c r="H2903" s="432"/>
      <c r="I2903" s="282"/>
      <c r="J2903" s="283"/>
      <c r="K2903" s="265"/>
      <c r="L2903" s="265"/>
      <c r="M2903" s="269"/>
      <c r="N2903" s="270"/>
      <c r="O2903" s="271"/>
      <c r="P2903" s="271"/>
      <c r="Q2903" s="272"/>
      <c r="R2903" s="273"/>
      <c r="S2903" s="273"/>
      <c r="T2903" s="273"/>
      <c r="U2903" s="274"/>
      <c r="V2903" s="263"/>
      <c r="W2903" s="188"/>
      <c r="X2903" s="188"/>
      <c r="Y2903" s="188"/>
      <c r="Z2903" s="188"/>
      <c r="AA2903" s="188"/>
      <c r="AB2903" s="188"/>
      <c r="AC2903" s="188"/>
      <c r="AD2903" s="188"/>
      <c r="AE2903" s="188"/>
      <c r="AF2903" s="188"/>
      <c r="AG2903" s="188"/>
      <c r="AH2903" s="188"/>
      <c r="AI2903" s="188"/>
    </row>
    <row r="2904">
      <c r="A2904" s="263"/>
      <c r="B2904" s="264"/>
      <c r="C2904" s="265"/>
      <c r="D2904" s="265"/>
      <c r="E2904" s="264"/>
      <c r="F2904" s="265"/>
      <c r="G2904" s="263"/>
      <c r="H2904" s="432"/>
      <c r="I2904" s="282"/>
      <c r="J2904" s="283"/>
      <c r="K2904" s="265"/>
      <c r="L2904" s="265"/>
      <c r="M2904" s="269"/>
      <c r="N2904" s="270"/>
      <c r="O2904" s="271"/>
      <c r="P2904" s="271"/>
      <c r="Q2904" s="272"/>
      <c r="R2904" s="273"/>
      <c r="S2904" s="273"/>
      <c r="T2904" s="273"/>
      <c r="U2904" s="274"/>
      <c r="V2904" s="263"/>
      <c r="W2904" s="188"/>
      <c r="X2904" s="188"/>
      <c r="Y2904" s="188"/>
      <c r="Z2904" s="188"/>
      <c r="AA2904" s="188"/>
      <c r="AB2904" s="188"/>
      <c r="AC2904" s="188"/>
      <c r="AD2904" s="188"/>
      <c r="AE2904" s="188"/>
      <c r="AF2904" s="188"/>
      <c r="AG2904" s="188"/>
      <c r="AH2904" s="188"/>
      <c r="AI2904" s="188"/>
    </row>
    <row r="2905">
      <c r="A2905" s="263"/>
      <c r="B2905" s="264"/>
      <c r="C2905" s="265"/>
      <c r="D2905" s="265"/>
      <c r="E2905" s="264"/>
      <c r="F2905" s="265"/>
      <c r="G2905" s="263"/>
      <c r="H2905" s="432"/>
      <c r="I2905" s="282"/>
      <c r="J2905" s="283"/>
      <c r="K2905" s="265"/>
      <c r="L2905" s="265"/>
      <c r="M2905" s="269"/>
      <c r="N2905" s="270"/>
      <c r="O2905" s="271"/>
      <c r="P2905" s="271"/>
      <c r="Q2905" s="272"/>
      <c r="R2905" s="273"/>
      <c r="S2905" s="273"/>
      <c r="T2905" s="273"/>
      <c r="U2905" s="274"/>
      <c r="V2905" s="263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</row>
    <row r="2906">
      <c r="A2906" s="263"/>
      <c r="B2906" s="264"/>
      <c r="C2906" s="265"/>
      <c r="D2906" s="265"/>
      <c r="E2906" s="264"/>
      <c r="F2906" s="265"/>
      <c r="G2906" s="263"/>
      <c r="H2906" s="432"/>
      <c r="I2906" s="282"/>
      <c r="J2906" s="283"/>
      <c r="K2906" s="265"/>
      <c r="L2906" s="265"/>
      <c r="M2906" s="269"/>
      <c r="N2906" s="270"/>
      <c r="O2906" s="271"/>
      <c r="P2906" s="271"/>
      <c r="Q2906" s="272"/>
      <c r="R2906" s="273"/>
      <c r="S2906" s="273"/>
      <c r="T2906" s="273"/>
      <c r="U2906" s="274"/>
      <c r="V2906" s="263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</row>
    <row r="2907">
      <c r="A2907" s="263"/>
      <c r="B2907" s="264"/>
      <c r="C2907" s="265"/>
      <c r="D2907" s="265"/>
      <c r="E2907" s="264"/>
      <c r="F2907" s="265"/>
      <c r="G2907" s="263"/>
      <c r="H2907" s="432"/>
      <c r="I2907" s="282"/>
      <c r="J2907" s="283"/>
      <c r="K2907" s="265"/>
      <c r="L2907" s="265"/>
      <c r="M2907" s="269"/>
      <c r="N2907" s="270"/>
      <c r="O2907" s="271"/>
      <c r="P2907" s="271"/>
      <c r="Q2907" s="272"/>
      <c r="R2907" s="273"/>
      <c r="S2907" s="273"/>
      <c r="T2907" s="273"/>
      <c r="U2907" s="274"/>
      <c r="V2907" s="263"/>
      <c r="W2907" s="188"/>
      <c r="X2907" s="188"/>
      <c r="Y2907" s="188"/>
      <c r="Z2907" s="188"/>
      <c r="AA2907" s="188"/>
      <c r="AB2907" s="188"/>
      <c r="AC2907" s="188"/>
      <c r="AD2907" s="188"/>
      <c r="AE2907" s="188"/>
      <c r="AF2907" s="188"/>
      <c r="AG2907" s="188"/>
      <c r="AH2907" s="188"/>
      <c r="AI2907" s="188"/>
    </row>
    <row r="2908">
      <c r="A2908" s="263"/>
      <c r="B2908" s="264"/>
      <c r="C2908" s="265"/>
      <c r="D2908" s="265"/>
      <c r="E2908" s="264"/>
      <c r="F2908" s="265"/>
      <c r="G2908" s="263"/>
      <c r="H2908" s="432"/>
      <c r="I2908" s="282"/>
      <c r="J2908" s="283"/>
      <c r="K2908" s="265"/>
      <c r="L2908" s="265"/>
      <c r="M2908" s="269"/>
      <c r="N2908" s="270"/>
      <c r="O2908" s="271"/>
      <c r="P2908" s="271"/>
      <c r="Q2908" s="272"/>
      <c r="R2908" s="273"/>
      <c r="S2908" s="273"/>
      <c r="T2908" s="273"/>
      <c r="U2908" s="274"/>
      <c r="V2908" s="263"/>
      <c r="W2908" s="35"/>
      <c r="X2908" s="35"/>
      <c r="Y2908" s="35"/>
      <c r="Z2908" s="35"/>
      <c r="AA2908" s="35"/>
      <c r="AB2908" s="35"/>
      <c r="AC2908" s="35"/>
      <c r="AD2908" s="35"/>
      <c r="AE2908" s="35"/>
      <c r="AF2908" s="35"/>
      <c r="AG2908" s="35"/>
      <c r="AH2908" s="35"/>
      <c r="AI2908" s="35"/>
    </row>
    <row r="2909">
      <c r="A2909" s="263"/>
      <c r="B2909" s="264"/>
      <c r="C2909" s="265"/>
      <c r="D2909" s="265"/>
      <c r="E2909" s="264"/>
      <c r="F2909" s="265"/>
      <c r="G2909" s="263"/>
      <c r="H2909" s="432"/>
      <c r="I2909" s="282"/>
      <c r="J2909" s="283"/>
      <c r="K2909" s="265"/>
      <c r="L2909" s="265"/>
      <c r="M2909" s="269"/>
      <c r="N2909" s="270"/>
      <c r="O2909" s="271"/>
      <c r="P2909" s="271"/>
      <c r="Q2909" s="272"/>
      <c r="R2909" s="273"/>
      <c r="S2909" s="273"/>
      <c r="T2909" s="273"/>
      <c r="U2909" s="274"/>
      <c r="V2909" s="263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</row>
    <row r="2910">
      <c r="A2910" s="263"/>
      <c r="B2910" s="264"/>
      <c r="C2910" s="265"/>
      <c r="D2910" s="265"/>
      <c r="E2910" s="264"/>
      <c r="F2910" s="265"/>
      <c r="G2910" s="263"/>
      <c r="H2910" s="432"/>
      <c r="I2910" s="282"/>
      <c r="J2910" s="283"/>
      <c r="K2910" s="265"/>
      <c r="L2910" s="265"/>
      <c r="M2910" s="269"/>
      <c r="N2910" s="270"/>
      <c r="O2910" s="271"/>
      <c r="P2910" s="271"/>
      <c r="Q2910" s="272"/>
      <c r="R2910" s="273"/>
      <c r="S2910" s="273"/>
      <c r="T2910" s="273"/>
      <c r="U2910" s="274"/>
      <c r="V2910" s="263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</row>
    <row r="2911">
      <c r="A2911" s="263"/>
      <c r="B2911" s="264"/>
      <c r="C2911" s="265"/>
      <c r="D2911" s="265"/>
      <c r="E2911" s="264"/>
      <c r="F2911" s="265"/>
      <c r="G2911" s="263"/>
      <c r="H2911" s="432"/>
      <c r="I2911" s="282"/>
      <c r="J2911" s="283"/>
      <c r="K2911" s="265"/>
      <c r="L2911" s="265"/>
      <c r="M2911" s="269"/>
      <c r="N2911" s="270"/>
      <c r="O2911" s="271"/>
      <c r="P2911" s="271"/>
      <c r="Q2911" s="272"/>
      <c r="R2911" s="273"/>
      <c r="S2911" s="273"/>
      <c r="T2911" s="273"/>
      <c r="U2911" s="274"/>
      <c r="V2911" s="263"/>
      <c r="W2911" s="188"/>
      <c r="X2911" s="188"/>
      <c r="Y2911" s="188"/>
      <c r="Z2911" s="188"/>
      <c r="AA2911" s="188"/>
      <c r="AB2911" s="188"/>
      <c r="AC2911" s="188"/>
      <c r="AD2911" s="188"/>
      <c r="AE2911" s="188"/>
      <c r="AF2911" s="188"/>
      <c r="AG2911" s="188"/>
      <c r="AH2911" s="188"/>
      <c r="AI2911" s="188"/>
    </row>
    <row r="2912">
      <c r="A2912" s="263"/>
      <c r="B2912" s="264"/>
      <c r="C2912" s="265"/>
      <c r="D2912" s="265"/>
      <c r="E2912" s="264"/>
      <c r="F2912" s="265"/>
      <c r="G2912" s="263"/>
      <c r="H2912" s="432"/>
      <c r="I2912" s="282"/>
      <c r="J2912" s="283"/>
      <c r="K2912" s="265"/>
      <c r="L2912" s="265"/>
      <c r="M2912" s="269"/>
      <c r="N2912" s="270"/>
      <c r="O2912" s="271"/>
      <c r="P2912" s="271"/>
      <c r="Q2912" s="272"/>
      <c r="R2912" s="273"/>
      <c r="S2912" s="273"/>
      <c r="T2912" s="273"/>
      <c r="U2912" s="274"/>
      <c r="V2912" s="263"/>
      <c r="W2912" s="188"/>
      <c r="X2912" s="188"/>
      <c r="Y2912" s="188"/>
      <c r="Z2912" s="188"/>
      <c r="AA2912" s="188"/>
      <c r="AB2912" s="188"/>
      <c r="AC2912" s="188"/>
      <c r="AD2912" s="188"/>
      <c r="AE2912" s="188"/>
      <c r="AF2912" s="188"/>
      <c r="AG2912" s="188"/>
      <c r="AH2912" s="188"/>
      <c r="AI2912" s="188"/>
    </row>
    <row r="2913">
      <c r="A2913" s="263"/>
      <c r="B2913" s="264"/>
      <c r="C2913" s="265"/>
      <c r="D2913" s="265"/>
      <c r="E2913" s="264"/>
      <c r="F2913" s="265"/>
      <c r="G2913" s="263"/>
      <c r="H2913" s="432"/>
      <c r="I2913" s="282"/>
      <c r="J2913" s="283"/>
      <c r="K2913" s="265"/>
      <c r="L2913" s="265"/>
      <c r="M2913" s="269"/>
      <c r="N2913" s="270"/>
      <c r="O2913" s="271"/>
      <c r="P2913" s="271"/>
      <c r="Q2913" s="272"/>
      <c r="R2913" s="273"/>
      <c r="S2913" s="273"/>
      <c r="T2913" s="273"/>
      <c r="U2913" s="274"/>
      <c r="V2913" s="263"/>
      <c r="W2913" s="188"/>
      <c r="X2913" s="188"/>
      <c r="Y2913" s="188"/>
      <c r="Z2913" s="188"/>
      <c r="AA2913" s="188"/>
      <c r="AB2913" s="188"/>
      <c r="AC2913" s="188"/>
      <c r="AD2913" s="188"/>
      <c r="AE2913" s="188"/>
      <c r="AF2913" s="188"/>
      <c r="AG2913" s="188"/>
      <c r="AH2913" s="188"/>
      <c r="AI2913" s="188"/>
    </row>
    <row r="2914">
      <c r="A2914" s="263"/>
      <c r="B2914" s="264"/>
      <c r="C2914" s="265"/>
      <c r="D2914" s="265"/>
      <c r="E2914" s="264"/>
      <c r="F2914" s="265"/>
      <c r="G2914" s="263"/>
      <c r="H2914" s="432"/>
      <c r="I2914" s="282"/>
      <c r="J2914" s="283"/>
      <c r="K2914" s="265"/>
      <c r="L2914" s="265"/>
      <c r="M2914" s="269"/>
      <c r="N2914" s="270"/>
      <c r="O2914" s="271"/>
      <c r="P2914" s="271"/>
      <c r="Q2914" s="272"/>
      <c r="R2914" s="273"/>
      <c r="S2914" s="273"/>
      <c r="T2914" s="273"/>
      <c r="U2914" s="274"/>
      <c r="V2914" s="263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</row>
    <row r="2915">
      <c r="A2915" s="263"/>
      <c r="B2915" s="264"/>
      <c r="C2915" s="265"/>
      <c r="D2915" s="265"/>
      <c r="E2915" s="264"/>
      <c r="F2915" s="265"/>
      <c r="G2915" s="263"/>
      <c r="H2915" s="432"/>
      <c r="I2915" s="282"/>
      <c r="J2915" s="283"/>
      <c r="K2915" s="265"/>
      <c r="L2915" s="265"/>
      <c r="M2915" s="269"/>
      <c r="N2915" s="270"/>
      <c r="O2915" s="271"/>
      <c r="P2915" s="271"/>
      <c r="Q2915" s="272"/>
      <c r="R2915" s="273"/>
      <c r="S2915" s="273"/>
      <c r="T2915" s="273"/>
      <c r="U2915" s="274"/>
      <c r="V2915" s="263"/>
      <c r="W2915" s="188"/>
      <c r="X2915" s="188"/>
      <c r="Y2915" s="188"/>
      <c r="Z2915" s="188"/>
      <c r="AA2915" s="188"/>
      <c r="AB2915" s="188"/>
      <c r="AC2915" s="188"/>
      <c r="AD2915" s="188"/>
      <c r="AE2915" s="188"/>
      <c r="AF2915" s="188"/>
      <c r="AG2915" s="188"/>
      <c r="AH2915" s="188"/>
      <c r="AI2915" s="188"/>
    </row>
    <row r="2916">
      <c r="A2916" s="263"/>
      <c r="B2916" s="264"/>
      <c r="C2916" s="265"/>
      <c r="D2916" s="265"/>
      <c r="E2916" s="264"/>
      <c r="F2916" s="265"/>
      <c r="G2916" s="263"/>
      <c r="H2916" s="432"/>
      <c r="I2916" s="282"/>
      <c r="J2916" s="283"/>
      <c r="K2916" s="265"/>
      <c r="L2916" s="265"/>
      <c r="M2916" s="269"/>
      <c r="N2916" s="270"/>
      <c r="O2916" s="271"/>
      <c r="P2916" s="271"/>
      <c r="Q2916" s="272"/>
      <c r="R2916" s="273"/>
      <c r="S2916" s="273"/>
      <c r="T2916" s="273"/>
      <c r="U2916" s="274"/>
      <c r="V2916" s="263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</row>
    <row r="2917">
      <c r="A2917" s="263"/>
      <c r="B2917" s="264"/>
      <c r="C2917" s="265"/>
      <c r="D2917" s="265"/>
      <c r="E2917" s="264"/>
      <c r="F2917" s="265"/>
      <c r="G2917" s="263"/>
      <c r="H2917" s="432"/>
      <c r="I2917" s="282"/>
      <c r="J2917" s="283"/>
      <c r="K2917" s="265"/>
      <c r="L2917" s="265"/>
      <c r="M2917" s="269"/>
      <c r="N2917" s="270"/>
      <c r="O2917" s="271"/>
      <c r="P2917" s="271"/>
      <c r="Q2917" s="272"/>
      <c r="R2917" s="273"/>
      <c r="S2917" s="273"/>
      <c r="T2917" s="273"/>
      <c r="U2917" s="274"/>
      <c r="V2917" s="263"/>
      <c r="W2917" s="35"/>
      <c r="X2917" s="35"/>
      <c r="Y2917" s="35"/>
      <c r="Z2917" s="35"/>
      <c r="AA2917" s="35"/>
      <c r="AB2917" s="35"/>
      <c r="AC2917" s="35"/>
      <c r="AD2917" s="35"/>
      <c r="AE2917" s="35"/>
      <c r="AF2917" s="35"/>
      <c r="AG2917" s="35"/>
      <c r="AH2917" s="35"/>
      <c r="AI2917" s="35"/>
    </row>
    <row r="2918">
      <c r="A2918" s="263"/>
      <c r="B2918" s="264"/>
      <c r="C2918" s="265"/>
      <c r="D2918" s="265"/>
      <c r="E2918" s="264"/>
      <c r="F2918" s="265"/>
      <c r="G2918" s="263"/>
      <c r="H2918" s="432"/>
      <c r="I2918" s="282"/>
      <c r="J2918" s="283"/>
      <c r="K2918" s="265"/>
      <c r="L2918" s="265"/>
      <c r="M2918" s="269"/>
      <c r="N2918" s="270"/>
      <c r="O2918" s="271"/>
      <c r="P2918" s="271"/>
      <c r="Q2918" s="272"/>
      <c r="R2918" s="273"/>
      <c r="S2918" s="273"/>
      <c r="T2918" s="273"/>
      <c r="U2918" s="274"/>
      <c r="V2918" s="263"/>
      <c r="W2918" s="35"/>
      <c r="X2918" s="35"/>
      <c r="Y2918" s="35"/>
      <c r="Z2918" s="35"/>
      <c r="AA2918" s="35"/>
      <c r="AB2918" s="35"/>
      <c r="AC2918" s="35"/>
      <c r="AD2918" s="35"/>
      <c r="AE2918" s="35"/>
      <c r="AF2918" s="35"/>
      <c r="AG2918" s="35"/>
      <c r="AH2918" s="35"/>
      <c r="AI2918" s="35"/>
    </row>
    <row r="2919">
      <c r="A2919" s="263"/>
      <c r="B2919" s="264"/>
      <c r="C2919" s="265"/>
      <c r="D2919" s="265"/>
      <c r="E2919" s="264"/>
      <c r="F2919" s="265"/>
      <c r="G2919" s="263"/>
      <c r="H2919" s="432"/>
      <c r="I2919" s="282"/>
      <c r="J2919" s="283"/>
      <c r="K2919" s="265"/>
      <c r="L2919" s="265"/>
      <c r="M2919" s="269"/>
      <c r="N2919" s="270"/>
      <c r="O2919" s="271"/>
      <c r="P2919" s="271"/>
      <c r="Q2919" s="272"/>
      <c r="R2919" s="273"/>
      <c r="S2919" s="273"/>
      <c r="T2919" s="273"/>
      <c r="U2919" s="274"/>
      <c r="V2919" s="263"/>
      <c r="W2919" s="188"/>
      <c r="X2919" s="188"/>
      <c r="Y2919" s="188"/>
      <c r="Z2919" s="188"/>
      <c r="AA2919" s="188"/>
      <c r="AB2919" s="188"/>
      <c r="AC2919" s="188"/>
      <c r="AD2919" s="188"/>
      <c r="AE2919" s="188"/>
      <c r="AF2919" s="188"/>
      <c r="AG2919" s="188"/>
      <c r="AH2919" s="188"/>
      <c r="AI2919" s="188"/>
    </row>
    <row r="2920">
      <c r="A2920" s="263"/>
      <c r="B2920" s="264"/>
      <c r="C2920" s="265"/>
      <c r="D2920" s="265"/>
      <c r="E2920" s="264"/>
      <c r="F2920" s="265"/>
      <c r="G2920" s="263"/>
      <c r="H2920" s="432"/>
      <c r="I2920" s="282"/>
      <c r="J2920" s="283"/>
      <c r="K2920" s="265"/>
      <c r="L2920" s="265"/>
      <c r="M2920" s="269"/>
      <c r="N2920" s="270"/>
      <c r="O2920" s="271"/>
      <c r="P2920" s="271"/>
      <c r="Q2920" s="272"/>
      <c r="R2920" s="273"/>
      <c r="S2920" s="273"/>
      <c r="T2920" s="273"/>
      <c r="U2920" s="274"/>
      <c r="V2920" s="263"/>
      <c r="W2920" s="188"/>
      <c r="X2920" s="188"/>
      <c r="Y2920" s="188"/>
      <c r="Z2920" s="188"/>
      <c r="AA2920" s="188"/>
      <c r="AB2920" s="188"/>
      <c r="AC2920" s="188"/>
      <c r="AD2920" s="188"/>
      <c r="AE2920" s="188"/>
      <c r="AF2920" s="188"/>
      <c r="AG2920" s="188"/>
      <c r="AH2920" s="188"/>
      <c r="AI2920" s="188"/>
    </row>
    <row r="2921">
      <c r="A2921" s="263"/>
      <c r="B2921" s="264"/>
      <c r="C2921" s="265"/>
      <c r="D2921" s="265"/>
      <c r="E2921" s="264"/>
      <c r="F2921" s="265"/>
      <c r="G2921" s="263"/>
      <c r="H2921" s="432"/>
      <c r="I2921" s="282"/>
      <c r="J2921" s="283"/>
      <c r="K2921" s="265"/>
      <c r="L2921" s="265"/>
      <c r="M2921" s="269"/>
      <c r="N2921" s="270"/>
      <c r="O2921" s="271"/>
      <c r="P2921" s="271"/>
      <c r="Q2921" s="272"/>
      <c r="R2921" s="273"/>
      <c r="S2921" s="273"/>
      <c r="T2921" s="273"/>
      <c r="U2921" s="274"/>
      <c r="V2921" s="263"/>
      <c r="W2921" s="188"/>
      <c r="X2921" s="188"/>
      <c r="Y2921" s="188"/>
      <c r="Z2921" s="188"/>
      <c r="AA2921" s="188"/>
      <c r="AB2921" s="188"/>
      <c r="AC2921" s="188"/>
      <c r="AD2921" s="188"/>
      <c r="AE2921" s="188"/>
      <c r="AF2921" s="188"/>
      <c r="AG2921" s="188"/>
      <c r="AH2921" s="188"/>
      <c r="AI2921" s="188"/>
    </row>
    <row r="2922">
      <c r="A2922" s="263"/>
      <c r="B2922" s="264"/>
      <c r="C2922" s="265"/>
      <c r="D2922" s="265"/>
      <c r="E2922" s="264"/>
      <c r="F2922" s="265"/>
      <c r="G2922" s="263"/>
      <c r="H2922" s="432"/>
      <c r="I2922" s="282"/>
      <c r="J2922" s="283"/>
      <c r="K2922" s="265"/>
      <c r="L2922" s="265"/>
      <c r="M2922" s="269"/>
      <c r="N2922" s="270"/>
      <c r="O2922" s="271"/>
      <c r="P2922" s="271"/>
      <c r="Q2922" s="272"/>
      <c r="R2922" s="273"/>
      <c r="S2922" s="273"/>
      <c r="T2922" s="273"/>
      <c r="U2922" s="274"/>
      <c r="V2922" s="263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</row>
    <row r="2923">
      <c r="A2923" s="263"/>
      <c r="B2923" s="264"/>
      <c r="C2923" s="265"/>
      <c r="D2923" s="265"/>
      <c r="E2923" s="264"/>
      <c r="F2923" s="265"/>
      <c r="G2923" s="263"/>
      <c r="H2923" s="432"/>
      <c r="I2923" s="282"/>
      <c r="J2923" s="283"/>
      <c r="K2923" s="265"/>
      <c r="L2923" s="265"/>
      <c r="M2923" s="269"/>
      <c r="N2923" s="270"/>
      <c r="O2923" s="271"/>
      <c r="P2923" s="271"/>
      <c r="Q2923" s="272"/>
      <c r="R2923" s="273"/>
      <c r="S2923" s="273"/>
      <c r="T2923" s="273"/>
      <c r="U2923" s="274"/>
      <c r="V2923" s="263"/>
      <c r="W2923" s="188"/>
      <c r="X2923" s="188"/>
      <c r="Y2923" s="188"/>
      <c r="Z2923" s="188"/>
      <c r="AA2923" s="188"/>
      <c r="AB2923" s="188"/>
      <c r="AC2923" s="188"/>
      <c r="AD2923" s="188"/>
      <c r="AE2923" s="188"/>
      <c r="AF2923" s="188"/>
      <c r="AG2923" s="188"/>
      <c r="AH2923" s="188"/>
      <c r="AI2923" s="188"/>
    </row>
    <row r="2924">
      <c r="A2924" s="263"/>
      <c r="B2924" s="264"/>
      <c r="C2924" s="265"/>
      <c r="D2924" s="265"/>
      <c r="E2924" s="264"/>
      <c r="F2924" s="265"/>
      <c r="G2924" s="263"/>
      <c r="H2924" s="432"/>
      <c r="I2924" s="282"/>
      <c r="J2924" s="283"/>
      <c r="K2924" s="265"/>
      <c r="L2924" s="265"/>
      <c r="M2924" s="269"/>
      <c r="N2924" s="270"/>
      <c r="O2924" s="271"/>
      <c r="P2924" s="271"/>
      <c r="Q2924" s="272"/>
      <c r="R2924" s="273"/>
      <c r="S2924" s="273"/>
      <c r="T2924" s="273"/>
      <c r="U2924" s="274"/>
      <c r="V2924" s="263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</row>
    <row r="2925">
      <c r="A2925" s="263"/>
      <c r="B2925" s="264"/>
      <c r="C2925" s="265"/>
      <c r="D2925" s="265"/>
      <c r="E2925" s="264"/>
      <c r="F2925" s="265"/>
      <c r="G2925" s="263"/>
      <c r="H2925" s="432"/>
      <c r="I2925" s="282"/>
      <c r="J2925" s="283"/>
      <c r="K2925" s="265"/>
      <c r="L2925" s="265"/>
      <c r="M2925" s="269"/>
      <c r="N2925" s="270"/>
      <c r="O2925" s="271"/>
      <c r="P2925" s="271"/>
      <c r="Q2925" s="272"/>
      <c r="R2925" s="273"/>
      <c r="S2925" s="273"/>
      <c r="T2925" s="273"/>
      <c r="U2925" s="274"/>
      <c r="V2925" s="263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</row>
    <row r="2926">
      <c r="A2926" s="263"/>
      <c r="B2926" s="264"/>
      <c r="C2926" s="265"/>
      <c r="D2926" s="265"/>
      <c r="E2926" s="264"/>
      <c r="F2926" s="265"/>
      <c r="G2926" s="263"/>
      <c r="H2926" s="432"/>
      <c r="I2926" s="282"/>
      <c r="J2926" s="283"/>
      <c r="K2926" s="265"/>
      <c r="L2926" s="265"/>
      <c r="M2926" s="269"/>
      <c r="N2926" s="270"/>
      <c r="O2926" s="271"/>
      <c r="P2926" s="271"/>
      <c r="Q2926" s="272"/>
      <c r="R2926" s="273"/>
      <c r="S2926" s="273"/>
      <c r="T2926" s="273"/>
      <c r="U2926" s="274"/>
      <c r="V2926" s="263"/>
      <c r="W2926" s="188"/>
      <c r="X2926" s="188"/>
      <c r="Y2926" s="188"/>
      <c r="Z2926" s="188"/>
      <c r="AA2926" s="188"/>
      <c r="AB2926" s="188"/>
      <c r="AC2926" s="188"/>
      <c r="AD2926" s="188"/>
      <c r="AE2926" s="188"/>
      <c r="AF2926" s="188"/>
      <c r="AG2926" s="188"/>
      <c r="AH2926" s="188"/>
      <c r="AI2926" s="188"/>
    </row>
    <row r="2927">
      <c r="A2927" s="263"/>
      <c r="B2927" s="264"/>
      <c r="C2927" s="265"/>
      <c r="D2927" s="265"/>
      <c r="E2927" s="264"/>
      <c r="F2927" s="265"/>
      <c r="G2927" s="263"/>
      <c r="H2927" s="432"/>
      <c r="I2927" s="282"/>
      <c r="J2927" s="283"/>
      <c r="K2927" s="265"/>
      <c r="L2927" s="265"/>
      <c r="M2927" s="269"/>
      <c r="N2927" s="270"/>
      <c r="O2927" s="271"/>
      <c r="P2927" s="271"/>
      <c r="Q2927" s="272"/>
      <c r="R2927" s="273"/>
      <c r="S2927" s="273"/>
      <c r="T2927" s="273"/>
      <c r="U2927" s="274"/>
      <c r="V2927" s="263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</row>
    <row r="2928">
      <c r="A2928" s="263"/>
      <c r="B2928" s="264"/>
      <c r="C2928" s="265"/>
      <c r="D2928" s="265"/>
      <c r="E2928" s="264"/>
      <c r="F2928" s="265"/>
      <c r="G2928" s="263"/>
      <c r="H2928" s="432"/>
      <c r="I2928" s="282"/>
      <c r="J2928" s="283"/>
      <c r="K2928" s="265"/>
      <c r="L2928" s="265"/>
      <c r="M2928" s="269"/>
      <c r="N2928" s="270"/>
      <c r="O2928" s="271"/>
      <c r="P2928" s="271"/>
      <c r="Q2928" s="272"/>
      <c r="R2928" s="273"/>
      <c r="S2928" s="273"/>
      <c r="T2928" s="273"/>
      <c r="U2928" s="274"/>
      <c r="V2928" s="263"/>
      <c r="W2928" s="35"/>
      <c r="X2928" s="35"/>
      <c r="Y2928" s="35"/>
      <c r="Z2928" s="35"/>
      <c r="AA2928" s="35"/>
      <c r="AB2928" s="35"/>
      <c r="AC2928" s="35"/>
      <c r="AD2928" s="35"/>
      <c r="AE2928" s="35"/>
      <c r="AF2928" s="35"/>
      <c r="AG2928" s="35"/>
      <c r="AH2928" s="35"/>
      <c r="AI2928" s="35"/>
    </row>
    <row r="2929">
      <c r="A2929" s="263"/>
      <c r="B2929" s="264"/>
      <c r="C2929" s="265"/>
      <c r="D2929" s="265"/>
      <c r="E2929" s="264"/>
      <c r="F2929" s="265"/>
      <c r="G2929" s="263"/>
      <c r="H2929" s="432"/>
      <c r="I2929" s="282"/>
      <c r="J2929" s="283"/>
      <c r="K2929" s="265"/>
      <c r="L2929" s="265"/>
      <c r="M2929" s="269"/>
      <c r="N2929" s="270"/>
      <c r="O2929" s="271"/>
      <c r="P2929" s="271"/>
      <c r="Q2929" s="272"/>
      <c r="R2929" s="273"/>
      <c r="S2929" s="273"/>
      <c r="T2929" s="273"/>
      <c r="U2929" s="274"/>
      <c r="V2929" s="263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</row>
    <row r="2930">
      <c r="A2930" s="263"/>
      <c r="B2930" s="264"/>
      <c r="C2930" s="265"/>
      <c r="D2930" s="265"/>
      <c r="E2930" s="264"/>
      <c r="F2930" s="265"/>
      <c r="G2930" s="263"/>
      <c r="H2930" s="432"/>
      <c r="I2930" s="282"/>
      <c r="J2930" s="283"/>
      <c r="K2930" s="265"/>
      <c r="L2930" s="265"/>
      <c r="M2930" s="269"/>
      <c r="N2930" s="270"/>
      <c r="O2930" s="271"/>
      <c r="P2930" s="271"/>
      <c r="Q2930" s="272"/>
      <c r="R2930" s="273"/>
      <c r="S2930" s="273"/>
      <c r="T2930" s="273"/>
      <c r="U2930" s="274"/>
      <c r="V2930" s="263"/>
      <c r="W2930" s="188"/>
      <c r="X2930" s="188"/>
      <c r="Y2930" s="188"/>
      <c r="Z2930" s="188"/>
      <c r="AA2930" s="188"/>
      <c r="AB2930" s="188"/>
      <c r="AC2930" s="188"/>
      <c r="AD2930" s="188"/>
      <c r="AE2930" s="188"/>
      <c r="AF2930" s="188"/>
      <c r="AG2930" s="188"/>
      <c r="AH2930" s="188"/>
      <c r="AI2930" s="188"/>
    </row>
    <row r="2931">
      <c r="A2931" s="263"/>
      <c r="B2931" s="264"/>
      <c r="C2931" s="265"/>
      <c r="D2931" s="265"/>
      <c r="E2931" s="264"/>
      <c r="F2931" s="265"/>
      <c r="G2931" s="263"/>
      <c r="H2931" s="432"/>
      <c r="I2931" s="282"/>
      <c r="J2931" s="283"/>
      <c r="K2931" s="265"/>
      <c r="L2931" s="265"/>
      <c r="M2931" s="269"/>
      <c r="N2931" s="270"/>
      <c r="O2931" s="271"/>
      <c r="P2931" s="271"/>
      <c r="Q2931" s="272"/>
      <c r="R2931" s="273"/>
      <c r="S2931" s="273"/>
      <c r="T2931" s="273"/>
      <c r="U2931" s="274"/>
      <c r="V2931" s="263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</row>
    <row r="2932">
      <c r="A2932" s="263"/>
      <c r="B2932" s="264"/>
      <c r="C2932" s="265"/>
      <c r="D2932" s="265"/>
      <c r="E2932" s="264"/>
      <c r="F2932" s="265"/>
      <c r="G2932" s="263"/>
      <c r="H2932" s="432"/>
      <c r="I2932" s="282"/>
      <c r="J2932" s="283"/>
      <c r="K2932" s="265"/>
      <c r="L2932" s="265"/>
      <c r="M2932" s="269"/>
      <c r="N2932" s="270"/>
      <c r="O2932" s="271"/>
      <c r="P2932" s="271"/>
      <c r="Q2932" s="272"/>
      <c r="R2932" s="273"/>
      <c r="S2932" s="273"/>
      <c r="T2932" s="273"/>
      <c r="U2932" s="274"/>
      <c r="V2932" s="263"/>
      <c r="W2932" s="35"/>
      <c r="X2932" s="35"/>
      <c r="Y2932" s="35"/>
      <c r="Z2932" s="35"/>
      <c r="AA2932" s="35"/>
      <c r="AB2932" s="35"/>
      <c r="AC2932" s="35"/>
      <c r="AD2932" s="35"/>
      <c r="AE2932" s="35"/>
      <c r="AF2932" s="35"/>
      <c r="AG2932" s="35"/>
      <c r="AH2932" s="35"/>
      <c r="AI2932" s="35"/>
    </row>
    <row r="2933">
      <c r="A2933" s="263"/>
      <c r="B2933" s="264"/>
      <c r="C2933" s="265"/>
      <c r="D2933" s="265"/>
      <c r="E2933" s="264"/>
      <c r="F2933" s="265"/>
      <c r="G2933" s="263"/>
      <c r="H2933" s="432"/>
      <c r="I2933" s="282"/>
      <c r="J2933" s="283"/>
      <c r="K2933" s="265"/>
      <c r="L2933" s="265"/>
      <c r="M2933" s="269"/>
      <c r="N2933" s="270"/>
      <c r="O2933" s="271"/>
      <c r="P2933" s="271"/>
      <c r="Q2933" s="272"/>
      <c r="R2933" s="273"/>
      <c r="S2933" s="273"/>
      <c r="T2933" s="273"/>
      <c r="U2933" s="274"/>
      <c r="V2933" s="263"/>
      <c r="W2933" s="188"/>
      <c r="X2933" s="188"/>
      <c r="Y2933" s="188"/>
      <c r="Z2933" s="188"/>
      <c r="AA2933" s="188"/>
      <c r="AB2933" s="188"/>
      <c r="AC2933" s="188"/>
      <c r="AD2933" s="188"/>
      <c r="AE2933" s="188"/>
      <c r="AF2933" s="188"/>
      <c r="AG2933" s="188"/>
      <c r="AH2933" s="188"/>
      <c r="AI2933" s="188"/>
    </row>
    <row r="2934">
      <c r="A2934" s="263"/>
      <c r="B2934" s="264"/>
      <c r="C2934" s="265"/>
      <c r="D2934" s="265"/>
      <c r="E2934" s="264"/>
      <c r="F2934" s="265"/>
      <c r="G2934" s="263"/>
      <c r="H2934" s="432"/>
      <c r="I2934" s="282"/>
      <c r="J2934" s="283"/>
      <c r="K2934" s="265"/>
      <c r="L2934" s="265"/>
      <c r="M2934" s="269"/>
      <c r="N2934" s="270"/>
      <c r="O2934" s="271"/>
      <c r="P2934" s="271"/>
      <c r="Q2934" s="272"/>
      <c r="R2934" s="273"/>
      <c r="S2934" s="273"/>
      <c r="T2934" s="273"/>
      <c r="U2934" s="274"/>
      <c r="V2934" s="263"/>
      <c r="W2934" s="35"/>
      <c r="X2934" s="35"/>
      <c r="Y2934" s="35"/>
      <c r="Z2934" s="35"/>
      <c r="AA2934" s="35"/>
      <c r="AB2934" s="35"/>
      <c r="AC2934" s="35"/>
      <c r="AD2934" s="35"/>
      <c r="AE2934" s="35"/>
      <c r="AF2934" s="35"/>
      <c r="AG2934" s="35"/>
      <c r="AH2934" s="35"/>
      <c r="AI2934" s="35"/>
    </row>
    <row r="2935">
      <c r="A2935" s="263"/>
      <c r="B2935" s="264"/>
      <c r="C2935" s="265"/>
      <c r="D2935" s="265"/>
      <c r="E2935" s="264"/>
      <c r="F2935" s="265"/>
      <c r="G2935" s="263"/>
      <c r="H2935" s="432"/>
      <c r="I2935" s="282"/>
      <c r="J2935" s="283"/>
      <c r="K2935" s="265"/>
      <c r="L2935" s="265"/>
      <c r="M2935" s="269"/>
      <c r="N2935" s="270"/>
      <c r="O2935" s="271"/>
      <c r="P2935" s="271"/>
      <c r="Q2935" s="272"/>
      <c r="R2935" s="273"/>
      <c r="S2935" s="273"/>
      <c r="T2935" s="273"/>
      <c r="U2935" s="274"/>
      <c r="V2935" s="263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</row>
    <row r="2936">
      <c r="A2936" s="263"/>
      <c r="B2936" s="264"/>
      <c r="C2936" s="265"/>
      <c r="D2936" s="265"/>
      <c r="E2936" s="264"/>
      <c r="F2936" s="265"/>
      <c r="G2936" s="263"/>
      <c r="H2936" s="432"/>
      <c r="I2936" s="282"/>
      <c r="J2936" s="283"/>
      <c r="K2936" s="265"/>
      <c r="L2936" s="265"/>
      <c r="M2936" s="269"/>
      <c r="N2936" s="270"/>
      <c r="O2936" s="271"/>
      <c r="P2936" s="271"/>
      <c r="Q2936" s="272"/>
      <c r="R2936" s="273"/>
      <c r="S2936" s="273"/>
      <c r="T2936" s="273"/>
      <c r="U2936" s="274"/>
      <c r="V2936" s="263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</row>
    <row r="2937">
      <c r="A2937" s="263"/>
      <c r="B2937" s="264"/>
      <c r="C2937" s="265"/>
      <c r="D2937" s="265"/>
      <c r="E2937" s="264"/>
      <c r="F2937" s="265"/>
      <c r="G2937" s="263"/>
      <c r="H2937" s="432"/>
      <c r="I2937" s="282"/>
      <c r="J2937" s="283"/>
      <c r="K2937" s="265"/>
      <c r="L2937" s="265"/>
      <c r="M2937" s="269"/>
      <c r="N2937" s="270"/>
      <c r="O2937" s="271"/>
      <c r="P2937" s="271"/>
      <c r="Q2937" s="272"/>
      <c r="R2937" s="273"/>
      <c r="S2937" s="273"/>
      <c r="T2937" s="273"/>
      <c r="U2937" s="274"/>
      <c r="V2937" s="263"/>
      <c r="W2937" s="35"/>
      <c r="X2937" s="35"/>
      <c r="Y2937" s="35"/>
      <c r="Z2937" s="35"/>
      <c r="AA2937" s="35"/>
      <c r="AB2937" s="35"/>
      <c r="AC2937" s="35"/>
      <c r="AD2937" s="35"/>
      <c r="AE2937" s="35"/>
      <c r="AF2937" s="35"/>
      <c r="AG2937" s="35"/>
      <c r="AH2937" s="35"/>
      <c r="AI2937" s="35"/>
    </row>
    <row r="2938">
      <c r="A2938" s="263"/>
      <c r="B2938" s="264"/>
      <c r="C2938" s="265"/>
      <c r="D2938" s="265"/>
      <c r="E2938" s="264"/>
      <c r="F2938" s="265"/>
      <c r="G2938" s="263"/>
      <c r="H2938" s="432"/>
      <c r="I2938" s="282"/>
      <c r="J2938" s="283"/>
      <c r="K2938" s="265"/>
      <c r="L2938" s="265"/>
      <c r="M2938" s="269"/>
      <c r="N2938" s="270"/>
      <c r="O2938" s="271"/>
      <c r="P2938" s="271"/>
      <c r="Q2938" s="272"/>
      <c r="R2938" s="273"/>
      <c r="S2938" s="273"/>
      <c r="T2938" s="273"/>
      <c r="U2938" s="274"/>
      <c r="V2938" s="263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</row>
    <row r="2939">
      <c r="A2939" s="263"/>
      <c r="B2939" s="264"/>
      <c r="C2939" s="265"/>
      <c r="D2939" s="265"/>
      <c r="E2939" s="264"/>
      <c r="F2939" s="265"/>
      <c r="G2939" s="263"/>
      <c r="H2939" s="432"/>
      <c r="I2939" s="282"/>
      <c r="J2939" s="283"/>
      <c r="K2939" s="265"/>
      <c r="L2939" s="265"/>
      <c r="M2939" s="269"/>
      <c r="N2939" s="270"/>
      <c r="O2939" s="271"/>
      <c r="P2939" s="271"/>
      <c r="Q2939" s="272"/>
      <c r="R2939" s="273"/>
      <c r="S2939" s="273"/>
      <c r="T2939" s="273"/>
      <c r="U2939" s="274"/>
      <c r="V2939" s="263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</row>
    <row r="2940">
      <c r="A2940" s="263"/>
      <c r="B2940" s="264"/>
      <c r="C2940" s="265"/>
      <c r="D2940" s="265"/>
      <c r="E2940" s="264"/>
      <c r="F2940" s="265"/>
      <c r="G2940" s="263"/>
      <c r="H2940" s="432"/>
      <c r="I2940" s="282"/>
      <c r="J2940" s="283"/>
      <c r="K2940" s="265"/>
      <c r="L2940" s="265"/>
      <c r="M2940" s="269"/>
      <c r="N2940" s="270"/>
      <c r="O2940" s="271"/>
      <c r="P2940" s="271"/>
      <c r="Q2940" s="272"/>
      <c r="R2940" s="273"/>
      <c r="S2940" s="273"/>
      <c r="T2940" s="273"/>
      <c r="U2940" s="274"/>
      <c r="V2940" s="263"/>
      <c r="W2940" s="188"/>
      <c r="X2940" s="188"/>
      <c r="Y2940" s="188"/>
      <c r="Z2940" s="188"/>
      <c r="AA2940" s="188"/>
      <c r="AB2940" s="188"/>
      <c r="AC2940" s="188"/>
      <c r="AD2940" s="188"/>
      <c r="AE2940" s="188"/>
      <c r="AF2940" s="188"/>
      <c r="AG2940" s="188"/>
      <c r="AH2940" s="188"/>
      <c r="AI2940" s="188"/>
    </row>
    <row r="2941">
      <c r="A2941" s="263"/>
      <c r="B2941" s="264"/>
      <c r="C2941" s="265"/>
      <c r="D2941" s="265"/>
      <c r="E2941" s="264"/>
      <c r="F2941" s="265"/>
      <c r="G2941" s="263"/>
      <c r="H2941" s="432"/>
      <c r="I2941" s="282"/>
      <c r="J2941" s="283"/>
      <c r="K2941" s="265"/>
      <c r="L2941" s="265"/>
      <c r="M2941" s="269"/>
      <c r="N2941" s="270"/>
      <c r="O2941" s="271"/>
      <c r="P2941" s="271"/>
      <c r="Q2941" s="272"/>
      <c r="R2941" s="273"/>
      <c r="S2941" s="273"/>
      <c r="T2941" s="273"/>
      <c r="U2941" s="274"/>
      <c r="V2941" s="263"/>
      <c r="W2941" s="188"/>
      <c r="X2941" s="188"/>
      <c r="Y2941" s="188"/>
      <c r="Z2941" s="188"/>
      <c r="AA2941" s="188"/>
      <c r="AB2941" s="188"/>
      <c r="AC2941" s="188"/>
      <c r="AD2941" s="188"/>
      <c r="AE2941" s="188"/>
      <c r="AF2941" s="188"/>
      <c r="AG2941" s="188"/>
      <c r="AH2941" s="188"/>
      <c r="AI2941" s="188"/>
    </row>
    <row r="2942">
      <c r="A2942" s="263"/>
      <c r="B2942" s="264"/>
      <c r="C2942" s="265"/>
      <c r="D2942" s="265"/>
      <c r="E2942" s="264"/>
      <c r="F2942" s="265"/>
      <c r="G2942" s="263"/>
      <c r="H2942" s="432"/>
      <c r="I2942" s="282"/>
      <c r="J2942" s="283"/>
      <c r="K2942" s="265"/>
      <c r="L2942" s="265"/>
      <c r="M2942" s="269"/>
      <c r="N2942" s="270"/>
      <c r="O2942" s="271"/>
      <c r="P2942" s="271"/>
      <c r="Q2942" s="272"/>
      <c r="R2942" s="273"/>
      <c r="S2942" s="273"/>
      <c r="T2942" s="273"/>
      <c r="U2942" s="274"/>
      <c r="V2942" s="263"/>
      <c r="W2942" s="188"/>
      <c r="X2942" s="188"/>
      <c r="Y2942" s="188"/>
      <c r="Z2942" s="188"/>
      <c r="AA2942" s="188"/>
      <c r="AB2942" s="188"/>
      <c r="AC2942" s="188"/>
      <c r="AD2942" s="188"/>
      <c r="AE2942" s="188"/>
      <c r="AF2942" s="188"/>
      <c r="AG2942" s="188"/>
      <c r="AH2942" s="188"/>
      <c r="AI2942" s="188"/>
    </row>
    <row r="2943">
      <c r="A2943" s="263"/>
      <c r="B2943" s="264"/>
      <c r="C2943" s="265"/>
      <c r="D2943" s="265"/>
      <c r="E2943" s="264"/>
      <c r="F2943" s="265"/>
      <c r="G2943" s="263"/>
      <c r="H2943" s="432"/>
      <c r="I2943" s="282"/>
      <c r="J2943" s="283"/>
      <c r="K2943" s="265"/>
      <c r="L2943" s="265"/>
      <c r="M2943" s="269"/>
      <c r="N2943" s="270"/>
      <c r="O2943" s="271"/>
      <c r="P2943" s="271"/>
      <c r="Q2943" s="272"/>
      <c r="R2943" s="273"/>
      <c r="S2943" s="273"/>
      <c r="T2943" s="273"/>
      <c r="U2943" s="274"/>
      <c r="V2943" s="263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</row>
    <row r="2944">
      <c r="A2944" s="263"/>
      <c r="B2944" s="264"/>
      <c r="C2944" s="265"/>
      <c r="D2944" s="265"/>
      <c r="E2944" s="264"/>
      <c r="F2944" s="265"/>
      <c r="G2944" s="263"/>
      <c r="H2944" s="432"/>
      <c r="I2944" s="282"/>
      <c r="J2944" s="283"/>
      <c r="K2944" s="265"/>
      <c r="L2944" s="265"/>
      <c r="M2944" s="269"/>
      <c r="N2944" s="270"/>
      <c r="O2944" s="271"/>
      <c r="P2944" s="271"/>
      <c r="Q2944" s="272"/>
      <c r="R2944" s="273"/>
      <c r="S2944" s="273"/>
      <c r="T2944" s="273"/>
      <c r="U2944" s="274"/>
      <c r="V2944" s="263"/>
      <c r="W2944" s="188"/>
      <c r="X2944" s="188"/>
      <c r="Y2944" s="188"/>
      <c r="Z2944" s="188"/>
      <c r="AA2944" s="188"/>
      <c r="AB2944" s="188"/>
      <c r="AC2944" s="188"/>
      <c r="AD2944" s="188"/>
      <c r="AE2944" s="188"/>
      <c r="AF2944" s="188"/>
      <c r="AG2944" s="188"/>
      <c r="AH2944" s="188"/>
      <c r="AI2944" s="188"/>
    </row>
    <row r="2945">
      <c r="A2945" s="263"/>
      <c r="B2945" s="264"/>
      <c r="C2945" s="265"/>
      <c r="D2945" s="265"/>
      <c r="E2945" s="264"/>
      <c r="F2945" s="265"/>
      <c r="G2945" s="263"/>
      <c r="H2945" s="432"/>
      <c r="I2945" s="282"/>
      <c r="J2945" s="283"/>
      <c r="K2945" s="265"/>
      <c r="L2945" s="265"/>
      <c r="M2945" s="269"/>
      <c r="N2945" s="270"/>
      <c r="O2945" s="271"/>
      <c r="P2945" s="271"/>
      <c r="Q2945" s="272"/>
      <c r="R2945" s="273"/>
      <c r="S2945" s="273"/>
      <c r="T2945" s="273"/>
      <c r="U2945" s="274"/>
      <c r="V2945" s="263"/>
      <c r="W2945" s="188"/>
      <c r="X2945" s="188"/>
      <c r="Y2945" s="188"/>
      <c r="Z2945" s="188"/>
      <c r="AA2945" s="188"/>
      <c r="AB2945" s="188"/>
      <c r="AC2945" s="188"/>
      <c r="AD2945" s="188"/>
      <c r="AE2945" s="188"/>
      <c r="AF2945" s="188"/>
      <c r="AG2945" s="188"/>
      <c r="AH2945" s="188"/>
      <c r="AI2945" s="188"/>
    </row>
    <row r="2946">
      <c r="A2946" s="263"/>
      <c r="B2946" s="264"/>
      <c r="C2946" s="265"/>
      <c r="D2946" s="265"/>
      <c r="E2946" s="264"/>
      <c r="F2946" s="265"/>
      <c r="G2946" s="263"/>
      <c r="H2946" s="432"/>
      <c r="I2946" s="282"/>
      <c r="J2946" s="283"/>
      <c r="K2946" s="265"/>
      <c r="L2946" s="265"/>
      <c r="M2946" s="269"/>
      <c r="N2946" s="270"/>
      <c r="O2946" s="271"/>
      <c r="P2946" s="271"/>
      <c r="Q2946" s="272"/>
      <c r="R2946" s="273"/>
      <c r="S2946" s="273"/>
      <c r="T2946" s="273"/>
      <c r="U2946" s="274"/>
      <c r="V2946" s="263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</row>
    <row r="2947">
      <c r="A2947" s="263"/>
      <c r="B2947" s="264"/>
      <c r="C2947" s="265"/>
      <c r="D2947" s="265"/>
      <c r="E2947" s="264"/>
      <c r="F2947" s="265"/>
      <c r="G2947" s="263"/>
      <c r="H2947" s="432"/>
      <c r="I2947" s="282"/>
      <c r="J2947" s="283"/>
      <c r="K2947" s="265"/>
      <c r="L2947" s="265"/>
      <c r="M2947" s="269"/>
      <c r="N2947" s="270"/>
      <c r="O2947" s="271"/>
      <c r="P2947" s="271"/>
      <c r="Q2947" s="272"/>
      <c r="R2947" s="273"/>
      <c r="S2947" s="273"/>
      <c r="T2947" s="273"/>
      <c r="U2947" s="274"/>
      <c r="V2947" s="263"/>
      <c r="W2947" s="35"/>
      <c r="X2947" s="35"/>
      <c r="Y2947" s="35"/>
      <c r="Z2947" s="35"/>
      <c r="AA2947" s="35"/>
      <c r="AB2947" s="35"/>
      <c r="AC2947" s="35"/>
      <c r="AD2947" s="35"/>
      <c r="AE2947" s="35"/>
      <c r="AF2947" s="35"/>
      <c r="AG2947" s="35"/>
      <c r="AH2947" s="35"/>
      <c r="AI2947" s="35"/>
    </row>
    <row r="2948">
      <c r="A2948" s="263"/>
      <c r="B2948" s="264"/>
      <c r="C2948" s="265"/>
      <c r="D2948" s="265"/>
      <c r="E2948" s="264"/>
      <c r="F2948" s="265"/>
      <c r="G2948" s="263"/>
      <c r="H2948" s="432"/>
      <c r="I2948" s="282"/>
      <c r="J2948" s="283"/>
      <c r="K2948" s="265"/>
      <c r="L2948" s="265"/>
      <c r="M2948" s="269"/>
      <c r="N2948" s="270"/>
      <c r="O2948" s="271"/>
      <c r="P2948" s="271"/>
      <c r="Q2948" s="272"/>
      <c r="R2948" s="273"/>
      <c r="S2948" s="273"/>
      <c r="T2948" s="273"/>
      <c r="U2948" s="274"/>
      <c r="V2948" s="263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</row>
    <row r="2949">
      <c r="A2949" s="263"/>
      <c r="B2949" s="264"/>
      <c r="C2949" s="265"/>
      <c r="D2949" s="265"/>
      <c r="E2949" s="264"/>
      <c r="F2949" s="265"/>
      <c r="G2949" s="263"/>
      <c r="H2949" s="432"/>
      <c r="I2949" s="282"/>
      <c r="J2949" s="283"/>
      <c r="K2949" s="265"/>
      <c r="L2949" s="265"/>
      <c r="M2949" s="269"/>
      <c r="N2949" s="270"/>
      <c r="O2949" s="271"/>
      <c r="P2949" s="271"/>
      <c r="Q2949" s="272"/>
      <c r="R2949" s="273"/>
      <c r="S2949" s="273"/>
      <c r="T2949" s="273"/>
      <c r="U2949" s="274"/>
      <c r="V2949" s="263"/>
      <c r="W2949" s="188"/>
      <c r="X2949" s="188"/>
      <c r="Y2949" s="188"/>
      <c r="Z2949" s="188"/>
      <c r="AA2949" s="188"/>
      <c r="AB2949" s="188"/>
      <c r="AC2949" s="188"/>
      <c r="AD2949" s="188"/>
      <c r="AE2949" s="188"/>
      <c r="AF2949" s="188"/>
      <c r="AG2949" s="188"/>
      <c r="AH2949" s="188"/>
      <c r="AI2949" s="188"/>
    </row>
    <row r="2950">
      <c r="A2950" s="263"/>
      <c r="B2950" s="264"/>
      <c r="C2950" s="265"/>
      <c r="D2950" s="265"/>
      <c r="E2950" s="264"/>
      <c r="F2950" s="265"/>
      <c r="G2950" s="263"/>
      <c r="H2950" s="432"/>
      <c r="I2950" s="282"/>
      <c r="J2950" s="283"/>
      <c r="K2950" s="265"/>
      <c r="L2950" s="265"/>
      <c r="M2950" s="269"/>
      <c r="N2950" s="270"/>
      <c r="O2950" s="271"/>
      <c r="P2950" s="271"/>
      <c r="Q2950" s="272"/>
      <c r="R2950" s="273"/>
      <c r="S2950" s="273"/>
      <c r="T2950" s="273"/>
      <c r="U2950" s="274"/>
      <c r="V2950" s="263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</row>
    <row r="2951">
      <c r="A2951" s="263"/>
      <c r="B2951" s="264"/>
      <c r="C2951" s="265"/>
      <c r="D2951" s="265"/>
      <c r="E2951" s="264"/>
      <c r="F2951" s="265"/>
      <c r="G2951" s="263"/>
      <c r="H2951" s="432"/>
      <c r="I2951" s="282"/>
      <c r="J2951" s="283"/>
      <c r="K2951" s="265"/>
      <c r="L2951" s="265"/>
      <c r="M2951" s="269"/>
      <c r="N2951" s="270"/>
      <c r="O2951" s="271"/>
      <c r="P2951" s="271"/>
      <c r="Q2951" s="272"/>
      <c r="R2951" s="273"/>
      <c r="S2951" s="273"/>
      <c r="T2951" s="273"/>
      <c r="U2951" s="274"/>
      <c r="V2951" s="263"/>
      <c r="W2951" s="35"/>
      <c r="X2951" s="35"/>
      <c r="Y2951" s="35"/>
      <c r="Z2951" s="35"/>
      <c r="AA2951" s="35"/>
      <c r="AB2951" s="35"/>
      <c r="AC2951" s="35"/>
      <c r="AD2951" s="35"/>
      <c r="AE2951" s="35"/>
      <c r="AF2951" s="35"/>
      <c r="AG2951" s="35"/>
      <c r="AH2951" s="35"/>
      <c r="AI2951" s="35"/>
    </row>
    <row r="2952">
      <c r="A2952" s="263"/>
      <c r="B2952" s="264"/>
      <c r="C2952" s="265"/>
      <c r="D2952" s="265"/>
      <c r="E2952" s="264"/>
      <c r="F2952" s="265"/>
      <c r="G2952" s="263"/>
      <c r="H2952" s="432"/>
      <c r="I2952" s="282"/>
      <c r="J2952" s="283"/>
      <c r="K2952" s="265"/>
      <c r="L2952" s="265"/>
      <c r="M2952" s="269"/>
      <c r="N2952" s="270"/>
      <c r="O2952" s="271"/>
      <c r="P2952" s="271"/>
      <c r="Q2952" s="272"/>
      <c r="R2952" s="273"/>
      <c r="S2952" s="273"/>
      <c r="T2952" s="273"/>
      <c r="U2952" s="274"/>
      <c r="V2952" s="263"/>
      <c r="W2952" s="188"/>
      <c r="X2952" s="188"/>
      <c r="Y2952" s="188"/>
      <c r="Z2952" s="188"/>
      <c r="AA2952" s="188"/>
      <c r="AB2952" s="188"/>
      <c r="AC2952" s="188"/>
      <c r="AD2952" s="188"/>
      <c r="AE2952" s="188"/>
      <c r="AF2952" s="188"/>
      <c r="AG2952" s="188"/>
      <c r="AH2952" s="188"/>
      <c r="AI2952" s="188"/>
    </row>
    <row r="2953">
      <c r="A2953" s="263"/>
      <c r="B2953" s="264"/>
      <c r="C2953" s="265"/>
      <c r="D2953" s="265"/>
      <c r="E2953" s="264"/>
      <c r="F2953" s="265"/>
      <c r="G2953" s="263"/>
      <c r="H2953" s="432"/>
      <c r="I2953" s="282"/>
      <c r="J2953" s="283"/>
      <c r="K2953" s="265"/>
      <c r="L2953" s="265"/>
      <c r="M2953" s="269"/>
      <c r="N2953" s="270"/>
      <c r="O2953" s="271"/>
      <c r="P2953" s="271"/>
      <c r="Q2953" s="272"/>
      <c r="R2953" s="273"/>
      <c r="S2953" s="273"/>
      <c r="T2953" s="273"/>
      <c r="U2953" s="274"/>
      <c r="V2953" s="263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</row>
    <row r="2954">
      <c r="A2954" s="263"/>
      <c r="B2954" s="264"/>
      <c r="C2954" s="265"/>
      <c r="D2954" s="265"/>
      <c r="E2954" s="264"/>
      <c r="F2954" s="265"/>
      <c r="G2954" s="263"/>
      <c r="H2954" s="432"/>
      <c r="I2954" s="282"/>
      <c r="J2954" s="283"/>
      <c r="K2954" s="265"/>
      <c r="L2954" s="265"/>
      <c r="M2954" s="269"/>
      <c r="N2954" s="270"/>
      <c r="O2954" s="271"/>
      <c r="P2954" s="271"/>
      <c r="Q2954" s="272"/>
      <c r="R2954" s="273"/>
      <c r="S2954" s="273"/>
      <c r="T2954" s="273"/>
      <c r="U2954" s="274"/>
      <c r="V2954" s="263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</row>
    <row r="2955">
      <c r="A2955" s="263"/>
      <c r="B2955" s="264"/>
      <c r="C2955" s="265"/>
      <c r="D2955" s="265"/>
      <c r="E2955" s="264"/>
      <c r="F2955" s="265"/>
      <c r="G2955" s="263"/>
      <c r="H2955" s="432"/>
      <c r="I2955" s="282"/>
      <c r="J2955" s="283"/>
      <c r="K2955" s="265"/>
      <c r="L2955" s="265"/>
      <c r="M2955" s="269"/>
      <c r="N2955" s="270"/>
      <c r="O2955" s="271"/>
      <c r="P2955" s="271"/>
      <c r="Q2955" s="272"/>
      <c r="R2955" s="273"/>
      <c r="S2955" s="273"/>
      <c r="T2955" s="273"/>
      <c r="U2955" s="274"/>
      <c r="V2955" s="263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</row>
    <row r="2956">
      <c r="A2956" s="263"/>
      <c r="B2956" s="264"/>
      <c r="C2956" s="265"/>
      <c r="D2956" s="265"/>
      <c r="E2956" s="264"/>
      <c r="F2956" s="265"/>
      <c r="G2956" s="263"/>
      <c r="H2956" s="432"/>
      <c r="I2956" s="282"/>
      <c r="J2956" s="283"/>
      <c r="K2956" s="265"/>
      <c r="L2956" s="265"/>
      <c r="M2956" s="269"/>
      <c r="N2956" s="270"/>
      <c r="O2956" s="271"/>
      <c r="P2956" s="271"/>
      <c r="Q2956" s="272"/>
      <c r="R2956" s="273"/>
      <c r="S2956" s="273"/>
      <c r="T2956" s="273"/>
      <c r="U2956" s="274"/>
      <c r="V2956" s="263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</row>
    <row r="2957">
      <c r="A2957" s="263"/>
      <c r="B2957" s="264"/>
      <c r="C2957" s="265"/>
      <c r="D2957" s="265"/>
      <c r="E2957" s="264"/>
      <c r="F2957" s="265"/>
      <c r="G2957" s="263"/>
      <c r="H2957" s="432"/>
      <c r="I2957" s="282"/>
      <c r="J2957" s="283"/>
      <c r="K2957" s="265"/>
      <c r="L2957" s="265"/>
      <c r="M2957" s="269"/>
      <c r="N2957" s="270"/>
      <c r="O2957" s="271"/>
      <c r="P2957" s="271"/>
      <c r="Q2957" s="272"/>
      <c r="R2957" s="273"/>
      <c r="S2957" s="273"/>
      <c r="T2957" s="273"/>
      <c r="U2957" s="274"/>
      <c r="V2957" s="263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</row>
    <row r="2958">
      <c r="A2958" s="263"/>
      <c r="B2958" s="264"/>
      <c r="C2958" s="265"/>
      <c r="D2958" s="265"/>
      <c r="E2958" s="264"/>
      <c r="F2958" s="265"/>
      <c r="G2958" s="263"/>
      <c r="H2958" s="432"/>
      <c r="I2958" s="282"/>
      <c r="J2958" s="283"/>
      <c r="K2958" s="265"/>
      <c r="L2958" s="265"/>
      <c r="M2958" s="269"/>
      <c r="N2958" s="270"/>
      <c r="O2958" s="271"/>
      <c r="P2958" s="271"/>
      <c r="Q2958" s="272"/>
      <c r="R2958" s="273"/>
      <c r="S2958" s="273"/>
      <c r="T2958" s="273"/>
      <c r="U2958" s="274"/>
      <c r="V2958" s="263"/>
      <c r="W2958" s="188"/>
      <c r="X2958" s="188"/>
      <c r="Y2958" s="188"/>
      <c r="Z2958" s="188"/>
      <c r="AA2958" s="188"/>
      <c r="AB2958" s="188"/>
      <c r="AC2958" s="188"/>
      <c r="AD2958" s="188"/>
      <c r="AE2958" s="188"/>
      <c r="AF2958" s="188"/>
      <c r="AG2958" s="188"/>
      <c r="AH2958" s="188"/>
      <c r="AI2958" s="188"/>
    </row>
    <row r="2959">
      <c r="A2959" s="263"/>
      <c r="B2959" s="264"/>
      <c r="C2959" s="265"/>
      <c r="D2959" s="265"/>
      <c r="E2959" s="264"/>
      <c r="F2959" s="265"/>
      <c r="G2959" s="263"/>
      <c r="H2959" s="432"/>
      <c r="I2959" s="282"/>
      <c r="J2959" s="283"/>
      <c r="K2959" s="265"/>
      <c r="L2959" s="265"/>
      <c r="M2959" s="269"/>
      <c r="N2959" s="270"/>
      <c r="O2959" s="271"/>
      <c r="P2959" s="271"/>
      <c r="Q2959" s="272"/>
      <c r="R2959" s="273"/>
      <c r="S2959" s="273"/>
      <c r="T2959" s="273"/>
      <c r="U2959" s="274"/>
      <c r="V2959" s="263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</row>
    <row r="2960">
      <c r="A2960" s="263"/>
      <c r="B2960" s="264"/>
      <c r="C2960" s="265"/>
      <c r="D2960" s="265"/>
      <c r="E2960" s="264"/>
      <c r="F2960" s="265"/>
      <c r="G2960" s="263"/>
      <c r="H2960" s="432"/>
      <c r="I2960" s="282"/>
      <c r="J2960" s="283"/>
      <c r="K2960" s="265"/>
      <c r="L2960" s="265"/>
      <c r="M2960" s="269"/>
      <c r="N2960" s="270"/>
      <c r="O2960" s="271"/>
      <c r="P2960" s="271"/>
      <c r="Q2960" s="272"/>
      <c r="R2960" s="273"/>
      <c r="S2960" s="273"/>
      <c r="T2960" s="273"/>
      <c r="U2960" s="274"/>
      <c r="V2960" s="263"/>
      <c r="W2960" s="35"/>
      <c r="X2960" s="35"/>
      <c r="Y2960" s="35"/>
      <c r="Z2960" s="35"/>
      <c r="AA2960" s="35"/>
      <c r="AB2960" s="35"/>
      <c r="AC2960" s="35"/>
      <c r="AD2960" s="35"/>
      <c r="AE2960" s="35"/>
      <c r="AF2960" s="35"/>
      <c r="AG2960" s="35"/>
      <c r="AH2960" s="35"/>
      <c r="AI2960" s="35"/>
    </row>
    <row r="2961">
      <c r="A2961" s="263"/>
      <c r="B2961" s="264"/>
      <c r="C2961" s="265"/>
      <c r="D2961" s="265"/>
      <c r="E2961" s="264"/>
      <c r="F2961" s="265"/>
      <c r="G2961" s="263"/>
      <c r="H2961" s="432"/>
      <c r="I2961" s="282"/>
      <c r="J2961" s="283"/>
      <c r="K2961" s="265"/>
      <c r="L2961" s="265"/>
      <c r="M2961" s="269"/>
      <c r="N2961" s="270"/>
      <c r="O2961" s="271"/>
      <c r="P2961" s="271"/>
      <c r="Q2961" s="272"/>
      <c r="R2961" s="273"/>
      <c r="S2961" s="273"/>
      <c r="T2961" s="273"/>
      <c r="U2961" s="274"/>
      <c r="V2961" s="263"/>
      <c r="W2961" s="188"/>
      <c r="X2961" s="188"/>
      <c r="Y2961" s="188"/>
      <c r="Z2961" s="188"/>
      <c r="AA2961" s="188"/>
      <c r="AB2961" s="188"/>
      <c r="AC2961" s="188"/>
      <c r="AD2961" s="188"/>
      <c r="AE2961" s="188"/>
      <c r="AF2961" s="188"/>
      <c r="AG2961" s="188"/>
      <c r="AH2961" s="188"/>
      <c r="AI2961" s="188"/>
    </row>
    <row r="2962">
      <c r="A2962" s="263"/>
      <c r="B2962" s="264"/>
      <c r="C2962" s="265"/>
      <c r="D2962" s="265"/>
      <c r="E2962" s="264"/>
      <c r="F2962" s="265"/>
      <c r="G2962" s="263"/>
      <c r="H2962" s="432"/>
      <c r="I2962" s="282"/>
      <c r="J2962" s="283"/>
      <c r="K2962" s="265"/>
      <c r="L2962" s="265"/>
      <c r="M2962" s="269"/>
      <c r="N2962" s="270"/>
      <c r="O2962" s="271"/>
      <c r="P2962" s="271"/>
      <c r="Q2962" s="272"/>
      <c r="R2962" s="273"/>
      <c r="S2962" s="273"/>
      <c r="T2962" s="273"/>
      <c r="U2962" s="274"/>
      <c r="V2962" s="263"/>
      <c r="W2962" s="188"/>
      <c r="X2962" s="188"/>
      <c r="Y2962" s="188"/>
      <c r="Z2962" s="188"/>
      <c r="AA2962" s="188"/>
      <c r="AB2962" s="188"/>
      <c r="AC2962" s="188"/>
      <c r="AD2962" s="188"/>
      <c r="AE2962" s="188"/>
      <c r="AF2962" s="188"/>
      <c r="AG2962" s="188"/>
      <c r="AH2962" s="188"/>
      <c r="AI2962" s="188"/>
    </row>
    <row r="2963">
      <c r="A2963" s="263"/>
      <c r="B2963" s="264"/>
      <c r="C2963" s="265"/>
      <c r="D2963" s="265"/>
      <c r="E2963" s="264"/>
      <c r="F2963" s="265"/>
      <c r="G2963" s="263"/>
      <c r="H2963" s="432"/>
      <c r="I2963" s="282"/>
      <c r="J2963" s="283"/>
      <c r="K2963" s="265"/>
      <c r="L2963" s="265"/>
      <c r="M2963" s="269"/>
      <c r="N2963" s="270"/>
      <c r="O2963" s="271"/>
      <c r="P2963" s="271"/>
      <c r="Q2963" s="272"/>
      <c r="R2963" s="273"/>
      <c r="S2963" s="273"/>
      <c r="T2963" s="273"/>
      <c r="U2963" s="274"/>
      <c r="V2963" s="263"/>
      <c r="W2963" s="188"/>
      <c r="X2963" s="188"/>
      <c r="Y2963" s="188"/>
      <c r="Z2963" s="188"/>
      <c r="AA2963" s="188"/>
      <c r="AB2963" s="188"/>
      <c r="AC2963" s="188"/>
      <c r="AD2963" s="188"/>
      <c r="AE2963" s="188"/>
      <c r="AF2963" s="188"/>
      <c r="AG2963" s="188"/>
      <c r="AH2963" s="188"/>
      <c r="AI2963" s="188"/>
    </row>
    <row r="2964">
      <c r="A2964" s="263"/>
      <c r="B2964" s="264"/>
      <c r="C2964" s="265"/>
      <c r="D2964" s="265"/>
      <c r="E2964" s="264"/>
      <c r="F2964" s="265"/>
      <c r="G2964" s="263"/>
      <c r="H2964" s="432"/>
      <c r="I2964" s="282"/>
      <c r="J2964" s="283"/>
      <c r="K2964" s="265"/>
      <c r="L2964" s="265"/>
      <c r="M2964" s="269"/>
      <c r="N2964" s="270"/>
      <c r="O2964" s="271"/>
      <c r="P2964" s="271"/>
      <c r="Q2964" s="272"/>
      <c r="R2964" s="273"/>
      <c r="S2964" s="273"/>
      <c r="T2964" s="273"/>
      <c r="U2964" s="274"/>
      <c r="V2964" s="263"/>
      <c r="W2964" s="188"/>
      <c r="X2964" s="188"/>
      <c r="Y2964" s="188"/>
      <c r="Z2964" s="188"/>
      <c r="AA2964" s="188"/>
      <c r="AB2964" s="188"/>
      <c r="AC2964" s="188"/>
      <c r="AD2964" s="188"/>
      <c r="AE2964" s="188"/>
      <c r="AF2964" s="188"/>
      <c r="AG2964" s="188"/>
      <c r="AH2964" s="188"/>
      <c r="AI2964" s="188"/>
    </row>
    <row r="2965">
      <c r="A2965" s="263"/>
      <c r="B2965" s="264"/>
      <c r="C2965" s="265"/>
      <c r="D2965" s="265"/>
      <c r="E2965" s="264"/>
      <c r="F2965" s="265"/>
      <c r="G2965" s="263"/>
      <c r="H2965" s="432"/>
      <c r="I2965" s="282"/>
      <c r="J2965" s="283"/>
      <c r="K2965" s="265"/>
      <c r="L2965" s="265"/>
      <c r="M2965" s="269"/>
      <c r="N2965" s="270"/>
      <c r="O2965" s="271"/>
      <c r="P2965" s="271"/>
      <c r="Q2965" s="272"/>
      <c r="R2965" s="273"/>
      <c r="S2965" s="273"/>
      <c r="T2965" s="273"/>
      <c r="U2965" s="274"/>
      <c r="V2965" s="263"/>
      <c r="W2965" s="35"/>
      <c r="X2965" s="35"/>
      <c r="Y2965" s="35"/>
      <c r="Z2965" s="35"/>
      <c r="AA2965" s="35"/>
      <c r="AB2965" s="35"/>
      <c r="AC2965" s="35"/>
      <c r="AD2965" s="35"/>
      <c r="AE2965" s="35"/>
      <c r="AF2965" s="35"/>
      <c r="AG2965" s="35"/>
      <c r="AH2965" s="35"/>
      <c r="AI2965" s="35"/>
    </row>
    <row r="2966">
      <c r="A2966" s="263"/>
      <c r="B2966" s="264"/>
      <c r="C2966" s="265"/>
      <c r="D2966" s="265"/>
      <c r="E2966" s="264"/>
      <c r="F2966" s="265"/>
      <c r="G2966" s="263"/>
      <c r="H2966" s="432"/>
      <c r="I2966" s="282"/>
      <c r="J2966" s="283"/>
      <c r="K2966" s="265"/>
      <c r="L2966" s="265"/>
      <c r="M2966" s="269"/>
      <c r="N2966" s="270"/>
      <c r="O2966" s="271"/>
      <c r="P2966" s="271"/>
      <c r="Q2966" s="272"/>
      <c r="R2966" s="273"/>
      <c r="S2966" s="273"/>
      <c r="T2966" s="273"/>
      <c r="U2966" s="274"/>
      <c r="V2966" s="263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</row>
    <row r="2967">
      <c r="A2967" s="263"/>
      <c r="B2967" s="264"/>
      <c r="C2967" s="265"/>
      <c r="D2967" s="265"/>
      <c r="E2967" s="264"/>
      <c r="F2967" s="265"/>
      <c r="G2967" s="263"/>
      <c r="H2967" s="432"/>
      <c r="I2967" s="282"/>
      <c r="J2967" s="283"/>
      <c r="K2967" s="265"/>
      <c r="L2967" s="265"/>
      <c r="M2967" s="269"/>
      <c r="N2967" s="270"/>
      <c r="O2967" s="271"/>
      <c r="P2967" s="271"/>
      <c r="Q2967" s="272"/>
      <c r="R2967" s="273"/>
      <c r="S2967" s="273"/>
      <c r="T2967" s="273"/>
      <c r="U2967" s="274"/>
      <c r="V2967" s="263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</row>
    <row r="2968">
      <c r="A2968" s="263"/>
      <c r="B2968" s="264"/>
      <c r="C2968" s="265"/>
      <c r="D2968" s="265"/>
      <c r="E2968" s="264"/>
      <c r="F2968" s="265"/>
      <c r="G2968" s="263"/>
      <c r="H2968" s="432"/>
      <c r="I2968" s="282"/>
      <c r="J2968" s="283"/>
      <c r="K2968" s="265"/>
      <c r="L2968" s="265"/>
      <c r="M2968" s="269"/>
      <c r="N2968" s="270"/>
      <c r="O2968" s="271"/>
      <c r="P2968" s="271"/>
      <c r="Q2968" s="272"/>
      <c r="R2968" s="273"/>
      <c r="S2968" s="273"/>
      <c r="T2968" s="273"/>
      <c r="U2968" s="274"/>
      <c r="V2968" s="263"/>
      <c r="W2968" s="188"/>
      <c r="X2968" s="188"/>
      <c r="Y2968" s="188"/>
      <c r="Z2968" s="188"/>
      <c r="AA2968" s="188"/>
      <c r="AB2968" s="188"/>
      <c r="AC2968" s="188"/>
      <c r="AD2968" s="188"/>
      <c r="AE2968" s="188"/>
      <c r="AF2968" s="188"/>
      <c r="AG2968" s="188"/>
      <c r="AH2968" s="188"/>
      <c r="AI2968" s="188"/>
    </row>
    <row r="2969">
      <c r="A2969" s="263"/>
      <c r="B2969" s="264"/>
      <c r="C2969" s="265"/>
      <c r="D2969" s="265"/>
      <c r="E2969" s="264"/>
      <c r="F2969" s="265"/>
      <c r="G2969" s="263"/>
      <c r="H2969" s="432"/>
      <c r="I2969" s="282"/>
      <c r="J2969" s="283"/>
      <c r="K2969" s="265"/>
      <c r="L2969" s="265"/>
      <c r="M2969" s="269"/>
      <c r="N2969" s="270"/>
      <c r="O2969" s="271"/>
      <c r="P2969" s="271"/>
      <c r="Q2969" s="272"/>
      <c r="R2969" s="273"/>
      <c r="S2969" s="273"/>
      <c r="T2969" s="273"/>
      <c r="U2969" s="274"/>
      <c r="V2969" s="263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</row>
    <row r="2970">
      <c r="A2970" s="263"/>
      <c r="B2970" s="264"/>
      <c r="C2970" s="265"/>
      <c r="D2970" s="265"/>
      <c r="E2970" s="264"/>
      <c r="F2970" s="265"/>
      <c r="G2970" s="263"/>
      <c r="H2970" s="432"/>
      <c r="I2970" s="282"/>
      <c r="J2970" s="283"/>
      <c r="K2970" s="265"/>
      <c r="L2970" s="265"/>
      <c r="M2970" s="269"/>
      <c r="N2970" s="270"/>
      <c r="O2970" s="271"/>
      <c r="P2970" s="271"/>
      <c r="Q2970" s="272"/>
      <c r="R2970" s="273"/>
      <c r="S2970" s="273"/>
      <c r="T2970" s="273"/>
      <c r="U2970" s="274"/>
      <c r="V2970" s="263"/>
      <c r="W2970" s="188"/>
      <c r="X2970" s="188"/>
      <c r="Y2970" s="188"/>
      <c r="Z2970" s="188"/>
      <c r="AA2970" s="188"/>
      <c r="AB2970" s="188"/>
      <c r="AC2970" s="188"/>
      <c r="AD2970" s="188"/>
      <c r="AE2970" s="188"/>
      <c r="AF2970" s="188"/>
      <c r="AG2970" s="188"/>
      <c r="AH2970" s="188"/>
      <c r="AI2970" s="188"/>
    </row>
    <row r="2971">
      <c r="A2971" s="263"/>
      <c r="B2971" s="264"/>
      <c r="C2971" s="265"/>
      <c r="D2971" s="265"/>
      <c r="E2971" s="264"/>
      <c r="F2971" s="265"/>
      <c r="G2971" s="263"/>
      <c r="H2971" s="432"/>
      <c r="I2971" s="282"/>
      <c r="J2971" s="283"/>
      <c r="K2971" s="265"/>
      <c r="L2971" s="265"/>
      <c r="M2971" s="269"/>
      <c r="N2971" s="270"/>
      <c r="O2971" s="271"/>
      <c r="P2971" s="271"/>
      <c r="Q2971" s="272"/>
      <c r="R2971" s="273"/>
      <c r="S2971" s="273"/>
      <c r="T2971" s="273"/>
      <c r="U2971" s="274"/>
      <c r="V2971" s="263"/>
      <c r="W2971" s="188"/>
      <c r="X2971" s="188"/>
      <c r="Y2971" s="188"/>
      <c r="Z2971" s="188"/>
      <c r="AA2971" s="188"/>
      <c r="AB2971" s="188"/>
      <c r="AC2971" s="188"/>
      <c r="AD2971" s="188"/>
      <c r="AE2971" s="188"/>
      <c r="AF2971" s="188"/>
      <c r="AG2971" s="188"/>
      <c r="AH2971" s="188"/>
      <c r="AI2971" s="188"/>
    </row>
    <row r="2972">
      <c r="A2972" s="263"/>
      <c r="B2972" s="264"/>
      <c r="C2972" s="265"/>
      <c r="D2972" s="265"/>
      <c r="E2972" s="264"/>
      <c r="F2972" s="265"/>
      <c r="G2972" s="263"/>
      <c r="H2972" s="432"/>
      <c r="I2972" s="282"/>
      <c r="J2972" s="283"/>
      <c r="K2972" s="265"/>
      <c r="L2972" s="265"/>
      <c r="M2972" s="269"/>
      <c r="N2972" s="270"/>
      <c r="O2972" s="271"/>
      <c r="P2972" s="271"/>
      <c r="Q2972" s="272"/>
      <c r="R2972" s="273"/>
      <c r="S2972" s="273"/>
      <c r="T2972" s="273"/>
      <c r="U2972" s="274"/>
      <c r="V2972" s="263"/>
      <c r="W2972" s="35"/>
      <c r="X2972" s="35"/>
      <c r="Y2972" s="35"/>
      <c r="Z2972" s="35"/>
      <c r="AA2972" s="35"/>
      <c r="AB2972" s="35"/>
      <c r="AC2972" s="35"/>
      <c r="AD2972" s="35"/>
      <c r="AE2972" s="35"/>
      <c r="AF2972" s="35"/>
      <c r="AG2972" s="35"/>
      <c r="AH2972" s="35"/>
      <c r="AI2972" s="35"/>
    </row>
    <row r="2973">
      <c r="A2973" s="263"/>
      <c r="B2973" s="264"/>
      <c r="C2973" s="265"/>
      <c r="D2973" s="265"/>
      <c r="E2973" s="264"/>
      <c r="F2973" s="265"/>
      <c r="G2973" s="263"/>
      <c r="H2973" s="432"/>
      <c r="I2973" s="282"/>
      <c r="J2973" s="283"/>
      <c r="K2973" s="265"/>
      <c r="L2973" s="265"/>
      <c r="M2973" s="269"/>
      <c r="N2973" s="270"/>
      <c r="O2973" s="271"/>
      <c r="P2973" s="271"/>
      <c r="Q2973" s="272"/>
      <c r="R2973" s="273"/>
      <c r="S2973" s="273"/>
      <c r="T2973" s="273"/>
      <c r="U2973" s="274"/>
      <c r="V2973" s="263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</row>
    <row r="2974">
      <c r="A2974" s="263"/>
      <c r="B2974" s="264"/>
      <c r="C2974" s="265"/>
      <c r="D2974" s="265"/>
      <c r="E2974" s="264"/>
      <c r="F2974" s="265"/>
      <c r="G2974" s="263"/>
      <c r="H2974" s="432"/>
      <c r="I2974" s="282"/>
      <c r="J2974" s="283"/>
      <c r="K2974" s="265"/>
      <c r="L2974" s="265"/>
      <c r="M2974" s="269"/>
      <c r="N2974" s="270"/>
      <c r="O2974" s="271"/>
      <c r="P2974" s="271"/>
      <c r="Q2974" s="272"/>
      <c r="R2974" s="273"/>
      <c r="S2974" s="273"/>
      <c r="T2974" s="273"/>
      <c r="U2974" s="274"/>
      <c r="V2974" s="263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</row>
    <row r="2975">
      <c r="A2975" s="263"/>
      <c r="B2975" s="264"/>
      <c r="C2975" s="265"/>
      <c r="D2975" s="265"/>
      <c r="E2975" s="264"/>
      <c r="F2975" s="265"/>
      <c r="G2975" s="263"/>
      <c r="H2975" s="432"/>
      <c r="I2975" s="282"/>
      <c r="J2975" s="283"/>
      <c r="K2975" s="265"/>
      <c r="L2975" s="265"/>
      <c r="M2975" s="269"/>
      <c r="N2975" s="270"/>
      <c r="O2975" s="271"/>
      <c r="P2975" s="271"/>
      <c r="Q2975" s="272"/>
      <c r="R2975" s="273"/>
      <c r="S2975" s="273"/>
      <c r="T2975" s="273"/>
      <c r="U2975" s="274"/>
      <c r="V2975" s="263"/>
      <c r="W2975" s="35"/>
      <c r="X2975" s="35"/>
      <c r="Y2975" s="35"/>
      <c r="Z2975" s="35"/>
      <c r="AA2975" s="35"/>
      <c r="AB2975" s="35"/>
      <c r="AC2975" s="35"/>
      <c r="AD2975" s="35"/>
      <c r="AE2975" s="35"/>
      <c r="AF2975" s="35"/>
      <c r="AG2975" s="35"/>
      <c r="AH2975" s="35"/>
      <c r="AI2975" s="35"/>
    </row>
    <row r="2976">
      <c r="A2976" s="263"/>
      <c r="B2976" s="264"/>
      <c r="C2976" s="265"/>
      <c r="D2976" s="265"/>
      <c r="E2976" s="264"/>
      <c r="F2976" s="265"/>
      <c r="G2976" s="263"/>
      <c r="H2976" s="432"/>
      <c r="I2976" s="282"/>
      <c r="J2976" s="283"/>
      <c r="K2976" s="265"/>
      <c r="L2976" s="265"/>
      <c r="M2976" s="269"/>
      <c r="N2976" s="270"/>
      <c r="O2976" s="271"/>
      <c r="P2976" s="271"/>
      <c r="Q2976" s="272"/>
      <c r="R2976" s="273"/>
      <c r="S2976" s="273"/>
      <c r="T2976" s="273"/>
      <c r="U2976" s="274"/>
      <c r="V2976" s="263"/>
      <c r="W2976" s="35"/>
      <c r="X2976" s="35"/>
      <c r="Y2976" s="35"/>
      <c r="Z2976" s="35"/>
      <c r="AA2976" s="35"/>
      <c r="AB2976" s="35"/>
      <c r="AC2976" s="35"/>
      <c r="AD2976" s="35"/>
      <c r="AE2976" s="35"/>
      <c r="AF2976" s="35"/>
      <c r="AG2976" s="35"/>
      <c r="AH2976" s="35"/>
      <c r="AI2976" s="35"/>
    </row>
    <row r="2977">
      <c r="A2977" s="263"/>
      <c r="B2977" s="264"/>
      <c r="C2977" s="265"/>
      <c r="D2977" s="265"/>
      <c r="E2977" s="264"/>
      <c r="F2977" s="265"/>
      <c r="G2977" s="263"/>
      <c r="H2977" s="432"/>
      <c r="I2977" s="282"/>
      <c r="J2977" s="283"/>
      <c r="K2977" s="265"/>
      <c r="L2977" s="265"/>
      <c r="M2977" s="269"/>
      <c r="N2977" s="270"/>
      <c r="O2977" s="271"/>
      <c r="P2977" s="271"/>
      <c r="Q2977" s="272"/>
      <c r="R2977" s="273"/>
      <c r="S2977" s="273"/>
      <c r="T2977" s="273"/>
      <c r="U2977" s="274"/>
      <c r="V2977" s="263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</row>
    <row r="2978">
      <c r="A2978" s="263"/>
      <c r="B2978" s="264"/>
      <c r="C2978" s="265"/>
      <c r="D2978" s="265"/>
      <c r="E2978" s="264"/>
      <c r="F2978" s="265"/>
      <c r="G2978" s="263"/>
      <c r="H2978" s="432"/>
      <c r="I2978" s="282"/>
      <c r="J2978" s="283"/>
      <c r="K2978" s="265"/>
      <c r="L2978" s="265"/>
      <c r="M2978" s="269"/>
      <c r="N2978" s="270"/>
      <c r="O2978" s="271"/>
      <c r="P2978" s="271"/>
      <c r="Q2978" s="272"/>
      <c r="R2978" s="273"/>
      <c r="S2978" s="273"/>
      <c r="T2978" s="273"/>
      <c r="U2978" s="274"/>
      <c r="V2978" s="263"/>
      <c r="W2978" s="35"/>
      <c r="X2978" s="35"/>
      <c r="Y2978" s="35"/>
      <c r="Z2978" s="35"/>
      <c r="AA2978" s="35"/>
      <c r="AB2978" s="35"/>
      <c r="AC2978" s="35"/>
      <c r="AD2978" s="35"/>
      <c r="AE2978" s="35"/>
      <c r="AF2978" s="35"/>
      <c r="AG2978" s="35"/>
      <c r="AH2978" s="35"/>
      <c r="AI2978" s="35"/>
    </row>
    <row r="2979">
      <c r="A2979" s="263"/>
      <c r="B2979" s="264"/>
      <c r="C2979" s="265"/>
      <c r="D2979" s="265"/>
      <c r="E2979" s="264"/>
      <c r="F2979" s="265"/>
      <c r="G2979" s="263"/>
      <c r="H2979" s="432"/>
      <c r="I2979" s="282"/>
      <c r="J2979" s="283"/>
      <c r="K2979" s="265"/>
      <c r="L2979" s="265"/>
      <c r="M2979" s="269"/>
      <c r="N2979" s="270"/>
      <c r="O2979" s="271"/>
      <c r="P2979" s="271"/>
      <c r="Q2979" s="272"/>
      <c r="R2979" s="273"/>
      <c r="S2979" s="273"/>
      <c r="T2979" s="273"/>
      <c r="U2979" s="274"/>
      <c r="V2979" s="263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</row>
    <row r="2980">
      <c r="A2980" s="263"/>
      <c r="B2980" s="264"/>
      <c r="C2980" s="265"/>
      <c r="D2980" s="265"/>
      <c r="E2980" s="264"/>
      <c r="F2980" s="265"/>
      <c r="G2980" s="263"/>
      <c r="H2980" s="432"/>
      <c r="I2980" s="282"/>
      <c r="J2980" s="283"/>
      <c r="K2980" s="265"/>
      <c r="L2980" s="265"/>
      <c r="M2980" s="269"/>
      <c r="N2980" s="270"/>
      <c r="O2980" s="271"/>
      <c r="P2980" s="271"/>
      <c r="Q2980" s="272"/>
      <c r="R2980" s="273"/>
      <c r="S2980" s="273"/>
      <c r="T2980" s="273"/>
      <c r="U2980" s="274"/>
      <c r="V2980" s="263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</row>
    <row r="2981">
      <c r="A2981" s="263"/>
      <c r="B2981" s="264"/>
      <c r="C2981" s="265"/>
      <c r="D2981" s="265"/>
      <c r="E2981" s="264"/>
      <c r="F2981" s="265"/>
      <c r="G2981" s="263"/>
      <c r="H2981" s="432"/>
      <c r="I2981" s="282"/>
      <c r="J2981" s="283"/>
      <c r="K2981" s="265"/>
      <c r="L2981" s="265"/>
      <c r="M2981" s="269"/>
      <c r="N2981" s="270"/>
      <c r="O2981" s="271"/>
      <c r="P2981" s="271"/>
      <c r="Q2981" s="272"/>
      <c r="R2981" s="273"/>
      <c r="S2981" s="273"/>
      <c r="T2981" s="273"/>
      <c r="U2981" s="274"/>
      <c r="V2981" s="263"/>
      <c r="W2981" s="35"/>
      <c r="X2981" s="35"/>
      <c r="Y2981" s="35"/>
      <c r="Z2981" s="35"/>
      <c r="AA2981" s="35"/>
      <c r="AB2981" s="35"/>
      <c r="AC2981" s="35"/>
      <c r="AD2981" s="35"/>
      <c r="AE2981" s="35"/>
      <c r="AF2981" s="35"/>
      <c r="AG2981" s="35"/>
      <c r="AH2981" s="35"/>
      <c r="AI2981" s="35"/>
    </row>
    <row r="2982">
      <c r="A2982" s="263"/>
      <c r="B2982" s="264"/>
      <c r="C2982" s="265"/>
      <c r="D2982" s="265"/>
      <c r="E2982" s="264"/>
      <c r="F2982" s="265"/>
      <c r="G2982" s="263"/>
      <c r="H2982" s="432"/>
      <c r="I2982" s="282"/>
      <c r="J2982" s="283"/>
      <c r="K2982" s="265"/>
      <c r="L2982" s="265"/>
      <c r="M2982" s="269"/>
      <c r="N2982" s="270"/>
      <c r="O2982" s="271"/>
      <c r="P2982" s="271"/>
      <c r="Q2982" s="272"/>
      <c r="R2982" s="273"/>
      <c r="S2982" s="273"/>
      <c r="T2982" s="273"/>
      <c r="U2982" s="274"/>
      <c r="V2982" s="263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</row>
    <row r="2983">
      <c r="A2983" s="263"/>
      <c r="B2983" s="264"/>
      <c r="C2983" s="265"/>
      <c r="D2983" s="265"/>
      <c r="E2983" s="264"/>
      <c r="F2983" s="265"/>
      <c r="G2983" s="263"/>
      <c r="H2983" s="432"/>
      <c r="I2983" s="282"/>
      <c r="J2983" s="283"/>
      <c r="K2983" s="265"/>
      <c r="L2983" s="265"/>
      <c r="M2983" s="269"/>
      <c r="N2983" s="270"/>
      <c r="O2983" s="271"/>
      <c r="P2983" s="271"/>
      <c r="Q2983" s="272"/>
      <c r="R2983" s="273"/>
      <c r="S2983" s="273"/>
      <c r="T2983" s="273"/>
      <c r="U2983" s="274"/>
      <c r="V2983" s="263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</row>
    <row r="2984">
      <c r="A2984" s="263"/>
      <c r="B2984" s="264"/>
      <c r="C2984" s="265"/>
      <c r="D2984" s="265"/>
      <c r="E2984" s="264"/>
      <c r="F2984" s="265"/>
      <c r="G2984" s="263"/>
      <c r="H2984" s="432"/>
      <c r="I2984" s="282"/>
      <c r="J2984" s="283"/>
      <c r="K2984" s="265"/>
      <c r="L2984" s="265"/>
      <c r="M2984" s="269"/>
      <c r="N2984" s="270"/>
      <c r="O2984" s="271"/>
      <c r="P2984" s="271"/>
      <c r="Q2984" s="272"/>
      <c r="R2984" s="273"/>
      <c r="S2984" s="273"/>
      <c r="T2984" s="273"/>
      <c r="U2984" s="274"/>
      <c r="V2984" s="263"/>
      <c r="W2984" s="35"/>
      <c r="X2984" s="35"/>
      <c r="Y2984" s="35"/>
      <c r="Z2984" s="35"/>
      <c r="AA2984" s="35"/>
      <c r="AB2984" s="35"/>
      <c r="AC2984" s="35"/>
      <c r="AD2984" s="35"/>
      <c r="AE2984" s="35"/>
      <c r="AF2984" s="35"/>
      <c r="AG2984" s="35"/>
      <c r="AH2984" s="35"/>
      <c r="AI2984" s="35"/>
    </row>
    <row r="2985">
      <c r="A2985" s="263"/>
      <c r="B2985" s="264"/>
      <c r="C2985" s="265"/>
      <c r="D2985" s="265"/>
      <c r="E2985" s="264"/>
      <c r="F2985" s="265"/>
      <c r="G2985" s="263"/>
      <c r="H2985" s="432"/>
      <c r="I2985" s="282"/>
      <c r="J2985" s="283"/>
      <c r="K2985" s="265"/>
      <c r="L2985" s="265"/>
      <c r="M2985" s="269"/>
      <c r="N2985" s="270"/>
      <c r="O2985" s="271"/>
      <c r="P2985" s="271"/>
      <c r="Q2985" s="272"/>
      <c r="R2985" s="273"/>
      <c r="S2985" s="273"/>
      <c r="T2985" s="273"/>
      <c r="U2985" s="274"/>
      <c r="V2985" s="263"/>
      <c r="W2985" s="35"/>
      <c r="X2985" s="35"/>
      <c r="Y2985" s="35"/>
      <c r="Z2985" s="35"/>
      <c r="AA2985" s="35"/>
      <c r="AB2985" s="35"/>
      <c r="AC2985" s="35"/>
      <c r="AD2985" s="35"/>
      <c r="AE2985" s="35"/>
      <c r="AF2985" s="35"/>
      <c r="AG2985" s="35"/>
      <c r="AH2985" s="35"/>
      <c r="AI2985" s="35"/>
    </row>
    <row r="2986">
      <c r="A2986" s="263"/>
      <c r="B2986" s="264"/>
      <c r="C2986" s="265"/>
      <c r="D2986" s="265"/>
      <c r="E2986" s="264"/>
      <c r="F2986" s="265"/>
      <c r="G2986" s="263"/>
      <c r="H2986" s="432"/>
      <c r="I2986" s="282"/>
      <c r="J2986" s="283"/>
      <c r="K2986" s="265"/>
      <c r="L2986" s="265"/>
      <c r="M2986" s="269"/>
      <c r="N2986" s="270"/>
      <c r="O2986" s="271"/>
      <c r="P2986" s="271"/>
      <c r="Q2986" s="272"/>
      <c r="R2986" s="273"/>
      <c r="S2986" s="273"/>
      <c r="T2986" s="273"/>
      <c r="U2986" s="274"/>
      <c r="V2986" s="263"/>
      <c r="W2986" s="35"/>
      <c r="X2986" s="35"/>
      <c r="Y2986" s="35"/>
      <c r="Z2986" s="35"/>
      <c r="AA2986" s="35"/>
      <c r="AB2986" s="35"/>
      <c r="AC2986" s="35"/>
      <c r="AD2986" s="35"/>
      <c r="AE2986" s="35"/>
      <c r="AF2986" s="35"/>
      <c r="AG2986" s="35"/>
      <c r="AH2986" s="35"/>
      <c r="AI2986" s="35"/>
    </row>
    <row r="2987">
      <c r="A2987" s="263"/>
      <c r="B2987" s="264"/>
      <c r="C2987" s="265"/>
      <c r="D2987" s="265"/>
      <c r="E2987" s="264"/>
      <c r="F2987" s="265"/>
      <c r="G2987" s="263"/>
      <c r="H2987" s="432"/>
      <c r="I2987" s="282"/>
      <c r="J2987" s="283"/>
      <c r="K2987" s="265"/>
      <c r="L2987" s="265"/>
      <c r="M2987" s="269"/>
      <c r="N2987" s="270"/>
      <c r="O2987" s="271"/>
      <c r="P2987" s="271"/>
      <c r="Q2987" s="272"/>
      <c r="R2987" s="273"/>
      <c r="S2987" s="273"/>
      <c r="T2987" s="273"/>
      <c r="U2987" s="274"/>
      <c r="V2987" s="263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</row>
    <row r="2988">
      <c r="A2988" s="263"/>
      <c r="B2988" s="264"/>
      <c r="C2988" s="265"/>
      <c r="D2988" s="265"/>
      <c r="E2988" s="264"/>
      <c r="F2988" s="265"/>
      <c r="G2988" s="263"/>
      <c r="H2988" s="432"/>
      <c r="I2988" s="282"/>
      <c r="J2988" s="283"/>
      <c r="K2988" s="265"/>
      <c r="L2988" s="265"/>
      <c r="M2988" s="269"/>
      <c r="N2988" s="270"/>
      <c r="O2988" s="271"/>
      <c r="P2988" s="271"/>
      <c r="Q2988" s="272"/>
      <c r="R2988" s="273"/>
      <c r="S2988" s="273"/>
      <c r="T2988" s="273"/>
      <c r="U2988" s="274"/>
      <c r="V2988" s="263"/>
      <c r="W2988" s="35"/>
      <c r="X2988" s="35"/>
      <c r="Y2988" s="35"/>
      <c r="Z2988" s="35"/>
      <c r="AA2988" s="35"/>
      <c r="AB2988" s="35"/>
      <c r="AC2988" s="35"/>
      <c r="AD2988" s="35"/>
      <c r="AE2988" s="35"/>
      <c r="AF2988" s="35"/>
      <c r="AG2988" s="35"/>
      <c r="AH2988" s="35"/>
      <c r="AI2988" s="35"/>
    </row>
    <row r="2989">
      <c r="A2989" s="263"/>
      <c r="B2989" s="264"/>
      <c r="C2989" s="265"/>
      <c r="D2989" s="265"/>
      <c r="E2989" s="264"/>
      <c r="F2989" s="265"/>
      <c r="G2989" s="263"/>
      <c r="H2989" s="432"/>
      <c r="I2989" s="282"/>
      <c r="J2989" s="283"/>
      <c r="K2989" s="265"/>
      <c r="L2989" s="265"/>
      <c r="M2989" s="269"/>
      <c r="N2989" s="270"/>
      <c r="O2989" s="271"/>
      <c r="P2989" s="271"/>
      <c r="Q2989" s="272"/>
      <c r="R2989" s="273"/>
      <c r="S2989" s="273"/>
      <c r="T2989" s="273"/>
      <c r="U2989" s="274"/>
      <c r="V2989" s="263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</row>
    <row r="2990">
      <c r="A2990" s="263"/>
      <c r="B2990" s="264"/>
      <c r="C2990" s="265"/>
      <c r="D2990" s="265"/>
      <c r="E2990" s="264"/>
      <c r="F2990" s="265"/>
      <c r="G2990" s="263"/>
      <c r="H2990" s="432"/>
      <c r="I2990" s="282"/>
      <c r="J2990" s="283"/>
      <c r="K2990" s="265"/>
      <c r="L2990" s="265"/>
      <c r="M2990" s="269"/>
      <c r="N2990" s="270"/>
      <c r="O2990" s="271"/>
      <c r="P2990" s="271"/>
      <c r="Q2990" s="272"/>
      <c r="R2990" s="273"/>
      <c r="S2990" s="273"/>
      <c r="T2990" s="273"/>
      <c r="U2990" s="274"/>
      <c r="V2990" s="263"/>
      <c r="W2990" s="35"/>
      <c r="X2990" s="35"/>
      <c r="Y2990" s="35"/>
      <c r="Z2990" s="35"/>
      <c r="AA2990" s="35"/>
      <c r="AB2990" s="35"/>
      <c r="AC2990" s="35"/>
      <c r="AD2990" s="35"/>
      <c r="AE2990" s="35"/>
      <c r="AF2990" s="35"/>
      <c r="AG2990" s="35"/>
      <c r="AH2990" s="35"/>
      <c r="AI2990" s="35"/>
    </row>
    <row r="2991">
      <c r="A2991" s="263"/>
      <c r="B2991" s="264"/>
      <c r="C2991" s="265"/>
      <c r="D2991" s="265"/>
      <c r="E2991" s="264"/>
      <c r="F2991" s="265"/>
      <c r="G2991" s="263"/>
      <c r="H2991" s="432"/>
      <c r="I2991" s="282"/>
      <c r="J2991" s="283"/>
      <c r="K2991" s="265"/>
      <c r="L2991" s="265"/>
      <c r="M2991" s="269"/>
      <c r="N2991" s="270"/>
      <c r="O2991" s="271"/>
      <c r="P2991" s="271"/>
      <c r="Q2991" s="272"/>
      <c r="R2991" s="273"/>
      <c r="S2991" s="273"/>
      <c r="T2991" s="273"/>
      <c r="U2991" s="274"/>
      <c r="V2991" s="263"/>
      <c r="W2991" s="188"/>
      <c r="X2991" s="188"/>
      <c r="Y2991" s="188"/>
      <c r="Z2991" s="188"/>
      <c r="AA2991" s="188"/>
      <c r="AB2991" s="188"/>
      <c r="AC2991" s="188"/>
      <c r="AD2991" s="188"/>
      <c r="AE2991" s="188"/>
      <c r="AF2991" s="188"/>
      <c r="AG2991" s="188"/>
      <c r="AH2991" s="188"/>
      <c r="AI2991" s="188"/>
    </row>
    <row r="2992">
      <c r="A2992" s="263"/>
      <c r="B2992" s="264"/>
      <c r="C2992" s="265"/>
      <c r="D2992" s="265"/>
      <c r="E2992" s="264"/>
      <c r="F2992" s="265"/>
      <c r="G2992" s="263"/>
      <c r="H2992" s="432"/>
      <c r="I2992" s="282"/>
      <c r="J2992" s="283"/>
      <c r="K2992" s="265"/>
      <c r="L2992" s="265"/>
      <c r="M2992" s="269"/>
      <c r="N2992" s="270"/>
      <c r="O2992" s="271"/>
      <c r="P2992" s="271"/>
      <c r="Q2992" s="272"/>
      <c r="R2992" s="273"/>
      <c r="S2992" s="273"/>
      <c r="T2992" s="273"/>
      <c r="U2992" s="274"/>
      <c r="V2992" s="263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</row>
    <row r="2993">
      <c r="A2993" s="263"/>
      <c r="B2993" s="264"/>
      <c r="C2993" s="265"/>
      <c r="D2993" s="265"/>
      <c r="E2993" s="264"/>
      <c r="F2993" s="265"/>
      <c r="G2993" s="263"/>
      <c r="H2993" s="432"/>
      <c r="I2993" s="282"/>
      <c r="J2993" s="283"/>
      <c r="K2993" s="265"/>
      <c r="L2993" s="265"/>
      <c r="M2993" s="269"/>
      <c r="N2993" s="270"/>
      <c r="O2993" s="271"/>
      <c r="P2993" s="271"/>
      <c r="Q2993" s="272"/>
      <c r="R2993" s="273"/>
      <c r="S2993" s="273"/>
      <c r="T2993" s="273"/>
      <c r="U2993" s="274"/>
      <c r="V2993" s="263"/>
      <c r="W2993" s="188"/>
      <c r="X2993" s="188"/>
      <c r="Y2993" s="188"/>
      <c r="Z2993" s="188"/>
      <c r="AA2993" s="188"/>
      <c r="AB2993" s="188"/>
      <c r="AC2993" s="188"/>
      <c r="AD2993" s="188"/>
      <c r="AE2993" s="188"/>
      <c r="AF2993" s="188"/>
      <c r="AG2993" s="188"/>
      <c r="AH2993" s="188"/>
      <c r="AI2993" s="188"/>
    </row>
    <row r="2994">
      <c r="A2994" s="263"/>
      <c r="B2994" s="264"/>
      <c r="C2994" s="265"/>
      <c r="D2994" s="265"/>
      <c r="E2994" s="264"/>
      <c r="F2994" s="265"/>
      <c r="G2994" s="263"/>
      <c r="H2994" s="432"/>
      <c r="I2994" s="282"/>
      <c r="J2994" s="283"/>
      <c r="K2994" s="265"/>
      <c r="L2994" s="265"/>
      <c r="M2994" s="269"/>
      <c r="N2994" s="270"/>
      <c r="O2994" s="271"/>
      <c r="P2994" s="271"/>
      <c r="Q2994" s="272"/>
      <c r="R2994" s="273"/>
      <c r="S2994" s="273"/>
      <c r="T2994" s="273"/>
      <c r="U2994" s="274"/>
      <c r="V2994" s="263"/>
      <c r="W2994" s="188"/>
      <c r="X2994" s="188"/>
      <c r="Y2994" s="188"/>
      <c r="Z2994" s="188"/>
      <c r="AA2994" s="188"/>
      <c r="AB2994" s="188"/>
      <c r="AC2994" s="188"/>
      <c r="AD2994" s="188"/>
      <c r="AE2994" s="188"/>
      <c r="AF2994" s="188"/>
      <c r="AG2994" s="188"/>
      <c r="AH2994" s="188"/>
      <c r="AI2994" s="188"/>
    </row>
    <row r="2995">
      <c r="A2995" s="263"/>
      <c r="B2995" s="264"/>
      <c r="C2995" s="265"/>
      <c r="D2995" s="265"/>
      <c r="E2995" s="264"/>
      <c r="F2995" s="265"/>
      <c r="G2995" s="263"/>
      <c r="H2995" s="432"/>
      <c r="I2995" s="282"/>
      <c r="J2995" s="283"/>
      <c r="K2995" s="265"/>
      <c r="L2995" s="265"/>
      <c r="M2995" s="269"/>
      <c r="N2995" s="270"/>
      <c r="O2995" s="271"/>
      <c r="P2995" s="271"/>
      <c r="Q2995" s="272"/>
      <c r="R2995" s="273"/>
      <c r="S2995" s="273"/>
      <c r="T2995" s="273"/>
      <c r="U2995" s="274"/>
      <c r="V2995" s="263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</row>
    <row r="2996">
      <c r="A2996" s="263"/>
      <c r="B2996" s="264"/>
      <c r="C2996" s="265"/>
      <c r="D2996" s="265"/>
      <c r="E2996" s="264"/>
      <c r="F2996" s="265"/>
      <c r="G2996" s="263"/>
      <c r="H2996" s="432"/>
      <c r="I2996" s="282"/>
      <c r="J2996" s="283"/>
      <c r="K2996" s="265"/>
      <c r="L2996" s="265"/>
      <c r="M2996" s="269"/>
      <c r="N2996" s="270"/>
      <c r="O2996" s="271"/>
      <c r="P2996" s="271"/>
      <c r="Q2996" s="272"/>
      <c r="R2996" s="273"/>
      <c r="S2996" s="273"/>
      <c r="T2996" s="273"/>
      <c r="U2996" s="274"/>
      <c r="V2996" s="263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</row>
    <row r="2997">
      <c r="A2997" s="263"/>
      <c r="B2997" s="264"/>
      <c r="C2997" s="265"/>
      <c r="D2997" s="265"/>
      <c r="E2997" s="264"/>
      <c r="F2997" s="265"/>
      <c r="G2997" s="263"/>
      <c r="H2997" s="432"/>
      <c r="I2997" s="282"/>
      <c r="J2997" s="283"/>
      <c r="K2997" s="265"/>
      <c r="L2997" s="265"/>
      <c r="M2997" s="269"/>
      <c r="N2997" s="270"/>
      <c r="O2997" s="271"/>
      <c r="P2997" s="271"/>
      <c r="Q2997" s="272"/>
      <c r="R2997" s="273"/>
      <c r="S2997" s="273"/>
      <c r="T2997" s="273"/>
      <c r="U2997" s="274"/>
      <c r="V2997" s="263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</row>
    <row r="2998">
      <c r="A2998" s="263"/>
      <c r="B2998" s="264"/>
      <c r="C2998" s="265"/>
      <c r="D2998" s="265"/>
      <c r="E2998" s="264"/>
      <c r="F2998" s="265"/>
      <c r="G2998" s="263"/>
      <c r="H2998" s="432"/>
      <c r="I2998" s="282"/>
      <c r="J2998" s="283"/>
      <c r="K2998" s="265"/>
      <c r="L2998" s="265"/>
      <c r="M2998" s="269"/>
      <c r="N2998" s="270"/>
      <c r="O2998" s="271"/>
      <c r="P2998" s="271"/>
      <c r="Q2998" s="272"/>
      <c r="R2998" s="273"/>
      <c r="S2998" s="273"/>
      <c r="T2998" s="273"/>
      <c r="U2998" s="274"/>
      <c r="V2998" s="263"/>
      <c r="W2998" s="35"/>
      <c r="X2998" s="35"/>
      <c r="Y2998" s="35"/>
      <c r="Z2998" s="35"/>
      <c r="AA2998" s="35"/>
      <c r="AB2998" s="35"/>
      <c r="AC2998" s="35"/>
      <c r="AD2998" s="35"/>
      <c r="AE2998" s="35"/>
      <c r="AF2998" s="35"/>
      <c r="AG2998" s="35"/>
      <c r="AH2998" s="35"/>
      <c r="AI2998" s="35"/>
    </row>
    <row r="2999">
      <c r="A2999" s="263"/>
      <c r="B2999" s="264"/>
      <c r="C2999" s="265"/>
      <c r="D2999" s="265"/>
      <c r="E2999" s="264"/>
      <c r="F2999" s="265"/>
      <c r="G2999" s="263"/>
      <c r="H2999" s="432"/>
      <c r="I2999" s="282"/>
      <c r="J2999" s="283"/>
      <c r="K2999" s="265"/>
      <c r="L2999" s="265"/>
      <c r="M2999" s="269"/>
      <c r="N2999" s="270"/>
      <c r="O2999" s="271"/>
      <c r="P2999" s="271"/>
      <c r="Q2999" s="272"/>
      <c r="R2999" s="273"/>
      <c r="S2999" s="273"/>
      <c r="T2999" s="273"/>
      <c r="U2999" s="274"/>
      <c r="V2999" s="263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</row>
    <row r="3000">
      <c r="A3000" s="263"/>
      <c r="B3000" s="264"/>
      <c r="C3000" s="265"/>
      <c r="D3000" s="265"/>
      <c r="E3000" s="264"/>
      <c r="F3000" s="265"/>
      <c r="G3000" s="263"/>
      <c r="H3000" s="432"/>
      <c r="I3000" s="282"/>
      <c r="J3000" s="283"/>
      <c r="K3000" s="265"/>
      <c r="L3000" s="265"/>
      <c r="M3000" s="269"/>
      <c r="N3000" s="270"/>
      <c r="O3000" s="271"/>
      <c r="P3000" s="271"/>
      <c r="Q3000" s="272"/>
      <c r="R3000" s="273"/>
      <c r="S3000" s="273"/>
      <c r="T3000" s="273"/>
      <c r="U3000" s="274"/>
      <c r="V3000" s="263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</row>
    <row r="3001">
      <c r="A3001" s="263"/>
      <c r="B3001" s="264"/>
      <c r="C3001" s="265"/>
      <c r="D3001" s="265"/>
      <c r="E3001" s="264"/>
      <c r="F3001" s="265"/>
      <c r="G3001" s="263"/>
      <c r="H3001" s="432"/>
      <c r="I3001" s="282"/>
      <c r="J3001" s="283"/>
      <c r="K3001" s="265"/>
      <c r="L3001" s="265"/>
      <c r="M3001" s="269"/>
      <c r="N3001" s="270"/>
      <c r="O3001" s="271"/>
      <c r="P3001" s="271"/>
      <c r="Q3001" s="272"/>
      <c r="R3001" s="273"/>
      <c r="S3001" s="273"/>
      <c r="T3001" s="273"/>
      <c r="U3001" s="274"/>
      <c r="V3001" s="263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</row>
    <row r="3002">
      <c r="A3002" s="263"/>
      <c r="B3002" s="264"/>
      <c r="C3002" s="265"/>
      <c r="D3002" s="265"/>
      <c r="E3002" s="264"/>
      <c r="F3002" s="265"/>
      <c r="G3002" s="263"/>
      <c r="H3002" s="432"/>
      <c r="I3002" s="282"/>
      <c r="J3002" s="283"/>
      <c r="K3002" s="265"/>
      <c r="L3002" s="265"/>
      <c r="M3002" s="269"/>
      <c r="N3002" s="270"/>
      <c r="O3002" s="271"/>
      <c r="P3002" s="271"/>
      <c r="Q3002" s="272"/>
      <c r="R3002" s="273"/>
      <c r="S3002" s="273"/>
      <c r="T3002" s="273"/>
      <c r="U3002" s="274"/>
      <c r="V3002" s="263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</row>
    <row r="3003">
      <c r="A3003" s="263"/>
      <c r="B3003" s="264"/>
      <c r="C3003" s="265"/>
      <c r="D3003" s="265"/>
      <c r="E3003" s="264"/>
      <c r="F3003" s="265"/>
      <c r="G3003" s="263"/>
      <c r="H3003" s="432"/>
      <c r="I3003" s="282"/>
      <c r="J3003" s="283"/>
      <c r="K3003" s="265"/>
      <c r="L3003" s="265"/>
      <c r="M3003" s="269"/>
      <c r="N3003" s="270"/>
      <c r="O3003" s="271"/>
      <c r="P3003" s="271"/>
      <c r="Q3003" s="272"/>
      <c r="R3003" s="273"/>
      <c r="S3003" s="273"/>
      <c r="T3003" s="273"/>
      <c r="U3003" s="274"/>
      <c r="V3003" s="263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</row>
    <row r="3004">
      <c r="A3004" s="263"/>
      <c r="B3004" s="264"/>
      <c r="C3004" s="265"/>
      <c r="D3004" s="265"/>
      <c r="E3004" s="264"/>
      <c r="F3004" s="265"/>
      <c r="G3004" s="263"/>
      <c r="H3004" s="432"/>
      <c r="I3004" s="282"/>
      <c r="J3004" s="283"/>
      <c r="K3004" s="265"/>
      <c r="L3004" s="265"/>
      <c r="M3004" s="269"/>
      <c r="N3004" s="270"/>
      <c r="O3004" s="271"/>
      <c r="P3004" s="271"/>
      <c r="Q3004" s="272"/>
      <c r="R3004" s="273"/>
      <c r="S3004" s="273"/>
      <c r="T3004" s="273"/>
      <c r="U3004" s="274"/>
      <c r="V3004" s="263"/>
      <c r="W3004" s="188"/>
      <c r="X3004" s="188"/>
      <c r="Y3004" s="188"/>
      <c r="Z3004" s="188"/>
      <c r="AA3004" s="188"/>
      <c r="AB3004" s="188"/>
      <c r="AC3004" s="188"/>
      <c r="AD3004" s="188"/>
      <c r="AE3004" s="188"/>
      <c r="AF3004" s="188"/>
      <c r="AG3004" s="188"/>
      <c r="AH3004" s="188"/>
      <c r="AI3004" s="188"/>
    </row>
    <row r="3005">
      <c r="A3005" s="263"/>
      <c r="B3005" s="264"/>
      <c r="C3005" s="265"/>
      <c r="D3005" s="265"/>
      <c r="E3005" s="264"/>
      <c r="F3005" s="265"/>
      <c r="G3005" s="263"/>
      <c r="H3005" s="432"/>
      <c r="I3005" s="282"/>
      <c r="J3005" s="283"/>
      <c r="K3005" s="265"/>
      <c r="L3005" s="265"/>
      <c r="M3005" s="269"/>
      <c r="N3005" s="270"/>
      <c r="O3005" s="271"/>
      <c r="P3005" s="271"/>
      <c r="Q3005" s="272"/>
      <c r="R3005" s="273"/>
      <c r="S3005" s="273"/>
      <c r="T3005" s="273"/>
      <c r="U3005" s="274"/>
      <c r="V3005" s="263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</row>
    <row r="3006">
      <c r="A3006" s="263"/>
      <c r="B3006" s="264"/>
      <c r="C3006" s="265"/>
      <c r="D3006" s="265"/>
      <c r="E3006" s="264"/>
      <c r="F3006" s="265"/>
      <c r="G3006" s="263"/>
      <c r="H3006" s="432"/>
      <c r="I3006" s="282"/>
      <c r="J3006" s="283"/>
      <c r="K3006" s="265"/>
      <c r="L3006" s="265"/>
      <c r="M3006" s="269"/>
      <c r="N3006" s="270"/>
      <c r="O3006" s="271"/>
      <c r="P3006" s="271"/>
      <c r="Q3006" s="272"/>
      <c r="R3006" s="273"/>
      <c r="S3006" s="273"/>
      <c r="T3006" s="273"/>
      <c r="U3006" s="274"/>
      <c r="V3006" s="263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</row>
    <row r="3007">
      <c r="A3007" s="263"/>
      <c r="B3007" s="264"/>
      <c r="C3007" s="265"/>
      <c r="D3007" s="265"/>
      <c r="E3007" s="264"/>
      <c r="F3007" s="265"/>
      <c r="G3007" s="263"/>
      <c r="H3007" s="432"/>
      <c r="I3007" s="282"/>
      <c r="J3007" s="283"/>
      <c r="K3007" s="265"/>
      <c r="L3007" s="265"/>
      <c r="M3007" s="269"/>
      <c r="N3007" s="270"/>
      <c r="O3007" s="271"/>
      <c r="P3007" s="271"/>
      <c r="Q3007" s="272"/>
      <c r="R3007" s="273"/>
      <c r="S3007" s="273"/>
      <c r="T3007" s="273"/>
      <c r="U3007" s="274"/>
      <c r="V3007" s="263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</row>
    <row r="3008">
      <c r="A3008" s="263"/>
      <c r="B3008" s="264"/>
      <c r="C3008" s="265"/>
      <c r="D3008" s="265"/>
      <c r="E3008" s="264"/>
      <c r="F3008" s="265"/>
      <c r="G3008" s="263"/>
      <c r="H3008" s="432"/>
      <c r="I3008" s="282"/>
      <c r="J3008" s="283"/>
      <c r="K3008" s="265"/>
      <c r="L3008" s="265"/>
      <c r="M3008" s="269"/>
      <c r="N3008" s="270"/>
      <c r="O3008" s="271"/>
      <c r="P3008" s="271"/>
      <c r="Q3008" s="272"/>
      <c r="R3008" s="273"/>
      <c r="S3008" s="273"/>
      <c r="T3008" s="273"/>
      <c r="U3008" s="274"/>
      <c r="V3008" s="263"/>
      <c r="W3008" s="188"/>
      <c r="X3008" s="188"/>
      <c r="Y3008" s="188"/>
      <c r="Z3008" s="188"/>
      <c r="AA3008" s="188"/>
      <c r="AB3008" s="188"/>
      <c r="AC3008" s="188"/>
      <c r="AD3008" s="188"/>
      <c r="AE3008" s="188"/>
      <c r="AF3008" s="188"/>
      <c r="AG3008" s="188"/>
      <c r="AH3008" s="188"/>
      <c r="AI3008" s="188"/>
    </row>
    <row r="3009">
      <c r="A3009" s="263"/>
      <c r="B3009" s="264"/>
      <c r="C3009" s="265"/>
      <c r="D3009" s="265"/>
      <c r="E3009" s="264"/>
      <c r="F3009" s="265"/>
      <c r="G3009" s="263"/>
      <c r="H3009" s="432"/>
      <c r="I3009" s="282"/>
      <c r="J3009" s="283"/>
      <c r="K3009" s="265"/>
      <c r="L3009" s="265"/>
      <c r="M3009" s="269"/>
      <c r="N3009" s="270"/>
      <c r="O3009" s="271"/>
      <c r="P3009" s="271"/>
      <c r="Q3009" s="272"/>
      <c r="R3009" s="273"/>
      <c r="S3009" s="273"/>
      <c r="T3009" s="273"/>
      <c r="U3009" s="274"/>
      <c r="V3009" s="263"/>
      <c r="W3009" s="35"/>
      <c r="X3009" s="35"/>
      <c r="Y3009" s="35"/>
      <c r="Z3009" s="35"/>
      <c r="AA3009" s="35"/>
      <c r="AB3009" s="35"/>
      <c r="AC3009" s="35"/>
      <c r="AD3009" s="35"/>
      <c r="AE3009" s="35"/>
      <c r="AF3009" s="35"/>
      <c r="AG3009" s="35"/>
      <c r="AH3009" s="35"/>
      <c r="AI3009" s="35"/>
    </row>
    <row r="3010">
      <c r="A3010" s="263"/>
      <c r="B3010" s="264"/>
      <c r="C3010" s="265"/>
      <c r="D3010" s="265"/>
      <c r="E3010" s="264"/>
      <c r="F3010" s="265"/>
      <c r="G3010" s="263"/>
      <c r="H3010" s="432"/>
      <c r="I3010" s="282"/>
      <c r="J3010" s="283"/>
      <c r="K3010" s="265"/>
      <c r="L3010" s="265"/>
      <c r="M3010" s="269"/>
      <c r="N3010" s="270"/>
      <c r="O3010" s="271"/>
      <c r="P3010" s="271"/>
      <c r="Q3010" s="272"/>
      <c r="R3010" s="273"/>
      <c r="S3010" s="273"/>
      <c r="T3010" s="273"/>
      <c r="U3010" s="274"/>
      <c r="V3010" s="263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</row>
    <row r="3011">
      <c r="A3011" s="263"/>
      <c r="B3011" s="264"/>
      <c r="C3011" s="265"/>
      <c r="D3011" s="265"/>
      <c r="E3011" s="264"/>
      <c r="F3011" s="265"/>
      <c r="G3011" s="263"/>
      <c r="H3011" s="432"/>
      <c r="I3011" s="282"/>
      <c r="J3011" s="283"/>
      <c r="K3011" s="265"/>
      <c r="L3011" s="265"/>
      <c r="M3011" s="269"/>
      <c r="N3011" s="270"/>
      <c r="O3011" s="271"/>
      <c r="P3011" s="271"/>
      <c r="Q3011" s="272"/>
      <c r="R3011" s="273"/>
      <c r="S3011" s="273"/>
      <c r="T3011" s="273"/>
      <c r="U3011" s="274"/>
      <c r="V3011" s="263"/>
      <c r="W3011" s="35"/>
      <c r="X3011" s="35"/>
      <c r="Y3011" s="35"/>
      <c r="Z3011" s="35"/>
      <c r="AA3011" s="35"/>
      <c r="AB3011" s="35"/>
      <c r="AC3011" s="35"/>
      <c r="AD3011" s="35"/>
      <c r="AE3011" s="35"/>
      <c r="AF3011" s="35"/>
      <c r="AG3011" s="35"/>
      <c r="AH3011" s="35"/>
      <c r="AI3011" s="35"/>
    </row>
    <row r="3012">
      <c r="A3012" s="263"/>
      <c r="B3012" s="264"/>
      <c r="C3012" s="265"/>
      <c r="D3012" s="265"/>
      <c r="E3012" s="264"/>
      <c r="F3012" s="265"/>
      <c r="G3012" s="263"/>
      <c r="H3012" s="432"/>
      <c r="I3012" s="282"/>
      <c r="J3012" s="283"/>
      <c r="K3012" s="265"/>
      <c r="L3012" s="265"/>
      <c r="M3012" s="269"/>
      <c r="N3012" s="270"/>
      <c r="O3012" s="271"/>
      <c r="P3012" s="271"/>
      <c r="Q3012" s="272"/>
      <c r="R3012" s="273"/>
      <c r="S3012" s="273"/>
      <c r="T3012" s="273"/>
      <c r="U3012" s="274"/>
      <c r="V3012" s="263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</row>
    <row r="3013">
      <c r="A3013" s="263"/>
      <c r="B3013" s="264"/>
      <c r="C3013" s="265"/>
      <c r="D3013" s="265"/>
      <c r="E3013" s="264"/>
      <c r="F3013" s="265"/>
      <c r="G3013" s="263"/>
      <c r="H3013" s="432"/>
      <c r="I3013" s="282"/>
      <c r="J3013" s="283"/>
      <c r="K3013" s="265"/>
      <c r="L3013" s="265"/>
      <c r="M3013" s="269"/>
      <c r="N3013" s="270"/>
      <c r="O3013" s="271"/>
      <c r="P3013" s="271"/>
      <c r="Q3013" s="272"/>
      <c r="R3013" s="273"/>
      <c r="S3013" s="273"/>
      <c r="T3013" s="273"/>
      <c r="U3013" s="274"/>
      <c r="V3013" s="263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</row>
    <row r="3014">
      <c r="A3014" s="263"/>
      <c r="B3014" s="264"/>
      <c r="C3014" s="265"/>
      <c r="D3014" s="265"/>
      <c r="E3014" s="264"/>
      <c r="F3014" s="265"/>
      <c r="G3014" s="263"/>
      <c r="H3014" s="432"/>
      <c r="I3014" s="282"/>
      <c r="J3014" s="283"/>
      <c r="K3014" s="265"/>
      <c r="L3014" s="265"/>
      <c r="M3014" s="269"/>
      <c r="N3014" s="270"/>
      <c r="O3014" s="271"/>
      <c r="P3014" s="271"/>
      <c r="Q3014" s="272"/>
      <c r="R3014" s="273"/>
      <c r="S3014" s="273"/>
      <c r="T3014" s="273"/>
      <c r="U3014" s="274"/>
      <c r="V3014" s="263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</row>
    <row r="3015">
      <c r="A3015" s="263"/>
      <c r="B3015" s="264"/>
      <c r="C3015" s="265"/>
      <c r="D3015" s="265"/>
      <c r="E3015" s="264"/>
      <c r="F3015" s="265"/>
      <c r="G3015" s="263"/>
      <c r="H3015" s="432"/>
      <c r="I3015" s="282"/>
      <c r="J3015" s="283"/>
      <c r="K3015" s="265"/>
      <c r="L3015" s="265"/>
      <c r="M3015" s="269"/>
      <c r="N3015" s="270"/>
      <c r="O3015" s="271"/>
      <c r="P3015" s="271"/>
      <c r="Q3015" s="272"/>
      <c r="R3015" s="273"/>
      <c r="S3015" s="273"/>
      <c r="T3015" s="273"/>
      <c r="U3015" s="274"/>
      <c r="V3015" s="263"/>
      <c r="W3015" s="36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</row>
    <row r="3016">
      <c r="A3016" s="263"/>
      <c r="B3016" s="264"/>
      <c r="C3016" s="265"/>
      <c r="D3016" s="265"/>
      <c r="E3016" s="264"/>
      <c r="F3016" s="265"/>
      <c r="G3016" s="263"/>
      <c r="H3016" s="432"/>
      <c r="I3016" s="282"/>
      <c r="J3016" s="283"/>
      <c r="K3016" s="265"/>
      <c r="L3016" s="265"/>
      <c r="M3016" s="269"/>
      <c r="N3016" s="270"/>
      <c r="O3016" s="271"/>
      <c r="P3016" s="271"/>
      <c r="Q3016" s="272"/>
      <c r="R3016" s="273"/>
      <c r="S3016" s="273"/>
      <c r="T3016" s="273"/>
      <c r="U3016" s="274"/>
      <c r="V3016" s="263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</row>
    <row r="3017">
      <c r="A3017" s="263"/>
      <c r="B3017" s="264"/>
      <c r="C3017" s="265"/>
      <c r="D3017" s="265"/>
      <c r="E3017" s="264"/>
      <c r="F3017" s="265"/>
      <c r="G3017" s="263"/>
      <c r="H3017" s="432"/>
      <c r="I3017" s="282"/>
      <c r="J3017" s="283"/>
      <c r="K3017" s="265"/>
      <c r="L3017" s="265"/>
      <c r="M3017" s="269"/>
      <c r="N3017" s="270"/>
      <c r="O3017" s="271"/>
      <c r="P3017" s="271"/>
      <c r="Q3017" s="272"/>
      <c r="R3017" s="273"/>
      <c r="S3017" s="273"/>
      <c r="T3017" s="273"/>
      <c r="U3017" s="274"/>
      <c r="V3017" s="263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</row>
    <row r="3018">
      <c r="A3018" s="263"/>
      <c r="B3018" s="264"/>
      <c r="C3018" s="265"/>
      <c r="D3018" s="265"/>
      <c r="E3018" s="264"/>
      <c r="F3018" s="265"/>
      <c r="G3018" s="263"/>
      <c r="H3018" s="432"/>
      <c r="I3018" s="282"/>
      <c r="J3018" s="283"/>
      <c r="K3018" s="265"/>
      <c r="L3018" s="265"/>
      <c r="M3018" s="269"/>
      <c r="N3018" s="270"/>
      <c r="O3018" s="271"/>
      <c r="P3018" s="271"/>
      <c r="Q3018" s="272"/>
      <c r="R3018" s="273"/>
      <c r="S3018" s="273"/>
      <c r="T3018" s="273"/>
      <c r="U3018" s="274"/>
      <c r="V3018" s="263"/>
      <c r="W3018" s="35"/>
      <c r="X3018" s="35"/>
      <c r="Y3018" s="35"/>
      <c r="Z3018" s="35"/>
      <c r="AA3018" s="35"/>
      <c r="AB3018" s="35"/>
      <c r="AC3018" s="35"/>
      <c r="AD3018" s="35"/>
      <c r="AE3018" s="35"/>
      <c r="AF3018" s="35"/>
      <c r="AG3018" s="35"/>
      <c r="AH3018" s="35"/>
      <c r="AI3018" s="35"/>
    </row>
    <row r="3019">
      <c r="A3019" s="263"/>
      <c r="B3019" s="264"/>
      <c r="C3019" s="265"/>
      <c r="D3019" s="265"/>
      <c r="E3019" s="264"/>
      <c r="F3019" s="265"/>
      <c r="G3019" s="263"/>
      <c r="H3019" s="432"/>
      <c r="I3019" s="282"/>
      <c r="J3019" s="283"/>
      <c r="K3019" s="265"/>
      <c r="L3019" s="265"/>
      <c r="M3019" s="269"/>
      <c r="N3019" s="270"/>
      <c r="O3019" s="271"/>
      <c r="P3019" s="271"/>
      <c r="Q3019" s="272"/>
      <c r="R3019" s="273"/>
      <c r="S3019" s="273"/>
      <c r="T3019" s="273"/>
      <c r="U3019" s="274"/>
      <c r="V3019" s="263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</row>
    <row r="3020">
      <c r="A3020" s="263"/>
      <c r="B3020" s="264"/>
      <c r="C3020" s="265"/>
      <c r="D3020" s="265"/>
      <c r="E3020" s="264"/>
      <c r="F3020" s="265"/>
      <c r="G3020" s="263"/>
      <c r="H3020" s="432"/>
      <c r="I3020" s="282"/>
      <c r="J3020" s="283"/>
      <c r="K3020" s="265"/>
      <c r="L3020" s="265"/>
      <c r="M3020" s="269"/>
      <c r="N3020" s="270"/>
      <c r="O3020" s="271"/>
      <c r="P3020" s="271"/>
      <c r="Q3020" s="272"/>
      <c r="R3020" s="273"/>
      <c r="S3020" s="273"/>
      <c r="T3020" s="273"/>
      <c r="U3020" s="274"/>
      <c r="V3020" s="263"/>
      <c r="W3020" s="35"/>
      <c r="X3020" s="35"/>
      <c r="Y3020" s="35"/>
      <c r="Z3020" s="35"/>
      <c r="AA3020" s="35"/>
      <c r="AB3020" s="35"/>
      <c r="AC3020" s="35"/>
      <c r="AD3020" s="35"/>
      <c r="AE3020" s="35"/>
      <c r="AF3020" s="35"/>
      <c r="AG3020" s="35"/>
      <c r="AH3020" s="35"/>
      <c r="AI3020" s="35"/>
    </row>
    <row r="3021">
      <c r="A3021" s="263"/>
      <c r="B3021" s="264"/>
      <c r="C3021" s="265"/>
      <c r="D3021" s="265"/>
      <c r="E3021" s="264"/>
      <c r="F3021" s="265"/>
      <c r="G3021" s="263"/>
      <c r="H3021" s="432"/>
      <c r="I3021" s="282"/>
      <c r="J3021" s="283"/>
      <c r="K3021" s="265"/>
      <c r="L3021" s="265"/>
      <c r="M3021" s="269"/>
      <c r="N3021" s="270"/>
      <c r="O3021" s="271"/>
      <c r="P3021" s="271"/>
      <c r="Q3021" s="272"/>
      <c r="R3021" s="273"/>
      <c r="S3021" s="273"/>
      <c r="T3021" s="273"/>
      <c r="U3021" s="274"/>
      <c r="V3021" s="263"/>
      <c r="W3021" s="36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</row>
    <row r="3022">
      <c r="A3022" s="263"/>
      <c r="B3022" s="264"/>
      <c r="C3022" s="265"/>
      <c r="D3022" s="265"/>
      <c r="E3022" s="264"/>
      <c r="F3022" s="265"/>
      <c r="G3022" s="263"/>
      <c r="H3022" s="432"/>
      <c r="I3022" s="282"/>
      <c r="J3022" s="283"/>
      <c r="K3022" s="265"/>
      <c r="L3022" s="265"/>
      <c r="M3022" s="269"/>
      <c r="N3022" s="270"/>
      <c r="O3022" s="271"/>
      <c r="P3022" s="271"/>
      <c r="Q3022" s="272"/>
      <c r="R3022" s="273"/>
      <c r="S3022" s="273"/>
      <c r="T3022" s="273"/>
      <c r="U3022" s="274"/>
      <c r="V3022" s="263"/>
      <c r="W3022" s="35"/>
      <c r="X3022" s="35"/>
      <c r="Y3022" s="35"/>
      <c r="Z3022" s="35"/>
      <c r="AA3022" s="35"/>
      <c r="AB3022" s="35"/>
      <c r="AC3022" s="35"/>
      <c r="AD3022" s="35"/>
      <c r="AE3022" s="35"/>
      <c r="AF3022" s="35"/>
      <c r="AG3022" s="35"/>
      <c r="AH3022" s="35"/>
      <c r="AI3022" s="35"/>
    </row>
    <row r="3023">
      <c r="A3023" s="263"/>
      <c r="B3023" s="264"/>
      <c r="C3023" s="265"/>
      <c r="D3023" s="265"/>
      <c r="E3023" s="264"/>
      <c r="F3023" s="265"/>
      <c r="G3023" s="263"/>
      <c r="H3023" s="432"/>
      <c r="I3023" s="282"/>
      <c r="J3023" s="283"/>
      <c r="K3023" s="265"/>
      <c r="L3023" s="265"/>
      <c r="M3023" s="269"/>
      <c r="N3023" s="270"/>
      <c r="O3023" s="271"/>
      <c r="P3023" s="271"/>
      <c r="Q3023" s="272"/>
      <c r="R3023" s="273"/>
      <c r="S3023" s="273"/>
      <c r="T3023" s="273"/>
      <c r="U3023" s="274"/>
      <c r="V3023" s="263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</row>
    <row r="3024">
      <c r="A3024" s="263"/>
      <c r="B3024" s="264"/>
      <c r="C3024" s="265"/>
      <c r="D3024" s="265"/>
      <c r="E3024" s="264"/>
      <c r="F3024" s="265"/>
      <c r="G3024" s="263"/>
      <c r="H3024" s="432"/>
      <c r="I3024" s="282"/>
      <c r="J3024" s="283"/>
      <c r="K3024" s="265"/>
      <c r="L3024" s="265"/>
      <c r="M3024" s="269"/>
      <c r="N3024" s="270"/>
      <c r="O3024" s="271"/>
      <c r="P3024" s="271"/>
      <c r="Q3024" s="272"/>
      <c r="R3024" s="273"/>
      <c r="S3024" s="273"/>
      <c r="T3024" s="273"/>
      <c r="U3024" s="274"/>
      <c r="V3024" s="263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</row>
    <row r="3025">
      <c r="A3025" s="263"/>
      <c r="B3025" s="264"/>
      <c r="C3025" s="265"/>
      <c r="D3025" s="265"/>
      <c r="E3025" s="264"/>
      <c r="F3025" s="265"/>
      <c r="G3025" s="263"/>
      <c r="H3025" s="432"/>
      <c r="I3025" s="282"/>
      <c r="J3025" s="283"/>
      <c r="K3025" s="265"/>
      <c r="L3025" s="265"/>
      <c r="M3025" s="269"/>
      <c r="N3025" s="270"/>
      <c r="O3025" s="271"/>
      <c r="P3025" s="271"/>
      <c r="Q3025" s="272"/>
      <c r="R3025" s="273"/>
      <c r="S3025" s="273"/>
      <c r="T3025" s="273"/>
      <c r="U3025" s="274"/>
      <c r="V3025" s="263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</row>
    <row r="3026">
      <c r="A3026" s="263"/>
      <c r="B3026" s="264"/>
      <c r="C3026" s="265"/>
      <c r="D3026" s="265"/>
      <c r="E3026" s="264"/>
      <c r="F3026" s="265"/>
      <c r="G3026" s="263"/>
      <c r="H3026" s="432"/>
      <c r="I3026" s="282"/>
      <c r="J3026" s="283"/>
      <c r="K3026" s="265"/>
      <c r="L3026" s="265"/>
      <c r="M3026" s="269"/>
      <c r="N3026" s="270"/>
      <c r="O3026" s="271"/>
      <c r="P3026" s="271"/>
      <c r="Q3026" s="272"/>
      <c r="R3026" s="273"/>
      <c r="S3026" s="273"/>
      <c r="T3026" s="273"/>
      <c r="U3026" s="274"/>
      <c r="V3026" s="263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</row>
    <row r="3027">
      <c r="A3027" s="263"/>
      <c r="B3027" s="264"/>
      <c r="C3027" s="265"/>
      <c r="D3027" s="265"/>
      <c r="E3027" s="264"/>
      <c r="F3027" s="265"/>
      <c r="G3027" s="263"/>
      <c r="H3027" s="432"/>
      <c r="I3027" s="282"/>
      <c r="J3027" s="283"/>
      <c r="K3027" s="265"/>
      <c r="L3027" s="265"/>
      <c r="M3027" s="269"/>
      <c r="N3027" s="270"/>
      <c r="O3027" s="271"/>
      <c r="P3027" s="271"/>
      <c r="Q3027" s="272"/>
      <c r="R3027" s="273"/>
      <c r="S3027" s="273"/>
      <c r="T3027" s="273"/>
      <c r="U3027" s="274"/>
      <c r="V3027" s="263"/>
      <c r="W3027" s="35"/>
      <c r="X3027" s="35"/>
      <c r="Y3027" s="35"/>
      <c r="Z3027" s="35"/>
      <c r="AA3027" s="35"/>
      <c r="AB3027" s="35"/>
      <c r="AC3027" s="35"/>
      <c r="AD3027" s="35"/>
      <c r="AE3027" s="35"/>
      <c r="AF3027" s="35"/>
      <c r="AG3027" s="35"/>
      <c r="AH3027" s="35"/>
      <c r="AI3027" s="35"/>
    </row>
    <row r="3028">
      <c r="A3028" s="263"/>
      <c r="B3028" s="264"/>
      <c r="C3028" s="265"/>
      <c r="D3028" s="265"/>
      <c r="E3028" s="264"/>
      <c r="F3028" s="265"/>
      <c r="G3028" s="263"/>
      <c r="H3028" s="432"/>
      <c r="I3028" s="282"/>
      <c r="J3028" s="283"/>
      <c r="K3028" s="265"/>
      <c r="L3028" s="265"/>
      <c r="M3028" s="269"/>
      <c r="N3028" s="270"/>
      <c r="O3028" s="271"/>
      <c r="P3028" s="271"/>
      <c r="Q3028" s="272"/>
      <c r="R3028" s="273"/>
      <c r="S3028" s="273"/>
      <c r="T3028" s="273"/>
      <c r="U3028" s="274"/>
      <c r="V3028" s="263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</row>
    <row r="3029">
      <c r="A3029" s="263"/>
      <c r="B3029" s="264"/>
      <c r="C3029" s="265"/>
      <c r="D3029" s="265"/>
      <c r="E3029" s="264"/>
      <c r="F3029" s="265"/>
      <c r="G3029" s="263"/>
      <c r="H3029" s="432"/>
      <c r="I3029" s="282"/>
      <c r="J3029" s="283"/>
      <c r="K3029" s="265"/>
      <c r="L3029" s="265"/>
      <c r="M3029" s="269"/>
      <c r="N3029" s="270"/>
      <c r="O3029" s="271"/>
      <c r="P3029" s="271"/>
      <c r="Q3029" s="272"/>
      <c r="R3029" s="273"/>
      <c r="S3029" s="273"/>
      <c r="T3029" s="273"/>
      <c r="U3029" s="274"/>
      <c r="V3029" s="263"/>
      <c r="W3029" s="35"/>
      <c r="X3029" s="35"/>
      <c r="Y3029" s="35"/>
      <c r="Z3029" s="35"/>
      <c r="AA3029" s="35"/>
      <c r="AB3029" s="35"/>
      <c r="AC3029" s="35"/>
      <c r="AD3029" s="35"/>
      <c r="AE3029" s="35"/>
      <c r="AF3029" s="35"/>
      <c r="AG3029" s="35"/>
      <c r="AH3029" s="35"/>
      <c r="AI3029" s="35"/>
    </row>
    <row r="3030">
      <c r="A3030" s="263"/>
      <c r="B3030" s="264"/>
      <c r="C3030" s="265"/>
      <c r="D3030" s="265"/>
      <c r="E3030" s="264"/>
      <c r="F3030" s="265"/>
      <c r="G3030" s="263"/>
      <c r="H3030" s="432"/>
      <c r="I3030" s="282"/>
      <c r="J3030" s="283"/>
      <c r="K3030" s="265"/>
      <c r="L3030" s="265"/>
      <c r="M3030" s="269"/>
      <c r="N3030" s="270"/>
      <c r="O3030" s="271"/>
      <c r="P3030" s="271"/>
      <c r="Q3030" s="272"/>
      <c r="R3030" s="273"/>
      <c r="S3030" s="273"/>
      <c r="T3030" s="273"/>
      <c r="U3030" s="274"/>
      <c r="V3030" s="263"/>
      <c r="W3030" s="188"/>
      <c r="X3030" s="188"/>
      <c r="Y3030" s="188"/>
      <c r="Z3030" s="188"/>
      <c r="AA3030" s="188"/>
      <c r="AB3030" s="188"/>
      <c r="AC3030" s="188"/>
      <c r="AD3030" s="188"/>
      <c r="AE3030" s="188"/>
      <c r="AF3030" s="188"/>
      <c r="AG3030" s="188"/>
      <c r="AH3030" s="188"/>
      <c r="AI3030" s="188"/>
    </row>
    <row r="3031">
      <c r="A3031" s="263"/>
      <c r="B3031" s="264"/>
      <c r="C3031" s="265"/>
      <c r="D3031" s="265"/>
      <c r="E3031" s="264"/>
      <c r="F3031" s="265"/>
      <c r="G3031" s="263"/>
      <c r="H3031" s="432"/>
      <c r="I3031" s="282"/>
      <c r="J3031" s="283"/>
      <c r="K3031" s="265"/>
      <c r="L3031" s="265"/>
      <c r="M3031" s="269"/>
      <c r="N3031" s="270"/>
      <c r="O3031" s="271"/>
      <c r="P3031" s="271"/>
      <c r="Q3031" s="272"/>
      <c r="R3031" s="273"/>
      <c r="S3031" s="273"/>
      <c r="T3031" s="273"/>
      <c r="U3031" s="274"/>
      <c r="V3031" s="263"/>
      <c r="W3031" s="188"/>
      <c r="X3031" s="188"/>
      <c r="Y3031" s="188"/>
      <c r="Z3031" s="188"/>
      <c r="AA3031" s="188"/>
      <c r="AB3031" s="188"/>
      <c r="AC3031" s="188"/>
      <c r="AD3031" s="188"/>
      <c r="AE3031" s="188"/>
      <c r="AF3031" s="188"/>
      <c r="AG3031" s="188"/>
      <c r="AH3031" s="188"/>
      <c r="AI3031" s="188"/>
    </row>
    <row r="3032">
      <c r="A3032" s="263"/>
      <c r="B3032" s="264"/>
      <c r="C3032" s="265"/>
      <c r="D3032" s="265"/>
      <c r="E3032" s="264"/>
      <c r="F3032" s="265"/>
      <c r="G3032" s="263"/>
      <c r="H3032" s="432"/>
      <c r="I3032" s="282"/>
      <c r="J3032" s="283"/>
      <c r="K3032" s="265"/>
      <c r="L3032" s="265"/>
      <c r="M3032" s="269"/>
      <c r="N3032" s="270"/>
      <c r="O3032" s="271"/>
      <c r="P3032" s="271"/>
      <c r="Q3032" s="272"/>
      <c r="R3032" s="273"/>
      <c r="S3032" s="273"/>
      <c r="T3032" s="273"/>
      <c r="U3032" s="274"/>
      <c r="V3032" s="263"/>
      <c r="W3032" s="35"/>
      <c r="X3032" s="35"/>
      <c r="Y3032" s="35"/>
      <c r="Z3032" s="35"/>
      <c r="AA3032" s="35"/>
      <c r="AB3032" s="35"/>
      <c r="AC3032" s="35"/>
      <c r="AD3032" s="35"/>
      <c r="AE3032" s="35"/>
      <c r="AF3032" s="35"/>
      <c r="AG3032" s="35"/>
      <c r="AH3032" s="35"/>
      <c r="AI3032" s="35"/>
    </row>
    <row r="3033">
      <c r="A3033" s="263"/>
      <c r="B3033" s="264"/>
      <c r="C3033" s="265"/>
      <c r="D3033" s="265"/>
      <c r="E3033" s="264"/>
      <c r="F3033" s="265"/>
      <c r="G3033" s="263"/>
      <c r="H3033" s="432"/>
      <c r="I3033" s="282"/>
      <c r="J3033" s="283"/>
      <c r="K3033" s="265"/>
      <c r="L3033" s="265"/>
      <c r="M3033" s="269"/>
      <c r="N3033" s="270"/>
      <c r="O3033" s="271"/>
      <c r="P3033" s="271"/>
      <c r="Q3033" s="272"/>
      <c r="R3033" s="273"/>
      <c r="S3033" s="273"/>
      <c r="T3033" s="273"/>
      <c r="U3033" s="274"/>
      <c r="V3033" s="263"/>
      <c r="W3033" s="188"/>
      <c r="X3033" s="188"/>
      <c r="Y3033" s="188"/>
      <c r="Z3033" s="188"/>
      <c r="AA3033" s="188"/>
      <c r="AB3033" s="188"/>
      <c r="AC3033" s="188"/>
      <c r="AD3033" s="188"/>
      <c r="AE3033" s="188"/>
      <c r="AF3033" s="188"/>
      <c r="AG3033" s="188"/>
      <c r="AH3033" s="188"/>
      <c r="AI3033" s="188"/>
    </row>
    <row r="3034">
      <c r="A3034" s="263"/>
      <c r="B3034" s="264"/>
      <c r="C3034" s="265"/>
      <c r="D3034" s="265"/>
      <c r="E3034" s="264"/>
      <c r="F3034" s="265"/>
      <c r="G3034" s="263"/>
      <c r="H3034" s="432"/>
      <c r="I3034" s="282"/>
      <c r="J3034" s="283"/>
      <c r="K3034" s="265"/>
      <c r="L3034" s="265"/>
      <c r="M3034" s="269"/>
      <c r="N3034" s="270"/>
      <c r="O3034" s="271"/>
      <c r="P3034" s="271"/>
      <c r="Q3034" s="272"/>
      <c r="R3034" s="273"/>
      <c r="S3034" s="273"/>
      <c r="T3034" s="273"/>
      <c r="U3034" s="274"/>
      <c r="V3034" s="263"/>
      <c r="W3034" s="35"/>
      <c r="X3034" s="35"/>
      <c r="Y3034" s="35"/>
      <c r="Z3034" s="35"/>
      <c r="AA3034" s="35"/>
      <c r="AB3034" s="35"/>
      <c r="AC3034" s="35"/>
      <c r="AD3034" s="35"/>
      <c r="AE3034" s="35"/>
      <c r="AF3034" s="35"/>
      <c r="AG3034" s="35"/>
      <c r="AH3034" s="35"/>
      <c r="AI3034" s="35"/>
    </row>
    <row r="3035">
      <c r="A3035" s="263"/>
      <c r="B3035" s="264"/>
      <c r="C3035" s="265"/>
      <c r="D3035" s="265"/>
      <c r="E3035" s="264"/>
      <c r="F3035" s="265"/>
      <c r="G3035" s="263"/>
      <c r="H3035" s="432"/>
      <c r="I3035" s="282"/>
      <c r="J3035" s="283"/>
      <c r="K3035" s="265"/>
      <c r="L3035" s="265"/>
      <c r="M3035" s="269"/>
      <c r="N3035" s="270"/>
      <c r="O3035" s="271"/>
      <c r="P3035" s="271"/>
      <c r="Q3035" s="272"/>
      <c r="R3035" s="273"/>
      <c r="S3035" s="273"/>
      <c r="T3035" s="273"/>
      <c r="U3035" s="274"/>
      <c r="V3035" s="263"/>
      <c r="W3035" s="35"/>
      <c r="X3035" s="35"/>
      <c r="Y3035" s="35"/>
      <c r="Z3035" s="35"/>
      <c r="AA3035" s="35"/>
      <c r="AB3035" s="35"/>
      <c r="AC3035" s="35"/>
      <c r="AD3035" s="35"/>
      <c r="AE3035" s="35"/>
      <c r="AF3035" s="35"/>
      <c r="AG3035" s="35"/>
      <c r="AH3035" s="35"/>
      <c r="AI3035" s="35"/>
    </row>
    <row r="3036">
      <c r="A3036" s="263"/>
      <c r="B3036" s="264"/>
      <c r="C3036" s="265"/>
      <c r="D3036" s="265"/>
      <c r="E3036" s="264"/>
      <c r="F3036" s="265"/>
      <c r="G3036" s="263"/>
      <c r="H3036" s="432"/>
      <c r="I3036" s="282"/>
      <c r="J3036" s="283"/>
      <c r="K3036" s="265"/>
      <c r="L3036" s="265"/>
      <c r="M3036" s="269"/>
      <c r="N3036" s="270"/>
      <c r="O3036" s="271"/>
      <c r="P3036" s="271"/>
      <c r="Q3036" s="272"/>
      <c r="R3036" s="273"/>
      <c r="S3036" s="273"/>
      <c r="T3036" s="273"/>
      <c r="U3036" s="274"/>
      <c r="V3036" s="263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</row>
    <row r="3037">
      <c r="A3037" s="263"/>
      <c r="B3037" s="264"/>
      <c r="C3037" s="265"/>
      <c r="D3037" s="265"/>
      <c r="E3037" s="264"/>
      <c r="F3037" s="265"/>
      <c r="G3037" s="263"/>
      <c r="H3037" s="432"/>
      <c r="I3037" s="282"/>
      <c r="J3037" s="283"/>
      <c r="K3037" s="265"/>
      <c r="L3037" s="265"/>
      <c r="M3037" s="269"/>
      <c r="N3037" s="270"/>
      <c r="O3037" s="271"/>
      <c r="P3037" s="271"/>
      <c r="Q3037" s="272"/>
      <c r="R3037" s="273"/>
      <c r="S3037" s="273"/>
      <c r="T3037" s="273"/>
      <c r="U3037" s="274"/>
      <c r="V3037" s="263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</row>
    <row r="3038">
      <c r="A3038" s="263"/>
      <c r="B3038" s="264"/>
      <c r="C3038" s="265"/>
      <c r="D3038" s="265"/>
      <c r="E3038" s="264"/>
      <c r="F3038" s="265"/>
      <c r="G3038" s="263"/>
      <c r="H3038" s="432"/>
      <c r="I3038" s="282"/>
      <c r="J3038" s="283"/>
      <c r="K3038" s="265"/>
      <c r="L3038" s="265"/>
      <c r="M3038" s="269"/>
      <c r="N3038" s="270"/>
      <c r="O3038" s="271"/>
      <c r="P3038" s="271"/>
      <c r="Q3038" s="272"/>
      <c r="R3038" s="273"/>
      <c r="S3038" s="273"/>
      <c r="T3038" s="273"/>
      <c r="U3038" s="274"/>
      <c r="V3038" s="263"/>
      <c r="W3038" s="188"/>
      <c r="X3038" s="188"/>
      <c r="Y3038" s="188"/>
      <c r="Z3038" s="188"/>
      <c r="AA3038" s="188"/>
      <c r="AB3038" s="188"/>
      <c r="AC3038" s="188"/>
      <c r="AD3038" s="188"/>
      <c r="AE3038" s="188"/>
      <c r="AF3038" s="188"/>
      <c r="AG3038" s="188"/>
      <c r="AH3038" s="188"/>
      <c r="AI3038" s="188"/>
    </row>
    <row r="3039">
      <c r="A3039" s="263"/>
      <c r="B3039" s="264"/>
      <c r="C3039" s="265"/>
      <c r="D3039" s="265"/>
      <c r="E3039" s="264"/>
      <c r="F3039" s="265"/>
      <c r="G3039" s="263"/>
      <c r="H3039" s="432"/>
      <c r="I3039" s="282"/>
      <c r="J3039" s="283"/>
      <c r="K3039" s="265"/>
      <c r="L3039" s="265"/>
      <c r="M3039" s="269"/>
      <c r="N3039" s="270"/>
      <c r="O3039" s="271"/>
      <c r="P3039" s="271"/>
      <c r="Q3039" s="272"/>
      <c r="R3039" s="273"/>
      <c r="S3039" s="273"/>
      <c r="T3039" s="273"/>
      <c r="U3039" s="274"/>
      <c r="V3039" s="263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</row>
    <row r="3040">
      <c r="A3040" s="263"/>
      <c r="B3040" s="264"/>
      <c r="C3040" s="265"/>
      <c r="D3040" s="265"/>
      <c r="E3040" s="264"/>
      <c r="F3040" s="265"/>
      <c r="G3040" s="263"/>
      <c r="H3040" s="432"/>
      <c r="I3040" s="282"/>
      <c r="J3040" s="283"/>
      <c r="K3040" s="265"/>
      <c r="L3040" s="265"/>
      <c r="M3040" s="269"/>
      <c r="N3040" s="270"/>
      <c r="O3040" s="271"/>
      <c r="P3040" s="271"/>
      <c r="Q3040" s="272"/>
      <c r="R3040" s="273"/>
      <c r="S3040" s="273"/>
      <c r="T3040" s="273"/>
      <c r="U3040" s="274"/>
      <c r="V3040" s="263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</row>
    <row r="3041">
      <c r="A3041" s="263"/>
      <c r="B3041" s="264"/>
      <c r="C3041" s="265"/>
      <c r="D3041" s="265"/>
      <c r="E3041" s="264"/>
      <c r="F3041" s="265"/>
      <c r="G3041" s="263"/>
      <c r="H3041" s="432"/>
      <c r="I3041" s="282"/>
      <c r="J3041" s="283"/>
      <c r="K3041" s="265"/>
      <c r="L3041" s="265"/>
      <c r="M3041" s="269"/>
      <c r="N3041" s="270"/>
      <c r="O3041" s="271"/>
      <c r="P3041" s="271"/>
      <c r="Q3041" s="272"/>
      <c r="R3041" s="273"/>
      <c r="S3041" s="273"/>
      <c r="T3041" s="273"/>
      <c r="U3041" s="274"/>
      <c r="V3041" s="263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</row>
    <row r="3042">
      <c r="A3042" s="263"/>
      <c r="B3042" s="264"/>
      <c r="C3042" s="265"/>
      <c r="D3042" s="265"/>
      <c r="E3042" s="264"/>
      <c r="F3042" s="265"/>
      <c r="G3042" s="263"/>
      <c r="H3042" s="432"/>
      <c r="I3042" s="282"/>
      <c r="J3042" s="283"/>
      <c r="K3042" s="265"/>
      <c r="L3042" s="265"/>
      <c r="M3042" s="269"/>
      <c r="N3042" s="270"/>
      <c r="O3042" s="271"/>
      <c r="P3042" s="271"/>
      <c r="Q3042" s="272"/>
      <c r="R3042" s="273"/>
      <c r="S3042" s="273"/>
      <c r="T3042" s="273"/>
      <c r="U3042" s="274"/>
      <c r="V3042" s="263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</row>
    <row r="3043">
      <c r="A3043" s="263"/>
      <c r="B3043" s="264"/>
      <c r="C3043" s="265"/>
      <c r="D3043" s="265"/>
      <c r="E3043" s="264"/>
      <c r="F3043" s="265"/>
      <c r="G3043" s="263"/>
      <c r="H3043" s="432"/>
      <c r="I3043" s="282"/>
      <c r="J3043" s="283"/>
      <c r="K3043" s="265"/>
      <c r="L3043" s="265"/>
      <c r="M3043" s="269"/>
      <c r="N3043" s="270"/>
      <c r="O3043" s="271"/>
      <c r="P3043" s="271"/>
      <c r="Q3043" s="272"/>
      <c r="R3043" s="273"/>
      <c r="S3043" s="273"/>
      <c r="T3043" s="273"/>
      <c r="U3043" s="274"/>
      <c r="V3043" s="263"/>
      <c r="W3043" s="188"/>
      <c r="X3043" s="188"/>
      <c r="Y3043" s="188"/>
      <c r="Z3043" s="188"/>
      <c r="AA3043" s="188"/>
      <c r="AB3043" s="188"/>
      <c r="AC3043" s="188"/>
      <c r="AD3043" s="188"/>
      <c r="AE3043" s="188"/>
      <c r="AF3043" s="188"/>
      <c r="AG3043" s="188"/>
      <c r="AH3043" s="188"/>
      <c r="AI3043" s="188"/>
    </row>
    <row r="3044">
      <c r="A3044" s="263"/>
      <c r="B3044" s="264"/>
      <c r="C3044" s="265"/>
      <c r="D3044" s="265"/>
      <c r="E3044" s="264"/>
      <c r="F3044" s="265"/>
      <c r="G3044" s="263"/>
      <c r="H3044" s="432"/>
      <c r="I3044" s="282"/>
      <c r="J3044" s="283"/>
      <c r="K3044" s="265"/>
      <c r="L3044" s="265"/>
      <c r="M3044" s="269"/>
      <c r="N3044" s="270"/>
      <c r="O3044" s="271"/>
      <c r="P3044" s="271"/>
      <c r="Q3044" s="272"/>
      <c r="R3044" s="273"/>
      <c r="S3044" s="273"/>
      <c r="T3044" s="273"/>
      <c r="U3044" s="274"/>
      <c r="V3044" s="263"/>
      <c r="W3044" s="188"/>
      <c r="X3044" s="188"/>
      <c r="Y3044" s="188"/>
      <c r="Z3044" s="188"/>
      <c r="AA3044" s="188"/>
      <c r="AB3044" s="188"/>
      <c r="AC3044" s="188"/>
      <c r="AD3044" s="188"/>
      <c r="AE3044" s="188"/>
      <c r="AF3044" s="188"/>
      <c r="AG3044" s="188"/>
      <c r="AH3044" s="188"/>
      <c r="AI3044" s="188"/>
    </row>
    <row r="3045">
      <c r="A3045" s="263"/>
      <c r="B3045" s="264"/>
      <c r="C3045" s="265"/>
      <c r="D3045" s="265"/>
      <c r="E3045" s="264"/>
      <c r="F3045" s="265"/>
      <c r="G3045" s="263"/>
      <c r="H3045" s="432"/>
      <c r="I3045" s="282"/>
      <c r="J3045" s="283"/>
      <c r="K3045" s="265"/>
      <c r="L3045" s="265"/>
      <c r="M3045" s="269"/>
      <c r="N3045" s="270"/>
      <c r="O3045" s="271"/>
      <c r="P3045" s="271"/>
      <c r="Q3045" s="272"/>
      <c r="R3045" s="273"/>
      <c r="S3045" s="273"/>
      <c r="T3045" s="273"/>
      <c r="U3045" s="274"/>
      <c r="V3045" s="263"/>
      <c r="W3045" s="188"/>
      <c r="X3045" s="188"/>
      <c r="Y3045" s="188"/>
      <c r="Z3045" s="188"/>
      <c r="AA3045" s="188"/>
      <c r="AB3045" s="188"/>
      <c r="AC3045" s="188"/>
      <c r="AD3045" s="188"/>
      <c r="AE3045" s="188"/>
      <c r="AF3045" s="188"/>
      <c r="AG3045" s="188"/>
      <c r="AH3045" s="188"/>
      <c r="AI3045" s="188"/>
    </row>
    <row r="3046">
      <c r="A3046" s="263"/>
      <c r="B3046" s="264"/>
      <c r="C3046" s="265"/>
      <c r="D3046" s="265"/>
      <c r="E3046" s="264"/>
      <c r="F3046" s="265"/>
      <c r="G3046" s="263"/>
      <c r="H3046" s="432"/>
      <c r="I3046" s="282"/>
      <c r="J3046" s="283"/>
      <c r="K3046" s="265"/>
      <c r="L3046" s="265"/>
      <c r="M3046" s="269"/>
      <c r="N3046" s="270"/>
      <c r="O3046" s="271"/>
      <c r="P3046" s="271"/>
      <c r="Q3046" s="272"/>
      <c r="R3046" s="273"/>
      <c r="S3046" s="273"/>
      <c r="T3046" s="273"/>
      <c r="U3046" s="274"/>
      <c r="V3046" s="263"/>
      <c r="W3046" s="188"/>
      <c r="X3046" s="188"/>
      <c r="Y3046" s="188"/>
      <c r="Z3046" s="188"/>
      <c r="AA3046" s="188"/>
      <c r="AB3046" s="188"/>
      <c r="AC3046" s="188"/>
      <c r="AD3046" s="188"/>
      <c r="AE3046" s="188"/>
      <c r="AF3046" s="188"/>
      <c r="AG3046" s="188"/>
      <c r="AH3046" s="188"/>
      <c r="AI3046" s="188"/>
    </row>
    <row r="3047">
      <c r="A3047" s="263"/>
      <c r="B3047" s="264"/>
      <c r="C3047" s="265"/>
      <c r="D3047" s="265"/>
      <c r="E3047" s="264"/>
      <c r="F3047" s="265"/>
      <c r="G3047" s="263"/>
      <c r="H3047" s="432"/>
      <c r="I3047" s="282"/>
      <c r="J3047" s="283"/>
      <c r="K3047" s="265"/>
      <c r="L3047" s="265"/>
      <c r="M3047" s="269"/>
      <c r="N3047" s="270"/>
      <c r="O3047" s="271"/>
      <c r="P3047" s="271"/>
      <c r="Q3047" s="272"/>
      <c r="R3047" s="273"/>
      <c r="S3047" s="273"/>
      <c r="T3047" s="273"/>
      <c r="U3047" s="274"/>
      <c r="V3047" s="263"/>
      <c r="W3047" s="188"/>
      <c r="X3047" s="188"/>
      <c r="Y3047" s="188"/>
      <c r="Z3047" s="188"/>
      <c r="AA3047" s="188"/>
      <c r="AB3047" s="188"/>
      <c r="AC3047" s="188"/>
      <c r="AD3047" s="188"/>
      <c r="AE3047" s="188"/>
      <c r="AF3047" s="188"/>
      <c r="AG3047" s="188"/>
      <c r="AH3047" s="188"/>
      <c r="AI3047" s="188"/>
    </row>
    <row r="3048">
      <c r="A3048" s="263"/>
      <c r="B3048" s="264"/>
      <c r="C3048" s="265"/>
      <c r="D3048" s="265"/>
      <c r="E3048" s="264"/>
      <c r="F3048" s="265"/>
      <c r="G3048" s="263"/>
      <c r="H3048" s="432"/>
      <c r="I3048" s="282"/>
      <c r="J3048" s="283"/>
      <c r="K3048" s="265"/>
      <c r="L3048" s="265"/>
      <c r="M3048" s="269"/>
      <c r="N3048" s="270"/>
      <c r="O3048" s="271"/>
      <c r="P3048" s="271"/>
      <c r="Q3048" s="272"/>
      <c r="R3048" s="273"/>
      <c r="S3048" s="273"/>
      <c r="T3048" s="273"/>
      <c r="U3048" s="274"/>
      <c r="V3048" s="263"/>
      <c r="W3048" s="35"/>
      <c r="X3048" s="35"/>
      <c r="Y3048" s="35"/>
      <c r="Z3048" s="35"/>
      <c r="AA3048" s="35"/>
      <c r="AB3048" s="35"/>
      <c r="AC3048" s="35"/>
      <c r="AD3048" s="35"/>
      <c r="AE3048" s="35"/>
      <c r="AF3048" s="35"/>
      <c r="AG3048" s="35"/>
      <c r="AH3048" s="35"/>
      <c r="AI3048" s="35"/>
    </row>
    <row r="3049">
      <c r="A3049" s="263"/>
      <c r="B3049" s="264"/>
      <c r="C3049" s="265"/>
      <c r="D3049" s="265"/>
      <c r="E3049" s="264"/>
      <c r="F3049" s="265"/>
      <c r="G3049" s="263"/>
      <c r="H3049" s="432"/>
      <c r="I3049" s="282"/>
      <c r="J3049" s="283"/>
      <c r="K3049" s="265"/>
      <c r="L3049" s="265"/>
      <c r="M3049" s="269"/>
      <c r="N3049" s="270"/>
      <c r="O3049" s="271"/>
      <c r="P3049" s="271"/>
      <c r="Q3049" s="272"/>
      <c r="R3049" s="273"/>
      <c r="S3049" s="273"/>
      <c r="T3049" s="273"/>
      <c r="U3049" s="274"/>
      <c r="V3049" s="263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</row>
    <row r="3050">
      <c r="A3050" s="263"/>
      <c r="B3050" s="264"/>
      <c r="C3050" s="265"/>
      <c r="D3050" s="265"/>
      <c r="E3050" s="264"/>
      <c r="F3050" s="265"/>
      <c r="G3050" s="263"/>
      <c r="H3050" s="432"/>
      <c r="I3050" s="282"/>
      <c r="J3050" s="283"/>
      <c r="K3050" s="265"/>
      <c r="L3050" s="265"/>
      <c r="M3050" s="269"/>
      <c r="N3050" s="270"/>
      <c r="O3050" s="271"/>
      <c r="P3050" s="271"/>
      <c r="Q3050" s="272"/>
      <c r="R3050" s="273"/>
      <c r="S3050" s="273"/>
      <c r="T3050" s="273"/>
      <c r="U3050" s="274"/>
      <c r="V3050" s="263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</row>
    <row r="3051">
      <c r="A3051" s="263"/>
      <c r="B3051" s="264"/>
      <c r="C3051" s="265"/>
      <c r="D3051" s="265"/>
      <c r="E3051" s="264"/>
      <c r="F3051" s="265"/>
      <c r="G3051" s="263"/>
      <c r="H3051" s="432"/>
      <c r="I3051" s="282"/>
      <c r="J3051" s="283"/>
      <c r="K3051" s="265"/>
      <c r="L3051" s="265"/>
      <c r="M3051" s="269"/>
      <c r="N3051" s="270"/>
      <c r="O3051" s="271"/>
      <c r="P3051" s="271"/>
      <c r="Q3051" s="272"/>
      <c r="R3051" s="273"/>
      <c r="S3051" s="273"/>
      <c r="T3051" s="273"/>
      <c r="U3051" s="274"/>
      <c r="V3051" s="263"/>
      <c r="W3051" s="188"/>
      <c r="X3051" s="188"/>
      <c r="Y3051" s="188"/>
      <c r="Z3051" s="188"/>
      <c r="AA3051" s="188"/>
      <c r="AB3051" s="188"/>
      <c r="AC3051" s="188"/>
      <c r="AD3051" s="188"/>
      <c r="AE3051" s="188"/>
      <c r="AF3051" s="188"/>
      <c r="AG3051" s="188"/>
      <c r="AH3051" s="188"/>
      <c r="AI3051" s="188"/>
    </row>
    <row r="3052">
      <c r="A3052" s="263"/>
      <c r="B3052" s="264"/>
      <c r="C3052" s="265"/>
      <c r="D3052" s="265"/>
      <c r="E3052" s="264"/>
      <c r="F3052" s="265"/>
      <c r="G3052" s="263"/>
      <c r="H3052" s="432"/>
      <c r="I3052" s="282"/>
      <c r="J3052" s="283"/>
      <c r="K3052" s="265"/>
      <c r="L3052" s="265"/>
      <c r="M3052" s="269"/>
      <c r="N3052" s="270"/>
      <c r="O3052" s="271"/>
      <c r="P3052" s="271"/>
      <c r="Q3052" s="272"/>
      <c r="R3052" s="273"/>
      <c r="S3052" s="273"/>
      <c r="T3052" s="273"/>
      <c r="U3052" s="274"/>
      <c r="V3052" s="263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</row>
    <row r="3053">
      <c r="A3053" s="263"/>
      <c r="B3053" s="264"/>
      <c r="C3053" s="265"/>
      <c r="D3053" s="265"/>
      <c r="E3053" s="264"/>
      <c r="F3053" s="265"/>
      <c r="G3053" s="263"/>
      <c r="H3053" s="432"/>
      <c r="I3053" s="282"/>
      <c r="J3053" s="283"/>
      <c r="K3053" s="265"/>
      <c r="L3053" s="265"/>
      <c r="M3053" s="269"/>
      <c r="N3053" s="270"/>
      <c r="O3053" s="271"/>
      <c r="P3053" s="271"/>
      <c r="Q3053" s="272"/>
      <c r="R3053" s="273"/>
      <c r="S3053" s="273"/>
      <c r="T3053" s="273"/>
      <c r="U3053" s="274"/>
      <c r="V3053" s="263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</row>
    <row r="3054">
      <c r="A3054" s="263"/>
      <c r="B3054" s="264"/>
      <c r="C3054" s="265"/>
      <c r="D3054" s="265"/>
      <c r="E3054" s="264"/>
      <c r="F3054" s="265"/>
      <c r="G3054" s="263"/>
      <c r="H3054" s="432"/>
      <c r="I3054" s="282"/>
      <c r="J3054" s="283"/>
      <c r="K3054" s="265"/>
      <c r="L3054" s="265"/>
      <c r="M3054" s="269"/>
      <c r="N3054" s="270"/>
      <c r="O3054" s="271"/>
      <c r="P3054" s="271"/>
      <c r="Q3054" s="272"/>
      <c r="R3054" s="273"/>
      <c r="S3054" s="273"/>
      <c r="T3054" s="273"/>
      <c r="U3054" s="274"/>
      <c r="V3054" s="263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</row>
    <row r="3055">
      <c r="A3055" s="263"/>
      <c r="B3055" s="264"/>
      <c r="C3055" s="265"/>
      <c r="D3055" s="265"/>
      <c r="E3055" s="264"/>
      <c r="F3055" s="265"/>
      <c r="G3055" s="263"/>
      <c r="H3055" s="432"/>
      <c r="I3055" s="282"/>
      <c r="J3055" s="283"/>
      <c r="K3055" s="265"/>
      <c r="L3055" s="265"/>
      <c r="M3055" s="269"/>
      <c r="N3055" s="270"/>
      <c r="O3055" s="271"/>
      <c r="P3055" s="271"/>
      <c r="Q3055" s="272"/>
      <c r="R3055" s="273"/>
      <c r="S3055" s="273"/>
      <c r="T3055" s="273"/>
      <c r="U3055" s="274"/>
      <c r="V3055" s="263"/>
      <c r="W3055" s="188"/>
      <c r="X3055" s="188"/>
      <c r="Y3055" s="188"/>
      <c r="Z3055" s="188"/>
      <c r="AA3055" s="188"/>
      <c r="AB3055" s="188"/>
      <c r="AC3055" s="188"/>
      <c r="AD3055" s="188"/>
      <c r="AE3055" s="188"/>
      <c r="AF3055" s="188"/>
      <c r="AG3055" s="188"/>
      <c r="AH3055" s="188"/>
      <c r="AI3055" s="188"/>
    </row>
    <row r="3056">
      <c r="A3056" s="263"/>
      <c r="B3056" s="264"/>
      <c r="C3056" s="265"/>
      <c r="D3056" s="265"/>
      <c r="E3056" s="264"/>
      <c r="F3056" s="265"/>
      <c r="G3056" s="263"/>
      <c r="H3056" s="432"/>
      <c r="I3056" s="282"/>
      <c r="J3056" s="283"/>
      <c r="K3056" s="265"/>
      <c r="L3056" s="265"/>
      <c r="M3056" s="269"/>
      <c r="N3056" s="270"/>
      <c r="O3056" s="271"/>
      <c r="P3056" s="271"/>
      <c r="Q3056" s="272"/>
      <c r="R3056" s="273"/>
      <c r="S3056" s="273"/>
      <c r="T3056" s="273"/>
      <c r="U3056" s="274"/>
      <c r="V3056" s="263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</row>
    <row r="3057">
      <c r="A3057" s="263"/>
      <c r="B3057" s="264"/>
      <c r="C3057" s="265"/>
      <c r="D3057" s="265"/>
      <c r="E3057" s="264"/>
      <c r="F3057" s="265"/>
      <c r="G3057" s="263"/>
      <c r="H3057" s="432"/>
      <c r="I3057" s="282"/>
      <c r="J3057" s="283"/>
      <c r="K3057" s="265"/>
      <c r="L3057" s="265"/>
      <c r="M3057" s="269"/>
      <c r="N3057" s="270"/>
      <c r="O3057" s="271"/>
      <c r="P3057" s="271"/>
      <c r="Q3057" s="272"/>
      <c r="R3057" s="273"/>
      <c r="S3057" s="273"/>
      <c r="T3057" s="273"/>
      <c r="U3057" s="274"/>
      <c r="V3057" s="263"/>
      <c r="W3057" s="35"/>
      <c r="X3057" s="35"/>
      <c r="Y3057" s="35"/>
      <c r="Z3057" s="35"/>
      <c r="AA3057" s="35"/>
      <c r="AB3057" s="35"/>
      <c r="AC3057" s="35"/>
      <c r="AD3057" s="35"/>
      <c r="AE3057" s="35"/>
      <c r="AF3057" s="35"/>
      <c r="AG3057" s="35"/>
      <c r="AH3057" s="35"/>
      <c r="AI3057" s="35"/>
    </row>
    <row r="3058">
      <c r="A3058" s="263"/>
      <c r="B3058" s="264"/>
      <c r="C3058" s="265"/>
      <c r="D3058" s="265"/>
      <c r="E3058" s="264"/>
      <c r="F3058" s="265"/>
      <c r="G3058" s="263"/>
      <c r="H3058" s="432"/>
      <c r="I3058" s="282"/>
      <c r="J3058" s="283"/>
      <c r="K3058" s="265"/>
      <c r="L3058" s="265"/>
      <c r="M3058" s="269"/>
      <c r="N3058" s="270"/>
      <c r="O3058" s="271"/>
      <c r="P3058" s="271"/>
      <c r="Q3058" s="272"/>
      <c r="R3058" s="273"/>
      <c r="S3058" s="273"/>
      <c r="T3058" s="273"/>
      <c r="U3058" s="274"/>
      <c r="V3058" s="263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</row>
    <row r="3059">
      <c r="A3059" s="263"/>
      <c r="B3059" s="264"/>
      <c r="C3059" s="265"/>
      <c r="D3059" s="265"/>
      <c r="E3059" s="264"/>
      <c r="F3059" s="265"/>
      <c r="G3059" s="263"/>
      <c r="H3059" s="432"/>
      <c r="I3059" s="282"/>
      <c r="J3059" s="283"/>
      <c r="K3059" s="265"/>
      <c r="L3059" s="265"/>
      <c r="M3059" s="269"/>
      <c r="N3059" s="270"/>
      <c r="O3059" s="271"/>
      <c r="P3059" s="271"/>
      <c r="Q3059" s="272"/>
      <c r="R3059" s="273"/>
      <c r="S3059" s="273"/>
      <c r="T3059" s="273"/>
      <c r="U3059" s="274"/>
      <c r="V3059" s="263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</row>
    <row r="3060">
      <c r="A3060" s="263"/>
      <c r="B3060" s="264"/>
      <c r="C3060" s="265"/>
      <c r="D3060" s="265"/>
      <c r="E3060" s="264"/>
      <c r="F3060" s="265"/>
      <c r="G3060" s="263"/>
      <c r="H3060" s="432"/>
      <c r="I3060" s="282"/>
      <c r="J3060" s="283"/>
      <c r="K3060" s="265"/>
      <c r="L3060" s="265"/>
      <c r="M3060" s="269"/>
      <c r="N3060" s="270"/>
      <c r="O3060" s="271"/>
      <c r="P3060" s="271"/>
      <c r="Q3060" s="272"/>
      <c r="R3060" s="273"/>
      <c r="S3060" s="273"/>
      <c r="T3060" s="273"/>
      <c r="U3060" s="274"/>
      <c r="V3060" s="263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</row>
    <row r="3061">
      <c r="A3061" s="263"/>
      <c r="B3061" s="264"/>
      <c r="C3061" s="265"/>
      <c r="D3061" s="265"/>
      <c r="E3061" s="264"/>
      <c r="F3061" s="265"/>
      <c r="G3061" s="263"/>
      <c r="H3061" s="432"/>
      <c r="I3061" s="282"/>
      <c r="J3061" s="283"/>
      <c r="K3061" s="265"/>
      <c r="L3061" s="265"/>
      <c r="M3061" s="269"/>
      <c r="N3061" s="270"/>
      <c r="O3061" s="271"/>
      <c r="P3061" s="271"/>
      <c r="Q3061" s="272"/>
      <c r="R3061" s="273"/>
      <c r="S3061" s="273"/>
      <c r="T3061" s="273"/>
      <c r="U3061" s="274"/>
      <c r="V3061" s="263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</row>
    <row r="3062">
      <c r="A3062" s="263"/>
      <c r="B3062" s="264"/>
      <c r="C3062" s="265"/>
      <c r="D3062" s="265"/>
      <c r="E3062" s="264"/>
      <c r="F3062" s="265"/>
      <c r="G3062" s="263"/>
      <c r="H3062" s="432"/>
      <c r="I3062" s="282"/>
      <c r="J3062" s="283"/>
      <c r="K3062" s="265"/>
      <c r="L3062" s="265"/>
      <c r="M3062" s="269"/>
      <c r="N3062" s="270"/>
      <c r="O3062" s="271"/>
      <c r="P3062" s="271"/>
      <c r="Q3062" s="272"/>
      <c r="R3062" s="273"/>
      <c r="S3062" s="273"/>
      <c r="T3062" s="273"/>
      <c r="U3062" s="274"/>
      <c r="V3062" s="263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</row>
    <row r="3063">
      <c r="A3063" s="263"/>
      <c r="B3063" s="264"/>
      <c r="C3063" s="265"/>
      <c r="D3063" s="265"/>
      <c r="E3063" s="264"/>
      <c r="F3063" s="265"/>
      <c r="G3063" s="263"/>
      <c r="H3063" s="432"/>
      <c r="I3063" s="282"/>
      <c r="J3063" s="283"/>
      <c r="K3063" s="265"/>
      <c r="L3063" s="265"/>
      <c r="M3063" s="269"/>
      <c r="N3063" s="270"/>
      <c r="O3063" s="271"/>
      <c r="P3063" s="271"/>
      <c r="Q3063" s="272"/>
      <c r="R3063" s="273"/>
      <c r="S3063" s="273"/>
      <c r="T3063" s="273"/>
      <c r="U3063" s="274"/>
      <c r="V3063" s="263"/>
      <c r="W3063" s="188"/>
      <c r="X3063" s="188"/>
      <c r="Y3063" s="188"/>
      <c r="Z3063" s="188"/>
      <c r="AA3063" s="188"/>
      <c r="AB3063" s="188"/>
      <c r="AC3063" s="188"/>
      <c r="AD3063" s="188"/>
      <c r="AE3063" s="188"/>
      <c r="AF3063" s="188"/>
      <c r="AG3063" s="188"/>
      <c r="AH3063" s="188"/>
      <c r="AI3063" s="188"/>
    </row>
    <row r="3064">
      <c r="A3064" s="263"/>
      <c r="B3064" s="264"/>
      <c r="C3064" s="265"/>
      <c r="D3064" s="265"/>
      <c r="E3064" s="264"/>
      <c r="F3064" s="265"/>
      <c r="G3064" s="263"/>
      <c r="H3064" s="432"/>
      <c r="I3064" s="282"/>
      <c r="J3064" s="283"/>
      <c r="K3064" s="265"/>
      <c r="L3064" s="265"/>
      <c r="M3064" s="269"/>
      <c r="N3064" s="270"/>
      <c r="O3064" s="271"/>
      <c r="P3064" s="271"/>
      <c r="Q3064" s="272"/>
      <c r="R3064" s="273"/>
      <c r="S3064" s="273"/>
      <c r="T3064" s="273"/>
      <c r="U3064" s="274"/>
      <c r="V3064" s="263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</row>
    <row r="3065">
      <c r="A3065" s="263"/>
      <c r="B3065" s="264"/>
      <c r="C3065" s="265"/>
      <c r="D3065" s="265"/>
      <c r="E3065" s="264"/>
      <c r="F3065" s="265"/>
      <c r="G3065" s="263"/>
      <c r="H3065" s="432"/>
      <c r="I3065" s="282"/>
      <c r="J3065" s="283"/>
      <c r="K3065" s="265"/>
      <c r="L3065" s="265"/>
      <c r="M3065" s="269"/>
      <c r="N3065" s="270"/>
      <c r="O3065" s="271"/>
      <c r="P3065" s="271"/>
      <c r="Q3065" s="272"/>
      <c r="R3065" s="273"/>
      <c r="S3065" s="273"/>
      <c r="T3065" s="273"/>
      <c r="U3065" s="274"/>
      <c r="V3065" s="263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</row>
    <row r="3066">
      <c r="A3066" s="263"/>
      <c r="B3066" s="264"/>
      <c r="C3066" s="265"/>
      <c r="D3066" s="265"/>
      <c r="E3066" s="264"/>
      <c r="F3066" s="265"/>
      <c r="G3066" s="263"/>
      <c r="H3066" s="432"/>
      <c r="I3066" s="282"/>
      <c r="J3066" s="283"/>
      <c r="K3066" s="265"/>
      <c r="L3066" s="265"/>
      <c r="M3066" s="269"/>
      <c r="N3066" s="270"/>
      <c r="O3066" s="271"/>
      <c r="P3066" s="271"/>
      <c r="Q3066" s="272"/>
      <c r="R3066" s="273"/>
      <c r="S3066" s="273"/>
      <c r="T3066" s="273"/>
      <c r="U3066" s="274"/>
      <c r="V3066" s="263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</row>
    <row r="3067">
      <c r="A3067" s="263"/>
      <c r="B3067" s="264"/>
      <c r="C3067" s="265"/>
      <c r="D3067" s="265"/>
      <c r="E3067" s="264"/>
      <c r="F3067" s="265"/>
      <c r="G3067" s="263"/>
      <c r="H3067" s="432"/>
      <c r="I3067" s="282"/>
      <c r="J3067" s="283"/>
      <c r="K3067" s="265"/>
      <c r="L3067" s="265"/>
      <c r="M3067" s="269"/>
      <c r="N3067" s="270"/>
      <c r="O3067" s="271"/>
      <c r="P3067" s="271"/>
      <c r="Q3067" s="272"/>
      <c r="R3067" s="273"/>
      <c r="S3067" s="273"/>
      <c r="T3067" s="273"/>
      <c r="U3067" s="274"/>
      <c r="V3067" s="263"/>
      <c r="W3067" s="35"/>
      <c r="X3067" s="35"/>
      <c r="Y3067" s="35"/>
      <c r="Z3067" s="35"/>
      <c r="AA3067" s="35"/>
      <c r="AB3067" s="35"/>
      <c r="AC3067" s="35"/>
      <c r="AD3067" s="35"/>
      <c r="AE3067" s="35"/>
      <c r="AF3067" s="35"/>
      <c r="AG3067" s="35"/>
      <c r="AH3067" s="35"/>
      <c r="AI3067" s="35"/>
    </row>
    <row r="3068">
      <c r="A3068" s="263"/>
      <c r="B3068" s="264"/>
      <c r="C3068" s="265"/>
      <c r="D3068" s="265"/>
      <c r="E3068" s="264"/>
      <c r="F3068" s="265"/>
      <c r="G3068" s="263"/>
      <c r="H3068" s="432"/>
      <c r="I3068" s="282"/>
      <c r="J3068" s="283"/>
      <c r="K3068" s="265"/>
      <c r="L3068" s="265"/>
      <c r="M3068" s="269"/>
      <c r="N3068" s="270"/>
      <c r="O3068" s="271"/>
      <c r="P3068" s="271"/>
      <c r="Q3068" s="272"/>
      <c r="R3068" s="273"/>
      <c r="S3068" s="273"/>
      <c r="T3068" s="273"/>
      <c r="U3068" s="274"/>
      <c r="V3068" s="263"/>
      <c r="W3068" s="35"/>
      <c r="X3068" s="35"/>
      <c r="Y3068" s="35"/>
      <c r="Z3068" s="35"/>
      <c r="AA3068" s="35"/>
      <c r="AB3068" s="35"/>
      <c r="AC3068" s="35"/>
      <c r="AD3068" s="35"/>
      <c r="AE3068" s="35"/>
      <c r="AF3068" s="35"/>
      <c r="AG3068" s="35"/>
      <c r="AH3068" s="35"/>
      <c r="AI3068" s="35"/>
    </row>
    <row r="3069">
      <c r="A3069" s="263"/>
      <c r="B3069" s="264"/>
      <c r="C3069" s="265"/>
      <c r="D3069" s="265"/>
      <c r="E3069" s="264"/>
      <c r="F3069" s="265"/>
      <c r="G3069" s="263"/>
      <c r="H3069" s="432"/>
      <c r="I3069" s="282"/>
      <c r="J3069" s="283"/>
      <c r="K3069" s="265"/>
      <c r="L3069" s="265"/>
      <c r="M3069" s="269"/>
      <c r="N3069" s="270"/>
      <c r="O3069" s="271"/>
      <c r="P3069" s="271"/>
      <c r="Q3069" s="272"/>
      <c r="R3069" s="273"/>
      <c r="S3069" s="273"/>
      <c r="T3069" s="273"/>
      <c r="U3069" s="274"/>
      <c r="V3069" s="263"/>
      <c r="W3069" s="35"/>
      <c r="X3069" s="35"/>
      <c r="Y3069" s="35"/>
      <c r="Z3069" s="35"/>
      <c r="AA3069" s="35"/>
      <c r="AB3069" s="35"/>
      <c r="AC3069" s="35"/>
      <c r="AD3069" s="35"/>
      <c r="AE3069" s="35"/>
      <c r="AF3069" s="35"/>
      <c r="AG3069" s="35"/>
      <c r="AH3069" s="35"/>
      <c r="AI3069" s="35"/>
    </row>
    <row r="3070">
      <c r="A3070" s="263"/>
      <c r="B3070" s="264"/>
      <c r="C3070" s="265"/>
      <c r="D3070" s="265"/>
      <c r="E3070" s="264"/>
      <c r="F3070" s="265"/>
      <c r="G3070" s="263"/>
      <c r="H3070" s="432"/>
      <c r="I3070" s="282"/>
      <c r="J3070" s="283"/>
      <c r="K3070" s="265"/>
      <c r="L3070" s="265"/>
      <c r="M3070" s="269"/>
      <c r="N3070" s="270"/>
      <c r="O3070" s="271"/>
      <c r="P3070" s="271"/>
      <c r="Q3070" s="272"/>
      <c r="R3070" s="273"/>
      <c r="S3070" s="273"/>
      <c r="T3070" s="273"/>
      <c r="U3070" s="274"/>
      <c r="V3070" s="263"/>
      <c r="W3070" s="188"/>
      <c r="X3070" s="188"/>
      <c r="Y3070" s="188"/>
      <c r="Z3070" s="188"/>
      <c r="AA3070" s="188"/>
      <c r="AB3070" s="188"/>
      <c r="AC3070" s="188"/>
      <c r="AD3070" s="188"/>
      <c r="AE3070" s="188"/>
      <c r="AF3070" s="188"/>
      <c r="AG3070" s="188"/>
      <c r="AH3070" s="188"/>
      <c r="AI3070" s="188"/>
    </row>
    <row r="3071">
      <c r="A3071" s="263"/>
      <c r="B3071" s="264"/>
      <c r="C3071" s="265"/>
      <c r="D3071" s="265"/>
      <c r="E3071" s="264"/>
      <c r="F3071" s="265"/>
      <c r="G3071" s="263"/>
      <c r="H3071" s="432"/>
      <c r="I3071" s="282"/>
      <c r="J3071" s="283"/>
      <c r="K3071" s="265"/>
      <c r="L3071" s="265"/>
      <c r="M3071" s="269"/>
      <c r="N3071" s="270"/>
      <c r="O3071" s="271"/>
      <c r="P3071" s="271"/>
      <c r="Q3071" s="272"/>
      <c r="R3071" s="273"/>
      <c r="S3071" s="273"/>
      <c r="T3071" s="273"/>
      <c r="U3071" s="274"/>
      <c r="V3071" s="263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</row>
    <row r="3072">
      <c r="A3072" s="263"/>
      <c r="B3072" s="264"/>
      <c r="C3072" s="265"/>
      <c r="D3072" s="265"/>
      <c r="E3072" s="264"/>
      <c r="F3072" s="265"/>
      <c r="G3072" s="263"/>
      <c r="H3072" s="432"/>
      <c r="I3072" s="282"/>
      <c r="J3072" s="283"/>
      <c r="K3072" s="265"/>
      <c r="L3072" s="265"/>
      <c r="M3072" s="269"/>
      <c r="N3072" s="270"/>
      <c r="O3072" s="271"/>
      <c r="P3072" s="271"/>
      <c r="Q3072" s="272"/>
      <c r="R3072" s="273"/>
      <c r="S3072" s="273"/>
      <c r="T3072" s="273"/>
      <c r="U3072" s="274"/>
      <c r="V3072" s="263"/>
      <c r="W3072" s="35"/>
      <c r="X3072" s="35"/>
      <c r="Y3072" s="35"/>
      <c r="Z3072" s="35"/>
      <c r="AA3072" s="35"/>
      <c r="AB3072" s="35"/>
      <c r="AC3072" s="35"/>
      <c r="AD3072" s="35"/>
      <c r="AE3072" s="35"/>
      <c r="AF3072" s="35"/>
      <c r="AG3072" s="35"/>
      <c r="AH3072" s="35"/>
      <c r="AI3072" s="35"/>
    </row>
    <row r="3073">
      <c r="A3073" s="263"/>
      <c r="B3073" s="264"/>
      <c r="C3073" s="265"/>
      <c r="D3073" s="265"/>
      <c r="E3073" s="264"/>
      <c r="F3073" s="265"/>
      <c r="G3073" s="263"/>
      <c r="H3073" s="432"/>
      <c r="I3073" s="282"/>
      <c r="J3073" s="283"/>
      <c r="K3073" s="265"/>
      <c r="L3073" s="265"/>
      <c r="M3073" s="269"/>
      <c r="N3073" s="270"/>
      <c r="O3073" s="271"/>
      <c r="P3073" s="271"/>
      <c r="Q3073" s="272"/>
      <c r="R3073" s="273"/>
      <c r="S3073" s="273"/>
      <c r="T3073" s="273"/>
      <c r="U3073" s="274"/>
      <c r="V3073" s="263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</row>
    <row r="3074">
      <c r="A3074" s="263"/>
      <c r="B3074" s="264"/>
      <c r="C3074" s="265"/>
      <c r="D3074" s="265"/>
      <c r="E3074" s="264"/>
      <c r="F3074" s="265"/>
      <c r="G3074" s="263"/>
      <c r="H3074" s="432"/>
      <c r="I3074" s="282"/>
      <c r="J3074" s="283"/>
      <c r="K3074" s="265"/>
      <c r="L3074" s="265"/>
      <c r="M3074" s="269"/>
      <c r="N3074" s="270"/>
      <c r="O3074" s="271"/>
      <c r="P3074" s="271"/>
      <c r="Q3074" s="272"/>
      <c r="R3074" s="273"/>
      <c r="S3074" s="273"/>
      <c r="T3074" s="273"/>
      <c r="U3074" s="274"/>
      <c r="V3074" s="263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</row>
    <row r="3075">
      <c r="A3075" s="263"/>
      <c r="B3075" s="264"/>
      <c r="C3075" s="265"/>
      <c r="D3075" s="265"/>
      <c r="E3075" s="264"/>
      <c r="F3075" s="265"/>
      <c r="G3075" s="263"/>
      <c r="H3075" s="432"/>
      <c r="I3075" s="282"/>
      <c r="J3075" s="283"/>
      <c r="K3075" s="265"/>
      <c r="L3075" s="265"/>
      <c r="M3075" s="269"/>
      <c r="N3075" s="270"/>
      <c r="O3075" s="271"/>
      <c r="P3075" s="271"/>
      <c r="Q3075" s="272"/>
      <c r="R3075" s="273"/>
      <c r="S3075" s="273"/>
      <c r="T3075" s="273"/>
      <c r="U3075" s="274"/>
      <c r="V3075" s="263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</row>
    <row r="3076">
      <c r="A3076" s="263"/>
      <c r="B3076" s="264"/>
      <c r="C3076" s="265"/>
      <c r="D3076" s="265"/>
      <c r="E3076" s="264"/>
      <c r="F3076" s="265"/>
      <c r="G3076" s="263"/>
      <c r="H3076" s="432"/>
      <c r="I3076" s="282"/>
      <c r="J3076" s="283"/>
      <c r="K3076" s="265"/>
      <c r="L3076" s="265"/>
      <c r="M3076" s="269"/>
      <c r="N3076" s="270"/>
      <c r="O3076" s="271"/>
      <c r="P3076" s="271"/>
      <c r="Q3076" s="272"/>
      <c r="R3076" s="273"/>
      <c r="S3076" s="273"/>
      <c r="T3076" s="273"/>
      <c r="U3076" s="274"/>
      <c r="V3076" s="263"/>
      <c r="W3076" s="188"/>
      <c r="X3076" s="188"/>
      <c r="Y3076" s="188"/>
      <c r="Z3076" s="188"/>
      <c r="AA3076" s="188"/>
      <c r="AB3076" s="188"/>
      <c r="AC3076" s="188"/>
      <c r="AD3076" s="188"/>
      <c r="AE3076" s="188"/>
      <c r="AF3076" s="188"/>
      <c r="AG3076" s="188"/>
      <c r="AH3076" s="188"/>
      <c r="AI3076" s="188"/>
    </row>
    <row r="3077">
      <c r="A3077" s="263"/>
      <c r="B3077" s="264"/>
      <c r="C3077" s="265"/>
      <c r="D3077" s="265"/>
      <c r="E3077" s="264"/>
      <c r="F3077" s="265"/>
      <c r="G3077" s="263"/>
      <c r="H3077" s="432"/>
      <c r="I3077" s="282"/>
      <c r="J3077" s="283"/>
      <c r="K3077" s="265"/>
      <c r="L3077" s="265"/>
      <c r="M3077" s="269"/>
      <c r="N3077" s="270"/>
      <c r="O3077" s="271"/>
      <c r="P3077" s="271"/>
      <c r="Q3077" s="272"/>
      <c r="R3077" s="273"/>
      <c r="S3077" s="273"/>
      <c r="T3077" s="273"/>
      <c r="U3077" s="274"/>
      <c r="V3077" s="263"/>
      <c r="W3077" s="35"/>
      <c r="X3077" s="35"/>
      <c r="Y3077" s="35"/>
      <c r="Z3077" s="35"/>
      <c r="AA3077" s="35"/>
      <c r="AB3077" s="35"/>
      <c r="AC3077" s="35"/>
      <c r="AD3077" s="35"/>
      <c r="AE3077" s="35"/>
      <c r="AF3077" s="35"/>
      <c r="AG3077" s="35"/>
      <c r="AH3077" s="35"/>
      <c r="AI3077" s="35"/>
    </row>
    <row r="3078">
      <c r="A3078" s="263"/>
      <c r="B3078" s="264"/>
      <c r="C3078" s="265"/>
      <c r="D3078" s="265"/>
      <c r="E3078" s="264"/>
      <c r="F3078" s="265"/>
      <c r="G3078" s="263"/>
      <c r="H3078" s="432"/>
      <c r="I3078" s="282"/>
      <c r="J3078" s="283"/>
      <c r="K3078" s="265"/>
      <c r="L3078" s="265"/>
      <c r="M3078" s="269"/>
      <c r="N3078" s="270"/>
      <c r="O3078" s="271"/>
      <c r="P3078" s="271"/>
      <c r="Q3078" s="272"/>
      <c r="R3078" s="273"/>
      <c r="S3078" s="273"/>
      <c r="T3078" s="273"/>
      <c r="U3078" s="274"/>
      <c r="V3078" s="263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</row>
    <row r="3079">
      <c r="A3079" s="263"/>
      <c r="B3079" s="264"/>
      <c r="C3079" s="265"/>
      <c r="D3079" s="265"/>
      <c r="E3079" s="264"/>
      <c r="F3079" s="265"/>
      <c r="G3079" s="263"/>
      <c r="H3079" s="432"/>
      <c r="I3079" s="282"/>
      <c r="J3079" s="283"/>
      <c r="K3079" s="265"/>
      <c r="L3079" s="265"/>
      <c r="M3079" s="269"/>
      <c r="N3079" s="270"/>
      <c r="O3079" s="271"/>
      <c r="P3079" s="271"/>
      <c r="Q3079" s="272"/>
      <c r="R3079" s="273"/>
      <c r="S3079" s="273"/>
      <c r="T3079" s="273"/>
      <c r="U3079" s="274"/>
      <c r="V3079" s="263"/>
      <c r="W3079" s="35"/>
      <c r="X3079" s="35"/>
      <c r="Y3079" s="35"/>
      <c r="Z3079" s="35"/>
      <c r="AA3079" s="35"/>
      <c r="AB3079" s="35"/>
      <c r="AC3079" s="35"/>
      <c r="AD3079" s="35"/>
      <c r="AE3079" s="35"/>
      <c r="AF3079" s="35"/>
      <c r="AG3079" s="35"/>
      <c r="AH3079" s="35"/>
      <c r="AI3079" s="35"/>
    </row>
    <row r="3080">
      <c r="A3080" s="263"/>
      <c r="B3080" s="264"/>
      <c r="C3080" s="265"/>
      <c r="D3080" s="265"/>
      <c r="E3080" s="264"/>
      <c r="F3080" s="265"/>
      <c r="G3080" s="263"/>
      <c r="H3080" s="432"/>
      <c r="I3080" s="282"/>
      <c r="J3080" s="283"/>
      <c r="K3080" s="265"/>
      <c r="L3080" s="265"/>
      <c r="M3080" s="269"/>
      <c r="N3080" s="270"/>
      <c r="O3080" s="271"/>
      <c r="P3080" s="271"/>
      <c r="Q3080" s="272"/>
      <c r="R3080" s="273"/>
      <c r="S3080" s="273"/>
      <c r="T3080" s="273"/>
      <c r="U3080" s="274"/>
      <c r="V3080" s="263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</row>
    <row r="3081">
      <c r="A3081" s="263"/>
      <c r="B3081" s="264"/>
      <c r="C3081" s="265"/>
      <c r="D3081" s="265"/>
      <c r="E3081" s="264"/>
      <c r="F3081" s="265"/>
      <c r="G3081" s="263"/>
      <c r="H3081" s="432"/>
      <c r="I3081" s="282"/>
      <c r="J3081" s="283"/>
      <c r="K3081" s="265"/>
      <c r="L3081" s="265"/>
      <c r="M3081" s="269"/>
      <c r="N3081" s="270"/>
      <c r="O3081" s="271"/>
      <c r="P3081" s="271"/>
      <c r="Q3081" s="272"/>
      <c r="R3081" s="273"/>
      <c r="S3081" s="273"/>
      <c r="T3081" s="273"/>
      <c r="U3081" s="274"/>
      <c r="V3081" s="263"/>
      <c r="W3081" s="35"/>
      <c r="X3081" s="35"/>
      <c r="Y3081" s="35"/>
      <c r="Z3081" s="35"/>
      <c r="AA3081" s="35"/>
      <c r="AB3081" s="35"/>
      <c r="AC3081" s="35"/>
      <c r="AD3081" s="35"/>
      <c r="AE3081" s="35"/>
      <c r="AF3081" s="35"/>
      <c r="AG3081" s="35"/>
      <c r="AH3081" s="35"/>
      <c r="AI3081" s="35"/>
    </row>
    <row r="3082">
      <c r="A3082" s="263"/>
      <c r="B3082" s="264"/>
      <c r="C3082" s="265"/>
      <c r="D3082" s="265"/>
      <c r="E3082" s="264"/>
      <c r="F3082" s="265"/>
      <c r="G3082" s="263"/>
      <c r="H3082" s="432"/>
      <c r="I3082" s="282"/>
      <c r="J3082" s="283"/>
      <c r="K3082" s="265"/>
      <c r="L3082" s="265"/>
      <c r="M3082" s="269"/>
      <c r="N3082" s="270"/>
      <c r="O3082" s="271"/>
      <c r="P3082" s="271"/>
      <c r="Q3082" s="272"/>
      <c r="R3082" s="273"/>
      <c r="S3082" s="273"/>
      <c r="T3082" s="273"/>
      <c r="U3082" s="274"/>
      <c r="V3082" s="263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</row>
    <row r="3083">
      <c r="A3083" s="263"/>
      <c r="B3083" s="264"/>
      <c r="C3083" s="265"/>
      <c r="D3083" s="265"/>
      <c r="E3083" s="264"/>
      <c r="F3083" s="265"/>
      <c r="G3083" s="263"/>
      <c r="H3083" s="432"/>
      <c r="I3083" s="282"/>
      <c r="J3083" s="283"/>
      <c r="K3083" s="265"/>
      <c r="L3083" s="265"/>
      <c r="M3083" s="269"/>
      <c r="N3083" s="270"/>
      <c r="O3083" s="271"/>
      <c r="P3083" s="271"/>
      <c r="Q3083" s="272"/>
      <c r="R3083" s="273"/>
      <c r="S3083" s="273"/>
      <c r="T3083" s="273"/>
      <c r="U3083" s="274"/>
      <c r="V3083" s="263"/>
      <c r="W3083" s="188"/>
      <c r="X3083" s="188"/>
      <c r="Y3083" s="188"/>
      <c r="Z3083" s="188"/>
      <c r="AA3083" s="188"/>
      <c r="AB3083" s="188"/>
      <c r="AC3083" s="188"/>
      <c r="AD3083" s="188"/>
      <c r="AE3083" s="188"/>
      <c r="AF3083" s="188"/>
      <c r="AG3083" s="188"/>
      <c r="AH3083" s="188"/>
      <c r="AI3083" s="188"/>
    </row>
    <row r="3084">
      <c r="A3084" s="263"/>
      <c r="B3084" s="264"/>
      <c r="C3084" s="265"/>
      <c r="D3084" s="265"/>
      <c r="E3084" s="264"/>
      <c r="F3084" s="265"/>
      <c r="G3084" s="263"/>
      <c r="H3084" s="432"/>
      <c r="I3084" s="282"/>
      <c r="J3084" s="283"/>
      <c r="K3084" s="265"/>
      <c r="L3084" s="265"/>
      <c r="M3084" s="269"/>
      <c r="N3084" s="270"/>
      <c r="O3084" s="271"/>
      <c r="P3084" s="271"/>
      <c r="Q3084" s="272"/>
      <c r="R3084" s="273"/>
      <c r="S3084" s="273"/>
      <c r="T3084" s="273"/>
      <c r="U3084" s="274"/>
      <c r="V3084" s="263"/>
      <c r="W3084" s="188"/>
      <c r="X3084" s="188"/>
      <c r="Y3084" s="188"/>
      <c r="Z3084" s="188"/>
      <c r="AA3084" s="188"/>
      <c r="AB3084" s="188"/>
      <c r="AC3084" s="188"/>
      <c r="AD3084" s="188"/>
      <c r="AE3084" s="188"/>
      <c r="AF3084" s="188"/>
      <c r="AG3084" s="188"/>
      <c r="AH3084" s="188"/>
      <c r="AI3084" s="188"/>
    </row>
    <row r="3085">
      <c r="A3085" s="263"/>
      <c r="B3085" s="264"/>
      <c r="C3085" s="265"/>
      <c r="D3085" s="265"/>
      <c r="E3085" s="264"/>
      <c r="F3085" s="265"/>
      <c r="G3085" s="263"/>
      <c r="H3085" s="432"/>
      <c r="I3085" s="282"/>
      <c r="J3085" s="283"/>
      <c r="K3085" s="265"/>
      <c r="L3085" s="265"/>
      <c r="M3085" s="269"/>
      <c r="N3085" s="270"/>
      <c r="O3085" s="271"/>
      <c r="P3085" s="271"/>
      <c r="Q3085" s="272"/>
      <c r="R3085" s="273"/>
      <c r="S3085" s="273"/>
      <c r="T3085" s="273"/>
      <c r="U3085" s="274"/>
      <c r="V3085" s="263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</row>
    <row r="3086">
      <c r="A3086" s="263"/>
      <c r="B3086" s="264"/>
      <c r="C3086" s="265"/>
      <c r="D3086" s="265"/>
      <c r="E3086" s="264"/>
      <c r="F3086" s="265"/>
      <c r="G3086" s="263"/>
      <c r="H3086" s="432"/>
      <c r="I3086" s="282"/>
      <c r="J3086" s="283"/>
      <c r="K3086" s="265"/>
      <c r="L3086" s="265"/>
      <c r="M3086" s="269"/>
      <c r="N3086" s="270"/>
      <c r="O3086" s="271"/>
      <c r="P3086" s="271"/>
      <c r="Q3086" s="272"/>
      <c r="R3086" s="273"/>
      <c r="S3086" s="273"/>
      <c r="T3086" s="273"/>
      <c r="U3086" s="274"/>
      <c r="V3086" s="263"/>
      <c r="W3086" s="188"/>
      <c r="X3086" s="188"/>
      <c r="Y3086" s="188"/>
      <c r="Z3086" s="188"/>
      <c r="AA3086" s="188"/>
      <c r="AB3086" s="188"/>
      <c r="AC3086" s="188"/>
      <c r="AD3086" s="188"/>
      <c r="AE3086" s="188"/>
      <c r="AF3086" s="188"/>
      <c r="AG3086" s="188"/>
      <c r="AH3086" s="188"/>
      <c r="AI3086" s="188"/>
    </row>
    <row r="3087">
      <c r="A3087" s="263"/>
      <c r="B3087" s="264"/>
      <c r="C3087" s="265"/>
      <c r="D3087" s="265"/>
      <c r="E3087" s="264"/>
      <c r="F3087" s="265"/>
      <c r="G3087" s="263"/>
      <c r="H3087" s="432"/>
      <c r="I3087" s="282"/>
      <c r="J3087" s="283"/>
      <c r="K3087" s="265"/>
      <c r="L3087" s="265"/>
      <c r="M3087" s="269"/>
      <c r="N3087" s="270"/>
      <c r="O3087" s="271"/>
      <c r="P3087" s="271"/>
      <c r="Q3087" s="272"/>
      <c r="R3087" s="273"/>
      <c r="S3087" s="273"/>
      <c r="T3087" s="273"/>
      <c r="U3087" s="274"/>
      <c r="V3087" s="263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</row>
    <row r="3088">
      <c r="A3088" s="263"/>
      <c r="B3088" s="264"/>
      <c r="C3088" s="265"/>
      <c r="D3088" s="265"/>
      <c r="E3088" s="264"/>
      <c r="F3088" s="265"/>
      <c r="G3088" s="263"/>
      <c r="H3088" s="432"/>
      <c r="I3088" s="282"/>
      <c r="J3088" s="283"/>
      <c r="K3088" s="265"/>
      <c r="L3088" s="265"/>
      <c r="M3088" s="269"/>
      <c r="N3088" s="270"/>
      <c r="O3088" s="271"/>
      <c r="P3088" s="271"/>
      <c r="Q3088" s="272"/>
      <c r="R3088" s="273"/>
      <c r="S3088" s="273"/>
      <c r="T3088" s="273"/>
      <c r="U3088" s="274"/>
      <c r="V3088" s="263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</row>
    <row r="3089">
      <c r="A3089" s="263"/>
      <c r="B3089" s="264"/>
      <c r="C3089" s="265"/>
      <c r="D3089" s="265"/>
      <c r="E3089" s="264"/>
      <c r="F3089" s="265"/>
      <c r="G3089" s="263"/>
      <c r="H3089" s="432"/>
      <c r="I3089" s="282"/>
      <c r="J3089" s="283"/>
      <c r="K3089" s="265"/>
      <c r="L3089" s="265"/>
      <c r="M3089" s="269"/>
      <c r="N3089" s="270"/>
      <c r="O3089" s="271"/>
      <c r="P3089" s="271"/>
      <c r="Q3089" s="272"/>
      <c r="R3089" s="273"/>
      <c r="S3089" s="273"/>
      <c r="T3089" s="273"/>
      <c r="U3089" s="274"/>
      <c r="V3089" s="263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</row>
    <row r="3090">
      <c r="A3090" s="263"/>
      <c r="B3090" s="264"/>
      <c r="C3090" s="265"/>
      <c r="D3090" s="265"/>
      <c r="E3090" s="264"/>
      <c r="F3090" s="265"/>
      <c r="G3090" s="263"/>
      <c r="H3090" s="432"/>
      <c r="I3090" s="282"/>
      <c r="J3090" s="283"/>
      <c r="K3090" s="265"/>
      <c r="L3090" s="265"/>
      <c r="M3090" s="269"/>
      <c r="N3090" s="270"/>
      <c r="O3090" s="271"/>
      <c r="P3090" s="271"/>
      <c r="Q3090" s="272"/>
      <c r="R3090" s="273"/>
      <c r="S3090" s="273"/>
      <c r="T3090" s="273"/>
      <c r="U3090" s="274"/>
      <c r="V3090" s="263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</row>
    <row r="3091">
      <c r="A3091" s="263"/>
      <c r="B3091" s="264"/>
      <c r="C3091" s="265"/>
      <c r="D3091" s="265"/>
      <c r="E3091" s="264"/>
      <c r="F3091" s="265"/>
      <c r="G3091" s="263"/>
      <c r="H3091" s="432"/>
      <c r="I3091" s="282"/>
      <c r="J3091" s="283"/>
      <c r="K3091" s="265"/>
      <c r="L3091" s="265"/>
      <c r="M3091" s="269"/>
      <c r="N3091" s="270"/>
      <c r="O3091" s="271"/>
      <c r="P3091" s="271"/>
      <c r="Q3091" s="272"/>
      <c r="R3091" s="273"/>
      <c r="S3091" s="273"/>
      <c r="T3091" s="273"/>
      <c r="U3091" s="274"/>
      <c r="V3091" s="263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</row>
    <row r="3092">
      <c r="A3092" s="263"/>
      <c r="B3092" s="264"/>
      <c r="C3092" s="265"/>
      <c r="D3092" s="265"/>
      <c r="E3092" s="264"/>
      <c r="F3092" s="265"/>
      <c r="G3092" s="263"/>
      <c r="H3092" s="432"/>
      <c r="I3092" s="282"/>
      <c r="J3092" s="283"/>
      <c r="K3092" s="265"/>
      <c r="L3092" s="265"/>
      <c r="M3092" s="269"/>
      <c r="N3092" s="270"/>
      <c r="O3092" s="271"/>
      <c r="P3092" s="271"/>
      <c r="Q3092" s="272"/>
      <c r="R3092" s="273"/>
      <c r="S3092" s="273"/>
      <c r="T3092" s="273"/>
      <c r="U3092" s="274"/>
      <c r="V3092" s="263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</row>
    <row r="3093">
      <c r="A3093" s="263"/>
      <c r="B3093" s="264"/>
      <c r="C3093" s="265"/>
      <c r="D3093" s="265"/>
      <c r="E3093" s="264"/>
      <c r="F3093" s="265"/>
      <c r="G3093" s="263"/>
      <c r="H3093" s="432"/>
      <c r="I3093" s="282"/>
      <c r="J3093" s="283"/>
      <c r="K3093" s="265"/>
      <c r="L3093" s="265"/>
      <c r="M3093" s="269"/>
      <c r="N3093" s="270"/>
      <c r="O3093" s="271"/>
      <c r="P3093" s="271"/>
      <c r="Q3093" s="272"/>
      <c r="R3093" s="273"/>
      <c r="S3093" s="273"/>
      <c r="T3093" s="273"/>
      <c r="U3093" s="274"/>
      <c r="V3093" s="263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</row>
    <row r="3094">
      <c r="A3094" s="263"/>
      <c r="B3094" s="264"/>
      <c r="C3094" s="265"/>
      <c r="D3094" s="265"/>
      <c r="E3094" s="264"/>
      <c r="F3094" s="265"/>
      <c r="G3094" s="263"/>
      <c r="H3094" s="432"/>
      <c r="I3094" s="282"/>
      <c r="J3094" s="283"/>
      <c r="K3094" s="265"/>
      <c r="L3094" s="265"/>
      <c r="M3094" s="269"/>
      <c r="N3094" s="270"/>
      <c r="O3094" s="271"/>
      <c r="P3094" s="271"/>
      <c r="Q3094" s="272"/>
      <c r="R3094" s="273"/>
      <c r="S3094" s="273"/>
      <c r="T3094" s="273"/>
      <c r="U3094" s="274"/>
      <c r="V3094" s="263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</row>
    <row r="3095">
      <c r="A3095" s="263"/>
      <c r="B3095" s="264"/>
      <c r="C3095" s="265"/>
      <c r="D3095" s="265"/>
      <c r="E3095" s="264"/>
      <c r="F3095" s="265"/>
      <c r="G3095" s="263"/>
      <c r="H3095" s="432"/>
      <c r="I3095" s="282"/>
      <c r="J3095" s="283"/>
      <c r="K3095" s="265"/>
      <c r="L3095" s="265"/>
      <c r="M3095" s="269"/>
      <c r="N3095" s="270"/>
      <c r="O3095" s="271"/>
      <c r="P3095" s="271"/>
      <c r="Q3095" s="272"/>
      <c r="R3095" s="273"/>
      <c r="S3095" s="273"/>
      <c r="T3095" s="273"/>
      <c r="U3095" s="274"/>
      <c r="V3095" s="263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</row>
    <row r="3096">
      <c r="A3096" s="263"/>
      <c r="B3096" s="264"/>
      <c r="C3096" s="265"/>
      <c r="D3096" s="265"/>
      <c r="E3096" s="264"/>
      <c r="F3096" s="265"/>
      <c r="G3096" s="263"/>
      <c r="H3096" s="432"/>
      <c r="I3096" s="282"/>
      <c r="J3096" s="283"/>
      <c r="K3096" s="265"/>
      <c r="L3096" s="265"/>
      <c r="M3096" s="269"/>
      <c r="N3096" s="270"/>
      <c r="O3096" s="271"/>
      <c r="P3096" s="271"/>
      <c r="Q3096" s="272"/>
      <c r="R3096" s="273"/>
      <c r="S3096" s="273"/>
      <c r="T3096" s="273"/>
      <c r="U3096" s="274"/>
      <c r="V3096" s="263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</row>
    <row r="3097">
      <c r="A3097" s="263"/>
      <c r="B3097" s="264"/>
      <c r="C3097" s="265"/>
      <c r="D3097" s="265"/>
      <c r="E3097" s="264"/>
      <c r="F3097" s="265"/>
      <c r="G3097" s="263"/>
      <c r="H3097" s="432"/>
      <c r="I3097" s="282"/>
      <c r="J3097" s="283"/>
      <c r="K3097" s="265"/>
      <c r="L3097" s="265"/>
      <c r="M3097" s="269"/>
      <c r="N3097" s="270"/>
      <c r="O3097" s="271"/>
      <c r="P3097" s="271"/>
      <c r="Q3097" s="272"/>
      <c r="R3097" s="273"/>
      <c r="S3097" s="273"/>
      <c r="T3097" s="273"/>
      <c r="U3097" s="274"/>
      <c r="V3097" s="263"/>
      <c r="W3097" s="35"/>
      <c r="X3097" s="35"/>
      <c r="Y3097" s="35"/>
      <c r="Z3097" s="35"/>
      <c r="AA3097" s="35"/>
      <c r="AB3097" s="35"/>
      <c r="AC3097" s="35"/>
      <c r="AD3097" s="35"/>
      <c r="AE3097" s="35"/>
      <c r="AF3097" s="35"/>
      <c r="AG3097" s="35"/>
      <c r="AH3097" s="35"/>
      <c r="AI3097" s="35"/>
    </row>
    <row r="3098">
      <c r="A3098" s="263"/>
      <c r="B3098" s="264"/>
      <c r="C3098" s="265"/>
      <c r="D3098" s="265"/>
      <c r="E3098" s="264"/>
      <c r="F3098" s="265"/>
      <c r="G3098" s="263"/>
      <c r="H3098" s="432"/>
      <c r="I3098" s="282"/>
      <c r="J3098" s="283"/>
      <c r="K3098" s="265"/>
      <c r="L3098" s="265"/>
      <c r="M3098" s="269"/>
      <c r="N3098" s="270"/>
      <c r="O3098" s="271"/>
      <c r="P3098" s="271"/>
      <c r="Q3098" s="272"/>
      <c r="R3098" s="273"/>
      <c r="S3098" s="273"/>
      <c r="T3098" s="273"/>
      <c r="U3098" s="274"/>
      <c r="V3098" s="263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</row>
    <row r="3099">
      <c r="A3099" s="263"/>
      <c r="B3099" s="264"/>
      <c r="C3099" s="265"/>
      <c r="D3099" s="265"/>
      <c r="E3099" s="264"/>
      <c r="F3099" s="265"/>
      <c r="G3099" s="263"/>
      <c r="H3099" s="432"/>
      <c r="I3099" s="282"/>
      <c r="J3099" s="283"/>
      <c r="K3099" s="265"/>
      <c r="L3099" s="265"/>
      <c r="M3099" s="269"/>
      <c r="N3099" s="270"/>
      <c r="O3099" s="271"/>
      <c r="P3099" s="271"/>
      <c r="Q3099" s="272"/>
      <c r="R3099" s="273"/>
      <c r="S3099" s="273"/>
      <c r="T3099" s="273"/>
      <c r="U3099" s="274"/>
      <c r="V3099" s="263"/>
      <c r="W3099" s="35"/>
      <c r="X3099" s="35"/>
      <c r="Y3099" s="35"/>
      <c r="Z3099" s="35"/>
      <c r="AA3099" s="35"/>
      <c r="AB3099" s="35"/>
      <c r="AC3099" s="35"/>
      <c r="AD3099" s="35"/>
      <c r="AE3099" s="35"/>
      <c r="AF3099" s="35"/>
      <c r="AG3099" s="35"/>
      <c r="AH3099" s="35"/>
      <c r="AI3099" s="35"/>
    </row>
    <row r="3100">
      <c r="A3100" s="263"/>
      <c r="B3100" s="264"/>
      <c r="C3100" s="265"/>
      <c r="D3100" s="265"/>
      <c r="E3100" s="264"/>
      <c r="F3100" s="265"/>
      <c r="G3100" s="263"/>
      <c r="H3100" s="432"/>
      <c r="I3100" s="282"/>
      <c r="J3100" s="283"/>
      <c r="K3100" s="265"/>
      <c r="L3100" s="265"/>
      <c r="M3100" s="269"/>
      <c r="N3100" s="270"/>
      <c r="O3100" s="271"/>
      <c r="P3100" s="271"/>
      <c r="Q3100" s="272"/>
      <c r="R3100" s="273"/>
      <c r="S3100" s="273"/>
      <c r="T3100" s="273"/>
      <c r="U3100" s="274"/>
      <c r="V3100" s="263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</row>
    <row r="3101">
      <c r="A3101" s="263"/>
      <c r="B3101" s="264"/>
      <c r="C3101" s="265"/>
      <c r="D3101" s="265"/>
      <c r="E3101" s="264"/>
      <c r="F3101" s="265"/>
      <c r="G3101" s="263"/>
      <c r="H3101" s="432"/>
      <c r="I3101" s="282"/>
      <c r="J3101" s="283"/>
      <c r="K3101" s="265"/>
      <c r="L3101" s="265"/>
      <c r="M3101" s="269"/>
      <c r="N3101" s="270"/>
      <c r="O3101" s="271"/>
      <c r="P3101" s="271"/>
      <c r="Q3101" s="272"/>
      <c r="R3101" s="273"/>
      <c r="S3101" s="273"/>
      <c r="T3101" s="273"/>
      <c r="U3101" s="274"/>
      <c r="V3101" s="263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</row>
    <row r="3102">
      <c r="A3102" s="263"/>
      <c r="B3102" s="264"/>
      <c r="C3102" s="265"/>
      <c r="D3102" s="265"/>
      <c r="E3102" s="264"/>
      <c r="F3102" s="265"/>
      <c r="G3102" s="263"/>
      <c r="H3102" s="432"/>
      <c r="I3102" s="282"/>
      <c r="J3102" s="283"/>
      <c r="K3102" s="265"/>
      <c r="L3102" s="265"/>
      <c r="M3102" s="269"/>
      <c r="N3102" s="270"/>
      <c r="O3102" s="271"/>
      <c r="P3102" s="271"/>
      <c r="Q3102" s="272"/>
      <c r="R3102" s="273"/>
      <c r="S3102" s="273"/>
      <c r="T3102" s="273"/>
      <c r="U3102" s="274"/>
      <c r="V3102" s="263"/>
      <c r="W3102" s="35"/>
      <c r="X3102" s="35"/>
      <c r="Y3102" s="35"/>
      <c r="Z3102" s="35"/>
      <c r="AA3102" s="35"/>
      <c r="AB3102" s="35"/>
      <c r="AC3102" s="35"/>
      <c r="AD3102" s="35"/>
      <c r="AE3102" s="35"/>
      <c r="AF3102" s="35"/>
      <c r="AG3102" s="35"/>
      <c r="AH3102" s="35"/>
      <c r="AI3102" s="35"/>
    </row>
    <row r="3103">
      <c r="A3103" s="263"/>
      <c r="B3103" s="264"/>
      <c r="C3103" s="265"/>
      <c r="D3103" s="265"/>
      <c r="E3103" s="264"/>
      <c r="F3103" s="265"/>
      <c r="G3103" s="263"/>
      <c r="H3103" s="432"/>
      <c r="I3103" s="282"/>
      <c r="J3103" s="283"/>
      <c r="K3103" s="265"/>
      <c r="L3103" s="265"/>
      <c r="M3103" s="269"/>
      <c r="N3103" s="270"/>
      <c r="O3103" s="271"/>
      <c r="P3103" s="271"/>
      <c r="Q3103" s="272"/>
      <c r="R3103" s="273"/>
      <c r="S3103" s="273"/>
      <c r="T3103" s="273"/>
      <c r="U3103" s="274"/>
      <c r="V3103" s="263"/>
      <c r="W3103" s="188"/>
      <c r="X3103" s="188"/>
      <c r="Y3103" s="188"/>
      <c r="Z3103" s="188"/>
      <c r="AA3103" s="188"/>
      <c r="AB3103" s="188"/>
      <c r="AC3103" s="188"/>
      <c r="AD3103" s="188"/>
      <c r="AE3103" s="188"/>
      <c r="AF3103" s="188"/>
      <c r="AG3103" s="188"/>
      <c r="AH3103" s="188"/>
      <c r="AI3103" s="188"/>
    </row>
    <row r="3104">
      <c r="A3104" s="263"/>
      <c r="B3104" s="264"/>
      <c r="C3104" s="265"/>
      <c r="D3104" s="265"/>
      <c r="E3104" s="264"/>
      <c r="F3104" s="265"/>
      <c r="G3104" s="263"/>
      <c r="H3104" s="432"/>
      <c r="I3104" s="282"/>
      <c r="J3104" s="283"/>
      <c r="K3104" s="265"/>
      <c r="L3104" s="265"/>
      <c r="M3104" s="269"/>
      <c r="N3104" s="270"/>
      <c r="O3104" s="271"/>
      <c r="P3104" s="271"/>
      <c r="Q3104" s="272"/>
      <c r="R3104" s="273"/>
      <c r="S3104" s="273"/>
      <c r="T3104" s="273"/>
      <c r="U3104" s="274"/>
      <c r="V3104" s="263"/>
      <c r="W3104" s="35"/>
      <c r="X3104" s="35"/>
      <c r="Y3104" s="35"/>
      <c r="Z3104" s="35"/>
      <c r="AA3104" s="35"/>
      <c r="AB3104" s="35"/>
      <c r="AC3104" s="35"/>
      <c r="AD3104" s="35"/>
      <c r="AE3104" s="35"/>
      <c r="AF3104" s="35"/>
      <c r="AG3104" s="35"/>
      <c r="AH3104" s="35"/>
      <c r="AI3104" s="35"/>
    </row>
    <row r="3105">
      <c r="A3105" s="263"/>
      <c r="B3105" s="264"/>
      <c r="C3105" s="265"/>
      <c r="D3105" s="265"/>
      <c r="E3105" s="264"/>
      <c r="F3105" s="265"/>
      <c r="G3105" s="263"/>
      <c r="H3105" s="432"/>
      <c r="I3105" s="282"/>
      <c r="J3105" s="283"/>
      <c r="K3105" s="265"/>
      <c r="L3105" s="265"/>
      <c r="M3105" s="269"/>
      <c r="N3105" s="270"/>
      <c r="O3105" s="271"/>
      <c r="P3105" s="271"/>
      <c r="Q3105" s="272"/>
      <c r="R3105" s="273"/>
      <c r="S3105" s="273"/>
      <c r="T3105" s="273"/>
      <c r="U3105" s="274"/>
      <c r="V3105" s="263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</row>
    <row r="3106">
      <c r="A3106" s="263"/>
      <c r="B3106" s="264"/>
      <c r="C3106" s="265"/>
      <c r="D3106" s="265"/>
      <c r="E3106" s="264"/>
      <c r="F3106" s="265"/>
      <c r="G3106" s="263"/>
      <c r="H3106" s="432"/>
      <c r="I3106" s="282"/>
      <c r="J3106" s="283"/>
      <c r="K3106" s="265"/>
      <c r="L3106" s="265"/>
      <c r="M3106" s="269"/>
      <c r="N3106" s="270"/>
      <c r="O3106" s="271"/>
      <c r="P3106" s="271"/>
      <c r="Q3106" s="272"/>
      <c r="R3106" s="273"/>
      <c r="S3106" s="273"/>
      <c r="T3106" s="273"/>
      <c r="U3106" s="274"/>
      <c r="V3106" s="263"/>
      <c r="W3106" s="35"/>
      <c r="X3106" s="35"/>
      <c r="Y3106" s="35"/>
      <c r="Z3106" s="35"/>
      <c r="AA3106" s="35"/>
      <c r="AB3106" s="35"/>
      <c r="AC3106" s="35"/>
      <c r="AD3106" s="35"/>
      <c r="AE3106" s="35"/>
      <c r="AF3106" s="35"/>
      <c r="AG3106" s="35"/>
      <c r="AH3106" s="35"/>
      <c r="AI3106" s="35"/>
    </row>
    <row r="3107">
      <c r="A3107" s="263"/>
      <c r="B3107" s="264"/>
      <c r="C3107" s="265"/>
      <c r="D3107" s="265"/>
      <c r="E3107" s="264"/>
      <c r="F3107" s="265"/>
      <c r="G3107" s="263"/>
      <c r="H3107" s="432"/>
      <c r="I3107" s="282"/>
      <c r="J3107" s="283"/>
      <c r="K3107" s="265"/>
      <c r="L3107" s="265"/>
      <c r="M3107" s="269"/>
      <c r="N3107" s="270"/>
      <c r="O3107" s="271"/>
      <c r="P3107" s="271"/>
      <c r="Q3107" s="272"/>
      <c r="R3107" s="273"/>
      <c r="S3107" s="273"/>
      <c r="T3107" s="273"/>
      <c r="U3107" s="274"/>
      <c r="V3107" s="263"/>
      <c r="W3107" s="35"/>
      <c r="X3107" s="35"/>
      <c r="Y3107" s="35"/>
      <c r="Z3107" s="35"/>
      <c r="AA3107" s="35"/>
      <c r="AB3107" s="35"/>
      <c r="AC3107" s="35"/>
      <c r="AD3107" s="35"/>
      <c r="AE3107" s="35"/>
      <c r="AF3107" s="35"/>
      <c r="AG3107" s="35"/>
      <c r="AH3107" s="35"/>
      <c r="AI3107" s="35"/>
    </row>
    <row r="3108">
      <c r="A3108" s="263"/>
      <c r="B3108" s="264"/>
      <c r="C3108" s="265"/>
      <c r="D3108" s="265"/>
      <c r="E3108" s="264"/>
      <c r="F3108" s="265"/>
      <c r="G3108" s="263"/>
      <c r="H3108" s="432"/>
      <c r="I3108" s="282"/>
      <c r="J3108" s="283"/>
      <c r="K3108" s="265"/>
      <c r="L3108" s="265"/>
      <c r="M3108" s="269"/>
      <c r="N3108" s="270"/>
      <c r="O3108" s="271"/>
      <c r="P3108" s="271"/>
      <c r="Q3108" s="272"/>
      <c r="R3108" s="273"/>
      <c r="S3108" s="273"/>
      <c r="T3108" s="273"/>
      <c r="U3108" s="274"/>
      <c r="V3108" s="263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</row>
    <row r="3109">
      <c r="A3109" s="263"/>
      <c r="B3109" s="264"/>
      <c r="C3109" s="265"/>
      <c r="D3109" s="265"/>
      <c r="E3109" s="264"/>
      <c r="F3109" s="265"/>
      <c r="G3109" s="263"/>
      <c r="H3109" s="432"/>
      <c r="I3109" s="282"/>
      <c r="J3109" s="283"/>
      <c r="K3109" s="265"/>
      <c r="L3109" s="265"/>
      <c r="M3109" s="269"/>
      <c r="N3109" s="270"/>
      <c r="O3109" s="271"/>
      <c r="P3109" s="271"/>
      <c r="Q3109" s="272"/>
      <c r="R3109" s="273"/>
      <c r="S3109" s="273"/>
      <c r="T3109" s="273"/>
      <c r="U3109" s="274"/>
      <c r="V3109" s="263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</row>
    <row r="3110">
      <c r="A3110" s="263"/>
      <c r="B3110" s="264"/>
      <c r="C3110" s="265"/>
      <c r="D3110" s="265"/>
      <c r="E3110" s="264"/>
      <c r="F3110" s="265"/>
      <c r="G3110" s="263"/>
      <c r="H3110" s="432"/>
      <c r="I3110" s="282"/>
      <c r="J3110" s="283"/>
      <c r="K3110" s="265"/>
      <c r="L3110" s="265"/>
      <c r="M3110" s="269"/>
      <c r="N3110" s="270"/>
      <c r="O3110" s="271"/>
      <c r="P3110" s="271"/>
      <c r="Q3110" s="272"/>
      <c r="R3110" s="273"/>
      <c r="S3110" s="273"/>
      <c r="T3110" s="273"/>
      <c r="U3110" s="274"/>
      <c r="V3110" s="263"/>
      <c r="W3110" s="35"/>
      <c r="X3110" s="35"/>
      <c r="Y3110" s="35"/>
      <c r="Z3110" s="35"/>
      <c r="AA3110" s="35"/>
      <c r="AB3110" s="35"/>
      <c r="AC3110" s="35"/>
      <c r="AD3110" s="35"/>
      <c r="AE3110" s="35"/>
      <c r="AF3110" s="35"/>
      <c r="AG3110" s="35"/>
      <c r="AH3110" s="35"/>
      <c r="AI3110" s="35"/>
    </row>
    <row r="3111">
      <c r="A3111" s="263"/>
      <c r="B3111" s="264"/>
      <c r="C3111" s="265"/>
      <c r="D3111" s="265"/>
      <c r="E3111" s="264"/>
      <c r="F3111" s="265"/>
      <c r="G3111" s="263"/>
      <c r="H3111" s="432"/>
      <c r="I3111" s="282"/>
      <c r="J3111" s="283"/>
      <c r="K3111" s="265"/>
      <c r="L3111" s="265"/>
      <c r="M3111" s="269"/>
      <c r="N3111" s="270"/>
      <c r="O3111" s="271"/>
      <c r="P3111" s="271"/>
      <c r="Q3111" s="272"/>
      <c r="R3111" s="273"/>
      <c r="S3111" s="273"/>
      <c r="T3111" s="273"/>
      <c r="U3111" s="274"/>
      <c r="V3111" s="263"/>
      <c r="W3111" s="35"/>
      <c r="X3111" s="35"/>
      <c r="Y3111" s="35"/>
      <c r="Z3111" s="35"/>
      <c r="AA3111" s="35"/>
      <c r="AB3111" s="35"/>
      <c r="AC3111" s="35"/>
      <c r="AD3111" s="35"/>
      <c r="AE3111" s="35"/>
      <c r="AF3111" s="35"/>
      <c r="AG3111" s="35"/>
      <c r="AH3111" s="35"/>
      <c r="AI3111" s="35"/>
    </row>
    <row r="3112">
      <c r="A3112" s="263"/>
      <c r="B3112" s="264"/>
      <c r="C3112" s="265"/>
      <c r="D3112" s="265"/>
      <c r="E3112" s="264"/>
      <c r="F3112" s="265"/>
      <c r="G3112" s="263"/>
      <c r="H3112" s="432"/>
      <c r="I3112" s="282"/>
      <c r="J3112" s="283"/>
      <c r="K3112" s="265"/>
      <c r="L3112" s="265"/>
      <c r="M3112" s="269"/>
      <c r="N3112" s="270"/>
      <c r="O3112" s="271"/>
      <c r="P3112" s="271"/>
      <c r="Q3112" s="272"/>
      <c r="R3112" s="273"/>
      <c r="S3112" s="273"/>
      <c r="T3112" s="273"/>
      <c r="U3112" s="274"/>
      <c r="V3112" s="263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</row>
    <row r="3113">
      <c r="A3113" s="263"/>
      <c r="B3113" s="264"/>
      <c r="C3113" s="265"/>
      <c r="D3113" s="265"/>
      <c r="E3113" s="264"/>
      <c r="F3113" s="265"/>
      <c r="G3113" s="263"/>
      <c r="H3113" s="432"/>
      <c r="I3113" s="282"/>
      <c r="J3113" s="283"/>
      <c r="K3113" s="265"/>
      <c r="L3113" s="265"/>
      <c r="M3113" s="269"/>
      <c r="N3113" s="270"/>
      <c r="O3113" s="271"/>
      <c r="P3113" s="271"/>
      <c r="Q3113" s="272"/>
      <c r="R3113" s="273"/>
      <c r="S3113" s="273"/>
      <c r="T3113" s="273"/>
      <c r="U3113" s="274"/>
      <c r="V3113" s="263"/>
      <c r="W3113" s="35"/>
      <c r="X3113" s="35"/>
      <c r="Y3113" s="35"/>
      <c r="Z3113" s="35"/>
      <c r="AA3113" s="35"/>
      <c r="AB3113" s="35"/>
      <c r="AC3113" s="35"/>
      <c r="AD3113" s="35"/>
      <c r="AE3113" s="35"/>
      <c r="AF3113" s="35"/>
      <c r="AG3113" s="35"/>
      <c r="AH3113" s="35"/>
      <c r="AI3113" s="35"/>
    </row>
    <row r="3114">
      <c r="A3114" s="263"/>
      <c r="B3114" s="264"/>
      <c r="C3114" s="265"/>
      <c r="D3114" s="265"/>
      <c r="E3114" s="264"/>
      <c r="F3114" s="265"/>
      <c r="G3114" s="263"/>
      <c r="H3114" s="432"/>
      <c r="I3114" s="282"/>
      <c r="J3114" s="283"/>
      <c r="K3114" s="265"/>
      <c r="L3114" s="265"/>
      <c r="M3114" s="269"/>
      <c r="N3114" s="270"/>
      <c r="O3114" s="271"/>
      <c r="P3114" s="271"/>
      <c r="Q3114" s="272"/>
      <c r="R3114" s="273"/>
      <c r="S3114" s="273"/>
      <c r="T3114" s="273"/>
      <c r="U3114" s="274"/>
      <c r="V3114" s="263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</row>
    <row r="3115">
      <c r="A3115" s="263"/>
      <c r="B3115" s="264"/>
      <c r="C3115" s="265"/>
      <c r="D3115" s="265"/>
      <c r="E3115" s="264"/>
      <c r="F3115" s="265"/>
      <c r="G3115" s="263"/>
      <c r="H3115" s="432"/>
      <c r="I3115" s="282"/>
      <c r="J3115" s="283"/>
      <c r="K3115" s="265"/>
      <c r="L3115" s="265"/>
      <c r="M3115" s="269"/>
      <c r="N3115" s="270"/>
      <c r="O3115" s="271"/>
      <c r="P3115" s="271"/>
      <c r="Q3115" s="272"/>
      <c r="R3115" s="273"/>
      <c r="S3115" s="273"/>
      <c r="T3115" s="273"/>
      <c r="U3115" s="274"/>
      <c r="V3115" s="263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</row>
    <row r="3116">
      <c r="A3116" s="263"/>
      <c r="B3116" s="264"/>
      <c r="C3116" s="265"/>
      <c r="D3116" s="265"/>
      <c r="E3116" s="264"/>
      <c r="F3116" s="265"/>
      <c r="G3116" s="263"/>
      <c r="H3116" s="432"/>
      <c r="I3116" s="282"/>
      <c r="J3116" s="283"/>
      <c r="K3116" s="265"/>
      <c r="L3116" s="265"/>
      <c r="M3116" s="269"/>
      <c r="N3116" s="270"/>
      <c r="O3116" s="271"/>
      <c r="P3116" s="271"/>
      <c r="Q3116" s="272"/>
      <c r="R3116" s="273"/>
      <c r="S3116" s="273"/>
      <c r="T3116" s="273"/>
      <c r="U3116" s="274"/>
      <c r="V3116" s="263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</row>
    <row r="3117">
      <c r="A3117" s="263"/>
      <c r="B3117" s="264"/>
      <c r="C3117" s="265"/>
      <c r="D3117" s="265"/>
      <c r="E3117" s="264"/>
      <c r="F3117" s="265"/>
      <c r="G3117" s="263"/>
      <c r="H3117" s="432"/>
      <c r="I3117" s="282"/>
      <c r="J3117" s="283"/>
      <c r="K3117" s="265"/>
      <c r="L3117" s="265"/>
      <c r="M3117" s="269"/>
      <c r="N3117" s="270"/>
      <c r="O3117" s="271"/>
      <c r="P3117" s="271"/>
      <c r="Q3117" s="272"/>
      <c r="R3117" s="273"/>
      <c r="S3117" s="273"/>
      <c r="T3117" s="273"/>
      <c r="U3117" s="274"/>
      <c r="V3117" s="263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</row>
    <row r="3118">
      <c r="A3118" s="263"/>
      <c r="B3118" s="264"/>
      <c r="C3118" s="265"/>
      <c r="D3118" s="265"/>
      <c r="E3118" s="264"/>
      <c r="F3118" s="265"/>
      <c r="G3118" s="263"/>
      <c r="H3118" s="432"/>
      <c r="I3118" s="282"/>
      <c r="J3118" s="283"/>
      <c r="K3118" s="265"/>
      <c r="L3118" s="265"/>
      <c r="M3118" s="269"/>
      <c r="N3118" s="270"/>
      <c r="O3118" s="271"/>
      <c r="P3118" s="271"/>
      <c r="Q3118" s="272"/>
      <c r="R3118" s="273"/>
      <c r="S3118" s="273"/>
      <c r="T3118" s="273"/>
      <c r="U3118" s="274"/>
      <c r="V3118" s="263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</row>
    <row r="3119">
      <c r="A3119" s="263"/>
      <c r="B3119" s="264"/>
      <c r="C3119" s="265"/>
      <c r="D3119" s="265"/>
      <c r="E3119" s="264"/>
      <c r="F3119" s="265"/>
      <c r="G3119" s="263"/>
      <c r="H3119" s="432"/>
      <c r="I3119" s="282"/>
      <c r="J3119" s="283"/>
      <c r="K3119" s="265"/>
      <c r="L3119" s="265"/>
      <c r="M3119" s="269"/>
      <c r="N3119" s="270"/>
      <c r="O3119" s="271"/>
      <c r="P3119" s="271"/>
      <c r="Q3119" s="272"/>
      <c r="R3119" s="273"/>
      <c r="S3119" s="273"/>
      <c r="T3119" s="273"/>
      <c r="U3119" s="274"/>
      <c r="V3119" s="263"/>
      <c r="W3119" s="35"/>
      <c r="X3119" s="35"/>
      <c r="Y3119" s="35"/>
      <c r="Z3119" s="35"/>
      <c r="AA3119" s="35"/>
      <c r="AB3119" s="35"/>
      <c r="AC3119" s="35"/>
      <c r="AD3119" s="35"/>
      <c r="AE3119" s="35"/>
      <c r="AF3119" s="35"/>
      <c r="AG3119" s="35"/>
      <c r="AH3119" s="35"/>
      <c r="AI3119" s="35"/>
    </row>
    <row r="3120">
      <c r="A3120" s="263"/>
      <c r="B3120" s="264"/>
      <c r="C3120" s="265"/>
      <c r="D3120" s="265"/>
      <c r="E3120" s="264"/>
      <c r="F3120" s="265"/>
      <c r="G3120" s="263"/>
      <c r="H3120" s="432"/>
      <c r="I3120" s="282"/>
      <c r="J3120" s="283"/>
      <c r="K3120" s="265"/>
      <c r="L3120" s="265"/>
      <c r="M3120" s="269"/>
      <c r="N3120" s="270"/>
      <c r="O3120" s="271"/>
      <c r="P3120" s="271"/>
      <c r="Q3120" s="272"/>
      <c r="R3120" s="273"/>
      <c r="S3120" s="273"/>
      <c r="T3120" s="273"/>
      <c r="U3120" s="274"/>
      <c r="V3120" s="263"/>
      <c r="W3120" s="35"/>
      <c r="X3120" s="35"/>
      <c r="Y3120" s="35"/>
      <c r="Z3120" s="35"/>
      <c r="AA3120" s="35"/>
      <c r="AB3120" s="35"/>
      <c r="AC3120" s="35"/>
      <c r="AD3120" s="35"/>
      <c r="AE3120" s="35"/>
      <c r="AF3120" s="35"/>
      <c r="AG3120" s="35"/>
      <c r="AH3120" s="35"/>
      <c r="AI3120" s="35"/>
    </row>
    <row r="3121">
      <c r="A3121" s="263"/>
      <c r="B3121" s="264"/>
      <c r="C3121" s="265"/>
      <c r="D3121" s="265"/>
      <c r="E3121" s="264"/>
      <c r="F3121" s="265"/>
      <c r="G3121" s="263"/>
      <c r="H3121" s="432"/>
      <c r="I3121" s="282"/>
      <c r="J3121" s="283"/>
      <c r="K3121" s="265"/>
      <c r="L3121" s="265"/>
      <c r="M3121" s="269"/>
      <c r="N3121" s="270"/>
      <c r="O3121" s="271"/>
      <c r="P3121" s="271"/>
      <c r="Q3121" s="272"/>
      <c r="R3121" s="273"/>
      <c r="S3121" s="273"/>
      <c r="T3121" s="273"/>
      <c r="U3121" s="274"/>
      <c r="V3121" s="263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</row>
    <row r="3122">
      <c r="A3122" s="263"/>
      <c r="B3122" s="264"/>
      <c r="C3122" s="265"/>
      <c r="D3122" s="265"/>
      <c r="E3122" s="264"/>
      <c r="F3122" s="265"/>
      <c r="G3122" s="263"/>
      <c r="H3122" s="432"/>
      <c r="I3122" s="282"/>
      <c r="J3122" s="283"/>
      <c r="K3122" s="265"/>
      <c r="L3122" s="265"/>
      <c r="M3122" s="269"/>
      <c r="N3122" s="270"/>
      <c r="O3122" s="271"/>
      <c r="P3122" s="271"/>
      <c r="Q3122" s="272"/>
      <c r="R3122" s="273"/>
      <c r="S3122" s="273"/>
      <c r="T3122" s="273"/>
      <c r="U3122" s="274"/>
      <c r="V3122" s="263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</row>
    <row r="3123">
      <c r="A3123" s="263"/>
      <c r="B3123" s="264"/>
      <c r="C3123" s="265"/>
      <c r="D3123" s="265"/>
      <c r="E3123" s="264"/>
      <c r="F3123" s="265"/>
      <c r="G3123" s="263"/>
      <c r="H3123" s="432"/>
      <c r="I3123" s="282"/>
      <c r="J3123" s="283"/>
      <c r="K3123" s="265"/>
      <c r="L3123" s="265"/>
      <c r="M3123" s="269"/>
      <c r="N3123" s="270"/>
      <c r="O3123" s="271"/>
      <c r="P3123" s="271"/>
      <c r="Q3123" s="272"/>
      <c r="R3123" s="273"/>
      <c r="S3123" s="273"/>
      <c r="T3123" s="273"/>
      <c r="U3123" s="274"/>
      <c r="V3123" s="263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</row>
    <row r="3124">
      <c r="A3124" s="263"/>
      <c r="B3124" s="264"/>
      <c r="C3124" s="265"/>
      <c r="D3124" s="265"/>
      <c r="E3124" s="264"/>
      <c r="F3124" s="265"/>
      <c r="G3124" s="263"/>
      <c r="H3124" s="432"/>
      <c r="I3124" s="282"/>
      <c r="J3124" s="283"/>
      <c r="K3124" s="265"/>
      <c r="L3124" s="265"/>
      <c r="M3124" s="269"/>
      <c r="N3124" s="270"/>
      <c r="O3124" s="271"/>
      <c r="P3124" s="271"/>
      <c r="Q3124" s="272"/>
      <c r="R3124" s="273"/>
      <c r="S3124" s="273"/>
      <c r="T3124" s="273"/>
      <c r="U3124" s="274"/>
      <c r="V3124" s="263"/>
      <c r="W3124" s="188"/>
      <c r="X3124" s="188"/>
      <c r="Y3124" s="188"/>
      <c r="Z3124" s="188"/>
      <c r="AA3124" s="188"/>
      <c r="AB3124" s="188"/>
      <c r="AC3124" s="188"/>
      <c r="AD3124" s="188"/>
      <c r="AE3124" s="188"/>
      <c r="AF3124" s="188"/>
      <c r="AG3124" s="188"/>
      <c r="AH3124" s="188"/>
      <c r="AI3124" s="188"/>
    </row>
    <row r="3125">
      <c r="A3125" s="263"/>
      <c r="B3125" s="264"/>
      <c r="C3125" s="265"/>
      <c r="D3125" s="265"/>
      <c r="E3125" s="264"/>
      <c r="F3125" s="265"/>
      <c r="G3125" s="263"/>
      <c r="H3125" s="432"/>
      <c r="I3125" s="282"/>
      <c r="J3125" s="283"/>
      <c r="K3125" s="265"/>
      <c r="L3125" s="265"/>
      <c r="M3125" s="269"/>
      <c r="N3125" s="270"/>
      <c r="O3125" s="271"/>
      <c r="P3125" s="271"/>
      <c r="Q3125" s="272"/>
      <c r="R3125" s="273"/>
      <c r="S3125" s="273"/>
      <c r="T3125" s="273"/>
      <c r="U3125" s="274"/>
      <c r="V3125" s="263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</row>
    <row r="3126">
      <c r="A3126" s="263"/>
      <c r="B3126" s="264"/>
      <c r="C3126" s="265"/>
      <c r="D3126" s="265"/>
      <c r="E3126" s="264"/>
      <c r="F3126" s="265"/>
      <c r="G3126" s="263"/>
      <c r="H3126" s="432"/>
      <c r="I3126" s="282"/>
      <c r="J3126" s="283"/>
      <c r="K3126" s="265"/>
      <c r="L3126" s="265"/>
      <c r="M3126" s="269"/>
      <c r="N3126" s="270"/>
      <c r="O3126" s="271"/>
      <c r="P3126" s="271"/>
      <c r="Q3126" s="272"/>
      <c r="R3126" s="273"/>
      <c r="S3126" s="273"/>
      <c r="T3126" s="273"/>
      <c r="U3126" s="274"/>
      <c r="V3126" s="263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</row>
    <row r="3127">
      <c r="A3127" s="263"/>
      <c r="B3127" s="264"/>
      <c r="C3127" s="265"/>
      <c r="D3127" s="265"/>
      <c r="E3127" s="264"/>
      <c r="F3127" s="265"/>
      <c r="G3127" s="263"/>
      <c r="H3127" s="432"/>
      <c r="I3127" s="282"/>
      <c r="J3127" s="283"/>
      <c r="K3127" s="265"/>
      <c r="L3127" s="265"/>
      <c r="M3127" s="269"/>
      <c r="N3127" s="270"/>
      <c r="O3127" s="271"/>
      <c r="P3127" s="271"/>
      <c r="Q3127" s="272"/>
      <c r="R3127" s="273"/>
      <c r="S3127" s="273"/>
      <c r="T3127" s="273"/>
      <c r="U3127" s="274"/>
      <c r="V3127" s="263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</row>
    <row r="3128">
      <c r="A3128" s="263"/>
      <c r="B3128" s="264"/>
      <c r="C3128" s="265"/>
      <c r="D3128" s="265"/>
      <c r="E3128" s="264"/>
      <c r="F3128" s="265"/>
      <c r="G3128" s="263"/>
      <c r="H3128" s="432"/>
      <c r="I3128" s="282"/>
      <c r="J3128" s="283"/>
      <c r="K3128" s="265"/>
      <c r="L3128" s="265"/>
      <c r="M3128" s="269"/>
      <c r="N3128" s="270"/>
      <c r="O3128" s="271"/>
      <c r="P3128" s="271"/>
      <c r="Q3128" s="272"/>
      <c r="R3128" s="273"/>
      <c r="S3128" s="273"/>
      <c r="T3128" s="273"/>
      <c r="U3128" s="274"/>
      <c r="V3128" s="263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</row>
    <row r="3129">
      <c r="A3129" s="263"/>
      <c r="B3129" s="264"/>
      <c r="C3129" s="265"/>
      <c r="D3129" s="265"/>
      <c r="E3129" s="264"/>
      <c r="F3129" s="265"/>
      <c r="G3129" s="263"/>
      <c r="H3129" s="432"/>
      <c r="I3129" s="282"/>
      <c r="J3129" s="283"/>
      <c r="K3129" s="265"/>
      <c r="L3129" s="265"/>
      <c r="M3129" s="269"/>
      <c r="N3129" s="270"/>
      <c r="O3129" s="271"/>
      <c r="P3129" s="271"/>
      <c r="Q3129" s="272"/>
      <c r="R3129" s="273"/>
      <c r="S3129" s="273"/>
      <c r="T3129" s="273"/>
      <c r="U3129" s="274"/>
      <c r="V3129" s="263"/>
      <c r="W3129" s="188"/>
      <c r="X3129" s="188"/>
      <c r="Y3129" s="188"/>
      <c r="Z3129" s="188"/>
      <c r="AA3129" s="188"/>
      <c r="AB3129" s="188"/>
      <c r="AC3129" s="188"/>
      <c r="AD3129" s="188"/>
      <c r="AE3129" s="188"/>
      <c r="AF3129" s="188"/>
      <c r="AG3129" s="188"/>
      <c r="AH3129" s="188"/>
      <c r="AI3129" s="188"/>
    </row>
    <row r="3130">
      <c r="A3130" s="263"/>
      <c r="B3130" s="264"/>
      <c r="C3130" s="265"/>
      <c r="D3130" s="265"/>
      <c r="E3130" s="264"/>
      <c r="F3130" s="265"/>
      <c r="G3130" s="263"/>
      <c r="H3130" s="432"/>
      <c r="I3130" s="282"/>
      <c r="J3130" s="283"/>
      <c r="K3130" s="265"/>
      <c r="L3130" s="265"/>
      <c r="M3130" s="269"/>
      <c r="N3130" s="270"/>
      <c r="O3130" s="271"/>
      <c r="P3130" s="271"/>
      <c r="Q3130" s="272"/>
      <c r="R3130" s="273"/>
      <c r="S3130" s="273"/>
      <c r="T3130" s="273"/>
      <c r="U3130" s="274"/>
      <c r="V3130" s="263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</row>
    <row r="3131">
      <c r="A3131" s="263"/>
      <c r="B3131" s="264"/>
      <c r="C3131" s="265"/>
      <c r="D3131" s="265"/>
      <c r="E3131" s="264"/>
      <c r="F3131" s="265"/>
      <c r="G3131" s="263"/>
      <c r="H3131" s="432"/>
      <c r="I3131" s="282"/>
      <c r="J3131" s="283"/>
      <c r="K3131" s="265"/>
      <c r="L3131" s="265"/>
      <c r="M3131" s="269"/>
      <c r="N3131" s="270"/>
      <c r="O3131" s="271"/>
      <c r="P3131" s="271"/>
      <c r="Q3131" s="272"/>
      <c r="R3131" s="273"/>
      <c r="S3131" s="273"/>
      <c r="T3131" s="273"/>
      <c r="U3131" s="274"/>
      <c r="V3131" s="263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</row>
    <row r="3132">
      <c r="A3132" s="263"/>
      <c r="B3132" s="264"/>
      <c r="C3132" s="265"/>
      <c r="D3132" s="265"/>
      <c r="E3132" s="264"/>
      <c r="F3132" s="265"/>
      <c r="G3132" s="263"/>
      <c r="H3132" s="432"/>
      <c r="I3132" s="282"/>
      <c r="J3132" s="283"/>
      <c r="K3132" s="265"/>
      <c r="L3132" s="265"/>
      <c r="M3132" s="269"/>
      <c r="N3132" s="270"/>
      <c r="O3132" s="271"/>
      <c r="P3132" s="271"/>
      <c r="Q3132" s="272"/>
      <c r="R3132" s="273"/>
      <c r="S3132" s="273"/>
      <c r="T3132" s="273"/>
      <c r="U3132" s="274"/>
      <c r="V3132" s="263"/>
      <c r="W3132" s="188"/>
      <c r="X3132" s="188"/>
      <c r="Y3132" s="188"/>
      <c r="Z3132" s="188"/>
      <c r="AA3132" s="188"/>
      <c r="AB3132" s="188"/>
      <c r="AC3132" s="188"/>
      <c r="AD3132" s="188"/>
      <c r="AE3132" s="188"/>
      <c r="AF3132" s="188"/>
      <c r="AG3132" s="188"/>
      <c r="AH3132" s="188"/>
      <c r="AI3132" s="188"/>
    </row>
    <row r="3133">
      <c r="A3133" s="263"/>
      <c r="B3133" s="264"/>
      <c r="C3133" s="265"/>
      <c r="D3133" s="265"/>
      <c r="E3133" s="264"/>
      <c r="F3133" s="265"/>
      <c r="G3133" s="263"/>
      <c r="H3133" s="432"/>
      <c r="I3133" s="282"/>
      <c r="J3133" s="283"/>
      <c r="K3133" s="265"/>
      <c r="L3133" s="265"/>
      <c r="M3133" s="269"/>
      <c r="N3133" s="270"/>
      <c r="O3133" s="271"/>
      <c r="P3133" s="271"/>
      <c r="Q3133" s="272"/>
      <c r="R3133" s="273"/>
      <c r="S3133" s="273"/>
      <c r="T3133" s="273"/>
      <c r="U3133" s="274"/>
      <c r="V3133" s="263"/>
      <c r="W3133" s="35"/>
      <c r="X3133" s="35"/>
      <c r="Y3133" s="35"/>
      <c r="Z3133" s="35"/>
      <c r="AA3133" s="35"/>
      <c r="AB3133" s="35"/>
      <c r="AC3133" s="35"/>
      <c r="AD3133" s="35"/>
      <c r="AE3133" s="35"/>
      <c r="AF3133" s="35"/>
      <c r="AG3133" s="35"/>
      <c r="AH3133" s="35"/>
      <c r="AI3133" s="35"/>
    </row>
    <row r="3134">
      <c r="A3134" s="263"/>
      <c r="B3134" s="264"/>
      <c r="C3134" s="265"/>
      <c r="D3134" s="265"/>
      <c r="E3134" s="264"/>
      <c r="F3134" s="265"/>
      <c r="G3134" s="263"/>
      <c r="H3134" s="432"/>
      <c r="I3134" s="282"/>
      <c r="J3134" s="283"/>
      <c r="K3134" s="265"/>
      <c r="L3134" s="265"/>
      <c r="M3134" s="269"/>
      <c r="N3134" s="270"/>
      <c r="O3134" s="271"/>
      <c r="P3134" s="271"/>
      <c r="Q3134" s="272"/>
      <c r="R3134" s="273"/>
      <c r="S3134" s="273"/>
      <c r="T3134" s="273"/>
      <c r="U3134" s="274"/>
      <c r="V3134" s="263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</row>
    <row r="3135">
      <c r="A3135" s="263"/>
      <c r="B3135" s="264"/>
      <c r="C3135" s="265"/>
      <c r="D3135" s="265"/>
      <c r="E3135" s="264"/>
      <c r="F3135" s="265"/>
      <c r="G3135" s="263"/>
      <c r="H3135" s="432"/>
      <c r="I3135" s="282"/>
      <c r="J3135" s="283"/>
      <c r="K3135" s="265"/>
      <c r="L3135" s="265"/>
      <c r="M3135" s="269"/>
      <c r="N3135" s="270"/>
      <c r="O3135" s="271"/>
      <c r="P3135" s="271"/>
      <c r="Q3135" s="272"/>
      <c r="R3135" s="273"/>
      <c r="S3135" s="273"/>
      <c r="T3135" s="273"/>
      <c r="U3135" s="274"/>
      <c r="V3135" s="263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</row>
    <row r="3136">
      <c r="A3136" s="263"/>
      <c r="B3136" s="264"/>
      <c r="C3136" s="265"/>
      <c r="D3136" s="265"/>
      <c r="E3136" s="264"/>
      <c r="F3136" s="265"/>
      <c r="G3136" s="263"/>
      <c r="H3136" s="432"/>
      <c r="I3136" s="282"/>
      <c r="J3136" s="283"/>
      <c r="K3136" s="265"/>
      <c r="L3136" s="265"/>
      <c r="M3136" s="269"/>
      <c r="N3136" s="270"/>
      <c r="O3136" s="271"/>
      <c r="P3136" s="271"/>
      <c r="Q3136" s="272"/>
      <c r="R3136" s="273"/>
      <c r="S3136" s="273"/>
      <c r="T3136" s="273"/>
      <c r="U3136" s="274"/>
      <c r="V3136" s="263"/>
      <c r="W3136" s="188"/>
      <c r="X3136" s="188"/>
      <c r="Y3136" s="188"/>
      <c r="Z3136" s="188"/>
      <c r="AA3136" s="188"/>
      <c r="AB3136" s="188"/>
      <c r="AC3136" s="188"/>
      <c r="AD3136" s="188"/>
      <c r="AE3136" s="188"/>
      <c r="AF3136" s="188"/>
      <c r="AG3136" s="188"/>
      <c r="AH3136" s="188"/>
      <c r="AI3136" s="188"/>
    </row>
    <row r="3137">
      <c r="A3137" s="263"/>
      <c r="B3137" s="264"/>
      <c r="C3137" s="265"/>
      <c r="D3137" s="265"/>
      <c r="E3137" s="264"/>
      <c r="F3137" s="265"/>
      <c r="G3137" s="263"/>
      <c r="H3137" s="432"/>
      <c r="I3137" s="282"/>
      <c r="J3137" s="283"/>
      <c r="K3137" s="265"/>
      <c r="L3137" s="265"/>
      <c r="M3137" s="269"/>
      <c r="N3137" s="270"/>
      <c r="O3137" s="271"/>
      <c r="P3137" s="271"/>
      <c r="Q3137" s="272"/>
      <c r="R3137" s="273"/>
      <c r="S3137" s="273"/>
      <c r="T3137" s="273"/>
      <c r="U3137" s="274"/>
      <c r="V3137" s="263"/>
      <c r="W3137" s="35"/>
      <c r="X3137" s="35"/>
      <c r="Y3137" s="35"/>
      <c r="Z3137" s="35"/>
      <c r="AA3137" s="35"/>
      <c r="AB3137" s="35"/>
      <c r="AC3137" s="35"/>
      <c r="AD3137" s="35"/>
      <c r="AE3137" s="35"/>
      <c r="AF3137" s="35"/>
      <c r="AG3137" s="35"/>
      <c r="AH3137" s="35"/>
      <c r="AI3137" s="35"/>
    </row>
    <row r="3138">
      <c r="A3138" s="263"/>
      <c r="B3138" s="264"/>
      <c r="C3138" s="265"/>
      <c r="D3138" s="265"/>
      <c r="E3138" s="264"/>
      <c r="F3138" s="265"/>
      <c r="G3138" s="263"/>
      <c r="H3138" s="432"/>
      <c r="I3138" s="282"/>
      <c r="J3138" s="283"/>
      <c r="K3138" s="265"/>
      <c r="L3138" s="265"/>
      <c r="M3138" s="269"/>
      <c r="N3138" s="270"/>
      <c r="O3138" s="271"/>
      <c r="P3138" s="271"/>
      <c r="Q3138" s="272"/>
      <c r="R3138" s="273"/>
      <c r="S3138" s="273"/>
      <c r="T3138" s="273"/>
      <c r="U3138" s="274"/>
      <c r="V3138" s="263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</row>
    <row r="3139">
      <c r="A3139" s="263"/>
      <c r="B3139" s="264"/>
      <c r="C3139" s="265"/>
      <c r="D3139" s="265"/>
      <c r="E3139" s="264"/>
      <c r="F3139" s="265"/>
      <c r="G3139" s="263"/>
      <c r="H3139" s="432"/>
      <c r="I3139" s="282"/>
      <c r="J3139" s="283"/>
      <c r="K3139" s="265"/>
      <c r="L3139" s="265"/>
      <c r="M3139" s="269"/>
      <c r="N3139" s="270"/>
      <c r="O3139" s="271"/>
      <c r="P3139" s="271"/>
      <c r="Q3139" s="272"/>
      <c r="R3139" s="273"/>
      <c r="S3139" s="273"/>
      <c r="T3139" s="273"/>
      <c r="U3139" s="274"/>
      <c r="V3139" s="263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</row>
    <row r="3140">
      <c r="A3140" s="263"/>
      <c r="B3140" s="264"/>
      <c r="C3140" s="265"/>
      <c r="D3140" s="265"/>
      <c r="E3140" s="264"/>
      <c r="F3140" s="265"/>
      <c r="G3140" s="263"/>
      <c r="H3140" s="432"/>
      <c r="I3140" s="282"/>
      <c r="J3140" s="283"/>
      <c r="K3140" s="265"/>
      <c r="L3140" s="265"/>
      <c r="M3140" s="269"/>
      <c r="N3140" s="270"/>
      <c r="O3140" s="271"/>
      <c r="P3140" s="271"/>
      <c r="Q3140" s="272"/>
      <c r="R3140" s="273"/>
      <c r="S3140" s="273"/>
      <c r="T3140" s="273"/>
      <c r="U3140" s="274"/>
      <c r="V3140" s="263"/>
      <c r="W3140" s="188"/>
      <c r="X3140" s="188"/>
      <c r="Y3140" s="188"/>
      <c r="Z3140" s="188"/>
      <c r="AA3140" s="188"/>
      <c r="AB3140" s="188"/>
      <c r="AC3140" s="188"/>
      <c r="AD3140" s="188"/>
      <c r="AE3140" s="188"/>
      <c r="AF3140" s="188"/>
      <c r="AG3140" s="188"/>
      <c r="AH3140" s="188"/>
      <c r="AI3140" s="188"/>
    </row>
    <row r="3141">
      <c r="A3141" s="263"/>
      <c r="B3141" s="264"/>
      <c r="C3141" s="265"/>
      <c r="D3141" s="265"/>
      <c r="E3141" s="264"/>
      <c r="F3141" s="265"/>
      <c r="G3141" s="263"/>
      <c r="H3141" s="432"/>
      <c r="I3141" s="282"/>
      <c r="J3141" s="283"/>
      <c r="K3141" s="265"/>
      <c r="L3141" s="265"/>
      <c r="M3141" s="269"/>
      <c r="N3141" s="270"/>
      <c r="O3141" s="271"/>
      <c r="P3141" s="271"/>
      <c r="Q3141" s="272"/>
      <c r="R3141" s="273"/>
      <c r="S3141" s="273"/>
      <c r="T3141" s="273"/>
      <c r="U3141" s="274"/>
      <c r="V3141" s="263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</row>
    <row r="3142">
      <c r="A3142" s="263"/>
      <c r="B3142" s="264"/>
      <c r="C3142" s="265"/>
      <c r="D3142" s="265"/>
      <c r="E3142" s="264"/>
      <c r="F3142" s="265"/>
      <c r="G3142" s="263"/>
      <c r="H3142" s="432"/>
      <c r="I3142" s="282"/>
      <c r="J3142" s="283"/>
      <c r="K3142" s="265"/>
      <c r="L3142" s="265"/>
      <c r="M3142" s="269"/>
      <c r="N3142" s="270"/>
      <c r="O3142" s="271"/>
      <c r="P3142" s="271"/>
      <c r="Q3142" s="272"/>
      <c r="R3142" s="273"/>
      <c r="S3142" s="273"/>
      <c r="T3142" s="273"/>
      <c r="U3142" s="274"/>
      <c r="V3142" s="263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</row>
    <row r="3143">
      <c r="A3143" s="263"/>
      <c r="B3143" s="264"/>
      <c r="C3143" s="265"/>
      <c r="D3143" s="265"/>
      <c r="E3143" s="264"/>
      <c r="F3143" s="265"/>
      <c r="G3143" s="263"/>
      <c r="H3143" s="432"/>
      <c r="I3143" s="282"/>
      <c r="J3143" s="283"/>
      <c r="K3143" s="265"/>
      <c r="L3143" s="265"/>
      <c r="M3143" s="269"/>
      <c r="N3143" s="270"/>
      <c r="O3143" s="271"/>
      <c r="P3143" s="271"/>
      <c r="Q3143" s="272"/>
      <c r="R3143" s="273"/>
      <c r="S3143" s="273"/>
      <c r="T3143" s="273"/>
      <c r="U3143" s="274"/>
      <c r="V3143" s="263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</row>
    <row r="3144">
      <c r="A3144" s="263"/>
      <c r="B3144" s="264"/>
      <c r="C3144" s="265"/>
      <c r="D3144" s="265"/>
      <c r="E3144" s="264"/>
      <c r="F3144" s="265"/>
      <c r="G3144" s="263"/>
      <c r="H3144" s="432"/>
      <c r="I3144" s="282"/>
      <c r="J3144" s="283"/>
      <c r="K3144" s="265"/>
      <c r="L3144" s="265"/>
      <c r="M3144" s="269"/>
      <c r="N3144" s="270"/>
      <c r="O3144" s="271"/>
      <c r="P3144" s="271"/>
      <c r="Q3144" s="272"/>
      <c r="R3144" s="273"/>
      <c r="S3144" s="273"/>
      <c r="T3144" s="273"/>
      <c r="U3144" s="274"/>
      <c r="V3144" s="263"/>
      <c r="W3144" s="35"/>
      <c r="X3144" s="35"/>
      <c r="Y3144" s="35"/>
      <c r="Z3144" s="35"/>
      <c r="AA3144" s="35"/>
      <c r="AB3144" s="35"/>
      <c r="AC3144" s="35"/>
      <c r="AD3144" s="35"/>
      <c r="AE3144" s="35"/>
      <c r="AF3144" s="35"/>
      <c r="AG3144" s="35"/>
      <c r="AH3144" s="35"/>
      <c r="AI3144" s="35"/>
    </row>
    <row r="3145">
      <c r="A3145" s="263"/>
      <c r="B3145" s="264"/>
      <c r="C3145" s="265"/>
      <c r="D3145" s="265"/>
      <c r="E3145" s="264"/>
      <c r="F3145" s="265"/>
      <c r="G3145" s="263"/>
      <c r="H3145" s="432"/>
      <c r="I3145" s="282"/>
      <c r="J3145" s="283"/>
      <c r="K3145" s="265"/>
      <c r="L3145" s="265"/>
      <c r="M3145" s="269"/>
      <c r="N3145" s="270"/>
      <c r="O3145" s="271"/>
      <c r="P3145" s="271"/>
      <c r="Q3145" s="272"/>
      <c r="R3145" s="273"/>
      <c r="S3145" s="273"/>
      <c r="T3145" s="273"/>
      <c r="U3145" s="274"/>
      <c r="V3145" s="263"/>
      <c r="W3145" s="35"/>
      <c r="X3145" s="35"/>
      <c r="Y3145" s="35"/>
      <c r="Z3145" s="35"/>
      <c r="AA3145" s="35"/>
      <c r="AB3145" s="35"/>
      <c r="AC3145" s="35"/>
      <c r="AD3145" s="35"/>
      <c r="AE3145" s="35"/>
      <c r="AF3145" s="35"/>
      <c r="AG3145" s="35"/>
      <c r="AH3145" s="35"/>
      <c r="AI3145" s="35"/>
    </row>
    <row r="3146">
      <c r="A3146" s="263"/>
      <c r="B3146" s="264"/>
      <c r="C3146" s="265"/>
      <c r="D3146" s="265"/>
      <c r="E3146" s="264"/>
      <c r="F3146" s="265"/>
      <c r="G3146" s="263"/>
      <c r="H3146" s="432"/>
      <c r="I3146" s="282"/>
      <c r="J3146" s="283"/>
      <c r="K3146" s="265"/>
      <c r="L3146" s="265"/>
      <c r="M3146" s="269"/>
      <c r="N3146" s="270"/>
      <c r="O3146" s="271"/>
      <c r="P3146" s="271"/>
      <c r="Q3146" s="272"/>
      <c r="R3146" s="273"/>
      <c r="S3146" s="273"/>
      <c r="T3146" s="273"/>
      <c r="U3146" s="274"/>
      <c r="V3146" s="263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</row>
    <row r="3147">
      <c r="A3147" s="263"/>
      <c r="B3147" s="264"/>
      <c r="C3147" s="265"/>
      <c r="D3147" s="265"/>
      <c r="E3147" s="264"/>
      <c r="F3147" s="265"/>
      <c r="G3147" s="263"/>
      <c r="H3147" s="432"/>
      <c r="I3147" s="282"/>
      <c r="J3147" s="283"/>
      <c r="K3147" s="265"/>
      <c r="L3147" s="265"/>
      <c r="M3147" s="269"/>
      <c r="N3147" s="270"/>
      <c r="O3147" s="271"/>
      <c r="P3147" s="271"/>
      <c r="Q3147" s="272"/>
      <c r="R3147" s="273"/>
      <c r="S3147" s="273"/>
      <c r="T3147" s="273"/>
      <c r="U3147" s="274"/>
      <c r="V3147" s="263"/>
      <c r="W3147" s="35"/>
      <c r="X3147" s="35"/>
      <c r="Y3147" s="35"/>
      <c r="Z3147" s="35"/>
      <c r="AA3147" s="35"/>
      <c r="AB3147" s="35"/>
      <c r="AC3147" s="35"/>
      <c r="AD3147" s="35"/>
      <c r="AE3147" s="35"/>
      <c r="AF3147" s="35"/>
      <c r="AG3147" s="35"/>
      <c r="AH3147" s="35"/>
      <c r="AI3147" s="35"/>
    </row>
    <row r="3148">
      <c r="A3148" s="263"/>
      <c r="B3148" s="264"/>
      <c r="C3148" s="265"/>
      <c r="D3148" s="265"/>
      <c r="E3148" s="264"/>
      <c r="F3148" s="265"/>
      <c r="G3148" s="263"/>
      <c r="H3148" s="432"/>
      <c r="I3148" s="282"/>
      <c r="J3148" s="283"/>
      <c r="K3148" s="265"/>
      <c r="L3148" s="265"/>
      <c r="M3148" s="269"/>
      <c r="N3148" s="270"/>
      <c r="O3148" s="271"/>
      <c r="P3148" s="271"/>
      <c r="Q3148" s="272"/>
      <c r="R3148" s="273"/>
      <c r="S3148" s="273"/>
      <c r="T3148" s="273"/>
      <c r="U3148" s="274"/>
      <c r="V3148" s="263"/>
      <c r="W3148" s="35"/>
      <c r="X3148" s="35"/>
      <c r="Y3148" s="35"/>
      <c r="Z3148" s="35"/>
      <c r="AA3148" s="35"/>
      <c r="AB3148" s="35"/>
      <c r="AC3148" s="35"/>
      <c r="AD3148" s="35"/>
      <c r="AE3148" s="35"/>
      <c r="AF3148" s="35"/>
      <c r="AG3148" s="35"/>
      <c r="AH3148" s="35"/>
      <c r="AI3148" s="35"/>
    </row>
    <row r="3149">
      <c r="A3149" s="263"/>
      <c r="B3149" s="264"/>
      <c r="C3149" s="265"/>
      <c r="D3149" s="265"/>
      <c r="E3149" s="264"/>
      <c r="F3149" s="265"/>
      <c r="G3149" s="263"/>
      <c r="H3149" s="432"/>
      <c r="I3149" s="282"/>
      <c r="J3149" s="283"/>
      <c r="K3149" s="265"/>
      <c r="L3149" s="265"/>
      <c r="M3149" s="269"/>
      <c r="N3149" s="270"/>
      <c r="O3149" s="271"/>
      <c r="P3149" s="271"/>
      <c r="Q3149" s="272"/>
      <c r="R3149" s="273"/>
      <c r="S3149" s="273"/>
      <c r="T3149" s="273"/>
      <c r="U3149" s="274"/>
      <c r="V3149" s="263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</row>
    <row r="3150">
      <c r="A3150" s="263"/>
      <c r="B3150" s="264"/>
      <c r="C3150" s="265"/>
      <c r="D3150" s="265"/>
      <c r="E3150" s="264"/>
      <c r="F3150" s="265"/>
      <c r="G3150" s="263"/>
      <c r="H3150" s="432"/>
      <c r="I3150" s="282"/>
      <c r="J3150" s="283"/>
      <c r="K3150" s="265"/>
      <c r="L3150" s="265"/>
      <c r="M3150" s="269"/>
      <c r="N3150" s="270"/>
      <c r="O3150" s="271"/>
      <c r="P3150" s="271"/>
      <c r="Q3150" s="272"/>
      <c r="R3150" s="273"/>
      <c r="S3150" s="273"/>
      <c r="T3150" s="273"/>
      <c r="U3150" s="274"/>
      <c r="V3150" s="263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</row>
    <row r="3151">
      <c r="A3151" s="263"/>
      <c r="B3151" s="264"/>
      <c r="C3151" s="265"/>
      <c r="D3151" s="265"/>
      <c r="E3151" s="264"/>
      <c r="F3151" s="265"/>
      <c r="G3151" s="263"/>
      <c r="H3151" s="432"/>
      <c r="I3151" s="282"/>
      <c r="J3151" s="283"/>
      <c r="K3151" s="265"/>
      <c r="L3151" s="265"/>
      <c r="M3151" s="269"/>
      <c r="N3151" s="270"/>
      <c r="O3151" s="271"/>
      <c r="P3151" s="271"/>
      <c r="Q3151" s="272"/>
      <c r="R3151" s="273"/>
      <c r="S3151" s="273"/>
      <c r="T3151" s="273"/>
      <c r="U3151" s="274"/>
      <c r="V3151" s="263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</row>
    <row r="3152">
      <c r="A3152" s="263"/>
      <c r="B3152" s="264"/>
      <c r="C3152" s="265"/>
      <c r="D3152" s="265"/>
      <c r="E3152" s="264"/>
      <c r="F3152" s="265"/>
      <c r="G3152" s="263"/>
      <c r="H3152" s="432"/>
      <c r="I3152" s="282"/>
      <c r="J3152" s="283"/>
      <c r="K3152" s="265"/>
      <c r="L3152" s="265"/>
      <c r="M3152" s="269"/>
      <c r="N3152" s="270"/>
      <c r="O3152" s="271"/>
      <c r="P3152" s="271"/>
      <c r="Q3152" s="272"/>
      <c r="R3152" s="273"/>
      <c r="S3152" s="273"/>
      <c r="T3152" s="273"/>
      <c r="U3152" s="274"/>
      <c r="V3152" s="263"/>
      <c r="W3152" s="188"/>
      <c r="X3152" s="188"/>
      <c r="Y3152" s="188"/>
      <c r="Z3152" s="188"/>
      <c r="AA3152" s="188"/>
      <c r="AB3152" s="188"/>
      <c r="AC3152" s="188"/>
      <c r="AD3152" s="188"/>
      <c r="AE3152" s="188"/>
      <c r="AF3152" s="188"/>
      <c r="AG3152" s="188"/>
      <c r="AH3152" s="188"/>
      <c r="AI3152" s="188"/>
    </row>
    <row r="3153">
      <c r="A3153" s="263"/>
      <c r="B3153" s="264"/>
      <c r="C3153" s="265"/>
      <c r="D3153" s="265"/>
      <c r="E3153" s="264"/>
      <c r="F3153" s="265"/>
      <c r="G3153" s="263"/>
      <c r="H3153" s="432"/>
      <c r="I3153" s="282"/>
      <c r="J3153" s="283"/>
      <c r="K3153" s="265"/>
      <c r="L3153" s="265"/>
      <c r="M3153" s="269"/>
      <c r="N3153" s="270"/>
      <c r="O3153" s="271"/>
      <c r="P3153" s="271"/>
      <c r="Q3153" s="272"/>
      <c r="R3153" s="273"/>
      <c r="S3153" s="273"/>
      <c r="T3153" s="273"/>
      <c r="U3153" s="274"/>
      <c r="V3153" s="263"/>
      <c r="W3153" s="188"/>
      <c r="X3153" s="188"/>
      <c r="Y3153" s="188"/>
      <c r="Z3153" s="188"/>
      <c r="AA3153" s="188"/>
      <c r="AB3153" s="188"/>
      <c r="AC3153" s="188"/>
      <c r="AD3153" s="188"/>
      <c r="AE3153" s="188"/>
      <c r="AF3153" s="188"/>
      <c r="AG3153" s="188"/>
      <c r="AH3153" s="188"/>
      <c r="AI3153" s="188"/>
    </row>
    <row r="3154">
      <c r="A3154" s="263"/>
      <c r="B3154" s="264"/>
      <c r="C3154" s="265"/>
      <c r="D3154" s="265"/>
      <c r="E3154" s="264"/>
      <c r="F3154" s="265"/>
      <c r="G3154" s="263"/>
      <c r="H3154" s="432"/>
      <c r="I3154" s="282"/>
      <c r="J3154" s="283"/>
      <c r="K3154" s="265"/>
      <c r="L3154" s="265"/>
      <c r="M3154" s="269"/>
      <c r="N3154" s="270"/>
      <c r="O3154" s="271"/>
      <c r="P3154" s="271"/>
      <c r="Q3154" s="272"/>
      <c r="R3154" s="273"/>
      <c r="S3154" s="273"/>
      <c r="T3154" s="273"/>
      <c r="U3154" s="274"/>
      <c r="V3154" s="263"/>
      <c r="W3154" s="35"/>
      <c r="X3154" s="35"/>
      <c r="Y3154" s="35"/>
      <c r="Z3154" s="35"/>
      <c r="AA3154" s="35"/>
      <c r="AB3154" s="35"/>
      <c r="AC3154" s="35"/>
      <c r="AD3154" s="35"/>
      <c r="AE3154" s="35"/>
      <c r="AF3154" s="35"/>
      <c r="AG3154" s="35"/>
      <c r="AH3154" s="35"/>
      <c r="AI3154" s="35"/>
    </row>
    <row r="3155">
      <c r="A3155" s="263"/>
      <c r="B3155" s="264"/>
      <c r="C3155" s="265"/>
      <c r="D3155" s="265"/>
      <c r="E3155" s="264"/>
      <c r="F3155" s="265"/>
      <c r="G3155" s="263"/>
      <c r="H3155" s="432"/>
      <c r="I3155" s="282"/>
      <c r="J3155" s="283"/>
      <c r="K3155" s="265"/>
      <c r="L3155" s="265"/>
      <c r="M3155" s="269"/>
      <c r="N3155" s="270"/>
      <c r="O3155" s="271"/>
      <c r="P3155" s="271"/>
      <c r="Q3155" s="272"/>
      <c r="R3155" s="273"/>
      <c r="S3155" s="273"/>
      <c r="T3155" s="273"/>
      <c r="U3155" s="274"/>
      <c r="V3155" s="263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</row>
    <row r="3156">
      <c r="A3156" s="263"/>
      <c r="B3156" s="264"/>
      <c r="C3156" s="265"/>
      <c r="D3156" s="265"/>
      <c r="E3156" s="264"/>
      <c r="F3156" s="265"/>
      <c r="G3156" s="263"/>
      <c r="H3156" s="432"/>
      <c r="I3156" s="282"/>
      <c r="J3156" s="283"/>
      <c r="K3156" s="265"/>
      <c r="L3156" s="265"/>
      <c r="M3156" s="269"/>
      <c r="N3156" s="270"/>
      <c r="O3156" s="271"/>
      <c r="P3156" s="271"/>
      <c r="Q3156" s="272"/>
      <c r="R3156" s="273"/>
      <c r="S3156" s="273"/>
      <c r="T3156" s="273"/>
      <c r="U3156" s="274"/>
      <c r="V3156" s="263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</row>
    <row r="3157">
      <c r="A3157" s="263"/>
      <c r="B3157" s="264"/>
      <c r="C3157" s="265"/>
      <c r="D3157" s="265"/>
      <c r="E3157" s="264"/>
      <c r="F3157" s="265"/>
      <c r="G3157" s="263"/>
      <c r="H3157" s="432"/>
      <c r="I3157" s="282"/>
      <c r="J3157" s="283"/>
      <c r="K3157" s="265"/>
      <c r="L3157" s="265"/>
      <c r="M3157" s="269"/>
      <c r="N3157" s="270"/>
      <c r="O3157" s="271"/>
      <c r="P3157" s="271"/>
      <c r="Q3157" s="272"/>
      <c r="R3157" s="273"/>
      <c r="S3157" s="273"/>
      <c r="T3157" s="273"/>
      <c r="U3157" s="274"/>
      <c r="V3157" s="263"/>
      <c r="W3157" s="188"/>
      <c r="X3157" s="188"/>
      <c r="Y3157" s="188"/>
      <c r="Z3157" s="188"/>
      <c r="AA3157" s="188"/>
      <c r="AB3157" s="188"/>
      <c r="AC3157" s="188"/>
      <c r="AD3157" s="188"/>
      <c r="AE3157" s="188"/>
      <c r="AF3157" s="188"/>
      <c r="AG3157" s="188"/>
      <c r="AH3157" s="188"/>
      <c r="AI3157" s="188"/>
    </row>
    <row r="3158">
      <c r="A3158" s="263"/>
      <c r="B3158" s="264"/>
      <c r="C3158" s="265"/>
      <c r="D3158" s="265"/>
      <c r="E3158" s="264"/>
      <c r="F3158" s="265"/>
      <c r="G3158" s="263"/>
      <c r="H3158" s="432"/>
      <c r="I3158" s="282"/>
      <c r="J3158" s="283"/>
      <c r="K3158" s="265"/>
      <c r="L3158" s="265"/>
      <c r="M3158" s="269"/>
      <c r="N3158" s="270"/>
      <c r="O3158" s="271"/>
      <c r="P3158" s="271"/>
      <c r="Q3158" s="272"/>
      <c r="R3158" s="273"/>
      <c r="S3158" s="273"/>
      <c r="T3158" s="273"/>
      <c r="U3158" s="274"/>
      <c r="V3158" s="263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</row>
    <row r="3159">
      <c r="A3159" s="263"/>
      <c r="B3159" s="264"/>
      <c r="C3159" s="265"/>
      <c r="D3159" s="265"/>
      <c r="E3159" s="264"/>
      <c r="F3159" s="265"/>
      <c r="G3159" s="263"/>
      <c r="H3159" s="432"/>
      <c r="I3159" s="282"/>
      <c r="J3159" s="283"/>
      <c r="K3159" s="265"/>
      <c r="L3159" s="265"/>
      <c r="M3159" s="269"/>
      <c r="N3159" s="270"/>
      <c r="O3159" s="271"/>
      <c r="P3159" s="271"/>
      <c r="Q3159" s="272"/>
      <c r="R3159" s="273"/>
      <c r="S3159" s="273"/>
      <c r="T3159" s="273"/>
      <c r="U3159" s="274"/>
      <c r="V3159" s="263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</row>
    <row r="3160">
      <c r="A3160" s="263"/>
      <c r="B3160" s="264"/>
      <c r="C3160" s="265"/>
      <c r="D3160" s="265"/>
      <c r="E3160" s="264"/>
      <c r="F3160" s="265"/>
      <c r="G3160" s="263"/>
      <c r="H3160" s="432"/>
      <c r="I3160" s="282"/>
      <c r="J3160" s="283"/>
      <c r="K3160" s="265"/>
      <c r="L3160" s="265"/>
      <c r="M3160" s="269"/>
      <c r="N3160" s="270"/>
      <c r="O3160" s="271"/>
      <c r="P3160" s="271"/>
      <c r="Q3160" s="272"/>
      <c r="R3160" s="273"/>
      <c r="S3160" s="273"/>
      <c r="T3160" s="273"/>
      <c r="U3160" s="274"/>
      <c r="V3160" s="263"/>
      <c r="W3160" s="35"/>
      <c r="X3160" s="35"/>
      <c r="Y3160" s="35"/>
      <c r="Z3160" s="35"/>
      <c r="AA3160" s="35"/>
      <c r="AB3160" s="35"/>
      <c r="AC3160" s="35"/>
      <c r="AD3160" s="35"/>
      <c r="AE3160" s="35"/>
      <c r="AF3160" s="35"/>
      <c r="AG3160" s="35"/>
      <c r="AH3160" s="35"/>
      <c r="AI3160" s="35"/>
    </row>
    <row r="3161">
      <c r="A3161" s="263"/>
      <c r="B3161" s="264"/>
      <c r="C3161" s="265"/>
      <c r="D3161" s="265"/>
      <c r="E3161" s="264"/>
      <c r="F3161" s="265"/>
      <c r="G3161" s="263"/>
      <c r="H3161" s="432"/>
      <c r="I3161" s="282"/>
      <c r="J3161" s="283"/>
      <c r="K3161" s="265"/>
      <c r="L3161" s="265"/>
      <c r="M3161" s="269"/>
      <c r="N3161" s="270"/>
      <c r="O3161" s="271"/>
      <c r="P3161" s="271"/>
      <c r="Q3161" s="272"/>
      <c r="R3161" s="273"/>
      <c r="S3161" s="273"/>
      <c r="T3161" s="273"/>
      <c r="U3161" s="274"/>
      <c r="V3161" s="263"/>
      <c r="W3161" s="35"/>
      <c r="X3161" s="35"/>
      <c r="Y3161" s="35"/>
      <c r="Z3161" s="35"/>
      <c r="AA3161" s="35"/>
      <c r="AB3161" s="35"/>
      <c r="AC3161" s="35"/>
      <c r="AD3161" s="35"/>
      <c r="AE3161" s="35"/>
      <c r="AF3161" s="35"/>
      <c r="AG3161" s="35"/>
      <c r="AH3161" s="35"/>
      <c r="AI3161" s="35"/>
    </row>
    <row r="3162">
      <c r="A3162" s="263"/>
      <c r="B3162" s="264"/>
      <c r="C3162" s="265"/>
      <c r="D3162" s="265"/>
      <c r="E3162" s="264"/>
      <c r="F3162" s="265"/>
      <c r="G3162" s="263"/>
      <c r="H3162" s="432"/>
      <c r="I3162" s="282"/>
      <c r="J3162" s="283"/>
      <c r="K3162" s="265"/>
      <c r="L3162" s="265"/>
      <c r="M3162" s="269"/>
      <c r="N3162" s="270"/>
      <c r="O3162" s="271"/>
      <c r="P3162" s="271"/>
      <c r="Q3162" s="272"/>
      <c r="R3162" s="273"/>
      <c r="S3162" s="273"/>
      <c r="T3162" s="273"/>
      <c r="U3162" s="274"/>
      <c r="V3162" s="263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</row>
    <row r="3163">
      <c r="A3163" s="263"/>
      <c r="B3163" s="264"/>
      <c r="C3163" s="265"/>
      <c r="D3163" s="265"/>
      <c r="E3163" s="264"/>
      <c r="F3163" s="265"/>
      <c r="G3163" s="263"/>
      <c r="H3163" s="432"/>
      <c r="I3163" s="282"/>
      <c r="J3163" s="283"/>
      <c r="K3163" s="265"/>
      <c r="L3163" s="265"/>
      <c r="M3163" s="269"/>
      <c r="N3163" s="270"/>
      <c r="O3163" s="271"/>
      <c r="P3163" s="271"/>
      <c r="Q3163" s="272"/>
      <c r="R3163" s="273"/>
      <c r="S3163" s="273"/>
      <c r="T3163" s="273"/>
      <c r="U3163" s="274"/>
      <c r="V3163" s="263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</row>
    <row r="3164">
      <c r="A3164" s="263"/>
      <c r="B3164" s="264"/>
      <c r="C3164" s="265"/>
      <c r="D3164" s="265"/>
      <c r="E3164" s="264"/>
      <c r="F3164" s="265"/>
      <c r="G3164" s="263"/>
      <c r="H3164" s="432"/>
      <c r="I3164" s="282"/>
      <c r="J3164" s="283"/>
      <c r="K3164" s="265"/>
      <c r="L3164" s="265"/>
      <c r="M3164" s="269"/>
      <c r="N3164" s="270"/>
      <c r="O3164" s="271"/>
      <c r="P3164" s="271"/>
      <c r="Q3164" s="272"/>
      <c r="R3164" s="273"/>
      <c r="S3164" s="273"/>
      <c r="T3164" s="273"/>
      <c r="U3164" s="274"/>
      <c r="V3164" s="263"/>
      <c r="W3164" s="188"/>
      <c r="X3164" s="188"/>
      <c r="Y3164" s="188"/>
      <c r="Z3164" s="188"/>
      <c r="AA3164" s="188"/>
      <c r="AB3164" s="188"/>
      <c r="AC3164" s="188"/>
      <c r="AD3164" s="188"/>
      <c r="AE3164" s="188"/>
      <c r="AF3164" s="188"/>
      <c r="AG3164" s="188"/>
      <c r="AH3164" s="188"/>
      <c r="AI3164" s="188"/>
    </row>
    <row r="3165">
      <c r="A3165" s="263"/>
      <c r="B3165" s="264"/>
      <c r="C3165" s="265"/>
      <c r="D3165" s="265"/>
      <c r="E3165" s="264"/>
      <c r="F3165" s="265"/>
      <c r="G3165" s="263"/>
      <c r="H3165" s="432"/>
      <c r="I3165" s="282"/>
      <c r="J3165" s="283"/>
      <c r="K3165" s="265"/>
      <c r="L3165" s="265"/>
      <c r="M3165" s="269"/>
      <c r="N3165" s="270"/>
      <c r="O3165" s="271"/>
      <c r="P3165" s="271"/>
      <c r="Q3165" s="272"/>
      <c r="R3165" s="273"/>
      <c r="S3165" s="273"/>
      <c r="T3165" s="273"/>
      <c r="U3165" s="274"/>
      <c r="V3165" s="263"/>
      <c r="W3165" s="35"/>
      <c r="X3165" s="35"/>
      <c r="Y3165" s="35"/>
      <c r="Z3165" s="35"/>
      <c r="AA3165" s="35"/>
      <c r="AB3165" s="35"/>
      <c r="AC3165" s="35"/>
      <c r="AD3165" s="35"/>
      <c r="AE3165" s="35"/>
      <c r="AF3165" s="35"/>
      <c r="AG3165" s="35"/>
      <c r="AH3165" s="35"/>
      <c r="AI3165" s="35"/>
    </row>
    <row r="3166">
      <c r="A3166" s="263"/>
      <c r="B3166" s="264"/>
      <c r="C3166" s="265"/>
      <c r="D3166" s="265"/>
      <c r="E3166" s="264"/>
      <c r="F3166" s="265"/>
      <c r="G3166" s="263"/>
      <c r="H3166" s="432"/>
      <c r="I3166" s="282"/>
      <c r="J3166" s="283"/>
      <c r="K3166" s="265"/>
      <c r="L3166" s="265"/>
      <c r="M3166" s="269"/>
      <c r="N3166" s="270"/>
      <c r="O3166" s="271"/>
      <c r="P3166" s="271"/>
      <c r="Q3166" s="272"/>
      <c r="R3166" s="273"/>
      <c r="S3166" s="273"/>
      <c r="T3166" s="273"/>
      <c r="U3166" s="274"/>
      <c r="V3166" s="263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</row>
    <row r="3167">
      <c r="A3167" s="263"/>
      <c r="B3167" s="264"/>
      <c r="C3167" s="265"/>
      <c r="D3167" s="265"/>
      <c r="E3167" s="264"/>
      <c r="F3167" s="265"/>
      <c r="G3167" s="263"/>
      <c r="H3167" s="432"/>
      <c r="I3167" s="282"/>
      <c r="J3167" s="283"/>
      <c r="K3167" s="265"/>
      <c r="L3167" s="265"/>
      <c r="M3167" s="269"/>
      <c r="N3167" s="270"/>
      <c r="O3167" s="271"/>
      <c r="P3167" s="271"/>
      <c r="Q3167" s="272"/>
      <c r="R3167" s="273"/>
      <c r="S3167" s="273"/>
      <c r="T3167" s="273"/>
      <c r="U3167" s="274"/>
      <c r="V3167" s="263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</row>
    <row r="3168">
      <c r="A3168" s="263"/>
      <c r="B3168" s="264"/>
      <c r="C3168" s="265"/>
      <c r="D3168" s="265"/>
      <c r="E3168" s="264"/>
      <c r="F3168" s="265"/>
      <c r="G3168" s="263"/>
      <c r="H3168" s="432"/>
      <c r="I3168" s="282"/>
      <c r="J3168" s="283"/>
      <c r="K3168" s="265"/>
      <c r="L3168" s="265"/>
      <c r="M3168" s="269"/>
      <c r="N3168" s="270"/>
      <c r="O3168" s="271"/>
      <c r="P3168" s="271"/>
      <c r="Q3168" s="272"/>
      <c r="R3168" s="273"/>
      <c r="S3168" s="273"/>
      <c r="T3168" s="273"/>
      <c r="U3168" s="274"/>
      <c r="V3168" s="263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</row>
    <row r="3169">
      <c r="A3169" s="263"/>
      <c r="B3169" s="264"/>
      <c r="C3169" s="265"/>
      <c r="D3169" s="265"/>
      <c r="E3169" s="264"/>
      <c r="F3169" s="265"/>
      <c r="G3169" s="263"/>
      <c r="H3169" s="432"/>
      <c r="I3169" s="282"/>
      <c r="J3169" s="283"/>
      <c r="K3169" s="265"/>
      <c r="L3169" s="265"/>
      <c r="M3169" s="269"/>
      <c r="N3169" s="270"/>
      <c r="O3169" s="271"/>
      <c r="P3169" s="271"/>
      <c r="Q3169" s="272"/>
      <c r="R3169" s="273"/>
      <c r="S3169" s="273"/>
      <c r="T3169" s="273"/>
      <c r="U3169" s="274"/>
      <c r="V3169" s="263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</row>
    <row r="3170">
      <c r="A3170" s="263"/>
      <c r="B3170" s="264"/>
      <c r="C3170" s="265"/>
      <c r="D3170" s="265"/>
      <c r="E3170" s="264"/>
      <c r="F3170" s="265"/>
      <c r="G3170" s="263"/>
      <c r="H3170" s="432"/>
      <c r="I3170" s="282"/>
      <c r="J3170" s="283"/>
      <c r="K3170" s="265"/>
      <c r="L3170" s="265"/>
      <c r="M3170" s="269"/>
      <c r="N3170" s="270"/>
      <c r="O3170" s="271"/>
      <c r="P3170" s="271"/>
      <c r="Q3170" s="272"/>
      <c r="R3170" s="273"/>
      <c r="S3170" s="273"/>
      <c r="T3170" s="273"/>
      <c r="U3170" s="274"/>
      <c r="V3170" s="263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</row>
    <row r="3171">
      <c r="A3171" s="263"/>
      <c r="B3171" s="264"/>
      <c r="C3171" s="265"/>
      <c r="D3171" s="265"/>
      <c r="E3171" s="264"/>
      <c r="F3171" s="265"/>
      <c r="G3171" s="263"/>
      <c r="H3171" s="432"/>
      <c r="I3171" s="282"/>
      <c r="J3171" s="283"/>
      <c r="K3171" s="265"/>
      <c r="L3171" s="265"/>
      <c r="M3171" s="269"/>
      <c r="N3171" s="270"/>
      <c r="O3171" s="271"/>
      <c r="P3171" s="271"/>
      <c r="Q3171" s="272"/>
      <c r="R3171" s="273"/>
      <c r="S3171" s="273"/>
      <c r="T3171" s="273"/>
      <c r="U3171" s="274"/>
      <c r="V3171" s="263"/>
      <c r="W3171" s="35"/>
      <c r="X3171" s="35"/>
      <c r="Y3171" s="35"/>
      <c r="Z3171" s="35"/>
      <c r="AA3171" s="35"/>
      <c r="AB3171" s="35"/>
      <c r="AC3171" s="35"/>
      <c r="AD3171" s="35"/>
      <c r="AE3171" s="35"/>
      <c r="AF3171" s="35"/>
      <c r="AG3171" s="35"/>
      <c r="AH3171" s="35"/>
      <c r="AI3171" s="35"/>
    </row>
    <row r="3172">
      <c r="A3172" s="263"/>
      <c r="B3172" s="264"/>
      <c r="C3172" s="265"/>
      <c r="D3172" s="265"/>
      <c r="E3172" s="264"/>
      <c r="F3172" s="265"/>
      <c r="G3172" s="263"/>
      <c r="H3172" s="432"/>
      <c r="I3172" s="282"/>
      <c r="J3172" s="283"/>
      <c r="K3172" s="265"/>
      <c r="L3172" s="265"/>
      <c r="M3172" s="269"/>
      <c r="N3172" s="270"/>
      <c r="O3172" s="271"/>
      <c r="P3172" s="271"/>
      <c r="Q3172" s="272"/>
      <c r="R3172" s="273"/>
      <c r="S3172" s="273"/>
      <c r="T3172" s="273"/>
      <c r="U3172" s="274"/>
      <c r="V3172" s="263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</row>
    <row r="3173">
      <c r="A3173" s="263"/>
      <c r="B3173" s="264"/>
      <c r="C3173" s="265"/>
      <c r="D3173" s="265"/>
      <c r="E3173" s="264"/>
      <c r="F3173" s="265"/>
      <c r="G3173" s="263"/>
      <c r="H3173" s="432"/>
      <c r="I3173" s="282"/>
      <c r="J3173" s="283"/>
      <c r="K3173" s="265"/>
      <c r="L3173" s="265"/>
      <c r="M3173" s="269"/>
      <c r="N3173" s="270"/>
      <c r="O3173" s="271"/>
      <c r="P3173" s="271"/>
      <c r="Q3173" s="272"/>
      <c r="R3173" s="273"/>
      <c r="S3173" s="273"/>
      <c r="T3173" s="273"/>
      <c r="U3173" s="274"/>
      <c r="V3173" s="263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</row>
    <row r="3174">
      <c r="A3174" s="263"/>
      <c r="B3174" s="264"/>
      <c r="C3174" s="265"/>
      <c r="D3174" s="265"/>
      <c r="E3174" s="264"/>
      <c r="F3174" s="265"/>
      <c r="G3174" s="263"/>
      <c r="H3174" s="432"/>
      <c r="I3174" s="282"/>
      <c r="J3174" s="283"/>
      <c r="K3174" s="265"/>
      <c r="L3174" s="265"/>
      <c r="M3174" s="269"/>
      <c r="N3174" s="270"/>
      <c r="O3174" s="271"/>
      <c r="P3174" s="271"/>
      <c r="Q3174" s="272"/>
      <c r="R3174" s="273"/>
      <c r="S3174" s="273"/>
      <c r="T3174" s="273"/>
      <c r="U3174" s="274"/>
      <c r="V3174" s="263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</row>
    <row r="3175">
      <c r="A3175" s="263"/>
      <c r="B3175" s="264"/>
      <c r="C3175" s="265"/>
      <c r="D3175" s="265"/>
      <c r="E3175" s="264"/>
      <c r="F3175" s="265"/>
      <c r="G3175" s="263"/>
      <c r="H3175" s="432"/>
      <c r="I3175" s="282"/>
      <c r="J3175" s="283"/>
      <c r="K3175" s="265"/>
      <c r="L3175" s="265"/>
      <c r="M3175" s="269"/>
      <c r="N3175" s="270"/>
      <c r="O3175" s="271"/>
      <c r="P3175" s="271"/>
      <c r="Q3175" s="272"/>
      <c r="R3175" s="273"/>
      <c r="S3175" s="273"/>
      <c r="T3175" s="273"/>
      <c r="U3175" s="274"/>
      <c r="V3175" s="263"/>
      <c r="W3175" s="188"/>
      <c r="X3175" s="188"/>
      <c r="Y3175" s="188"/>
      <c r="Z3175" s="188"/>
      <c r="AA3175" s="188"/>
      <c r="AB3175" s="188"/>
      <c r="AC3175" s="188"/>
      <c r="AD3175" s="188"/>
      <c r="AE3175" s="188"/>
      <c r="AF3175" s="188"/>
      <c r="AG3175" s="188"/>
      <c r="AH3175" s="188"/>
      <c r="AI3175" s="188"/>
    </row>
    <row r="3176">
      <c r="A3176" s="263"/>
      <c r="B3176" s="264"/>
      <c r="C3176" s="265"/>
      <c r="D3176" s="265"/>
      <c r="E3176" s="264"/>
      <c r="F3176" s="265"/>
      <c r="G3176" s="263"/>
      <c r="H3176" s="432"/>
      <c r="I3176" s="282"/>
      <c r="J3176" s="283"/>
      <c r="K3176" s="265"/>
      <c r="L3176" s="265"/>
      <c r="M3176" s="269"/>
      <c r="N3176" s="270"/>
      <c r="O3176" s="271"/>
      <c r="P3176" s="271"/>
      <c r="Q3176" s="272"/>
      <c r="R3176" s="273"/>
      <c r="S3176" s="273"/>
      <c r="T3176" s="273"/>
      <c r="U3176" s="274"/>
      <c r="V3176" s="263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</row>
    <row r="3177">
      <c r="A3177" s="263"/>
      <c r="B3177" s="264"/>
      <c r="C3177" s="265"/>
      <c r="D3177" s="265"/>
      <c r="E3177" s="264"/>
      <c r="F3177" s="265"/>
      <c r="G3177" s="263"/>
      <c r="H3177" s="432"/>
      <c r="I3177" s="282"/>
      <c r="J3177" s="283"/>
      <c r="K3177" s="265"/>
      <c r="L3177" s="265"/>
      <c r="M3177" s="269"/>
      <c r="N3177" s="270"/>
      <c r="O3177" s="271"/>
      <c r="P3177" s="271"/>
      <c r="Q3177" s="272"/>
      <c r="R3177" s="273"/>
      <c r="S3177" s="273"/>
      <c r="T3177" s="273"/>
      <c r="U3177" s="274"/>
      <c r="V3177" s="263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</row>
    <row r="3178">
      <c r="A3178" s="263"/>
      <c r="B3178" s="264"/>
      <c r="C3178" s="265"/>
      <c r="D3178" s="265"/>
      <c r="E3178" s="264"/>
      <c r="F3178" s="265"/>
      <c r="G3178" s="263"/>
      <c r="H3178" s="432"/>
      <c r="I3178" s="282"/>
      <c r="J3178" s="283"/>
      <c r="K3178" s="265"/>
      <c r="L3178" s="265"/>
      <c r="M3178" s="269"/>
      <c r="N3178" s="270"/>
      <c r="O3178" s="271"/>
      <c r="P3178" s="271"/>
      <c r="Q3178" s="272"/>
      <c r="R3178" s="273"/>
      <c r="S3178" s="273"/>
      <c r="T3178" s="273"/>
      <c r="U3178" s="274"/>
      <c r="V3178" s="263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</row>
    <row r="3179">
      <c r="A3179" s="263"/>
      <c r="B3179" s="264"/>
      <c r="C3179" s="265"/>
      <c r="D3179" s="265"/>
      <c r="E3179" s="264"/>
      <c r="F3179" s="265"/>
      <c r="G3179" s="263"/>
      <c r="H3179" s="432"/>
      <c r="I3179" s="282"/>
      <c r="J3179" s="283"/>
      <c r="K3179" s="265"/>
      <c r="L3179" s="265"/>
      <c r="M3179" s="269"/>
      <c r="N3179" s="270"/>
      <c r="O3179" s="271"/>
      <c r="P3179" s="271"/>
      <c r="Q3179" s="272"/>
      <c r="R3179" s="273"/>
      <c r="S3179" s="273"/>
      <c r="T3179" s="273"/>
      <c r="U3179" s="274"/>
      <c r="V3179" s="263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</row>
    <row r="3180">
      <c r="A3180" s="263"/>
      <c r="B3180" s="264"/>
      <c r="C3180" s="265"/>
      <c r="D3180" s="265"/>
      <c r="E3180" s="264"/>
      <c r="F3180" s="265"/>
      <c r="G3180" s="263"/>
      <c r="H3180" s="432"/>
      <c r="I3180" s="282"/>
      <c r="J3180" s="283"/>
      <c r="K3180" s="265"/>
      <c r="L3180" s="265"/>
      <c r="M3180" s="269"/>
      <c r="N3180" s="270"/>
      <c r="O3180" s="271"/>
      <c r="P3180" s="271"/>
      <c r="Q3180" s="272"/>
      <c r="R3180" s="273"/>
      <c r="S3180" s="273"/>
      <c r="T3180" s="273"/>
      <c r="U3180" s="274"/>
      <c r="V3180" s="263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</row>
    <row r="3181">
      <c r="A3181" s="263"/>
      <c r="B3181" s="264"/>
      <c r="C3181" s="265"/>
      <c r="D3181" s="265"/>
      <c r="E3181" s="264"/>
      <c r="F3181" s="265"/>
      <c r="G3181" s="263"/>
      <c r="H3181" s="432"/>
      <c r="I3181" s="282"/>
      <c r="J3181" s="283"/>
      <c r="K3181" s="265"/>
      <c r="L3181" s="265"/>
      <c r="M3181" s="269"/>
      <c r="N3181" s="270"/>
      <c r="O3181" s="271"/>
      <c r="P3181" s="271"/>
      <c r="Q3181" s="272"/>
      <c r="R3181" s="273"/>
      <c r="S3181" s="273"/>
      <c r="T3181" s="273"/>
      <c r="U3181" s="274"/>
      <c r="V3181" s="263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</row>
    <row r="3182">
      <c r="A3182" s="263"/>
      <c r="B3182" s="264"/>
      <c r="C3182" s="265"/>
      <c r="D3182" s="265"/>
      <c r="E3182" s="264"/>
      <c r="F3182" s="265"/>
      <c r="G3182" s="263"/>
      <c r="H3182" s="432"/>
      <c r="I3182" s="282"/>
      <c r="J3182" s="283"/>
      <c r="K3182" s="265"/>
      <c r="L3182" s="265"/>
      <c r="M3182" s="269"/>
      <c r="N3182" s="270"/>
      <c r="O3182" s="271"/>
      <c r="P3182" s="271"/>
      <c r="Q3182" s="272"/>
      <c r="R3182" s="273"/>
      <c r="S3182" s="273"/>
      <c r="T3182" s="273"/>
      <c r="U3182" s="274"/>
      <c r="V3182" s="263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</row>
    <row r="3183">
      <c r="A3183" s="263"/>
      <c r="B3183" s="264"/>
      <c r="C3183" s="265"/>
      <c r="D3183" s="265"/>
      <c r="E3183" s="264"/>
      <c r="F3183" s="265"/>
      <c r="G3183" s="263"/>
      <c r="H3183" s="432"/>
      <c r="I3183" s="282"/>
      <c r="J3183" s="283"/>
      <c r="K3183" s="265"/>
      <c r="L3183" s="265"/>
      <c r="M3183" s="269"/>
      <c r="N3183" s="270"/>
      <c r="O3183" s="271"/>
      <c r="P3183" s="271"/>
      <c r="Q3183" s="272"/>
      <c r="R3183" s="273"/>
      <c r="S3183" s="273"/>
      <c r="T3183" s="273"/>
      <c r="U3183" s="274"/>
      <c r="V3183" s="263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</row>
    <row r="3184">
      <c r="A3184" s="263"/>
      <c r="B3184" s="264"/>
      <c r="C3184" s="265"/>
      <c r="D3184" s="265"/>
      <c r="E3184" s="264"/>
      <c r="F3184" s="265"/>
      <c r="G3184" s="263"/>
      <c r="H3184" s="432"/>
      <c r="I3184" s="282"/>
      <c r="J3184" s="283"/>
      <c r="K3184" s="265"/>
      <c r="L3184" s="265"/>
      <c r="M3184" s="269"/>
      <c r="N3184" s="270"/>
      <c r="O3184" s="271"/>
      <c r="P3184" s="271"/>
      <c r="Q3184" s="272"/>
      <c r="R3184" s="273"/>
      <c r="S3184" s="273"/>
      <c r="T3184" s="273"/>
      <c r="U3184" s="274"/>
      <c r="V3184" s="263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</row>
    <row r="3185">
      <c r="A3185" s="263"/>
      <c r="B3185" s="264"/>
      <c r="C3185" s="265"/>
      <c r="D3185" s="265"/>
      <c r="E3185" s="264"/>
      <c r="F3185" s="265"/>
      <c r="G3185" s="263"/>
      <c r="H3185" s="432"/>
      <c r="I3185" s="282"/>
      <c r="J3185" s="283"/>
      <c r="K3185" s="265"/>
      <c r="L3185" s="265"/>
      <c r="M3185" s="269"/>
      <c r="N3185" s="270"/>
      <c r="O3185" s="271"/>
      <c r="P3185" s="271"/>
      <c r="Q3185" s="272"/>
      <c r="R3185" s="273"/>
      <c r="S3185" s="273"/>
      <c r="T3185" s="273"/>
      <c r="U3185" s="274"/>
      <c r="V3185" s="263"/>
      <c r="W3185" s="188"/>
      <c r="X3185" s="188"/>
      <c r="Y3185" s="188"/>
      <c r="Z3185" s="188"/>
      <c r="AA3185" s="188"/>
      <c r="AB3185" s="188"/>
      <c r="AC3185" s="188"/>
      <c r="AD3185" s="188"/>
      <c r="AE3185" s="188"/>
      <c r="AF3185" s="188"/>
      <c r="AG3185" s="188"/>
      <c r="AH3185" s="188"/>
      <c r="AI3185" s="188"/>
    </row>
    <row r="3186">
      <c r="A3186" s="263"/>
      <c r="B3186" s="264"/>
      <c r="C3186" s="265"/>
      <c r="D3186" s="265"/>
      <c r="E3186" s="264"/>
      <c r="F3186" s="265"/>
      <c r="G3186" s="263"/>
      <c r="H3186" s="432"/>
      <c r="I3186" s="282"/>
      <c r="J3186" s="283"/>
      <c r="K3186" s="265"/>
      <c r="L3186" s="265"/>
      <c r="M3186" s="269"/>
      <c r="N3186" s="270"/>
      <c r="O3186" s="271"/>
      <c r="P3186" s="271"/>
      <c r="Q3186" s="272"/>
      <c r="R3186" s="273"/>
      <c r="S3186" s="273"/>
      <c r="T3186" s="273"/>
      <c r="U3186" s="274"/>
      <c r="V3186" s="263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</row>
    <row r="3187">
      <c r="A3187" s="263"/>
      <c r="B3187" s="264"/>
      <c r="C3187" s="265"/>
      <c r="D3187" s="265"/>
      <c r="E3187" s="264"/>
      <c r="F3187" s="265"/>
      <c r="G3187" s="263"/>
      <c r="H3187" s="432"/>
      <c r="I3187" s="282"/>
      <c r="J3187" s="283"/>
      <c r="K3187" s="265"/>
      <c r="L3187" s="265"/>
      <c r="M3187" s="269"/>
      <c r="N3187" s="270"/>
      <c r="O3187" s="271"/>
      <c r="P3187" s="271"/>
      <c r="Q3187" s="272"/>
      <c r="R3187" s="273"/>
      <c r="S3187" s="273"/>
      <c r="T3187" s="273"/>
      <c r="U3187" s="274"/>
      <c r="V3187" s="263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</row>
    <row r="3188">
      <c r="A3188" s="263"/>
      <c r="B3188" s="264"/>
      <c r="C3188" s="265"/>
      <c r="D3188" s="265"/>
      <c r="E3188" s="264"/>
      <c r="F3188" s="265"/>
      <c r="G3188" s="263"/>
      <c r="H3188" s="432"/>
      <c r="I3188" s="282"/>
      <c r="J3188" s="283"/>
      <c r="K3188" s="265"/>
      <c r="L3188" s="265"/>
      <c r="M3188" s="269"/>
      <c r="N3188" s="270"/>
      <c r="O3188" s="271"/>
      <c r="P3188" s="271"/>
      <c r="Q3188" s="272"/>
      <c r="R3188" s="273"/>
      <c r="S3188" s="273"/>
      <c r="T3188" s="273"/>
      <c r="U3188" s="274"/>
      <c r="V3188" s="263"/>
      <c r="W3188" s="35"/>
      <c r="X3188" s="35"/>
      <c r="Y3188" s="35"/>
      <c r="Z3188" s="35"/>
      <c r="AA3188" s="35"/>
      <c r="AB3188" s="35"/>
      <c r="AC3188" s="35"/>
      <c r="AD3188" s="35"/>
      <c r="AE3188" s="35"/>
      <c r="AF3188" s="35"/>
      <c r="AG3188" s="35"/>
      <c r="AH3188" s="35"/>
      <c r="AI3188" s="35"/>
    </row>
    <row r="3189">
      <c r="A3189" s="263"/>
      <c r="B3189" s="264"/>
      <c r="C3189" s="265"/>
      <c r="D3189" s="265"/>
      <c r="E3189" s="264"/>
      <c r="F3189" s="265"/>
      <c r="G3189" s="263"/>
      <c r="H3189" s="432"/>
      <c r="I3189" s="282"/>
      <c r="J3189" s="283"/>
      <c r="K3189" s="265"/>
      <c r="L3189" s="265"/>
      <c r="M3189" s="269"/>
      <c r="N3189" s="270"/>
      <c r="O3189" s="271"/>
      <c r="P3189" s="271"/>
      <c r="Q3189" s="272"/>
      <c r="R3189" s="273"/>
      <c r="S3189" s="273"/>
      <c r="T3189" s="273"/>
      <c r="U3189" s="274"/>
      <c r="V3189" s="263"/>
      <c r="W3189" s="188"/>
      <c r="X3189" s="188"/>
      <c r="Y3189" s="188"/>
      <c r="Z3189" s="188"/>
      <c r="AA3189" s="188"/>
      <c r="AB3189" s="188"/>
      <c r="AC3189" s="188"/>
      <c r="AD3189" s="188"/>
      <c r="AE3189" s="188"/>
      <c r="AF3189" s="188"/>
      <c r="AG3189" s="188"/>
      <c r="AH3189" s="188"/>
      <c r="AI3189" s="188"/>
    </row>
    <row r="3190">
      <c r="A3190" s="263"/>
      <c r="B3190" s="264"/>
      <c r="C3190" s="265"/>
      <c r="D3190" s="265"/>
      <c r="E3190" s="264"/>
      <c r="F3190" s="265"/>
      <c r="G3190" s="263"/>
      <c r="H3190" s="432"/>
      <c r="I3190" s="282"/>
      <c r="J3190" s="283"/>
      <c r="K3190" s="265"/>
      <c r="L3190" s="265"/>
      <c r="M3190" s="269"/>
      <c r="N3190" s="270"/>
      <c r="O3190" s="271"/>
      <c r="P3190" s="271"/>
      <c r="Q3190" s="272"/>
      <c r="R3190" s="273"/>
      <c r="S3190" s="273"/>
      <c r="T3190" s="273"/>
      <c r="U3190" s="274"/>
      <c r="V3190" s="263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</row>
    <row r="3191">
      <c r="A3191" s="263"/>
      <c r="B3191" s="264"/>
      <c r="C3191" s="265"/>
      <c r="D3191" s="265"/>
      <c r="E3191" s="264"/>
      <c r="F3191" s="265"/>
      <c r="G3191" s="263"/>
      <c r="H3191" s="432"/>
      <c r="I3191" s="282"/>
      <c r="J3191" s="283"/>
      <c r="K3191" s="265"/>
      <c r="L3191" s="265"/>
      <c r="M3191" s="269"/>
      <c r="N3191" s="270"/>
      <c r="O3191" s="271"/>
      <c r="P3191" s="271"/>
      <c r="Q3191" s="272"/>
      <c r="R3191" s="273"/>
      <c r="S3191" s="273"/>
      <c r="T3191" s="273"/>
      <c r="U3191" s="274"/>
      <c r="V3191" s="263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</row>
    <row r="3192">
      <c r="A3192" s="263"/>
      <c r="B3192" s="264"/>
      <c r="C3192" s="265"/>
      <c r="D3192" s="265"/>
      <c r="E3192" s="264"/>
      <c r="F3192" s="265"/>
      <c r="G3192" s="263"/>
      <c r="H3192" s="432"/>
      <c r="I3192" s="282"/>
      <c r="J3192" s="283"/>
      <c r="K3192" s="265"/>
      <c r="L3192" s="265"/>
      <c r="M3192" s="269"/>
      <c r="N3192" s="270"/>
      <c r="O3192" s="271"/>
      <c r="P3192" s="271"/>
      <c r="Q3192" s="272"/>
      <c r="R3192" s="273"/>
      <c r="S3192" s="273"/>
      <c r="T3192" s="273"/>
      <c r="U3192" s="274"/>
      <c r="V3192" s="263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</row>
    <row r="3193">
      <c r="A3193" s="263"/>
      <c r="B3193" s="264"/>
      <c r="C3193" s="265"/>
      <c r="D3193" s="265"/>
      <c r="E3193" s="264"/>
      <c r="F3193" s="265"/>
      <c r="G3193" s="263"/>
      <c r="H3193" s="432"/>
      <c r="I3193" s="282"/>
      <c r="J3193" s="283"/>
      <c r="K3193" s="265"/>
      <c r="L3193" s="265"/>
      <c r="M3193" s="269"/>
      <c r="N3193" s="270"/>
      <c r="O3193" s="271"/>
      <c r="P3193" s="271"/>
      <c r="Q3193" s="272"/>
      <c r="R3193" s="273"/>
      <c r="S3193" s="273"/>
      <c r="T3193" s="273"/>
      <c r="U3193" s="274"/>
      <c r="V3193" s="263"/>
      <c r="W3193" s="35"/>
      <c r="X3193" s="35"/>
      <c r="Y3193" s="35"/>
      <c r="Z3193" s="35"/>
      <c r="AA3193" s="35"/>
      <c r="AB3193" s="35"/>
      <c r="AC3193" s="35"/>
      <c r="AD3193" s="35"/>
      <c r="AE3193" s="35"/>
      <c r="AF3193" s="35"/>
      <c r="AG3193" s="35"/>
      <c r="AH3193" s="35"/>
      <c r="AI3193" s="35"/>
    </row>
    <row r="3194">
      <c r="A3194" s="263"/>
      <c r="B3194" s="264"/>
      <c r="C3194" s="265"/>
      <c r="D3194" s="265"/>
      <c r="E3194" s="264"/>
      <c r="F3194" s="265"/>
      <c r="G3194" s="263"/>
      <c r="H3194" s="432"/>
      <c r="I3194" s="282"/>
      <c r="J3194" s="283"/>
      <c r="K3194" s="265"/>
      <c r="L3194" s="265"/>
      <c r="M3194" s="269"/>
      <c r="N3194" s="270"/>
      <c r="O3194" s="271"/>
      <c r="P3194" s="271"/>
      <c r="Q3194" s="272"/>
      <c r="R3194" s="273"/>
      <c r="S3194" s="273"/>
      <c r="T3194" s="273"/>
      <c r="U3194" s="274"/>
      <c r="V3194" s="263"/>
      <c r="W3194" s="188"/>
      <c r="X3194" s="188"/>
      <c r="Y3194" s="188"/>
      <c r="Z3194" s="188"/>
      <c r="AA3194" s="188"/>
      <c r="AB3194" s="188"/>
      <c r="AC3194" s="188"/>
      <c r="AD3194" s="188"/>
      <c r="AE3194" s="188"/>
      <c r="AF3194" s="188"/>
      <c r="AG3194" s="188"/>
      <c r="AH3194" s="188"/>
      <c r="AI3194" s="188"/>
    </row>
    <row r="3195">
      <c r="A3195" s="263"/>
      <c r="B3195" s="264"/>
      <c r="C3195" s="265"/>
      <c r="D3195" s="265"/>
      <c r="E3195" s="264"/>
      <c r="F3195" s="265"/>
      <c r="G3195" s="263"/>
      <c r="H3195" s="432"/>
      <c r="I3195" s="282"/>
      <c r="J3195" s="283"/>
      <c r="K3195" s="265"/>
      <c r="L3195" s="265"/>
      <c r="M3195" s="269"/>
      <c r="N3195" s="270"/>
      <c r="O3195" s="271"/>
      <c r="P3195" s="271"/>
      <c r="Q3195" s="272"/>
      <c r="R3195" s="273"/>
      <c r="S3195" s="273"/>
      <c r="T3195" s="273"/>
      <c r="U3195" s="274"/>
      <c r="V3195" s="263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</row>
    <row r="3196">
      <c r="A3196" s="263"/>
      <c r="B3196" s="264"/>
      <c r="C3196" s="265"/>
      <c r="D3196" s="265"/>
      <c r="E3196" s="264"/>
      <c r="F3196" s="265"/>
      <c r="G3196" s="263"/>
      <c r="H3196" s="432"/>
      <c r="I3196" s="282"/>
      <c r="J3196" s="283"/>
      <c r="K3196" s="265"/>
      <c r="L3196" s="265"/>
      <c r="M3196" s="269"/>
      <c r="N3196" s="270"/>
      <c r="O3196" s="271"/>
      <c r="P3196" s="271"/>
      <c r="Q3196" s="272"/>
      <c r="R3196" s="273"/>
      <c r="S3196" s="273"/>
      <c r="T3196" s="273"/>
      <c r="U3196" s="274"/>
      <c r="V3196" s="263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</row>
    <row r="3197">
      <c r="A3197" s="263"/>
      <c r="B3197" s="264"/>
      <c r="C3197" s="265"/>
      <c r="D3197" s="265"/>
      <c r="E3197" s="264"/>
      <c r="F3197" s="265"/>
      <c r="G3197" s="263"/>
      <c r="H3197" s="432"/>
      <c r="I3197" s="282"/>
      <c r="J3197" s="283"/>
      <c r="K3197" s="265"/>
      <c r="L3197" s="265"/>
      <c r="M3197" s="269"/>
      <c r="N3197" s="270"/>
      <c r="O3197" s="271"/>
      <c r="P3197" s="271"/>
      <c r="Q3197" s="272"/>
      <c r="R3197" s="273"/>
      <c r="S3197" s="273"/>
      <c r="T3197" s="273"/>
      <c r="U3197" s="274"/>
      <c r="V3197" s="263"/>
      <c r="W3197" s="35"/>
      <c r="X3197" s="35"/>
      <c r="Y3197" s="35"/>
      <c r="Z3197" s="35"/>
      <c r="AA3197" s="35"/>
      <c r="AB3197" s="35"/>
      <c r="AC3197" s="35"/>
      <c r="AD3197" s="35"/>
      <c r="AE3197" s="35"/>
      <c r="AF3197" s="35"/>
      <c r="AG3197" s="35"/>
      <c r="AH3197" s="35"/>
      <c r="AI3197" s="35"/>
    </row>
    <row r="3198">
      <c r="A3198" s="263"/>
      <c r="B3198" s="264"/>
      <c r="C3198" s="265"/>
      <c r="D3198" s="265"/>
      <c r="E3198" s="264"/>
      <c r="F3198" s="265"/>
      <c r="G3198" s="263"/>
      <c r="H3198" s="432"/>
      <c r="I3198" s="282"/>
      <c r="J3198" s="283"/>
      <c r="K3198" s="265"/>
      <c r="L3198" s="265"/>
      <c r="M3198" s="269"/>
      <c r="N3198" s="270"/>
      <c r="O3198" s="271"/>
      <c r="P3198" s="271"/>
      <c r="Q3198" s="272"/>
      <c r="R3198" s="273"/>
      <c r="S3198" s="273"/>
      <c r="T3198" s="273"/>
      <c r="U3198" s="274"/>
      <c r="V3198" s="263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</row>
    <row r="3199">
      <c r="A3199" s="263"/>
      <c r="B3199" s="264"/>
      <c r="C3199" s="265"/>
      <c r="D3199" s="265"/>
      <c r="E3199" s="264"/>
      <c r="F3199" s="265"/>
      <c r="G3199" s="263"/>
      <c r="H3199" s="432"/>
      <c r="I3199" s="282"/>
      <c r="J3199" s="283"/>
      <c r="K3199" s="265"/>
      <c r="L3199" s="265"/>
      <c r="M3199" s="269"/>
      <c r="N3199" s="270"/>
      <c r="O3199" s="271"/>
      <c r="P3199" s="271"/>
      <c r="Q3199" s="272"/>
      <c r="R3199" s="273"/>
      <c r="S3199" s="273"/>
      <c r="T3199" s="273"/>
      <c r="U3199" s="274"/>
      <c r="V3199" s="263"/>
      <c r="W3199" s="35"/>
      <c r="X3199" s="35"/>
      <c r="Y3199" s="35"/>
      <c r="Z3199" s="35"/>
      <c r="AA3199" s="35"/>
      <c r="AB3199" s="35"/>
      <c r="AC3199" s="35"/>
      <c r="AD3199" s="35"/>
      <c r="AE3199" s="35"/>
      <c r="AF3199" s="35"/>
      <c r="AG3199" s="35"/>
      <c r="AH3199" s="35"/>
      <c r="AI3199" s="35"/>
    </row>
    <row r="3200">
      <c r="A3200" s="263"/>
      <c r="B3200" s="264"/>
      <c r="C3200" s="265"/>
      <c r="D3200" s="265"/>
      <c r="E3200" s="264"/>
      <c r="F3200" s="265"/>
      <c r="G3200" s="263"/>
      <c r="H3200" s="432"/>
      <c r="I3200" s="282"/>
      <c r="J3200" s="283"/>
      <c r="K3200" s="265"/>
      <c r="L3200" s="265"/>
      <c r="M3200" s="269"/>
      <c r="N3200" s="270"/>
      <c r="O3200" s="271"/>
      <c r="P3200" s="271"/>
      <c r="Q3200" s="272"/>
      <c r="R3200" s="273"/>
      <c r="S3200" s="273"/>
      <c r="T3200" s="273"/>
      <c r="U3200" s="274"/>
      <c r="V3200" s="263"/>
      <c r="W3200" s="188"/>
      <c r="X3200" s="188"/>
      <c r="Y3200" s="188"/>
      <c r="Z3200" s="188"/>
      <c r="AA3200" s="188"/>
      <c r="AB3200" s="188"/>
      <c r="AC3200" s="188"/>
      <c r="AD3200" s="188"/>
      <c r="AE3200" s="188"/>
      <c r="AF3200" s="188"/>
      <c r="AG3200" s="188"/>
      <c r="AH3200" s="188"/>
      <c r="AI3200" s="188"/>
    </row>
    <row r="3201">
      <c r="A3201" s="263"/>
      <c r="B3201" s="264"/>
      <c r="C3201" s="265"/>
      <c r="D3201" s="265"/>
      <c r="E3201" s="264"/>
      <c r="F3201" s="265"/>
      <c r="G3201" s="263"/>
      <c r="H3201" s="432"/>
      <c r="I3201" s="282"/>
      <c r="J3201" s="283"/>
      <c r="K3201" s="265"/>
      <c r="L3201" s="265"/>
      <c r="M3201" s="269"/>
      <c r="N3201" s="270"/>
      <c r="O3201" s="271"/>
      <c r="P3201" s="271"/>
      <c r="Q3201" s="272"/>
      <c r="R3201" s="273"/>
      <c r="S3201" s="273"/>
      <c r="T3201" s="273"/>
      <c r="U3201" s="274"/>
      <c r="V3201" s="263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</row>
    <row r="3202">
      <c r="A3202" s="263"/>
      <c r="B3202" s="264"/>
      <c r="C3202" s="265"/>
      <c r="D3202" s="265"/>
      <c r="E3202" s="264"/>
      <c r="F3202" s="265"/>
      <c r="G3202" s="263"/>
      <c r="H3202" s="432"/>
      <c r="I3202" s="282"/>
      <c r="J3202" s="283"/>
      <c r="K3202" s="265"/>
      <c r="L3202" s="265"/>
      <c r="M3202" s="269"/>
      <c r="N3202" s="270"/>
      <c r="O3202" s="271"/>
      <c r="P3202" s="271"/>
      <c r="Q3202" s="272"/>
      <c r="R3202" s="273"/>
      <c r="S3202" s="273"/>
      <c r="T3202" s="273"/>
      <c r="U3202" s="274"/>
      <c r="V3202" s="263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</row>
    <row r="3203">
      <c r="A3203" s="263"/>
      <c r="B3203" s="264"/>
      <c r="C3203" s="265"/>
      <c r="D3203" s="265"/>
      <c r="E3203" s="264"/>
      <c r="F3203" s="265"/>
      <c r="G3203" s="263"/>
      <c r="H3203" s="432"/>
      <c r="I3203" s="282"/>
      <c r="J3203" s="283"/>
      <c r="K3203" s="265"/>
      <c r="L3203" s="265"/>
      <c r="M3203" s="269"/>
      <c r="N3203" s="270"/>
      <c r="O3203" s="271"/>
      <c r="P3203" s="271"/>
      <c r="Q3203" s="272"/>
      <c r="R3203" s="273"/>
      <c r="S3203" s="273"/>
      <c r="T3203" s="273"/>
      <c r="U3203" s="274"/>
      <c r="V3203" s="263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</row>
    <row r="3204">
      <c r="A3204" s="263"/>
      <c r="B3204" s="264"/>
      <c r="C3204" s="265"/>
      <c r="D3204" s="265"/>
      <c r="E3204" s="264"/>
      <c r="F3204" s="265"/>
      <c r="G3204" s="263"/>
      <c r="H3204" s="432"/>
      <c r="I3204" s="282"/>
      <c r="J3204" s="283"/>
      <c r="K3204" s="265"/>
      <c r="L3204" s="265"/>
      <c r="M3204" s="269"/>
      <c r="N3204" s="270"/>
      <c r="O3204" s="271"/>
      <c r="P3204" s="271"/>
      <c r="Q3204" s="272"/>
      <c r="R3204" s="273"/>
      <c r="S3204" s="273"/>
      <c r="T3204" s="273"/>
      <c r="U3204" s="274"/>
      <c r="V3204" s="263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</row>
    <row r="3205">
      <c r="A3205" s="263"/>
      <c r="B3205" s="264"/>
      <c r="C3205" s="265"/>
      <c r="D3205" s="265"/>
      <c r="E3205" s="264"/>
      <c r="F3205" s="265"/>
      <c r="G3205" s="263"/>
      <c r="H3205" s="432"/>
      <c r="I3205" s="282"/>
      <c r="J3205" s="283"/>
      <c r="K3205" s="265"/>
      <c r="L3205" s="265"/>
      <c r="M3205" s="269"/>
      <c r="N3205" s="270"/>
      <c r="O3205" s="271"/>
      <c r="P3205" s="271"/>
      <c r="Q3205" s="272"/>
      <c r="R3205" s="273"/>
      <c r="S3205" s="273"/>
      <c r="T3205" s="273"/>
      <c r="U3205" s="274"/>
      <c r="V3205" s="263"/>
      <c r="W3205" s="188"/>
      <c r="X3205" s="188"/>
      <c r="Y3205" s="188"/>
      <c r="Z3205" s="188"/>
      <c r="AA3205" s="188"/>
      <c r="AB3205" s="188"/>
      <c r="AC3205" s="188"/>
      <c r="AD3205" s="188"/>
      <c r="AE3205" s="188"/>
      <c r="AF3205" s="188"/>
      <c r="AG3205" s="188"/>
      <c r="AH3205" s="188"/>
      <c r="AI3205" s="188"/>
    </row>
    <row r="3206">
      <c r="A3206" s="263"/>
      <c r="B3206" s="264"/>
      <c r="C3206" s="265"/>
      <c r="D3206" s="265"/>
      <c r="E3206" s="264"/>
      <c r="F3206" s="265"/>
      <c r="G3206" s="263"/>
      <c r="H3206" s="432"/>
      <c r="I3206" s="282"/>
      <c r="J3206" s="283"/>
      <c r="K3206" s="265"/>
      <c r="L3206" s="265"/>
      <c r="M3206" s="269"/>
      <c r="N3206" s="270"/>
      <c r="O3206" s="271"/>
      <c r="P3206" s="271"/>
      <c r="Q3206" s="272"/>
      <c r="R3206" s="273"/>
      <c r="S3206" s="273"/>
      <c r="T3206" s="273"/>
      <c r="U3206" s="274"/>
      <c r="V3206" s="263"/>
      <c r="W3206" s="35"/>
      <c r="X3206" s="35"/>
      <c r="Y3206" s="35"/>
      <c r="Z3206" s="35"/>
      <c r="AA3206" s="35"/>
      <c r="AB3206" s="35"/>
      <c r="AC3206" s="35"/>
      <c r="AD3206" s="35"/>
      <c r="AE3206" s="35"/>
      <c r="AF3206" s="35"/>
      <c r="AG3206" s="35"/>
      <c r="AH3206" s="35"/>
      <c r="AI3206" s="35"/>
    </row>
    <row r="3207">
      <c r="A3207" s="263"/>
      <c r="B3207" s="264"/>
      <c r="C3207" s="265"/>
      <c r="D3207" s="265"/>
      <c r="E3207" s="264"/>
      <c r="F3207" s="265"/>
      <c r="G3207" s="263"/>
      <c r="H3207" s="432"/>
      <c r="I3207" s="282"/>
      <c r="J3207" s="283"/>
      <c r="K3207" s="265"/>
      <c r="L3207" s="265"/>
      <c r="M3207" s="269"/>
      <c r="N3207" s="270"/>
      <c r="O3207" s="271"/>
      <c r="P3207" s="271"/>
      <c r="Q3207" s="272"/>
      <c r="R3207" s="273"/>
      <c r="S3207" s="273"/>
      <c r="T3207" s="273"/>
      <c r="U3207" s="274"/>
      <c r="V3207" s="263"/>
      <c r="W3207" s="35"/>
      <c r="X3207" s="35"/>
      <c r="Y3207" s="35"/>
      <c r="Z3207" s="35"/>
      <c r="AA3207" s="35"/>
      <c r="AB3207" s="35"/>
      <c r="AC3207" s="35"/>
      <c r="AD3207" s="35"/>
      <c r="AE3207" s="35"/>
      <c r="AF3207" s="35"/>
      <c r="AG3207" s="35"/>
      <c r="AH3207" s="35"/>
      <c r="AI3207" s="35"/>
    </row>
    <row r="3208">
      <c r="A3208" s="263"/>
      <c r="B3208" s="264"/>
      <c r="C3208" s="265"/>
      <c r="D3208" s="265"/>
      <c r="E3208" s="264"/>
      <c r="F3208" s="265"/>
      <c r="G3208" s="263"/>
      <c r="H3208" s="432"/>
      <c r="I3208" s="282"/>
      <c r="J3208" s="283"/>
      <c r="K3208" s="265"/>
      <c r="L3208" s="265"/>
      <c r="M3208" s="269"/>
      <c r="N3208" s="270"/>
      <c r="O3208" s="271"/>
      <c r="P3208" s="271"/>
      <c r="Q3208" s="272"/>
      <c r="R3208" s="273"/>
      <c r="S3208" s="273"/>
      <c r="T3208" s="273"/>
      <c r="U3208" s="274"/>
      <c r="V3208" s="263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</row>
    <row r="3209">
      <c r="A3209" s="263"/>
      <c r="B3209" s="264"/>
      <c r="C3209" s="265"/>
      <c r="D3209" s="265"/>
      <c r="E3209" s="264"/>
      <c r="F3209" s="265"/>
      <c r="G3209" s="263"/>
      <c r="H3209" s="432"/>
      <c r="I3209" s="282"/>
      <c r="J3209" s="283"/>
      <c r="K3209" s="265"/>
      <c r="L3209" s="265"/>
      <c r="M3209" s="269"/>
      <c r="N3209" s="270"/>
      <c r="O3209" s="271"/>
      <c r="P3209" s="271"/>
      <c r="Q3209" s="272"/>
      <c r="R3209" s="273"/>
      <c r="S3209" s="273"/>
      <c r="T3209" s="273"/>
      <c r="U3209" s="274"/>
      <c r="V3209" s="263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</row>
    <row r="3210">
      <c r="A3210" s="263"/>
      <c r="B3210" s="264"/>
      <c r="C3210" s="265"/>
      <c r="D3210" s="265"/>
      <c r="E3210" s="264"/>
      <c r="F3210" s="265"/>
      <c r="G3210" s="263"/>
      <c r="H3210" s="432"/>
      <c r="I3210" s="282"/>
      <c r="J3210" s="283"/>
      <c r="K3210" s="265"/>
      <c r="L3210" s="265"/>
      <c r="M3210" s="269"/>
      <c r="N3210" s="270"/>
      <c r="O3210" s="271"/>
      <c r="P3210" s="271"/>
      <c r="Q3210" s="272"/>
      <c r="R3210" s="273"/>
      <c r="S3210" s="273"/>
      <c r="T3210" s="273"/>
      <c r="U3210" s="274"/>
      <c r="V3210" s="263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</row>
    <row r="3211">
      <c r="A3211" s="263"/>
      <c r="B3211" s="264"/>
      <c r="C3211" s="265"/>
      <c r="D3211" s="265"/>
      <c r="E3211" s="264"/>
      <c r="F3211" s="265"/>
      <c r="G3211" s="263"/>
      <c r="H3211" s="432"/>
      <c r="I3211" s="282"/>
      <c r="J3211" s="283"/>
      <c r="K3211" s="265"/>
      <c r="L3211" s="265"/>
      <c r="M3211" s="269"/>
      <c r="N3211" s="270"/>
      <c r="O3211" s="271"/>
      <c r="P3211" s="271"/>
      <c r="Q3211" s="272"/>
      <c r="R3211" s="273"/>
      <c r="S3211" s="273"/>
      <c r="T3211" s="273"/>
      <c r="U3211" s="274"/>
      <c r="V3211" s="263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</row>
    <row r="3212">
      <c r="A3212" s="263"/>
      <c r="B3212" s="264"/>
      <c r="C3212" s="265"/>
      <c r="D3212" s="265"/>
      <c r="E3212" s="264"/>
      <c r="F3212" s="265"/>
      <c r="G3212" s="263"/>
      <c r="H3212" s="432"/>
      <c r="I3212" s="282"/>
      <c r="J3212" s="283"/>
      <c r="K3212" s="265"/>
      <c r="L3212" s="265"/>
      <c r="M3212" s="269"/>
      <c r="N3212" s="270"/>
      <c r="O3212" s="271"/>
      <c r="P3212" s="271"/>
      <c r="Q3212" s="272"/>
      <c r="R3212" s="273"/>
      <c r="S3212" s="273"/>
      <c r="T3212" s="273"/>
      <c r="U3212" s="274"/>
      <c r="V3212" s="263"/>
      <c r="W3212" s="188"/>
      <c r="X3212" s="188"/>
      <c r="Y3212" s="188"/>
      <c r="Z3212" s="188"/>
      <c r="AA3212" s="188"/>
      <c r="AB3212" s="188"/>
      <c r="AC3212" s="188"/>
      <c r="AD3212" s="188"/>
      <c r="AE3212" s="188"/>
      <c r="AF3212" s="188"/>
      <c r="AG3212" s="188"/>
      <c r="AH3212" s="188"/>
      <c r="AI3212" s="188"/>
    </row>
    <row r="3213">
      <c r="A3213" s="263"/>
      <c r="B3213" s="264"/>
      <c r="C3213" s="265"/>
      <c r="D3213" s="265"/>
      <c r="E3213" s="264"/>
      <c r="F3213" s="265"/>
      <c r="G3213" s="263"/>
      <c r="H3213" s="432"/>
      <c r="I3213" s="282"/>
      <c r="J3213" s="283"/>
      <c r="K3213" s="265"/>
      <c r="L3213" s="265"/>
      <c r="M3213" s="269"/>
      <c r="N3213" s="270"/>
      <c r="O3213" s="271"/>
      <c r="P3213" s="271"/>
      <c r="Q3213" s="272"/>
      <c r="R3213" s="273"/>
      <c r="S3213" s="273"/>
      <c r="T3213" s="273"/>
      <c r="U3213" s="274"/>
      <c r="V3213" s="263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</row>
    <row r="3214">
      <c r="A3214" s="263"/>
      <c r="B3214" s="264"/>
      <c r="C3214" s="265"/>
      <c r="D3214" s="265"/>
      <c r="E3214" s="264"/>
      <c r="F3214" s="265"/>
      <c r="G3214" s="263"/>
      <c r="H3214" s="432"/>
      <c r="I3214" s="282"/>
      <c r="J3214" s="283"/>
      <c r="K3214" s="265"/>
      <c r="L3214" s="265"/>
      <c r="M3214" s="269"/>
      <c r="N3214" s="270"/>
      <c r="O3214" s="271"/>
      <c r="P3214" s="271"/>
      <c r="Q3214" s="272"/>
      <c r="R3214" s="273"/>
      <c r="S3214" s="273"/>
      <c r="T3214" s="273"/>
      <c r="U3214" s="274"/>
      <c r="V3214" s="263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</row>
    <row r="3215">
      <c r="A3215" s="263"/>
      <c r="B3215" s="264"/>
      <c r="C3215" s="265"/>
      <c r="D3215" s="265"/>
      <c r="E3215" s="264"/>
      <c r="F3215" s="265"/>
      <c r="G3215" s="263"/>
      <c r="H3215" s="432"/>
      <c r="I3215" s="282"/>
      <c r="J3215" s="283"/>
      <c r="K3215" s="265"/>
      <c r="L3215" s="265"/>
      <c r="M3215" s="269"/>
      <c r="N3215" s="270"/>
      <c r="O3215" s="271"/>
      <c r="P3215" s="271"/>
      <c r="Q3215" s="272"/>
      <c r="R3215" s="273"/>
      <c r="S3215" s="273"/>
      <c r="T3215" s="273"/>
      <c r="U3215" s="274"/>
      <c r="V3215" s="263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</row>
    <row r="3216">
      <c r="A3216" s="263"/>
      <c r="B3216" s="264"/>
      <c r="C3216" s="265"/>
      <c r="D3216" s="265"/>
      <c r="E3216" s="264"/>
      <c r="F3216" s="265"/>
      <c r="G3216" s="263"/>
      <c r="H3216" s="432"/>
      <c r="I3216" s="282"/>
      <c r="J3216" s="283"/>
      <c r="K3216" s="265"/>
      <c r="L3216" s="265"/>
      <c r="M3216" s="269"/>
      <c r="N3216" s="270"/>
      <c r="O3216" s="271"/>
      <c r="P3216" s="271"/>
      <c r="Q3216" s="272"/>
      <c r="R3216" s="273"/>
      <c r="S3216" s="273"/>
      <c r="T3216" s="273"/>
      <c r="U3216" s="274"/>
      <c r="V3216" s="263"/>
      <c r="W3216" s="188"/>
      <c r="X3216" s="188"/>
      <c r="Y3216" s="188"/>
      <c r="Z3216" s="188"/>
      <c r="AA3216" s="188"/>
      <c r="AB3216" s="188"/>
      <c r="AC3216" s="188"/>
      <c r="AD3216" s="188"/>
      <c r="AE3216" s="188"/>
      <c r="AF3216" s="188"/>
      <c r="AG3216" s="188"/>
      <c r="AH3216" s="188"/>
      <c r="AI3216" s="188"/>
    </row>
    <row r="3217">
      <c r="A3217" s="263"/>
      <c r="B3217" s="264"/>
      <c r="C3217" s="265"/>
      <c r="D3217" s="265"/>
      <c r="E3217" s="264"/>
      <c r="F3217" s="265"/>
      <c r="G3217" s="263"/>
      <c r="H3217" s="432"/>
      <c r="I3217" s="282"/>
      <c r="J3217" s="283"/>
      <c r="K3217" s="265"/>
      <c r="L3217" s="265"/>
      <c r="M3217" s="269"/>
      <c r="N3217" s="270"/>
      <c r="O3217" s="271"/>
      <c r="P3217" s="271"/>
      <c r="Q3217" s="272"/>
      <c r="R3217" s="273"/>
      <c r="S3217" s="273"/>
      <c r="T3217" s="273"/>
      <c r="U3217" s="274"/>
      <c r="V3217" s="263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</row>
    <row r="3218">
      <c r="A3218" s="263"/>
      <c r="B3218" s="264"/>
      <c r="C3218" s="265"/>
      <c r="D3218" s="265"/>
      <c r="E3218" s="264"/>
      <c r="F3218" s="265"/>
      <c r="G3218" s="263"/>
      <c r="H3218" s="432"/>
      <c r="I3218" s="282"/>
      <c r="J3218" s="283"/>
      <c r="K3218" s="265"/>
      <c r="L3218" s="265"/>
      <c r="M3218" s="269"/>
      <c r="N3218" s="270"/>
      <c r="O3218" s="271"/>
      <c r="P3218" s="271"/>
      <c r="Q3218" s="272"/>
      <c r="R3218" s="273"/>
      <c r="S3218" s="273"/>
      <c r="T3218" s="273"/>
      <c r="U3218" s="274"/>
      <c r="V3218" s="263"/>
      <c r="W3218" s="188"/>
      <c r="X3218" s="188"/>
      <c r="Y3218" s="188"/>
      <c r="Z3218" s="188"/>
      <c r="AA3218" s="188"/>
      <c r="AB3218" s="188"/>
      <c r="AC3218" s="188"/>
      <c r="AD3218" s="188"/>
      <c r="AE3218" s="188"/>
      <c r="AF3218" s="188"/>
      <c r="AG3218" s="188"/>
      <c r="AH3218" s="188"/>
      <c r="AI3218" s="188"/>
    </row>
    <row r="3219">
      <c r="A3219" s="263"/>
      <c r="B3219" s="264"/>
      <c r="C3219" s="265"/>
      <c r="D3219" s="265"/>
      <c r="E3219" s="264"/>
      <c r="F3219" s="265"/>
      <c r="G3219" s="263"/>
      <c r="H3219" s="432"/>
      <c r="I3219" s="282"/>
      <c r="J3219" s="283"/>
      <c r="K3219" s="265"/>
      <c r="L3219" s="265"/>
      <c r="M3219" s="269"/>
      <c r="N3219" s="270"/>
      <c r="O3219" s="271"/>
      <c r="P3219" s="271"/>
      <c r="Q3219" s="272"/>
      <c r="R3219" s="273"/>
      <c r="S3219" s="273"/>
      <c r="T3219" s="273"/>
      <c r="U3219" s="274"/>
      <c r="V3219" s="263"/>
      <c r="W3219" s="35"/>
      <c r="X3219" s="35"/>
      <c r="Y3219" s="35"/>
      <c r="Z3219" s="35"/>
      <c r="AA3219" s="35"/>
      <c r="AB3219" s="35"/>
      <c r="AC3219" s="35"/>
      <c r="AD3219" s="35"/>
      <c r="AE3219" s="35"/>
      <c r="AF3219" s="35"/>
      <c r="AG3219" s="35"/>
      <c r="AH3219" s="35"/>
      <c r="AI3219" s="35"/>
    </row>
    <row r="3220">
      <c r="A3220" s="263"/>
      <c r="B3220" s="264"/>
      <c r="C3220" s="265"/>
      <c r="D3220" s="265"/>
      <c r="E3220" s="264"/>
      <c r="F3220" s="265"/>
      <c r="G3220" s="263"/>
      <c r="H3220" s="432"/>
      <c r="I3220" s="282"/>
      <c r="J3220" s="283"/>
      <c r="K3220" s="265"/>
      <c r="L3220" s="265"/>
      <c r="M3220" s="269"/>
      <c r="N3220" s="270"/>
      <c r="O3220" s="271"/>
      <c r="P3220" s="271"/>
      <c r="Q3220" s="272"/>
      <c r="R3220" s="273"/>
      <c r="S3220" s="273"/>
      <c r="T3220" s="273"/>
      <c r="U3220" s="274"/>
      <c r="V3220" s="263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</row>
    <row r="3221">
      <c r="A3221" s="263"/>
      <c r="B3221" s="264"/>
      <c r="C3221" s="265"/>
      <c r="D3221" s="265"/>
      <c r="E3221" s="264"/>
      <c r="F3221" s="265"/>
      <c r="G3221" s="263"/>
      <c r="H3221" s="432"/>
      <c r="I3221" s="282"/>
      <c r="J3221" s="283"/>
      <c r="K3221" s="265"/>
      <c r="L3221" s="265"/>
      <c r="M3221" s="269"/>
      <c r="N3221" s="270"/>
      <c r="O3221" s="271"/>
      <c r="P3221" s="271"/>
      <c r="Q3221" s="272"/>
      <c r="R3221" s="273"/>
      <c r="S3221" s="273"/>
      <c r="T3221" s="273"/>
      <c r="U3221" s="274"/>
      <c r="V3221" s="263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</row>
    <row r="3222">
      <c r="A3222" s="263"/>
      <c r="B3222" s="264"/>
      <c r="C3222" s="265"/>
      <c r="D3222" s="265"/>
      <c r="E3222" s="264"/>
      <c r="F3222" s="265"/>
      <c r="G3222" s="263"/>
      <c r="H3222" s="432"/>
      <c r="I3222" s="282"/>
      <c r="J3222" s="283"/>
      <c r="K3222" s="265"/>
      <c r="L3222" s="265"/>
      <c r="M3222" s="269"/>
      <c r="N3222" s="270"/>
      <c r="O3222" s="271"/>
      <c r="P3222" s="271"/>
      <c r="Q3222" s="272"/>
      <c r="R3222" s="273"/>
      <c r="S3222" s="273"/>
      <c r="T3222" s="273"/>
      <c r="U3222" s="274"/>
      <c r="V3222" s="263"/>
      <c r="W3222" s="188"/>
      <c r="X3222" s="188"/>
      <c r="Y3222" s="188"/>
      <c r="Z3222" s="188"/>
      <c r="AA3222" s="188"/>
      <c r="AB3222" s="188"/>
      <c r="AC3222" s="188"/>
      <c r="AD3222" s="188"/>
      <c r="AE3222" s="188"/>
      <c r="AF3222" s="188"/>
      <c r="AG3222" s="188"/>
      <c r="AH3222" s="188"/>
      <c r="AI3222" s="188"/>
    </row>
    <row r="3223">
      <c r="A3223" s="263"/>
      <c r="B3223" s="264"/>
      <c r="C3223" s="265"/>
      <c r="D3223" s="265"/>
      <c r="E3223" s="264"/>
      <c r="F3223" s="265"/>
      <c r="G3223" s="263"/>
      <c r="H3223" s="432"/>
      <c r="I3223" s="282"/>
      <c r="J3223" s="283"/>
      <c r="K3223" s="265"/>
      <c r="L3223" s="265"/>
      <c r="M3223" s="269"/>
      <c r="N3223" s="270"/>
      <c r="O3223" s="271"/>
      <c r="P3223" s="271"/>
      <c r="Q3223" s="272"/>
      <c r="R3223" s="273"/>
      <c r="S3223" s="273"/>
      <c r="T3223" s="273"/>
      <c r="U3223" s="274"/>
      <c r="V3223" s="263"/>
      <c r="W3223" s="188"/>
      <c r="X3223" s="188"/>
      <c r="Y3223" s="188"/>
      <c r="Z3223" s="188"/>
      <c r="AA3223" s="188"/>
      <c r="AB3223" s="188"/>
      <c r="AC3223" s="188"/>
      <c r="AD3223" s="188"/>
      <c r="AE3223" s="188"/>
      <c r="AF3223" s="188"/>
      <c r="AG3223" s="188"/>
      <c r="AH3223" s="188"/>
      <c r="AI3223" s="188"/>
    </row>
    <row r="3224">
      <c r="A3224" s="263"/>
      <c r="B3224" s="264"/>
      <c r="C3224" s="265"/>
      <c r="D3224" s="265"/>
      <c r="E3224" s="264"/>
      <c r="F3224" s="265"/>
      <c r="G3224" s="263"/>
      <c r="H3224" s="432"/>
      <c r="I3224" s="282"/>
      <c r="J3224" s="283"/>
      <c r="K3224" s="265"/>
      <c r="L3224" s="265"/>
      <c r="M3224" s="269"/>
      <c r="N3224" s="270"/>
      <c r="O3224" s="271"/>
      <c r="P3224" s="271"/>
      <c r="Q3224" s="272"/>
      <c r="R3224" s="273"/>
      <c r="S3224" s="273"/>
      <c r="T3224" s="273"/>
      <c r="U3224" s="274"/>
      <c r="V3224" s="263"/>
      <c r="W3224" s="188"/>
      <c r="X3224" s="188"/>
      <c r="Y3224" s="188"/>
      <c r="Z3224" s="188"/>
      <c r="AA3224" s="188"/>
      <c r="AB3224" s="188"/>
      <c r="AC3224" s="188"/>
      <c r="AD3224" s="188"/>
      <c r="AE3224" s="188"/>
      <c r="AF3224" s="188"/>
      <c r="AG3224" s="188"/>
      <c r="AH3224" s="188"/>
      <c r="AI3224" s="188"/>
    </row>
    <row r="3225">
      <c r="A3225" s="263"/>
      <c r="B3225" s="264"/>
      <c r="C3225" s="265"/>
      <c r="D3225" s="265"/>
      <c r="E3225" s="264"/>
      <c r="F3225" s="265"/>
      <c r="G3225" s="263"/>
      <c r="H3225" s="432"/>
      <c r="I3225" s="282"/>
      <c r="J3225" s="283"/>
      <c r="K3225" s="265"/>
      <c r="L3225" s="265"/>
      <c r="M3225" s="269"/>
      <c r="N3225" s="270"/>
      <c r="O3225" s="271"/>
      <c r="P3225" s="271"/>
      <c r="Q3225" s="272"/>
      <c r="R3225" s="273"/>
      <c r="S3225" s="273"/>
      <c r="T3225" s="273"/>
      <c r="U3225" s="274"/>
      <c r="V3225" s="263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</row>
    <row r="3226">
      <c r="A3226" s="263"/>
      <c r="B3226" s="264"/>
      <c r="C3226" s="265"/>
      <c r="D3226" s="265"/>
      <c r="E3226" s="264"/>
      <c r="F3226" s="265"/>
      <c r="G3226" s="263"/>
      <c r="H3226" s="432"/>
      <c r="I3226" s="282"/>
      <c r="J3226" s="283"/>
      <c r="K3226" s="265"/>
      <c r="L3226" s="265"/>
      <c r="M3226" s="269"/>
      <c r="N3226" s="270"/>
      <c r="O3226" s="271"/>
      <c r="P3226" s="271"/>
      <c r="Q3226" s="272"/>
      <c r="R3226" s="273"/>
      <c r="S3226" s="273"/>
      <c r="T3226" s="273"/>
      <c r="U3226" s="274"/>
      <c r="V3226" s="263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</row>
    <row r="3227">
      <c r="A3227" s="263"/>
      <c r="B3227" s="264"/>
      <c r="C3227" s="265"/>
      <c r="D3227" s="265"/>
      <c r="E3227" s="264"/>
      <c r="F3227" s="265"/>
      <c r="G3227" s="263"/>
      <c r="H3227" s="432"/>
      <c r="I3227" s="282"/>
      <c r="J3227" s="283"/>
      <c r="K3227" s="265"/>
      <c r="L3227" s="265"/>
      <c r="M3227" s="269"/>
      <c r="N3227" s="270"/>
      <c r="O3227" s="271"/>
      <c r="P3227" s="271"/>
      <c r="Q3227" s="272"/>
      <c r="R3227" s="273"/>
      <c r="S3227" s="273"/>
      <c r="T3227" s="273"/>
      <c r="U3227" s="274"/>
      <c r="V3227" s="263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</row>
    <row r="3228">
      <c r="A3228" s="263"/>
      <c r="B3228" s="264"/>
      <c r="C3228" s="265"/>
      <c r="D3228" s="265"/>
      <c r="E3228" s="264"/>
      <c r="F3228" s="265"/>
      <c r="G3228" s="263"/>
      <c r="H3228" s="432"/>
      <c r="I3228" s="282"/>
      <c r="J3228" s="283"/>
      <c r="K3228" s="265"/>
      <c r="L3228" s="265"/>
      <c r="M3228" s="269"/>
      <c r="N3228" s="270"/>
      <c r="O3228" s="271"/>
      <c r="P3228" s="271"/>
      <c r="Q3228" s="272"/>
      <c r="R3228" s="273"/>
      <c r="S3228" s="273"/>
      <c r="T3228" s="273"/>
      <c r="U3228" s="274"/>
      <c r="V3228" s="263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</row>
    <row r="3229">
      <c r="A3229" s="263"/>
      <c r="B3229" s="264"/>
      <c r="C3229" s="265"/>
      <c r="D3229" s="265"/>
      <c r="E3229" s="264"/>
      <c r="F3229" s="265"/>
      <c r="G3229" s="263"/>
      <c r="H3229" s="432"/>
      <c r="I3229" s="282"/>
      <c r="J3229" s="283"/>
      <c r="K3229" s="265"/>
      <c r="L3229" s="265"/>
      <c r="M3229" s="269"/>
      <c r="N3229" s="270"/>
      <c r="O3229" s="271"/>
      <c r="P3229" s="271"/>
      <c r="Q3229" s="272"/>
      <c r="R3229" s="273"/>
      <c r="S3229" s="273"/>
      <c r="T3229" s="273"/>
      <c r="U3229" s="274"/>
      <c r="V3229" s="263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</row>
    <row r="3230">
      <c r="A3230" s="263"/>
      <c r="B3230" s="264"/>
      <c r="C3230" s="265"/>
      <c r="D3230" s="265"/>
      <c r="E3230" s="264"/>
      <c r="F3230" s="265"/>
      <c r="G3230" s="263"/>
      <c r="H3230" s="432"/>
      <c r="I3230" s="282"/>
      <c r="J3230" s="283"/>
      <c r="K3230" s="265"/>
      <c r="L3230" s="265"/>
      <c r="M3230" s="269"/>
      <c r="N3230" s="270"/>
      <c r="O3230" s="271"/>
      <c r="P3230" s="271"/>
      <c r="Q3230" s="272"/>
      <c r="R3230" s="273"/>
      <c r="S3230" s="273"/>
      <c r="T3230" s="273"/>
      <c r="U3230" s="274"/>
      <c r="V3230" s="263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</row>
    <row r="3231">
      <c r="A3231" s="263"/>
      <c r="B3231" s="264"/>
      <c r="C3231" s="265"/>
      <c r="D3231" s="265"/>
      <c r="E3231" s="264"/>
      <c r="F3231" s="265"/>
      <c r="G3231" s="263"/>
      <c r="H3231" s="432"/>
      <c r="I3231" s="282"/>
      <c r="J3231" s="283"/>
      <c r="K3231" s="265"/>
      <c r="L3231" s="265"/>
      <c r="M3231" s="269"/>
      <c r="N3231" s="270"/>
      <c r="O3231" s="271"/>
      <c r="P3231" s="271"/>
      <c r="Q3231" s="272"/>
      <c r="R3231" s="273"/>
      <c r="S3231" s="273"/>
      <c r="T3231" s="273"/>
      <c r="U3231" s="274"/>
      <c r="V3231" s="263"/>
      <c r="W3231" s="188"/>
      <c r="X3231" s="188"/>
      <c r="Y3231" s="188"/>
      <c r="Z3231" s="188"/>
      <c r="AA3231" s="188"/>
      <c r="AB3231" s="188"/>
      <c r="AC3231" s="188"/>
      <c r="AD3231" s="188"/>
      <c r="AE3231" s="188"/>
      <c r="AF3231" s="188"/>
      <c r="AG3231" s="188"/>
      <c r="AH3231" s="188"/>
      <c r="AI3231" s="188"/>
    </row>
    <row r="3232">
      <c r="A3232" s="263"/>
      <c r="B3232" s="264"/>
      <c r="C3232" s="265"/>
      <c r="D3232" s="265"/>
      <c r="E3232" s="264"/>
      <c r="F3232" s="265"/>
      <c r="G3232" s="263"/>
      <c r="H3232" s="432"/>
      <c r="I3232" s="282"/>
      <c r="J3232" s="283"/>
      <c r="K3232" s="265"/>
      <c r="L3232" s="265"/>
      <c r="M3232" s="269"/>
      <c r="N3232" s="270"/>
      <c r="O3232" s="271"/>
      <c r="P3232" s="271"/>
      <c r="Q3232" s="272"/>
      <c r="R3232" s="273"/>
      <c r="S3232" s="273"/>
      <c r="T3232" s="273"/>
      <c r="U3232" s="274"/>
      <c r="V3232" s="263"/>
      <c r="W3232" s="188"/>
      <c r="X3232" s="188"/>
      <c r="Y3232" s="188"/>
      <c r="Z3232" s="188"/>
      <c r="AA3232" s="188"/>
      <c r="AB3232" s="188"/>
      <c r="AC3232" s="188"/>
      <c r="AD3232" s="188"/>
      <c r="AE3232" s="188"/>
      <c r="AF3232" s="188"/>
      <c r="AG3232" s="188"/>
      <c r="AH3232" s="188"/>
      <c r="AI3232" s="188"/>
    </row>
    <row r="3233">
      <c r="A3233" s="263"/>
      <c r="B3233" s="264"/>
      <c r="C3233" s="265"/>
      <c r="D3233" s="265"/>
      <c r="E3233" s="264"/>
      <c r="F3233" s="265"/>
      <c r="G3233" s="263"/>
      <c r="H3233" s="432"/>
      <c r="I3233" s="282"/>
      <c r="J3233" s="283"/>
      <c r="K3233" s="265"/>
      <c r="L3233" s="265"/>
      <c r="M3233" s="269"/>
      <c r="N3233" s="270"/>
      <c r="O3233" s="271"/>
      <c r="P3233" s="271"/>
      <c r="Q3233" s="272"/>
      <c r="R3233" s="273"/>
      <c r="S3233" s="273"/>
      <c r="T3233" s="273"/>
      <c r="U3233" s="274"/>
      <c r="V3233" s="263"/>
      <c r="W3233" s="188"/>
      <c r="X3233" s="188"/>
      <c r="Y3233" s="188"/>
      <c r="Z3233" s="188"/>
      <c r="AA3233" s="188"/>
      <c r="AB3233" s="188"/>
      <c r="AC3233" s="188"/>
      <c r="AD3233" s="188"/>
      <c r="AE3233" s="188"/>
      <c r="AF3233" s="188"/>
      <c r="AG3233" s="188"/>
      <c r="AH3233" s="188"/>
      <c r="AI3233" s="188"/>
    </row>
    <row r="3234">
      <c r="A3234" s="263"/>
      <c r="B3234" s="264"/>
      <c r="C3234" s="265"/>
      <c r="D3234" s="265"/>
      <c r="E3234" s="264"/>
      <c r="F3234" s="265"/>
      <c r="G3234" s="263"/>
      <c r="H3234" s="432"/>
      <c r="I3234" s="282"/>
      <c r="J3234" s="283"/>
      <c r="K3234" s="265"/>
      <c r="L3234" s="265"/>
      <c r="M3234" s="269"/>
      <c r="N3234" s="270"/>
      <c r="O3234" s="271"/>
      <c r="P3234" s="271"/>
      <c r="Q3234" s="272"/>
      <c r="R3234" s="273"/>
      <c r="S3234" s="273"/>
      <c r="T3234" s="273"/>
      <c r="U3234" s="274"/>
      <c r="V3234" s="263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</row>
    <row r="3235">
      <c r="A3235" s="263"/>
      <c r="B3235" s="264"/>
      <c r="C3235" s="265"/>
      <c r="D3235" s="265"/>
      <c r="E3235" s="264"/>
      <c r="F3235" s="265"/>
      <c r="G3235" s="263"/>
      <c r="H3235" s="432"/>
      <c r="I3235" s="282"/>
      <c r="J3235" s="283"/>
      <c r="K3235" s="265"/>
      <c r="L3235" s="265"/>
      <c r="M3235" s="269"/>
      <c r="N3235" s="270"/>
      <c r="O3235" s="271"/>
      <c r="P3235" s="271"/>
      <c r="Q3235" s="272"/>
      <c r="R3235" s="273"/>
      <c r="S3235" s="273"/>
      <c r="T3235" s="273"/>
      <c r="U3235" s="274"/>
      <c r="V3235" s="263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</row>
    <row r="3236">
      <c r="A3236" s="263"/>
      <c r="B3236" s="264"/>
      <c r="C3236" s="265"/>
      <c r="D3236" s="265"/>
      <c r="E3236" s="264"/>
      <c r="F3236" s="265"/>
      <c r="G3236" s="263"/>
      <c r="H3236" s="432"/>
      <c r="I3236" s="282"/>
      <c r="J3236" s="283"/>
      <c r="K3236" s="265"/>
      <c r="L3236" s="265"/>
      <c r="M3236" s="269"/>
      <c r="N3236" s="270"/>
      <c r="O3236" s="271"/>
      <c r="P3236" s="271"/>
      <c r="Q3236" s="272"/>
      <c r="R3236" s="273"/>
      <c r="S3236" s="273"/>
      <c r="T3236" s="273"/>
      <c r="U3236" s="274"/>
      <c r="V3236" s="263"/>
      <c r="W3236" s="35"/>
      <c r="X3236" s="35"/>
      <c r="Y3236" s="35"/>
      <c r="Z3236" s="35"/>
      <c r="AA3236" s="35"/>
      <c r="AB3236" s="35"/>
      <c r="AC3236" s="35"/>
      <c r="AD3236" s="35"/>
      <c r="AE3236" s="35"/>
      <c r="AF3236" s="35"/>
      <c r="AG3236" s="35"/>
      <c r="AH3236" s="35"/>
      <c r="AI3236" s="35"/>
    </row>
    <row r="3237">
      <c r="A3237" s="263"/>
      <c r="B3237" s="264"/>
      <c r="C3237" s="265"/>
      <c r="D3237" s="265"/>
      <c r="E3237" s="264"/>
      <c r="F3237" s="265"/>
      <c r="G3237" s="263"/>
      <c r="H3237" s="432"/>
      <c r="I3237" s="282"/>
      <c r="J3237" s="283"/>
      <c r="K3237" s="265"/>
      <c r="L3237" s="265"/>
      <c r="M3237" s="269"/>
      <c r="N3237" s="270"/>
      <c r="O3237" s="271"/>
      <c r="P3237" s="271"/>
      <c r="Q3237" s="272"/>
      <c r="R3237" s="273"/>
      <c r="S3237" s="273"/>
      <c r="T3237" s="273"/>
      <c r="U3237" s="274"/>
      <c r="V3237" s="263"/>
      <c r="W3237" s="188"/>
      <c r="X3237" s="188"/>
      <c r="Y3237" s="188"/>
      <c r="Z3237" s="188"/>
      <c r="AA3237" s="188"/>
      <c r="AB3237" s="188"/>
      <c r="AC3237" s="188"/>
      <c r="AD3237" s="188"/>
      <c r="AE3237" s="188"/>
      <c r="AF3237" s="188"/>
      <c r="AG3237" s="188"/>
      <c r="AH3237" s="188"/>
      <c r="AI3237" s="188"/>
    </row>
    <row r="3238">
      <c r="A3238" s="263"/>
      <c r="B3238" s="264"/>
      <c r="C3238" s="265"/>
      <c r="D3238" s="265"/>
      <c r="E3238" s="264"/>
      <c r="F3238" s="265"/>
      <c r="G3238" s="263"/>
      <c r="H3238" s="432"/>
      <c r="I3238" s="282"/>
      <c r="J3238" s="283"/>
      <c r="K3238" s="265"/>
      <c r="L3238" s="265"/>
      <c r="M3238" s="269"/>
      <c r="N3238" s="270"/>
      <c r="O3238" s="271"/>
      <c r="P3238" s="271"/>
      <c r="Q3238" s="272"/>
      <c r="R3238" s="273"/>
      <c r="S3238" s="273"/>
      <c r="T3238" s="273"/>
      <c r="U3238" s="274"/>
      <c r="V3238" s="263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</row>
    <row r="3239">
      <c r="A3239" s="263"/>
      <c r="B3239" s="264"/>
      <c r="C3239" s="265"/>
      <c r="D3239" s="265"/>
      <c r="E3239" s="264"/>
      <c r="F3239" s="265"/>
      <c r="G3239" s="263"/>
      <c r="H3239" s="432"/>
      <c r="I3239" s="282"/>
      <c r="J3239" s="283"/>
      <c r="K3239" s="265"/>
      <c r="L3239" s="265"/>
      <c r="M3239" s="269"/>
      <c r="N3239" s="270"/>
      <c r="O3239" s="271"/>
      <c r="P3239" s="271"/>
      <c r="Q3239" s="272"/>
      <c r="R3239" s="273"/>
      <c r="S3239" s="273"/>
      <c r="T3239" s="273"/>
      <c r="U3239" s="274"/>
      <c r="V3239" s="263"/>
      <c r="W3239" s="188"/>
      <c r="X3239" s="188"/>
      <c r="Y3239" s="188"/>
      <c r="Z3239" s="188"/>
      <c r="AA3239" s="188"/>
      <c r="AB3239" s="188"/>
      <c r="AC3239" s="188"/>
      <c r="AD3239" s="188"/>
      <c r="AE3239" s="188"/>
      <c r="AF3239" s="188"/>
      <c r="AG3239" s="188"/>
      <c r="AH3239" s="188"/>
      <c r="AI3239" s="188"/>
    </row>
    <row r="3240">
      <c r="A3240" s="263"/>
      <c r="B3240" s="264"/>
      <c r="C3240" s="265"/>
      <c r="D3240" s="265"/>
      <c r="E3240" s="264"/>
      <c r="F3240" s="265"/>
      <c r="G3240" s="263"/>
      <c r="H3240" s="432"/>
      <c r="I3240" s="282"/>
      <c r="J3240" s="283"/>
      <c r="K3240" s="265"/>
      <c r="L3240" s="265"/>
      <c r="M3240" s="269"/>
      <c r="N3240" s="270"/>
      <c r="O3240" s="271"/>
      <c r="P3240" s="271"/>
      <c r="Q3240" s="272"/>
      <c r="R3240" s="273"/>
      <c r="S3240" s="273"/>
      <c r="T3240" s="273"/>
      <c r="U3240" s="274"/>
      <c r="V3240" s="263"/>
      <c r="W3240" s="35"/>
      <c r="X3240" s="35"/>
      <c r="Y3240" s="35"/>
      <c r="Z3240" s="35"/>
      <c r="AA3240" s="35"/>
      <c r="AB3240" s="35"/>
      <c r="AC3240" s="35"/>
      <c r="AD3240" s="35"/>
      <c r="AE3240" s="35"/>
      <c r="AF3240" s="35"/>
      <c r="AG3240" s="35"/>
      <c r="AH3240" s="35"/>
      <c r="AI3240" s="35"/>
    </row>
    <row r="3241">
      <c r="A3241" s="263"/>
      <c r="B3241" s="264"/>
      <c r="C3241" s="265"/>
      <c r="D3241" s="265"/>
      <c r="E3241" s="264"/>
      <c r="F3241" s="265"/>
      <c r="G3241" s="263"/>
      <c r="H3241" s="432"/>
      <c r="I3241" s="282"/>
      <c r="J3241" s="283"/>
      <c r="K3241" s="265"/>
      <c r="L3241" s="265"/>
      <c r="M3241" s="269"/>
      <c r="N3241" s="270"/>
      <c r="O3241" s="271"/>
      <c r="P3241" s="271"/>
      <c r="Q3241" s="272"/>
      <c r="R3241" s="273"/>
      <c r="S3241" s="273"/>
      <c r="T3241" s="273"/>
      <c r="U3241" s="274"/>
      <c r="V3241" s="263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</row>
    <row r="3242">
      <c r="A3242" s="263"/>
      <c r="B3242" s="264"/>
      <c r="C3242" s="265"/>
      <c r="D3242" s="265"/>
      <c r="E3242" s="264"/>
      <c r="F3242" s="265"/>
      <c r="G3242" s="263"/>
      <c r="H3242" s="432"/>
      <c r="I3242" s="282"/>
      <c r="J3242" s="283"/>
      <c r="K3242" s="265"/>
      <c r="L3242" s="265"/>
      <c r="M3242" s="269"/>
      <c r="N3242" s="270"/>
      <c r="O3242" s="271"/>
      <c r="P3242" s="271"/>
      <c r="Q3242" s="272"/>
      <c r="R3242" s="273"/>
      <c r="S3242" s="273"/>
      <c r="T3242" s="273"/>
      <c r="U3242" s="274"/>
      <c r="V3242" s="263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</row>
    <row r="3243">
      <c r="A3243" s="263"/>
      <c r="B3243" s="264"/>
      <c r="C3243" s="265"/>
      <c r="D3243" s="265"/>
      <c r="E3243" s="264"/>
      <c r="F3243" s="265"/>
      <c r="G3243" s="263"/>
      <c r="H3243" s="432"/>
      <c r="I3243" s="282"/>
      <c r="J3243" s="283"/>
      <c r="K3243" s="265"/>
      <c r="L3243" s="265"/>
      <c r="M3243" s="269"/>
      <c r="N3243" s="270"/>
      <c r="O3243" s="271"/>
      <c r="P3243" s="271"/>
      <c r="Q3243" s="272"/>
      <c r="R3243" s="273"/>
      <c r="S3243" s="273"/>
      <c r="T3243" s="273"/>
      <c r="U3243" s="274"/>
      <c r="V3243" s="263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</row>
    <row r="3244">
      <c r="A3244" s="263"/>
      <c r="B3244" s="264"/>
      <c r="C3244" s="265"/>
      <c r="D3244" s="265"/>
      <c r="E3244" s="264"/>
      <c r="F3244" s="265"/>
      <c r="G3244" s="263"/>
      <c r="H3244" s="432"/>
      <c r="I3244" s="282"/>
      <c r="J3244" s="283"/>
      <c r="K3244" s="265"/>
      <c r="L3244" s="265"/>
      <c r="M3244" s="269"/>
      <c r="N3244" s="270"/>
      <c r="O3244" s="271"/>
      <c r="P3244" s="271"/>
      <c r="Q3244" s="272"/>
      <c r="R3244" s="273"/>
      <c r="S3244" s="273"/>
      <c r="T3244" s="273"/>
      <c r="U3244" s="274"/>
      <c r="V3244" s="263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</row>
    <row r="3245">
      <c r="A3245" s="263"/>
      <c r="B3245" s="264"/>
      <c r="C3245" s="265"/>
      <c r="D3245" s="265"/>
      <c r="E3245" s="264"/>
      <c r="F3245" s="265"/>
      <c r="G3245" s="263"/>
      <c r="H3245" s="432"/>
      <c r="I3245" s="282"/>
      <c r="J3245" s="283"/>
      <c r="K3245" s="265"/>
      <c r="L3245" s="265"/>
      <c r="M3245" s="269"/>
      <c r="N3245" s="270"/>
      <c r="O3245" s="271"/>
      <c r="P3245" s="271"/>
      <c r="Q3245" s="272"/>
      <c r="R3245" s="273"/>
      <c r="S3245" s="273"/>
      <c r="T3245" s="273"/>
      <c r="U3245" s="274"/>
      <c r="V3245" s="263"/>
      <c r="W3245" s="35"/>
      <c r="X3245" s="35"/>
      <c r="Y3245" s="35"/>
      <c r="Z3245" s="35"/>
      <c r="AA3245" s="35"/>
      <c r="AB3245" s="35"/>
      <c r="AC3245" s="35"/>
      <c r="AD3245" s="35"/>
      <c r="AE3245" s="35"/>
      <c r="AF3245" s="35"/>
      <c r="AG3245" s="35"/>
      <c r="AH3245" s="35"/>
      <c r="AI3245" s="35"/>
    </row>
    <row r="3246">
      <c r="A3246" s="263"/>
      <c r="B3246" s="264"/>
      <c r="C3246" s="265"/>
      <c r="D3246" s="265"/>
      <c r="E3246" s="264"/>
      <c r="F3246" s="265"/>
      <c r="G3246" s="263"/>
      <c r="H3246" s="432"/>
      <c r="I3246" s="282"/>
      <c r="J3246" s="283"/>
      <c r="K3246" s="265"/>
      <c r="L3246" s="265"/>
      <c r="M3246" s="269"/>
      <c r="N3246" s="270"/>
      <c r="O3246" s="271"/>
      <c r="P3246" s="271"/>
      <c r="Q3246" s="272"/>
      <c r="R3246" s="273"/>
      <c r="S3246" s="273"/>
      <c r="T3246" s="273"/>
      <c r="U3246" s="274"/>
      <c r="V3246" s="263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</row>
    <row r="3247">
      <c r="A3247" s="263"/>
      <c r="B3247" s="264"/>
      <c r="C3247" s="265"/>
      <c r="D3247" s="265"/>
      <c r="E3247" s="264"/>
      <c r="F3247" s="265"/>
      <c r="G3247" s="263"/>
      <c r="H3247" s="432"/>
      <c r="I3247" s="282"/>
      <c r="J3247" s="283"/>
      <c r="K3247" s="265"/>
      <c r="L3247" s="265"/>
      <c r="M3247" s="269"/>
      <c r="N3247" s="270"/>
      <c r="O3247" s="271"/>
      <c r="P3247" s="271"/>
      <c r="Q3247" s="272"/>
      <c r="R3247" s="273"/>
      <c r="S3247" s="273"/>
      <c r="T3247" s="273"/>
      <c r="U3247" s="274"/>
      <c r="V3247" s="263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</row>
    <row r="3248">
      <c r="A3248" s="263"/>
      <c r="B3248" s="264"/>
      <c r="C3248" s="265"/>
      <c r="D3248" s="265"/>
      <c r="E3248" s="264"/>
      <c r="F3248" s="265"/>
      <c r="G3248" s="263"/>
      <c r="H3248" s="432"/>
      <c r="I3248" s="282"/>
      <c r="J3248" s="283"/>
      <c r="K3248" s="265"/>
      <c r="L3248" s="265"/>
      <c r="M3248" s="269"/>
      <c r="N3248" s="270"/>
      <c r="O3248" s="271"/>
      <c r="P3248" s="271"/>
      <c r="Q3248" s="272"/>
      <c r="R3248" s="273"/>
      <c r="S3248" s="273"/>
      <c r="T3248" s="273"/>
      <c r="U3248" s="274"/>
      <c r="V3248" s="263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</row>
    <row r="3249">
      <c r="A3249" s="263"/>
      <c r="B3249" s="264"/>
      <c r="C3249" s="265"/>
      <c r="D3249" s="265"/>
      <c r="E3249" s="264"/>
      <c r="F3249" s="265"/>
      <c r="G3249" s="263"/>
      <c r="H3249" s="432"/>
      <c r="I3249" s="282"/>
      <c r="J3249" s="283"/>
      <c r="K3249" s="265"/>
      <c r="L3249" s="265"/>
      <c r="M3249" s="269"/>
      <c r="N3249" s="270"/>
      <c r="O3249" s="271"/>
      <c r="P3249" s="271"/>
      <c r="Q3249" s="272"/>
      <c r="R3249" s="273"/>
      <c r="S3249" s="273"/>
      <c r="T3249" s="273"/>
      <c r="U3249" s="274"/>
      <c r="V3249" s="263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</row>
    <row r="3250">
      <c r="A3250" s="263"/>
      <c r="B3250" s="264"/>
      <c r="C3250" s="265"/>
      <c r="D3250" s="265"/>
      <c r="E3250" s="264"/>
      <c r="F3250" s="265"/>
      <c r="G3250" s="263"/>
      <c r="H3250" s="432"/>
      <c r="I3250" s="282"/>
      <c r="J3250" s="283"/>
      <c r="K3250" s="265"/>
      <c r="L3250" s="265"/>
      <c r="M3250" s="269"/>
      <c r="N3250" s="270"/>
      <c r="O3250" s="271"/>
      <c r="P3250" s="271"/>
      <c r="Q3250" s="272"/>
      <c r="R3250" s="273"/>
      <c r="S3250" s="273"/>
      <c r="T3250" s="273"/>
      <c r="U3250" s="274"/>
      <c r="V3250" s="263"/>
      <c r="W3250" s="35"/>
      <c r="X3250" s="35"/>
      <c r="Y3250" s="35"/>
      <c r="Z3250" s="35"/>
      <c r="AA3250" s="35"/>
      <c r="AB3250" s="35"/>
      <c r="AC3250" s="35"/>
      <c r="AD3250" s="35"/>
      <c r="AE3250" s="35"/>
      <c r="AF3250" s="35"/>
      <c r="AG3250" s="35"/>
      <c r="AH3250" s="35"/>
      <c r="AI3250" s="35"/>
    </row>
    <row r="3251">
      <c r="A3251" s="263"/>
      <c r="B3251" s="264"/>
      <c r="C3251" s="265"/>
      <c r="D3251" s="265"/>
      <c r="E3251" s="264"/>
      <c r="F3251" s="265"/>
      <c r="G3251" s="263"/>
      <c r="H3251" s="432"/>
      <c r="I3251" s="282"/>
      <c r="J3251" s="283"/>
      <c r="K3251" s="265"/>
      <c r="L3251" s="265"/>
      <c r="M3251" s="269"/>
      <c r="N3251" s="270"/>
      <c r="O3251" s="271"/>
      <c r="P3251" s="271"/>
      <c r="Q3251" s="272"/>
      <c r="R3251" s="273"/>
      <c r="S3251" s="273"/>
      <c r="T3251" s="273"/>
      <c r="U3251" s="274"/>
      <c r="V3251" s="263"/>
      <c r="W3251" s="188"/>
      <c r="X3251" s="188"/>
      <c r="Y3251" s="188"/>
      <c r="Z3251" s="188"/>
      <c r="AA3251" s="188"/>
      <c r="AB3251" s="188"/>
      <c r="AC3251" s="188"/>
      <c r="AD3251" s="188"/>
      <c r="AE3251" s="188"/>
      <c r="AF3251" s="188"/>
      <c r="AG3251" s="188"/>
      <c r="AH3251" s="188"/>
      <c r="AI3251" s="188"/>
    </row>
    <row r="3252">
      <c r="A3252" s="263"/>
      <c r="B3252" s="264"/>
      <c r="C3252" s="265"/>
      <c r="D3252" s="265"/>
      <c r="E3252" s="264"/>
      <c r="F3252" s="265"/>
      <c r="G3252" s="263"/>
      <c r="H3252" s="432"/>
      <c r="I3252" s="282"/>
      <c r="J3252" s="283"/>
      <c r="K3252" s="265"/>
      <c r="L3252" s="265"/>
      <c r="M3252" s="269"/>
      <c r="N3252" s="270"/>
      <c r="O3252" s="271"/>
      <c r="P3252" s="271"/>
      <c r="Q3252" s="272"/>
      <c r="R3252" s="273"/>
      <c r="S3252" s="273"/>
      <c r="T3252" s="273"/>
      <c r="U3252" s="274"/>
      <c r="V3252" s="263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</row>
    <row r="3253">
      <c r="A3253" s="263"/>
      <c r="B3253" s="264"/>
      <c r="C3253" s="265"/>
      <c r="D3253" s="265"/>
      <c r="E3253" s="264"/>
      <c r="F3253" s="265"/>
      <c r="G3253" s="263"/>
      <c r="H3253" s="432"/>
      <c r="I3253" s="282"/>
      <c r="J3253" s="283"/>
      <c r="K3253" s="265"/>
      <c r="L3253" s="265"/>
      <c r="M3253" s="269"/>
      <c r="N3253" s="270"/>
      <c r="O3253" s="271"/>
      <c r="P3253" s="271"/>
      <c r="Q3253" s="272"/>
      <c r="R3253" s="273"/>
      <c r="S3253" s="273"/>
      <c r="T3253" s="273"/>
      <c r="U3253" s="274"/>
      <c r="V3253" s="263"/>
      <c r="W3253" s="188"/>
      <c r="X3253" s="188"/>
      <c r="Y3253" s="188"/>
      <c r="Z3253" s="188"/>
      <c r="AA3253" s="188"/>
      <c r="AB3253" s="188"/>
      <c r="AC3253" s="188"/>
      <c r="AD3253" s="188"/>
      <c r="AE3253" s="188"/>
      <c r="AF3253" s="188"/>
      <c r="AG3253" s="188"/>
      <c r="AH3253" s="188"/>
      <c r="AI3253" s="188"/>
    </row>
    <row r="3254">
      <c r="A3254" s="263"/>
      <c r="B3254" s="264"/>
      <c r="C3254" s="265"/>
      <c r="D3254" s="265"/>
      <c r="E3254" s="264"/>
      <c r="F3254" s="265"/>
      <c r="G3254" s="263"/>
      <c r="H3254" s="432"/>
      <c r="I3254" s="282"/>
      <c r="J3254" s="283"/>
      <c r="K3254" s="265"/>
      <c r="L3254" s="265"/>
      <c r="M3254" s="269"/>
      <c r="N3254" s="270"/>
      <c r="O3254" s="271"/>
      <c r="P3254" s="271"/>
      <c r="Q3254" s="272"/>
      <c r="R3254" s="273"/>
      <c r="S3254" s="273"/>
      <c r="T3254" s="273"/>
      <c r="U3254" s="274"/>
      <c r="V3254" s="263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</row>
    <row r="3255">
      <c r="A3255" s="263"/>
      <c r="B3255" s="264"/>
      <c r="C3255" s="265"/>
      <c r="D3255" s="265"/>
      <c r="E3255" s="264"/>
      <c r="F3255" s="265"/>
      <c r="G3255" s="263"/>
      <c r="H3255" s="432"/>
      <c r="I3255" s="282"/>
      <c r="J3255" s="283"/>
      <c r="K3255" s="265"/>
      <c r="L3255" s="265"/>
      <c r="M3255" s="269"/>
      <c r="N3255" s="270"/>
      <c r="O3255" s="271"/>
      <c r="P3255" s="271"/>
      <c r="Q3255" s="272"/>
      <c r="R3255" s="273"/>
      <c r="S3255" s="273"/>
      <c r="T3255" s="273"/>
      <c r="U3255" s="274"/>
      <c r="V3255" s="263"/>
      <c r="W3255" s="188"/>
      <c r="X3255" s="188"/>
      <c r="Y3255" s="188"/>
      <c r="Z3255" s="188"/>
      <c r="AA3255" s="188"/>
      <c r="AB3255" s="188"/>
      <c r="AC3255" s="188"/>
      <c r="AD3255" s="188"/>
      <c r="AE3255" s="188"/>
      <c r="AF3255" s="188"/>
      <c r="AG3255" s="188"/>
      <c r="AH3255" s="188"/>
      <c r="AI3255" s="188"/>
    </row>
    <row r="3256">
      <c r="A3256" s="263"/>
      <c r="B3256" s="264"/>
      <c r="C3256" s="265"/>
      <c r="D3256" s="265"/>
      <c r="E3256" s="264"/>
      <c r="F3256" s="265"/>
      <c r="G3256" s="263"/>
      <c r="H3256" s="432"/>
      <c r="I3256" s="282"/>
      <c r="J3256" s="283"/>
      <c r="K3256" s="265"/>
      <c r="L3256" s="265"/>
      <c r="M3256" s="269"/>
      <c r="N3256" s="270"/>
      <c r="O3256" s="271"/>
      <c r="P3256" s="271"/>
      <c r="Q3256" s="272"/>
      <c r="R3256" s="273"/>
      <c r="S3256" s="273"/>
      <c r="T3256" s="273"/>
      <c r="U3256" s="274"/>
      <c r="V3256" s="263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</row>
    <row r="3257">
      <c r="A3257" s="263"/>
      <c r="B3257" s="264"/>
      <c r="C3257" s="265"/>
      <c r="D3257" s="265"/>
      <c r="E3257" s="264"/>
      <c r="F3257" s="265"/>
      <c r="G3257" s="263"/>
      <c r="H3257" s="432"/>
      <c r="I3257" s="282"/>
      <c r="J3257" s="283"/>
      <c r="K3257" s="265"/>
      <c r="L3257" s="265"/>
      <c r="M3257" s="269"/>
      <c r="N3257" s="270"/>
      <c r="O3257" s="271"/>
      <c r="P3257" s="271"/>
      <c r="Q3257" s="272"/>
      <c r="R3257" s="273"/>
      <c r="S3257" s="273"/>
      <c r="T3257" s="273"/>
      <c r="U3257" s="274"/>
      <c r="V3257" s="263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</row>
    <row r="3258">
      <c r="A3258" s="263"/>
      <c r="B3258" s="264"/>
      <c r="C3258" s="265"/>
      <c r="D3258" s="265"/>
      <c r="E3258" s="264"/>
      <c r="F3258" s="265"/>
      <c r="G3258" s="263"/>
      <c r="H3258" s="432"/>
      <c r="I3258" s="282"/>
      <c r="J3258" s="283"/>
      <c r="K3258" s="265"/>
      <c r="L3258" s="265"/>
      <c r="M3258" s="269"/>
      <c r="N3258" s="270"/>
      <c r="O3258" s="271"/>
      <c r="P3258" s="271"/>
      <c r="Q3258" s="272"/>
      <c r="R3258" s="273"/>
      <c r="S3258" s="273"/>
      <c r="T3258" s="273"/>
      <c r="U3258" s="274"/>
      <c r="V3258" s="263"/>
      <c r="W3258" s="35"/>
      <c r="X3258" s="35"/>
      <c r="Y3258" s="35"/>
      <c r="Z3258" s="35"/>
      <c r="AA3258" s="35"/>
      <c r="AB3258" s="35"/>
      <c r="AC3258" s="35"/>
      <c r="AD3258" s="35"/>
      <c r="AE3258" s="35"/>
      <c r="AF3258" s="35"/>
      <c r="AG3258" s="35"/>
      <c r="AH3258" s="35"/>
      <c r="AI3258" s="35"/>
    </row>
    <row r="3259">
      <c r="A3259" s="263"/>
      <c r="B3259" s="264"/>
      <c r="C3259" s="265"/>
      <c r="D3259" s="265"/>
      <c r="E3259" s="264"/>
      <c r="F3259" s="265"/>
      <c r="G3259" s="263"/>
      <c r="H3259" s="432"/>
      <c r="I3259" s="282"/>
      <c r="J3259" s="283"/>
      <c r="K3259" s="265"/>
      <c r="L3259" s="265"/>
      <c r="M3259" s="269"/>
      <c r="N3259" s="270"/>
      <c r="O3259" s="271"/>
      <c r="P3259" s="271"/>
      <c r="Q3259" s="272"/>
      <c r="R3259" s="273"/>
      <c r="S3259" s="273"/>
      <c r="T3259" s="273"/>
      <c r="U3259" s="274"/>
      <c r="V3259" s="263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</row>
    <row r="3260">
      <c r="A3260" s="263"/>
      <c r="B3260" s="264"/>
      <c r="C3260" s="265"/>
      <c r="D3260" s="265"/>
      <c r="E3260" s="264"/>
      <c r="F3260" s="265"/>
      <c r="G3260" s="263"/>
      <c r="H3260" s="432"/>
      <c r="I3260" s="282"/>
      <c r="J3260" s="283"/>
      <c r="K3260" s="265"/>
      <c r="L3260" s="265"/>
      <c r="M3260" s="269"/>
      <c r="N3260" s="270"/>
      <c r="O3260" s="271"/>
      <c r="P3260" s="271"/>
      <c r="Q3260" s="272"/>
      <c r="R3260" s="273"/>
      <c r="S3260" s="273"/>
      <c r="T3260" s="273"/>
      <c r="U3260" s="274"/>
      <c r="V3260" s="263"/>
      <c r="W3260" s="188"/>
      <c r="X3260" s="188"/>
      <c r="Y3260" s="188"/>
      <c r="Z3260" s="188"/>
      <c r="AA3260" s="188"/>
      <c r="AB3260" s="188"/>
      <c r="AC3260" s="188"/>
      <c r="AD3260" s="188"/>
      <c r="AE3260" s="188"/>
      <c r="AF3260" s="188"/>
      <c r="AG3260" s="188"/>
      <c r="AH3260" s="188"/>
      <c r="AI3260" s="188"/>
    </row>
    <row r="3261">
      <c r="A3261" s="263"/>
      <c r="B3261" s="264"/>
      <c r="C3261" s="265"/>
      <c r="D3261" s="265"/>
      <c r="E3261" s="264"/>
      <c r="F3261" s="265"/>
      <c r="G3261" s="263"/>
      <c r="H3261" s="432"/>
      <c r="I3261" s="282"/>
      <c r="J3261" s="283"/>
      <c r="K3261" s="265"/>
      <c r="L3261" s="265"/>
      <c r="M3261" s="269"/>
      <c r="N3261" s="270"/>
      <c r="O3261" s="271"/>
      <c r="P3261" s="271"/>
      <c r="Q3261" s="272"/>
      <c r="R3261" s="273"/>
      <c r="S3261" s="273"/>
      <c r="T3261" s="273"/>
      <c r="U3261" s="274"/>
      <c r="V3261" s="263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</row>
    <row r="3262">
      <c r="A3262" s="263"/>
      <c r="B3262" s="264"/>
      <c r="C3262" s="265"/>
      <c r="D3262" s="265"/>
      <c r="E3262" s="264"/>
      <c r="F3262" s="265"/>
      <c r="G3262" s="263"/>
      <c r="H3262" s="432"/>
      <c r="I3262" s="282"/>
      <c r="J3262" s="283"/>
      <c r="K3262" s="265"/>
      <c r="L3262" s="265"/>
      <c r="M3262" s="269"/>
      <c r="N3262" s="270"/>
      <c r="O3262" s="271"/>
      <c r="P3262" s="271"/>
      <c r="Q3262" s="272"/>
      <c r="R3262" s="273"/>
      <c r="S3262" s="273"/>
      <c r="T3262" s="273"/>
      <c r="U3262" s="274"/>
      <c r="V3262" s="263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</row>
    <row r="3263">
      <c r="A3263" s="263"/>
      <c r="B3263" s="264"/>
      <c r="C3263" s="265"/>
      <c r="D3263" s="265"/>
      <c r="E3263" s="264"/>
      <c r="F3263" s="265"/>
      <c r="G3263" s="263"/>
      <c r="H3263" s="432"/>
      <c r="I3263" s="282"/>
      <c r="J3263" s="283"/>
      <c r="K3263" s="265"/>
      <c r="L3263" s="265"/>
      <c r="M3263" s="269"/>
      <c r="N3263" s="270"/>
      <c r="O3263" s="271"/>
      <c r="P3263" s="271"/>
      <c r="Q3263" s="272"/>
      <c r="R3263" s="273"/>
      <c r="S3263" s="273"/>
      <c r="T3263" s="273"/>
      <c r="U3263" s="274"/>
      <c r="V3263" s="263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</row>
    <row r="3264">
      <c r="A3264" s="263"/>
      <c r="B3264" s="264"/>
      <c r="C3264" s="265"/>
      <c r="D3264" s="265"/>
      <c r="E3264" s="264"/>
      <c r="F3264" s="265"/>
      <c r="G3264" s="263"/>
      <c r="H3264" s="432"/>
      <c r="I3264" s="282"/>
      <c r="J3264" s="283"/>
      <c r="K3264" s="265"/>
      <c r="L3264" s="265"/>
      <c r="M3264" s="269"/>
      <c r="N3264" s="270"/>
      <c r="O3264" s="271"/>
      <c r="P3264" s="271"/>
      <c r="Q3264" s="272"/>
      <c r="R3264" s="273"/>
      <c r="S3264" s="273"/>
      <c r="T3264" s="273"/>
      <c r="U3264" s="274"/>
      <c r="V3264" s="263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</row>
    <row r="3265">
      <c r="A3265" s="263"/>
      <c r="B3265" s="264"/>
      <c r="C3265" s="265"/>
      <c r="D3265" s="265"/>
      <c r="E3265" s="264"/>
      <c r="F3265" s="265"/>
      <c r="G3265" s="263"/>
      <c r="H3265" s="432"/>
      <c r="I3265" s="282"/>
      <c r="J3265" s="283"/>
      <c r="K3265" s="265"/>
      <c r="L3265" s="265"/>
      <c r="M3265" s="269"/>
      <c r="N3265" s="270"/>
      <c r="O3265" s="271"/>
      <c r="P3265" s="271"/>
      <c r="Q3265" s="272"/>
      <c r="R3265" s="273"/>
      <c r="S3265" s="273"/>
      <c r="T3265" s="273"/>
      <c r="U3265" s="274"/>
      <c r="V3265" s="263"/>
      <c r="W3265" s="35"/>
      <c r="X3265" s="35"/>
      <c r="Y3265" s="35"/>
      <c r="Z3265" s="35"/>
      <c r="AA3265" s="35"/>
      <c r="AB3265" s="35"/>
      <c r="AC3265" s="35"/>
      <c r="AD3265" s="35"/>
      <c r="AE3265" s="35"/>
      <c r="AF3265" s="35"/>
      <c r="AG3265" s="35"/>
      <c r="AH3265" s="35"/>
      <c r="AI3265" s="35"/>
    </row>
    <row r="3266">
      <c r="A3266" s="263"/>
      <c r="B3266" s="264"/>
      <c r="C3266" s="265"/>
      <c r="D3266" s="265"/>
      <c r="E3266" s="264"/>
      <c r="F3266" s="265"/>
      <c r="G3266" s="263"/>
      <c r="H3266" s="432"/>
      <c r="I3266" s="282"/>
      <c r="J3266" s="283"/>
      <c r="K3266" s="265"/>
      <c r="L3266" s="265"/>
      <c r="M3266" s="269"/>
      <c r="N3266" s="270"/>
      <c r="O3266" s="271"/>
      <c r="P3266" s="271"/>
      <c r="Q3266" s="272"/>
      <c r="R3266" s="273"/>
      <c r="S3266" s="273"/>
      <c r="T3266" s="273"/>
      <c r="U3266" s="274"/>
      <c r="V3266" s="263"/>
      <c r="W3266" s="188"/>
      <c r="X3266" s="188"/>
      <c r="Y3266" s="188"/>
      <c r="Z3266" s="188"/>
      <c r="AA3266" s="188"/>
      <c r="AB3266" s="188"/>
      <c r="AC3266" s="188"/>
      <c r="AD3266" s="188"/>
      <c r="AE3266" s="188"/>
      <c r="AF3266" s="188"/>
      <c r="AG3266" s="188"/>
      <c r="AH3266" s="188"/>
      <c r="AI3266" s="188"/>
    </row>
    <row r="3267">
      <c r="A3267" s="263"/>
      <c r="B3267" s="264"/>
      <c r="C3267" s="265"/>
      <c r="D3267" s="265"/>
      <c r="E3267" s="264"/>
      <c r="F3267" s="265"/>
      <c r="G3267" s="263"/>
      <c r="H3267" s="432"/>
      <c r="I3267" s="282"/>
      <c r="J3267" s="283"/>
      <c r="K3267" s="265"/>
      <c r="L3267" s="265"/>
      <c r="M3267" s="269"/>
      <c r="N3267" s="270"/>
      <c r="O3267" s="271"/>
      <c r="P3267" s="271"/>
      <c r="Q3267" s="272"/>
      <c r="R3267" s="273"/>
      <c r="S3267" s="273"/>
      <c r="T3267" s="273"/>
      <c r="U3267" s="274"/>
      <c r="V3267" s="263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</row>
    <row r="3268">
      <c r="A3268" s="263"/>
      <c r="B3268" s="264"/>
      <c r="C3268" s="265"/>
      <c r="D3268" s="265"/>
      <c r="E3268" s="264"/>
      <c r="F3268" s="265"/>
      <c r="G3268" s="263"/>
      <c r="H3268" s="432"/>
      <c r="I3268" s="282"/>
      <c r="J3268" s="283"/>
      <c r="K3268" s="265"/>
      <c r="L3268" s="265"/>
      <c r="M3268" s="269"/>
      <c r="N3268" s="270"/>
      <c r="O3268" s="271"/>
      <c r="P3268" s="271"/>
      <c r="Q3268" s="272"/>
      <c r="R3268" s="273"/>
      <c r="S3268" s="273"/>
      <c r="T3268" s="273"/>
      <c r="U3268" s="274"/>
      <c r="V3268" s="263"/>
      <c r="W3268" s="188"/>
      <c r="X3268" s="188"/>
      <c r="Y3268" s="188"/>
      <c r="Z3268" s="188"/>
      <c r="AA3268" s="188"/>
      <c r="AB3268" s="188"/>
      <c r="AC3268" s="188"/>
      <c r="AD3268" s="188"/>
      <c r="AE3268" s="188"/>
      <c r="AF3268" s="188"/>
      <c r="AG3268" s="188"/>
      <c r="AH3268" s="188"/>
      <c r="AI3268" s="188"/>
    </row>
    <row r="3269">
      <c r="A3269" s="263"/>
      <c r="B3269" s="264"/>
      <c r="C3269" s="265"/>
      <c r="D3269" s="265"/>
      <c r="E3269" s="264"/>
      <c r="F3269" s="265"/>
      <c r="G3269" s="263"/>
      <c r="H3269" s="432"/>
      <c r="I3269" s="282"/>
      <c r="J3269" s="283"/>
      <c r="K3269" s="265"/>
      <c r="L3269" s="265"/>
      <c r="M3269" s="269"/>
      <c r="N3269" s="270"/>
      <c r="O3269" s="271"/>
      <c r="P3269" s="271"/>
      <c r="Q3269" s="272"/>
      <c r="R3269" s="273"/>
      <c r="S3269" s="273"/>
      <c r="T3269" s="273"/>
      <c r="U3269" s="274"/>
      <c r="V3269" s="263"/>
      <c r="W3269" s="35"/>
      <c r="X3269" s="35"/>
      <c r="Y3269" s="35"/>
      <c r="Z3269" s="35"/>
      <c r="AA3269" s="35"/>
      <c r="AB3269" s="35"/>
      <c r="AC3269" s="35"/>
      <c r="AD3269" s="35"/>
      <c r="AE3269" s="35"/>
      <c r="AF3269" s="35"/>
      <c r="AG3269" s="35"/>
      <c r="AH3269" s="35"/>
      <c r="AI3269" s="35"/>
    </row>
    <row r="3270">
      <c r="A3270" s="263"/>
      <c r="B3270" s="264"/>
      <c r="C3270" s="265"/>
      <c r="D3270" s="265"/>
      <c r="E3270" s="264"/>
      <c r="F3270" s="265"/>
      <c r="G3270" s="263"/>
      <c r="H3270" s="432"/>
      <c r="I3270" s="282"/>
      <c r="J3270" s="283"/>
      <c r="K3270" s="265"/>
      <c r="L3270" s="265"/>
      <c r="M3270" s="269"/>
      <c r="N3270" s="270"/>
      <c r="O3270" s="271"/>
      <c r="P3270" s="271"/>
      <c r="Q3270" s="272"/>
      <c r="R3270" s="273"/>
      <c r="S3270" s="273"/>
      <c r="T3270" s="273"/>
      <c r="U3270" s="274"/>
      <c r="V3270" s="263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</row>
    <row r="3271">
      <c r="A3271" s="263"/>
      <c r="B3271" s="264"/>
      <c r="C3271" s="265"/>
      <c r="D3271" s="265"/>
      <c r="E3271" s="264"/>
      <c r="F3271" s="265"/>
      <c r="G3271" s="263"/>
      <c r="H3271" s="432"/>
      <c r="I3271" s="282"/>
      <c r="J3271" s="283"/>
      <c r="K3271" s="265"/>
      <c r="L3271" s="265"/>
      <c r="M3271" s="269"/>
      <c r="N3271" s="270"/>
      <c r="O3271" s="271"/>
      <c r="P3271" s="271"/>
      <c r="Q3271" s="272"/>
      <c r="R3271" s="273"/>
      <c r="S3271" s="273"/>
      <c r="T3271" s="273"/>
      <c r="U3271" s="274"/>
      <c r="V3271" s="263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</row>
    <row r="3272">
      <c r="A3272" s="263"/>
      <c r="B3272" s="264"/>
      <c r="C3272" s="265"/>
      <c r="D3272" s="265"/>
      <c r="E3272" s="264"/>
      <c r="F3272" s="265"/>
      <c r="G3272" s="263"/>
      <c r="H3272" s="432"/>
      <c r="I3272" s="282"/>
      <c r="J3272" s="283"/>
      <c r="K3272" s="265"/>
      <c r="L3272" s="265"/>
      <c r="M3272" s="269"/>
      <c r="N3272" s="270"/>
      <c r="O3272" s="271"/>
      <c r="P3272" s="271"/>
      <c r="Q3272" s="272"/>
      <c r="R3272" s="273"/>
      <c r="S3272" s="273"/>
      <c r="T3272" s="273"/>
      <c r="U3272" s="274"/>
      <c r="V3272" s="263"/>
      <c r="W3272" s="35"/>
      <c r="X3272" s="35"/>
      <c r="Y3272" s="35"/>
      <c r="Z3272" s="35"/>
      <c r="AA3272" s="35"/>
      <c r="AB3272" s="35"/>
      <c r="AC3272" s="35"/>
      <c r="AD3272" s="35"/>
      <c r="AE3272" s="35"/>
      <c r="AF3272" s="35"/>
      <c r="AG3272" s="35"/>
      <c r="AH3272" s="35"/>
      <c r="AI3272" s="35"/>
    </row>
    <row r="3273">
      <c r="A3273" s="263"/>
      <c r="B3273" s="264"/>
      <c r="C3273" s="265"/>
      <c r="D3273" s="265"/>
      <c r="E3273" s="264"/>
      <c r="F3273" s="265"/>
      <c r="G3273" s="263"/>
      <c r="H3273" s="432"/>
      <c r="I3273" s="282"/>
      <c r="J3273" s="283"/>
      <c r="K3273" s="265"/>
      <c r="L3273" s="265"/>
      <c r="M3273" s="269"/>
      <c r="N3273" s="270"/>
      <c r="O3273" s="271"/>
      <c r="P3273" s="271"/>
      <c r="Q3273" s="272"/>
      <c r="R3273" s="273"/>
      <c r="S3273" s="273"/>
      <c r="T3273" s="273"/>
      <c r="U3273" s="274"/>
      <c r="V3273" s="263"/>
      <c r="W3273" s="35"/>
      <c r="X3273" s="35"/>
      <c r="Y3273" s="35"/>
      <c r="Z3273" s="35"/>
      <c r="AA3273" s="35"/>
      <c r="AB3273" s="35"/>
      <c r="AC3273" s="35"/>
      <c r="AD3273" s="35"/>
      <c r="AE3273" s="35"/>
      <c r="AF3273" s="35"/>
      <c r="AG3273" s="35"/>
      <c r="AH3273" s="35"/>
      <c r="AI3273" s="35"/>
    </row>
    <row r="3274">
      <c r="A3274" s="263"/>
      <c r="B3274" s="264"/>
      <c r="C3274" s="265"/>
      <c r="D3274" s="265"/>
      <c r="E3274" s="264"/>
      <c r="F3274" s="265"/>
      <c r="G3274" s="263"/>
      <c r="H3274" s="432"/>
      <c r="I3274" s="282"/>
      <c r="J3274" s="283"/>
      <c r="K3274" s="265"/>
      <c r="L3274" s="265"/>
      <c r="M3274" s="269"/>
      <c r="N3274" s="270"/>
      <c r="O3274" s="271"/>
      <c r="P3274" s="271"/>
      <c r="Q3274" s="272"/>
      <c r="R3274" s="273"/>
      <c r="S3274" s="273"/>
      <c r="T3274" s="273"/>
      <c r="U3274" s="274"/>
      <c r="V3274" s="263"/>
      <c r="W3274" s="188"/>
      <c r="X3274" s="188"/>
      <c r="Y3274" s="188"/>
      <c r="Z3274" s="188"/>
      <c r="AA3274" s="188"/>
      <c r="AB3274" s="188"/>
      <c r="AC3274" s="188"/>
      <c r="AD3274" s="188"/>
      <c r="AE3274" s="188"/>
      <c r="AF3274" s="188"/>
      <c r="AG3274" s="188"/>
      <c r="AH3274" s="188"/>
      <c r="AI3274" s="188"/>
    </row>
    <row r="3275">
      <c r="A3275" s="263"/>
      <c r="B3275" s="264"/>
      <c r="C3275" s="265"/>
      <c r="D3275" s="265"/>
      <c r="E3275" s="264"/>
      <c r="F3275" s="265"/>
      <c r="G3275" s="263"/>
      <c r="H3275" s="432"/>
      <c r="I3275" s="282"/>
      <c r="J3275" s="283"/>
      <c r="K3275" s="265"/>
      <c r="L3275" s="265"/>
      <c r="M3275" s="269"/>
      <c r="N3275" s="270"/>
      <c r="O3275" s="271"/>
      <c r="P3275" s="271"/>
      <c r="Q3275" s="272"/>
      <c r="R3275" s="273"/>
      <c r="S3275" s="273"/>
      <c r="T3275" s="273"/>
      <c r="U3275" s="274"/>
      <c r="V3275" s="263"/>
      <c r="W3275" s="188"/>
      <c r="X3275" s="188"/>
      <c r="Y3275" s="188"/>
      <c r="Z3275" s="188"/>
      <c r="AA3275" s="188"/>
      <c r="AB3275" s="188"/>
      <c r="AC3275" s="188"/>
      <c r="AD3275" s="188"/>
      <c r="AE3275" s="188"/>
      <c r="AF3275" s="188"/>
      <c r="AG3275" s="188"/>
      <c r="AH3275" s="188"/>
      <c r="AI3275" s="188"/>
    </row>
    <row r="3276">
      <c r="A3276" s="263"/>
      <c r="B3276" s="264"/>
      <c r="C3276" s="265"/>
      <c r="D3276" s="265"/>
      <c r="E3276" s="264"/>
      <c r="F3276" s="265"/>
      <c r="G3276" s="263"/>
      <c r="H3276" s="432"/>
      <c r="I3276" s="282"/>
      <c r="J3276" s="283"/>
      <c r="K3276" s="265"/>
      <c r="L3276" s="265"/>
      <c r="M3276" s="269"/>
      <c r="N3276" s="270"/>
      <c r="O3276" s="271"/>
      <c r="P3276" s="271"/>
      <c r="Q3276" s="272"/>
      <c r="R3276" s="273"/>
      <c r="S3276" s="273"/>
      <c r="T3276" s="273"/>
      <c r="U3276" s="274"/>
      <c r="V3276" s="263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</row>
    <row r="3277">
      <c r="A3277" s="263"/>
      <c r="B3277" s="264"/>
      <c r="C3277" s="265"/>
      <c r="D3277" s="265"/>
      <c r="E3277" s="264"/>
      <c r="F3277" s="265"/>
      <c r="G3277" s="263"/>
      <c r="H3277" s="432"/>
      <c r="I3277" s="282"/>
      <c r="J3277" s="283"/>
      <c r="K3277" s="265"/>
      <c r="L3277" s="265"/>
      <c r="M3277" s="269"/>
      <c r="N3277" s="270"/>
      <c r="O3277" s="271"/>
      <c r="P3277" s="271"/>
      <c r="Q3277" s="272"/>
      <c r="R3277" s="273"/>
      <c r="S3277" s="273"/>
      <c r="T3277" s="273"/>
      <c r="U3277" s="274"/>
      <c r="V3277" s="263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</row>
    <row r="3278">
      <c r="A3278" s="263"/>
      <c r="B3278" s="264"/>
      <c r="C3278" s="265"/>
      <c r="D3278" s="265"/>
      <c r="E3278" s="264"/>
      <c r="F3278" s="265"/>
      <c r="G3278" s="263"/>
      <c r="H3278" s="432"/>
      <c r="I3278" s="282"/>
      <c r="J3278" s="283"/>
      <c r="K3278" s="265"/>
      <c r="L3278" s="265"/>
      <c r="M3278" s="269"/>
      <c r="N3278" s="270"/>
      <c r="O3278" s="271"/>
      <c r="P3278" s="271"/>
      <c r="Q3278" s="272"/>
      <c r="R3278" s="273"/>
      <c r="S3278" s="273"/>
      <c r="T3278" s="273"/>
      <c r="U3278" s="274"/>
      <c r="V3278" s="263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</row>
    <row r="3279">
      <c r="A3279" s="263"/>
      <c r="B3279" s="264"/>
      <c r="C3279" s="265"/>
      <c r="D3279" s="265"/>
      <c r="E3279" s="264"/>
      <c r="F3279" s="265"/>
      <c r="G3279" s="263"/>
      <c r="H3279" s="432"/>
      <c r="I3279" s="282"/>
      <c r="J3279" s="283"/>
      <c r="K3279" s="265"/>
      <c r="L3279" s="265"/>
      <c r="M3279" s="269"/>
      <c r="N3279" s="270"/>
      <c r="O3279" s="271"/>
      <c r="P3279" s="271"/>
      <c r="Q3279" s="272"/>
      <c r="R3279" s="273"/>
      <c r="S3279" s="273"/>
      <c r="T3279" s="273"/>
      <c r="U3279" s="274"/>
      <c r="V3279" s="263"/>
      <c r="W3279" s="188"/>
      <c r="X3279" s="188"/>
      <c r="Y3279" s="188"/>
      <c r="Z3279" s="188"/>
      <c r="AA3279" s="188"/>
      <c r="AB3279" s="188"/>
      <c r="AC3279" s="188"/>
      <c r="AD3279" s="188"/>
      <c r="AE3279" s="188"/>
      <c r="AF3279" s="188"/>
      <c r="AG3279" s="188"/>
      <c r="AH3279" s="188"/>
      <c r="AI3279" s="188"/>
    </row>
    <row r="3280">
      <c r="A3280" s="263"/>
      <c r="B3280" s="264"/>
      <c r="C3280" s="265"/>
      <c r="D3280" s="265"/>
      <c r="E3280" s="264"/>
      <c r="F3280" s="265"/>
      <c r="G3280" s="263"/>
      <c r="H3280" s="432"/>
      <c r="I3280" s="282"/>
      <c r="J3280" s="283"/>
      <c r="K3280" s="265"/>
      <c r="L3280" s="265"/>
      <c r="M3280" s="269"/>
      <c r="N3280" s="270"/>
      <c r="O3280" s="271"/>
      <c r="P3280" s="271"/>
      <c r="Q3280" s="272"/>
      <c r="R3280" s="273"/>
      <c r="S3280" s="273"/>
      <c r="T3280" s="273"/>
      <c r="U3280" s="274"/>
      <c r="V3280" s="263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</row>
    <row r="3281">
      <c r="A3281" s="263"/>
      <c r="B3281" s="264"/>
      <c r="C3281" s="265"/>
      <c r="D3281" s="265"/>
      <c r="E3281" s="264"/>
      <c r="F3281" s="265"/>
      <c r="G3281" s="263"/>
      <c r="H3281" s="432"/>
      <c r="I3281" s="282"/>
      <c r="J3281" s="283"/>
      <c r="K3281" s="265"/>
      <c r="L3281" s="265"/>
      <c r="M3281" s="269"/>
      <c r="N3281" s="270"/>
      <c r="O3281" s="271"/>
      <c r="P3281" s="271"/>
      <c r="Q3281" s="272"/>
      <c r="R3281" s="273"/>
      <c r="S3281" s="273"/>
      <c r="T3281" s="273"/>
      <c r="U3281" s="274"/>
      <c r="V3281" s="263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</row>
    <row r="3282">
      <c r="A3282" s="263"/>
      <c r="B3282" s="264"/>
      <c r="C3282" s="265"/>
      <c r="D3282" s="265"/>
      <c r="E3282" s="264"/>
      <c r="F3282" s="265"/>
      <c r="G3282" s="263"/>
      <c r="H3282" s="432"/>
      <c r="I3282" s="282"/>
      <c r="J3282" s="283"/>
      <c r="K3282" s="265"/>
      <c r="L3282" s="265"/>
      <c r="M3282" s="269"/>
      <c r="N3282" s="270"/>
      <c r="O3282" s="271"/>
      <c r="P3282" s="271"/>
      <c r="Q3282" s="272"/>
      <c r="R3282" s="273"/>
      <c r="S3282" s="273"/>
      <c r="T3282" s="273"/>
      <c r="U3282" s="274"/>
      <c r="V3282" s="263"/>
      <c r="W3282" s="188"/>
      <c r="X3282" s="188"/>
      <c r="Y3282" s="188"/>
      <c r="Z3282" s="188"/>
      <c r="AA3282" s="188"/>
      <c r="AB3282" s="188"/>
      <c r="AC3282" s="188"/>
      <c r="AD3282" s="188"/>
      <c r="AE3282" s="188"/>
      <c r="AF3282" s="188"/>
      <c r="AG3282" s="188"/>
      <c r="AH3282" s="188"/>
      <c r="AI3282" s="188"/>
    </row>
    <row r="3283">
      <c r="A3283" s="263"/>
      <c r="B3283" s="264"/>
      <c r="C3283" s="265"/>
      <c r="D3283" s="265"/>
      <c r="E3283" s="264"/>
      <c r="F3283" s="265"/>
      <c r="G3283" s="263"/>
      <c r="H3283" s="432"/>
      <c r="I3283" s="282"/>
      <c r="J3283" s="283"/>
      <c r="K3283" s="265"/>
      <c r="L3283" s="265"/>
      <c r="M3283" s="269"/>
      <c r="N3283" s="270"/>
      <c r="O3283" s="271"/>
      <c r="P3283" s="271"/>
      <c r="Q3283" s="272"/>
      <c r="R3283" s="273"/>
      <c r="S3283" s="273"/>
      <c r="T3283" s="273"/>
      <c r="U3283" s="274"/>
      <c r="V3283" s="263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</row>
    <row r="3284">
      <c r="A3284" s="263"/>
      <c r="B3284" s="264"/>
      <c r="C3284" s="265"/>
      <c r="D3284" s="265"/>
      <c r="E3284" s="264"/>
      <c r="F3284" s="265"/>
      <c r="G3284" s="263"/>
      <c r="H3284" s="432"/>
      <c r="I3284" s="282"/>
      <c r="J3284" s="283"/>
      <c r="K3284" s="265"/>
      <c r="L3284" s="265"/>
      <c r="M3284" s="269"/>
      <c r="N3284" s="270"/>
      <c r="O3284" s="271"/>
      <c r="P3284" s="271"/>
      <c r="Q3284" s="272"/>
      <c r="R3284" s="273"/>
      <c r="S3284" s="273"/>
      <c r="T3284" s="273"/>
      <c r="U3284" s="274"/>
      <c r="V3284" s="263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</row>
    <row r="3285">
      <c r="A3285" s="263"/>
      <c r="B3285" s="264"/>
      <c r="C3285" s="265"/>
      <c r="D3285" s="265"/>
      <c r="E3285" s="264"/>
      <c r="F3285" s="265"/>
      <c r="G3285" s="263"/>
      <c r="H3285" s="432"/>
      <c r="I3285" s="282"/>
      <c r="J3285" s="283"/>
      <c r="K3285" s="265"/>
      <c r="L3285" s="265"/>
      <c r="M3285" s="269"/>
      <c r="N3285" s="270"/>
      <c r="O3285" s="271"/>
      <c r="P3285" s="271"/>
      <c r="Q3285" s="272"/>
      <c r="R3285" s="273"/>
      <c r="S3285" s="273"/>
      <c r="T3285" s="273"/>
      <c r="U3285" s="274"/>
      <c r="V3285" s="263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</row>
    <row r="3286">
      <c r="A3286" s="263"/>
      <c r="B3286" s="264"/>
      <c r="C3286" s="265"/>
      <c r="D3286" s="265"/>
      <c r="E3286" s="264"/>
      <c r="F3286" s="265"/>
      <c r="G3286" s="263"/>
      <c r="H3286" s="432"/>
      <c r="I3286" s="282"/>
      <c r="J3286" s="283"/>
      <c r="K3286" s="265"/>
      <c r="L3286" s="265"/>
      <c r="M3286" s="269"/>
      <c r="N3286" s="270"/>
      <c r="O3286" s="271"/>
      <c r="P3286" s="271"/>
      <c r="Q3286" s="272"/>
      <c r="R3286" s="273"/>
      <c r="S3286" s="273"/>
      <c r="T3286" s="273"/>
      <c r="U3286" s="274"/>
      <c r="V3286" s="263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</row>
    <row r="3287">
      <c r="A3287" s="263"/>
      <c r="B3287" s="264"/>
      <c r="C3287" s="265"/>
      <c r="D3287" s="265"/>
      <c r="E3287" s="264"/>
      <c r="F3287" s="265"/>
      <c r="G3287" s="263"/>
      <c r="H3287" s="432"/>
      <c r="I3287" s="282"/>
      <c r="J3287" s="283"/>
      <c r="K3287" s="265"/>
      <c r="L3287" s="265"/>
      <c r="M3287" s="269"/>
      <c r="N3287" s="270"/>
      <c r="O3287" s="271"/>
      <c r="P3287" s="271"/>
      <c r="Q3287" s="272"/>
      <c r="R3287" s="273"/>
      <c r="S3287" s="273"/>
      <c r="T3287" s="273"/>
      <c r="U3287" s="274"/>
      <c r="V3287" s="263"/>
      <c r="W3287" s="35"/>
      <c r="X3287" s="35"/>
      <c r="Y3287" s="35"/>
      <c r="Z3287" s="35"/>
      <c r="AA3287" s="35"/>
      <c r="AB3287" s="35"/>
      <c r="AC3287" s="35"/>
      <c r="AD3287" s="35"/>
      <c r="AE3287" s="35"/>
      <c r="AF3287" s="35"/>
      <c r="AG3287" s="35"/>
      <c r="AH3287" s="35"/>
      <c r="AI3287" s="35"/>
    </row>
    <row r="3288">
      <c r="A3288" s="263"/>
      <c r="B3288" s="264"/>
      <c r="C3288" s="265"/>
      <c r="D3288" s="265"/>
      <c r="E3288" s="264"/>
      <c r="F3288" s="265"/>
      <c r="G3288" s="263"/>
      <c r="H3288" s="432"/>
      <c r="I3288" s="282"/>
      <c r="J3288" s="283"/>
      <c r="K3288" s="265"/>
      <c r="L3288" s="265"/>
      <c r="M3288" s="269"/>
      <c r="N3288" s="270"/>
      <c r="O3288" s="271"/>
      <c r="P3288" s="271"/>
      <c r="Q3288" s="272"/>
      <c r="R3288" s="273"/>
      <c r="S3288" s="273"/>
      <c r="T3288" s="273"/>
      <c r="U3288" s="274"/>
      <c r="V3288" s="263"/>
      <c r="W3288" s="188"/>
      <c r="X3288" s="188"/>
      <c r="Y3288" s="188"/>
      <c r="Z3288" s="188"/>
      <c r="AA3288" s="188"/>
      <c r="AB3288" s="188"/>
      <c r="AC3288" s="188"/>
      <c r="AD3288" s="188"/>
      <c r="AE3288" s="188"/>
      <c r="AF3288" s="188"/>
      <c r="AG3288" s="188"/>
      <c r="AH3288" s="188"/>
      <c r="AI3288" s="188"/>
    </row>
    <row r="3289">
      <c r="A3289" s="263"/>
      <c r="B3289" s="264"/>
      <c r="C3289" s="265"/>
      <c r="D3289" s="265"/>
      <c r="E3289" s="264"/>
      <c r="F3289" s="265"/>
      <c r="G3289" s="263"/>
      <c r="H3289" s="432"/>
      <c r="I3289" s="282"/>
      <c r="J3289" s="283"/>
      <c r="K3289" s="265"/>
      <c r="L3289" s="265"/>
      <c r="M3289" s="269"/>
      <c r="N3289" s="270"/>
      <c r="O3289" s="271"/>
      <c r="P3289" s="271"/>
      <c r="Q3289" s="272"/>
      <c r="R3289" s="273"/>
      <c r="S3289" s="273"/>
      <c r="T3289" s="273"/>
      <c r="U3289" s="274"/>
      <c r="V3289" s="263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</row>
    <row r="3290">
      <c r="A3290" s="263"/>
      <c r="B3290" s="264"/>
      <c r="C3290" s="265"/>
      <c r="D3290" s="265"/>
      <c r="E3290" s="264"/>
      <c r="F3290" s="265"/>
      <c r="G3290" s="263"/>
      <c r="H3290" s="432"/>
      <c r="I3290" s="282"/>
      <c r="J3290" s="283"/>
      <c r="K3290" s="265"/>
      <c r="L3290" s="265"/>
      <c r="M3290" s="269"/>
      <c r="N3290" s="270"/>
      <c r="O3290" s="271"/>
      <c r="P3290" s="271"/>
      <c r="Q3290" s="272"/>
      <c r="R3290" s="273"/>
      <c r="S3290" s="273"/>
      <c r="T3290" s="273"/>
      <c r="U3290" s="274"/>
      <c r="V3290" s="263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</row>
    <row r="3291">
      <c r="A3291" s="263"/>
      <c r="B3291" s="264"/>
      <c r="C3291" s="265"/>
      <c r="D3291" s="265"/>
      <c r="E3291" s="264"/>
      <c r="F3291" s="265"/>
      <c r="G3291" s="263"/>
      <c r="H3291" s="432"/>
      <c r="I3291" s="282"/>
      <c r="J3291" s="283"/>
      <c r="K3291" s="265"/>
      <c r="L3291" s="265"/>
      <c r="M3291" s="269"/>
      <c r="N3291" s="270"/>
      <c r="O3291" s="271"/>
      <c r="P3291" s="271"/>
      <c r="Q3291" s="272"/>
      <c r="R3291" s="273"/>
      <c r="S3291" s="273"/>
      <c r="T3291" s="273"/>
      <c r="U3291" s="274"/>
      <c r="V3291" s="263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</row>
    <row r="3292">
      <c r="A3292" s="263"/>
      <c r="B3292" s="264"/>
      <c r="C3292" s="265"/>
      <c r="D3292" s="265"/>
      <c r="E3292" s="264"/>
      <c r="F3292" s="265"/>
      <c r="G3292" s="263"/>
      <c r="H3292" s="432"/>
      <c r="I3292" s="282"/>
      <c r="J3292" s="283"/>
      <c r="K3292" s="265"/>
      <c r="L3292" s="265"/>
      <c r="M3292" s="269"/>
      <c r="N3292" s="270"/>
      <c r="O3292" s="271"/>
      <c r="P3292" s="271"/>
      <c r="Q3292" s="272"/>
      <c r="R3292" s="273"/>
      <c r="S3292" s="273"/>
      <c r="T3292" s="273"/>
      <c r="U3292" s="274"/>
      <c r="V3292" s="263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</row>
    <row r="3293">
      <c r="A3293" s="263"/>
      <c r="B3293" s="264"/>
      <c r="C3293" s="265"/>
      <c r="D3293" s="265"/>
      <c r="E3293" s="264"/>
      <c r="F3293" s="265"/>
      <c r="G3293" s="263"/>
      <c r="H3293" s="432"/>
      <c r="I3293" s="282"/>
      <c r="J3293" s="283"/>
      <c r="K3293" s="265"/>
      <c r="L3293" s="265"/>
      <c r="M3293" s="269"/>
      <c r="N3293" s="270"/>
      <c r="O3293" s="271"/>
      <c r="P3293" s="271"/>
      <c r="Q3293" s="272"/>
      <c r="R3293" s="273"/>
      <c r="S3293" s="273"/>
      <c r="T3293" s="273"/>
      <c r="U3293" s="274"/>
      <c r="V3293" s="263"/>
      <c r="W3293" s="188"/>
      <c r="X3293" s="188"/>
      <c r="Y3293" s="188"/>
      <c r="Z3293" s="188"/>
      <c r="AA3293" s="188"/>
      <c r="AB3293" s="188"/>
      <c r="AC3293" s="188"/>
      <c r="AD3293" s="188"/>
      <c r="AE3293" s="188"/>
      <c r="AF3293" s="188"/>
      <c r="AG3293" s="188"/>
      <c r="AH3293" s="188"/>
      <c r="AI3293" s="188"/>
    </row>
    <row r="3294">
      <c r="A3294" s="263"/>
      <c r="B3294" s="264"/>
      <c r="C3294" s="265"/>
      <c r="D3294" s="265"/>
      <c r="E3294" s="264"/>
      <c r="F3294" s="265"/>
      <c r="G3294" s="263"/>
      <c r="H3294" s="432"/>
      <c r="I3294" s="282"/>
      <c r="J3294" s="283"/>
      <c r="K3294" s="265"/>
      <c r="L3294" s="265"/>
      <c r="M3294" s="269"/>
      <c r="N3294" s="270"/>
      <c r="O3294" s="271"/>
      <c r="P3294" s="271"/>
      <c r="Q3294" s="272"/>
      <c r="R3294" s="273"/>
      <c r="S3294" s="273"/>
      <c r="T3294" s="273"/>
      <c r="U3294" s="274"/>
      <c r="V3294" s="263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</row>
    <row r="3295">
      <c r="A3295" s="263"/>
      <c r="B3295" s="264"/>
      <c r="C3295" s="265"/>
      <c r="D3295" s="265"/>
      <c r="E3295" s="264"/>
      <c r="F3295" s="265"/>
      <c r="G3295" s="263"/>
      <c r="H3295" s="432"/>
      <c r="I3295" s="282"/>
      <c r="J3295" s="283"/>
      <c r="K3295" s="265"/>
      <c r="L3295" s="265"/>
      <c r="M3295" s="269"/>
      <c r="N3295" s="270"/>
      <c r="O3295" s="271"/>
      <c r="P3295" s="271"/>
      <c r="Q3295" s="272"/>
      <c r="R3295" s="273"/>
      <c r="S3295" s="273"/>
      <c r="T3295" s="273"/>
      <c r="U3295" s="274"/>
      <c r="V3295" s="263"/>
      <c r="W3295" s="188"/>
      <c r="X3295" s="188"/>
      <c r="Y3295" s="188"/>
      <c r="Z3295" s="188"/>
      <c r="AA3295" s="188"/>
      <c r="AB3295" s="188"/>
      <c r="AC3295" s="188"/>
      <c r="AD3295" s="188"/>
      <c r="AE3295" s="188"/>
      <c r="AF3295" s="188"/>
      <c r="AG3295" s="188"/>
      <c r="AH3295" s="188"/>
      <c r="AI3295" s="188"/>
    </row>
    <row r="3296">
      <c r="A3296" s="263"/>
      <c r="B3296" s="264"/>
      <c r="C3296" s="265"/>
      <c r="D3296" s="265"/>
      <c r="E3296" s="264"/>
      <c r="F3296" s="265"/>
      <c r="G3296" s="263"/>
      <c r="H3296" s="432"/>
      <c r="I3296" s="282"/>
      <c r="J3296" s="283"/>
      <c r="K3296" s="265"/>
      <c r="L3296" s="265"/>
      <c r="M3296" s="269"/>
      <c r="N3296" s="270"/>
      <c r="O3296" s="271"/>
      <c r="P3296" s="271"/>
      <c r="Q3296" s="272"/>
      <c r="R3296" s="273"/>
      <c r="S3296" s="273"/>
      <c r="T3296" s="273"/>
      <c r="U3296" s="274"/>
      <c r="V3296" s="263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</row>
    <row r="3297">
      <c r="A3297" s="263"/>
      <c r="B3297" s="264"/>
      <c r="C3297" s="265"/>
      <c r="D3297" s="265"/>
      <c r="E3297" s="264"/>
      <c r="F3297" s="265"/>
      <c r="G3297" s="263"/>
      <c r="H3297" s="432"/>
      <c r="I3297" s="282"/>
      <c r="J3297" s="283"/>
      <c r="K3297" s="265"/>
      <c r="L3297" s="265"/>
      <c r="M3297" s="269"/>
      <c r="N3297" s="270"/>
      <c r="O3297" s="271"/>
      <c r="P3297" s="271"/>
      <c r="Q3297" s="272"/>
      <c r="R3297" s="273"/>
      <c r="S3297" s="273"/>
      <c r="T3297" s="273"/>
      <c r="U3297" s="274"/>
      <c r="V3297" s="263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</row>
    <row r="3298">
      <c r="A3298" s="263"/>
      <c r="B3298" s="264"/>
      <c r="C3298" s="265"/>
      <c r="D3298" s="265"/>
      <c r="E3298" s="264"/>
      <c r="F3298" s="265"/>
      <c r="G3298" s="263"/>
      <c r="H3298" s="432"/>
      <c r="I3298" s="282"/>
      <c r="J3298" s="283"/>
      <c r="K3298" s="265"/>
      <c r="L3298" s="265"/>
      <c r="M3298" s="269"/>
      <c r="N3298" s="270"/>
      <c r="O3298" s="271"/>
      <c r="P3298" s="271"/>
      <c r="Q3298" s="272"/>
      <c r="R3298" s="273"/>
      <c r="S3298" s="273"/>
      <c r="T3298" s="273"/>
      <c r="U3298" s="274"/>
      <c r="V3298" s="263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</row>
    <row r="3299">
      <c r="A3299" s="263"/>
      <c r="B3299" s="264"/>
      <c r="C3299" s="265"/>
      <c r="D3299" s="265"/>
      <c r="E3299" s="264"/>
      <c r="F3299" s="265"/>
      <c r="G3299" s="263"/>
      <c r="H3299" s="432"/>
      <c r="I3299" s="282"/>
      <c r="J3299" s="283"/>
      <c r="K3299" s="265"/>
      <c r="L3299" s="265"/>
      <c r="M3299" s="269"/>
      <c r="N3299" s="270"/>
      <c r="O3299" s="271"/>
      <c r="P3299" s="271"/>
      <c r="Q3299" s="272"/>
      <c r="R3299" s="273"/>
      <c r="S3299" s="273"/>
      <c r="T3299" s="273"/>
      <c r="U3299" s="274"/>
      <c r="V3299" s="263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</row>
    <row r="3300">
      <c r="A3300" s="263"/>
      <c r="B3300" s="264"/>
      <c r="C3300" s="265"/>
      <c r="D3300" s="265"/>
      <c r="E3300" s="264"/>
      <c r="F3300" s="265"/>
      <c r="G3300" s="263"/>
      <c r="H3300" s="432"/>
      <c r="I3300" s="282"/>
      <c r="J3300" s="283"/>
      <c r="K3300" s="265"/>
      <c r="L3300" s="265"/>
      <c r="M3300" s="269"/>
      <c r="N3300" s="270"/>
      <c r="O3300" s="271"/>
      <c r="P3300" s="271"/>
      <c r="Q3300" s="272"/>
      <c r="R3300" s="273"/>
      <c r="S3300" s="273"/>
      <c r="T3300" s="273"/>
      <c r="U3300" s="274"/>
      <c r="V3300" s="263"/>
      <c r="W3300" s="188"/>
      <c r="X3300" s="188"/>
      <c r="Y3300" s="188"/>
      <c r="Z3300" s="188"/>
      <c r="AA3300" s="188"/>
      <c r="AB3300" s="188"/>
      <c r="AC3300" s="188"/>
      <c r="AD3300" s="188"/>
      <c r="AE3300" s="188"/>
      <c r="AF3300" s="188"/>
      <c r="AG3300" s="188"/>
      <c r="AH3300" s="188"/>
      <c r="AI3300" s="188"/>
    </row>
    <row r="3301">
      <c r="A3301" s="263"/>
      <c r="B3301" s="264"/>
      <c r="C3301" s="265"/>
      <c r="D3301" s="265"/>
      <c r="E3301" s="264"/>
      <c r="F3301" s="265"/>
      <c r="G3301" s="263"/>
      <c r="H3301" s="432"/>
      <c r="I3301" s="282"/>
      <c r="J3301" s="283"/>
      <c r="K3301" s="265"/>
      <c r="L3301" s="265"/>
      <c r="M3301" s="269"/>
      <c r="N3301" s="270"/>
      <c r="O3301" s="271"/>
      <c r="P3301" s="271"/>
      <c r="Q3301" s="272"/>
      <c r="R3301" s="273"/>
      <c r="S3301" s="273"/>
      <c r="T3301" s="273"/>
      <c r="U3301" s="274"/>
      <c r="V3301" s="263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</row>
    <row r="3302">
      <c r="A3302" s="263"/>
      <c r="B3302" s="264"/>
      <c r="C3302" s="265"/>
      <c r="D3302" s="265"/>
      <c r="E3302" s="264"/>
      <c r="F3302" s="265"/>
      <c r="G3302" s="263"/>
      <c r="H3302" s="432"/>
      <c r="I3302" s="282"/>
      <c r="J3302" s="283"/>
      <c r="K3302" s="265"/>
      <c r="L3302" s="265"/>
      <c r="M3302" s="269"/>
      <c r="N3302" s="270"/>
      <c r="O3302" s="271"/>
      <c r="P3302" s="271"/>
      <c r="Q3302" s="272"/>
      <c r="R3302" s="273"/>
      <c r="S3302" s="273"/>
      <c r="T3302" s="273"/>
      <c r="U3302" s="274"/>
      <c r="V3302" s="263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</row>
    <row r="3303">
      <c r="A3303" s="263"/>
      <c r="B3303" s="264"/>
      <c r="C3303" s="265"/>
      <c r="D3303" s="265"/>
      <c r="E3303" s="264"/>
      <c r="F3303" s="265"/>
      <c r="G3303" s="263"/>
      <c r="H3303" s="432"/>
      <c r="I3303" s="282"/>
      <c r="J3303" s="283"/>
      <c r="K3303" s="265"/>
      <c r="L3303" s="265"/>
      <c r="M3303" s="269"/>
      <c r="N3303" s="270"/>
      <c r="O3303" s="271"/>
      <c r="P3303" s="271"/>
      <c r="Q3303" s="272"/>
      <c r="R3303" s="273"/>
      <c r="S3303" s="273"/>
      <c r="T3303" s="273"/>
      <c r="U3303" s="274"/>
      <c r="V3303" s="263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</row>
    <row r="3304">
      <c r="A3304" s="263"/>
      <c r="B3304" s="264"/>
      <c r="C3304" s="265"/>
      <c r="D3304" s="265"/>
      <c r="E3304" s="264"/>
      <c r="F3304" s="265"/>
      <c r="G3304" s="263"/>
      <c r="H3304" s="432"/>
      <c r="I3304" s="282"/>
      <c r="J3304" s="283"/>
      <c r="K3304" s="265"/>
      <c r="L3304" s="265"/>
      <c r="M3304" s="269"/>
      <c r="N3304" s="270"/>
      <c r="O3304" s="271"/>
      <c r="P3304" s="271"/>
      <c r="Q3304" s="272"/>
      <c r="R3304" s="273"/>
      <c r="S3304" s="273"/>
      <c r="T3304" s="273"/>
      <c r="U3304" s="274"/>
      <c r="V3304" s="263"/>
      <c r="W3304" s="188"/>
      <c r="X3304" s="188"/>
      <c r="Y3304" s="188"/>
      <c r="Z3304" s="188"/>
      <c r="AA3304" s="188"/>
      <c r="AB3304" s="188"/>
      <c r="AC3304" s="188"/>
      <c r="AD3304" s="188"/>
      <c r="AE3304" s="188"/>
      <c r="AF3304" s="188"/>
      <c r="AG3304" s="188"/>
      <c r="AH3304" s="188"/>
      <c r="AI3304" s="188"/>
    </row>
    <row r="3305">
      <c r="A3305" s="263"/>
      <c r="B3305" s="264"/>
      <c r="C3305" s="265"/>
      <c r="D3305" s="265"/>
      <c r="E3305" s="264"/>
      <c r="F3305" s="265"/>
      <c r="G3305" s="263"/>
      <c r="H3305" s="432"/>
      <c r="I3305" s="282"/>
      <c r="J3305" s="283"/>
      <c r="K3305" s="265"/>
      <c r="L3305" s="265"/>
      <c r="M3305" s="269"/>
      <c r="N3305" s="270"/>
      <c r="O3305" s="271"/>
      <c r="P3305" s="271"/>
      <c r="Q3305" s="272"/>
      <c r="R3305" s="273"/>
      <c r="S3305" s="273"/>
      <c r="T3305" s="273"/>
      <c r="U3305" s="274"/>
      <c r="V3305" s="263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</row>
    <row r="3306">
      <c r="A3306" s="263"/>
      <c r="B3306" s="264"/>
      <c r="C3306" s="265"/>
      <c r="D3306" s="265"/>
      <c r="E3306" s="264"/>
      <c r="F3306" s="265"/>
      <c r="G3306" s="263"/>
      <c r="H3306" s="432"/>
      <c r="I3306" s="282"/>
      <c r="J3306" s="283"/>
      <c r="K3306" s="265"/>
      <c r="L3306" s="265"/>
      <c r="M3306" s="269"/>
      <c r="N3306" s="270"/>
      <c r="O3306" s="271"/>
      <c r="P3306" s="271"/>
      <c r="Q3306" s="272"/>
      <c r="R3306" s="273"/>
      <c r="S3306" s="273"/>
      <c r="T3306" s="273"/>
      <c r="U3306" s="274"/>
      <c r="V3306" s="263"/>
      <c r="W3306" s="35"/>
      <c r="X3306" s="35"/>
      <c r="Y3306" s="35"/>
      <c r="Z3306" s="35"/>
      <c r="AA3306" s="35"/>
      <c r="AB3306" s="35"/>
      <c r="AC3306" s="35"/>
      <c r="AD3306" s="35"/>
      <c r="AE3306" s="35"/>
      <c r="AF3306" s="35"/>
      <c r="AG3306" s="35"/>
      <c r="AH3306" s="35"/>
      <c r="AI3306" s="35"/>
    </row>
    <row r="3307">
      <c r="A3307" s="263"/>
      <c r="B3307" s="264"/>
      <c r="C3307" s="265"/>
      <c r="D3307" s="265"/>
      <c r="E3307" s="264"/>
      <c r="F3307" s="265"/>
      <c r="G3307" s="263"/>
      <c r="H3307" s="432"/>
      <c r="I3307" s="282"/>
      <c r="J3307" s="283"/>
      <c r="K3307" s="265"/>
      <c r="L3307" s="265"/>
      <c r="M3307" s="269"/>
      <c r="N3307" s="270"/>
      <c r="O3307" s="271"/>
      <c r="P3307" s="271"/>
      <c r="Q3307" s="272"/>
      <c r="R3307" s="273"/>
      <c r="S3307" s="273"/>
      <c r="T3307" s="273"/>
      <c r="U3307" s="274"/>
      <c r="V3307" s="263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</row>
    <row r="3308">
      <c r="A3308" s="263"/>
      <c r="B3308" s="264"/>
      <c r="C3308" s="265"/>
      <c r="D3308" s="265"/>
      <c r="E3308" s="264"/>
      <c r="F3308" s="265"/>
      <c r="G3308" s="263"/>
      <c r="H3308" s="432"/>
      <c r="I3308" s="282"/>
      <c r="J3308" s="283"/>
      <c r="K3308" s="265"/>
      <c r="L3308" s="265"/>
      <c r="M3308" s="269"/>
      <c r="N3308" s="270"/>
      <c r="O3308" s="271"/>
      <c r="P3308" s="271"/>
      <c r="Q3308" s="272"/>
      <c r="R3308" s="273"/>
      <c r="S3308" s="273"/>
      <c r="T3308" s="273"/>
      <c r="U3308" s="274"/>
      <c r="V3308" s="263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</row>
    <row r="3309">
      <c r="A3309" s="263"/>
      <c r="B3309" s="264"/>
      <c r="C3309" s="265"/>
      <c r="D3309" s="265"/>
      <c r="E3309" s="264"/>
      <c r="F3309" s="265"/>
      <c r="G3309" s="263"/>
      <c r="H3309" s="432"/>
      <c r="I3309" s="282"/>
      <c r="J3309" s="283"/>
      <c r="K3309" s="265"/>
      <c r="L3309" s="265"/>
      <c r="M3309" s="269"/>
      <c r="N3309" s="270"/>
      <c r="O3309" s="271"/>
      <c r="P3309" s="271"/>
      <c r="Q3309" s="272"/>
      <c r="R3309" s="273"/>
      <c r="S3309" s="273"/>
      <c r="T3309" s="273"/>
      <c r="U3309" s="274"/>
      <c r="V3309" s="263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</row>
    <row r="3310">
      <c r="A3310" s="263"/>
      <c r="B3310" s="264"/>
      <c r="C3310" s="265"/>
      <c r="D3310" s="265"/>
      <c r="E3310" s="264"/>
      <c r="F3310" s="265"/>
      <c r="G3310" s="263"/>
      <c r="H3310" s="432"/>
      <c r="I3310" s="282"/>
      <c r="J3310" s="283"/>
      <c r="K3310" s="265"/>
      <c r="L3310" s="265"/>
      <c r="M3310" s="269"/>
      <c r="N3310" s="270"/>
      <c r="O3310" s="271"/>
      <c r="P3310" s="271"/>
      <c r="Q3310" s="272"/>
      <c r="R3310" s="273"/>
      <c r="S3310" s="273"/>
      <c r="T3310" s="273"/>
      <c r="U3310" s="274"/>
      <c r="V3310" s="263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</row>
    <row r="3311">
      <c r="A3311" s="263"/>
      <c r="B3311" s="264"/>
      <c r="C3311" s="265"/>
      <c r="D3311" s="265"/>
      <c r="E3311" s="264"/>
      <c r="F3311" s="265"/>
      <c r="G3311" s="263"/>
      <c r="H3311" s="432"/>
      <c r="I3311" s="282"/>
      <c r="J3311" s="283"/>
      <c r="K3311" s="265"/>
      <c r="L3311" s="265"/>
      <c r="M3311" s="269"/>
      <c r="N3311" s="270"/>
      <c r="O3311" s="271"/>
      <c r="P3311" s="271"/>
      <c r="Q3311" s="272"/>
      <c r="R3311" s="273"/>
      <c r="S3311" s="273"/>
      <c r="T3311" s="273"/>
      <c r="U3311" s="274"/>
      <c r="V3311" s="263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</row>
    <row r="3312">
      <c r="A3312" s="263"/>
      <c r="B3312" s="264"/>
      <c r="C3312" s="265"/>
      <c r="D3312" s="265"/>
      <c r="E3312" s="264"/>
      <c r="F3312" s="265"/>
      <c r="G3312" s="263"/>
      <c r="H3312" s="432"/>
      <c r="I3312" s="282"/>
      <c r="J3312" s="283"/>
      <c r="K3312" s="265"/>
      <c r="L3312" s="265"/>
      <c r="M3312" s="269"/>
      <c r="N3312" s="270"/>
      <c r="O3312" s="271"/>
      <c r="P3312" s="271"/>
      <c r="Q3312" s="272"/>
      <c r="R3312" s="273"/>
      <c r="S3312" s="273"/>
      <c r="T3312" s="273"/>
      <c r="U3312" s="274"/>
      <c r="V3312" s="263"/>
      <c r="W3312" s="188"/>
      <c r="X3312" s="188"/>
      <c r="Y3312" s="188"/>
      <c r="Z3312" s="188"/>
      <c r="AA3312" s="188"/>
      <c r="AB3312" s="188"/>
      <c r="AC3312" s="188"/>
      <c r="AD3312" s="188"/>
      <c r="AE3312" s="188"/>
      <c r="AF3312" s="188"/>
      <c r="AG3312" s="188"/>
      <c r="AH3312" s="188"/>
      <c r="AI3312" s="188"/>
    </row>
    <row r="3313">
      <c r="A3313" s="263"/>
      <c r="B3313" s="264"/>
      <c r="C3313" s="265"/>
      <c r="D3313" s="265"/>
      <c r="E3313" s="264"/>
      <c r="F3313" s="265"/>
      <c r="G3313" s="263"/>
      <c r="H3313" s="432"/>
      <c r="I3313" s="282"/>
      <c r="J3313" s="283"/>
      <c r="K3313" s="265"/>
      <c r="L3313" s="265"/>
      <c r="M3313" s="269"/>
      <c r="N3313" s="270"/>
      <c r="O3313" s="271"/>
      <c r="P3313" s="271"/>
      <c r="Q3313" s="272"/>
      <c r="R3313" s="273"/>
      <c r="S3313" s="273"/>
      <c r="T3313" s="273"/>
      <c r="U3313" s="274"/>
      <c r="V3313" s="263"/>
      <c r="W3313" s="188"/>
      <c r="X3313" s="188"/>
      <c r="Y3313" s="188"/>
      <c r="Z3313" s="188"/>
      <c r="AA3313" s="188"/>
      <c r="AB3313" s="188"/>
      <c r="AC3313" s="188"/>
      <c r="AD3313" s="188"/>
      <c r="AE3313" s="188"/>
      <c r="AF3313" s="188"/>
      <c r="AG3313" s="188"/>
      <c r="AH3313" s="188"/>
      <c r="AI3313" s="188"/>
    </row>
    <row r="3314">
      <c r="A3314" s="263"/>
      <c r="B3314" s="264"/>
      <c r="C3314" s="265"/>
      <c r="D3314" s="265"/>
      <c r="E3314" s="264"/>
      <c r="F3314" s="265"/>
      <c r="G3314" s="263"/>
      <c r="H3314" s="432"/>
      <c r="I3314" s="282"/>
      <c r="J3314" s="283"/>
      <c r="K3314" s="265"/>
      <c r="L3314" s="265"/>
      <c r="M3314" s="269"/>
      <c r="N3314" s="270"/>
      <c r="O3314" s="271"/>
      <c r="P3314" s="271"/>
      <c r="Q3314" s="272"/>
      <c r="R3314" s="273"/>
      <c r="S3314" s="273"/>
      <c r="T3314" s="273"/>
      <c r="U3314" s="274"/>
      <c r="V3314" s="263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</row>
    <row r="3315">
      <c r="A3315" s="263"/>
      <c r="B3315" s="264"/>
      <c r="C3315" s="265"/>
      <c r="D3315" s="265"/>
      <c r="E3315" s="264"/>
      <c r="F3315" s="265"/>
      <c r="G3315" s="263"/>
      <c r="H3315" s="432"/>
      <c r="I3315" s="282"/>
      <c r="J3315" s="283"/>
      <c r="K3315" s="265"/>
      <c r="L3315" s="265"/>
      <c r="M3315" s="269"/>
      <c r="N3315" s="270"/>
      <c r="O3315" s="271"/>
      <c r="P3315" s="271"/>
      <c r="Q3315" s="272"/>
      <c r="R3315" s="273"/>
      <c r="S3315" s="273"/>
      <c r="T3315" s="273"/>
      <c r="U3315" s="274"/>
      <c r="V3315" s="263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</row>
    <row r="3316">
      <c r="A3316" s="263"/>
      <c r="B3316" s="264"/>
      <c r="C3316" s="265"/>
      <c r="D3316" s="265"/>
      <c r="E3316" s="264"/>
      <c r="F3316" s="265"/>
      <c r="G3316" s="263"/>
      <c r="H3316" s="432"/>
      <c r="I3316" s="282"/>
      <c r="J3316" s="283"/>
      <c r="K3316" s="265"/>
      <c r="L3316" s="265"/>
      <c r="M3316" s="269"/>
      <c r="N3316" s="270"/>
      <c r="O3316" s="271"/>
      <c r="P3316" s="271"/>
      <c r="Q3316" s="272"/>
      <c r="R3316" s="273"/>
      <c r="S3316" s="273"/>
      <c r="T3316" s="273"/>
      <c r="U3316" s="274"/>
      <c r="V3316" s="263"/>
      <c r="W3316" s="35"/>
      <c r="X3316" s="35"/>
      <c r="Y3316" s="35"/>
      <c r="Z3316" s="35"/>
      <c r="AA3316" s="35"/>
      <c r="AB3316" s="35"/>
      <c r="AC3316" s="35"/>
      <c r="AD3316" s="35"/>
      <c r="AE3316" s="35"/>
      <c r="AF3316" s="35"/>
      <c r="AG3316" s="35"/>
      <c r="AH3316" s="35"/>
      <c r="AI3316" s="35"/>
    </row>
    <row r="3317">
      <c r="A3317" s="263"/>
      <c r="B3317" s="264"/>
      <c r="C3317" s="265"/>
      <c r="D3317" s="265"/>
      <c r="E3317" s="264"/>
      <c r="F3317" s="265"/>
      <c r="G3317" s="263"/>
      <c r="H3317" s="432"/>
      <c r="I3317" s="282"/>
      <c r="J3317" s="283"/>
      <c r="K3317" s="265"/>
      <c r="L3317" s="265"/>
      <c r="M3317" s="269"/>
      <c r="N3317" s="270"/>
      <c r="O3317" s="271"/>
      <c r="P3317" s="271"/>
      <c r="Q3317" s="272"/>
      <c r="R3317" s="273"/>
      <c r="S3317" s="273"/>
      <c r="T3317" s="273"/>
      <c r="U3317" s="274"/>
      <c r="V3317" s="263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</row>
    <row r="3318">
      <c r="A3318" s="263"/>
      <c r="B3318" s="264"/>
      <c r="C3318" s="265"/>
      <c r="D3318" s="265"/>
      <c r="E3318" s="264"/>
      <c r="F3318" s="265"/>
      <c r="G3318" s="263"/>
      <c r="H3318" s="432"/>
      <c r="I3318" s="282"/>
      <c r="J3318" s="283"/>
      <c r="K3318" s="265"/>
      <c r="L3318" s="265"/>
      <c r="M3318" s="269"/>
      <c r="N3318" s="270"/>
      <c r="O3318" s="271"/>
      <c r="P3318" s="271"/>
      <c r="Q3318" s="272"/>
      <c r="R3318" s="273"/>
      <c r="S3318" s="273"/>
      <c r="T3318" s="273"/>
      <c r="U3318" s="274"/>
      <c r="V3318" s="263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</row>
    <row r="3319">
      <c r="A3319" s="263"/>
      <c r="B3319" s="264"/>
      <c r="C3319" s="265"/>
      <c r="D3319" s="265"/>
      <c r="E3319" s="264"/>
      <c r="F3319" s="265"/>
      <c r="G3319" s="263"/>
      <c r="H3319" s="432"/>
      <c r="I3319" s="282"/>
      <c r="J3319" s="283"/>
      <c r="K3319" s="265"/>
      <c r="L3319" s="265"/>
      <c r="M3319" s="269"/>
      <c r="N3319" s="270"/>
      <c r="O3319" s="271"/>
      <c r="P3319" s="271"/>
      <c r="Q3319" s="272"/>
      <c r="R3319" s="273"/>
      <c r="S3319" s="273"/>
      <c r="T3319" s="273"/>
      <c r="U3319" s="274"/>
      <c r="V3319" s="263"/>
      <c r="W3319" s="35"/>
      <c r="X3319" s="35"/>
      <c r="Y3319" s="35"/>
      <c r="Z3319" s="35"/>
      <c r="AA3319" s="35"/>
      <c r="AB3319" s="35"/>
      <c r="AC3319" s="35"/>
      <c r="AD3319" s="35"/>
      <c r="AE3319" s="35"/>
      <c r="AF3319" s="35"/>
      <c r="AG3319" s="35"/>
      <c r="AH3319" s="35"/>
      <c r="AI3319" s="35"/>
    </row>
    <row r="3320">
      <c r="A3320" s="263"/>
      <c r="B3320" s="264"/>
      <c r="C3320" s="265"/>
      <c r="D3320" s="265"/>
      <c r="E3320" s="264"/>
      <c r="F3320" s="265"/>
      <c r="G3320" s="263"/>
      <c r="H3320" s="432"/>
      <c r="I3320" s="282"/>
      <c r="J3320" s="283"/>
      <c r="K3320" s="265"/>
      <c r="L3320" s="265"/>
      <c r="M3320" s="269"/>
      <c r="N3320" s="270"/>
      <c r="O3320" s="271"/>
      <c r="P3320" s="271"/>
      <c r="Q3320" s="272"/>
      <c r="R3320" s="273"/>
      <c r="S3320" s="273"/>
      <c r="T3320" s="273"/>
      <c r="U3320" s="274"/>
      <c r="V3320" s="263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</row>
    <row r="3321">
      <c r="A3321" s="263"/>
      <c r="B3321" s="264"/>
      <c r="C3321" s="265"/>
      <c r="D3321" s="265"/>
      <c r="E3321" s="264"/>
      <c r="F3321" s="265"/>
      <c r="G3321" s="263"/>
      <c r="H3321" s="432"/>
      <c r="I3321" s="282"/>
      <c r="J3321" s="283"/>
      <c r="K3321" s="265"/>
      <c r="L3321" s="265"/>
      <c r="M3321" s="269"/>
      <c r="N3321" s="270"/>
      <c r="O3321" s="271"/>
      <c r="P3321" s="271"/>
      <c r="Q3321" s="272"/>
      <c r="R3321" s="273"/>
      <c r="S3321" s="273"/>
      <c r="T3321" s="273"/>
      <c r="U3321" s="274"/>
      <c r="V3321" s="263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</row>
    <row r="3322">
      <c r="A3322" s="263"/>
      <c r="B3322" s="264"/>
      <c r="C3322" s="265"/>
      <c r="D3322" s="265"/>
      <c r="E3322" s="264"/>
      <c r="F3322" s="265"/>
      <c r="G3322" s="263"/>
      <c r="H3322" s="432"/>
      <c r="I3322" s="282"/>
      <c r="J3322" s="283"/>
      <c r="K3322" s="265"/>
      <c r="L3322" s="265"/>
      <c r="M3322" s="269"/>
      <c r="N3322" s="270"/>
      <c r="O3322" s="271"/>
      <c r="P3322" s="271"/>
      <c r="Q3322" s="272"/>
      <c r="R3322" s="273"/>
      <c r="S3322" s="273"/>
      <c r="T3322" s="273"/>
      <c r="U3322" s="274"/>
      <c r="V3322" s="263"/>
      <c r="W3322" s="35"/>
      <c r="X3322" s="35"/>
      <c r="Y3322" s="35"/>
      <c r="Z3322" s="35"/>
      <c r="AA3322" s="35"/>
      <c r="AB3322" s="35"/>
      <c r="AC3322" s="35"/>
      <c r="AD3322" s="35"/>
      <c r="AE3322" s="35"/>
      <c r="AF3322" s="35"/>
      <c r="AG3322" s="35"/>
      <c r="AH3322" s="35"/>
      <c r="AI3322" s="35"/>
    </row>
    <row r="3323">
      <c r="A3323" s="263"/>
      <c r="B3323" s="264"/>
      <c r="C3323" s="265"/>
      <c r="D3323" s="265"/>
      <c r="E3323" s="264"/>
      <c r="F3323" s="265"/>
      <c r="G3323" s="263"/>
      <c r="H3323" s="432"/>
      <c r="I3323" s="282"/>
      <c r="J3323" s="283"/>
      <c r="K3323" s="265"/>
      <c r="L3323" s="265"/>
      <c r="M3323" s="269"/>
      <c r="N3323" s="270"/>
      <c r="O3323" s="271"/>
      <c r="P3323" s="271"/>
      <c r="Q3323" s="272"/>
      <c r="R3323" s="273"/>
      <c r="S3323" s="273"/>
      <c r="T3323" s="273"/>
      <c r="U3323" s="274"/>
      <c r="V3323" s="263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</row>
    <row r="3324">
      <c r="A3324" s="263"/>
      <c r="B3324" s="264"/>
      <c r="C3324" s="265"/>
      <c r="D3324" s="265"/>
      <c r="E3324" s="264"/>
      <c r="F3324" s="265"/>
      <c r="G3324" s="263"/>
      <c r="H3324" s="432"/>
      <c r="I3324" s="282"/>
      <c r="J3324" s="283"/>
      <c r="K3324" s="265"/>
      <c r="L3324" s="265"/>
      <c r="M3324" s="269"/>
      <c r="N3324" s="270"/>
      <c r="O3324" s="271"/>
      <c r="P3324" s="271"/>
      <c r="Q3324" s="272"/>
      <c r="R3324" s="273"/>
      <c r="S3324" s="273"/>
      <c r="T3324" s="273"/>
      <c r="U3324" s="274"/>
      <c r="V3324" s="263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</row>
    <row r="3325">
      <c r="A3325" s="263"/>
      <c r="B3325" s="264"/>
      <c r="C3325" s="265"/>
      <c r="D3325" s="265"/>
      <c r="E3325" s="264"/>
      <c r="F3325" s="265"/>
      <c r="G3325" s="263"/>
      <c r="H3325" s="432"/>
      <c r="I3325" s="282"/>
      <c r="J3325" s="283"/>
      <c r="K3325" s="265"/>
      <c r="L3325" s="265"/>
      <c r="M3325" s="269"/>
      <c r="N3325" s="270"/>
      <c r="O3325" s="271"/>
      <c r="P3325" s="271"/>
      <c r="Q3325" s="272"/>
      <c r="R3325" s="273"/>
      <c r="S3325" s="273"/>
      <c r="T3325" s="273"/>
      <c r="U3325" s="274"/>
      <c r="V3325" s="263"/>
      <c r="W3325" s="35"/>
      <c r="X3325" s="35"/>
      <c r="Y3325" s="35"/>
      <c r="Z3325" s="35"/>
      <c r="AA3325" s="35"/>
      <c r="AB3325" s="35"/>
      <c r="AC3325" s="35"/>
      <c r="AD3325" s="35"/>
      <c r="AE3325" s="35"/>
      <c r="AF3325" s="35"/>
      <c r="AG3325" s="35"/>
      <c r="AH3325" s="35"/>
      <c r="AI3325" s="35"/>
    </row>
    <row r="3326">
      <c r="A3326" s="263"/>
      <c r="B3326" s="264"/>
      <c r="C3326" s="265"/>
      <c r="D3326" s="265"/>
      <c r="E3326" s="264"/>
      <c r="F3326" s="265"/>
      <c r="G3326" s="263"/>
      <c r="H3326" s="432"/>
      <c r="I3326" s="282"/>
      <c r="J3326" s="283"/>
      <c r="K3326" s="265"/>
      <c r="L3326" s="265"/>
      <c r="M3326" s="269"/>
      <c r="N3326" s="270"/>
      <c r="O3326" s="271"/>
      <c r="P3326" s="271"/>
      <c r="Q3326" s="272"/>
      <c r="R3326" s="273"/>
      <c r="S3326" s="273"/>
      <c r="T3326" s="273"/>
      <c r="U3326" s="274"/>
      <c r="V3326" s="263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</row>
    <row r="3327">
      <c r="A3327" s="263"/>
      <c r="B3327" s="264"/>
      <c r="C3327" s="265"/>
      <c r="D3327" s="265"/>
      <c r="E3327" s="264"/>
      <c r="F3327" s="265"/>
      <c r="G3327" s="263"/>
      <c r="H3327" s="432"/>
      <c r="I3327" s="282"/>
      <c r="J3327" s="283"/>
      <c r="K3327" s="265"/>
      <c r="L3327" s="265"/>
      <c r="M3327" s="269"/>
      <c r="N3327" s="270"/>
      <c r="O3327" s="271"/>
      <c r="P3327" s="271"/>
      <c r="Q3327" s="272"/>
      <c r="R3327" s="273"/>
      <c r="S3327" s="273"/>
      <c r="T3327" s="273"/>
      <c r="U3327" s="274"/>
      <c r="V3327" s="263"/>
      <c r="W3327" s="36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</row>
    <row r="3328">
      <c r="A3328" s="263"/>
      <c r="B3328" s="264"/>
      <c r="C3328" s="265"/>
      <c r="D3328" s="265"/>
      <c r="E3328" s="264"/>
      <c r="F3328" s="265"/>
      <c r="G3328" s="263"/>
      <c r="H3328" s="432"/>
      <c r="I3328" s="282"/>
      <c r="J3328" s="283"/>
      <c r="K3328" s="265"/>
      <c r="L3328" s="265"/>
      <c r="M3328" s="269"/>
      <c r="N3328" s="270"/>
      <c r="O3328" s="271"/>
      <c r="P3328" s="271"/>
      <c r="Q3328" s="272"/>
      <c r="R3328" s="273"/>
      <c r="S3328" s="273"/>
      <c r="T3328" s="273"/>
      <c r="U3328" s="274"/>
      <c r="V3328" s="263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</row>
    <row r="3329">
      <c r="A3329" s="263"/>
      <c r="B3329" s="264"/>
      <c r="C3329" s="265"/>
      <c r="D3329" s="265"/>
      <c r="E3329" s="264"/>
      <c r="F3329" s="265"/>
      <c r="G3329" s="263"/>
      <c r="H3329" s="432"/>
      <c r="I3329" s="282"/>
      <c r="J3329" s="283"/>
      <c r="K3329" s="265"/>
      <c r="L3329" s="265"/>
      <c r="M3329" s="269"/>
      <c r="N3329" s="270"/>
      <c r="O3329" s="271"/>
      <c r="P3329" s="271"/>
      <c r="Q3329" s="272"/>
      <c r="R3329" s="273"/>
      <c r="S3329" s="273"/>
      <c r="T3329" s="273"/>
      <c r="U3329" s="274"/>
      <c r="V3329" s="263"/>
      <c r="W3329" s="188"/>
      <c r="X3329" s="188"/>
      <c r="Y3329" s="188"/>
      <c r="Z3329" s="188"/>
      <c r="AA3329" s="188"/>
      <c r="AB3329" s="188"/>
      <c r="AC3329" s="188"/>
      <c r="AD3329" s="188"/>
      <c r="AE3329" s="188"/>
      <c r="AF3329" s="188"/>
      <c r="AG3329" s="188"/>
      <c r="AH3329" s="188"/>
      <c r="AI3329" s="188"/>
    </row>
    <row r="3330">
      <c r="A3330" s="263"/>
      <c r="B3330" s="264"/>
      <c r="C3330" s="265"/>
      <c r="D3330" s="265"/>
      <c r="E3330" s="264"/>
      <c r="F3330" s="265"/>
      <c r="G3330" s="263"/>
      <c r="H3330" s="432"/>
      <c r="I3330" s="282"/>
      <c r="J3330" s="283"/>
      <c r="K3330" s="265"/>
      <c r="L3330" s="265"/>
      <c r="M3330" s="269"/>
      <c r="N3330" s="270"/>
      <c r="O3330" s="271"/>
      <c r="P3330" s="271"/>
      <c r="Q3330" s="272"/>
      <c r="R3330" s="273"/>
      <c r="S3330" s="273"/>
      <c r="T3330" s="273"/>
      <c r="U3330" s="274"/>
      <c r="V3330" s="263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</row>
    <row r="3331">
      <c r="A3331" s="263"/>
      <c r="B3331" s="264"/>
      <c r="C3331" s="265"/>
      <c r="D3331" s="265"/>
      <c r="E3331" s="264"/>
      <c r="F3331" s="265"/>
      <c r="G3331" s="263"/>
      <c r="H3331" s="432"/>
      <c r="I3331" s="282"/>
      <c r="J3331" s="283"/>
      <c r="K3331" s="265"/>
      <c r="L3331" s="265"/>
      <c r="M3331" s="269"/>
      <c r="N3331" s="270"/>
      <c r="O3331" s="271"/>
      <c r="P3331" s="271"/>
      <c r="Q3331" s="272"/>
      <c r="R3331" s="273"/>
      <c r="S3331" s="273"/>
      <c r="T3331" s="273"/>
      <c r="U3331" s="274"/>
      <c r="V3331" s="263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</row>
    <row r="3332">
      <c r="A3332" s="263"/>
      <c r="B3332" s="264"/>
      <c r="C3332" s="265"/>
      <c r="D3332" s="265"/>
      <c r="E3332" s="264"/>
      <c r="F3332" s="265"/>
      <c r="G3332" s="263"/>
      <c r="H3332" s="432"/>
      <c r="I3332" s="282"/>
      <c r="J3332" s="283"/>
      <c r="K3332" s="265"/>
      <c r="L3332" s="265"/>
      <c r="M3332" s="269"/>
      <c r="N3332" s="270"/>
      <c r="O3332" s="271"/>
      <c r="P3332" s="271"/>
      <c r="Q3332" s="272"/>
      <c r="R3332" s="273"/>
      <c r="S3332" s="273"/>
      <c r="T3332" s="273"/>
      <c r="U3332" s="274"/>
      <c r="V3332" s="263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</row>
    <row r="3333">
      <c r="A3333" s="263"/>
      <c r="B3333" s="264"/>
      <c r="C3333" s="265"/>
      <c r="D3333" s="265"/>
      <c r="E3333" s="264"/>
      <c r="F3333" s="265"/>
      <c r="G3333" s="263"/>
      <c r="H3333" s="432"/>
      <c r="I3333" s="282"/>
      <c r="J3333" s="283"/>
      <c r="K3333" s="265"/>
      <c r="L3333" s="265"/>
      <c r="M3333" s="269"/>
      <c r="N3333" s="270"/>
      <c r="O3333" s="271"/>
      <c r="P3333" s="271"/>
      <c r="Q3333" s="272"/>
      <c r="R3333" s="273"/>
      <c r="S3333" s="273"/>
      <c r="T3333" s="273"/>
      <c r="U3333" s="274"/>
      <c r="V3333" s="263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</row>
    <row r="3334">
      <c r="A3334" s="263"/>
      <c r="B3334" s="264"/>
      <c r="C3334" s="265"/>
      <c r="D3334" s="265"/>
      <c r="E3334" s="264"/>
      <c r="F3334" s="265"/>
      <c r="G3334" s="263"/>
      <c r="H3334" s="432"/>
      <c r="I3334" s="282"/>
      <c r="J3334" s="283"/>
      <c r="K3334" s="265"/>
      <c r="L3334" s="265"/>
      <c r="M3334" s="269"/>
      <c r="N3334" s="270"/>
      <c r="O3334" s="271"/>
      <c r="P3334" s="271"/>
      <c r="Q3334" s="272"/>
      <c r="R3334" s="273"/>
      <c r="S3334" s="273"/>
      <c r="T3334" s="273"/>
      <c r="U3334" s="274"/>
      <c r="V3334" s="263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</row>
    <row r="3335">
      <c r="A3335" s="263"/>
      <c r="B3335" s="264"/>
      <c r="C3335" s="265"/>
      <c r="D3335" s="265"/>
      <c r="E3335" s="264"/>
      <c r="F3335" s="265"/>
      <c r="G3335" s="263"/>
      <c r="H3335" s="432"/>
      <c r="I3335" s="282"/>
      <c r="J3335" s="283"/>
      <c r="K3335" s="265"/>
      <c r="L3335" s="265"/>
      <c r="M3335" s="269"/>
      <c r="N3335" s="270"/>
      <c r="O3335" s="271"/>
      <c r="P3335" s="271"/>
      <c r="Q3335" s="272"/>
      <c r="R3335" s="273"/>
      <c r="S3335" s="273"/>
      <c r="T3335" s="273"/>
      <c r="U3335" s="274"/>
      <c r="V3335" s="263"/>
      <c r="W3335" s="35"/>
      <c r="X3335" s="35"/>
      <c r="Y3335" s="35"/>
      <c r="Z3335" s="35"/>
      <c r="AA3335" s="35"/>
      <c r="AB3335" s="35"/>
      <c r="AC3335" s="35"/>
      <c r="AD3335" s="35"/>
      <c r="AE3335" s="35"/>
      <c r="AF3335" s="35"/>
      <c r="AG3335" s="35"/>
      <c r="AH3335" s="35"/>
      <c r="AI3335" s="35"/>
    </row>
    <row r="3336">
      <c r="A3336" s="263"/>
      <c r="B3336" s="264"/>
      <c r="C3336" s="265"/>
      <c r="D3336" s="265"/>
      <c r="E3336" s="264"/>
      <c r="F3336" s="265"/>
      <c r="G3336" s="263"/>
      <c r="H3336" s="432"/>
      <c r="I3336" s="282"/>
      <c r="J3336" s="283"/>
      <c r="K3336" s="265"/>
      <c r="L3336" s="265"/>
      <c r="M3336" s="269"/>
      <c r="N3336" s="270"/>
      <c r="O3336" s="271"/>
      <c r="P3336" s="271"/>
      <c r="Q3336" s="272"/>
      <c r="R3336" s="273"/>
      <c r="S3336" s="273"/>
      <c r="T3336" s="273"/>
      <c r="U3336" s="274"/>
      <c r="V3336" s="263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</row>
    <row r="3337">
      <c r="A3337" s="263"/>
      <c r="B3337" s="264"/>
      <c r="C3337" s="265"/>
      <c r="D3337" s="265"/>
      <c r="E3337" s="264"/>
      <c r="F3337" s="265"/>
      <c r="G3337" s="263"/>
      <c r="H3337" s="432"/>
      <c r="I3337" s="282"/>
      <c r="J3337" s="283"/>
      <c r="K3337" s="265"/>
      <c r="L3337" s="265"/>
      <c r="M3337" s="269"/>
      <c r="N3337" s="270"/>
      <c r="O3337" s="271"/>
      <c r="P3337" s="271"/>
      <c r="Q3337" s="272"/>
      <c r="R3337" s="273"/>
      <c r="S3337" s="273"/>
      <c r="T3337" s="273"/>
      <c r="U3337" s="274"/>
      <c r="V3337" s="263"/>
      <c r="W3337" s="188"/>
      <c r="X3337" s="188"/>
      <c r="Y3337" s="188"/>
      <c r="Z3337" s="188"/>
      <c r="AA3337" s="188"/>
      <c r="AB3337" s="188"/>
      <c r="AC3337" s="188"/>
      <c r="AD3337" s="188"/>
      <c r="AE3337" s="188"/>
      <c r="AF3337" s="188"/>
      <c r="AG3337" s="188"/>
      <c r="AH3337" s="188"/>
      <c r="AI3337" s="188"/>
    </row>
    <row r="3338">
      <c r="A3338" s="263"/>
      <c r="B3338" s="264"/>
      <c r="C3338" s="265"/>
      <c r="D3338" s="265"/>
      <c r="E3338" s="264"/>
      <c r="F3338" s="265"/>
      <c r="G3338" s="263"/>
      <c r="H3338" s="432"/>
      <c r="I3338" s="282"/>
      <c r="J3338" s="283"/>
      <c r="K3338" s="265"/>
      <c r="L3338" s="265"/>
      <c r="M3338" s="269"/>
      <c r="N3338" s="270"/>
      <c r="O3338" s="271"/>
      <c r="P3338" s="271"/>
      <c r="Q3338" s="272"/>
      <c r="R3338" s="273"/>
      <c r="S3338" s="273"/>
      <c r="T3338" s="273"/>
      <c r="U3338" s="274"/>
      <c r="V3338" s="263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</row>
    <row r="3339">
      <c r="A3339" s="263"/>
      <c r="B3339" s="264"/>
      <c r="C3339" s="265"/>
      <c r="D3339" s="265"/>
      <c r="E3339" s="264"/>
      <c r="F3339" s="265"/>
      <c r="G3339" s="263"/>
      <c r="H3339" s="432"/>
      <c r="I3339" s="282"/>
      <c r="J3339" s="283"/>
      <c r="K3339" s="265"/>
      <c r="L3339" s="265"/>
      <c r="M3339" s="269"/>
      <c r="N3339" s="270"/>
      <c r="O3339" s="271"/>
      <c r="P3339" s="271"/>
      <c r="Q3339" s="272"/>
      <c r="R3339" s="273"/>
      <c r="S3339" s="273"/>
      <c r="T3339" s="273"/>
      <c r="U3339" s="274"/>
      <c r="V3339" s="263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</row>
    <row r="3340">
      <c r="A3340" s="263"/>
      <c r="B3340" s="264"/>
      <c r="C3340" s="265"/>
      <c r="D3340" s="265"/>
      <c r="E3340" s="264"/>
      <c r="F3340" s="265"/>
      <c r="G3340" s="263"/>
      <c r="H3340" s="432"/>
      <c r="I3340" s="282"/>
      <c r="J3340" s="283"/>
      <c r="K3340" s="265"/>
      <c r="L3340" s="265"/>
      <c r="M3340" s="269"/>
      <c r="N3340" s="270"/>
      <c r="O3340" s="271"/>
      <c r="P3340" s="271"/>
      <c r="Q3340" s="272"/>
      <c r="R3340" s="273"/>
      <c r="S3340" s="273"/>
      <c r="T3340" s="273"/>
      <c r="U3340" s="274"/>
      <c r="V3340" s="263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</row>
    <row r="3341">
      <c r="A3341" s="263"/>
      <c r="B3341" s="264"/>
      <c r="C3341" s="265"/>
      <c r="D3341" s="265"/>
      <c r="E3341" s="264"/>
      <c r="F3341" s="265"/>
      <c r="G3341" s="263"/>
      <c r="H3341" s="432"/>
      <c r="I3341" s="282"/>
      <c r="J3341" s="283"/>
      <c r="K3341" s="265"/>
      <c r="L3341" s="265"/>
      <c r="M3341" s="269"/>
      <c r="N3341" s="270"/>
      <c r="O3341" s="271"/>
      <c r="P3341" s="271"/>
      <c r="Q3341" s="272"/>
      <c r="R3341" s="273"/>
      <c r="S3341" s="273"/>
      <c r="T3341" s="273"/>
      <c r="U3341" s="274"/>
      <c r="V3341" s="263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</row>
    <row r="3342">
      <c r="A3342" s="263"/>
      <c r="B3342" s="264"/>
      <c r="C3342" s="265"/>
      <c r="D3342" s="265"/>
      <c r="E3342" s="264"/>
      <c r="F3342" s="265"/>
      <c r="G3342" s="263"/>
      <c r="H3342" s="432"/>
      <c r="I3342" s="282"/>
      <c r="J3342" s="283"/>
      <c r="K3342" s="265"/>
      <c r="L3342" s="265"/>
      <c r="M3342" s="269"/>
      <c r="N3342" s="270"/>
      <c r="O3342" s="271"/>
      <c r="P3342" s="271"/>
      <c r="Q3342" s="272"/>
      <c r="R3342" s="273"/>
      <c r="S3342" s="273"/>
      <c r="T3342" s="273"/>
      <c r="U3342" s="274"/>
      <c r="V3342" s="263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</row>
    <row r="3343">
      <c r="A3343" s="276"/>
      <c r="B3343" s="252"/>
      <c r="C3343" s="253"/>
      <c r="D3343" s="253"/>
      <c r="E3343" s="252"/>
      <c r="F3343" s="253"/>
      <c r="G3343" s="304"/>
      <c r="H3343" s="311"/>
      <c r="I3343" s="278"/>
      <c r="J3343" s="257"/>
      <c r="K3343" s="253"/>
      <c r="L3343" s="253"/>
      <c r="M3343" s="275"/>
      <c r="N3343" s="258"/>
      <c r="O3343" s="259"/>
      <c r="P3343" s="259"/>
      <c r="Q3343" s="262"/>
      <c r="R3343" s="260"/>
      <c r="S3343" s="260"/>
      <c r="T3343" s="260"/>
      <c r="U3343" s="261"/>
      <c r="V3343" s="279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</row>
    <row r="3344">
      <c r="A3344" s="280"/>
      <c r="B3344" s="264"/>
      <c r="C3344" s="265"/>
      <c r="D3344" s="265"/>
      <c r="E3344" s="264"/>
      <c r="F3344" s="265"/>
      <c r="G3344" s="280"/>
      <c r="H3344" s="281"/>
      <c r="I3344" s="282"/>
      <c r="J3344" s="283"/>
      <c r="K3344" s="265"/>
      <c r="L3344" s="265"/>
      <c r="M3344" s="269"/>
      <c r="N3344" s="270"/>
      <c r="O3344" s="271"/>
      <c r="P3344" s="271"/>
      <c r="Q3344" s="272"/>
      <c r="R3344" s="273"/>
      <c r="S3344" s="273"/>
      <c r="T3344" s="273"/>
      <c r="U3344" s="274"/>
      <c r="V3344" s="284"/>
      <c r="W3344" s="188"/>
      <c r="X3344" s="188"/>
      <c r="Y3344" s="188"/>
      <c r="Z3344" s="188"/>
      <c r="AA3344" s="188"/>
      <c r="AB3344" s="188"/>
      <c r="AC3344" s="188"/>
      <c r="AD3344" s="188"/>
      <c r="AE3344" s="188"/>
      <c r="AF3344" s="188"/>
      <c r="AG3344" s="188"/>
      <c r="AH3344" s="188"/>
      <c r="AI3344" s="188"/>
    </row>
    <row r="3345">
      <c r="A3345" s="276"/>
      <c r="B3345" s="252"/>
      <c r="C3345" s="253"/>
      <c r="D3345" s="253"/>
      <c r="E3345" s="252"/>
      <c r="F3345" s="253"/>
      <c r="G3345" s="276"/>
      <c r="H3345" s="277"/>
      <c r="I3345" s="278"/>
      <c r="J3345" s="257"/>
      <c r="K3345" s="253"/>
      <c r="L3345" s="253"/>
      <c r="M3345" s="275"/>
      <c r="N3345" s="258"/>
      <c r="O3345" s="259"/>
      <c r="P3345" s="259"/>
      <c r="Q3345" s="262"/>
      <c r="R3345" s="260"/>
      <c r="S3345" s="260"/>
      <c r="T3345" s="260"/>
      <c r="U3345" s="261"/>
      <c r="V3345" s="279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</row>
    <row r="3346">
      <c r="A3346" s="276"/>
      <c r="B3346" s="252"/>
      <c r="C3346" s="253"/>
      <c r="D3346" s="253"/>
      <c r="E3346" s="252"/>
      <c r="F3346" s="253"/>
      <c r="G3346" s="276"/>
      <c r="H3346" s="277"/>
      <c r="I3346" s="278"/>
      <c r="J3346" s="257"/>
      <c r="K3346" s="253"/>
      <c r="L3346" s="253"/>
      <c r="M3346" s="275"/>
      <c r="N3346" s="258"/>
      <c r="O3346" s="259"/>
      <c r="P3346" s="259"/>
      <c r="Q3346" s="262"/>
      <c r="R3346" s="260"/>
      <c r="S3346" s="260"/>
      <c r="T3346" s="260"/>
      <c r="U3346" s="261"/>
      <c r="V3346" s="279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</row>
    <row r="3347">
      <c r="A3347" s="280"/>
      <c r="B3347" s="264"/>
      <c r="C3347" s="265"/>
      <c r="D3347" s="265"/>
      <c r="E3347" s="264"/>
      <c r="F3347" s="265"/>
      <c r="G3347" s="280"/>
      <c r="H3347" s="281"/>
      <c r="I3347" s="282"/>
      <c r="J3347" s="283"/>
      <c r="K3347" s="265"/>
      <c r="L3347" s="265"/>
      <c r="M3347" s="269"/>
      <c r="N3347" s="270"/>
      <c r="O3347" s="271"/>
      <c r="P3347" s="271"/>
      <c r="Q3347" s="272"/>
      <c r="R3347" s="273"/>
      <c r="S3347" s="273"/>
      <c r="T3347" s="273"/>
      <c r="U3347" s="274"/>
      <c r="V3347" s="28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</row>
    <row r="3348">
      <c r="A3348" s="280"/>
      <c r="B3348" s="264"/>
      <c r="C3348" s="265"/>
      <c r="D3348" s="265"/>
      <c r="E3348" s="264"/>
      <c r="F3348" s="265"/>
      <c r="G3348" s="280"/>
      <c r="H3348" s="281"/>
      <c r="I3348" s="282"/>
      <c r="J3348" s="283"/>
      <c r="K3348" s="265"/>
      <c r="L3348" s="265"/>
      <c r="M3348" s="269"/>
      <c r="N3348" s="270"/>
      <c r="O3348" s="271"/>
      <c r="P3348" s="271"/>
      <c r="Q3348" s="272"/>
      <c r="R3348" s="273"/>
      <c r="S3348" s="273"/>
      <c r="T3348" s="273"/>
      <c r="U3348" s="274"/>
      <c r="V3348" s="28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</row>
    <row r="3349">
      <c r="A3349" s="280"/>
      <c r="B3349" s="264"/>
      <c r="C3349" s="265"/>
      <c r="D3349" s="265"/>
      <c r="E3349" s="264"/>
      <c r="F3349" s="265"/>
      <c r="G3349" s="280"/>
      <c r="H3349" s="281"/>
      <c r="I3349" s="282"/>
      <c r="J3349" s="283"/>
      <c r="K3349" s="265"/>
      <c r="L3349" s="265"/>
      <c r="M3349" s="269"/>
      <c r="N3349" s="270"/>
      <c r="O3349" s="271"/>
      <c r="P3349" s="271"/>
      <c r="Q3349" s="272"/>
      <c r="R3349" s="273"/>
      <c r="S3349" s="273"/>
      <c r="T3349" s="273"/>
      <c r="U3349" s="274"/>
      <c r="V3349" s="284"/>
      <c r="W3349" s="35"/>
      <c r="X3349" s="35"/>
      <c r="Y3349" s="35"/>
      <c r="Z3349" s="35"/>
      <c r="AA3349" s="35"/>
      <c r="AB3349" s="35"/>
      <c r="AC3349" s="35"/>
      <c r="AD3349" s="35"/>
      <c r="AE3349" s="35"/>
      <c r="AF3349" s="35"/>
      <c r="AG3349" s="35"/>
      <c r="AH3349" s="35"/>
      <c r="AI3349" s="35"/>
    </row>
    <row r="3350">
      <c r="A3350" s="280"/>
      <c r="B3350" s="264"/>
      <c r="C3350" s="265"/>
      <c r="D3350" s="265"/>
      <c r="E3350" s="264"/>
      <c r="F3350" s="265"/>
      <c r="G3350" s="280"/>
      <c r="H3350" s="281"/>
      <c r="I3350" s="282"/>
      <c r="J3350" s="283"/>
      <c r="K3350" s="265"/>
      <c r="L3350" s="265"/>
      <c r="M3350" s="269"/>
      <c r="N3350" s="270"/>
      <c r="O3350" s="271"/>
      <c r="P3350" s="271"/>
      <c r="Q3350" s="272"/>
      <c r="R3350" s="273"/>
      <c r="S3350" s="273"/>
      <c r="T3350" s="273"/>
      <c r="U3350" s="274"/>
      <c r="V3350" s="284"/>
      <c r="W3350" s="188"/>
      <c r="X3350" s="188"/>
      <c r="Y3350" s="188"/>
      <c r="Z3350" s="188"/>
      <c r="AA3350" s="188"/>
      <c r="AB3350" s="188"/>
      <c r="AC3350" s="188"/>
      <c r="AD3350" s="188"/>
      <c r="AE3350" s="188"/>
      <c r="AF3350" s="188"/>
      <c r="AG3350" s="188"/>
      <c r="AH3350" s="188"/>
      <c r="AI3350" s="188"/>
    </row>
    <row r="3351">
      <c r="A3351" s="280"/>
      <c r="B3351" s="264"/>
      <c r="C3351" s="265"/>
      <c r="D3351" s="265"/>
      <c r="E3351" s="264"/>
      <c r="F3351" s="265"/>
      <c r="G3351" s="280"/>
      <c r="H3351" s="281"/>
      <c r="I3351" s="282"/>
      <c r="J3351" s="283"/>
      <c r="K3351" s="265"/>
      <c r="L3351" s="265"/>
      <c r="M3351" s="269"/>
      <c r="N3351" s="270"/>
      <c r="O3351" s="271"/>
      <c r="P3351" s="271"/>
      <c r="Q3351" s="272"/>
      <c r="R3351" s="273"/>
      <c r="S3351" s="273"/>
      <c r="T3351" s="273"/>
      <c r="U3351" s="274"/>
      <c r="V3351" s="284"/>
      <c r="W3351" s="188"/>
      <c r="X3351" s="188"/>
      <c r="Y3351" s="188"/>
      <c r="Z3351" s="188"/>
      <c r="AA3351" s="188"/>
      <c r="AB3351" s="188"/>
      <c r="AC3351" s="188"/>
      <c r="AD3351" s="188"/>
      <c r="AE3351" s="188"/>
      <c r="AF3351" s="188"/>
      <c r="AG3351" s="188"/>
      <c r="AH3351" s="188"/>
      <c r="AI3351" s="188"/>
    </row>
    <row r="3352">
      <c r="A3352" s="280"/>
      <c r="B3352" s="264"/>
      <c r="C3352" s="265"/>
      <c r="D3352" s="265"/>
      <c r="E3352" s="264"/>
      <c r="F3352" s="265"/>
      <c r="G3352" s="280"/>
      <c r="H3352" s="281"/>
      <c r="I3352" s="282"/>
      <c r="J3352" s="283"/>
      <c r="K3352" s="265"/>
      <c r="L3352" s="265"/>
      <c r="M3352" s="269"/>
      <c r="N3352" s="270"/>
      <c r="O3352" s="271"/>
      <c r="P3352" s="271"/>
      <c r="Q3352" s="272"/>
      <c r="R3352" s="273"/>
      <c r="S3352" s="273"/>
      <c r="T3352" s="273"/>
      <c r="U3352" s="274"/>
      <c r="V3352" s="28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</row>
    <row r="3353">
      <c r="A3353" s="280"/>
      <c r="B3353" s="264"/>
      <c r="C3353" s="265"/>
      <c r="D3353" s="265"/>
      <c r="E3353" s="264"/>
      <c r="F3353" s="265"/>
      <c r="G3353" s="280"/>
      <c r="H3353" s="281"/>
      <c r="I3353" s="282"/>
      <c r="J3353" s="283"/>
      <c r="K3353" s="265"/>
      <c r="L3353" s="265"/>
      <c r="M3353" s="269"/>
      <c r="N3353" s="270"/>
      <c r="O3353" s="271"/>
      <c r="P3353" s="271"/>
      <c r="Q3353" s="272"/>
      <c r="R3353" s="273"/>
      <c r="S3353" s="273"/>
      <c r="T3353" s="273"/>
      <c r="U3353" s="274"/>
      <c r="V3353" s="28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</row>
    <row r="3354">
      <c r="A3354" s="280"/>
      <c r="B3354" s="264"/>
      <c r="C3354" s="265"/>
      <c r="D3354" s="265"/>
      <c r="E3354" s="264"/>
      <c r="F3354" s="265"/>
      <c r="G3354" s="280"/>
      <c r="H3354" s="281"/>
      <c r="I3354" s="282"/>
      <c r="J3354" s="283"/>
      <c r="K3354" s="265"/>
      <c r="L3354" s="265"/>
      <c r="M3354" s="269"/>
      <c r="N3354" s="270"/>
      <c r="O3354" s="271"/>
      <c r="P3354" s="271"/>
      <c r="Q3354" s="272"/>
      <c r="R3354" s="273"/>
      <c r="S3354" s="273"/>
      <c r="T3354" s="273"/>
      <c r="U3354" s="274"/>
      <c r="V3354" s="28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</row>
    <row r="3355">
      <c r="A3355" s="280"/>
      <c r="B3355" s="264"/>
      <c r="C3355" s="265"/>
      <c r="D3355" s="265"/>
      <c r="E3355" s="264"/>
      <c r="F3355" s="265"/>
      <c r="G3355" s="280"/>
      <c r="H3355" s="281"/>
      <c r="I3355" s="282"/>
      <c r="J3355" s="283"/>
      <c r="K3355" s="265"/>
      <c r="L3355" s="265"/>
      <c r="M3355" s="269"/>
      <c r="N3355" s="270"/>
      <c r="O3355" s="271"/>
      <c r="P3355" s="271"/>
      <c r="Q3355" s="272"/>
      <c r="R3355" s="273"/>
      <c r="S3355" s="273"/>
      <c r="T3355" s="273"/>
      <c r="U3355" s="274"/>
      <c r="V3355" s="28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</row>
    <row r="3356">
      <c r="A3356" s="280"/>
      <c r="B3356" s="264"/>
      <c r="C3356" s="265"/>
      <c r="D3356" s="265"/>
      <c r="E3356" s="264"/>
      <c r="F3356" s="265"/>
      <c r="G3356" s="280"/>
      <c r="H3356" s="281"/>
      <c r="I3356" s="282"/>
      <c r="J3356" s="283"/>
      <c r="K3356" s="265"/>
      <c r="L3356" s="265"/>
      <c r="M3356" s="269"/>
      <c r="N3356" s="270"/>
      <c r="O3356" s="271"/>
      <c r="P3356" s="271"/>
      <c r="Q3356" s="272"/>
      <c r="R3356" s="273"/>
      <c r="S3356" s="273"/>
      <c r="T3356" s="273"/>
      <c r="U3356" s="274"/>
      <c r="V3356" s="28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</row>
    <row r="3357">
      <c r="A3357" s="280"/>
      <c r="B3357" s="264"/>
      <c r="C3357" s="265"/>
      <c r="D3357" s="265"/>
      <c r="E3357" s="264"/>
      <c r="F3357" s="265"/>
      <c r="G3357" s="280"/>
      <c r="H3357" s="281"/>
      <c r="I3357" s="282"/>
      <c r="J3357" s="283"/>
      <c r="K3357" s="265"/>
      <c r="L3357" s="265"/>
      <c r="M3357" s="269"/>
      <c r="N3357" s="270"/>
      <c r="O3357" s="271"/>
      <c r="P3357" s="271"/>
      <c r="Q3357" s="272"/>
      <c r="R3357" s="273"/>
      <c r="S3357" s="273"/>
      <c r="T3357" s="273"/>
      <c r="U3357" s="274"/>
      <c r="V3357" s="284"/>
      <c r="W3357" s="188"/>
      <c r="X3357" s="188"/>
      <c r="Y3357" s="188"/>
      <c r="Z3357" s="188"/>
      <c r="AA3357" s="188"/>
      <c r="AB3357" s="188"/>
      <c r="AC3357" s="188"/>
      <c r="AD3357" s="188"/>
      <c r="AE3357" s="188"/>
      <c r="AF3357" s="188"/>
      <c r="AG3357" s="188"/>
      <c r="AH3357" s="188"/>
      <c r="AI3357" s="188"/>
    </row>
    <row r="3358">
      <c r="A3358" s="280"/>
      <c r="B3358" s="264"/>
      <c r="C3358" s="265"/>
      <c r="D3358" s="265"/>
      <c r="E3358" s="264"/>
      <c r="F3358" s="265"/>
      <c r="G3358" s="280"/>
      <c r="H3358" s="281"/>
      <c r="I3358" s="282"/>
      <c r="J3358" s="283"/>
      <c r="K3358" s="265"/>
      <c r="L3358" s="265"/>
      <c r="M3358" s="269"/>
      <c r="N3358" s="270"/>
      <c r="O3358" s="271"/>
      <c r="P3358" s="271"/>
      <c r="Q3358" s="272"/>
      <c r="R3358" s="273"/>
      <c r="S3358" s="273"/>
      <c r="T3358" s="273"/>
      <c r="U3358" s="274"/>
      <c r="V3358" s="28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</row>
    <row r="3359">
      <c r="A3359" s="280"/>
      <c r="B3359" s="264"/>
      <c r="C3359" s="265"/>
      <c r="D3359" s="265"/>
      <c r="E3359" s="264"/>
      <c r="F3359" s="265"/>
      <c r="G3359" s="280"/>
      <c r="H3359" s="281"/>
      <c r="I3359" s="282"/>
      <c r="J3359" s="283"/>
      <c r="K3359" s="265"/>
      <c r="L3359" s="265"/>
      <c r="M3359" s="269"/>
      <c r="N3359" s="270"/>
      <c r="O3359" s="271"/>
      <c r="P3359" s="271"/>
      <c r="Q3359" s="272"/>
      <c r="R3359" s="273"/>
      <c r="S3359" s="273"/>
      <c r="T3359" s="273"/>
      <c r="U3359" s="274"/>
      <c r="V3359" s="284"/>
      <c r="W3359" s="35"/>
      <c r="X3359" s="35"/>
      <c r="Y3359" s="35"/>
      <c r="Z3359" s="35"/>
      <c r="AA3359" s="35"/>
      <c r="AB3359" s="35"/>
      <c r="AC3359" s="35"/>
      <c r="AD3359" s="35"/>
      <c r="AE3359" s="35"/>
      <c r="AF3359" s="35"/>
      <c r="AG3359" s="35"/>
      <c r="AH3359" s="35"/>
      <c r="AI3359" s="35"/>
    </row>
    <row r="3360">
      <c r="A3360" s="276"/>
      <c r="B3360" s="252"/>
      <c r="C3360" s="253"/>
      <c r="D3360" s="253"/>
      <c r="E3360" s="252"/>
      <c r="F3360" s="253"/>
      <c r="G3360" s="276"/>
      <c r="H3360" s="277"/>
      <c r="I3360" s="278"/>
      <c r="J3360" s="257"/>
      <c r="K3360" s="253"/>
      <c r="L3360" s="253"/>
      <c r="M3360" s="252"/>
      <c r="N3360" s="258"/>
      <c r="O3360" s="259"/>
      <c r="P3360" s="259"/>
      <c r="Q3360" s="262"/>
      <c r="R3360" s="260"/>
      <c r="S3360" s="260"/>
      <c r="T3360" s="260"/>
      <c r="U3360" s="261"/>
      <c r="V3360" s="279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</row>
    <row r="3361">
      <c r="A3361" s="276"/>
      <c r="B3361" s="252"/>
      <c r="C3361" s="253"/>
      <c r="D3361" s="253"/>
      <c r="E3361" s="252"/>
      <c r="F3361" s="253"/>
      <c r="G3361" s="276"/>
      <c r="H3361" s="277"/>
      <c r="I3361" s="278"/>
      <c r="J3361" s="257"/>
      <c r="K3361" s="253"/>
      <c r="L3361" s="253"/>
      <c r="M3361" s="252"/>
      <c r="N3361" s="258"/>
      <c r="O3361" s="259"/>
      <c r="P3361" s="259"/>
      <c r="Q3361" s="262"/>
      <c r="R3361" s="260"/>
      <c r="S3361" s="260"/>
      <c r="T3361" s="260"/>
      <c r="U3361" s="261"/>
      <c r="V3361" s="279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</row>
    <row r="3362">
      <c r="A3362" s="280"/>
      <c r="B3362" s="264"/>
      <c r="C3362" s="265"/>
      <c r="D3362" s="265"/>
      <c r="E3362" s="264"/>
      <c r="F3362" s="265"/>
      <c r="G3362" s="280"/>
      <c r="H3362" s="281"/>
      <c r="I3362" s="282"/>
      <c r="J3362" s="283"/>
      <c r="K3362" s="265"/>
      <c r="L3362" s="265"/>
      <c r="M3362" s="269"/>
      <c r="N3362" s="270"/>
      <c r="O3362" s="271"/>
      <c r="P3362" s="271"/>
      <c r="Q3362" s="272"/>
      <c r="R3362" s="273"/>
      <c r="S3362" s="273"/>
      <c r="T3362" s="273"/>
      <c r="U3362" s="274"/>
      <c r="V3362" s="28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</row>
    <row r="3363">
      <c r="A3363" s="280"/>
      <c r="B3363" s="264"/>
      <c r="C3363" s="265"/>
      <c r="D3363" s="265"/>
      <c r="E3363" s="264"/>
      <c r="F3363" s="265"/>
      <c r="G3363" s="280"/>
      <c r="H3363" s="281"/>
      <c r="I3363" s="282"/>
      <c r="J3363" s="283"/>
      <c r="K3363" s="265"/>
      <c r="L3363" s="265"/>
      <c r="M3363" s="269"/>
      <c r="N3363" s="270"/>
      <c r="O3363" s="271"/>
      <c r="P3363" s="271"/>
      <c r="Q3363" s="272"/>
      <c r="R3363" s="273"/>
      <c r="S3363" s="273"/>
      <c r="T3363" s="273"/>
      <c r="U3363" s="274"/>
      <c r="V3363" s="284"/>
      <c r="W3363" s="35"/>
      <c r="X3363" s="35"/>
      <c r="Y3363" s="35"/>
      <c r="Z3363" s="35"/>
      <c r="AA3363" s="35"/>
      <c r="AB3363" s="35"/>
      <c r="AC3363" s="35"/>
      <c r="AD3363" s="35"/>
      <c r="AE3363" s="35"/>
      <c r="AF3363" s="35"/>
      <c r="AG3363" s="35"/>
      <c r="AH3363" s="35"/>
      <c r="AI3363" s="35"/>
    </row>
    <row r="3364">
      <c r="A3364" s="280"/>
      <c r="B3364" s="264"/>
      <c r="C3364" s="265"/>
      <c r="D3364" s="265"/>
      <c r="E3364" s="264"/>
      <c r="F3364" s="265"/>
      <c r="G3364" s="280"/>
      <c r="H3364" s="313"/>
      <c r="I3364" s="282"/>
      <c r="J3364" s="283"/>
      <c r="K3364" s="265"/>
      <c r="L3364" s="265"/>
      <c r="M3364" s="269"/>
      <c r="N3364" s="270"/>
      <c r="O3364" s="271"/>
      <c r="P3364" s="271"/>
      <c r="Q3364" s="272"/>
      <c r="R3364" s="273"/>
      <c r="S3364" s="273"/>
      <c r="T3364" s="273"/>
      <c r="U3364" s="274"/>
      <c r="V3364" s="284"/>
      <c r="W3364" s="35"/>
      <c r="X3364" s="35"/>
      <c r="Y3364" s="35"/>
      <c r="Z3364" s="35"/>
      <c r="AA3364" s="35"/>
      <c r="AB3364" s="35"/>
      <c r="AC3364" s="35"/>
      <c r="AD3364" s="35"/>
      <c r="AE3364" s="35"/>
      <c r="AF3364" s="35"/>
      <c r="AG3364" s="35"/>
      <c r="AH3364" s="35"/>
      <c r="AI3364" s="35"/>
    </row>
    <row r="3365">
      <c r="A3365" s="280"/>
      <c r="B3365" s="264"/>
      <c r="C3365" s="265"/>
      <c r="D3365" s="265"/>
      <c r="E3365" s="264"/>
      <c r="F3365" s="265"/>
      <c r="G3365" s="280"/>
      <c r="H3365" s="281"/>
      <c r="I3365" s="282"/>
      <c r="J3365" s="283"/>
      <c r="K3365" s="265"/>
      <c r="L3365" s="265"/>
      <c r="M3365" s="269"/>
      <c r="N3365" s="270"/>
      <c r="O3365" s="271"/>
      <c r="P3365" s="271"/>
      <c r="Q3365" s="272"/>
      <c r="R3365" s="273"/>
      <c r="S3365" s="273"/>
      <c r="T3365" s="273"/>
      <c r="U3365" s="274"/>
      <c r="V3365" s="284"/>
      <c r="W3365" s="35"/>
      <c r="X3365" s="35"/>
      <c r="Y3365" s="35"/>
      <c r="Z3365" s="35"/>
      <c r="AA3365" s="35"/>
      <c r="AB3365" s="35"/>
      <c r="AC3365" s="35"/>
      <c r="AD3365" s="35"/>
      <c r="AE3365" s="35"/>
      <c r="AF3365" s="35"/>
      <c r="AG3365" s="35"/>
      <c r="AH3365" s="35"/>
      <c r="AI3365" s="35"/>
    </row>
    <row r="3366">
      <c r="A3366" s="280"/>
      <c r="B3366" s="264"/>
      <c r="C3366" s="265"/>
      <c r="D3366" s="265"/>
      <c r="E3366" s="264"/>
      <c r="F3366" s="265"/>
      <c r="G3366" s="280"/>
      <c r="H3366" s="281"/>
      <c r="I3366" s="282"/>
      <c r="J3366" s="283"/>
      <c r="K3366" s="265"/>
      <c r="L3366" s="265"/>
      <c r="M3366" s="269"/>
      <c r="N3366" s="270"/>
      <c r="O3366" s="271"/>
      <c r="P3366" s="271"/>
      <c r="Q3366" s="272"/>
      <c r="R3366" s="273"/>
      <c r="S3366" s="273"/>
      <c r="T3366" s="273"/>
      <c r="U3366" s="274"/>
      <c r="V3366" s="284"/>
      <c r="W3366" s="188"/>
      <c r="X3366" s="188"/>
      <c r="Y3366" s="188"/>
      <c r="Z3366" s="188"/>
      <c r="AA3366" s="188"/>
      <c r="AB3366" s="188"/>
      <c r="AC3366" s="188"/>
      <c r="AD3366" s="188"/>
      <c r="AE3366" s="188"/>
      <c r="AF3366" s="188"/>
      <c r="AG3366" s="188"/>
      <c r="AH3366" s="188"/>
      <c r="AI3366" s="188"/>
    </row>
    <row r="3367">
      <c r="A3367" s="280"/>
      <c r="B3367" s="264"/>
      <c r="C3367" s="265"/>
      <c r="D3367" s="265"/>
      <c r="E3367" s="264"/>
      <c r="F3367" s="265"/>
      <c r="G3367" s="280"/>
      <c r="H3367" s="313"/>
      <c r="I3367" s="282"/>
      <c r="J3367" s="283"/>
      <c r="K3367" s="265"/>
      <c r="L3367" s="265"/>
      <c r="M3367" s="269"/>
      <c r="N3367" s="270"/>
      <c r="O3367" s="271"/>
      <c r="P3367" s="271"/>
      <c r="Q3367" s="272"/>
      <c r="R3367" s="273"/>
      <c r="S3367" s="273"/>
      <c r="T3367" s="273"/>
      <c r="U3367" s="274"/>
      <c r="V3367" s="28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</row>
    <row r="3368">
      <c r="A3368" s="280"/>
      <c r="B3368" s="264"/>
      <c r="C3368" s="265"/>
      <c r="D3368" s="265"/>
      <c r="E3368" s="264"/>
      <c r="F3368" s="265"/>
      <c r="G3368" s="280"/>
      <c r="H3368" s="281"/>
      <c r="I3368" s="282"/>
      <c r="J3368" s="283"/>
      <c r="K3368" s="265"/>
      <c r="L3368" s="265"/>
      <c r="M3368" s="269"/>
      <c r="N3368" s="270"/>
      <c r="O3368" s="271"/>
      <c r="P3368" s="271"/>
      <c r="Q3368" s="272"/>
      <c r="R3368" s="273"/>
      <c r="S3368" s="273"/>
      <c r="T3368" s="273"/>
      <c r="U3368" s="274"/>
      <c r="V3368" s="284"/>
      <c r="W3368" s="35"/>
      <c r="X3368" s="35"/>
      <c r="Y3368" s="35"/>
      <c r="Z3368" s="35"/>
      <c r="AA3368" s="35"/>
      <c r="AB3368" s="35"/>
      <c r="AC3368" s="35"/>
      <c r="AD3368" s="35"/>
      <c r="AE3368" s="35"/>
      <c r="AF3368" s="35"/>
      <c r="AG3368" s="35"/>
      <c r="AH3368" s="35"/>
      <c r="AI3368" s="35"/>
    </row>
    <row r="3369">
      <c r="A3369" s="280"/>
      <c r="B3369" s="264"/>
      <c r="C3369" s="265"/>
      <c r="D3369" s="265"/>
      <c r="E3369" s="264"/>
      <c r="F3369" s="265"/>
      <c r="G3369" s="305"/>
      <c r="H3369" s="313"/>
      <c r="I3369" s="282"/>
      <c r="J3369" s="283"/>
      <c r="K3369" s="265"/>
      <c r="L3369" s="265"/>
      <c r="M3369" s="269"/>
      <c r="N3369" s="270"/>
      <c r="O3369" s="271"/>
      <c r="P3369" s="271"/>
      <c r="Q3369" s="272"/>
      <c r="R3369" s="273"/>
      <c r="S3369" s="273"/>
      <c r="T3369" s="260"/>
      <c r="U3369" s="261"/>
      <c r="V3369" s="279"/>
      <c r="W3369" s="35"/>
      <c r="X3369" s="35"/>
      <c r="Y3369" s="35"/>
      <c r="Z3369" s="35"/>
      <c r="AA3369" s="35"/>
      <c r="AB3369" s="35"/>
      <c r="AC3369" s="35"/>
      <c r="AD3369" s="35"/>
      <c r="AE3369" s="35"/>
      <c r="AF3369" s="35"/>
      <c r="AG3369" s="35"/>
      <c r="AH3369" s="35"/>
      <c r="AI3369" s="35"/>
    </row>
    <row r="3370">
      <c r="A3370" s="280"/>
      <c r="B3370" s="264"/>
      <c r="C3370" s="265"/>
      <c r="D3370" s="265"/>
      <c r="E3370" s="264"/>
      <c r="F3370" s="265"/>
      <c r="G3370" s="305"/>
      <c r="H3370" s="313"/>
      <c r="I3370" s="282"/>
      <c r="J3370" s="283"/>
      <c r="K3370" s="265"/>
      <c r="L3370" s="265"/>
      <c r="M3370" s="269"/>
      <c r="N3370" s="270"/>
      <c r="O3370" s="271"/>
      <c r="P3370" s="271"/>
      <c r="Q3370" s="272"/>
      <c r="R3370" s="273"/>
      <c r="S3370" s="273"/>
      <c r="T3370" s="273"/>
      <c r="U3370" s="274"/>
      <c r="V3370" s="284"/>
      <c r="W3370" s="35"/>
      <c r="X3370" s="35"/>
      <c r="Y3370" s="35"/>
      <c r="Z3370" s="35"/>
      <c r="AA3370" s="35"/>
      <c r="AB3370" s="35"/>
      <c r="AC3370" s="35"/>
      <c r="AD3370" s="35"/>
      <c r="AE3370" s="35"/>
      <c r="AF3370" s="35"/>
      <c r="AG3370" s="35"/>
      <c r="AH3370" s="35"/>
      <c r="AI3370" s="35"/>
    </row>
    <row r="3371">
      <c r="A3371" s="280"/>
      <c r="B3371" s="264"/>
      <c r="C3371" s="265"/>
      <c r="D3371" s="265"/>
      <c r="E3371" s="264"/>
      <c r="F3371" s="265"/>
      <c r="G3371" s="305"/>
      <c r="H3371" s="313"/>
      <c r="I3371" s="282"/>
      <c r="J3371" s="283"/>
      <c r="K3371" s="265"/>
      <c r="L3371" s="265"/>
      <c r="M3371" s="269"/>
      <c r="N3371" s="270"/>
      <c r="O3371" s="271"/>
      <c r="P3371" s="271"/>
      <c r="Q3371" s="272"/>
      <c r="R3371" s="273"/>
      <c r="S3371" s="273"/>
      <c r="T3371" s="273"/>
      <c r="U3371" s="274"/>
      <c r="V3371" s="28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</row>
    <row r="3372">
      <c r="A3372" s="280"/>
      <c r="B3372" s="264"/>
      <c r="C3372" s="265"/>
      <c r="D3372" s="265"/>
      <c r="E3372" s="264"/>
      <c r="F3372" s="265"/>
      <c r="G3372" s="305"/>
      <c r="H3372" s="313"/>
      <c r="I3372" s="282"/>
      <c r="J3372" s="283"/>
      <c r="K3372" s="265"/>
      <c r="L3372" s="265"/>
      <c r="M3372" s="269"/>
      <c r="N3372" s="270"/>
      <c r="O3372" s="271"/>
      <c r="P3372" s="271"/>
      <c r="Q3372" s="272"/>
      <c r="R3372" s="273"/>
      <c r="S3372" s="273"/>
      <c r="T3372" s="273"/>
      <c r="U3372" s="274"/>
      <c r="V3372" s="28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</row>
    <row r="3373">
      <c r="A3373" s="280"/>
      <c r="B3373" s="264"/>
      <c r="C3373" s="265"/>
      <c r="D3373" s="265"/>
      <c r="E3373" s="264"/>
      <c r="F3373" s="265"/>
      <c r="G3373" s="280"/>
      <c r="H3373" s="281"/>
      <c r="I3373" s="282"/>
      <c r="J3373" s="283"/>
      <c r="K3373" s="265"/>
      <c r="L3373" s="265"/>
      <c r="M3373" s="269"/>
      <c r="N3373" s="270"/>
      <c r="O3373" s="271"/>
      <c r="P3373" s="271"/>
      <c r="Q3373" s="272"/>
      <c r="R3373" s="273"/>
      <c r="S3373" s="273"/>
      <c r="T3373" s="273"/>
      <c r="U3373" s="274"/>
      <c r="V3373" s="28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</row>
    <row r="3374">
      <c r="A3374" s="280"/>
      <c r="B3374" s="264"/>
      <c r="C3374" s="265"/>
      <c r="D3374" s="265"/>
      <c r="E3374" s="264"/>
      <c r="F3374" s="265"/>
      <c r="G3374" s="280"/>
      <c r="H3374" s="281"/>
      <c r="I3374" s="282"/>
      <c r="J3374" s="283"/>
      <c r="K3374" s="265"/>
      <c r="L3374" s="265"/>
      <c r="M3374" s="269"/>
      <c r="N3374" s="270"/>
      <c r="O3374" s="271"/>
      <c r="P3374" s="271"/>
      <c r="Q3374" s="272"/>
      <c r="R3374" s="273"/>
      <c r="S3374" s="273"/>
      <c r="T3374" s="273"/>
      <c r="U3374" s="274"/>
      <c r="V3374" s="28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</row>
    <row r="3375">
      <c r="A3375" s="280"/>
      <c r="B3375" s="264"/>
      <c r="C3375" s="265"/>
      <c r="D3375" s="265"/>
      <c r="E3375" s="264"/>
      <c r="F3375" s="265"/>
      <c r="G3375" s="305"/>
      <c r="H3375" s="313"/>
      <c r="I3375" s="282"/>
      <c r="J3375" s="283"/>
      <c r="K3375" s="265"/>
      <c r="L3375" s="265"/>
      <c r="M3375" s="269"/>
      <c r="N3375" s="270"/>
      <c r="O3375" s="271"/>
      <c r="P3375" s="271"/>
      <c r="Q3375" s="272"/>
      <c r="R3375" s="273"/>
      <c r="S3375" s="273"/>
      <c r="T3375" s="273"/>
      <c r="U3375" s="274"/>
      <c r="V3375" s="284"/>
      <c r="W3375" s="35"/>
      <c r="X3375" s="35"/>
      <c r="Y3375" s="35"/>
      <c r="Z3375" s="35"/>
      <c r="AA3375" s="35"/>
      <c r="AB3375" s="35"/>
      <c r="AC3375" s="35"/>
      <c r="AD3375" s="35"/>
      <c r="AE3375" s="35"/>
      <c r="AF3375" s="35"/>
      <c r="AG3375" s="35"/>
      <c r="AH3375" s="35"/>
      <c r="AI3375" s="35"/>
    </row>
    <row r="3376">
      <c r="A3376" s="280"/>
      <c r="B3376" s="264"/>
      <c r="C3376" s="265"/>
      <c r="D3376" s="265"/>
      <c r="E3376" s="264"/>
      <c r="F3376" s="265"/>
      <c r="G3376" s="280"/>
      <c r="H3376" s="281"/>
      <c r="I3376" s="282"/>
      <c r="J3376" s="283"/>
      <c r="K3376" s="265"/>
      <c r="L3376" s="265"/>
      <c r="M3376" s="269"/>
      <c r="N3376" s="270"/>
      <c r="O3376" s="271"/>
      <c r="P3376" s="271"/>
      <c r="Q3376" s="272"/>
      <c r="R3376" s="273"/>
      <c r="S3376" s="273"/>
      <c r="T3376" s="273"/>
      <c r="U3376" s="274"/>
      <c r="V3376" s="284"/>
      <c r="W3376" s="35"/>
      <c r="X3376" s="35"/>
      <c r="Y3376" s="35"/>
      <c r="Z3376" s="35"/>
      <c r="AA3376" s="35"/>
      <c r="AB3376" s="35"/>
      <c r="AC3376" s="35"/>
      <c r="AD3376" s="35"/>
      <c r="AE3376" s="35"/>
      <c r="AF3376" s="35"/>
      <c r="AG3376" s="35"/>
      <c r="AH3376" s="35"/>
      <c r="AI3376" s="35"/>
    </row>
    <row r="3377">
      <c r="A3377" s="280"/>
      <c r="B3377" s="264"/>
      <c r="C3377" s="265"/>
      <c r="D3377" s="265"/>
      <c r="E3377" s="264"/>
      <c r="F3377" s="265"/>
      <c r="G3377" s="280"/>
      <c r="H3377" s="281"/>
      <c r="I3377" s="282"/>
      <c r="J3377" s="283"/>
      <c r="K3377" s="265"/>
      <c r="L3377" s="265"/>
      <c r="M3377" s="269"/>
      <c r="N3377" s="270"/>
      <c r="O3377" s="271"/>
      <c r="P3377" s="271"/>
      <c r="Q3377" s="272"/>
      <c r="R3377" s="273"/>
      <c r="S3377" s="273"/>
      <c r="T3377" s="273"/>
      <c r="U3377" s="274"/>
      <c r="V3377" s="28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</row>
    <row r="3378">
      <c r="A3378" s="280"/>
      <c r="B3378" s="264"/>
      <c r="C3378" s="265"/>
      <c r="D3378" s="265"/>
      <c r="E3378" s="264"/>
      <c r="F3378" s="265"/>
      <c r="G3378" s="280"/>
      <c r="H3378" s="281"/>
      <c r="I3378" s="282"/>
      <c r="J3378" s="283"/>
      <c r="K3378" s="265"/>
      <c r="L3378" s="265"/>
      <c r="M3378" s="269"/>
      <c r="N3378" s="270"/>
      <c r="O3378" s="271"/>
      <c r="P3378" s="271"/>
      <c r="Q3378" s="272"/>
      <c r="R3378" s="273"/>
      <c r="S3378" s="273"/>
      <c r="T3378" s="273"/>
      <c r="U3378" s="274"/>
      <c r="V3378" s="28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</row>
    <row r="3379">
      <c r="A3379" s="280"/>
      <c r="B3379" s="264"/>
      <c r="C3379" s="265"/>
      <c r="D3379" s="265"/>
      <c r="E3379" s="264"/>
      <c r="F3379" s="265"/>
      <c r="G3379" s="280"/>
      <c r="H3379" s="281"/>
      <c r="I3379" s="282"/>
      <c r="J3379" s="283"/>
      <c r="K3379" s="265"/>
      <c r="L3379" s="265"/>
      <c r="M3379" s="269"/>
      <c r="N3379" s="270"/>
      <c r="O3379" s="271"/>
      <c r="P3379" s="271"/>
      <c r="Q3379" s="272"/>
      <c r="R3379" s="273"/>
      <c r="S3379" s="273"/>
      <c r="T3379" s="273"/>
      <c r="U3379" s="274"/>
      <c r="V3379" s="28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</row>
    <row r="3380">
      <c r="A3380" s="280"/>
      <c r="B3380" s="264"/>
      <c r="C3380" s="265"/>
      <c r="D3380" s="265"/>
      <c r="E3380" s="264"/>
      <c r="F3380" s="265"/>
      <c r="G3380" s="305"/>
      <c r="H3380" s="281"/>
      <c r="I3380" s="282"/>
      <c r="J3380" s="283"/>
      <c r="K3380" s="265"/>
      <c r="L3380" s="265"/>
      <c r="M3380" s="269"/>
      <c r="N3380" s="270"/>
      <c r="O3380" s="271"/>
      <c r="P3380" s="271"/>
      <c r="Q3380" s="272"/>
      <c r="R3380" s="273"/>
      <c r="S3380" s="273"/>
      <c r="T3380" s="273"/>
      <c r="U3380" s="274"/>
      <c r="V3380" s="28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</row>
    <row r="3381">
      <c r="A3381" s="280"/>
      <c r="B3381" s="264"/>
      <c r="C3381" s="265"/>
      <c r="D3381" s="265"/>
      <c r="E3381" s="264"/>
      <c r="F3381" s="265"/>
      <c r="G3381" s="305"/>
      <c r="H3381" s="281"/>
      <c r="I3381" s="282"/>
      <c r="J3381" s="283"/>
      <c r="K3381" s="265"/>
      <c r="L3381" s="265"/>
      <c r="M3381" s="269"/>
      <c r="N3381" s="270"/>
      <c r="O3381" s="271"/>
      <c r="P3381" s="271"/>
      <c r="Q3381" s="272"/>
      <c r="R3381" s="273"/>
      <c r="S3381" s="273"/>
      <c r="T3381" s="273"/>
      <c r="U3381" s="274"/>
      <c r="V3381" s="28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</row>
    <row r="3382">
      <c r="A3382" s="280"/>
      <c r="B3382" s="264"/>
      <c r="C3382" s="265"/>
      <c r="D3382" s="265"/>
      <c r="E3382" s="264"/>
      <c r="F3382" s="265"/>
      <c r="G3382" s="280"/>
      <c r="H3382" s="281"/>
      <c r="I3382" s="282"/>
      <c r="J3382" s="283"/>
      <c r="K3382" s="265"/>
      <c r="L3382" s="265"/>
      <c r="M3382" s="269"/>
      <c r="N3382" s="270"/>
      <c r="O3382" s="271"/>
      <c r="P3382" s="271"/>
      <c r="Q3382" s="272"/>
      <c r="R3382" s="273"/>
      <c r="S3382" s="273"/>
      <c r="T3382" s="273"/>
      <c r="U3382" s="274"/>
      <c r="V3382" s="284"/>
      <c r="W3382" s="35"/>
      <c r="X3382" s="35"/>
      <c r="Y3382" s="35"/>
      <c r="Z3382" s="35"/>
      <c r="AA3382" s="35"/>
      <c r="AB3382" s="35"/>
      <c r="AC3382" s="35"/>
      <c r="AD3382" s="35"/>
      <c r="AE3382" s="35"/>
      <c r="AF3382" s="35"/>
      <c r="AG3382" s="35"/>
      <c r="AH3382" s="35"/>
      <c r="AI3382" s="35"/>
    </row>
    <row r="3383">
      <c r="A3383" s="280"/>
      <c r="B3383" s="264"/>
      <c r="C3383" s="265"/>
      <c r="D3383" s="265"/>
      <c r="E3383" s="264"/>
      <c r="F3383" s="265"/>
      <c r="G3383" s="280"/>
      <c r="H3383" s="281"/>
      <c r="I3383" s="282"/>
      <c r="J3383" s="283"/>
      <c r="K3383" s="265"/>
      <c r="L3383" s="265"/>
      <c r="M3383" s="269"/>
      <c r="N3383" s="270"/>
      <c r="O3383" s="271"/>
      <c r="P3383" s="271"/>
      <c r="Q3383" s="272"/>
      <c r="R3383" s="273"/>
      <c r="S3383" s="273"/>
      <c r="T3383" s="273"/>
      <c r="U3383" s="274"/>
      <c r="V3383" s="28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</row>
    <row r="3384">
      <c r="A3384" s="280"/>
      <c r="B3384" s="264"/>
      <c r="C3384" s="265"/>
      <c r="D3384" s="265"/>
      <c r="E3384" s="264"/>
      <c r="F3384" s="265"/>
      <c r="G3384" s="280"/>
      <c r="H3384" s="281"/>
      <c r="I3384" s="282"/>
      <c r="J3384" s="283"/>
      <c r="K3384" s="265"/>
      <c r="L3384" s="265"/>
      <c r="M3384" s="269"/>
      <c r="N3384" s="270"/>
      <c r="O3384" s="271"/>
      <c r="P3384" s="271"/>
      <c r="Q3384" s="272"/>
      <c r="R3384" s="273"/>
      <c r="S3384" s="273"/>
      <c r="T3384" s="273"/>
      <c r="U3384" s="274"/>
      <c r="V3384" s="28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</row>
    <row r="3385">
      <c r="A3385" s="280"/>
      <c r="B3385" s="264"/>
      <c r="C3385" s="265"/>
      <c r="D3385" s="265"/>
      <c r="E3385" s="264"/>
      <c r="F3385" s="265"/>
      <c r="G3385" s="280"/>
      <c r="H3385" s="281"/>
      <c r="I3385" s="282"/>
      <c r="J3385" s="283"/>
      <c r="K3385" s="265"/>
      <c r="L3385" s="265"/>
      <c r="M3385" s="269"/>
      <c r="N3385" s="270"/>
      <c r="O3385" s="271"/>
      <c r="P3385" s="271"/>
      <c r="Q3385" s="272"/>
      <c r="R3385" s="273"/>
      <c r="S3385" s="273"/>
      <c r="T3385" s="273"/>
      <c r="U3385" s="274"/>
      <c r="V3385" s="28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</row>
    <row r="3386">
      <c r="A3386" s="280"/>
      <c r="B3386" s="264"/>
      <c r="C3386" s="265"/>
      <c r="D3386" s="265"/>
      <c r="E3386" s="264"/>
      <c r="F3386" s="265"/>
      <c r="G3386" s="280"/>
      <c r="H3386" s="281"/>
      <c r="I3386" s="282"/>
      <c r="J3386" s="283"/>
      <c r="K3386" s="265"/>
      <c r="L3386" s="265"/>
      <c r="M3386" s="269"/>
      <c r="N3386" s="270"/>
      <c r="O3386" s="271"/>
      <c r="P3386" s="271"/>
      <c r="Q3386" s="272"/>
      <c r="R3386" s="273"/>
      <c r="S3386" s="273"/>
      <c r="T3386" s="273"/>
      <c r="U3386" s="274"/>
      <c r="V3386" s="28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</row>
    <row r="3387">
      <c r="A3387" s="280"/>
      <c r="B3387" s="264"/>
      <c r="C3387" s="265"/>
      <c r="D3387" s="265"/>
      <c r="E3387" s="264"/>
      <c r="F3387" s="265"/>
      <c r="G3387" s="280"/>
      <c r="H3387" s="281"/>
      <c r="I3387" s="282"/>
      <c r="J3387" s="283"/>
      <c r="K3387" s="265"/>
      <c r="L3387" s="265"/>
      <c r="M3387" s="269"/>
      <c r="N3387" s="270"/>
      <c r="O3387" s="271"/>
      <c r="P3387" s="271"/>
      <c r="Q3387" s="272"/>
      <c r="R3387" s="273"/>
      <c r="S3387" s="273"/>
      <c r="T3387" s="273"/>
      <c r="U3387" s="274"/>
      <c r="V3387" s="284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</row>
    <row r="3388">
      <c r="A3388" s="280"/>
      <c r="B3388" s="264"/>
      <c r="C3388" s="265"/>
      <c r="D3388" s="265"/>
      <c r="E3388" s="264"/>
      <c r="F3388" s="265"/>
      <c r="G3388" s="305"/>
      <c r="H3388" s="313"/>
      <c r="I3388" s="282"/>
      <c r="J3388" s="283"/>
      <c r="K3388" s="265"/>
      <c r="L3388" s="265"/>
      <c r="M3388" s="269"/>
      <c r="N3388" s="270"/>
      <c r="O3388" s="271"/>
      <c r="P3388" s="271"/>
      <c r="Q3388" s="272"/>
      <c r="R3388" s="273"/>
      <c r="S3388" s="273"/>
      <c r="T3388" s="273"/>
      <c r="U3388" s="274"/>
      <c r="V3388" s="28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</row>
    <row r="3389">
      <c r="A3389" s="280"/>
      <c r="B3389" s="264"/>
      <c r="C3389" s="265"/>
      <c r="D3389" s="265"/>
      <c r="E3389" s="264"/>
      <c r="F3389" s="265"/>
      <c r="G3389" s="280"/>
      <c r="H3389" s="281"/>
      <c r="I3389" s="282"/>
      <c r="J3389" s="283"/>
      <c r="K3389" s="265"/>
      <c r="L3389" s="265"/>
      <c r="M3389" s="269"/>
      <c r="N3389" s="270"/>
      <c r="O3389" s="271"/>
      <c r="P3389" s="271"/>
      <c r="Q3389" s="272"/>
      <c r="R3389" s="273"/>
      <c r="S3389" s="273"/>
      <c r="T3389" s="273"/>
      <c r="U3389" s="274"/>
      <c r="V3389" s="284"/>
      <c r="W3389" s="35"/>
      <c r="X3389" s="35"/>
      <c r="Y3389" s="35"/>
      <c r="Z3389" s="35"/>
      <c r="AA3389" s="35"/>
      <c r="AB3389" s="35"/>
      <c r="AC3389" s="35"/>
      <c r="AD3389" s="35"/>
      <c r="AE3389" s="35"/>
      <c r="AF3389" s="35"/>
      <c r="AG3389" s="35"/>
      <c r="AH3389" s="35"/>
      <c r="AI3389" s="35"/>
    </row>
    <row r="3390">
      <c r="A3390" s="280"/>
      <c r="B3390" s="264"/>
      <c r="C3390" s="265"/>
      <c r="D3390" s="265"/>
      <c r="E3390" s="264"/>
      <c r="F3390" s="265"/>
      <c r="G3390" s="280"/>
      <c r="H3390" s="281"/>
      <c r="I3390" s="282"/>
      <c r="J3390" s="283"/>
      <c r="K3390" s="265"/>
      <c r="L3390" s="265"/>
      <c r="M3390" s="269"/>
      <c r="N3390" s="270"/>
      <c r="O3390" s="271"/>
      <c r="P3390" s="271"/>
      <c r="Q3390" s="272"/>
      <c r="R3390" s="273"/>
      <c r="S3390" s="273"/>
      <c r="T3390" s="273"/>
      <c r="U3390" s="274"/>
      <c r="V3390" s="28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</row>
    <row r="3391">
      <c r="A3391" s="280"/>
      <c r="B3391" s="264"/>
      <c r="C3391" s="265"/>
      <c r="D3391" s="265"/>
      <c r="E3391" s="264"/>
      <c r="F3391" s="265"/>
      <c r="G3391" s="280"/>
      <c r="H3391" s="281"/>
      <c r="I3391" s="282"/>
      <c r="J3391" s="283"/>
      <c r="K3391" s="265"/>
      <c r="L3391" s="265"/>
      <c r="M3391" s="269"/>
      <c r="N3391" s="270"/>
      <c r="O3391" s="271"/>
      <c r="P3391" s="271"/>
      <c r="Q3391" s="272"/>
      <c r="R3391" s="273"/>
      <c r="S3391" s="273"/>
      <c r="T3391" s="273"/>
      <c r="U3391" s="274"/>
      <c r="V3391" s="28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</row>
    <row r="3392">
      <c r="A3392" s="263"/>
      <c r="B3392" s="264"/>
      <c r="C3392" s="265"/>
      <c r="D3392" s="265"/>
      <c r="E3392" s="264"/>
      <c r="F3392" s="265"/>
      <c r="G3392" s="263"/>
      <c r="H3392" s="432"/>
      <c r="I3392" s="282"/>
      <c r="J3392" s="283"/>
      <c r="K3392" s="265"/>
      <c r="L3392" s="265"/>
      <c r="M3392" s="269"/>
      <c r="N3392" s="270"/>
      <c r="O3392" s="271"/>
      <c r="P3392" s="271"/>
      <c r="Q3392" s="272"/>
      <c r="R3392" s="273"/>
      <c r="S3392" s="273"/>
      <c r="T3392" s="273"/>
      <c r="U3392" s="274"/>
      <c r="V3392" s="263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</row>
    <row r="3393">
      <c r="A3393" s="263"/>
      <c r="B3393" s="264"/>
      <c r="C3393" s="265"/>
      <c r="D3393" s="265"/>
      <c r="E3393" s="264"/>
      <c r="F3393" s="265"/>
      <c r="G3393" s="263"/>
      <c r="H3393" s="432"/>
      <c r="I3393" s="282"/>
      <c r="J3393" s="283"/>
      <c r="K3393" s="265"/>
      <c r="L3393" s="265"/>
      <c r="M3393" s="269"/>
      <c r="N3393" s="270"/>
      <c r="O3393" s="271"/>
      <c r="P3393" s="271"/>
      <c r="Q3393" s="272"/>
      <c r="R3393" s="273"/>
      <c r="S3393" s="273"/>
      <c r="T3393" s="273"/>
      <c r="U3393" s="274"/>
      <c r="V3393" s="263"/>
      <c r="W3393" s="35"/>
      <c r="X3393" s="35"/>
      <c r="Y3393" s="35"/>
      <c r="Z3393" s="35"/>
      <c r="AA3393" s="35"/>
      <c r="AB3393" s="35"/>
      <c r="AC3393" s="35"/>
      <c r="AD3393" s="35"/>
      <c r="AE3393" s="35"/>
      <c r="AF3393" s="35"/>
      <c r="AG3393" s="35"/>
      <c r="AH3393" s="35"/>
      <c r="AI3393" s="35"/>
    </row>
    <row r="3394">
      <c r="A3394" s="263"/>
      <c r="B3394" s="264"/>
      <c r="C3394" s="265"/>
      <c r="D3394" s="265"/>
      <c r="E3394" s="264"/>
      <c r="F3394" s="265"/>
      <c r="G3394" s="263"/>
      <c r="H3394" s="432"/>
      <c r="I3394" s="282"/>
      <c r="J3394" s="283"/>
      <c r="K3394" s="265"/>
      <c r="L3394" s="265"/>
      <c r="M3394" s="269"/>
      <c r="N3394" s="270"/>
      <c r="O3394" s="271"/>
      <c r="P3394" s="271"/>
      <c r="Q3394" s="272"/>
      <c r="R3394" s="273"/>
      <c r="S3394" s="273"/>
      <c r="T3394" s="273"/>
      <c r="U3394" s="274"/>
      <c r="V3394" s="263"/>
      <c r="W3394" s="188"/>
      <c r="X3394" s="188"/>
      <c r="Y3394" s="188"/>
      <c r="Z3394" s="188"/>
      <c r="AA3394" s="188"/>
      <c r="AB3394" s="188"/>
      <c r="AC3394" s="188"/>
      <c r="AD3394" s="188"/>
      <c r="AE3394" s="188"/>
      <c r="AF3394" s="188"/>
      <c r="AG3394" s="188"/>
      <c r="AH3394" s="188"/>
      <c r="AI3394" s="188"/>
    </row>
    <row r="3395">
      <c r="A3395" s="263"/>
      <c r="B3395" s="264"/>
      <c r="C3395" s="265"/>
      <c r="D3395" s="265"/>
      <c r="E3395" s="264"/>
      <c r="F3395" s="265"/>
      <c r="G3395" s="263"/>
      <c r="H3395" s="432"/>
      <c r="I3395" s="282"/>
      <c r="J3395" s="283"/>
      <c r="K3395" s="265"/>
      <c r="L3395" s="265"/>
      <c r="M3395" s="269"/>
      <c r="N3395" s="270"/>
      <c r="O3395" s="271"/>
      <c r="P3395" s="271"/>
      <c r="Q3395" s="272"/>
      <c r="R3395" s="273"/>
      <c r="S3395" s="273"/>
      <c r="T3395" s="273"/>
      <c r="U3395" s="274"/>
      <c r="V3395" s="263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</row>
    <row r="3396">
      <c r="A3396" s="263"/>
      <c r="B3396" s="264"/>
      <c r="C3396" s="265"/>
      <c r="D3396" s="265"/>
      <c r="E3396" s="264"/>
      <c r="F3396" s="265"/>
      <c r="G3396" s="263"/>
      <c r="H3396" s="432"/>
      <c r="I3396" s="282"/>
      <c r="J3396" s="283"/>
      <c r="K3396" s="265"/>
      <c r="L3396" s="265"/>
      <c r="M3396" s="269"/>
      <c r="N3396" s="270"/>
      <c r="O3396" s="271"/>
      <c r="P3396" s="271"/>
      <c r="Q3396" s="272"/>
      <c r="R3396" s="273"/>
      <c r="S3396" s="273"/>
      <c r="T3396" s="273"/>
      <c r="U3396" s="274"/>
      <c r="V3396" s="263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</row>
    <row r="3397">
      <c r="A3397" s="263"/>
      <c r="B3397" s="264"/>
      <c r="C3397" s="265"/>
      <c r="D3397" s="265"/>
      <c r="E3397" s="264"/>
      <c r="F3397" s="265"/>
      <c r="G3397" s="263"/>
      <c r="H3397" s="432"/>
      <c r="I3397" s="282"/>
      <c r="J3397" s="283"/>
      <c r="K3397" s="265"/>
      <c r="L3397" s="265"/>
      <c r="M3397" s="269"/>
      <c r="N3397" s="270"/>
      <c r="O3397" s="271"/>
      <c r="P3397" s="271"/>
      <c r="Q3397" s="272"/>
      <c r="R3397" s="273"/>
      <c r="S3397" s="273"/>
      <c r="T3397" s="273"/>
      <c r="U3397" s="274"/>
      <c r="V3397" s="263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</row>
    <row r="3398">
      <c r="A3398" s="263"/>
      <c r="B3398" s="264"/>
      <c r="C3398" s="265"/>
      <c r="D3398" s="265"/>
      <c r="E3398" s="264"/>
      <c r="F3398" s="265"/>
      <c r="G3398" s="263"/>
      <c r="H3398" s="432"/>
      <c r="I3398" s="282"/>
      <c r="J3398" s="283"/>
      <c r="K3398" s="265"/>
      <c r="L3398" s="265"/>
      <c r="M3398" s="269"/>
      <c r="N3398" s="270"/>
      <c r="O3398" s="271"/>
      <c r="P3398" s="271"/>
      <c r="Q3398" s="272"/>
      <c r="R3398" s="273"/>
      <c r="S3398" s="273"/>
      <c r="T3398" s="273"/>
      <c r="U3398" s="274"/>
      <c r="V3398" s="263"/>
      <c r="W3398" s="35"/>
      <c r="X3398" s="35"/>
      <c r="Y3398" s="35"/>
      <c r="Z3398" s="35"/>
      <c r="AA3398" s="35"/>
      <c r="AB3398" s="35"/>
      <c r="AC3398" s="35"/>
      <c r="AD3398" s="35"/>
      <c r="AE3398" s="35"/>
      <c r="AF3398" s="35"/>
      <c r="AG3398" s="35"/>
      <c r="AH3398" s="35"/>
      <c r="AI3398" s="35"/>
    </row>
    <row r="3399">
      <c r="A3399" s="263"/>
      <c r="B3399" s="264"/>
      <c r="C3399" s="265"/>
      <c r="D3399" s="265"/>
      <c r="E3399" s="264"/>
      <c r="F3399" s="265"/>
      <c r="G3399" s="263"/>
      <c r="H3399" s="432"/>
      <c r="I3399" s="282"/>
      <c r="J3399" s="283"/>
      <c r="K3399" s="265"/>
      <c r="L3399" s="265"/>
      <c r="M3399" s="269"/>
      <c r="N3399" s="270"/>
      <c r="O3399" s="271"/>
      <c r="P3399" s="271"/>
      <c r="Q3399" s="272"/>
      <c r="R3399" s="273"/>
      <c r="S3399" s="273"/>
      <c r="T3399" s="273"/>
      <c r="U3399" s="274"/>
      <c r="V3399" s="263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</row>
    <row r="3400">
      <c r="A3400" s="263"/>
      <c r="B3400" s="264"/>
      <c r="C3400" s="265"/>
      <c r="D3400" s="265"/>
      <c r="E3400" s="264"/>
      <c r="F3400" s="265"/>
      <c r="G3400" s="263"/>
      <c r="H3400" s="432"/>
      <c r="I3400" s="282"/>
      <c r="J3400" s="283"/>
      <c r="K3400" s="265"/>
      <c r="L3400" s="265"/>
      <c r="M3400" s="269"/>
      <c r="N3400" s="270"/>
      <c r="O3400" s="271"/>
      <c r="P3400" s="271"/>
      <c r="Q3400" s="272"/>
      <c r="R3400" s="273"/>
      <c r="S3400" s="273"/>
      <c r="T3400" s="273"/>
      <c r="U3400" s="274"/>
      <c r="V3400" s="263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</row>
    <row r="3401">
      <c r="A3401" s="263"/>
      <c r="B3401" s="264"/>
      <c r="C3401" s="265"/>
      <c r="D3401" s="265"/>
      <c r="E3401" s="264"/>
      <c r="F3401" s="265"/>
      <c r="G3401" s="263"/>
      <c r="H3401" s="432"/>
      <c r="I3401" s="282"/>
      <c r="J3401" s="283"/>
      <c r="K3401" s="265"/>
      <c r="L3401" s="265"/>
      <c r="M3401" s="269"/>
      <c r="N3401" s="270"/>
      <c r="O3401" s="271"/>
      <c r="P3401" s="271"/>
      <c r="Q3401" s="272"/>
      <c r="R3401" s="273"/>
      <c r="S3401" s="273"/>
      <c r="T3401" s="273"/>
      <c r="U3401" s="274"/>
      <c r="V3401" s="263"/>
      <c r="W3401" s="188"/>
      <c r="X3401" s="188"/>
      <c r="Y3401" s="188"/>
      <c r="Z3401" s="188"/>
      <c r="AA3401" s="188"/>
      <c r="AB3401" s="188"/>
      <c r="AC3401" s="188"/>
      <c r="AD3401" s="188"/>
      <c r="AE3401" s="188"/>
      <c r="AF3401" s="188"/>
      <c r="AG3401" s="188"/>
      <c r="AH3401" s="188"/>
      <c r="AI3401" s="188"/>
    </row>
    <row r="3402">
      <c r="A3402" s="263"/>
      <c r="B3402" s="264"/>
      <c r="C3402" s="265"/>
      <c r="D3402" s="265"/>
      <c r="E3402" s="264"/>
      <c r="F3402" s="265"/>
      <c r="G3402" s="263"/>
      <c r="H3402" s="432"/>
      <c r="I3402" s="282"/>
      <c r="J3402" s="283"/>
      <c r="K3402" s="265"/>
      <c r="L3402" s="265"/>
      <c r="M3402" s="269"/>
      <c r="N3402" s="270"/>
      <c r="O3402" s="271"/>
      <c r="P3402" s="271"/>
      <c r="Q3402" s="272"/>
      <c r="R3402" s="273"/>
      <c r="S3402" s="273"/>
      <c r="T3402" s="273"/>
      <c r="U3402" s="274"/>
      <c r="V3402" s="263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</row>
    <row r="3403">
      <c r="A3403" s="263"/>
      <c r="B3403" s="264"/>
      <c r="C3403" s="265"/>
      <c r="D3403" s="265"/>
      <c r="E3403" s="264"/>
      <c r="F3403" s="265"/>
      <c r="G3403" s="263"/>
      <c r="H3403" s="432"/>
      <c r="I3403" s="282"/>
      <c r="J3403" s="283"/>
      <c r="K3403" s="265"/>
      <c r="L3403" s="265"/>
      <c r="M3403" s="269"/>
      <c r="N3403" s="270"/>
      <c r="O3403" s="271"/>
      <c r="P3403" s="271"/>
      <c r="Q3403" s="272"/>
      <c r="R3403" s="273"/>
      <c r="S3403" s="273"/>
      <c r="T3403" s="273"/>
      <c r="U3403" s="274"/>
      <c r="V3403" s="263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</row>
    <row r="3404">
      <c r="A3404" s="263"/>
      <c r="B3404" s="264"/>
      <c r="C3404" s="265"/>
      <c r="D3404" s="265"/>
      <c r="E3404" s="264"/>
      <c r="F3404" s="265"/>
      <c r="G3404" s="263"/>
      <c r="H3404" s="432"/>
      <c r="I3404" s="282"/>
      <c r="J3404" s="283"/>
      <c r="K3404" s="265"/>
      <c r="L3404" s="265"/>
      <c r="M3404" s="269"/>
      <c r="N3404" s="270"/>
      <c r="O3404" s="271"/>
      <c r="P3404" s="271"/>
      <c r="Q3404" s="272"/>
      <c r="R3404" s="273"/>
      <c r="S3404" s="273"/>
      <c r="T3404" s="273"/>
      <c r="U3404" s="274"/>
      <c r="V3404" s="263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</row>
    <row r="3405">
      <c r="A3405" s="263"/>
      <c r="B3405" s="264"/>
      <c r="C3405" s="265"/>
      <c r="D3405" s="265"/>
      <c r="E3405" s="264"/>
      <c r="F3405" s="265"/>
      <c r="G3405" s="263"/>
      <c r="H3405" s="432"/>
      <c r="I3405" s="282"/>
      <c r="J3405" s="283"/>
      <c r="K3405" s="265"/>
      <c r="L3405" s="265"/>
      <c r="M3405" s="269"/>
      <c r="N3405" s="270"/>
      <c r="O3405" s="271"/>
      <c r="P3405" s="271"/>
      <c r="Q3405" s="272"/>
      <c r="R3405" s="273"/>
      <c r="S3405" s="273"/>
      <c r="T3405" s="273"/>
      <c r="U3405" s="274"/>
      <c r="V3405" s="263"/>
      <c r="W3405" s="35"/>
      <c r="X3405" s="35"/>
      <c r="Y3405" s="35"/>
      <c r="Z3405" s="35"/>
      <c r="AA3405" s="35"/>
      <c r="AB3405" s="35"/>
      <c r="AC3405" s="35"/>
      <c r="AD3405" s="35"/>
      <c r="AE3405" s="35"/>
      <c r="AF3405" s="35"/>
      <c r="AG3405" s="35"/>
      <c r="AH3405" s="35"/>
      <c r="AI3405" s="35"/>
    </row>
    <row r="3406">
      <c r="A3406" s="263"/>
      <c r="B3406" s="264"/>
      <c r="C3406" s="265"/>
      <c r="D3406" s="265"/>
      <c r="E3406" s="264"/>
      <c r="F3406" s="265"/>
      <c r="G3406" s="263"/>
      <c r="H3406" s="432"/>
      <c r="I3406" s="282"/>
      <c r="J3406" s="283"/>
      <c r="K3406" s="265"/>
      <c r="L3406" s="265"/>
      <c r="M3406" s="269"/>
      <c r="N3406" s="270"/>
      <c r="O3406" s="271"/>
      <c r="P3406" s="271"/>
      <c r="Q3406" s="272"/>
      <c r="R3406" s="273"/>
      <c r="S3406" s="273"/>
      <c r="T3406" s="273"/>
      <c r="U3406" s="274"/>
      <c r="V3406" s="263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</row>
    <row r="3407">
      <c r="A3407" s="263"/>
      <c r="B3407" s="264"/>
      <c r="C3407" s="265"/>
      <c r="D3407" s="265"/>
      <c r="E3407" s="264"/>
      <c r="F3407" s="265"/>
      <c r="G3407" s="263"/>
      <c r="H3407" s="432"/>
      <c r="I3407" s="282"/>
      <c r="J3407" s="283"/>
      <c r="K3407" s="265"/>
      <c r="L3407" s="265"/>
      <c r="M3407" s="269"/>
      <c r="N3407" s="270"/>
      <c r="O3407" s="271"/>
      <c r="P3407" s="271"/>
      <c r="Q3407" s="272"/>
      <c r="R3407" s="273"/>
      <c r="S3407" s="273"/>
      <c r="T3407" s="273"/>
      <c r="U3407" s="274"/>
      <c r="V3407" s="263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</row>
    <row r="3408">
      <c r="A3408" s="263"/>
      <c r="B3408" s="264"/>
      <c r="C3408" s="265"/>
      <c r="D3408" s="265"/>
      <c r="E3408" s="264"/>
      <c r="F3408" s="265"/>
      <c r="G3408" s="263"/>
      <c r="H3408" s="432"/>
      <c r="I3408" s="282"/>
      <c r="J3408" s="283"/>
      <c r="K3408" s="265"/>
      <c r="L3408" s="265"/>
      <c r="M3408" s="269"/>
      <c r="N3408" s="270"/>
      <c r="O3408" s="271"/>
      <c r="P3408" s="271"/>
      <c r="Q3408" s="272"/>
      <c r="R3408" s="273"/>
      <c r="S3408" s="273"/>
      <c r="T3408" s="273"/>
      <c r="U3408" s="274"/>
      <c r="V3408" s="263"/>
      <c r="W3408" s="35"/>
      <c r="X3408" s="35"/>
      <c r="Y3408" s="35"/>
      <c r="Z3408" s="35"/>
      <c r="AA3408" s="35"/>
      <c r="AB3408" s="35"/>
      <c r="AC3408" s="35"/>
      <c r="AD3408" s="35"/>
      <c r="AE3408" s="35"/>
      <c r="AF3408" s="35"/>
      <c r="AG3408" s="35"/>
      <c r="AH3408" s="35"/>
      <c r="AI3408" s="35"/>
    </row>
    <row r="3409">
      <c r="A3409" s="263"/>
      <c r="B3409" s="264"/>
      <c r="C3409" s="265"/>
      <c r="D3409" s="265"/>
      <c r="E3409" s="264"/>
      <c r="F3409" s="265"/>
      <c r="G3409" s="263"/>
      <c r="H3409" s="432"/>
      <c r="I3409" s="282"/>
      <c r="J3409" s="283"/>
      <c r="K3409" s="265"/>
      <c r="L3409" s="265"/>
      <c r="M3409" s="269"/>
      <c r="N3409" s="270"/>
      <c r="O3409" s="271"/>
      <c r="P3409" s="271"/>
      <c r="Q3409" s="272"/>
      <c r="R3409" s="273"/>
      <c r="S3409" s="273"/>
      <c r="T3409" s="273"/>
      <c r="U3409" s="274"/>
      <c r="V3409" s="263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</row>
    <row r="3410">
      <c r="A3410" s="263"/>
      <c r="B3410" s="264"/>
      <c r="C3410" s="265"/>
      <c r="D3410" s="265"/>
      <c r="E3410" s="264"/>
      <c r="F3410" s="265"/>
      <c r="G3410" s="263"/>
      <c r="H3410" s="432"/>
      <c r="I3410" s="282"/>
      <c r="J3410" s="283"/>
      <c r="K3410" s="265"/>
      <c r="L3410" s="265"/>
      <c r="M3410" s="269"/>
      <c r="N3410" s="270"/>
      <c r="O3410" s="271"/>
      <c r="P3410" s="271"/>
      <c r="Q3410" s="272"/>
      <c r="R3410" s="273"/>
      <c r="S3410" s="273"/>
      <c r="T3410" s="273"/>
      <c r="U3410" s="274"/>
      <c r="V3410" s="263"/>
      <c r="W3410" s="36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</row>
    <row r="3411">
      <c r="A3411" s="263"/>
      <c r="B3411" s="264"/>
      <c r="C3411" s="265"/>
      <c r="D3411" s="265"/>
      <c r="E3411" s="264"/>
      <c r="F3411" s="265"/>
      <c r="G3411" s="263"/>
      <c r="H3411" s="432"/>
      <c r="I3411" s="282"/>
      <c r="J3411" s="283"/>
      <c r="K3411" s="265"/>
      <c r="L3411" s="265"/>
      <c r="M3411" s="269"/>
      <c r="N3411" s="270"/>
      <c r="O3411" s="271"/>
      <c r="P3411" s="271"/>
      <c r="Q3411" s="272"/>
      <c r="R3411" s="273"/>
      <c r="S3411" s="273"/>
      <c r="T3411" s="273"/>
      <c r="U3411" s="274"/>
      <c r="V3411" s="263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</row>
    <row r="3412">
      <c r="A3412" s="263"/>
      <c r="B3412" s="264"/>
      <c r="C3412" s="265"/>
      <c r="D3412" s="265"/>
      <c r="E3412" s="264"/>
      <c r="F3412" s="265"/>
      <c r="G3412" s="263"/>
      <c r="H3412" s="432"/>
      <c r="I3412" s="282"/>
      <c r="J3412" s="283"/>
      <c r="K3412" s="265"/>
      <c r="L3412" s="265"/>
      <c r="M3412" s="269"/>
      <c r="N3412" s="270"/>
      <c r="O3412" s="271"/>
      <c r="P3412" s="271"/>
      <c r="Q3412" s="272"/>
      <c r="R3412" s="273"/>
      <c r="S3412" s="273"/>
      <c r="T3412" s="273"/>
      <c r="U3412" s="274"/>
      <c r="V3412" s="263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</row>
    <row r="3413">
      <c r="A3413" s="263"/>
      <c r="B3413" s="264"/>
      <c r="C3413" s="265"/>
      <c r="D3413" s="265"/>
      <c r="E3413" s="264"/>
      <c r="F3413" s="265"/>
      <c r="G3413" s="263"/>
      <c r="H3413" s="432"/>
      <c r="I3413" s="282"/>
      <c r="J3413" s="283"/>
      <c r="K3413" s="265"/>
      <c r="L3413" s="265"/>
      <c r="M3413" s="269"/>
      <c r="N3413" s="270"/>
      <c r="O3413" s="271"/>
      <c r="P3413" s="271"/>
      <c r="Q3413" s="272"/>
      <c r="R3413" s="273"/>
      <c r="S3413" s="273"/>
      <c r="T3413" s="273"/>
      <c r="U3413" s="274"/>
      <c r="V3413" s="263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</row>
    <row r="3414">
      <c r="A3414" s="263"/>
      <c r="B3414" s="264"/>
      <c r="C3414" s="265"/>
      <c r="D3414" s="265"/>
      <c r="E3414" s="264"/>
      <c r="F3414" s="265"/>
      <c r="G3414" s="263"/>
      <c r="H3414" s="432"/>
      <c r="I3414" s="282"/>
      <c r="J3414" s="283"/>
      <c r="K3414" s="265"/>
      <c r="L3414" s="265"/>
      <c r="M3414" s="269"/>
      <c r="N3414" s="270"/>
      <c r="O3414" s="271"/>
      <c r="P3414" s="271"/>
      <c r="Q3414" s="272"/>
      <c r="R3414" s="273"/>
      <c r="S3414" s="273"/>
      <c r="T3414" s="273"/>
      <c r="U3414" s="274"/>
      <c r="V3414" s="263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</row>
    <row r="3415">
      <c r="A3415" s="263"/>
      <c r="B3415" s="264"/>
      <c r="C3415" s="265"/>
      <c r="D3415" s="265"/>
      <c r="E3415" s="264"/>
      <c r="F3415" s="265"/>
      <c r="G3415" s="263"/>
      <c r="H3415" s="432"/>
      <c r="I3415" s="282"/>
      <c r="J3415" s="283"/>
      <c r="K3415" s="265"/>
      <c r="L3415" s="265"/>
      <c r="M3415" s="269"/>
      <c r="N3415" s="270"/>
      <c r="O3415" s="271"/>
      <c r="P3415" s="271"/>
      <c r="Q3415" s="272"/>
      <c r="R3415" s="273"/>
      <c r="S3415" s="273"/>
      <c r="T3415" s="273"/>
      <c r="U3415" s="274"/>
      <c r="V3415" s="263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</row>
    <row r="3416">
      <c r="A3416" s="263"/>
      <c r="B3416" s="264"/>
      <c r="C3416" s="265"/>
      <c r="D3416" s="265"/>
      <c r="E3416" s="264"/>
      <c r="F3416" s="265"/>
      <c r="G3416" s="263"/>
      <c r="H3416" s="432"/>
      <c r="I3416" s="282"/>
      <c r="J3416" s="283"/>
      <c r="K3416" s="265"/>
      <c r="L3416" s="265"/>
      <c r="M3416" s="269"/>
      <c r="N3416" s="270"/>
      <c r="O3416" s="271"/>
      <c r="P3416" s="271"/>
      <c r="Q3416" s="272"/>
      <c r="R3416" s="273"/>
      <c r="S3416" s="273"/>
      <c r="T3416" s="273"/>
      <c r="U3416" s="274"/>
      <c r="V3416" s="263"/>
      <c r="W3416" s="35"/>
      <c r="X3416" s="35"/>
      <c r="Y3416" s="35"/>
      <c r="Z3416" s="35"/>
      <c r="AA3416" s="35"/>
      <c r="AB3416" s="35"/>
      <c r="AC3416" s="35"/>
      <c r="AD3416" s="35"/>
      <c r="AE3416" s="35"/>
      <c r="AF3416" s="35"/>
      <c r="AG3416" s="35"/>
      <c r="AH3416" s="35"/>
      <c r="AI3416" s="35"/>
    </row>
    <row r="3417">
      <c r="A3417" s="263"/>
      <c r="B3417" s="264"/>
      <c r="C3417" s="265"/>
      <c r="D3417" s="265"/>
      <c r="E3417" s="264"/>
      <c r="F3417" s="265"/>
      <c r="G3417" s="263"/>
      <c r="H3417" s="432"/>
      <c r="I3417" s="282"/>
      <c r="J3417" s="283"/>
      <c r="K3417" s="265"/>
      <c r="L3417" s="265"/>
      <c r="M3417" s="269"/>
      <c r="N3417" s="270"/>
      <c r="O3417" s="271"/>
      <c r="P3417" s="271"/>
      <c r="Q3417" s="272"/>
      <c r="R3417" s="273"/>
      <c r="S3417" s="273"/>
      <c r="T3417" s="273"/>
      <c r="U3417" s="274"/>
      <c r="V3417" s="263"/>
      <c r="W3417" s="188"/>
      <c r="X3417" s="188"/>
      <c r="Y3417" s="188"/>
      <c r="Z3417" s="188"/>
      <c r="AA3417" s="188"/>
      <c r="AB3417" s="188"/>
      <c r="AC3417" s="188"/>
      <c r="AD3417" s="188"/>
      <c r="AE3417" s="188"/>
      <c r="AF3417" s="188"/>
      <c r="AG3417" s="188"/>
      <c r="AH3417" s="188"/>
      <c r="AI3417" s="188"/>
    </row>
    <row r="3418">
      <c r="A3418" s="263"/>
      <c r="B3418" s="264"/>
      <c r="C3418" s="265"/>
      <c r="D3418" s="265"/>
      <c r="E3418" s="264"/>
      <c r="F3418" s="265"/>
      <c r="G3418" s="263"/>
      <c r="H3418" s="432"/>
      <c r="I3418" s="282"/>
      <c r="J3418" s="283"/>
      <c r="K3418" s="265"/>
      <c r="L3418" s="265"/>
      <c r="M3418" s="269"/>
      <c r="N3418" s="270"/>
      <c r="O3418" s="271"/>
      <c r="P3418" s="271"/>
      <c r="Q3418" s="272"/>
      <c r="R3418" s="273"/>
      <c r="S3418" s="273"/>
      <c r="T3418" s="273"/>
      <c r="U3418" s="274"/>
      <c r="V3418" s="263"/>
      <c r="W3418" s="35"/>
      <c r="X3418" s="35"/>
      <c r="Y3418" s="35"/>
      <c r="Z3418" s="35"/>
      <c r="AA3418" s="35"/>
      <c r="AB3418" s="35"/>
      <c r="AC3418" s="35"/>
      <c r="AD3418" s="35"/>
      <c r="AE3418" s="35"/>
      <c r="AF3418" s="35"/>
      <c r="AG3418" s="35"/>
      <c r="AH3418" s="35"/>
      <c r="AI3418" s="35"/>
    </row>
    <row r="3419">
      <c r="A3419" s="263"/>
      <c r="B3419" s="264"/>
      <c r="C3419" s="265"/>
      <c r="D3419" s="265"/>
      <c r="E3419" s="264"/>
      <c r="F3419" s="265"/>
      <c r="G3419" s="263"/>
      <c r="H3419" s="432"/>
      <c r="I3419" s="282"/>
      <c r="J3419" s="283"/>
      <c r="K3419" s="265"/>
      <c r="L3419" s="265"/>
      <c r="M3419" s="269"/>
      <c r="N3419" s="270"/>
      <c r="O3419" s="271"/>
      <c r="P3419" s="271"/>
      <c r="Q3419" s="272"/>
      <c r="R3419" s="273"/>
      <c r="S3419" s="273"/>
      <c r="T3419" s="273"/>
      <c r="U3419" s="274"/>
      <c r="V3419" s="263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</row>
    <row r="3420">
      <c r="A3420" s="263"/>
      <c r="B3420" s="264"/>
      <c r="C3420" s="265"/>
      <c r="D3420" s="265"/>
      <c r="E3420" s="264"/>
      <c r="F3420" s="265"/>
      <c r="G3420" s="263"/>
      <c r="H3420" s="432"/>
      <c r="I3420" s="282"/>
      <c r="J3420" s="283"/>
      <c r="K3420" s="265"/>
      <c r="L3420" s="265"/>
      <c r="M3420" s="269"/>
      <c r="N3420" s="270"/>
      <c r="O3420" s="271"/>
      <c r="P3420" s="271"/>
      <c r="Q3420" s="272"/>
      <c r="R3420" s="273"/>
      <c r="S3420" s="273"/>
      <c r="T3420" s="273"/>
      <c r="U3420" s="274"/>
      <c r="V3420" s="263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</row>
    <row r="3421">
      <c r="A3421" s="263"/>
      <c r="B3421" s="264"/>
      <c r="C3421" s="265"/>
      <c r="D3421" s="265"/>
      <c r="E3421" s="264"/>
      <c r="F3421" s="265"/>
      <c r="G3421" s="263"/>
      <c r="H3421" s="432"/>
      <c r="I3421" s="282"/>
      <c r="J3421" s="283"/>
      <c r="K3421" s="265"/>
      <c r="L3421" s="265"/>
      <c r="M3421" s="269"/>
      <c r="N3421" s="270"/>
      <c r="O3421" s="271"/>
      <c r="P3421" s="271"/>
      <c r="Q3421" s="272"/>
      <c r="R3421" s="273"/>
      <c r="S3421" s="273"/>
      <c r="T3421" s="273"/>
      <c r="U3421" s="274"/>
      <c r="V3421" s="263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</row>
    <row r="3422">
      <c r="A3422" s="263"/>
      <c r="B3422" s="264"/>
      <c r="C3422" s="265"/>
      <c r="D3422" s="265"/>
      <c r="E3422" s="264"/>
      <c r="F3422" s="265"/>
      <c r="G3422" s="263"/>
      <c r="H3422" s="432"/>
      <c r="I3422" s="282"/>
      <c r="J3422" s="283"/>
      <c r="K3422" s="265"/>
      <c r="L3422" s="265"/>
      <c r="M3422" s="269"/>
      <c r="N3422" s="270"/>
      <c r="O3422" s="271"/>
      <c r="P3422" s="271"/>
      <c r="Q3422" s="272"/>
      <c r="R3422" s="273"/>
      <c r="S3422" s="273"/>
      <c r="T3422" s="273"/>
      <c r="U3422" s="274"/>
      <c r="V3422" s="263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</row>
    <row r="3423">
      <c r="A3423" s="263"/>
      <c r="B3423" s="264"/>
      <c r="C3423" s="265"/>
      <c r="D3423" s="265"/>
      <c r="E3423" s="264"/>
      <c r="F3423" s="265"/>
      <c r="G3423" s="263"/>
      <c r="H3423" s="432"/>
      <c r="I3423" s="282"/>
      <c r="J3423" s="283"/>
      <c r="K3423" s="265"/>
      <c r="L3423" s="265"/>
      <c r="M3423" s="269"/>
      <c r="N3423" s="270"/>
      <c r="O3423" s="271"/>
      <c r="P3423" s="271"/>
      <c r="Q3423" s="272"/>
      <c r="R3423" s="273"/>
      <c r="S3423" s="273"/>
      <c r="T3423" s="273"/>
      <c r="U3423" s="274"/>
      <c r="V3423" s="263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</row>
    <row r="3424">
      <c r="A3424" s="263"/>
      <c r="B3424" s="264"/>
      <c r="C3424" s="265"/>
      <c r="D3424" s="265"/>
      <c r="E3424" s="264"/>
      <c r="F3424" s="265"/>
      <c r="G3424" s="263"/>
      <c r="H3424" s="432"/>
      <c r="I3424" s="282"/>
      <c r="J3424" s="283"/>
      <c r="K3424" s="265"/>
      <c r="L3424" s="265"/>
      <c r="M3424" s="269"/>
      <c r="N3424" s="270"/>
      <c r="O3424" s="271"/>
      <c r="P3424" s="271"/>
      <c r="Q3424" s="272"/>
      <c r="R3424" s="273"/>
      <c r="S3424" s="273"/>
      <c r="T3424" s="273"/>
      <c r="U3424" s="274"/>
      <c r="V3424" s="263"/>
      <c r="W3424" s="188"/>
      <c r="X3424" s="188"/>
      <c r="Y3424" s="188"/>
      <c r="Z3424" s="188"/>
      <c r="AA3424" s="188"/>
      <c r="AB3424" s="188"/>
      <c r="AC3424" s="188"/>
      <c r="AD3424" s="188"/>
      <c r="AE3424" s="188"/>
      <c r="AF3424" s="188"/>
      <c r="AG3424" s="188"/>
      <c r="AH3424" s="188"/>
      <c r="AI3424" s="188"/>
    </row>
    <row r="3425">
      <c r="A3425" s="263"/>
      <c r="B3425" s="264"/>
      <c r="C3425" s="265"/>
      <c r="D3425" s="265"/>
      <c r="E3425" s="264"/>
      <c r="F3425" s="265"/>
      <c r="G3425" s="263"/>
      <c r="H3425" s="432"/>
      <c r="I3425" s="282"/>
      <c r="J3425" s="283"/>
      <c r="K3425" s="265"/>
      <c r="L3425" s="265"/>
      <c r="M3425" s="269"/>
      <c r="N3425" s="270"/>
      <c r="O3425" s="271"/>
      <c r="P3425" s="271"/>
      <c r="Q3425" s="272"/>
      <c r="R3425" s="273"/>
      <c r="S3425" s="273"/>
      <c r="T3425" s="273"/>
      <c r="U3425" s="274"/>
      <c r="V3425" s="263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</row>
    <row r="3426">
      <c r="A3426" s="263"/>
      <c r="B3426" s="264"/>
      <c r="C3426" s="265"/>
      <c r="D3426" s="265"/>
      <c r="E3426" s="264"/>
      <c r="F3426" s="265"/>
      <c r="G3426" s="263"/>
      <c r="H3426" s="432"/>
      <c r="I3426" s="282"/>
      <c r="J3426" s="283"/>
      <c r="K3426" s="265"/>
      <c r="L3426" s="265"/>
      <c r="M3426" s="269"/>
      <c r="N3426" s="270"/>
      <c r="O3426" s="271"/>
      <c r="P3426" s="271"/>
      <c r="Q3426" s="272"/>
      <c r="R3426" s="273"/>
      <c r="S3426" s="273"/>
      <c r="T3426" s="273"/>
      <c r="U3426" s="274"/>
      <c r="V3426" s="263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</row>
    <row r="3427">
      <c r="A3427" s="263"/>
      <c r="B3427" s="264"/>
      <c r="C3427" s="265"/>
      <c r="D3427" s="265"/>
      <c r="E3427" s="264"/>
      <c r="F3427" s="265"/>
      <c r="G3427" s="263"/>
      <c r="H3427" s="432"/>
      <c r="I3427" s="282"/>
      <c r="J3427" s="283"/>
      <c r="K3427" s="265"/>
      <c r="L3427" s="265"/>
      <c r="M3427" s="269"/>
      <c r="N3427" s="270"/>
      <c r="O3427" s="271"/>
      <c r="P3427" s="271"/>
      <c r="Q3427" s="272"/>
      <c r="R3427" s="273"/>
      <c r="S3427" s="273"/>
      <c r="T3427" s="273"/>
      <c r="U3427" s="274"/>
      <c r="V3427" s="263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</row>
    <row r="3428">
      <c r="A3428" s="263"/>
      <c r="B3428" s="264"/>
      <c r="C3428" s="265"/>
      <c r="D3428" s="265"/>
      <c r="E3428" s="264"/>
      <c r="F3428" s="265"/>
      <c r="G3428" s="263"/>
      <c r="H3428" s="432"/>
      <c r="I3428" s="282"/>
      <c r="J3428" s="283"/>
      <c r="K3428" s="265"/>
      <c r="L3428" s="265"/>
      <c r="M3428" s="269"/>
      <c r="N3428" s="270"/>
      <c r="O3428" s="271"/>
      <c r="P3428" s="271"/>
      <c r="Q3428" s="272"/>
      <c r="R3428" s="273"/>
      <c r="S3428" s="273"/>
      <c r="T3428" s="273"/>
      <c r="U3428" s="274"/>
      <c r="V3428" s="263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</row>
    <row r="3429">
      <c r="A3429" s="263"/>
      <c r="B3429" s="264"/>
      <c r="C3429" s="265"/>
      <c r="D3429" s="265"/>
      <c r="E3429" s="264"/>
      <c r="F3429" s="265"/>
      <c r="G3429" s="263"/>
      <c r="H3429" s="432"/>
      <c r="I3429" s="282"/>
      <c r="J3429" s="283"/>
      <c r="K3429" s="265"/>
      <c r="L3429" s="265"/>
      <c r="M3429" s="269"/>
      <c r="N3429" s="270"/>
      <c r="O3429" s="271"/>
      <c r="P3429" s="271"/>
      <c r="Q3429" s="272"/>
      <c r="R3429" s="273"/>
      <c r="S3429" s="273"/>
      <c r="T3429" s="273"/>
      <c r="U3429" s="274"/>
      <c r="V3429" s="263"/>
      <c r="W3429" s="35"/>
      <c r="X3429" s="35"/>
      <c r="Y3429" s="35"/>
      <c r="Z3429" s="35"/>
      <c r="AA3429" s="35"/>
      <c r="AB3429" s="35"/>
      <c r="AC3429" s="35"/>
      <c r="AD3429" s="35"/>
      <c r="AE3429" s="35"/>
      <c r="AF3429" s="35"/>
      <c r="AG3429" s="35"/>
      <c r="AH3429" s="35"/>
      <c r="AI3429" s="35"/>
    </row>
    <row r="3430">
      <c r="A3430" s="263"/>
      <c r="B3430" s="264"/>
      <c r="C3430" s="265"/>
      <c r="D3430" s="265"/>
      <c r="E3430" s="264"/>
      <c r="F3430" s="265"/>
      <c r="G3430" s="263"/>
      <c r="H3430" s="432"/>
      <c r="I3430" s="282"/>
      <c r="J3430" s="283"/>
      <c r="K3430" s="265"/>
      <c r="L3430" s="265"/>
      <c r="M3430" s="269"/>
      <c r="N3430" s="270"/>
      <c r="O3430" s="271"/>
      <c r="P3430" s="271"/>
      <c r="Q3430" s="272"/>
      <c r="R3430" s="273"/>
      <c r="S3430" s="273"/>
      <c r="T3430" s="273"/>
      <c r="U3430" s="274"/>
      <c r="V3430" s="263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</row>
    <row r="3431">
      <c r="A3431" s="263"/>
      <c r="B3431" s="264"/>
      <c r="C3431" s="265"/>
      <c r="D3431" s="265"/>
      <c r="E3431" s="264"/>
      <c r="F3431" s="265"/>
      <c r="G3431" s="263"/>
      <c r="H3431" s="432"/>
      <c r="I3431" s="282"/>
      <c r="J3431" s="283"/>
      <c r="K3431" s="265"/>
      <c r="L3431" s="265"/>
      <c r="M3431" s="269"/>
      <c r="N3431" s="270"/>
      <c r="O3431" s="271"/>
      <c r="P3431" s="271"/>
      <c r="Q3431" s="272"/>
      <c r="R3431" s="273"/>
      <c r="S3431" s="273"/>
      <c r="T3431" s="273"/>
      <c r="U3431" s="274"/>
      <c r="V3431" s="263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</row>
    <row r="3432">
      <c r="A3432" s="263"/>
      <c r="B3432" s="264"/>
      <c r="C3432" s="265"/>
      <c r="D3432" s="265"/>
      <c r="E3432" s="264"/>
      <c r="F3432" s="265"/>
      <c r="G3432" s="263"/>
      <c r="H3432" s="432"/>
      <c r="I3432" s="282"/>
      <c r="J3432" s="283"/>
      <c r="K3432" s="265"/>
      <c r="L3432" s="265"/>
      <c r="M3432" s="269"/>
      <c r="N3432" s="270"/>
      <c r="O3432" s="271"/>
      <c r="P3432" s="271"/>
      <c r="Q3432" s="272"/>
      <c r="R3432" s="273"/>
      <c r="S3432" s="273"/>
      <c r="T3432" s="273"/>
      <c r="U3432" s="274"/>
      <c r="V3432" s="263"/>
      <c r="W3432" s="188"/>
      <c r="X3432" s="188"/>
      <c r="Y3432" s="188"/>
      <c r="Z3432" s="188"/>
      <c r="AA3432" s="188"/>
      <c r="AB3432" s="188"/>
      <c r="AC3432" s="188"/>
      <c r="AD3432" s="188"/>
      <c r="AE3432" s="188"/>
      <c r="AF3432" s="188"/>
      <c r="AG3432" s="188"/>
      <c r="AH3432" s="188"/>
      <c r="AI3432" s="188"/>
    </row>
    <row r="3433">
      <c r="A3433" s="263"/>
      <c r="B3433" s="264"/>
      <c r="C3433" s="265"/>
      <c r="D3433" s="265"/>
      <c r="E3433" s="264"/>
      <c r="F3433" s="265"/>
      <c r="G3433" s="263"/>
      <c r="H3433" s="432"/>
      <c r="I3433" s="282"/>
      <c r="J3433" s="283"/>
      <c r="K3433" s="265"/>
      <c r="L3433" s="265"/>
      <c r="M3433" s="269"/>
      <c r="N3433" s="270"/>
      <c r="O3433" s="271"/>
      <c r="P3433" s="271"/>
      <c r="Q3433" s="272"/>
      <c r="R3433" s="273"/>
      <c r="S3433" s="273"/>
      <c r="T3433" s="260"/>
      <c r="U3433" s="261"/>
      <c r="V3433" s="251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</row>
    <row r="3434">
      <c r="A3434" s="263"/>
      <c r="B3434" s="264"/>
      <c r="C3434" s="265"/>
      <c r="D3434" s="265"/>
      <c r="E3434" s="264"/>
      <c r="F3434" s="265"/>
      <c r="G3434" s="263"/>
      <c r="H3434" s="432"/>
      <c r="I3434" s="282"/>
      <c r="J3434" s="283"/>
      <c r="K3434" s="265"/>
      <c r="L3434" s="265"/>
      <c r="M3434" s="269"/>
      <c r="N3434" s="270"/>
      <c r="O3434" s="271"/>
      <c r="P3434" s="271"/>
      <c r="Q3434" s="272"/>
      <c r="R3434" s="273"/>
      <c r="S3434" s="273"/>
      <c r="T3434" s="273"/>
      <c r="U3434" s="274"/>
      <c r="V3434" s="263"/>
      <c r="W3434" s="35"/>
      <c r="X3434" s="35"/>
      <c r="Y3434" s="35"/>
      <c r="Z3434" s="35"/>
      <c r="AA3434" s="35"/>
      <c r="AB3434" s="35"/>
      <c r="AC3434" s="35"/>
      <c r="AD3434" s="35"/>
      <c r="AE3434" s="35"/>
      <c r="AF3434" s="35"/>
      <c r="AG3434" s="35"/>
      <c r="AH3434" s="35"/>
      <c r="AI3434" s="35"/>
    </row>
    <row r="3435">
      <c r="A3435" s="263"/>
      <c r="B3435" s="264"/>
      <c r="C3435" s="265"/>
      <c r="D3435" s="265"/>
      <c r="E3435" s="264"/>
      <c r="F3435" s="265"/>
      <c r="G3435" s="263"/>
      <c r="H3435" s="432"/>
      <c r="I3435" s="282"/>
      <c r="J3435" s="283"/>
      <c r="K3435" s="265"/>
      <c r="L3435" s="265"/>
      <c r="M3435" s="269"/>
      <c r="N3435" s="270"/>
      <c r="O3435" s="271"/>
      <c r="P3435" s="271"/>
      <c r="Q3435" s="272"/>
      <c r="R3435" s="273"/>
      <c r="S3435" s="273"/>
      <c r="T3435" s="273"/>
      <c r="U3435" s="274"/>
      <c r="V3435" s="263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</row>
    <row r="3436">
      <c r="A3436" s="263"/>
      <c r="B3436" s="264"/>
      <c r="C3436" s="265"/>
      <c r="D3436" s="265"/>
      <c r="E3436" s="264"/>
      <c r="F3436" s="265"/>
      <c r="G3436" s="263"/>
      <c r="H3436" s="432"/>
      <c r="I3436" s="282"/>
      <c r="J3436" s="283"/>
      <c r="K3436" s="265"/>
      <c r="L3436" s="265"/>
      <c r="M3436" s="269"/>
      <c r="N3436" s="270"/>
      <c r="O3436" s="271"/>
      <c r="P3436" s="271"/>
      <c r="Q3436" s="272"/>
      <c r="R3436" s="273"/>
      <c r="S3436" s="273"/>
      <c r="T3436" s="273"/>
      <c r="U3436" s="274"/>
      <c r="V3436" s="263"/>
      <c r="W3436" s="188"/>
      <c r="X3436" s="188"/>
      <c r="Y3436" s="188"/>
      <c r="Z3436" s="188"/>
      <c r="AA3436" s="188"/>
      <c r="AB3436" s="188"/>
      <c r="AC3436" s="188"/>
      <c r="AD3436" s="188"/>
      <c r="AE3436" s="188"/>
      <c r="AF3436" s="188"/>
      <c r="AG3436" s="188"/>
      <c r="AH3436" s="188"/>
      <c r="AI3436" s="188"/>
    </row>
    <row r="3437">
      <c r="A3437" s="263"/>
      <c r="B3437" s="264"/>
      <c r="C3437" s="265"/>
      <c r="D3437" s="265"/>
      <c r="E3437" s="264"/>
      <c r="F3437" s="265"/>
      <c r="G3437" s="263"/>
      <c r="H3437" s="432"/>
      <c r="I3437" s="282"/>
      <c r="J3437" s="283"/>
      <c r="K3437" s="265"/>
      <c r="L3437" s="265"/>
      <c r="M3437" s="269"/>
      <c r="N3437" s="270"/>
      <c r="O3437" s="271"/>
      <c r="P3437" s="271"/>
      <c r="Q3437" s="272"/>
      <c r="R3437" s="273"/>
      <c r="S3437" s="273"/>
      <c r="T3437" s="273"/>
      <c r="U3437" s="274"/>
      <c r="V3437" s="263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</row>
    <row r="3438">
      <c r="A3438" s="263"/>
      <c r="B3438" s="264"/>
      <c r="C3438" s="265"/>
      <c r="D3438" s="265"/>
      <c r="E3438" s="264"/>
      <c r="F3438" s="265"/>
      <c r="G3438" s="263"/>
      <c r="H3438" s="432"/>
      <c r="I3438" s="282"/>
      <c r="J3438" s="283"/>
      <c r="K3438" s="265"/>
      <c r="L3438" s="265"/>
      <c r="M3438" s="269"/>
      <c r="N3438" s="270"/>
      <c r="O3438" s="271"/>
      <c r="P3438" s="271"/>
      <c r="Q3438" s="272"/>
      <c r="R3438" s="273"/>
      <c r="S3438" s="273"/>
      <c r="T3438" s="273"/>
      <c r="U3438" s="274"/>
      <c r="V3438" s="263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</row>
    <row r="3439">
      <c r="A3439" s="263"/>
      <c r="B3439" s="264"/>
      <c r="C3439" s="265"/>
      <c r="D3439" s="265"/>
      <c r="E3439" s="264"/>
      <c r="F3439" s="265"/>
      <c r="G3439" s="263"/>
      <c r="H3439" s="432"/>
      <c r="I3439" s="282"/>
      <c r="J3439" s="283"/>
      <c r="K3439" s="265"/>
      <c r="L3439" s="265"/>
      <c r="M3439" s="269"/>
      <c r="N3439" s="270"/>
      <c r="O3439" s="271"/>
      <c r="P3439" s="271"/>
      <c r="Q3439" s="272"/>
      <c r="R3439" s="273"/>
      <c r="S3439" s="273"/>
      <c r="T3439" s="273"/>
      <c r="U3439" s="274"/>
      <c r="V3439" s="263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</row>
    <row r="3440">
      <c r="A3440" s="263"/>
      <c r="B3440" s="264"/>
      <c r="C3440" s="265"/>
      <c r="D3440" s="265"/>
      <c r="E3440" s="264"/>
      <c r="F3440" s="265"/>
      <c r="G3440" s="263"/>
      <c r="H3440" s="432"/>
      <c r="I3440" s="282"/>
      <c r="J3440" s="283"/>
      <c r="K3440" s="265"/>
      <c r="L3440" s="265"/>
      <c r="M3440" s="269"/>
      <c r="N3440" s="270"/>
      <c r="O3440" s="271"/>
      <c r="P3440" s="271"/>
      <c r="Q3440" s="272"/>
      <c r="R3440" s="273"/>
      <c r="S3440" s="273"/>
      <c r="T3440" s="273"/>
      <c r="U3440" s="274"/>
      <c r="V3440" s="263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</row>
    <row r="3441">
      <c r="A3441" s="263"/>
      <c r="B3441" s="264"/>
      <c r="C3441" s="265"/>
      <c r="D3441" s="265"/>
      <c r="E3441" s="264"/>
      <c r="F3441" s="265"/>
      <c r="G3441" s="263"/>
      <c r="H3441" s="432"/>
      <c r="I3441" s="282"/>
      <c r="J3441" s="283"/>
      <c r="K3441" s="265"/>
      <c r="L3441" s="265"/>
      <c r="M3441" s="269"/>
      <c r="N3441" s="270"/>
      <c r="O3441" s="271"/>
      <c r="P3441" s="271"/>
      <c r="Q3441" s="272"/>
      <c r="R3441" s="273"/>
      <c r="S3441" s="273"/>
      <c r="T3441" s="273"/>
      <c r="U3441" s="274"/>
      <c r="V3441" s="263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</row>
    <row r="3442">
      <c r="A3442" s="263"/>
      <c r="B3442" s="264"/>
      <c r="C3442" s="265"/>
      <c r="D3442" s="265"/>
      <c r="E3442" s="264"/>
      <c r="F3442" s="265"/>
      <c r="G3442" s="263"/>
      <c r="H3442" s="432"/>
      <c r="I3442" s="282"/>
      <c r="J3442" s="283"/>
      <c r="K3442" s="265"/>
      <c r="L3442" s="265"/>
      <c r="M3442" s="269"/>
      <c r="N3442" s="270"/>
      <c r="O3442" s="271"/>
      <c r="P3442" s="271"/>
      <c r="Q3442" s="272"/>
      <c r="R3442" s="273"/>
      <c r="S3442" s="273"/>
      <c r="T3442" s="273"/>
      <c r="U3442" s="274"/>
      <c r="V3442" s="263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</row>
    <row r="3443">
      <c r="A3443" s="263"/>
      <c r="B3443" s="264"/>
      <c r="C3443" s="265"/>
      <c r="D3443" s="265"/>
      <c r="E3443" s="264"/>
      <c r="F3443" s="265"/>
      <c r="G3443" s="263"/>
      <c r="H3443" s="432"/>
      <c r="I3443" s="282"/>
      <c r="J3443" s="283"/>
      <c r="K3443" s="265"/>
      <c r="L3443" s="265"/>
      <c r="M3443" s="269"/>
      <c r="N3443" s="270"/>
      <c r="O3443" s="271"/>
      <c r="P3443" s="271"/>
      <c r="Q3443" s="272"/>
      <c r="R3443" s="273"/>
      <c r="S3443" s="273"/>
      <c r="T3443" s="273"/>
      <c r="U3443" s="274"/>
      <c r="V3443" s="263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</row>
    <row r="3444">
      <c r="A3444" s="263"/>
      <c r="B3444" s="264"/>
      <c r="C3444" s="265"/>
      <c r="D3444" s="265"/>
      <c r="E3444" s="264"/>
      <c r="F3444" s="265"/>
      <c r="G3444" s="263"/>
      <c r="H3444" s="432"/>
      <c r="I3444" s="282"/>
      <c r="J3444" s="283"/>
      <c r="K3444" s="265"/>
      <c r="L3444" s="265"/>
      <c r="M3444" s="269"/>
      <c r="N3444" s="270"/>
      <c r="O3444" s="271"/>
      <c r="P3444" s="271"/>
      <c r="Q3444" s="272"/>
      <c r="R3444" s="273"/>
      <c r="S3444" s="273"/>
      <c r="T3444" s="273"/>
      <c r="U3444" s="274"/>
      <c r="V3444" s="263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</row>
    <row r="3445">
      <c r="A3445" s="263"/>
      <c r="B3445" s="264"/>
      <c r="C3445" s="265"/>
      <c r="D3445" s="265"/>
      <c r="E3445" s="264"/>
      <c r="F3445" s="265"/>
      <c r="G3445" s="263"/>
      <c r="H3445" s="432"/>
      <c r="I3445" s="282"/>
      <c r="J3445" s="283"/>
      <c r="K3445" s="265"/>
      <c r="L3445" s="265"/>
      <c r="M3445" s="269"/>
      <c r="N3445" s="270"/>
      <c r="O3445" s="271"/>
      <c r="P3445" s="271"/>
      <c r="Q3445" s="272"/>
      <c r="R3445" s="273"/>
      <c r="S3445" s="273"/>
      <c r="T3445" s="273"/>
      <c r="U3445" s="274"/>
      <c r="V3445" s="263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</row>
    <row r="3446">
      <c r="A3446" s="263"/>
      <c r="B3446" s="264"/>
      <c r="C3446" s="265"/>
      <c r="D3446" s="265"/>
      <c r="E3446" s="264"/>
      <c r="F3446" s="265"/>
      <c r="G3446" s="263"/>
      <c r="H3446" s="432"/>
      <c r="I3446" s="282"/>
      <c r="J3446" s="283"/>
      <c r="K3446" s="265"/>
      <c r="L3446" s="265"/>
      <c r="M3446" s="269"/>
      <c r="N3446" s="270"/>
      <c r="O3446" s="271"/>
      <c r="P3446" s="271"/>
      <c r="Q3446" s="272"/>
      <c r="R3446" s="273"/>
      <c r="S3446" s="273"/>
      <c r="T3446" s="273"/>
      <c r="U3446" s="274"/>
      <c r="V3446" s="263"/>
      <c r="W3446" s="188"/>
      <c r="X3446" s="188"/>
      <c r="Y3446" s="188"/>
      <c r="Z3446" s="188"/>
      <c r="AA3446" s="188"/>
      <c r="AB3446" s="188"/>
      <c r="AC3446" s="188"/>
      <c r="AD3446" s="188"/>
      <c r="AE3446" s="188"/>
      <c r="AF3446" s="188"/>
      <c r="AG3446" s="188"/>
      <c r="AH3446" s="188"/>
      <c r="AI3446" s="188"/>
    </row>
    <row r="3447">
      <c r="A3447" s="263"/>
      <c r="B3447" s="264"/>
      <c r="C3447" s="265"/>
      <c r="D3447" s="265"/>
      <c r="E3447" s="264"/>
      <c r="F3447" s="265"/>
      <c r="G3447" s="263"/>
      <c r="H3447" s="432"/>
      <c r="I3447" s="282"/>
      <c r="J3447" s="283"/>
      <c r="K3447" s="265"/>
      <c r="L3447" s="265"/>
      <c r="M3447" s="269"/>
      <c r="N3447" s="270"/>
      <c r="O3447" s="271"/>
      <c r="P3447" s="271"/>
      <c r="Q3447" s="272"/>
      <c r="R3447" s="273"/>
      <c r="S3447" s="273"/>
      <c r="T3447" s="273"/>
      <c r="U3447" s="274"/>
      <c r="V3447" s="263"/>
      <c r="W3447" s="35"/>
      <c r="X3447" s="35"/>
      <c r="Y3447" s="35"/>
      <c r="Z3447" s="35"/>
      <c r="AA3447" s="35"/>
      <c r="AB3447" s="35"/>
      <c r="AC3447" s="35"/>
      <c r="AD3447" s="35"/>
      <c r="AE3447" s="35"/>
      <c r="AF3447" s="35"/>
      <c r="AG3447" s="35"/>
      <c r="AH3447" s="35"/>
      <c r="AI3447" s="35"/>
    </row>
    <row r="3448">
      <c r="A3448" s="263"/>
      <c r="B3448" s="264"/>
      <c r="C3448" s="265"/>
      <c r="D3448" s="265"/>
      <c r="E3448" s="264"/>
      <c r="F3448" s="265"/>
      <c r="G3448" s="263"/>
      <c r="H3448" s="432"/>
      <c r="I3448" s="282"/>
      <c r="J3448" s="283"/>
      <c r="K3448" s="265"/>
      <c r="L3448" s="265"/>
      <c r="M3448" s="269"/>
      <c r="N3448" s="270"/>
      <c r="O3448" s="271"/>
      <c r="P3448" s="271"/>
      <c r="Q3448" s="272"/>
      <c r="R3448" s="273"/>
      <c r="S3448" s="273"/>
      <c r="T3448" s="273"/>
      <c r="U3448" s="274"/>
      <c r="V3448" s="263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</row>
    <row r="3449">
      <c r="A3449" s="263"/>
      <c r="B3449" s="264"/>
      <c r="C3449" s="265"/>
      <c r="D3449" s="265"/>
      <c r="E3449" s="264"/>
      <c r="F3449" s="265"/>
      <c r="G3449" s="263"/>
      <c r="H3449" s="432"/>
      <c r="I3449" s="282"/>
      <c r="J3449" s="283"/>
      <c r="K3449" s="265"/>
      <c r="L3449" s="265"/>
      <c r="M3449" s="269"/>
      <c r="N3449" s="270"/>
      <c r="O3449" s="271"/>
      <c r="P3449" s="271"/>
      <c r="Q3449" s="272"/>
      <c r="R3449" s="273"/>
      <c r="S3449" s="273"/>
      <c r="T3449" s="273"/>
      <c r="U3449" s="274"/>
      <c r="V3449" s="263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</row>
    <row r="3450">
      <c r="A3450" s="263"/>
      <c r="B3450" s="264"/>
      <c r="C3450" s="265"/>
      <c r="D3450" s="265"/>
      <c r="E3450" s="264"/>
      <c r="F3450" s="265"/>
      <c r="G3450" s="263"/>
      <c r="H3450" s="432"/>
      <c r="I3450" s="282"/>
      <c r="J3450" s="283"/>
      <c r="K3450" s="265"/>
      <c r="L3450" s="265"/>
      <c r="M3450" s="269"/>
      <c r="N3450" s="270"/>
      <c r="O3450" s="271"/>
      <c r="P3450" s="271"/>
      <c r="Q3450" s="272"/>
      <c r="R3450" s="273"/>
      <c r="S3450" s="273"/>
      <c r="T3450" s="273"/>
      <c r="U3450" s="274"/>
      <c r="V3450" s="263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</row>
    <row r="3451">
      <c r="A3451" s="263"/>
      <c r="B3451" s="264"/>
      <c r="C3451" s="265"/>
      <c r="D3451" s="265"/>
      <c r="E3451" s="264"/>
      <c r="F3451" s="265"/>
      <c r="G3451" s="263"/>
      <c r="H3451" s="432"/>
      <c r="I3451" s="282"/>
      <c r="J3451" s="283"/>
      <c r="K3451" s="265"/>
      <c r="L3451" s="265"/>
      <c r="M3451" s="269"/>
      <c r="N3451" s="270"/>
      <c r="O3451" s="271"/>
      <c r="P3451" s="271"/>
      <c r="Q3451" s="272"/>
      <c r="R3451" s="273"/>
      <c r="S3451" s="273"/>
      <c r="T3451" s="273"/>
      <c r="U3451" s="274"/>
      <c r="V3451" s="263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</row>
    <row r="3452">
      <c r="A3452" s="263"/>
      <c r="B3452" s="264"/>
      <c r="C3452" s="265"/>
      <c r="D3452" s="265"/>
      <c r="E3452" s="264"/>
      <c r="F3452" s="265"/>
      <c r="G3452" s="263"/>
      <c r="H3452" s="432"/>
      <c r="I3452" s="282"/>
      <c r="J3452" s="283"/>
      <c r="K3452" s="265"/>
      <c r="L3452" s="265"/>
      <c r="M3452" s="269"/>
      <c r="N3452" s="270"/>
      <c r="O3452" s="271"/>
      <c r="P3452" s="271"/>
      <c r="Q3452" s="272"/>
      <c r="R3452" s="273"/>
      <c r="S3452" s="273"/>
      <c r="T3452" s="273"/>
      <c r="U3452" s="274"/>
      <c r="V3452" s="263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</row>
    <row r="3453">
      <c r="A3453" s="263"/>
      <c r="B3453" s="264"/>
      <c r="C3453" s="265"/>
      <c r="D3453" s="265"/>
      <c r="E3453" s="264"/>
      <c r="F3453" s="265"/>
      <c r="G3453" s="263"/>
      <c r="H3453" s="432"/>
      <c r="I3453" s="282"/>
      <c r="J3453" s="283"/>
      <c r="K3453" s="265"/>
      <c r="L3453" s="265"/>
      <c r="M3453" s="269"/>
      <c r="N3453" s="270"/>
      <c r="O3453" s="271"/>
      <c r="P3453" s="271"/>
      <c r="Q3453" s="272"/>
      <c r="R3453" s="273"/>
      <c r="S3453" s="273"/>
      <c r="T3453" s="273"/>
      <c r="U3453" s="274"/>
      <c r="V3453" s="263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</row>
    <row r="3454">
      <c r="A3454" s="263"/>
      <c r="B3454" s="264"/>
      <c r="C3454" s="265"/>
      <c r="D3454" s="265"/>
      <c r="E3454" s="264"/>
      <c r="F3454" s="265"/>
      <c r="G3454" s="263"/>
      <c r="H3454" s="432"/>
      <c r="I3454" s="282"/>
      <c r="J3454" s="283"/>
      <c r="K3454" s="265"/>
      <c r="L3454" s="265"/>
      <c r="M3454" s="269"/>
      <c r="N3454" s="270"/>
      <c r="O3454" s="271"/>
      <c r="P3454" s="271"/>
      <c r="Q3454" s="272"/>
      <c r="R3454" s="273"/>
      <c r="S3454" s="273"/>
      <c r="T3454" s="273"/>
      <c r="U3454" s="274"/>
      <c r="V3454" s="263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</row>
    <row r="3455">
      <c r="A3455" s="263"/>
      <c r="B3455" s="264"/>
      <c r="C3455" s="265"/>
      <c r="D3455" s="265"/>
      <c r="E3455" s="264"/>
      <c r="F3455" s="265"/>
      <c r="G3455" s="263"/>
      <c r="H3455" s="432"/>
      <c r="I3455" s="282"/>
      <c r="J3455" s="283"/>
      <c r="K3455" s="265"/>
      <c r="L3455" s="265"/>
      <c r="M3455" s="269"/>
      <c r="N3455" s="270"/>
      <c r="O3455" s="271"/>
      <c r="P3455" s="271"/>
      <c r="Q3455" s="272"/>
      <c r="R3455" s="273"/>
      <c r="S3455" s="273"/>
      <c r="T3455" s="273"/>
      <c r="U3455" s="274"/>
      <c r="V3455" s="263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</row>
    <row r="3456">
      <c r="A3456" s="263"/>
      <c r="B3456" s="264"/>
      <c r="C3456" s="265"/>
      <c r="D3456" s="265"/>
      <c r="E3456" s="264"/>
      <c r="F3456" s="265"/>
      <c r="G3456" s="263"/>
      <c r="H3456" s="432"/>
      <c r="I3456" s="282"/>
      <c r="J3456" s="283"/>
      <c r="K3456" s="265"/>
      <c r="L3456" s="265"/>
      <c r="M3456" s="269"/>
      <c r="N3456" s="270"/>
      <c r="O3456" s="271"/>
      <c r="P3456" s="271"/>
      <c r="Q3456" s="272"/>
      <c r="R3456" s="273"/>
      <c r="S3456" s="273"/>
      <c r="T3456" s="260"/>
      <c r="U3456" s="261"/>
      <c r="V3456" s="251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</row>
    <row r="3457">
      <c r="A3457" s="263"/>
      <c r="B3457" s="264"/>
      <c r="C3457" s="265"/>
      <c r="D3457" s="265"/>
      <c r="E3457" s="264"/>
      <c r="F3457" s="265"/>
      <c r="G3457" s="263"/>
      <c r="H3457" s="432"/>
      <c r="I3457" s="282"/>
      <c r="J3457" s="283"/>
      <c r="K3457" s="265"/>
      <c r="L3457" s="265"/>
      <c r="M3457" s="269"/>
      <c r="N3457" s="270"/>
      <c r="O3457" s="271"/>
      <c r="P3457" s="271"/>
      <c r="Q3457" s="272"/>
      <c r="R3457" s="273"/>
      <c r="S3457" s="273"/>
      <c r="T3457" s="273"/>
      <c r="U3457" s="274"/>
      <c r="V3457" s="263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</row>
    <row r="3458">
      <c r="A3458" s="263"/>
      <c r="B3458" s="264"/>
      <c r="C3458" s="265"/>
      <c r="D3458" s="265"/>
      <c r="E3458" s="264"/>
      <c r="F3458" s="265"/>
      <c r="G3458" s="263"/>
      <c r="H3458" s="432"/>
      <c r="I3458" s="282"/>
      <c r="J3458" s="283"/>
      <c r="K3458" s="265"/>
      <c r="L3458" s="265"/>
      <c r="M3458" s="269"/>
      <c r="N3458" s="270"/>
      <c r="O3458" s="271"/>
      <c r="P3458" s="271"/>
      <c r="Q3458" s="272"/>
      <c r="R3458" s="273"/>
      <c r="S3458" s="273"/>
      <c r="T3458" s="273"/>
      <c r="U3458" s="274"/>
      <c r="V3458" s="263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</row>
    <row r="3459">
      <c r="A3459" s="263"/>
      <c r="B3459" s="264"/>
      <c r="C3459" s="265"/>
      <c r="D3459" s="265"/>
      <c r="E3459" s="264"/>
      <c r="F3459" s="265"/>
      <c r="G3459" s="263"/>
      <c r="H3459" s="432"/>
      <c r="I3459" s="282"/>
      <c r="J3459" s="283"/>
      <c r="K3459" s="265"/>
      <c r="L3459" s="265"/>
      <c r="M3459" s="269"/>
      <c r="N3459" s="270"/>
      <c r="O3459" s="271"/>
      <c r="P3459" s="271"/>
      <c r="Q3459" s="272"/>
      <c r="R3459" s="273"/>
      <c r="S3459" s="273"/>
      <c r="T3459" s="273"/>
      <c r="U3459" s="274"/>
      <c r="V3459" s="263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</row>
    <row r="3460">
      <c r="A3460" s="263"/>
      <c r="B3460" s="264"/>
      <c r="C3460" s="265"/>
      <c r="D3460" s="265"/>
      <c r="E3460" s="264"/>
      <c r="F3460" s="265"/>
      <c r="G3460" s="263"/>
      <c r="H3460" s="432"/>
      <c r="I3460" s="282"/>
      <c r="J3460" s="283"/>
      <c r="K3460" s="265"/>
      <c r="L3460" s="265"/>
      <c r="M3460" s="269"/>
      <c r="N3460" s="270"/>
      <c r="O3460" s="271"/>
      <c r="P3460" s="271"/>
      <c r="Q3460" s="272"/>
      <c r="R3460" s="273"/>
      <c r="S3460" s="273"/>
      <c r="T3460" s="273"/>
      <c r="U3460" s="274"/>
      <c r="V3460" s="263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</row>
    <row r="3461">
      <c r="A3461" s="263"/>
      <c r="B3461" s="264"/>
      <c r="C3461" s="265"/>
      <c r="D3461" s="265"/>
      <c r="E3461" s="264"/>
      <c r="F3461" s="265"/>
      <c r="G3461" s="263"/>
      <c r="H3461" s="432"/>
      <c r="I3461" s="282"/>
      <c r="J3461" s="283"/>
      <c r="K3461" s="265"/>
      <c r="L3461" s="265"/>
      <c r="M3461" s="269"/>
      <c r="N3461" s="270"/>
      <c r="O3461" s="271"/>
      <c r="P3461" s="271"/>
      <c r="Q3461" s="272"/>
      <c r="R3461" s="273"/>
      <c r="S3461" s="273"/>
      <c r="T3461" s="273"/>
      <c r="U3461" s="274"/>
      <c r="V3461" s="263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</row>
    <row r="3462">
      <c r="A3462" s="263"/>
      <c r="B3462" s="264"/>
      <c r="C3462" s="265"/>
      <c r="D3462" s="265"/>
      <c r="E3462" s="264"/>
      <c r="F3462" s="265"/>
      <c r="G3462" s="263"/>
      <c r="H3462" s="432"/>
      <c r="I3462" s="282"/>
      <c r="J3462" s="283"/>
      <c r="K3462" s="265"/>
      <c r="L3462" s="265"/>
      <c r="M3462" s="269"/>
      <c r="N3462" s="270"/>
      <c r="O3462" s="271"/>
      <c r="P3462" s="271"/>
      <c r="Q3462" s="272"/>
      <c r="R3462" s="273"/>
      <c r="S3462" s="273"/>
      <c r="T3462" s="273"/>
      <c r="U3462" s="274"/>
      <c r="V3462" s="263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</row>
    <row r="3463">
      <c r="A3463" s="263"/>
      <c r="B3463" s="264"/>
      <c r="C3463" s="265"/>
      <c r="D3463" s="265"/>
      <c r="E3463" s="264"/>
      <c r="F3463" s="265"/>
      <c r="G3463" s="263"/>
      <c r="H3463" s="432"/>
      <c r="I3463" s="282"/>
      <c r="J3463" s="283"/>
      <c r="K3463" s="265"/>
      <c r="L3463" s="265"/>
      <c r="M3463" s="269"/>
      <c r="N3463" s="270"/>
      <c r="O3463" s="271"/>
      <c r="P3463" s="271"/>
      <c r="Q3463" s="272"/>
      <c r="R3463" s="273"/>
      <c r="S3463" s="273"/>
      <c r="T3463" s="273"/>
      <c r="U3463" s="274"/>
      <c r="V3463" s="263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</row>
    <row r="3464">
      <c r="A3464" s="263"/>
      <c r="B3464" s="264"/>
      <c r="C3464" s="265"/>
      <c r="D3464" s="265"/>
      <c r="E3464" s="264"/>
      <c r="F3464" s="265"/>
      <c r="G3464" s="263"/>
      <c r="H3464" s="432"/>
      <c r="I3464" s="282"/>
      <c r="J3464" s="283"/>
      <c r="K3464" s="265"/>
      <c r="L3464" s="265"/>
      <c r="M3464" s="269"/>
      <c r="N3464" s="270"/>
      <c r="O3464" s="271"/>
      <c r="P3464" s="271"/>
      <c r="Q3464" s="272"/>
      <c r="R3464" s="273"/>
      <c r="S3464" s="273"/>
      <c r="T3464" s="273"/>
      <c r="U3464" s="274"/>
      <c r="V3464" s="263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</row>
    <row r="3465">
      <c r="A3465" s="263"/>
      <c r="B3465" s="264"/>
      <c r="C3465" s="265"/>
      <c r="D3465" s="265"/>
      <c r="E3465" s="264"/>
      <c r="F3465" s="265"/>
      <c r="G3465" s="263"/>
      <c r="H3465" s="432"/>
      <c r="I3465" s="282"/>
      <c r="J3465" s="283"/>
      <c r="K3465" s="265"/>
      <c r="L3465" s="265"/>
      <c r="M3465" s="269"/>
      <c r="N3465" s="270"/>
      <c r="O3465" s="271"/>
      <c r="P3465" s="271"/>
      <c r="Q3465" s="272"/>
      <c r="R3465" s="273"/>
      <c r="S3465" s="273"/>
      <c r="T3465" s="273"/>
      <c r="U3465" s="274"/>
      <c r="V3465" s="263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</row>
    <row r="3466">
      <c r="A3466" s="263"/>
      <c r="B3466" s="264"/>
      <c r="C3466" s="265"/>
      <c r="D3466" s="265"/>
      <c r="E3466" s="264"/>
      <c r="F3466" s="265"/>
      <c r="G3466" s="263"/>
      <c r="H3466" s="432"/>
      <c r="I3466" s="282"/>
      <c r="J3466" s="283"/>
      <c r="K3466" s="265"/>
      <c r="L3466" s="265"/>
      <c r="M3466" s="269"/>
      <c r="N3466" s="270"/>
      <c r="O3466" s="271"/>
      <c r="P3466" s="271"/>
      <c r="Q3466" s="272"/>
      <c r="R3466" s="273"/>
      <c r="S3466" s="273"/>
      <c r="T3466" s="273"/>
      <c r="U3466" s="274"/>
      <c r="V3466" s="263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</row>
    <row r="3467">
      <c r="A3467" s="263"/>
      <c r="B3467" s="264"/>
      <c r="C3467" s="265"/>
      <c r="D3467" s="265"/>
      <c r="E3467" s="264"/>
      <c r="F3467" s="265"/>
      <c r="G3467" s="263"/>
      <c r="H3467" s="432"/>
      <c r="I3467" s="282"/>
      <c r="J3467" s="283"/>
      <c r="K3467" s="265"/>
      <c r="L3467" s="265"/>
      <c r="M3467" s="269"/>
      <c r="N3467" s="270"/>
      <c r="O3467" s="271"/>
      <c r="P3467" s="271"/>
      <c r="Q3467" s="272"/>
      <c r="R3467" s="273"/>
      <c r="S3467" s="273"/>
      <c r="T3467" s="273"/>
      <c r="U3467" s="274"/>
      <c r="V3467" s="263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</row>
    <row r="3468">
      <c r="A3468" s="263"/>
      <c r="B3468" s="264"/>
      <c r="C3468" s="265"/>
      <c r="D3468" s="265"/>
      <c r="E3468" s="264"/>
      <c r="F3468" s="265"/>
      <c r="G3468" s="263"/>
      <c r="H3468" s="432"/>
      <c r="I3468" s="282"/>
      <c r="J3468" s="283"/>
      <c r="K3468" s="265"/>
      <c r="L3468" s="265"/>
      <c r="M3468" s="269"/>
      <c r="N3468" s="270"/>
      <c r="O3468" s="271"/>
      <c r="P3468" s="271"/>
      <c r="Q3468" s="272"/>
      <c r="R3468" s="273"/>
      <c r="S3468" s="273"/>
      <c r="T3468" s="273"/>
      <c r="U3468" s="274"/>
      <c r="V3468" s="263"/>
      <c r="W3468" s="35"/>
      <c r="X3468" s="35"/>
      <c r="Y3468" s="35"/>
      <c r="Z3468" s="35"/>
      <c r="AA3468" s="35"/>
      <c r="AB3468" s="35"/>
      <c r="AC3468" s="35"/>
      <c r="AD3468" s="35"/>
      <c r="AE3468" s="35"/>
      <c r="AF3468" s="35"/>
      <c r="AG3468" s="35"/>
      <c r="AH3468" s="35"/>
      <c r="AI3468" s="35"/>
    </row>
    <row r="3469">
      <c r="A3469" s="263"/>
      <c r="B3469" s="264"/>
      <c r="C3469" s="265"/>
      <c r="D3469" s="265"/>
      <c r="E3469" s="264"/>
      <c r="F3469" s="265"/>
      <c r="G3469" s="263"/>
      <c r="H3469" s="432"/>
      <c r="I3469" s="282"/>
      <c r="J3469" s="283"/>
      <c r="K3469" s="265"/>
      <c r="L3469" s="265"/>
      <c r="M3469" s="269"/>
      <c r="N3469" s="270"/>
      <c r="O3469" s="271"/>
      <c r="P3469" s="271"/>
      <c r="Q3469" s="272"/>
      <c r="R3469" s="273"/>
      <c r="S3469" s="273"/>
      <c r="T3469" s="273"/>
      <c r="U3469" s="274"/>
      <c r="V3469" s="263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</row>
    <row r="3470">
      <c r="A3470" s="263"/>
      <c r="B3470" s="264"/>
      <c r="C3470" s="265"/>
      <c r="D3470" s="265"/>
      <c r="E3470" s="264"/>
      <c r="F3470" s="265"/>
      <c r="G3470" s="263"/>
      <c r="H3470" s="432"/>
      <c r="I3470" s="282"/>
      <c r="J3470" s="283"/>
      <c r="K3470" s="265"/>
      <c r="L3470" s="265"/>
      <c r="M3470" s="269"/>
      <c r="N3470" s="270"/>
      <c r="O3470" s="271"/>
      <c r="P3470" s="271"/>
      <c r="Q3470" s="272"/>
      <c r="R3470" s="273"/>
      <c r="S3470" s="273"/>
      <c r="T3470" s="273"/>
      <c r="U3470" s="274"/>
      <c r="V3470" s="263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</row>
    <row r="3471">
      <c r="A3471" s="263"/>
      <c r="B3471" s="264"/>
      <c r="C3471" s="265"/>
      <c r="D3471" s="265"/>
      <c r="E3471" s="264"/>
      <c r="F3471" s="265"/>
      <c r="G3471" s="263"/>
      <c r="H3471" s="432"/>
      <c r="I3471" s="282"/>
      <c r="J3471" s="283"/>
      <c r="K3471" s="265"/>
      <c r="L3471" s="265"/>
      <c r="M3471" s="269"/>
      <c r="N3471" s="270"/>
      <c r="O3471" s="271"/>
      <c r="P3471" s="271"/>
      <c r="Q3471" s="272"/>
      <c r="R3471" s="273"/>
      <c r="S3471" s="273"/>
      <c r="T3471" s="273"/>
      <c r="U3471" s="274"/>
      <c r="V3471" s="263"/>
      <c r="W3471" s="188"/>
      <c r="X3471" s="188"/>
      <c r="Y3471" s="188"/>
      <c r="Z3471" s="188"/>
      <c r="AA3471" s="188"/>
      <c r="AB3471" s="188"/>
      <c r="AC3471" s="188"/>
      <c r="AD3471" s="188"/>
      <c r="AE3471" s="188"/>
      <c r="AF3471" s="188"/>
      <c r="AG3471" s="188"/>
      <c r="AH3471" s="188"/>
      <c r="AI3471" s="188"/>
    </row>
    <row r="3472">
      <c r="A3472" s="263"/>
      <c r="B3472" s="264"/>
      <c r="C3472" s="265"/>
      <c r="D3472" s="265"/>
      <c r="E3472" s="264"/>
      <c r="F3472" s="265"/>
      <c r="G3472" s="263"/>
      <c r="H3472" s="432"/>
      <c r="I3472" s="282"/>
      <c r="J3472" s="283"/>
      <c r="K3472" s="265"/>
      <c r="L3472" s="265"/>
      <c r="M3472" s="269"/>
      <c r="N3472" s="270"/>
      <c r="O3472" s="271"/>
      <c r="P3472" s="271"/>
      <c r="Q3472" s="272"/>
      <c r="R3472" s="273"/>
      <c r="S3472" s="273"/>
      <c r="T3472" s="273"/>
      <c r="U3472" s="274"/>
      <c r="V3472" s="263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</row>
    <row r="3473">
      <c r="A3473" s="263"/>
      <c r="B3473" s="264"/>
      <c r="C3473" s="265"/>
      <c r="D3473" s="265"/>
      <c r="E3473" s="264"/>
      <c r="F3473" s="265"/>
      <c r="G3473" s="263"/>
      <c r="H3473" s="432"/>
      <c r="I3473" s="282"/>
      <c r="J3473" s="283"/>
      <c r="K3473" s="265"/>
      <c r="L3473" s="265"/>
      <c r="M3473" s="269"/>
      <c r="N3473" s="270"/>
      <c r="O3473" s="271"/>
      <c r="P3473" s="271"/>
      <c r="Q3473" s="272"/>
      <c r="R3473" s="273"/>
      <c r="S3473" s="273"/>
      <c r="T3473" s="273"/>
      <c r="U3473" s="274"/>
      <c r="V3473" s="263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</row>
    <row r="3474">
      <c r="A3474" s="263"/>
      <c r="B3474" s="264"/>
      <c r="C3474" s="265"/>
      <c r="D3474" s="265"/>
      <c r="E3474" s="264"/>
      <c r="F3474" s="265"/>
      <c r="G3474" s="263"/>
      <c r="H3474" s="432"/>
      <c r="I3474" s="282"/>
      <c r="J3474" s="283"/>
      <c r="K3474" s="265"/>
      <c r="L3474" s="265"/>
      <c r="M3474" s="269"/>
      <c r="N3474" s="270"/>
      <c r="O3474" s="271"/>
      <c r="P3474" s="271"/>
      <c r="Q3474" s="272"/>
      <c r="R3474" s="273"/>
      <c r="S3474" s="273"/>
      <c r="T3474" s="273"/>
      <c r="U3474" s="274"/>
      <c r="V3474" s="263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</row>
    <row r="3475">
      <c r="A3475" s="263"/>
      <c r="B3475" s="264"/>
      <c r="C3475" s="265"/>
      <c r="D3475" s="265"/>
      <c r="E3475" s="264"/>
      <c r="F3475" s="265"/>
      <c r="G3475" s="263"/>
      <c r="H3475" s="432"/>
      <c r="I3475" s="282"/>
      <c r="J3475" s="283"/>
      <c r="K3475" s="265"/>
      <c r="L3475" s="265"/>
      <c r="M3475" s="269"/>
      <c r="N3475" s="270"/>
      <c r="O3475" s="271"/>
      <c r="P3475" s="271"/>
      <c r="Q3475" s="272"/>
      <c r="R3475" s="273"/>
      <c r="S3475" s="273"/>
      <c r="T3475" s="273"/>
      <c r="U3475" s="274"/>
      <c r="V3475" s="263"/>
      <c r="W3475" s="188"/>
      <c r="X3475" s="188"/>
      <c r="Y3475" s="188"/>
      <c r="Z3475" s="188"/>
      <c r="AA3475" s="188"/>
      <c r="AB3475" s="188"/>
      <c r="AC3475" s="188"/>
      <c r="AD3475" s="188"/>
      <c r="AE3475" s="188"/>
      <c r="AF3475" s="188"/>
      <c r="AG3475" s="188"/>
      <c r="AH3475" s="188"/>
      <c r="AI3475" s="188"/>
    </row>
    <row r="3476">
      <c r="A3476" s="263"/>
      <c r="B3476" s="264"/>
      <c r="C3476" s="265"/>
      <c r="D3476" s="265"/>
      <c r="E3476" s="264"/>
      <c r="F3476" s="265"/>
      <c r="G3476" s="263"/>
      <c r="H3476" s="432"/>
      <c r="I3476" s="282"/>
      <c r="J3476" s="283"/>
      <c r="K3476" s="265"/>
      <c r="L3476" s="265"/>
      <c r="M3476" s="269"/>
      <c r="N3476" s="270"/>
      <c r="O3476" s="271"/>
      <c r="P3476" s="271"/>
      <c r="Q3476" s="272"/>
      <c r="R3476" s="273"/>
      <c r="S3476" s="273"/>
      <c r="T3476" s="273"/>
      <c r="U3476" s="274"/>
      <c r="V3476" s="263"/>
      <c r="W3476" s="35"/>
      <c r="X3476" s="35"/>
      <c r="Y3476" s="35"/>
      <c r="Z3476" s="35"/>
      <c r="AA3476" s="35"/>
      <c r="AB3476" s="35"/>
      <c r="AC3476" s="35"/>
      <c r="AD3476" s="35"/>
      <c r="AE3476" s="35"/>
      <c r="AF3476" s="35"/>
      <c r="AG3476" s="35"/>
      <c r="AH3476" s="35"/>
      <c r="AI3476" s="35"/>
    </row>
    <row r="3477">
      <c r="A3477" s="263"/>
      <c r="B3477" s="264"/>
      <c r="C3477" s="265"/>
      <c r="D3477" s="265"/>
      <c r="E3477" s="264"/>
      <c r="F3477" s="265"/>
      <c r="G3477" s="263"/>
      <c r="H3477" s="432"/>
      <c r="I3477" s="282"/>
      <c r="J3477" s="283"/>
      <c r="K3477" s="265"/>
      <c r="L3477" s="265"/>
      <c r="M3477" s="269"/>
      <c r="N3477" s="270"/>
      <c r="O3477" s="271"/>
      <c r="P3477" s="271"/>
      <c r="Q3477" s="272"/>
      <c r="R3477" s="273"/>
      <c r="S3477" s="273"/>
      <c r="T3477" s="273"/>
      <c r="U3477" s="274"/>
      <c r="V3477" s="263"/>
      <c r="W3477" s="188"/>
      <c r="X3477" s="188"/>
      <c r="Y3477" s="188"/>
      <c r="Z3477" s="188"/>
      <c r="AA3477" s="188"/>
      <c r="AB3477" s="188"/>
      <c r="AC3477" s="188"/>
      <c r="AD3477" s="188"/>
      <c r="AE3477" s="188"/>
      <c r="AF3477" s="188"/>
      <c r="AG3477" s="188"/>
      <c r="AH3477" s="188"/>
      <c r="AI3477" s="188"/>
    </row>
    <row r="3478">
      <c r="A3478" s="263"/>
      <c r="B3478" s="264"/>
      <c r="C3478" s="265"/>
      <c r="D3478" s="265"/>
      <c r="E3478" s="264"/>
      <c r="F3478" s="265"/>
      <c r="G3478" s="263"/>
      <c r="H3478" s="432"/>
      <c r="I3478" s="282"/>
      <c r="J3478" s="283"/>
      <c r="K3478" s="265"/>
      <c r="L3478" s="265"/>
      <c r="M3478" s="269"/>
      <c r="N3478" s="270"/>
      <c r="O3478" s="271"/>
      <c r="P3478" s="271"/>
      <c r="Q3478" s="272"/>
      <c r="R3478" s="273"/>
      <c r="S3478" s="273"/>
      <c r="T3478" s="273"/>
      <c r="U3478" s="274"/>
      <c r="V3478" s="263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</row>
    <row r="3479">
      <c r="A3479" s="263"/>
      <c r="B3479" s="264"/>
      <c r="C3479" s="265"/>
      <c r="D3479" s="265"/>
      <c r="E3479" s="264"/>
      <c r="F3479" s="265"/>
      <c r="G3479" s="263"/>
      <c r="H3479" s="432"/>
      <c r="I3479" s="282"/>
      <c r="J3479" s="283"/>
      <c r="K3479" s="265"/>
      <c r="L3479" s="265"/>
      <c r="M3479" s="269"/>
      <c r="N3479" s="270"/>
      <c r="O3479" s="271"/>
      <c r="P3479" s="271"/>
      <c r="Q3479" s="272"/>
      <c r="R3479" s="273"/>
      <c r="S3479" s="273"/>
      <c r="T3479" s="273"/>
      <c r="U3479" s="274"/>
      <c r="V3479" s="263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</row>
    <row r="3480">
      <c r="A3480" s="263"/>
      <c r="B3480" s="264"/>
      <c r="C3480" s="265"/>
      <c r="D3480" s="265"/>
      <c r="E3480" s="264"/>
      <c r="F3480" s="265"/>
      <c r="G3480" s="263"/>
      <c r="H3480" s="432"/>
      <c r="I3480" s="282"/>
      <c r="J3480" s="283"/>
      <c r="K3480" s="265"/>
      <c r="L3480" s="265"/>
      <c r="M3480" s="269"/>
      <c r="N3480" s="270"/>
      <c r="O3480" s="271"/>
      <c r="P3480" s="271"/>
      <c r="Q3480" s="272"/>
      <c r="R3480" s="273"/>
      <c r="S3480" s="273"/>
      <c r="T3480" s="260"/>
      <c r="U3480" s="261"/>
      <c r="V3480" s="251"/>
      <c r="W3480" s="188"/>
      <c r="X3480" s="188"/>
      <c r="Y3480" s="188"/>
      <c r="Z3480" s="188"/>
      <c r="AA3480" s="188"/>
      <c r="AB3480" s="188"/>
      <c r="AC3480" s="188"/>
      <c r="AD3480" s="188"/>
      <c r="AE3480" s="188"/>
      <c r="AF3480" s="188"/>
      <c r="AG3480" s="188"/>
      <c r="AH3480" s="188"/>
      <c r="AI3480" s="188"/>
    </row>
    <row r="3481">
      <c r="A3481" s="263"/>
      <c r="B3481" s="264"/>
      <c r="C3481" s="265"/>
      <c r="D3481" s="265"/>
      <c r="E3481" s="264"/>
      <c r="F3481" s="265"/>
      <c r="G3481" s="263"/>
      <c r="H3481" s="432"/>
      <c r="I3481" s="282"/>
      <c r="J3481" s="283"/>
      <c r="K3481" s="265"/>
      <c r="L3481" s="265"/>
      <c r="M3481" s="269"/>
      <c r="N3481" s="270"/>
      <c r="O3481" s="271"/>
      <c r="P3481" s="271"/>
      <c r="Q3481" s="272"/>
      <c r="R3481" s="273"/>
      <c r="S3481" s="273"/>
      <c r="T3481" s="273"/>
      <c r="U3481" s="274"/>
      <c r="V3481" s="263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</row>
    <row r="3482">
      <c r="A3482" s="263"/>
      <c r="B3482" s="264"/>
      <c r="C3482" s="265"/>
      <c r="D3482" s="265"/>
      <c r="E3482" s="264"/>
      <c r="F3482" s="265"/>
      <c r="G3482" s="263"/>
      <c r="H3482" s="432"/>
      <c r="I3482" s="282"/>
      <c r="J3482" s="283"/>
      <c r="K3482" s="265"/>
      <c r="L3482" s="265"/>
      <c r="M3482" s="269"/>
      <c r="N3482" s="270"/>
      <c r="O3482" s="271"/>
      <c r="P3482" s="271"/>
      <c r="Q3482" s="272"/>
      <c r="R3482" s="273"/>
      <c r="S3482" s="273"/>
      <c r="T3482" s="273"/>
      <c r="U3482" s="274"/>
      <c r="V3482" s="263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</row>
    <row r="3483">
      <c r="A3483" s="263"/>
      <c r="B3483" s="264"/>
      <c r="C3483" s="265"/>
      <c r="D3483" s="265"/>
      <c r="E3483" s="264"/>
      <c r="F3483" s="265"/>
      <c r="G3483" s="263"/>
      <c r="H3483" s="432"/>
      <c r="I3483" s="282"/>
      <c r="J3483" s="283"/>
      <c r="K3483" s="265"/>
      <c r="L3483" s="265"/>
      <c r="M3483" s="269"/>
      <c r="N3483" s="270"/>
      <c r="O3483" s="271"/>
      <c r="P3483" s="271"/>
      <c r="Q3483" s="272"/>
      <c r="R3483" s="273"/>
      <c r="S3483" s="273"/>
      <c r="T3483" s="273"/>
      <c r="U3483" s="274"/>
      <c r="V3483" s="263"/>
      <c r="W3483" s="188"/>
      <c r="X3483" s="188"/>
      <c r="Y3483" s="188"/>
      <c r="Z3483" s="188"/>
      <c r="AA3483" s="188"/>
      <c r="AB3483" s="188"/>
      <c r="AC3483" s="188"/>
      <c r="AD3483" s="188"/>
      <c r="AE3483" s="188"/>
      <c r="AF3483" s="188"/>
      <c r="AG3483" s="188"/>
      <c r="AH3483" s="188"/>
      <c r="AI3483" s="188"/>
    </row>
    <row r="3484">
      <c r="A3484" s="263"/>
      <c r="B3484" s="264"/>
      <c r="C3484" s="265"/>
      <c r="D3484" s="265"/>
      <c r="E3484" s="264"/>
      <c r="F3484" s="265"/>
      <c r="G3484" s="263"/>
      <c r="H3484" s="432"/>
      <c r="I3484" s="282"/>
      <c r="J3484" s="283"/>
      <c r="K3484" s="265"/>
      <c r="L3484" s="265"/>
      <c r="M3484" s="269"/>
      <c r="N3484" s="270"/>
      <c r="O3484" s="271"/>
      <c r="P3484" s="271"/>
      <c r="Q3484" s="272"/>
      <c r="R3484" s="273"/>
      <c r="S3484" s="273"/>
      <c r="T3484" s="273"/>
      <c r="U3484" s="274"/>
      <c r="V3484" s="263"/>
      <c r="W3484" s="188"/>
      <c r="X3484" s="188"/>
      <c r="Y3484" s="188"/>
      <c r="Z3484" s="188"/>
      <c r="AA3484" s="188"/>
      <c r="AB3484" s="188"/>
      <c r="AC3484" s="188"/>
      <c r="AD3484" s="188"/>
      <c r="AE3484" s="188"/>
      <c r="AF3484" s="188"/>
      <c r="AG3484" s="188"/>
      <c r="AH3484" s="188"/>
      <c r="AI3484" s="188"/>
    </row>
    <row r="3485">
      <c r="A3485" s="263"/>
      <c r="B3485" s="264"/>
      <c r="C3485" s="265"/>
      <c r="D3485" s="265"/>
      <c r="E3485" s="264"/>
      <c r="F3485" s="265"/>
      <c r="G3485" s="263"/>
      <c r="H3485" s="432"/>
      <c r="I3485" s="282"/>
      <c r="J3485" s="283"/>
      <c r="K3485" s="265"/>
      <c r="L3485" s="265"/>
      <c r="M3485" s="269"/>
      <c r="N3485" s="270"/>
      <c r="O3485" s="271"/>
      <c r="P3485" s="271"/>
      <c r="Q3485" s="272"/>
      <c r="R3485" s="273"/>
      <c r="S3485" s="273"/>
      <c r="T3485" s="273"/>
      <c r="U3485" s="274"/>
      <c r="V3485" s="263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</row>
    <row r="3486">
      <c r="A3486" s="263"/>
      <c r="B3486" s="264"/>
      <c r="C3486" s="265"/>
      <c r="D3486" s="265"/>
      <c r="E3486" s="264"/>
      <c r="F3486" s="265"/>
      <c r="G3486" s="263"/>
      <c r="H3486" s="432"/>
      <c r="I3486" s="282"/>
      <c r="J3486" s="283"/>
      <c r="K3486" s="265"/>
      <c r="L3486" s="265"/>
      <c r="M3486" s="269"/>
      <c r="N3486" s="270"/>
      <c r="O3486" s="271"/>
      <c r="P3486" s="271"/>
      <c r="Q3486" s="272"/>
      <c r="R3486" s="273"/>
      <c r="S3486" s="273"/>
      <c r="T3486" s="273"/>
      <c r="U3486" s="274"/>
      <c r="V3486" s="263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</row>
    <row r="3487">
      <c r="A3487" s="263"/>
      <c r="B3487" s="264"/>
      <c r="C3487" s="265"/>
      <c r="D3487" s="265"/>
      <c r="E3487" s="264"/>
      <c r="F3487" s="265"/>
      <c r="G3487" s="263"/>
      <c r="H3487" s="432"/>
      <c r="I3487" s="282"/>
      <c r="J3487" s="283"/>
      <c r="K3487" s="265"/>
      <c r="L3487" s="265"/>
      <c r="M3487" s="269"/>
      <c r="N3487" s="270"/>
      <c r="O3487" s="271"/>
      <c r="P3487" s="271"/>
      <c r="Q3487" s="272"/>
      <c r="R3487" s="273"/>
      <c r="S3487" s="273"/>
      <c r="T3487" s="273"/>
      <c r="U3487" s="274"/>
      <c r="V3487" s="263"/>
      <c r="W3487" s="35"/>
      <c r="X3487" s="35"/>
      <c r="Y3487" s="35"/>
      <c r="Z3487" s="35"/>
      <c r="AA3487" s="35"/>
      <c r="AB3487" s="35"/>
      <c r="AC3487" s="35"/>
      <c r="AD3487" s="35"/>
      <c r="AE3487" s="35"/>
      <c r="AF3487" s="35"/>
      <c r="AG3487" s="35"/>
      <c r="AH3487" s="35"/>
      <c r="AI3487" s="35"/>
    </row>
    <row r="3488">
      <c r="A3488" s="263"/>
      <c r="B3488" s="264"/>
      <c r="C3488" s="265"/>
      <c r="D3488" s="265"/>
      <c r="E3488" s="264"/>
      <c r="F3488" s="265"/>
      <c r="G3488" s="263"/>
      <c r="H3488" s="432"/>
      <c r="I3488" s="282"/>
      <c r="J3488" s="283"/>
      <c r="K3488" s="265"/>
      <c r="L3488" s="265"/>
      <c r="M3488" s="269"/>
      <c r="N3488" s="270"/>
      <c r="O3488" s="271"/>
      <c r="P3488" s="271"/>
      <c r="Q3488" s="272"/>
      <c r="R3488" s="273"/>
      <c r="S3488" s="273"/>
      <c r="T3488" s="273"/>
      <c r="U3488" s="274"/>
      <c r="V3488" s="263"/>
      <c r="W3488" s="35"/>
      <c r="X3488" s="35"/>
      <c r="Y3488" s="35"/>
      <c r="Z3488" s="35"/>
      <c r="AA3488" s="35"/>
      <c r="AB3488" s="35"/>
      <c r="AC3488" s="35"/>
      <c r="AD3488" s="35"/>
      <c r="AE3488" s="35"/>
      <c r="AF3488" s="35"/>
      <c r="AG3488" s="35"/>
      <c r="AH3488" s="35"/>
      <c r="AI3488" s="35"/>
    </row>
    <row r="3489">
      <c r="A3489" s="263"/>
      <c r="B3489" s="264"/>
      <c r="C3489" s="265"/>
      <c r="D3489" s="265"/>
      <c r="E3489" s="264"/>
      <c r="F3489" s="265"/>
      <c r="G3489" s="263"/>
      <c r="H3489" s="432"/>
      <c r="I3489" s="282"/>
      <c r="J3489" s="283"/>
      <c r="K3489" s="265"/>
      <c r="L3489" s="265"/>
      <c r="M3489" s="269"/>
      <c r="N3489" s="270"/>
      <c r="O3489" s="271"/>
      <c r="P3489" s="271"/>
      <c r="Q3489" s="272"/>
      <c r="R3489" s="273"/>
      <c r="S3489" s="273"/>
      <c r="T3489" s="273"/>
      <c r="U3489" s="274"/>
      <c r="V3489" s="263"/>
      <c r="W3489" s="35"/>
      <c r="X3489" s="35"/>
      <c r="Y3489" s="35"/>
      <c r="Z3489" s="35"/>
      <c r="AA3489" s="35"/>
      <c r="AB3489" s="35"/>
      <c r="AC3489" s="35"/>
      <c r="AD3489" s="35"/>
      <c r="AE3489" s="35"/>
      <c r="AF3489" s="35"/>
      <c r="AG3489" s="35"/>
      <c r="AH3489" s="35"/>
      <c r="AI3489" s="35"/>
    </row>
    <row r="3490">
      <c r="A3490" s="263"/>
      <c r="B3490" s="264"/>
      <c r="C3490" s="265"/>
      <c r="D3490" s="265"/>
      <c r="E3490" s="264"/>
      <c r="F3490" s="265"/>
      <c r="G3490" s="263"/>
      <c r="H3490" s="432"/>
      <c r="I3490" s="282"/>
      <c r="J3490" s="283"/>
      <c r="K3490" s="265"/>
      <c r="L3490" s="265"/>
      <c r="M3490" s="269"/>
      <c r="N3490" s="270"/>
      <c r="O3490" s="271"/>
      <c r="P3490" s="271"/>
      <c r="Q3490" s="272"/>
      <c r="R3490" s="273"/>
      <c r="S3490" s="273"/>
      <c r="T3490" s="273"/>
      <c r="U3490" s="274"/>
      <c r="V3490" s="263"/>
      <c r="W3490" s="188"/>
      <c r="X3490" s="188"/>
      <c r="Y3490" s="188"/>
      <c r="Z3490" s="188"/>
      <c r="AA3490" s="188"/>
      <c r="AB3490" s="188"/>
      <c r="AC3490" s="188"/>
      <c r="AD3490" s="188"/>
      <c r="AE3490" s="188"/>
      <c r="AF3490" s="188"/>
      <c r="AG3490" s="188"/>
      <c r="AH3490" s="188"/>
      <c r="AI3490" s="188"/>
    </row>
    <row r="3491">
      <c r="A3491" s="263"/>
      <c r="B3491" s="264"/>
      <c r="C3491" s="265"/>
      <c r="D3491" s="265"/>
      <c r="E3491" s="264"/>
      <c r="F3491" s="265"/>
      <c r="G3491" s="263"/>
      <c r="H3491" s="432"/>
      <c r="I3491" s="282"/>
      <c r="J3491" s="283"/>
      <c r="K3491" s="265"/>
      <c r="L3491" s="265"/>
      <c r="M3491" s="269"/>
      <c r="N3491" s="270"/>
      <c r="O3491" s="271"/>
      <c r="P3491" s="271"/>
      <c r="Q3491" s="272"/>
      <c r="R3491" s="273"/>
      <c r="S3491" s="273"/>
      <c r="T3491" s="273"/>
      <c r="U3491" s="274"/>
      <c r="V3491" s="263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</row>
    <row r="3492">
      <c r="A3492" s="263"/>
      <c r="B3492" s="264"/>
      <c r="C3492" s="265"/>
      <c r="D3492" s="265"/>
      <c r="E3492" s="264"/>
      <c r="F3492" s="265"/>
      <c r="G3492" s="263"/>
      <c r="H3492" s="432"/>
      <c r="I3492" s="282"/>
      <c r="J3492" s="283"/>
      <c r="K3492" s="265"/>
      <c r="L3492" s="265"/>
      <c r="M3492" s="269"/>
      <c r="N3492" s="270"/>
      <c r="O3492" s="271"/>
      <c r="P3492" s="271"/>
      <c r="Q3492" s="272"/>
      <c r="R3492" s="273"/>
      <c r="S3492" s="273"/>
      <c r="T3492" s="273"/>
      <c r="U3492" s="274"/>
      <c r="V3492" s="263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</row>
    <row r="3493">
      <c r="A3493" s="263"/>
      <c r="B3493" s="264"/>
      <c r="C3493" s="265"/>
      <c r="D3493" s="265"/>
      <c r="E3493" s="264"/>
      <c r="F3493" s="265"/>
      <c r="G3493" s="263"/>
      <c r="H3493" s="432"/>
      <c r="I3493" s="282"/>
      <c r="J3493" s="283"/>
      <c r="K3493" s="265"/>
      <c r="L3493" s="265"/>
      <c r="M3493" s="269"/>
      <c r="N3493" s="270"/>
      <c r="O3493" s="271"/>
      <c r="P3493" s="271"/>
      <c r="Q3493" s="272"/>
      <c r="R3493" s="273"/>
      <c r="S3493" s="273"/>
      <c r="T3493" s="273"/>
      <c r="U3493" s="274"/>
      <c r="V3493" s="263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</row>
    <row r="3494">
      <c r="A3494" s="263"/>
      <c r="B3494" s="264"/>
      <c r="C3494" s="265"/>
      <c r="D3494" s="265"/>
      <c r="E3494" s="264"/>
      <c r="F3494" s="265"/>
      <c r="G3494" s="263"/>
      <c r="H3494" s="432"/>
      <c r="I3494" s="282"/>
      <c r="J3494" s="283"/>
      <c r="K3494" s="265"/>
      <c r="L3494" s="265"/>
      <c r="M3494" s="269"/>
      <c r="N3494" s="270"/>
      <c r="O3494" s="271"/>
      <c r="P3494" s="271"/>
      <c r="Q3494" s="272"/>
      <c r="R3494" s="273"/>
      <c r="S3494" s="273"/>
      <c r="T3494" s="273"/>
      <c r="U3494" s="274"/>
      <c r="V3494" s="263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</row>
    <row r="3495">
      <c r="A3495" s="263"/>
      <c r="B3495" s="264"/>
      <c r="C3495" s="265"/>
      <c r="D3495" s="265"/>
      <c r="E3495" s="264"/>
      <c r="F3495" s="265"/>
      <c r="G3495" s="263"/>
      <c r="H3495" s="432"/>
      <c r="I3495" s="282"/>
      <c r="J3495" s="283"/>
      <c r="K3495" s="265"/>
      <c r="L3495" s="265"/>
      <c r="M3495" s="269"/>
      <c r="N3495" s="270"/>
      <c r="O3495" s="271"/>
      <c r="P3495" s="271"/>
      <c r="Q3495" s="272"/>
      <c r="R3495" s="273"/>
      <c r="S3495" s="273"/>
      <c r="T3495" s="273"/>
      <c r="U3495" s="274"/>
      <c r="V3495" s="263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</row>
    <row r="3496">
      <c r="A3496" s="263"/>
      <c r="B3496" s="264"/>
      <c r="C3496" s="265"/>
      <c r="D3496" s="265"/>
      <c r="E3496" s="264"/>
      <c r="F3496" s="265"/>
      <c r="G3496" s="263"/>
      <c r="H3496" s="432"/>
      <c r="I3496" s="282"/>
      <c r="J3496" s="283"/>
      <c r="K3496" s="265"/>
      <c r="L3496" s="265"/>
      <c r="M3496" s="269"/>
      <c r="N3496" s="270"/>
      <c r="O3496" s="271"/>
      <c r="P3496" s="271"/>
      <c r="Q3496" s="272"/>
      <c r="R3496" s="273"/>
      <c r="S3496" s="273"/>
      <c r="T3496" s="273"/>
      <c r="U3496" s="274"/>
      <c r="V3496" s="263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</row>
    <row r="3497">
      <c r="A3497" s="263"/>
      <c r="B3497" s="264"/>
      <c r="C3497" s="265"/>
      <c r="D3497" s="265"/>
      <c r="E3497" s="264"/>
      <c r="F3497" s="265"/>
      <c r="G3497" s="263"/>
      <c r="H3497" s="432"/>
      <c r="I3497" s="282"/>
      <c r="J3497" s="283"/>
      <c r="K3497" s="265"/>
      <c r="L3497" s="265"/>
      <c r="M3497" s="269"/>
      <c r="N3497" s="270"/>
      <c r="O3497" s="271"/>
      <c r="P3497" s="271"/>
      <c r="Q3497" s="272"/>
      <c r="R3497" s="273"/>
      <c r="S3497" s="273"/>
      <c r="T3497" s="273"/>
      <c r="U3497" s="274"/>
      <c r="V3497" s="263"/>
      <c r="W3497" s="35"/>
      <c r="X3497" s="35"/>
      <c r="Y3497" s="35"/>
      <c r="Z3497" s="35"/>
      <c r="AA3497" s="35"/>
      <c r="AB3497" s="35"/>
      <c r="AC3497" s="35"/>
      <c r="AD3497" s="35"/>
      <c r="AE3497" s="35"/>
      <c r="AF3497" s="35"/>
      <c r="AG3497" s="35"/>
      <c r="AH3497" s="35"/>
      <c r="AI3497" s="35"/>
    </row>
    <row r="3498">
      <c r="A3498" s="263"/>
      <c r="B3498" s="264"/>
      <c r="C3498" s="265"/>
      <c r="D3498" s="265"/>
      <c r="E3498" s="264"/>
      <c r="F3498" s="265"/>
      <c r="G3498" s="263"/>
      <c r="H3498" s="432"/>
      <c r="I3498" s="282"/>
      <c r="J3498" s="283"/>
      <c r="K3498" s="265"/>
      <c r="L3498" s="265"/>
      <c r="M3498" s="269"/>
      <c r="N3498" s="270"/>
      <c r="O3498" s="271"/>
      <c r="P3498" s="271"/>
      <c r="Q3498" s="272"/>
      <c r="R3498" s="273"/>
      <c r="S3498" s="273"/>
      <c r="T3498" s="273"/>
      <c r="U3498" s="274"/>
      <c r="V3498" s="263"/>
      <c r="W3498" s="188"/>
      <c r="X3498" s="188"/>
      <c r="Y3498" s="188"/>
      <c r="Z3498" s="188"/>
      <c r="AA3498" s="188"/>
      <c r="AB3498" s="188"/>
      <c r="AC3498" s="188"/>
      <c r="AD3498" s="188"/>
      <c r="AE3498" s="188"/>
      <c r="AF3498" s="188"/>
      <c r="AG3498" s="188"/>
      <c r="AH3498" s="188"/>
      <c r="AI3498" s="188"/>
    </row>
    <row r="3499">
      <c r="A3499" s="263"/>
      <c r="B3499" s="264"/>
      <c r="C3499" s="265"/>
      <c r="D3499" s="265"/>
      <c r="E3499" s="264"/>
      <c r="F3499" s="265"/>
      <c r="G3499" s="263"/>
      <c r="H3499" s="432"/>
      <c r="I3499" s="282"/>
      <c r="J3499" s="283"/>
      <c r="K3499" s="265"/>
      <c r="L3499" s="265"/>
      <c r="M3499" s="269"/>
      <c r="N3499" s="270"/>
      <c r="O3499" s="271"/>
      <c r="P3499" s="271"/>
      <c r="Q3499" s="272"/>
      <c r="R3499" s="273"/>
      <c r="S3499" s="273"/>
      <c r="T3499" s="273"/>
      <c r="U3499" s="274"/>
      <c r="V3499" s="263"/>
      <c r="W3499" s="35"/>
      <c r="X3499" s="35"/>
      <c r="Y3499" s="35"/>
      <c r="Z3499" s="35"/>
      <c r="AA3499" s="35"/>
      <c r="AB3499" s="35"/>
      <c r="AC3499" s="35"/>
      <c r="AD3499" s="35"/>
      <c r="AE3499" s="35"/>
      <c r="AF3499" s="35"/>
      <c r="AG3499" s="35"/>
      <c r="AH3499" s="35"/>
      <c r="AI3499" s="35"/>
    </row>
    <row r="3500">
      <c r="A3500" s="263"/>
      <c r="B3500" s="264"/>
      <c r="C3500" s="265"/>
      <c r="D3500" s="265"/>
      <c r="E3500" s="264"/>
      <c r="F3500" s="265"/>
      <c r="G3500" s="263"/>
      <c r="H3500" s="432"/>
      <c r="I3500" s="282"/>
      <c r="J3500" s="283"/>
      <c r="K3500" s="265"/>
      <c r="L3500" s="265"/>
      <c r="M3500" s="269"/>
      <c r="N3500" s="270"/>
      <c r="O3500" s="271"/>
      <c r="P3500" s="271"/>
      <c r="Q3500" s="272"/>
      <c r="R3500" s="273"/>
      <c r="S3500" s="273"/>
      <c r="T3500" s="273"/>
      <c r="U3500" s="274"/>
      <c r="V3500" s="263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</row>
    <row r="3501">
      <c r="A3501" s="263"/>
      <c r="B3501" s="264"/>
      <c r="C3501" s="265"/>
      <c r="D3501" s="265"/>
      <c r="E3501" s="264"/>
      <c r="F3501" s="265"/>
      <c r="G3501" s="263"/>
      <c r="H3501" s="432"/>
      <c r="I3501" s="282"/>
      <c r="J3501" s="283"/>
      <c r="K3501" s="265"/>
      <c r="L3501" s="265"/>
      <c r="M3501" s="269"/>
      <c r="N3501" s="270"/>
      <c r="O3501" s="271"/>
      <c r="P3501" s="271"/>
      <c r="Q3501" s="272"/>
      <c r="R3501" s="273"/>
      <c r="S3501" s="273"/>
      <c r="T3501" s="273"/>
      <c r="U3501" s="274"/>
      <c r="V3501" s="263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</row>
    <row r="3502">
      <c r="A3502" s="263"/>
      <c r="B3502" s="264"/>
      <c r="C3502" s="265"/>
      <c r="D3502" s="265"/>
      <c r="E3502" s="264"/>
      <c r="F3502" s="265"/>
      <c r="G3502" s="263"/>
      <c r="H3502" s="432"/>
      <c r="I3502" s="282"/>
      <c r="J3502" s="283"/>
      <c r="K3502" s="265"/>
      <c r="L3502" s="265"/>
      <c r="M3502" s="269"/>
      <c r="N3502" s="270"/>
      <c r="O3502" s="271"/>
      <c r="P3502" s="271"/>
      <c r="Q3502" s="272"/>
      <c r="R3502" s="273"/>
      <c r="S3502" s="273"/>
      <c r="T3502" s="273"/>
      <c r="U3502" s="274"/>
      <c r="V3502" s="263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</row>
    <row r="3503">
      <c r="A3503" s="263"/>
      <c r="B3503" s="264"/>
      <c r="C3503" s="265"/>
      <c r="D3503" s="265"/>
      <c r="E3503" s="264"/>
      <c r="F3503" s="265"/>
      <c r="G3503" s="263"/>
      <c r="H3503" s="432"/>
      <c r="I3503" s="282"/>
      <c r="J3503" s="283"/>
      <c r="K3503" s="265"/>
      <c r="L3503" s="265"/>
      <c r="M3503" s="269"/>
      <c r="N3503" s="270"/>
      <c r="O3503" s="271"/>
      <c r="P3503" s="271"/>
      <c r="Q3503" s="272"/>
      <c r="R3503" s="273"/>
      <c r="S3503" s="273"/>
      <c r="T3503" s="273"/>
      <c r="U3503" s="274"/>
      <c r="V3503" s="263"/>
      <c r="W3503" s="35"/>
      <c r="X3503" s="35"/>
      <c r="Y3503" s="35"/>
      <c r="Z3503" s="35"/>
      <c r="AA3503" s="35"/>
      <c r="AB3503" s="35"/>
      <c r="AC3503" s="35"/>
      <c r="AD3503" s="35"/>
      <c r="AE3503" s="35"/>
      <c r="AF3503" s="35"/>
      <c r="AG3503" s="35"/>
      <c r="AH3503" s="35"/>
      <c r="AI3503" s="35"/>
    </row>
    <row r="3504">
      <c r="A3504" s="263"/>
      <c r="B3504" s="264"/>
      <c r="C3504" s="265"/>
      <c r="D3504" s="265"/>
      <c r="E3504" s="264"/>
      <c r="F3504" s="265"/>
      <c r="G3504" s="263"/>
      <c r="H3504" s="432"/>
      <c r="I3504" s="282"/>
      <c r="J3504" s="283"/>
      <c r="K3504" s="265"/>
      <c r="L3504" s="265"/>
      <c r="M3504" s="269"/>
      <c r="N3504" s="270"/>
      <c r="O3504" s="271"/>
      <c r="P3504" s="271"/>
      <c r="Q3504" s="272"/>
      <c r="R3504" s="273"/>
      <c r="S3504" s="273"/>
      <c r="T3504" s="260"/>
      <c r="U3504" s="261"/>
      <c r="V3504" s="251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</row>
    <row r="3505">
      <c r="A3505" s="263"/>
      <c r="B3505" s="264"/>
      <c r="C3505" s="265"/>
      <c r="D3505" s="265"/>
      <c r="E3505" s="264"/>
      <c r="F3505" s="265"/>
      <c r="G3505" s="263"/>
      <c r="H3505" s="432"/>
      <c r="I3505" s="282"/>
      <c r="J3505" s="283"/>
      <c r="K3505" s="265"/>
      <c r="L3505" s="265"/>
      <c r="M3505" s="269"/>
      <c r="N3505" s="270"/>
      <c r="O3505" s="271"/>
      <c r="P3505" s="271"/>
      <c r="Q3505" s="272"/>
      <c r="R3505" s="273"/>
      <c r="S3505" s="273"/>
      <c r="T3505" s="273"/>
      <c r="U3505" s="274"/>
      <c r="V3505" s="263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</row>
    <row r="3506">
      <c r="A3506" s="263"/>
      <c r="B3506" s="264"/>
      <c r="C3506" s="265"/>
      <c r="D3506" s="265"/>
      <c r="E3506" s="264"/>
      <c r="F3506" s="265"/>
      <c r="G3506" s="263"/>
      <c r="H3506" s="432"/>
      <c r="I3506" s="282"/>
      <c r="J3506" s="283"/>
      <c r="K3506" s="265"/>
      <c r="L3506" s="265"/>
      <c r="M3506" s="269"/>
      <c r="N3506" s="270"/>
      <c r="O3506" s="271"/>
      <c r="P3506" s="271"/>
      <c r="Q3506" s="272"/>
      <c r="R3506" s="273"/>
      <c r="S3506" s="273"/>
      <c r="T3506" s="273"/>
      <c r="U3506" s="274"/>
      <c r="V3506" s="263"/>
      <c r="W3506" s="35"/>
      <c r="X3506" s="35"/>
      <c r="Y3506" s="35"/>
      <c r="Z3506" s="35"/>
      <c r="AA3506" s="35"/>
      <c r="AB3506" s="35"/>
      <c r="AC3506" s="35"/>
      <c r="AD3506" s="35"/>
      <c r="AE3506" s="35"/>
      <c r="AF3506" s="35"/>
      <c r="AG3506" s="35"/>
      <c r="AH3506" s="35"/>
      <c r="AI3506" s="35"/>
    </row>
    <row r="3507">
      <c r="A3507" s="263"/>
      <c r="B3507" s="264"/>
      <c r="C3507" s="265"/>
      <c r="D3507" s="265"/>
      <c r="E3507" s="264"/>
      <c r="F3507" s="265"/>
      <c r="G3507" s="263"/>
      <c r="H3507" s="432"/>
      <c r="I3507" s="282"/>
      <c r="J3507" s="283"/>
      <c r="K3507" s="265"/>
      <c r="L3507" s="265"/>
      <c r="M3507" s="269"/>
      <c r="N3507" s="270"/>
      <c r="O3507" s="271"/>
      <c r="P3507" s="271"/>
      <c r="Q3507" s="272"/>
      <c r="R3507" s="273"/>
      <c r="S3507" s="273"/>
      <c r="T3507" s="273"/>
      <c r="U3507" s="274"/>
      <c r="V3507" s="263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</row>
    <row r="3508">
      <c r="A3508" s="263"/>
      <c r="B3508" s="264"/>
      <c r="C3508" s="265"/>
      <c r="D3508" s="265"/>
      <c r="E3508" s="264"/>
      <c r="F3508" s="265"/>
      <c r="G3508" s="263"/>
      <c r="H3508" s="432"/>
      <c r="I3508" s="282"/>
      <c r="J3508" s="283"/>
      <c r="K3508" s="265"/>
      <c r="L3508" s="265"/>
      <c r="M3508" s="269"/>
      <c r="N3508" s="270"/>
      <c r="O3508" s="271"/>
      <c r="P3508" s="271"/>
      <c r="Q3508" s="272"/>
      <c r="R3508" s="273"/>
      <c r="S3508" s="273"/>
      <c r="T3508" s="273"/>
      <c r="U3508" s="274"/>
      <c r="V3508" s="263"/>
      <c r="W3508" s="35"/>
      <c r="X3508" s="35"/>
      <c r="Y3508" s="35"/>
      <c r="Z3508" s="35"/>
      <c r="AA3508" s="35"/>
      <c r="AB3508" s="35"/>
      <c r="AC3508" s="35"/>
      <c r="AD3508" s="35"/>
      <c r="AE3508" s="35"/>
      <c r="AF3508" s="35"/>
      <c r="AG3508" s="35"/>
      <c r="AH3508" s="35"/>
      <c r="AI3508" s="35"/>
    </row>
    <row r="3509">
      <c r="A3509" s="263"/>
      <c r="B3509" s="264"/>
      <c r="C3509" s="265"/>
      <c r="D3509" s="265"/>
      <c r="E3509" s="264"/>
      <c r="F3509" s="265"/>
      <c r="G3509" s="263"/>
      <c r="H3509" s="432"/>
      <c r="I3509" s="282"/>
      <c r="J3509" s="283"/>
      <c r="K3509" s="265"/>
      <c r="L3509" s="265"/>
      <c r="M3509" s="269"/>
      <c r="N3509" s="270"/>
      <c r="O3509" s="271"/>
      <c r="P3509" s="271"/>
      <c r="Q3509" s="272"/>
      <c r="R3509" s="273"/>
      <c r="S3509" s="273"/>
      <c r="T3509" s="273"/>
      <c r="U3509" s="274"/>
      <c r="V3509" s="263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</row>
    <row r="3510">
      <c r="A3510" s="263"/>
      <c r="B3510" s="264"/>
      <c r="C3510" s="265"/>
      <c r="D3510" s="265"/>
      <c r="E3510" s="264"/>
      <c r="F3510" s="265"/>
      <c r="G3510" s="263"/>
      <c r="H3510" s="432"/>
      <c r="I3510" s="282"/>
      <c r="J3510" s="283"/>
      <c r="K3510" s="265"/>
      <c r="L3510" s="265"/>
      <c r="M3510" s="269"/>
      <c r="N3510" s="270"/>
      <c r="O3510" s="271"/>
      <c r="P3510" s="271"/>
      <c r="Q3510" s="272"/>
      <c r="R3510" s="273"/>
      <c r="S3510" s="273"/>
      <c r="T3510" s="273"/>
      <c r="U3510" s="274"/>
      <c r="V3510" s="263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</row>
    <row r="3511">
      <c r="A3511" s="263"/>
      <c r="B3511" s="264"/>
      <c r="C3511" s="265"/>
      <c r="D3511" s="265"/>
      <c r="E3511" s="264"/>
      <c r="F3511" s="265"/>
      <c r="G3511" s="263"/>
      <c r="H3511" s="432"/>
      <c r="I3511" s="282"/>
      <c r="J3511" s="283"/>
      <c r="K3511" s="265"/>
      <c r="L3511" s="265"/>
      <c r="M3511" s="269"/>
      <c r="N3511" s="270"/>
      <c r="O3511" s="271"/>
      <c r="P3511" s="271"/>
      <c r="Q3511" s="272"/>
      <c r="R3511" s="273"/>
      <c r="S3511" s="273"/>
      <c r="T3511" s="273"/>
      <c r="U3511" s="274"/>
      <c r="V3511" s="263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</row>
    <row r="3512">
      <c r="A3512" s="263"/>
      <c r="B3512" s="264"/>
      <c r="C3512" s="265"/>
      <c r="D3512" s="265"/>
      <c r="E3512" s="264"/>
      <c r="F3512" s="265"/>
      <c r="G3512" s="263"/>
      <c r="H3512" s="432"/>
      <c r="I3512" s="282"/>
      <c r="J3512" s="283"/>
      <c r="K3512" s="265"/>
      <c r="L3512" s="265"/>
      <c r="M3512" s="269"/>
      <c r="N3512" s="270"/>
      <c r="O3512" s="271"/>
      <c r="P3512" s="271"/>
      <c r="Q3512" s="272"/>
      <c r="R3512" s="273"/>
      <c r="S3512" s="273"/>
      <c r="T3512" s="273"/>
      <c r="U3512" s="274"/>
      <c r="V3512" s="263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</row>
    <row r="3513">
      <c r="A3513" s="263"/>
      <c r="B3513" s="264"/>
      <c r="C3513" s="265"/>
      <c r="D3513" s="265"/>
      <c r="E3513" s="264"/>
      <c r="F3513" s="265"/>
      <c r="G3513" s="263"/>
      <c r="H3513" s="432"/>
      <c r="I3513" s="282"/>
      <c r="J3513" s="283"/>
      <c r="K3513" s="265"/>
      <c r="L3513" s="265"/>
      <c r="M3513" s="269"/>
      <c r="N3513" s="270"/>
      <c r="O3513" s="271"/>
      <c r="P3513" s="271"/>
      <c r="Q3513" s="272"/>
      <c r="R3513" s="273"/>
      <c r="S3513" s="273"/>
      <c r="T3513" s="273"/>
      <c r="U3513" s="274"/>
      <c r="V3513" s="263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</row>
    <row r="3514">
      <c r="A3514" s="263"/>
      <c r="B3514" s="264"/>
      <c r="C3514" s="265"/>
      <c r="D3514" s="265"/>
      <c r="E3514" s="264"/>
      <c r="F3514" s="265"/>
      <c r="G3514" s="263"/>
      <c r="H3514" s="432"/>
      <c r="I3514" s="282"/>
      <c r="J3514" s="283"/>
      <c r="K3514" s="265"/>
      <c r="L3514" s="265"/>
      <c r="M3514" s="269"/>
      <c r="N3514" s="270"/>
      <c r="O3514" s="271"/>
      <c r="P3514" s="271"/>
      <c r="Q3514" s="272"/>
      <c r="R3514" s="273"/>
      <c r="S3514" s="273"/>
      <c r="T3514" s="273"/>
      <c r="U3514" s="274"/>
      <c r="V3514" s="263"/>
      <c r="W3514" s="188"/>
      <c r="X3514" s="188"/>
      <c r="Y3514" s="188"/>
      <c r="Z3514" s="188"/>
      <c r="AA3514" s="188"/>
      <c r="AB3514" s="188"/>
      <c r="AC3514" s="188"/>
      <c r="AD3514" s="188"/>
      <c r="AE3514" s="188"/>
      <c r="AF3514" s="188"/>
      <c r="AG3514" s="188"/>
      <c r="AH3514" s="188"/>
      <c r="AI3514" s="188"/>
    </row>
    <row r="3515">
      <c r="A3515" s="263"/>
      <c r="B3515" s="264"/>
      <c r="C3515" s="265"/>
      <c r="D3515" s="265"/>
      <c r="E3515" s="264"/>
      <c r="F3515" s="265"/>
      <c r="G3515" s="263"/>
      <c r="H3515" s="432"/>
      <c r="I3515" s="282"/>
      <c r="J3515" s="283"/>
      <c r="K3515" s="265"/>
      <c r="L3515" s="265"/>
      <c r="M3515" s="269"/>
      <c r="N3515" s="270"/>
      <c r="O3515" s="271"/>
      <c r="P3515" s="271"/>
      <c r="Q3515" s="272"/>
      <c r="R3515" s="273"/>
      <c r="S3515" s="273"/>
      <c r="T3515" s="273"/>
      <c r="U3515" s="274"/>
      <c r="V3515" s="263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</row>
    <row r="3516">
      <c r="A3516" s="263"/>
      <c r="B3516" s="264"/>
      <c r="C3516" s="265"/>
      <c r="D3516" s="265"/>
      <c r="E3516" s="264"/>
      <c r="F3516" s="265"/>
      <c r="G3516" s="263"/>
      <c r="H3516" s="432"/>
      <c r="I3516" s="282"/>
      <c r="J3516" s="283"/>
      <c r="K3516" s="265"/>
      <c r="L3516" s="265"/>
      <c r="M3516" s="269"/>
      <c r="N3516" s="270"/>
      <c r="O3516" s="271"/>
      <c r="P3516" s="271"/>
      <c r="Q3516" s="272"/>
      <c r="R3516" s="273"/>
      <c r="S3516" s="273"/>
      <c r="T3516" s="273"/>
      <c r="U3516" s="274"/>
      <c r="V3516" s="263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</row>
    <row r="3517">
      <c r="A3517" s="263"/>
      <c r="B3517" s="264"/>
      <c r="C3517" s="265"/>
      <c r="D3517" s="265"/>
      <c r="E3517" s="264"/>
      <c r="F3517" s="265"/>
      <c r="G3517" s="263"/>
      <c r="H3517" s="432"/>
      <c r="I3517" s="282"/>
      <c r="J3517" s="283"/>
      <c r="K3517" s="265"/>
      <c r="L3517" s="265"/>
      <c r="M3517" s="269"/>
      <c r="N3517" s="270"/>
      <c r="O3517" s="271"/>
      <c r="P3517" s="271"/>
      <c r="Q3517" s="272"/>
      <c r="R3517" s="273"/>
      <c r="S3517" s="273"/>
      <c r="T3517" s="273"/>
      <c r="U3517" s="274"/>
      <c r="V3517" s="263"/>
      <c r="W3517" s="35"/>
      <c r="X3517" s="35"/>
      <c r="Y3517" s="35"/>
      <c r="Z3517" s="35"/>
      <c r="AA3517" s="35"/>
      <c r="AB3517" s="35"/>
      <c r="AC3517" s="35"/>
      <c r="AD3517" s="35"/>
      <c r="AE3517" s="35"/>
      <c r="AF3517" s="35"/>
      <c r="AG3517" s="35"/>
      <c r="AH3517" s="35"/>
      <c r="AI3517" s="35"/>
    </row>
    <row r="3518">
      <c r="A3518" s="263"/>
      <c r="B3518" s="264"/>
      <c r="C3518" s="265"/>
      <c r="D3518" s="265"/>
      <c r="E3518" s="264"/>
      <c r="F3518" s="265"/>
      <c r="G3518" s="263"/>
      <c r="H3518" s="432"/>
      <c r="I3518" s="282"/>
      <c r="J3518" s="283"/>
      <c r="K3518" s="265"/>
      <c r="L3518" s="265"/>
      <c r="M3518" s="269"/>
      <c r="N3518" s="270"/>
      <c r="O3518" s="271"/>
      <c r="P3518" s="271"/>
      <c r="Q3518" s="272"/>
      <c r="R3518" s="273"/>
      <c r="S3518" s="273"/>
      <c r="T3518" s="273"/>
      <c r="U3518" s="274"/>
      <c r="V3518" s="263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</row>
    <row r="3519">
      <c r="A3519" s="263"/>
      <c r="B3519" s="264"/>
      <c r="C3519" s="265"/>
      <c r="D3519" s="265"/>
      <c r="E3519" s="264"/>
      <c r="F3519" s="265"/>
      <c r="G3519" s="263"/>
      <c r="H3519" s="432"/>
      <c r="I3519" s="282"/>
      <c r="J3519" s="283"/>
      <c r="K3519" s="265"/>
      <c r="L3519" s="265"/>
      <c r="M3519" s="269"/>
      <c r="N3519" s="270"/>
      <c r="O3519" s="271"/>
      <c r="P3519" s="271"/>
      <c r="Q3519" s="272"/>
      <c r="R3519" s="273"/>
      <c r="S3519" s="273"/>
      <c r="T3519" s="273"/>
      <c r="U3519" s="274"/>
      <c r="V3519" s="263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</row>
    <row r="3520">
      <c r="A3520" s="263"/>
      <c r="B3520" s="264"/>
      <c r="C3520" s="265"/>
      <c r="D3520" s="265"/>
      <c r="E3520" s="264"/>
      <c r="F3520" s="265"/>
      <c r="G3520" s="263"/>
      <c r="H3520" s="432"/>
      <c r="I3520" s="282"/>
      <c r="J3520" s="283"/>
      <c r="K3520" s="265"/>
      <c r="L3520" s="265"/>
      <c r="M3520" s="269"/>
      <c r="N3520" s="270"/>
      <c r="O3520" s="271"/>
      <c r="P3520" s="271"/>
      <c r="Q3520" s="272"/>
      <c r="R3520" s="273"/>
      <c r="S3520" s="273"/>
      <c r="T3520" s="273"/>
      <c r="U3520" s="274"/>
      <c r="V3520" s="263"/>
      <c r="W3520" s="188"/>
      <c r="X3520" s="188"/>
      <c r="Y3520" s="188"/>
      <c r="Z3520" s="188"/>
      <c r="AA3520" s="188"/>
      <c r="AB3520" s="188"/>
      <c r="AC3520" s="188"/>
      <c r="AD3520" s="188"/>
      <c r="AE3520" s="188"/>
      <c r="AF3520" s="188"/>
      <c r="AG3520" s="188"/>
      <c r="AH3520" s="188"/>
      <c r="AI3520" s="188"/>
    </row>
    <row r="3521">
      <c r="A3521" s="263"/>
      <c r="B3521" s="264"/>
      <c r="C3521" s="265"/>
      <c r="D3521" s="265"/>
      <c r="E3521" s="264"/>
      <c r="F3521" s="265"/>
      <c r="G3521" s="263"/>
      <c r="H3521" s="432"/>
      <c r="I3521" s="282"/>
      <c r="J3521" s="283"/>
      <c r="K3521" s="265"/>
      <c r="L3521" s="265"/>
      <c r="M3521" s="269"/>
      <c r="N3521" s="270"/>
      <c r="O3521" s="271"/>
      <c r="P3521" s="271"/>
      <c r="Q3521" s="272"/>
      <c r="R3521" s="273"/>
      <c r="S3521" s="273"/>
      <c r="T3521" s="273"/>
      <c r="U3521" s="274"/>
      <c r="V3521" s="263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</row>
    <row r="3522">
      <c r="A3522" s="263"/>
      <c r="B3522" s="264"/>
      <c r="C3522" s="265"/>
      <c r="D3522" s="265"/>
      <c r="E3522" s="264"/>
      <c r="F3522" s="265"/>
      <c r="G3522" s="263"/>
      <c r="H3522" s="432"/>
      <c r="I3522" s="282"/>
      <c r="J3522" s="283"/>
      <c r="K3522" s="265"/>
      <c r="L3522" s="265"/>
      <c r="M3522" s="269"/>
      <c r="N3522" s="270"/>
      <c r="O3522" s="271"/>
      <c r="P3522" s="271"/>
      <c r="Q3522" s="272"/>
      <c r="R3522" s="273"/>
      <c r="S3522" s="273"/>
      <c r="T3522" s="273"/>
      <c r="U3522" s="274"/>
      <c r="V3522" s="263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</row>
    <row r="3523">
      <c r="A3523" s="263"/>
      <c r="B3523" s="264"/>
      <c r="C3523" s="265"/>
      <c r="D3523" s="265"/>
      <c r="E3523" s="264"/>
      <c r="F3523" s="265"/>
      <c r="G3523" s="263"/>
      <c r="H3523" s="432"/>
      <c r="I3523" s="282"/>
      <c r="J3523" s="283"/>
      <c r="K3523" s="265"/>
      <c r="L3523" s="265"/>
      <c r="M3523" s="269"/>
      <c r="N3523" s="270"/>
      <c r="O3523" s="271"/>
      <c r="P3523" s="271"/>
      <c r="Q3523" s="272"/>
      <c r="R3523" s="273"/>
      <c r="S3523" s="273"/>
      <c r="T3523" s="273"/>
      <c r="U3523" s="274"/>
      <c r="V3523" s="263"/>
      <c r="W3523" s="35"/>
      <c r="X3523" s="35"/>
      <c r="Y3523" s="35"/>
      <c r="Z3523" s="35"/>
      <c r="AA3523" s="35"/>
      <c r="AB3523" s="35"/>
      <c r="AC3523" s="35"/>
      <c r="AD3523" s="35"/>
      <c r="AE3523" s="35"/>
      <c r="AF3523" s="35"/>
      <c r="AG3523" s="35"/>
      <c r="AH3523" s="35"/>
      <c r="AI3523" s="35"/>
    </row>
    <row r="3524">
      <c r="A3524" s="263"/>
      <c r="B3524" s="264"/>
      <c r="C3524" s="265"/>
      <c r="D3524" s="265"/>
      <c r="E3524" s="264"/>
      <c r="F3524" s="265"/>
      <c r="G3524" s="263"/>
      <c r="H3524" s="432"/>
      <c r="I3524" s="282"/>
      <c r="J3524" s="283"/>
      <c r="K3524" s="265"/>
      <c r="L3524" s="265"/>
      <c r="M3524" s="269"/>
      <c r="N3524" s="270"/>
      <c r="O3524" s="271"/>
      <c r="P3524" s="271"/>
      <c r="Q3524" s="272"/>
      <c r="R3524" s="273"/>
      <c r="S3524" s="273"/>
      <c r="T3524" s="273"/>
      <c r="U3524" s="274"/>
      <c r="V3524" s="263"/>
      <c r="W3524" s="35"/>
      <c r="X3524" s="35"/>
      <c r="Y3524" s="35"/>
      <c r="Z3524" s="35"/>
      <c r="AA3524" s="35"/>
      <c r="AB3524" s="35"/>
      <c r="AC3524" s="35"/>
      <c r="AD3524" s="35"/>
      <c r="AE3524" s="35"/>
      <c r="AF3524" s="35"/>
      <c r="AG3524" s="35"/>
      <c r="AH3524" s="35"/>
      <c r="AI3524" s="35"/>
    </row>
    <row r="3525">
      <c r="A3525" s="263"/>
      <c r="B3525" s="264"/>
      <c r="C3525" s="265"/>
      <c r="D3525" s="265"/>
      <c r="E3525" s="264"/>
      <c r="F3525" s="265"/>
      <c r="G3525" s="263"/>
      <c r="H3525" s="432"/>
      <c r="I3525" s="282"/>
      <c r="J3525" s="283"/>
      <c r="K3525" s="265"/>
      <c r="L3525" s="265"/>
      <c r="M3525" s="269"/>
      <c r="N3525" s="270"/>
      <c r="O3525" s="271"/>
      <c r="P3525" s="271"/>
      <c r="Q3525" s="272"/>
      <c r="R3525" s="273"/>
      <c r="S3525" s="273"/>
      <c r="T3525" s="260"/>
      <c r="U3525" s="261"/>
      <c r="V3525" s="251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</row>
    <row r="3526">
      <c r="A3526" s="263"/>
      <c r="B3526" s="264"/>
      <c r="C3526" s="265"/>
      <c r="D3526" s="265"/>
      <c r="E3526" s="264"/>
      <c r="F3526" s="265"/>
      <c r="G3526" s="263"/>
      <c r="H3526" s="432"/>
      <c r="I3526" s="282"/>
      <c r="J3526" s="283"/>
      <c r="K3526" s="265"/>
      <c r="L3526" s="265"/>
      <c r="M3526" s="269"/>
      <c r="N3526" s="270"/>
      <c r="O3526" s="271"/>
      <c r="P3526" s="271"/>
      <c r="Q3526" s="272"/>
      <c r="R3526" s="273"/>
      <c r="S3526" s="273"/>
      <c r="T3526" s="273"/>
      <c r="U3526" s="274"/>
      <c r="V3526" s="263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</row>
    <row r="3527">
      <c r="A3527" s="263"/>
      <c r="B3527" s="264"/>
      <c r="C3527" s="265"/>
      <c r="D3527" s="265"/>
      <c r="E3527" s="264"/>
      <c r="F3527" s="265"/>
      <c r="G3527" s="263"/>
      <c r="H3527" s="432"/>
      <c r="I3527" s="282"/>
      <c r="J3527" s="283"/>
      <c r="K3527" s="265"/>
      <c r="L3527" s="265"/>
      <c r="M3527" s="269"/>
      <c r="N3527" s="270"/>
      <c r="O3527" s="271"/>
      <c r="P3527" s="271"/>
      <c r="Q3527" s="272"/>
      <c r="R3527" s="273"/>
      <c r="S3527" s="273"/>
      <c r="T3527" s="273"/>
      <c r="U3527" s="274"/>
      <c r="V3527" s="263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</row>
    <row r="3528">
      <c r="A3528" s="263"/>
      <c r="B3528" s="264"/>
      <c r="C3528" s="265"/>
      <c r="D3528" s="265"/>
      <c r="E3528" s="264"/>
      <c r="F3528" s="265"/>
      <c r="G3528" s="263"/>
      <c r="H3528" s="432"/>
      <c r="I3528" s="282"/>
      <c r="J3528" s="283"/>
      <c r="K3528" s="265"/>
      <c r="L3528" s="265"/>
      <c r="M3528" s="269"/>
      <c r="N3528" s="270"/>
      <c r="O3528" s="271"/>
      <c r="P3528" s="271"/>
      <c r="Q3528" s="272"/>
      <c r="R3528" s="273"/>
      <c r="S3528" s="273"/>
      <c r="T3528" s="273"/>
      <c r="U3528" s="274"/>
      <c r="V3528" s="263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</row>
    <row r="3529">
      <c r="A3529" s="263"/>
      <c r="B3529" s="264"/>
      <c r="C3529" s="265"/>
      <c r="D3529" s="265"/>
      <c r="E3529" s="264"/>
      <c r="F3529" s="265"/>
      <c r="G3529" s="263"/>
      <c r="H3529" s="432"/>
      <c r="I3529" s="282"/>
      <c r="J3529" s="283"/>
      <c r="K3529" s="265"/>
      <c r="L3529" s="265"/>
      <c r="M3529" s="269"/>
      <c r="N3529" s="270"/>
      <c r="O3529" s="271"/>
      <c r="P3529" s="271"/>
      <c r="Q3529" s="272"/>
      <c r="R3529" s="273"/>
      <c r="S3529" s="273"/>
      <c r="T3529" s="273"/>
      <c r="U3529" s="274"/>
      <c r="V3529" s="263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</row>
    <row r="3530">
      <c r="A3530" s="263"/>
      <c r="B3530" s="264"/>
      <c r="C3530" s="265"/>
      <c r="D3530" s="265"/>
      <c r="E3530" s="264"/>
      <c r="F3530" s="265"/>
      <c r="G3530" s="263"/>
      <c r="H3530" s="432"/>
      <c r="I3530" s="282"/>
      <c r="J3530" s="283"/>
      <c r="K3530" s="265"/>
      <c r="L3530" s="265"/>
      <c r="M3530" s="269"/>
      <c r="N3530" s="270"/>
      <c r="O3530" s="271"/>
      <c r="P3530" s="271"/>
      <c r="Q3530" s="272"/>
      <c r="R3530" s="273"/>
      <c r="S3530" s="273"/>
      <c r="T3530" s="273"/>
      <c r="U3530" s="274"/>
      <c r="V3530" s="263"/>
      <c r="W3530" s="188"/>
      <c r="X3530" s="188"/>
      <c r="Y3530" s="188"/>
      <c r="Z3530" s="188"/>
      <c r="AA3530" s="188"/>
      <c r="AB3530" s="188"/>
      <c r="AC3530" s="188"/>
      <c r="AD3530" s="188"/>
      <c r="AE3530" s="188"/>
      <c r="AF3530" s="188"/>
      <c r="AG3530" s="188"/>
      <c r="AH3530" s="188"/>
      <c r="AI3530" s="188"/>
    </row>
    <row r="3531">
      <c r="A3531" s="263"/>
      <c r="B3531" s="264"/>
      <c r="C3531" s="265"/>
      <c r="D3531" s="265"/>
      <c r="E3531" s="264"/>
      <c r="F3531" s="265"/>
      <c r="G3531" s="263"/>
      <c r="H3531" s="432"/>
      <c r="I3531" s="282"/>
      <c r="J3531" s="283"/>
      <c r="K3531" s="265"/>
      <c r="L3531" s="265"/>
      <c r="M3531" s="269"/>
      <c r="N3531" s="270"/>
      <c r="O3531" s="271"/>
      <c r="P3531" s="271"/>
      <c r="Q3531" s="272"/>
      <c r="R3531" s="273"/>
      <c r="S3531" s="273"/>
      <c r="T3531" s="273"/>
      <c r="U3531" s="274"/>
      <c r="V3531" s="263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</row>
    <row r="3532">
      <c r="A3532" s="263"/>
      <c r="B3532" s="264"/>
      <c r="C3532" s="265"/>
      <c r="D3532" s="265"/>
      <c r="E3532" s="264"/>
      <c r="F3532" s="265"/>
      <c r="G3532" s="263"/>
      <c r="H3532" s="432"/>
      <c r="I3532" s="282"/>
      <c r="J3532" s="283"/>
      <c r="K3532" s="265"/>
      <c r="L3532" s="265"/>
      <c r="M3532" s="269"/>
      <c r="N3532" s="270"/>
      <c r="O3532" s="271"/>
      <c r="P3532" s="271"/>
      <c r="Q3532" s="272"/>
      <c r="R3532" s="273"/>
      <c r="S3532" s="273"/>
      <c r="T3532" s="273"/>
      <c r="U3532" s="274"/>
      <c r="V3532" s="263"/>
      <c r="W3532" s="188"/>
      <c r="X3532" s="188"/>
      <c r="Y3532" s="188"/>
      <c r="Z3532" s="188"/>
      <c r="AA3532" s="188"/>
      <c r="AB3532" s="188"/>
      <c r="AC3532" s="188"/>
      <c r="AD3532" s="188"/>
      <c r="AE3532" s="188"/>
      <c r="AF3532" s="188"/>
      <c r="AG3532" s="188"/>
      <c r="AH3532" s="188"/>
      <c r="AI3532" s="188"/>
    </row>
    <row r="3533">
      <c r="A3533" s="263"/>
      <c r="B3533" s="264"/>
      <c r="C3533" s="265"/>
      <c r="D3533" s="265"/>
      <c r="E3533" s="264"/>
      <c r="F3533" s="265"/>
      <c r="G3533" s="263"/>
      <c r="H3533" s="432"/>
      <c r="I3533" s="282"/>
      <c r="J3533" s="283"/>
      <c r="K3533" s="265"/>
      <c r="L3533" s="265"/>
      <c r="M3533" s="269"/>
      <c r="N3533" s="270"/>
      <c r="O3533" s="271"/>
      <c r="P3533" s="271"/>
      <c r="Q3533" s="272"/>
      <c r="R3533" s="273"/>
      <c r="S3533" s="273"/>
      <c r="T3533" s="273"/>
      <c r="U3533" s="274"/>
      <c r="V3533" s="263"/>
      <c r="W3533" s="188"/>
      <c r="X3533" s="188"/>
      <c r="Y3533" s="188"/>
      <c r="Z3533" s="188"/>
      <c r="AA3533" s="188"/>
      <c r="AB3533" s="188"/>
      <c r="AC3533" s="188"/>
      <c r="AD3533" s="188"/>
      <c r="AE3533" s="188"/>
      <c r="AF3533" s="188"/>
      <c r="AG3533" s="188"/>
      <c r="AH3533" s="188"/>
      <c r="AI3533" s="188"/>
    </row>
    <row r="3534">
      <c r="A3534" s="263"/>
      <c r="B3534" s="264"/>
      <c r="C3534" s="265"/>
      <c r="D3534" s="265"/>
      <c r="E3534" s="264"/>
      <c r="F3534" s="265"/>
      <c r="G3534" s="263"/>
      <c r="H3534" s="432"/>
      <c r="I3534" s="282"/>
      <c r="J3534" s="283"/>
      <c r="K3534" s="265"/>
      <c r="L3534" s="265"/>
      <c r="M3534" s="269"/>
      <c r="N3534" s="270"/>
      <c r="O3534" s="271"/>
      <c r="P3534" s="271"/>
      <c r="Q3534" s="272"/>
      <c r="R3534" s="273"/>
      <c r="S3534" s="273"/>
      <c r="T3534" s="273"/>
      <c r="U3534" s="274"/>
      <c r="V3534" s="263"/>
      <c r="W3534" s="35"/>
      <c r="X3534" s="35"/>
      <c r="Y3534" s="35"/>
      <c r="Z3534" s="35"/>
      <c r="AA3534" s="35"/>
      <c r="AB3534" s="35"/>
      <c r="AC3534" s="35"/>
      <c r="AD3534" s="35"/>
      <c r="AE3534" s="35"/>
      <c r="AF3534" s="35"/>
      <c r="AG3534" s="35"/>
      <c r="AH3534" s="35"/>
      <c r="AI3534" s="35"/>
    </row>
    <row r="3535">
      <c r="A3535" s="263"/>
      <c r="B3535" s="264"/>
      <c r="C3535" s="265"/>
      <c r="D3535" s="265"/>
      <c r="E3535" s="264"/>
      <c r="F3535" s="265"/>
      <c r="G3535" s="263"/>
      <c r="H3535" s="432"/>
      <c r="I3535" s="282"/>
      <c r="J3535" s="283"/>
      <c r="K3535" s="265"/>
      <c r="L3535" s="265"/>
      <c r="M3535" s="269"/>
      <c r="N3535" s="270"/>
      <c r="O3535" s="271"/>
      <c r="P3535" s="271"/>
      <c r="Q3535" s="272"/>
      <c r="R3535" s="273"/>
      <c r="S3535" s="273"/>
      <c r="T3535" s="273"/>
      <c r="U3535" s="274"/>
      <c r="V3535" s="263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</row>
    <row r="3536">
      <c r="A3536" s="263"/>
      <c r="B3536" s="264"/>
      <c r="C3536" s="265"/>
      <c r="D3536" s="265"/>
      <c r="E3536" s="264"/>
      <c r="F3536" s="265"/>
      <c r="G3536" s="263"/>
      <c r="H3536" s="432"/>
      <c r="I3536" s="282"/>
      <c r="J3536" s="283"/>
      <c r="K3536" s="265"/>
      <c r="L3536" s="265"/>
      <c r="M3536" s="269"/>
      <c r="N3536" s="270"/>
      <c r="O3536" s="271"/>
      <c r="P3536" s="271"/>
      <c r="Q3536" s="272"/>
      <c r="R3536" s="273"/>
      <c r="S3536" s="273"/>
      <c r="T3536" s="273"/>
      <c r="U3536" s="274"/>
      <c r="V3536" s="263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</row>
    <row r="3537">
      <c r="A3537" s="263"/>
      <c r="B3537" s="264"/>
      <c r="C3537" s="265"/>
      <c r="D3537" s="265"/>
      <c r="E3537" s="264"/>
      <c r="F3537" s="265"/>
      <c r="G3537" s="263"/>
      <c r="H3537" s="432"/>
      <c r="I3537" s="282"/>
      <c r="J3537" s="283"/>
      <c r="K3537" s="265"/>
      <c r="L3537" s="265"/>
      <c r="M3537" s="269"/>
      <c r="N3537" s="270"/>
      <c r="O3537" s="271"/>
      <c r="P3537" s="271"/>
      <c r="Q3537" s="272"/>
      <c r="R3537" s="273"/>
      <c r="S3537" s="273"/>
      <c r="T3537" s="260"/>
      <c r="U3537" s="261"/>
      <c r="V3537" s="251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</row>
    <row r="3538">
      <c r="A3538" s="263"/>
      <c r="B3538" s="264"/>
      <c r="C3538" s="265"/>
      <c r="D3538" s="265"/>
      <c r="E3538" s="264"/>
      <c r="F3538" s="265"/>
      <c r="G3538" s="263"/>
      <c r="H3538" s="432"/>
      <c r="I3538" s="282"/>
      <c r="J3538" s="283"/>
      <c r="K3538" s="265"/>
      <c r="L3538" s="265"/>
      <c r="M3538" s="269"/>
      <c r="N3538" s="270"/>
      <c r="O3538" s="271"/>
      <c r="P3538" s="271"/>
      <c r="Q3538" s="272"/>
      <c r="R3538" s="273"/>
      <c r="S3538" s="273"/>
      <c r="T3538" s="273"/>
      <c r="U3538" s="274"/>
      <c r="V3538" s="263"/>
      <c r="W3538" s="428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</row>
    <row r="3539">
      <c r="A3539" s="263"/>
      <c r="B3539" s="264"/>
      <c r="C3539" s="265"/>
      <c r="D3539" s="265"/>
      <c r="E3539" s="264"/>
      <c r="F3539" s="265"/>
      <c r="G3539" s="263"/>
      <c r="H3539" s="432"/>
      <c r="I3539" s="282"/>
      <c r="J3539" s="283"/>
      <c r="K3539" s="265"/>
      <c r="L3539" s="265"/>
      <c r="M3539" s="269"/>
      <c r="N3539" s="270"/>
      <c r="O3539" s="271"/>
      <c r="P3539" s="271"/>
      <c r="Q3539" s="272"/>
      <c r="R3539" s="273"/>
      <c r="S3539" s="273"/>
      <c r="T3539" s="273"/>
      <c r="U3539" s="274"/>
      <c r="V3539" s="263"/>
      <c r="W3539" s="35"/>
      <c r="X3539" s="35"/>
      <c r="Y3539" s="35"/>
      <c r="Z3539" s="35"/>
      <c r="AA3539" s="35"/>
      <c r="AB3539" s="35"/>
      <c r="AC3539" s="35"/>
      <c r="AD3539" s="35"/>
      <c r="AE3539" s="35"/>
      <c r="AF3539" s="35"/>
      <c r="AG3539" s="35"/>
      <c r="AH3539" s="35"/>
      <c r="AI3539" s="35"/>
    </row>
    <row r="3540">
      <c r="A3540" s="263"/>
      <c r="B3540" s="264"/>
      <c r="C3540" s="265"/>
      <c r="D3540" s="265"/>
      <c r="E3540" s="264"/>
      <c r="F3540" s="265"/>
      <c r="G3540" s="263"/>
      <c r="H3540" s="432"/>
      <c r="I3540" s="282"/>
      <c r="J3540" s="283"/>
      <c r="K3540" s="265"/>
      <c r="L3540" s="265"/>
      <c r="M3540" s="269"/>
      <c r="N3540" s="270"/>
      <c r="O3540" s="271"/>
      <c r="P3540" s="271"/>
      <c r="Q3540" s="272"/>
      <c r="R3540" s="273"/>
      <c r="S3540" s="273"/>
      <c r="T3540" s="273"/>
      <c r="U3540" s="274"/>
      <c r="V3540" s="263"/>
      <c r="W3540" s="35"/>
      <c r="X3540" s="35"/>
      <c r="Y3540" s="35"/>
      <c r="Z3540" s="35"/>
      <c r="AA3540" s="35"/>
      <c r="AB3540" s="35"/>
      <c r="AC3540" s="35"/>
      <c r="AD3540" s="35"/>
      <c r="AE3540" s="35"/>
      <c r="AF3540" s="35"/>
      <c r="AG3540" s="35"/>
      <c r="AH3540" s="35"/>
      <c r="AI3540" s="35"/>
    </row>
    <row r="3541">
      <c r="A3541" s="263"/>
      <c r="B3541" s="264"/>
      <c r="C3541" s="265"/>
      <c r="D3541" s="265"/>
      <c r="E3541" s="264"/>
      <c r="F3541" s="265"/>
      <c r="G3541" s="263"/>
      <c r="H3541" s="432"/>
      <c r="I3541" s="282"/>
      <c r="J3541" s="283"/>
      <c r="K3541" s="265"/>
      <c r="L3541" s="265"/>
      <c r="M3541" s="269"/>
      <c r="N3541" s="270"/>
      <c r="O3541" s="271"/>
      <c r="P3541" s="271"/>
      <c r="Q3541" s="272"/>
      <c r="R3541" s="273"/>
      <c r="S3541" s="273"/>
      <c r="T3541" s="273"/>
      <c r="U3541" s="274"/>
      <c r="V3541" s="263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</row>
    <row r="3542">
      <c r="A3542" s="263"/>
      <c r="B3542" s="264"/>
      <c r="C3542" s="265"/>
      <c r="D3542" s="265"/>
      <c r="E3542" s="264"/>
      <c r="F3542" s="265"/>
      <c r="G3542" s="263"/>
      <c r="H3542" s="432"/>
      <c r="I3542" s="282"/>
      <c r="J3542" s="283"/>
      <c r="K3542" s="265"/>
      <c r="L3542" s="265"/>
      <c r="M3542" s="269"/>
      <c r="N3542" s="270"/>
      <c r="O3542" s="271"/>
      <c r="P3542" s="271"/>
      <c r="Q3542" s="272"/>
      <c r="R3542" s="273"/>
      <c r="S3542" s="273"/>
      <c r="T3542" s="273"/>
      <c r="U3542" s="274"/>
      <c r="V3542" s="263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</row>
    <row r="3543">
      <c r="A3543" s="263"/>
      <c r="B3543" s="264"/>
      <c r="C3543" s="265"/>
      <c r="D3543" s="265"/>
      <c r="E3543" s="264"/>
      <c r="F3543" s="265"/>
      <c r="G3543" s="263"/>
      <c r="H3543" s="432"/>
      <c r="I3543" s="282"/>
      <c r="J3543" s="283"/>
      <c r="K3543" s="265"/>
      <c r="L3543" s="265"/>
      <c r="M3543" s="269"/>
      <c r="N3543" s="270"/>
      <c r="O3543" s="271"/>
      <c r="P3543" s="271"/>
      <c r="Q3543" s="272"/>
      <c r="R3543" s="273"/>
      <c r="S3543" s="273"/>
      <c r="T3543" s="273"/>
      <c r="U3543" s="274"/>
      <c r="V3543" s="263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</row>
    <row r="3544">
      <c r="A3544" s="263"/>
      <c r="B3544" s="264"/>
      <c r="C3544" s="265"/>
      <c r="D3544" s="265"/>
      <c r="E3544" s="264"/>
      <c r="F3544" s="265"/>
      <c r="G3544" s="263"/>
      <c r="H3544" s="432"/>
      <c r="I3544" s="282"/>
      <c r="J3544" s="283"/>
      <c r="K3544" s="265"/>
      <c r="L3544" s="265"/>
      <c r="M3544" s="269"/>
      <c r="N3544" s="270"/>
      <c r="O3544" s="271"/>
      <c r="P3544" s="271"/>
      <c r="Q3544" s="272"/>
      <c r="R3544" s="273"/>
      <c r="S3544" s="273"/>
      <c r="T3544" s="273"/>
      <c r="U3544" s="274"/>
      <c r="V3544" s="263"/>
      <c r="W3544" s="188"/>
      <c r="X3544" s="188"/>
      <c r="Y3544" s="188"/>
      <c r="Z3544" s="188"/>
      <c r="AA3544" s="188"/>
      <c r="AB3544" s="188"/>
      <c r="AC3544" s="188"/>
      <c r="AD3544" s="188"/>
      <c r="AE3544" s="188"/>
      <c r="AF3544" s="188"/>
      <c r="AG3544" s="188"/>
      <c r="AH3544" s="188"/>
      <c r="AI3544" s="188"/>
    </row>
    <row r="3545">
      <c r="A3545" s="263"/>
      <c r="B3545" s="264"/>
      <c r="C3545" s="265"/>
      <c r="D3545" s="265"/>
      <c r="E3545" s="264"/>
      <c r="F3545" s="265"/>
      <c r="G3545" s="263"/>
      <c r="H3545" s="432"/>
      <c r="I3545" s="282"/>
      <c r="J3545" s="283"/>
      <c r="K3545" s="265"/>
      <c r="L3545" s="265"/>
      <c r="M3545" s="269"/>
      <c r="N3545" s="270"/>
      <c r="O3545" s="271"/>
      <c r="P3545" s="271"/>
      <c r="Q3545" s="272"/>
      <c r="R3545" s="273"/>
      <c r="S3545" s="273"/>
      <c r="T3545" s="273"/>
      <c r="U3545" s="274"/>
      <c r="V3545" s="263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</row>
    <row r="3546">
      <c r="A3546" s="263"/>
      <c r="B3546" s="264"/>
      <c r="C3546" s="265"/>
      <c r="D3546" s="265"/>
      <c r="E3546" s="264"/>
      <c r="F3546" s="265"/>
      <c r="G3546" s="263"/>
      <c r="H3546" s="432"/>
      <c r="I3546" s="282"/>
      <c r="J3546" s="283"/>
      <c r="K3546" s="265"/>
      <c r="L3546" s="265"/>
      <c r="M3546" s="269"/>
      <c r="N3546" s="270"/>
      <c r="O3546" s="271"/>
      <c r="P3546" s="271"/>
      <c r="Q3546" s="272"/>
      <c r="R3546" s="273"/>
      <c r="S3546" s="273"/>
      <c r="T3546" s="273"/>
      <c r="U3546" s="274"/>
      <c r="V3546" s="263"/>
      <c r="W3546" s="35"/>
      <c r="X3546" s="35"/>
      <c r="Y3546" s="35"/>
      <c r="Z3546" s="35"/>
      <c r="AA3546" s="35"/>
      <c r="AB3546" s="35"/>
      <c r="AC3546" s="35"/>
      <c r="AD3546" s="35"/>
      <c r="AE3546" s="35"/>
      <c r="AF3546" s="35"/>
      <c r="AG3546" s="35"/>
      <c r="AH3546" s="35"/>
      <c r="AI3546" s="35"/>
    </row>
    <row r="3547">
      <c r="A3547" s="263"/>
      <c r="B3547" s="264"/>
      <c r="C3547" s="265"/>
      <c r="D3547" s="265"/>
      <c r="E3547" s="264"/>
      <c r="F3547" s="265"/>
      <c r="G3547" s="263"/>
      <c r="H3547" s="432"/>
      <c r="I3547" s="282"/>
      <c r="J3547" s="283"/>
      <c r="K3547" s="265"/>
      <c r="L3547" s="265"/>
      <c r="M3547" s="269"/>
      <c r="N3547" s="270"/>
      <c r="O3547" s="271"/>
      <c r="P3547" s="271"/>
      <c r="Q3547" s="272"/>
      <c r="R3547" s="273"/>
      <c r="S3547" s="273"/>
      <c r="T3547" s="273"/>
      <c r="U3547" s="274"/>
      <c r="V3547" s="263"/>
      <c r="W3547" s="188"/>
      <c r="X3547" s="188"/>
      <c r="Y3547" s="188"/>
      <c r="Z3547" s="188"/>
      <c r="AA3547" s="188"/>
      <c r="AB3547" s="188"/>
      <c r="AC3547" s="188"/>
      <c r="AD3547" s="188"/>
      <c r="AE3547" s="188"/>
      <c r="AF3547" s="188"/>
      <c r="AG3547" s="188"/>
      <c r="AH3547" s="188"/>
      <c r="AI3547" s="188"/>
    </row>
    <row r="3548">
      <c r="A3548" s="263"/>
      <c r="B3548" s="264"/>
      <c r="C3548" s="265"/>
      <c r="D3548" s="265"/>
      <c r="E3548" s="264"/>
      <c r="F3548" s="265"/>
      <c r="G3548" s="263"/>
      <c r="H3548" s="432"/>
      <c r="I3548" s="282"/>
      <c r="J3548" s="283"/>
      <c r="K3548" s="265"/>
      <c r="L3548" s="265"/>
      <c r="M3548" s="269"/>
      <c r="N3548" s="270"/>
      <c r="O3548" s="271"/>
      <c r="P3548" s="271"/>
      <c r="Q3548" s="272"/>
      <c r="R3548" s="273"/>
      <c r="S3548" s="273"/>
      <c r="T3548" s="273"/>
      <c r="U3548" s="274"/>
      <c r="V3548" s="263"/>
      <c r="W3548" s="35"/>
      <c r="X3548" s="35"/>
      <c r="Y3548" s="35"/>
      <c r="Z3548" s="35"/>
      <c r="AA3548" s="35"/>
      <c r="AB3548" s="35"/>
      <c r="AC3548" s="35"/>
      <c r="AD3548" s="35"/>
      <c r="AE3548" s="35"/>
      <c r="AF3548" s="35"/>
      <c r="AG3548" s="35"/>
      <c r="AH3548" s="35"/>
      <c r="AI3548" s="35"/>
    </row>
    <row r="3549">
      <c r="A3549" s="263"/>
      <c r="B3549" s="264"/>
      <c r="C3549" s="265"/>
      <c r="D3549" s="265"/>
      <c r="E3549" s="264"/>
      <c r="F3549" s="265"/>
      <c r="G3549" s="263"/>
      <c r="H3549" s="432"/>
      <c r="I3549" s="282"/>
      <c r="J3549" s="283"/>
      <c r="K3549" s="265"/>
      <c r="L3549" s="265"/>
      <c r="M3549" s="269"/>
      <c r="N3549" s="270"/>
      <c r="O3549" s="271"/>
      <c r="P3549" s="271"/>
      <c r="Q3549" s="272"/>
      <c r="R3549" s="273"/>
      <c r="S3549" s="273"/>
      <c r="T3549" s="273"/>
      <c r="U3549" s="274"/>
      <c r="V3549" s="263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</row>
    <row r="3550">
      <c r="A3550" s="263"/>
      <c r="B3550" s="264"/>
      <c r="C3550" s="265"/>
      <c r="D3550" s="265"/>
      <c r="E3550" s="264"/>
      <c r="F3550" s="265"/>
      <c r="G3550" s="263"/>
      <c r="H3550" s="432"/>
      <c r="I3550" s="282"/>
      <c r="J3550" s="283"/>
      <c r="K3550" s="265"/>
      <c r="L3550" s="265"/>
      <c r="M3550" s="269"/>
      <c r="N3550" s="270"/>
      <c r="O3550" s="271"/>
      <c r="P3550" s="271"/>
      <c r="Q3550" s="272"/>
      <c r="R3550" s="273"/>
      <c r="S3550" s="273"/>
      <c r="T3550" s="273"/>
      <c r="U3550" s="274"/>
      <c r="V3550" s="263"/>
      <c r="W3550" s="35"/>
      <c r="X3550" s="35"/>
      <c r="Y3550" s="35"/>
      <c r="Z3550" s="35"/>
      <c r="AA3550" s="35"/>
      <c r="AB3550" s="35"/>
      <c r="AC3550" s="35"/>
      <c r="AD3550" s="35"/>
      <c r="AE3550" s="35"/>
      <c r="AF3550" s="35"/>
      <c r="AG3550" s="35"/>
      <c r="AH3550" s="35"/>
      <c r="AI3550" s="35"/>
    </row>
    <row r="3551">
      <c r="A3551" s="263"/>
      <c r="B3551" s="264"/>
      <c r="C3551" s="265"/>
      <c r="D3551" s="265"/>
      <c r="E3551" s="264"/>
      <c r="F3551" s="265"/>
      <c r="G3551" s="263"/>
      <c r="H3551" s="432"/>
      <c r="I3551" s="282"/>
      <c r="J3551" s="283"/>
      <c r="K3551" s="265"/>
      <c r="L3551" s="265"/>
      <c r="M3551" s="269"/>
      <c r="N3551" s="270"/>
      <c r="O3551" s="271"/>
      <c r="P3551" s="271"/>
      <c r="Q3551" s="272"/>
      <c r="R3551" s="273"/>
      <c r="S3551" s="273"/>
      <c r="T3551" s="273"/>
      <c r="U3551" s="274"/>
      <c r="V3551" s="263"/>
      <c r="W3551" s="35"/>
      <c r="X3551" s="35"/>
      <c r="Y3551" s="35"/>
      <c r="Z3551" s="35"/>
      <c r="AA3551" s="35"/>
      <c r="AB3551" s="35"/>
      <c r="AC3551" s="35"/>
      <c r="AD3551" s="35"/>
      <c r="AE3551" s="35"/>
      <c r="AF3551" s="35"/>
      <c r="AG3551" s="35"/>
      <c r="AH3551" s="35"/>
      <c r="AI3551" s="35"/>
    </row>
    <row r="3552">
      <c r="A3552" s="263"/>
      <c r="B3552" s="264"/>
      <c r="C3552" s="265"/>
      <c r="D3552" s="265"/>
      <c r="E3552" s="264"/>
      <c r="F3552" s="265"/>
      <c r="G3552" s="263"/>
      <c r="H3552" s="432"/>
      <c r="I3552" s="282"/>
      <c r="J3552" s="283"/>
      <c r="K3552" s="265"/>
      <c r="L3552" s="265"/>
      <c r="M3552" s="269"/>
      <c r="N3552" s="270"/>
      <c r="O3552" s="271"/>
      <c r="P3552" s="271"/>
      <c r="Q3552" s="272"/>
      <c r="R3552" s="273"/>
      <c r="S3552" s="273"/>
      <c r="T3552" s="273"/>
      <c r="U3552" s="274"/>
      <c r="V3552" s="263"/>
      <c r="W3552" s="188"/>
      <c r="X3552" s="188"/>
      <c r="Y3552" s="188"/>
      <c r="Z3552" s="188"/>
      <c r="AA3552" s="188"/>
      <c r="AB3552" s="188"/>
      <c r="AC3552" s="188"/>
      <c r="AD3552" s="188"/>
      <c r="AE3552" s="188"/>
      <c r="AF3552" s="188"/>
      <c r="AG3552" s="188"/>
      <c r="AH3552" s="188"/>
      <c r="AI3552" s="188"/>
    </row>
    <row r="3553">
      <c r="A3553" s="263"/>
      <c r="B3553" s="264"/>
      <c r="C3553" s="265"/>
      <c r="D3553" s="265"/>
      <c r="E3553" s="264"/>
      <c r="F3553" s="265"/>
      <c r="G3553" s="263"/>
      <c r="H3553" s="432"/>
      <c r="I3553" s="282"/>
      <c r="J3553" s="283"/>
      <c r="K3553" s="265"/>
      <c r="L3553" s="265"/>
      <c r="M3553" s="269"/>
      <c r="N3553" s="270"/>
      <c r="O3553" s="271"/>
      <c r="P3553" s="271"/>
      <c r="Q3553" s="272"/>
      <c r="R3553" s="273"/>
      <c r="S3553" s="273"/>
      <c r="T3553" s="273"/>
      <c r="U3553" s="274"/>
      <c r="V3553" s="263"/>
      <c r="W3553" s="188"/>
      <c r="X3553" s="188"/>
      <c r="Y3553" s="188"/>
      <c r="Z3553" s="188"/>
      <c r="AA3553" s="188"/>
      <c r="AB3553" s="188"/>
      <c r="AC3553" s="188"/>
      <c r="AD3553" s="188"/>
      <c r="AE3553" s="188"/>
      <c r="AF3553" s="188"/>
      <c r="AG3553" s="188"/>
      <c r="AH3553" s="188"/>
      <c r="AI3553" s="188"/>
    </row>
    <row r="3554">
      <c r="A3554" s="263"/>
      <c r="B3554" s="264"/>
      <c r="C3554" s="265"/>
      <c r="D3554" s="265"/>
      <c r="E3554" s="264"/>
      <c r="F3554" s="265"/>
      <c r="G3554" s="263"/>
      <c r="H3554" s="432"/>
      <c r="I3554" s="282"/>
      <c r="J3554" s="283"/>
      <c r="K3554" s="265"/>
      <c r="L3554" s="265"/>
      <c r="M3554" s="269"/>
      <c r="N3554" s="270"/>
      <c r="O3554" s="271"/>
      <c r="P3554" s="271"/>
      <c r="Q3554" s="272"/>
      <c r="R3554" s="273"/>
      <c r="S3554" s="273"/>
      <c r="T3554" s="273"/>
      <c r="U3554" s="274"/>
      <c r="V3554" s="263"/>
      <c r="W3554" s="188"/>
      <c r="X3554" s="188"/>
      <c r="Y3554" s="188"/>
      <c r="Z3554" s="188"/>
      <c r="AA3554" s="188"/>
      <c r="AB3554" s="188"/>
      <c r="AC3554" s="188"/>
      <c r="AD3554" s="188"/>
      <c r="AE3554" s="188"/>
      <c r="AF3554" s="188"/>
      <c r="AG3554" s="188"/>
      <c r="AH3554" s="188"/>
      <c r="AI3554" s="188"/>
    </row>
    <row r="3555">
      <c r="A3555" s="263"/>
      <c r="B3555" s="264"/>
      <c r="C3555" s="265"/>
      <c r="D3555" s="265"/>
      <c r="E3555" s="264"/>
      <c r="F3555" s="265"/>
      <c r="G3555" s="263"/>
      <c r="H3555" s="432"/>
      <c r="I3555" s="282"/>
      <c r="J3555" s="283"/>
      <c r="K3555" s="265"/>
      <c r="L3555" s="265"/>
      <c r="M3555" s="269"/>
      <c r="N3555" s="270"/>
      <c r="O3555" s="271"/>
      <c r="P3555" s="271"/>
      <c r="Q3555" s="272"/>
      <c r="R3555" s="273"/>
      <c r="S3555" s="273"/>
      <c r="T3555" s="273"/>
      <c r="U3555" s="274"/>
      <c r="V3555" s="263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</row>
    <row r="3556">
      <c r="A3556" s="263"/>
      <c r="B3556" s="264"/>
      <c r="C3556" s="265"/>
      <c r="D3556" s="265"/>
      <c r="E3556" s="264"/>
      <c r="F3556" s="265"/>
      <c r="G3556" s="263"/>
      <c r="H3556" s="432"/>
      <c r="I3556" s="282"/>
      <c r="J3556" s="283"/>
      <c r="K3556" s="265"/>
      <c r="L3556" s="265"/>
      <c r="M3556" s="269"/>
      <c r="N3556" s="270"/>
      <c r="O3556" s="271"/>
      <c r="P3556" s="271"/>
      <c r="Q3556" s="272"/>
      <c r="R3556" s="273"/>
      <c r="S3556" s="273"/>
      <c r="T3556" s="273"/>
      <c r="U3556" s="274"/>
      <c r="V3556" s="263"/>
      <c r="W3556" s="188"/>
      <c r="X3556" s="188"/>
      <c r="Y3556" s="188"/>
      <c r="Z3556" s="188"/>
      <c r="AA3556" s="188"/>
      <c r="AB3556" s="188"/>
      <c r="AC3556" s="188"/>
      <c r="AD3556" s="188"/>
      <c r="AE3556" s="188"/>
      <c r="AF3556" s="188"/>
      <c r="AG3556" s="188"/>
      <c r="AH3556" s="188"/>
      <c r="AI3556" s="188"/>
    </row>
    <row r="3557">
      <c r="A3557" s="263"/>
      <c r="B3557" s="264"/>
      <c r="C3557" s="265"/>
      <c r="D3557" s="265"/>
      <c r="E3557" s="264"/>
      <c r="F3557" s="265"/>
      <c r="G3557" s="263"/>
      <c r="H3557" s="432"/>
      <c r="I3557" s="282"/>
      <c r="J3557" s="283"/>
      <c r="K3557" s="265"/>
      <c r="L3557" s="265"/>
      <c r="M3557" s="269"/>
      <c r="N3557" s="270"/>
      <c r="O3557" s="271"/>
      <c r="P3557" s="271"/>
      <c r="Q3557" s="272"/>
      <c r="R3557" s="273"/>
      <c r="S3557" s="273"/>
      <c r="T3557" s="273"/>
      <c r="U3557" s="274"/>
      <c r="V3557" s="263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</row>
    <row r="3558">
      <c r="A3558" s="263"/>
      <c r="B3558" s="264"/>
      <c r="C3558" s="265"/>
      <c r="D3558" s="265"/>
      <c r="E3558" s="264"/>
      <c r="F3558" s="265"/>
      <c r="G3558" s="263"/>
      <c r="H3558" s="432"/>
      <c r="I3558" s="282"/>
      <c r="J3558" s="283"/>
      <c r="K3558" s="265"/>
      <c r="L3558" s="265"/>
      <c r="M3558" s="269"/>
      <c r="N3558" s="270"/>
      <c r="O3558" s="271"/>
      <c r="P3558" s="271"/>
      <c r="Q3558" s="272"/>
      <c r="R3558" s="273"/>
      <c r="S3558" s="273"/>
      <c r="T3558" s="273"/>
      <c r="U3558" s="274"/>
      <c r="V3558" s="263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</row>
    <row r="3559">
      <c r="A3559" s="263"/>
      <c r="B3559" s="264"/>
      <c r="C3559" s="265"/>
      <c r="D3559" s="265"/>
      <c r="E3559" s="264"/>
      <c r="F3559" s="265"/>
      <c r="G3559" s="263"/>
      <c r="H3559" s="432"/>
      <c r="I3559" s="282"/>
      <c r="J3559" s="283"/>
      <c r="K3559" s="265"/>
      <c r="L3559" s="265"/>
      <c r="M3559" s="269"/>
      <c r="N3559" s="270"/>
      <c r="O3559" s="271"/>
      <c r="P3559" s="271"/>
      <c r="Q3559" s="272"/>
      <c r="R3559" s="273"/>
      <c r="S3559" s="273"/>
      <c r="T3559" s="273"/>
      <c r="U3559" s="274"/>
      <c r="V3559" s="263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</row>
    <row r="3560">
      <c r="A3560" s="263"/>
      <c r="B3560" s="264"/>
      <c r="C3560" s="265"/>
      <c r="D3560" s="265"/>
      <c r="E3560" s="264"/>
      <c r="F3560" s="265"/>
      <c r="G3560" s="263"/>
      <c r="H3560" s="432"/>
      <c r="I3560" s="282"/>
      <c r="J3560" s="283"/>
      <c r="K3560" s="265"/>
      <c r="L3560" s="265"/>
      <c r="M3560" s="269"/>
      <c r="N3560" s="270"/>
      <c r="O3560" s="271"/>
      <c r="P3560" s="271"/>
      <c r="Q3560" s="272"/>
      <c r="R3560" s="273"/>
      <c r="S3560" s="273"/>
      <c r="T3560" s="273"/>
      <c r="U3560" s="274"/>
      <c r="V3560" s="263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</row>
    <row r="3561">
      <c r="A3561" s="263"/>
      <c r="B3561" s="264"/>
      <c r="C3561" s="265"/>
      <c r="D3561" s="265"/>
      <c r="E3561" s="264"/>
      <c r="F3561" s="265"/>
      <c r="G3561" s="263"/>
      <c r="H3561" s="432"/>
      <c r="I3561" s="282"/>
      <c r="J3561" s="283"/>
      <c r="K3561" s="265"/>
      <c r="L3561" s="265"/>
      <c r="M3561" s="269"/>
      <c r="N3561" s="270"/>
      <c r="O3561" s="271"/>
      <c r="P3561" s="271"/>
      <c r="Q3561" s="272"/>
      <c r="R3561" s="273"/>
      <c r="S3561" s="273"/>
      <c r="T3561" s="273"/>
      <c r="U3561" s="274"/>
      <c r="V3561" s="263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</row>
    <row r="3562">
      <c r="A3562" s="263"/>
      <c r="B3562" s="264"/>
      <c r="C3562" s="265"/>
      <c r="D3562" s="265"/>
      <c r="E3562" s="264"/>
      <c r="F3562" s="265"/>
      <c r="G3562" s="263"/>
      <c r="H3562" s="432"/>
      <c r="I3562" s="282"/>
      <c r="J3562" s="283"/>
      <c r="K3562" s="265"/>
      <c r="L3562" s="265"/>
      <c r="M3562" s="269"/>
      <c r="N3562" s="270"/>
      <c r="O3562" s="271"/>
      <c r="P3562" s="271"/>
      <c r="Q3562" s="272"/>
      <c r="R3562" s="273"/>
      <c r="S3562" s="273"/>
      <c r="T3562" s="273"/>
      <c r="U3562" s="274"/>
      <c r="V3562" s="263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</row>
    <row r="3563">
      <c r="A3563" s="263"/>
      <c r="B3563" s="264"/>
      <c r="C3563" s="265"/>
      <c r="D3563" s="265"/>
      <c r="E3563" s="264"/>
      <c r="F3563" s="265"/>
      <c r="G3563" s="263"/>
      <c r="H3563" s="432"/>
      <c r="I3563" s="282"/>
      <c r="J3563" s="283"/>
      <c r="K3563" s="265"/>
      <c r="L3563" s="265"/>
      <c r="M3563" s="269"/>
      <c r="N3563" s="270"/>
      <c r="O3563" s="271"/>
      <c r="P3563" s="271"/>
      <c r="Q3563" s="272"/>
      <c r="R3563" s="273"/>
      <c r="S3563" s="273"/>
      <c r="T3563" s="273"/>
      <c r="U3563" s="274"/>
      <c r="V3563" s="263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</row>
    <row r="3564">
      <c r="A3564" s="263"/>
      <c r="B3564" s="264"/>
      <c r="C3564" s="265"/>
      <c r="D3564" s="265"/>
      <c r="E3564" s="264"/>
      <c r="F3564" s="265"/>
      <c r="G3564" s="263"/>
      <c r="H3564" s="432"/>
      <c r="I3564" s="282"/>
      <c r="J3564" s="283"/>
      <c r="K3564" s="265"/>
      <c r="L3564" s="265"/>
      <c r="M3564" s="269"/>
      <c r="N3564" s="270"/>
      <c r="O3564" s="271"/>
      <c r="P3564" s="271"/>
      <c r="Q3564" s="272"/>
      <c r="R3564" s="273"/>
      <c r="S3564" s="273"/>
      <c r="T3564" s="273"/>
      <c r="U3564" s="274"/>
      <c r="V3564" s="263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</row>
    <row r="3565">
      <c r="A3565" s="263"/>
      <c r="B3565" s="264"/>
      <c r="C3565" s="265"/>
      <c r="D3565" s="265"/>
      <c r="E3565" s="264"/>
      <c r="F3565" s="265"/>
      <c r="G3565" s="263"/>
      <c r="H3565" s="432"/>
      <c r="I3565" s="282"/>
      <c r="J3565" s="283"/>
      <c r="K3565" s="265"/>
      <c r="L3565" s="265"/>
      <c r="M3565" s="269"/>
      <c r="N3565" s="270"/>
      <c r="O3565" s="271"/>
      <c r="P3565" s="271"/>
      <c r="Q3565" s="272"/>
      <c r="R3565" s="273"/>
      <c r="S3565" s="273"/>
      <c r="T3565" s="273"/>
      <c r="U3565" s="274"/>
      <c r="V3565" s="263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</row>
    <row r="3566">
      <c r="A3566" s="263"/>
      <c r="B3566" s="264"/>
      <c r="C3566" s="265"/>
      <c r="D3566" s="265"/>
      <c r="E3566" s="264"/>
      <c r="F3566" s="265"/>
      <c r="G3566" s="263"/>
      <c r="H3566" s="432"/>
      <c r="I3566" s="282"/>
      <c r="J3566" s="283"/>
      <c r="K3566" s="265"/>
      <c r="L3566" s="265"/>
      <c r="M3566" s="269"/>
      <c r="N3566" s="270"/>
      <c r="O3566" s="271"/>
      <c r="P3566" s="271"/>
      <c r="Q3566" s="272"/>
      <c r="R3566" s="273"/>
      <c r="S3566" s="273"/>
      <c r="T3566" s="273"/>
      <c r="U3566" s="274"/>
      <c r="V3566" s="263"/>
      <c r="W3566" s="188"/>
      <c r="X3566" s="188"/>
      <c r="Y3566" s="188"/>
      <c r="Z3566" s="188"/>
      <c r="AA3566" s="188"/>
      <c r="AB3566" s="188"/>
      <c r="AC3566" s="188"/>
      <c r="AD3566" s="188"/>
      <c r="AE3566" s="188"/>
      <c r="AF3566" s="188"/>
      <c r="AG3566" s="188"/>
      <c r="AH3566" s="188"/>
      <c r="AI3566" s="188"/>
    </row>
    <row r="3567">
      <c r="A3567" s="263"/>
      <c r="B3567" s="264"/>
      <c r="C3567" s="265"/>
      <c r="D3567" s="265"/>
      <c r="E3567" s="264"/>
      <c r="F3567" s="265"/>
      <c r="G3567" s="263"/>
      <c r="H3567" s="432"/>
      <c r="I3567" s="282"/>
      <c r="J3567" s="283"/>
      <c r="K3567" s="265"/>
      <c r="L3567" s="265"/>
      <c r="M3567" s="269"/>
      <c r="N3567" s="270"/>
      <c r="O3567" s="271"/>
      <c r="P3567" s="271"/>
      <c r="Q3567" s="272"/>
      <c r="R3567" s="273"/>
      <c r="S3567" s="273"/>
      <c r="T3567" s="273"/>
      <c r="U3567" s="274"/>
      <c r="V3567" s="263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</row>
    <row r="3568">
      <c r="A3568" s="263"/>
      <c r="B3568" s="264"/>
      <c r="C3568" s="265"/>
      <c r="D3568" s="265"/>
      <c r="E3568" s="264"/>
      <c r="F3568" s="265"/>
      <c r="G3568" s="263"/>
      <c r="H3568" s="432"/>
      <c r="I3568" s="282"/>
      <c r="J3568" s="283"/>
      <c r="K3568" s="265"/>
      <c r="L3568" s="265"/>
      <c r="M3568" s="269"/>
      <c r="N3568" s="270"/>
      <c r="O3568" s="271"/>
      <c r="P3568" s="271"/>
      <c r="Q3568" s="272"/>
      <c r="R3568" s="273"/>
      <c r="S3568" s="273"/>
      <c r="T3568" s="273"/>
      <c r="U3568" s="274"/>
      <c r="V3568" s="263"/>
      <c r="W3568" s="36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</row>
    <row r="3569">
      <c r="A3569" s="263"/>
      <c r="B3569" s="264"/>
      <c r="C3569" s="265"/>
      <c r="D3569" s="265"/>
      <c r="E3569" s="264"/>
      <c r="F3569" s="265"/>
      <c r="G3569" s="263"/>
      <c r="H3569" s="432"/>
      <c r="I3569" s="282"/>
      <c r="J3569" s="283"/>
      <c r="K3569" s="265"/>
      <c r="L3569" s="265"/>
      <c r="M3569" s="269"/>
      <c r="N3569" s="270"/>
      <c r="O3569" s="271"/>
      <c r="P3569" s="271"/>
      <c r="Q3569" s="272"/>
      <c r="R3569" s="273"/>
      <c r="S3569" s="273"/>
      <c r="T3569" s="273"/>
      <c r="U3569" s="274"/>
      <c r="V3569" s="263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</row>
    <row r="3570">
      <c r="A3570" s="263"/>
      <c r="B3570" s="264"/>
      <c r="C3570" s="265"/>
      <c r="D3570" s="265"/>
      <c r="E3570" s="264"/>
      <c r="F3570" s="265"/>
      <c r="G3570" s="263"/>
      <c r="H3570" s="432"/>
      <c r="I3570" s="282"/>
      <c r="J3570" s="283"/>
      <c r="K3570" s="265"/>
      <c r="L3570" s="265"/>
      <c r="M3570" s="269"/>
      <c r="N3570" s="270"/>
      <c r="O3570" s="271"/>
      <c r="P3570" s="271"/>
      <c r="Q3570" s="272"/>
      <c r="R3570" s="273"/>
      <c r="S3570" s="273"/>
      <c r="T3570" s="273"/>
      <c r="U3570" s="274"/>
      <c r="V3570" s="263"/>
      <c r="W3570" s="188"/>
      <c r="X3570" s="188"/>
      <c r="Y3570" s="188"/>
      <c r="Z3570" s="188"/>
      <c r="AA3570" s="188"/>
      <c r="AB3570" s="188"/>
      <c r="AC3570" s="188"/>
      <c r="AD3570" s="188"/>
      <c r="AE3570" s="188"/>
      <c r="AF3570" s="188"/>
      <c r="AG3570" s="188"/>
      <c r="AH3570" s="188"/>
      <c r="AI3570" s="188"/>
    </row>
    <row r="3571">
      <c r="A3571" s="263"/>
      <c r="B3571" s="264"/>
      <c r="C3571" s="265"/>
      <c r="D3571" s="265"/>
      <c r="E3571" s="264"/>
      <c r="F3571" s="265"/>
      <c r="G3571" s="263"/>
      <c r="H3571" s="432"/>
      <c r="I3571" s="282"/>
      <c r="J3571" s="283"/>
      <c r="K3571" s="265"/>
      <c r="L3571" s="265"/>
      <c r="M3571" s="269"/>
      <c r="N3571" s="270"/>
      <c r="O3571" s="271"/>
      <c r="P3571" s="271"/>
      <c r="Q3571" s="272"/>
      <c r="R3571" s="273"/>
      <c r="S3571" s="273"/>
      <c r="T3571" s="273"/>
      <c r="U3571" s="274"/>
      <c r="V3571" s="263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</row>
    <row r="3572">
      <c r="A3572" s="263"/>
      <c r="B3572" s="264"/>
      <c r="C3572" s="265"/>
      <c r="D3572" s="265"/>
      <c r="E3572" s="264"/>
      <c r="F3572" s="265"/>
      <c r="G3572" s="263"/>
      <c r="H3572" s="432"/>
      <c r="I3572" s="282"/>
      <c r="J3572" s="283"/>
      <c r="K3572" s="265"/>
      <c r="L3572" s="265"/>
      <c r="M3572" s="269"/>
      <c r="N3572" s="270"/>
      <c r="O3572" s="271"/>
      <c r="P3572" s="271"/>
      <c r="Q3572" s="272"/>
      <c r="R3572" s="273"/>
      <c r="S3572" s="273"/>
      <c r="T3572" s="273"/>
      <c r="U3572" s="274"/>
      <c r="V3572" s="263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</row>
    <row r="3573">
      <c r="A3573" s="263"/>
      <c r="B3573" s="264"/>
      <c r="C3573" s="265"/>
      <c r="D3573" s="265"/>
      <c r="E3573" s="264"/>
      <c r="F3573" s="265"/>
      <c r="G3573" s="263"/>
      <c r="H3573" s="432"/>
      <c r="I3573" s="282"/>
      <c r="J3573" s="283"/>
      <c r="K3573" s="265"/>
      <c r="L3573" s="265"/>
      <c r="M3573" s="269"/>
      <c r="N3573" s="270"/>
      <c r="O3573" s="271"/>
      <c r="P3573" s="271"/>
      <c r="Q3573" s="272"/>
      <c r="R3573" s="273"/>
      <c r="S3573" s="273"/>
      <c r="T3573" s="273"/>
      <c r="U3573" s="274"/>
      <c r="V3573" s="263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</row>
    <row r="3574">
      <c r="A3574" s="263"/>
      <c r="B3574" s="264"/>
      <c r="C3574" s="265"/>
      <c r="D3574" s="265"/>
      <c r="E3574" s="264"/>
      <c r="F3574" s="265"/>
      <c r="G3574" s="263"/>
      <c r="H3574" s="432"/>
      <c r="I3574" s="282"/>
      <c r="J3574" s="283"/>
      <c r="K3574" s="265"/>
      <c r="L3574" s="265"/>
      <c r="M3574" s="269"/>
      <c r="N3574" s="270"/>
      <c r="O3574" s="271"/>
      <c r="P3574" s="271"/>
      <c r="Q3574" s="272"/>
      <c r="R3574" s="273"/>
      <c r="S3574" s="273"/>
      <c r="T3574" s="273"/>
      <c r="U3574" s="274"/>
      <c r="V3574" s="263"/>
      <c r="W3574" s="188"/>
      <c r="X3574" s="188"/>
      <c r="Y3574" s="188"/>
      <c r="Z3574" s="188"/>
      <c r="AA3574" s="188"/>
      <c r="AB3574" s="188"/>
      <c r="AC3574" s="188"/>
      <c r="AD3574" s="188"/>
      <c r="AE3574" s="188"/>
      <c r="AF3574" s="188"/>
      <c r="AG3574" s="188"/>
      <c r="AH3574" s="188"/>
      <c r="AI3574" s="188"/>
    </row>
    <row r="3575">
      <c r="A3575" s="263"/>
      <c r="B3575" s="264"/>
      <c r="C3575" s="265"/>
      <c r="D3575" s="265"/>
      <c r="E3575" s="264"/>
      <c r="F3575" s="265"/>
      <c r="G3575" s="263"/>
      <c r="H3575" s="432"/>
      <c r="I3575" s="282"/>
      <c r="J3575" s="283"/>
      <c r="K3575" s="265"/>
      <c r="L3575" s="265"/>
      <c r="M3575" s="269"/>
      <c r="N3575" s="270"/>
      <c r="O3575" s="271"/>
      <c r="P3575" s="271"/>
      <c r="Q3575" s="272"/>
      <c r="R3575" s="273"/>
      <c r="S3575" s="273"/>
      <c r="T3575" s="273"/>
      <c r="U3575" s="274"/>
      <c r="V3575" s="263"/>
      <c r="W3575" s="188"/>
      <c r="X3575" s="188"/>
      <c r="Y3575" s="188"/>
      <c r="Z3575" s="188"/>
      <c r="AA3575" s="188"/>
      <c r="AB3575" s="188"/>
      <c r="AC3575" s="188"/>
      <c r="AD3575" s="188"/>
      <c r="AE3575" s="188"/>
      <c r="AF3575" s="188"/>
      <c r="AG3575" s="188"/>
      <c r="AH3575" s="188"/>
      <c r="AI3575" s="188"/>
    </row>
    <row r="3576">
      <c r="A3576" s="263"/>
      <c r="B3576" s="264"/>
      <c r="C3576" s="265"/>
      <c r="D3576" s="265"/>
      <c r="E3576" s="264"/>
      <c r="F3576" s="265"/>
      <c r="G3576" s="263"/>
      <c r="H3576" s="432"/>
      <c r="I3576" s="282"/>
      <c r="J3576" s="283"/>
      <c r="K3576" s="265"/>
      <c r="L3576" s="265"/>
      <c r="M3576" s="269"/>
      <c r="N3576" s="270"/>
      <c r="O3576" s="271"/>
      <c r="P3576" s="271"/>
      <c r="Q3576" s="272"/>
      <c r="R3576" s="273"/>
      <c r="S3576" s="273"/>
      <c r="T3576" s="273"/>
      <c r="U3576" s="274"/>
      <c r="V3576" s="263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</row>
    <row r="3577">
      <c r="A3577" s="263"/>
      <c r="B3577" s="264"/>
      <c r="C3577" s="265"/>
      <c r="D3577" s="265"/>
      <c r="E3577" s="264"/>
      <c r="F3577" s="265"/>
      <c r="G3577" s="263"/>
      <c r="H3577" s="432"/>
      <c r="I3577" s="282"/>
      <c r="J3577" s="283"/>
      <c r="K3577" s="265"/>
      <c r="L3577" s="265"/>
      <c r="M3577" s="269"/>
      <c r="N3577" s="270"/>
      <c r="O3577" s="271"/>
      <c r="P3577" s="271"/>
      <c r="Q3577" s="272"/>
      <c r="R3577" s="273"/>
      <c r="S3577" s="273"/>
      <c r="T3577" s="273"/>
      <c r="U3577" s="274"/>
      <c r="V3577" s="263"/>
      <c r="W3577" s="188"/>
      <c r="X3577" s="188"/>
      <c r="Y3577" s="188"/>
      <c r="Z3577" s="188"/>
      <c r="AA3577" s="188"/>
      <c r="AB3577" s="188"/>
      <c r="AC3577" s="188"/>
      <c r="AD3577" s="188"/>
      <c r="AE3577" s="188"/>
      <c r="AF3577" s="188"/>
      <c r="AG3577" s="188"/>
      <c r="AH3577" s="188"/>
      <c r="AI3577" s="188"/>
    </row>
    <row r="3578">
      <c r="A3578" s="263"/>
      <c r="B3578" s="264"/>
      <c r="C3578" s="265"/>
      <c r="D3578" s="265"/>
      <c r="E3578" s="264"/>
      <c r="F3578" s="265"/>
      <c r="G3578" s="263"/>
      <c r="H3578" s="432"/>
      <c r="I3578" s="282"/>
      <c r="J3578" s="283"/>
      <c r="K3578" s="265"/>
      <c r="L3578" s="265"/>
      <c r="M3578" s="269"/>
      <c r="N3578" s="270"/>
      <c r="O3578" s="271"/>
      <c r="P3578" s="271"/>
      <c r="Q3578" s="272"/>
      <c r="R3578" s="273"/>
      <c r="S3578" s="273"/>
      <c r="T3578" s="273"/>
      <c r="U3578" s="274"/>
      <c r="V3578" s="263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</row>
    <row r="3579">
      <c r="A3579" s="263"/>
      <c r="B3579" s="264"/>
      <c r="C3579" s="265"/>
      <c r="D3579" s="265"/>
      <c r="E3579" s="264"/>
      <c r="F3579" s="265"/>
      <c r="G3579" s="263"/>
      <c r="H3579" s="432"/>
      <c r="I3579" s="282"/>
      <c r="J3579" s="283"/>
      <c r="K3579" s="265"/>
      <c r="L3579" s="265"/>
      <c r="M3579" s="269"/>
      <c r="N3579" s="270"/>
      <c r="O3579" s="271"/>
      <c r="P3579" s="271"/>
      <c r="Q3579" s="272"/>
      <c r="R3579" s="273"/>
      <c r="S3579" s="273"/>
      <c r="T3579" s="273"/>
      <c r="U3579" s="274"/>
      <c r="V3579" s="263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</row>
    <row r="3580">
      <c r="A3580" s="263"/>
      <c r="B3580" s="264"/>
      <c r="C3580" s="265"/>
      <c r="D3580" s="265"/>
      <c r="E3580" s="264"/>
      <c r="F3580" s="265"/>
      <c r="G3580" s="263"/>
      <c r="H3580" s="432"/>
      <c r="I3580" s="282"/>
      <c r="J3580" s="283"/>
      <c r="K3580" s="265"/>
      <c r="L3580" s="265"/>
      <c r="M3580" s="269"/>
      <c r="N3580" s="270"/>
      <c r="O3580" s="271"/>
      <c r="P3580" s="271"/>
      <c r="Q3580" s="272"/>
      <c r="R3580" s="273"/>
      <c r="S3580" s="273"/>
      <c r="T3580" s="273"/>
      <c r="U3580" s="274"/>
      <c r="V3580" s="263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</row>
    <row r="3581">
      <c r="A3581" s="263"/>
      <c r="B3581" s="264"/>
      <c r="C3581" s="265"/>
      <c r="D3581" s="265"/>
      <c r="E3581" s="264"/>
      <c r="F3581" s="265"/>
      <c r="G3581" s="263"/>
      <c r="H3581" s="432"/>
      <c r="I3581" s="282"/>
      <c r="J3581" s="283"/>
      <c r="K3581" s="265"/>
      <c r="L3581" s="265"/>
      <c r="M3581" s="269"/>
      <c r="N3581" s="270"/>
      <c r="O3581" s="271"/>
      <c r="P3581" s="271"/>
      <c r="Q3581" s="272"/>
      <c r="R3581" s="273"/>
      <c r="S3581" s="273"/>
      <c r="T3581" s="273"/>
      <c r="U3581" s="274"/>
      <c r="V3581" s="263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</row>
    <row r="3582">
      <c r="A3582" s="263"/>
      <c r="B3582" s="264"/>
      <c r="C3582" s="265"/>
      <c r="D3582" s="265"/>
      <c r="E3582" s="264"/>
      <c r="F3582" s="265"/>
      <c r="G3582" s="263"/>
      <c r="H3582" s="432"/>
      <c r="I3582" s="282"/>
      <c r="J3582" s="283"/>
      <c r="K3582" s="265"/>
      <c r="L3582" s="265"/>
      <c r="M3582" s="269"/>
      <c r="N3582" s="270"/>
      <c r="O3582" s="271"/>
      <c r="P3582" s="271"/>
      <c r="Q3582" s="272"/>
      <c r="R3582" s="273"/>
      <c r="S3582" s="273"/>
      <c r="T3582" s="273"/>
      <c r="U3582" s="274"/>
      <c r="V3582" s="263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</row>
    <row r="3583">
      <c r="A3583" s="263"/>
      <c r="B3583" s="264"/>
      <c r="C3583" s="265"/>
      <c r="D3583" s="265"/>
      <c r="E3583" s="264"/>
      <c r="F3583" s="265"/>
      <c r="G3583" s="263"/>
      <c r="H3583" s="432"/>
      <c r="I3583" s="282"/>
      <c r="J3583" s="283"/>
      <c r="K3583" s="265"/>
      <c r="L3583" s="265"/>
      <c r="M3583" s="269"/>
      <c r="N3583" s="270"/>
      <c r="O3583" s="271"/>
      <c r="P3583" s="271"/>
      <c r="Q3583" s="272"/>
      <c r="R3583" s="273"/>
      <c r="S3583" s="273"/>
      <c r="T3583" s="273"/>
      <c r="U3583" s="274"/>
      <c r="V3583" s="263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</row>
    <row r="3584">
      <c r="A3584" s="263"/>
      <c r="B3584" s="264"/>
      <c r="C3584" s="265"/>
      <c r="D3584" s="265"/>
      <c r="E3584" s="264"/>
      <c r="F3584" s="265"/>
      <c r="G3584" s="263"/>
      <c r="H3584" s="432"/>
      <c r="I3584" s="282"/>
      <c r="J3584" s="283"/>
      <c r="K3584" s="265"/>
      <c r="L3584" s="265"/>
      <c r="M3584" s="269"/>
      <c r="N3584" s="270"/>
      <c r="O3584" s="271"/>
      <c r="P3584" s="271"/>
      <c r="Q3584" s="272"/>
      <c r="R3584" s="273"/>
      <c r="S3584" s="273"/>
      <c r="T3584" s="273"/>
      <c r="U3584" s="274"/>
      <c r="V3584" s="263"/>
      <c r="W3584" s="35"/>
      <c r="X3584" s="35"/>
      <c r="Y3584" s="35"/>
      <c r="Z3584" s="35"/>
      <c r="AA3584" s="35"/>
      <c r="AB3584" s="35"/>
      <c r="AC3584" s="35"/>
      <c r="AD3584" s="35"/>
      <c r="AE3584" s="35"/>
      <c r="AF3584" s="35"/>
      <c r="AG3584" s="35"/>
      <c r="AH3584" s="35"/>
      <c r="AI3584" s="35"/>
    </row>
    <row r="3585">
      <c r="A3585" s="263"/>
      <c r="B3585" s="264"/>
      <c r="C3585" s="265"/>
      <c r="D3585" s="265"/>
      <c r="E3585" s="264"/>
      <c r="F3585" s="265"/>
      <c r="G3585" s="263"/>
      <c r="H3585" s="432"/>
      <c r="I3585" s="282"/>
      <c r="J3585" s="283"/>
      <c r="K3585" s="265"/>
      <c r="L3585" s="265"/>
      <c r="M3585" s="269"/>
      <c r="N3585" s="270"/>
      <c r="O3585" s="271"/>
      <c r="P3585" s="271"/>
      <c r="Q3585" s="272"/>
      <c r="R3585" s="273"/>
      <c r="S3585" s="273"/>
      <c r="T3585" s="273"/>
      <c r="U3585" s="274"/>
      <c r="V3585" s="263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</row>
    <row r="3586">
      <c r="A3586" s="263"/>
      <c r="B3586" s="264"/>
      <c r="C3586" s="265"/>
      <c r="D3586" s="265"/>
      <c r="E3586" s="264"/>
      <c r="F3586" s="265"/>
      <c r="G3586" s="263"/>
      <c r="H3586" s="432"/>
      <c r="I3586" s="282"/>
      <c r="J3586" s="283"/>
      <c r="K3586" s="265"/>
      <c r="L3586" s="265"/>
      <c r="M3586" s="269"/>
      <c r="N3586" s="270"/>
      <c r="O3586" s="271"/>
      <c r="P3586" s="271"/>
      <c r="Q3586" s="272"/>
      <c r="R3586" s="273"/>
      <c r="S3586" s="273"/>
      <c r="T3586" s="273"/>
      <c r="U3586" s="274"/>
      <c r="V3586" s="263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</row>
    <row r="3587">
      <c r="A3587" s="263"/>
      <c r="B3587" s="264"/>
      <c r="C3587" s="265"/>
      <c r="D3587" s="265"/>
      <c r="E3587" s="264"/>
      <c r="F3587" s="265"/>
      <c r="G3587" s="263"/>
      <c r="H3587" s="432"/>
      <c r="I3587" s="282"/>
      <c r="J3587" s="283"/>
      <c r="K3587" s="265"/>
      <c r="L3587" s="265"/>
      <c r="M3587" s="269"/>
      <c r="N3587" s="270"/>
      <c r="O3587" s="271"/>
      <c r="P3587" s="271"/>
      <c r="Q3587" s="272"/>
      <c r="R3587" s="273"/>
      <c r="S3587" s="273"/>
      <c r="T3587" s="273"/>
      <c r="U3587" s="274"/>
      <c r="V3587" s="263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</row>
    <row r="3588">
      <c r="A3588" s="263"/>
      <c r="B3588" s="264"/>
      <c r="C3588" s="265"/>
      <c r="D3588" s="265"/>
      <c r="E3588" s="264"/>
      <c r="F3588" s="265"/>
      <c r="G3588" s="263"/>
      <c r="H3588" s="432"/>
      <c r="I3588" s="282"/>
      <c r="J3588" s="283"/>
      <c r="K3588" s="265"/>
      <c r="L3588" s="265"/>
      <c r="M3588" s="269"/>
      <c r="N3588" s="270"/>
      <c r="O3588" s="271"/>
      <c r="P3588" s="271"/>
      <c r="Q3588" s="272"/>
      <c r="R3588" s="273"/>
      <c r="S3588" s="273"/>
      <c r="T3588" s="273"/>
      <c r="U3588" s="274"/>
      <c r="V3588" s="263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</row>
    <row r="3589">
      <c r="A3589" s="263"/>
      <c r="B3589" s="264"/>
      <c r="C3589" s="265"/>
      <c r="D3589" s="265"/>
      <c r="E3589" s="264"/>
      <c r="F3589" s="265"/>
      <c r="G3589" s="263"/>
      <c r="H3589" s="432"/>
      <c r="I3589" s="282"/>
      <c r="J3589" s="283"/>
      <c r="K3589" s="265"/>
      <c r="L3589" s="265"/>
      <c r="M3589" s="269"/>
      <c r="N3589" s="270"/>
      <c r="O3589" s="271"/>
      <c r="P3589" s="271"/>
      <c r="Q3589" s="272"/>
      <c r="R3589" s="273"/>
      <c r="S3589" s="273"/>
      <c r="T3589" s="273"/>
      <c r="U3589" s="274"/>
      <c r="V3589" s="263"/>
      <c r="W3589" s="188"/>
      <c r="X3589" s="188"/>
      <c r="Y3589" s="188"/>
      <c r="Z3589" s="188"/>
      <c r="AA3589" s="188"/>
      <c r="AB3589" s="188"/>
      <c r="AC3589" s="188"/>
      <c r="AD3589" s="188"/>
      <c r="AE3589" s="188"/>
      <c r="AF3589" s="188"/>
      <c r="AG3589" s="188"/>
      <c r="AH3589" s="188"/>
      <c r="AI3589" s="188"/>
    </row>
    <row r="3590">
      <c r="A3590" s="263"/>
      <c r="B3590" s="264"/>
      <c r="C3590" s="265"/>
      <c r="D3590" s="265"/>
      <c r="E3590" s="264"/>
      <c r="F3590" s="265"/>
      <c r="G3590" s="263"/>
      <c r="H3590" s="432"/>
      <c r="I3590" s="282"/>
      <c r="J3590" s="283"/>
      <c r="K3590" s="265"/>
      <c r="L3590" s="265"/>
      <c r="M3590" s="269"/>
      <c r="N3590" s="270"/>
      <c r="O3590" s="271"/>
      <c r="P3590" s="271"/>
      <c r="Q3590" s="272"/>
      <c r="R3590" s="273"/>
      <c r="S3590" s="273"/>
      <c r="T3590" s="273"/>
      <c r="U3590" s="274"/>
      <c r="V3590" s="263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</row>
    <row r="3591">
      <c r="A3591" s="263"/>
      <c r="B3591" s="264"/>
      <c r="C3591" s="265"/>
      <c r="D3591" s="265"/>
      <c r="E3591" s="264"/>
      <c r="F3591" s="265"/>
      <c r="G3591" s="263"/>
      <c r="H3591" s="432"/>
      <c r="I3591" s="282"/>
      <c r="J3591" s="283"/>
      <c r="K3591" s="265"/>
      <c r="L3591" s="265"/>
      <c r="M3591" s="269"/>
      <c r="N3591" s="270"/>
      <c r="O3591" s="271"/>
      <c r="P3591" s="271"/>
      <c r="Q3591" s="272"/>
      <c r="R3591" s="273"/>
      <c r="S3591" s="273"/>
      <c r="T3591" s="273"/>
      <c r="U3591" s="274"/>
      <c r="V3591" s="263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</row>
    <row r="3592">
      <c r="A3592" s="263"/>
      <c r="B3592" s="264"/>
      <c r="C3592" s="265"/>
      <c r="D3592" s="265"/>
      <c r="E3592" s="264"/>
      <c r="F3592" s="265"/>
      <c r="G3592" s="263"/>
      <c r="H3592" s="432"/>
      <c r="I3592" s="282"/>
      <c r="J3592" s="283"/>
      <c r="K3592" s="265"/>
      <c r="L3592" s="265"/>
      <c r="M3592" s="269"/>
      <c r="N3592" s="270"/>
      <c r="O3592" s="271"/>
      <c r="P3592" s="271"/>
      <c r="Q3592" s="272"/>
      <c r="R3592" s="273"/>
      <c r="S3592" s="273"/>
      <c r="T3592" s="273"/>
      <c r="U3592" s="274"/>
      <c r="V3592" s="263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</row>
    <row r="3593">
      <c r="A3593" s="263"/>
      <c r="B3593" s="264"/>
      <c r="C3593" s="265"/>
      <c r="D3593" s="265"/>
      <c r="E3593" s="264"/>
      <c r="F3593" s="265"/>
      <c r="G3593" s="263"/>
      <c r="H3593" s="432"/>
      <c r="I3593" s="282"/>
      <c r="J3593" s="283"/>
      <c r="K3593" s="265"/>
      <c r="L3593" s="265"/>
      <c r="M3593" s="269"/>
      <c r="N3593" s="270"/>
      <c r="O3593" s="271"/>
      <c r="P3593" s="271"/>
      <c r="Q3593" s="272"/>
      <c r="R3593" s="273"/>
      <c r="S3593" s="273"/>
      <c r="T3593" s="273"/>
      <c r="U3593" s="274"/>
      <c r="V3593" s="263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</row>
    <row r="3594">
      <c r="A3594" s="263"/>
      <c r="B3594" s="264"/>
      <c r="C3594" s="265"/>
      <c r="D3594" s="265"/>
      <c r="E3594" s="264"/>
      <c r="F3594" s="265"/>
      <c r="G3594" s="263"/>
      <c r="H3594" s="432"/>
      <c r="I3594" s="282"/>
      <c r="J3594" s="283"/>
      <c r="K3594" s="265"/>
      <c r="L3594" s="265"/>
      <c r="M3594" s="269"/>
      <c r="N3594" s="270"/>
      <c r="O3594" s="271"/>
      <c r="P3594" s="271"/>
      <c r="Q3594" s="272"/>
      <c r="R3594" s="273"/>
      <c r="S3594" s="273"/>
      <c r="T3594" s="273"/>
      <c r="U3594" s="274"/>
      <c r="V3594" s="263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</row>
    <row r="3595">
      <c r="A3595" s="263"/>
      <c r="B3595" s="264"/>
      <c r="C3595" s="265"/>
      <c r="D3595" s="265"/>
      <c r="E3595" s="264"/>
      <c r="F3595" s="265"/>
      <c r="G3595" s="263"/>
      <c r="H3595" s="432"/>
      <c r="I3595" s="282"/>
      <c r="J3595" s="283"/>
      <c r="K3595" s="265"/>
      <c r="L3595" s="265"/>
      <c r="M3595" s="269"/>
      <c r="N3595" s="270"/>
      <c r="O3595" s="271"/>
      <c r="P3595" s="271"/>
      <c r="Q3595" s="272"/>
      <c r="R3595" s="273"/>
      <c r="S3595" s="273"/>
      <c r="T3595" s="273"/>
      <c r="U3595" s="274"/>
      <c r="V3595" s="263"/>
      <c r="W3595" s="188"/>
      <c r="X3595" s="188"/>
      <c r="Y3595" s="188"/>
      <c r="Z3595" s="188"/>
      <c r="AA3595" s="188"/>
      <c r="AB3595" s="188"/>
      <c r="AC3595" s="188"/>
      <c r="AD3595" s="188"/>
      <c r="AE3595" s="188"/>
      <c r="AF3595" s="188"/>
      <c r="AG3595" s="188"/>
      <c r="AH3595" s="188"/>
      <c r="AI3595" s="188"/>
    </row>
    <row r="3596">
      <c r="A3596" s="263"/>
      <c r="B3596" s="264"/>
      <c r="C3596" s="265"/>
      <c r="D3596" s="265"/>
      <c r="E3596" s="264"/>
      <c r="F3596" s="265"/>
      <c r="G3596" s="263"/>
      <c r="H3596" s="432"/>
      <c r="I3596" s="282"/>
      <c r="J3596" s="283"/>
      <c r="K3596" s="265"/>
      <c r="L3596" s="265"/>
      <c r="M3596" s="269"/>
      <c r="N3596" s="270"/>
      <c r="O3596" s="271"/>
      <c r="P3596" s="271"/>
      <c r="Q3596" s="272"/>
      <c r="R3596" s="273"/>
      <c r="S3596" s="273"/>
      <c r="T3596" s="273"/>
      <c r="U3596" s="274"/>
      <c r="V3596" s="263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</row>
    <row r="3597">
      <c r="A3597" s="263"/>
      <c r="B3597" s="264"/>
      <c r="C3597" s="265"/>
      <c r="D3597" s="265"/>
      <c r="E3597" s="264"/>
      <c r="F3597" s="265"/>
      <c r="G3597" s="263"/>
      <c r="H3597" s="432"/>
      <c r="I3597" s="282"/>
      <c r="J3597" s="283"/>
      <c r="K3597" s="265"/>
      <c r="L3597" s="265"/>
      <c r="M3597" s="269"/>
      <c r="N3597" s="270"/>
      <c r="O3597" s="271"/>
      <c r="P3597" s="271"/>
      <c r="Q3597" s="272"/>
      <c r="R3597" s="273"/>
      <c r="S3597" s="273"/>
      <c r="T3597" s="273"/>
      <c r="U3597" s="274"/>
      <c r="V3597" s="263"/>
      <c r="W3597" s="35"/>
      <c r="X3597" s="35"/>
      <c r="Y3597" s="35"/>
      <c r="Z3597" s="35"/>
      <c r="AA3597" s="35"/>
      <c r="AB3597" s="35"/>
      <c r="AC3597" s="35"/>
      <c r="AD3597" s="35"/>
      <c r="AE3597" s="35"/>
      <c r="AF3597" s="35"/>
      <c r="AG3597" s="35"/>
      <c r="AH3597" s="35"/>
      <c r="AI3597" s="35"/>
    </row>
    <row r="3598">
      <c r="A3598" s="263"/>
      <c r="B3598" s="264"/>
      <c r="C3598" s="265"/>
      <c r="D3598" s="265"/>
      <c r="E3598" s="264"/>
      <c r="F3598" s="265"/>
      <c r="G3598" s="263"/>
      <c r="H3598" s="432"/>
      <c r="I3598" s="282"/>
      <c r="J3598" s="283"/>
      <c r="K3598" s="265"/>
      <c r="L3598" s="265"/>
      <c r="M3598" s="269"/>
      <c r="N3598" s="270"/>
      <c r="O3598" s="271"/>
      <c r="P3598" s="271"/>
      <c r="Q3598" s="272"/>
      <c r="R3598" s="273"/>
      <c r="S3598" s="273"/>
      <c r="T3598" s="273"/>
      <c r="U3598" s="274"/>
      <c r="V3598" s="263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</row>
    <row r="3599">
      <c r="A3599" s="263"/>
      <c r="B3599" s="264"/>
      <c r="C3599" s="265"/>
      <c r="D3599" s="265"/>
      <c r="E3599" s="264"/>
      <c r="F3599" s="265"/>
      <c r="G3599" s="263"/>
      <c r="H3599" s="432"/>
      <c r="I3599" s="282"/>
      <c r="J3599" s="283"/>
      <c r="K3599" s="265"/>
      <c r="L3599" s="265"/>
      <c r="M3599" s="269"/>
      <c r="N3599" s="270"/>
      <c r="O3599" s="271"/>
      <c r="P3599" s="271"/>
      <c r="Q3599" s="272"/>
      <c r="R3599" s="273"/>
      <c r="S3599" s="273"/>
      <c r="T3599" s="273"/>
      <c r="U3599" s="274"/>
      <c r="V3599" s="263"/>
      <c r="W3599" s="188"/>
      <c r="X3599" s="188"/>
      <c r="Y3599" s="188"/>
      <c r="Z3599" s="188"/>
      <c r="AA3599" s="188"/>
      <c r="AB3599" s="188"/>
      <c r="AC3599" s="188"/>
      <c r="AD3599" s="188"/>
      <c r="AE3599" s="188"/>
      <c r="AF3599" s="188"/>
      <c r="AG3599" s="188"/>
      <c r="AH3599" s="188"/>
      <c r="AI3599" s="188"/>
    </row>
    <row r="3600">
      <c r="A3600" s="263"/>
      <c r="B3600" s="264"/>
      <c r="C3600" s="265"/>
      <c r="D3600" s="265"/>
      <c r="E3600" s="264"/>
      <c r="F3600" s="265"/>
      <c r="G3600" s="263"/>
      <c r="H3600" s="432"/>
      <c r="I3600" s="282"/>
      <c r="J3600" s="283"/>
      <c r="K3600" s="265"/>
      <c r="L3600" s="265"/>
      <c r="M3600" s="269"/>
      <c r="N3600" s="270"/>
      <c r="O3600" s="271"/>
      <c r="P3600" s="271"/>
      <c r="Q3600" s="272"/>
      <c r="R3600" s="273"/>
      <c r="S3600" s="273"/>
      <c r="T3600" s="273"/>
      <c r="U3600" s="274"/>
      <c r="V3600" s="263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</row>
    <row r="3601">
      <c r="A3601" s="263"/>
      <c r="B3601" s="264"/>
      <c r="C3601" s="265"/>
      <c r="D3601" s="265"/>
      <c r="E3601" s="264"/>
      <c r="F3601" s="265"/>
      <c r="G3601" s="263"/>
      <c r="H3601" s="432"/>
      <c r="I3601" s="282"/>
      <c r="J3601" s="283"/>
      <c r="K3601" s="265"/>
      <c r="L3601" s="265"/>
      <c r="M3601" s="269"/>
      <c r="N3601" s="270"/>
      <c r="O3601" s="271"/>
      <c r="P3601" s="271"/>
      <c r="Q3601" s="272"/>
      <c r="R3601" s="273"/>
      <c r="S3601" s="273"/>
      <c r="T3601" s="273"/>
      <c r="U3601" s="274"/>
      <c r="V3601" s="263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</row>
    <row r="3602">
      <c r="A3602" s="263"/>
      <c r="B3602" s="264"/>
      <c r="C3602" s="265"/>
      <c r="D3602" s="265"/>
      <c r="E3602" s="264"/>
      <c r="F3602" s="265"/>
      <c r="G3602" s="263"/>
      <c r="H3602" s="432"/>
      <c r="I3602" s="282"/>
      <c r="J3602" s="283"/>
      <c r="K3602" s="265"/>
      <c r="L3602" s="265"/>
      <c r="M3602" s="269"/>
      <c r="N3602" s="270"/>
      <c r="O3602" s="271"/>
      <c r="P3602" s="271"/>
      <c r="Q3602" s="272"/>
      <c r="R3602" s="273"/>
      <c r="S3602" s="273"/>
      <c r="T3602" s="273"/>
      <c r="U3602" s="274"/>
      <c r="V3602" s="263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</row>
    <row r="3603">
      <c r="A3603" s="263"/>
      <c r="B3603" s="264"/>
      <c r="C3603" s="265"/>
      <c r="D3603" s="265"/>
      <c r="E3603" s="264"/>
      <c r="F3603" s="265"/>
      <c r="G3603" s="263"/>
      <c r="H3603" s="432"/>
      <c r="I3603" s="282"/>
      <c r="J3603" s="283"/>
      <c r="K3603" s="265"/>
      <c r="L3603" s="265"/>
      <c r="M3603" s="269"/>
      <c r="N3603" s="270"/>
      <c r="O3603" s="271"/>
      <c r="P3603" s="271"/>
      <c r="Q3603" s="272"/>
      <c r="R3603" s="273"/>
      <c r="S3603" s="273"/>
      <c r="T3603" s="273"/>
      <c r="U3603" s="274"/>
      <c r="V3603" s="263"/>
      <c r="W3603" s="35"/>
      <c r="X3603" s="35"/>
      <c r="Y3603" s="35"/>
      <c r="Z3603" s="35"/>
      <c r="AA3603" s="35"/>
      <c r="AB3603" s="35"/>
      <c r="AC3603" s="35"/>
      <c r="AD3603" s="35"/>
      <c r="AE3603" s="35"/>
      <c r="AF3603" s="35"/>
      <c r="AG3603" s="35"/>
      <c r="AH3603" s="35"/>
      <c r="AI3603" s="35"/>
    </row>
    <row r="3604">
      <c r="A3604" s="263"/>
      <c r="B3604" s="264"/>
      <c r="C3604" s="265"/>
      <c r="D3604" s="265"/>
      <c r="E3604" s="264"/>
      <c r="F3604" s="265"/>
      <c r="G3604" s="263"/>
      <c r="H3604" s="432"/>
      <c r="I3604" s="282"/>
      <c r="J3604" s="283"/>
      <c r="K3604" s="265"/>
      <c r="L3604" s="265"/>
      <c r="M3604" s="269"/>
      <c r="N3604" s="270"/>
      <c r="O3604" s="271"/>
      <c r="P3604" s="271"/>
      <c r="Q3604" s="272"/>
      <c r="R3604" s="273"/>
      <c r="S3604" s="273"/>
      <c r="T3604" s="273"/>
      <c r="U3604" s="274"/>
      <c r="V3604" s="263"/>
      <c r="W3604" s="35"/>
      <c r="X3604" s="35"/>
      <c r="Y3604" s="35"/>
      <c r="Z3604" s="35"/>
      <c r="AA3604" s="35"/>
      <c r="AB3604" s="35"/>
      <c r="AC3604" s="35"/>
      <c r="AD3604" s="35"/>
      <c r="AE3604" s="35"/>
      <c r="AF3604" s="35"/>
      <c r="AG3604" s="35"/>
      <c r="AH3604" s="35"/>
      <c r="AI3604" s="35"/>
    </row>
    <row r="3605">
      <c r="A3605" s="263"/>
      <c r="B3605" s="264"/>
      <c r="C3605" s="265"/>
      <c r="D3605" s="265"/>
      <c r="E3605" s="264"/>
      <c r="F3605" s="265"/>
      <c r="G3605" s="263"/>
      <c r="H3605" s="432"/>
      <c r="I3605" s="282"/>
      <c r="J3605" s="283"/>
      <c r="K3605" s="265"/>
      <c r="L3605" s="265"/>
      <c r="M3605" s="269"/>
      <c r="N3605" s="270"/>
      <c r="O3605" s="271"/>
      <c r="P3605" s="271"/>
      <c r="Q3605" s="272"/>
      <c r="R3605" s="273"/>
      <c r="S3605" s="273"/>
      <c r="T3605" s="273"/>
      <c r="U3605" s="274"/>
      <c r="V3605" s="263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</row>
    <row r="3606">
      <c r="A3606" s="263"/>
      <c r="B3606" s="264"/>
      <c r="C3606" s="265"/>
      <c r="D3606" s="265"/>
      <c r="E3606" s="264"/>
      <c r="F3606" s="265"/>
      <c r="G3606" s="263"/>
      <c r="H3606" s="432"/>
      <c r="I3606" s="282"/>
      <c r="J3606" s="283"/>
      <c r="K3606" s="265"/>
      <c r="L3606" s="265"/>
      <c r="M3606" s="269"/>
      <c r="N3606" s="270"/>
      <c r="O3606" s="271"/>
      <c r="P3606" s="271"/>
      <c r="Q3606" s="272"/>
      <c r="R3606" s="273"/>
      <c r="S3606" s="273"/>
      <c r="T3606" s="273"/>
      <c r="U3606" s="274"/>
      <c r="V3606" s="263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</row>
    <row r="3607">
      <c r="A3607" s="263"/>
      <c r="B3607" s="264"/>
      <c r="C3607" s="265"/>
      <c r="D3607" s="265"/>
      <c r="E3607" s="264"/>
      <c r="F3607" s="265"/>
      <c r="G3607" s="263"/>
      <c r="H3607" s="432"/>
      <c r="I3607" s="282"/>
      <c r="J3607" s="283"/>
      <c r="K3607" s="265"/>
      <c r="L3607" s="265"/>
      <c r="M3607" s="269"/>
      <c r="N3607" s="270"/>
      <c r="O3607" s="271"/>
      <c r="P3607" s="271"/>
      <c r="Q3607" s="272"/>
      <c r="R3607" s="273"/>
      <c r="S3607" s="273"/>
      <c r="T3607" s="273"/>
      <c r="U3607" s="274"/>
      <c r="V3607" s="263"/>
      <c r="W3607" s="35"/>
      <c r="X3607" s="35"/>
      <c r="Y3607" s="35"/>
      <c r="Z3607" s="35"/>
      <c r="AA3607" s="35"/>
      <c r="AB3607" s="35"/>
      <c r="AC3607" s="35"/>
      <c r="AD3607" s="35"/>
      <c r="AE3607" s="35"/>
      <c r="AF3607" s="35"/>
      <c r="AG3607" s="35"/>
      <c r="AH3607" s="35"/>
      <c r="AI3607" s="35"/>
    </row>
    <row r="3608">
      <c r="A3608" s="263"/>
      <c r="B3608" s="264"/>
      <c r="C3608" s="265"/>
      <c r="D3608" s="265"/>
      <c r="E3608" s="264"/>
      <c r="F3608" s="265"/>
      <c r="G3608" s="263"/>
      <c r="H3608" s="432"/>
      <c r="I3608" s="282"/>
      <c r="J3608" s="283"/>
      <c r="K3608" s="265"/>
      <c r="L3608" s="265"/>
      <c r="M3608" s="269"/>
      <c r="N3608" s="270"/>
      <c r="O3608" s="271"/>
      <c r="P3608" s="271"/>
      <c r="Q3608" s="272"/>
      <c r="R3608" s="273"/>
      <c r="S3608" s="273"/>
      <c r="T3608" s="273"/>
      <c r="U3608" s="274"/>
      <c r="V3608" s="263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</row>
    <row r="3609">
      <c r="A3609" s="263"/>
      <c r="B3609" s="264"/>
      <c r="C3609" s="265"/>
      <c r="D3609" s="265"/>
      <c r="E3609" s="264"/>
      <c r="F3609" s="265"/>
      <c r="G3609" s="263"/>
      <c r="H3609" s="432"/>
      <c r="I3609" s="282"/>
      <c r="J3609" s="283"/>
      <c r="K3609" s="265"/>
      <c r="L3609" s="265"/>
      <c r="M3609" s="269"/>
      <c r="N3609" s="270"/>
      <c r="O3609" s="271"/>
      <c r="P3609" s="271"/>
      <c r="Q3609" s="272"/>
      <c r="R3609" s="273"/>
      <c r="S3609" s="273"/>
      <c r="T3609" s="273"/>
      <c r="U3609" s="274"/>
      <c r="V3609" s="263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</row>
    <row r="3610">
      <c r="A3610" s="263"/>
      <c r="B3610" s="264"/>
      <c r="C3610" s="265"/>
      <c r="D3610" s="265"/>
      <c r="E3610" s="264"/>
      <c r="F3610" s="265"/>
      <c r="G3610" s="263"/>
      <c r="H3610" s="432"/>
      <c r="I3610" s="282"/>
      <c r="J3610" s="283"/>
      <c r="K3610" s="265"/>
      <c r="L3610" s="265"/>
      <c r="M3610" s="269"/>
      <c r="N3610" s="270"/>
      <c r="O3610" s="271"/>
      <c r="P3610" s="271"/>
      <c r="Q3610" s="272"/>
      <c r="R3610" s="273"/>
      <c r="S3610" s="273"/>
      <c r="T3610" s="273"/>
      <c r="U3610" s="274"/>
      <c r="V3610" s="263"/>
      <c r="W3610" s="35"/>
      <c r="X3610" s="35"/>
      <c r="Y3610" s="35"/>
      <c r="Z3610" s="35"/>
      <c r="AA3610" s="35"/>
      <c r="AB3610" s="35"/>
      <c r="AC3610" s="35"/>
      <c r="AD3610" s="35"/>
      <c r="AE3610" s="35"/>
      <c r="AF3610" s="35"/>
      <c r="AG3610" s="35"/>
      <c r="AH3610" s="35"/>
      <c r="AI3610" s="35"/>
    </row>
    <row r="3611">
      <c r="A3611" s="263"/>
      <c r="B3611" s="264"/>
      <c r="C3611" s="265"/>
      <c r="D3611" s="265"/>
      <c r="E3611" s="264"/>
      <c r="F3611" s="265"/>
      <c r="G3611" s="263"/>
      <c r="H3611" s="432"/>
      <c r="I3611" s="282"/>
      <c r="J3611" s="283"/>
      <c r="K3611" s="265"/>
      <c r="L3611" s="265"/>
      <c r="M3611" s="269"/>
      <c r="N3611" s="270"/>
      <c r="O3611" s="271"/>
      <c r="P3611" s="271"/>
      <c r="Q3611" s="272"/>
      <c r="R3611" s="273"/>
      <c r="S3611" s="273"/>
      <c r="T3611" s="273"/>
      <c r="U3611" s="274"/>
      <c r="V3611" s="263"/>
      <c r="W3611" s="36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</row>
    <row r="3612">
      <c r="A3612" s="263"/>
      <c r="B3612" s="264"/>
      <c r="C3612" s="265"/>
      <c r="D3612" s="265"/>
      <c r="E3612" s="264"/>
      <c r="F3612" s="265"/>
      <c r="G3612" s="263"/>
      <c r="H3612" s="432"/>
      <c r="I3612" s="282"/>
      <c r="J3612" s="283"/>
      <c r="K3612" s="265"/>
      <c r="L3612" s="265"/>
      <c r="M3612" s="269"/>
      <c r="N3612" s="270"/>
      <c r="O3612" s="271"/>
      <c r="P3612" s="271"/>
      <c r="Q3612" s="272"/>
      <c r="R3612" s="273"/>
      <c r="S3612" s="273"/>
      <c r="T3612" s="273"/>
      <c r="U3612" s="274"/>
      <c r="V3612" s="263"/>
      <c r="W3612" s="35"/>
      <c r="X3612" s="35"/>
      <c r="Y3612" s="35"/>
      <c r="Z3612" s="35"/>
      <c r="AA3612" s="35"/>
      <c r="AB3612" s="35"/>
      <c r="AC3612" s="35"/>
      <c r="AD3612" s="35"/>
      <c r="AE3612" s="35"/>
      <c r="AF3612" s="35"/>
      <c r="AG3612" s="35"/>
      <c r="AH3612" s="35"/>
      <c r="AI3612" s="35"/>
    </row>
    <row r="3613">
      <c r="A3613" s="263"/>
      <c r="B3613" s="264"/>
      <c r="C3613" s="265"/>
      <c r="D3613" s="265"/>
      <c r="E3613" s="264"/>
      <c r="F3613" s="265"/>
      <c r="G3613" s="263"/>
      <c r="H3613" s="432"/>
      <c r="I3613" s="282"/>
      <c r="J3613" s="283"/>
      <c r="K3613" s="265"/>
      <c r="L3613" s="265"/>
      <c r="M3613" s="269"/>
      <c r="N3613" s="270"/>
      <c r="O3613" s="271"/>
      <c r="P3613" s="271"/>
      <c r="Q3613" s="272"/>
      <c r="R3613" s="273"/>
      <c r="S3613" s="273"/>
      <c r="T3613" s="273"/>
      <c r="U3613" s="274"/>
      <c r="V3613" s="263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</row>
    <row r="3614">
      <c r="A3614" s="263"/>
      <c r="B3614" s="264"/>
      <c r="C3614" s="265"/>
      <c r="D3614" s="265"/>
      <c r="E3614" s="264"/>
      <c r="F3614" s="265"/>
      <c r="G3614" s="263"/>
      <c r="H3614" s="432"/>
      <c r="I3614" s="282"/>
      <c r="J3614" s="283"/>
      <c r="K3614" s="265"/>
      <c r="L3614" s="265"/>
      <c r="M3614" s="269"/>
      <c r="N3614" s="270"/>
      <c r="O3614" s="271"/>
      <c r="P3614" s="271"/>
      <c r="Q3614" s="272"/>
      <c r="R3614" s="273"/>
      <c r="S3614" s="273"/>
      <c r="T3614" s="273"/>
      <c r="U3614" s="274"/>
      <c r="V3614" s="263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</row>
    <row r="3615">
      <c r="A3615" s="263"/>
      <c r="B3615" s="264"/>
      <c r="C3615" s="265"/>
      <c r="D3615" s="265"/>
      <c r="E3615" s="264"/>
      <c r="F3615" s="265"/>
      <c r="G3615" s="263"/>
      <c r="H3615" s="432"/>
      <c r="I3615" s="282"/>
      <c r="J3615" s="283"/>
      <c r="K3615" s="265"/>
      <c r="L3615" s="265"/>
      <c r="M3615" s="269"/>
      <c r="N3615" s="270"/>
      <c r="O3615" s="271"/>
      <c r="P3615" s="271"/>
      <c r="Q3615" s="272"/>
      <c r="R3615" s="273"/>
      <c r="S3615" s="273"/>
      <c r="T3615" s="273"/>
      <c r="U3615" s="274"/>
      <c r="V3615" s="263"/>
      <c r="W3615" s="188"/>
      <c r="X3615" s="188"/>
      <c r="Y3615" s="188"/>
      <c r="Z3615" s="188"/>
      <c r="AA3615" s="188"/>
      <c r="AB3615" s="188"/>
      <c r="AC3615" s="188"/>
      <c r="AD3615" s="188"/>
      <c r="AE3615" s="188"/>
      <c r="AF3615" s="188"/>
      <c r="AG3615" s="188"/>
      <c r="AH3615" s="188"/>
      <c r="AI3615" s="188"/>
    </row>
    <row r="3616">
      <c r="A3616" s="263"/>
      <c r="B3616" s="264"/>
      <c r="C3616" s="265"/>
      <c r="D3616" s="265"/>
      <c r="E3616" s="264"/>
      <c r="F3616" s="265"/>
      <c r="G3616" s="263"/>
      <c r="H3616" s="432"/>
      <c r="I3616" s="282"/>
      <c r="J3616" s="283"/>
      <c r="K3616" s="265"/>
      <c r="L3616" s="265"/>
      <c r="M3616" s="269"/>
      <c r="N3616" s="270"/>
      <c r="O3616" s="271"/>
      <c r="P3616" s="271"/>
      <c r="Q3616" s="272"/>
      <c r="R3616" s="273"/>
      <c r="S3616" s="273"/>
      <c r="T3616" s="273"/>
      <c r="U3616" s="274"/>
      <c r="V3616" s="263"/>
      <c r="W3616" s="188"/>
      <c r="X3616" s="188"/>
      <c r="Y3616" s="188"/>
      <c r="Z3616" s="188"/>
      <c r="AA3616" s="188"/>
      <c r="AB3616" s="188"/>
      <c r="AC3616" s="188"/>
      <c r="AD3616" s="188"/>
      <c r="AE3616" s="188"/>
      <c r="AF3616" s="188"/>
      <c r="AG3616" s="188"/>
      <c r="AH3616" s="188"/>
      <c r="AI3616" s="188"/>
    </row>
    <row r="3617">
      <c r="A3617" s="263"/>
      <c r="B3617" s="264"/>
      <c r="C3617" s="265"/>
      <c r="D3617" s="265"/>
      <c r="E3617" s="264"/>
      <c r="F3617" s="265"/>
      <c r="G3617" s="263"/>
      <c r="H3617" s="432"/>
      <c r="I3617" s="282"/>
      <c r="J3617" s="283"/>
      <c r="K3617" s="265"/>
      <c r="L3617" s="265"/>
      <c r="M3617" s="269"/>
      <c r="N3617" s="270"/>
      <c r="O3617" s="271"/>
      <c r="P3617" s="271"/>
      <c r="Q3617" s="272"/>
      <c r="R3617" s="273"/>
      <c r="S3617" s="273"/>
      <c r="T3617" s="273"/>
      <c r="U3617" s="274"/>
      <c r="V3617" s="263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</row>
    <row r="3618">
      <c r="A3618" s="263"/>
      <c r="B3618" s="264"/>
      <c r="C3618" s="265"/>
      <c r="D3618" s="265"/>
      <c r="E3618" s="264"/>
      <c r="F3618" s="265"/>
      <c r="G3618" s="263"/>
      <c r="H3618" s="432"/>
      <c r="I3618" s="282"/>
      <c r="J3618" s="283"/>
      <c r="K3618" s="265"/>
      <c r="L3618" s="265"/>
      <c r="M3618" s="269"/>
      <c r="N3618" s="270"/>
      <c r="O3618" s="271"/>
      <c r="P3618" s="271"/>
      <c r="Q3618" s="272"/>
      <c r="R3618" s="273"/>
      <c r="S3618" s="273"/>
      <c r="T3618" s="273"/>
      <c r="U3618" s="274"/>
      <c r="V3618" s="263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</row>
    <row r="3619">
      <c r="A3619" s="263"/>
      <c r="B3619" s="264"/>
      <c r="C3619" s="265"/>
      <c r="D3619" s="265"/>
      <c r="E3619" s="264"/>
      <c r="F3619" s="265"/>
      <c r="G3619" s="263"/>
      <c r="H3619" s="432"/>
      <c r="I3619" s="282"/>
      <c r="J3619" s="283"/>
      <c r="K3619" s="265"/>
      <c r="L3619" s="265"/>
      <c r="M3619" s="269"/>
      <c r="N3619" s="270"/>
      <c r="O3619" s="271"/>
      <c r="P3619" s="271"/>
      <c r="Q3619" s="272"/>
      <c r="R3619" s="273"/>
      <c r="S3619" s="273"/>
      <c r="T3619" s="273"/>
      <c r="U3619" s="274"/>
      <c r="V3619" s="263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</row>
    <row r="3620">
      <c r="A3620" s="263"/>
      <c r="B3620" s="264"/>
      <c r="C3620" s="265"/>
      <c r="D3620" s="265"/>
      <c r="E3620" s="264"/>
      <c r="F3620" s="265"/>
      <c r="G3620" s="263"/>
      <c r="H3620" s="432"/>
      <c r="I3620" s="282"/>
      <c r="J3620" s="283"/>
      <c r="K3620" s="265"/>
      <c r="L3620" s="265"/>
      <c r="M3620" s="269"/>
      <c r="N3620" s="270"/>
      <c r="O3620" s="271"/>
      <c r="P3620" s="271"/>
      <c r="Q3620" s="272"/>
      <c r="R3620" s="273"/>
      <c r="S3620" s="273"/>
      <c r="T3620" s="273"/>
      <c r="U3620" s="274"/>
      <c r="V3620" s="263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</row>
    <row r="3621">
      <c r="A3621" s="263"/>
      <c r="B3621" s="264"/>
      <c r="C3621" s="265"/>
      <c r="D3621" s="265"/>
      <c r="E3621" s="264"/>
      <c r="F3621" s="265"/>
      <c r="G3621" s="263"/>
      <c r="H3621" s="432"/>
      <c r="I3621" s="282"/>
      <c r="J3621" s="283"/>
      <c r="K3621" s="265"/>
      <c r="L3621" s="265"/>
      <c r="M3621" s="269"/>
      <c r="N3621" s="270"/>
      <c r="O3621" s="271"/>
      <c r="P3621" s="271"/>
      <c r="Q3621" s="272"/>
      <c r="R3621" s="273"/>
      <c r="S3621" s="273"/>
      <c r="T3621" s="273"/>
      <c r="U3621" s="274"/>
      <c r="V3621" s="263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</row>
    <row r="3622">
      <c r="A3622" s="263"/>
      <c r="B3622" s="264"/>
      <c r="C3622" s="265"/>
      <c r="D3622" s="265"/>
      <c r="E3622" s="264"/>
      <c r="F3622" s="265"/>
      <c r="G3622" s="263"/>
      <c r="H3622" s="432"/>
      <c r="I3622" s="282"/>
      <c r="J3622" s="283"/>
      <c r="K3622" s="265"/>
      <c r="L3622" s="265"/>
      <c r="M3622" s="269"/>
      <c r="N3622" s="270"/>
      <c r="O3622" s="271"/>
      <c r="P3622" s="271"/>
      <c r="Q3622" s="272"/>
      <c r="R3622" s="273"/>
      <c r="S3622" s="273"/>
      <c r="T3622" s="273"/>
      <c r="U3622" s="274"/>
      <c r="V3622" s="263"/>
      <c r="W3622" s="35"/>
      <c r="X3622" s="35"/>
      <c r="Y3622" s="35"/>
      <c r="Z3622" s="35"/>
      <c r="AA3622" s="35"/>
      <c r="AB3622" s="35"/>
      <c r="AC3622" s="35"/>
      <c r="AD3622" s="35"/>
      <c r="AE3622" s="35"/>
      <c r="AF3622" s="35"/>
      <c r="AG3622" s="35"/>
      <c r="AH3622" s="35"/>
      <c r="AI3622" s="35"/>
    </row>
    <row r="3623">
      <c r="A3623" s="263"/>
      <c r="B3623" s="264"/>
      <c r="C3623" s="265"/>
      <c r="D3623" s="265"/>
      <c r="E3623" s="264"/>
      <c r="F3623" s="265"/>
      <c r="G3623" s="263"/>
      <c r="H3623" s="432"/>
      <c r="I3623" s="282"/>
      <c r="J3623" s="283"/>
      <c r="K3623" s="265"/>
      <c r="L3623" s="265"/>
      <c r="M3623" s="269"/>
      <c r="N3623" s="270"/>
      <c r="O3623" s="271"/>
      <c r="P3623" s="271"/>
      <c r="Q3623" s="272"/>
      <c r="R3623" s="273"/>
      <c r="S3623" s="273"/>
      <c r="T3623" s="273"/>
      <c r="U3623" s="274"/>
      <c r="V3623" s="263"/>
      <c r="W3623" s="35"/>
      <c r="X3623" s="35"/>
      <c r="Y3623" s="35"/>
      <c r="Z3623" s="35"/>
      <c r="AA3623" s="35"/>
      <c r="AB3623" s="35"/>
      <c r="AC3623" s="35"/>
      <c r="AD3623" s="35"/>
      <c r="AE3623" s="35"/>
      <c r="AF3623" s="35"/>
      <c r="AG3623" s="35"/>
      <c r="AH3623" s="35"/>
      <c r="AI3623" s="35"/>
    </row>
    <row r="3624">
      <c r="A3624" s="263"/>
      <c r="B3624" s="264"/>
      <c r="C3624" s="265"/>
      <c r="D3624" s="265"/>
      <c r="E3624" s="264"/>
      <c r="F3624" s="265"/>
      <c r="G3624" s="263"/>
      <c r="H3624" s="432"/>
      <c r="I3624" s="282"/>
      <c r="J3624" s="283"/>
      <c r="K3624" s="265"/>
      <c r="L3624" s="265"/>
      <c r="M3624" s="269"/>
      <c r="N3624" s="270"/>
      <c r="O3624" s="271"/>
      <c r="P3624" s="271"/>
      <c r="Q3624" s="272"/>
      <c r="R3624" s="273"/>
      <c r="S3624" s="273"/>
      <c r="T3624" s="273"/>
      <c r="U3624" s="274"/>
      <c r="V3624" s="263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</row>
    <row r="3625">
      <c r="A3625" s="263"/>
      <c r="B3625" s="264"/>
      <c r="C3625" s="265"/>
      <c r="D3625" s="265"/>
      <c r="E3625" s="264"/>
      <c r="F3625" s="265"/>
      <c r="G3625" s="263"/>
      <c r="H3625" s="432"/>
      <c r="I3625" s="282"/>
      <c r="J3625" s="283"/>
      <c r="K3625" s="265"/>
      <c r="L3625" s="265"/>
      <c r="M3625" s="269"/>
      <c r="N3625" s="270"/>
      <c r="O3625" s="271"/>
      <c r="P3625" s="271"/>
      <c r="Q3625" s="272"/>
      <c r="R3625" s="273"/>
      <c r="S3625" s="273"/>
      <c r="T3625" s="273"/>
      <c r="U3625" s="274"/>
      <c r="V3625" s="263"/>
      <c r="W3625" s="188"/>
      <c r="X3625" s="188"/>
      <c r="Y3625" s="188"/>
      <c r="Z3625" s="188"/>
      <c r="AA3625" s="188"/>
      <c r="AB3625" s="188"/>
      <c r="AC3625" s="188"/>
      <c r="AD3625" s="188"/>
      <c r="AE3625" s="188"/>
      <c r="AF3625" s="188"/>
      <c r="AG3625" s="188"/>
      <c r="AH3625" s="188"/>
      <c r="AI3625" s="188"/>
    </row>
    <row r="3626">
      <c r="A3626" s="263"/>
      <c r="B3626" s="264"/>
      <c r="C3626" s="265"/>
      <c r="D3626" s="265"/>
      <c r="E3626" s="264"/>
      <c r="F3626" s="265"/>
      <c r="G3626" s="263"/>
      <c r="H3626" s="432"/>
      <c r="I3626" s="282"/>
      <c r="J3626" s="283"/>
      <c r="K3626" s="265"/>
      <c r="L3626" s="265"/>
      <c r="M3626" s="269"/>
      <c r="N3626" s="270"/>
      <c r="O3626" s="271"/>
      <c r="P3626" s="271"/>
      <c r="Q3626" s="272"/>
      <c r="R3626" s="273"/>
      <c r="S3626" s="273"/>
      <c r="T3626" s="273"/>
      <c r="U3626" s="274"/>
      <c r="V3626" s="263"/>
      <c r="W3626" s="188"/>
      <c r="X3626" s="188"/>
      <c r="Y3626" s="188"/>
      <c r="Z3626" s="188"/>
      <c r="AA3626" s="188"/>
      <c r="AB3626" s="188"/>
      <c r="AC3626" s="188"/>
      <c r="AD3626" s="188"/>
      <c r="AE3626" s="188"/>
      <c r="AF3626" s="188"/>
      <c r="AG3626" s="188"/>
      <c r="AH3626" s="188"/>
      <c r="AI3626" s="188"/>
    </row>
    <row r="3627">
      <c r="A3627" s="263"/>
      <c r="B3627" s="264"/>
      <c r="C3627" s="265"/>
      <c r="D3627" s="265"/>
      <c r="E3627" s="264"/>
      <c r="F3627" s="265"/>
      <c r="G3627" s="263"/>
      <c r="H3627" s="432"/>
      <c r="I3627" s="282"/>
      <c r="J3627" s="283"/>
      <c r="K3627" s="265"/>
      <c r="L3627" s="265"/>
      <c r="M3627" s="269"/>
      <c r="N3627" s="270"/>
      <c r="O3627" s="271"/>
      <c r="P3627" s="271"/>
      <c r="Q3627" s="272"/>
      <c r="R3627" s="273"/>
      <c r="S3627" s="273"/>
      <c r="T3627" s="273"/>
      <c r="U3627" s="274"/>
      <c r="V3627" s="263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</row>
    <row r="3628">
      <c r="A3628" s="263"/>
      <c r="B3628" s="264"/>
      <c r="C3628" s="265"/>
      <c r="D3628" s="265"/>
      <c r="E3628" s="264"/>
      <c r="F3628" s="265"/>
      <c r="G3628" s="263"/>
      <c r="H3628" s="432"/>
      <c r="I3628" s="282"/>
      <c r="J3628" s="283"/>
      <c r="K3628" s="265"/>
      <c r="L3628" s="265"/>
      <c r="M3628" s="269"/>
      <c r="N3628" s="270"/>
      <c r="O3628" s="271"/>
      <c r="P3628" s="271"/>
      <c r="Q3628" s="272"/>
      <c r="R3628" s="273"/>
      <c r="S3628" s="273"/>
      <c r="T3628" s="273"/>
      <c r="U3628" s="274"/>
      <c r="V3628" s="263"/>
      <c r="W3628" s="35"/>
      <c r="X3628" s="35"/>
      <c r="Y3628" s="35"/>
      <c r="Z3628" s="35"/>
      <c r="AA3628" s="35"/>
      <c r="AB3628" s="35"/>
      <c r="AC3628" s="35"/>
      <c r="AD3628" s="35"/>
      <c r="AE3628" s="35"/>
      <c r="AF3628" s="35"/>
      <c r="AG3628" s="35"/>
      <c r="AH3628" s="35"/>
      <c r="AI3628" s="35"/>
    </row>
    <row r="3629">
      <c r="A3629" s="263"/>
      <c r="B3629" s="264"/>
      <c r="C3629" s="265"/>
      <c r="D3629" s="265"/>
      <c r="E3629" s="264"/>
      <c r="F3629" s="265"/>
      <c r="G3629" s="263"/>
      <c r="H3629" s="432"/>
      <c r="I3629" s="282"/>
      <c r="J3629" s="283"/>
      <c r="K3629" s="265"/>
      <c r="L3629" s="265"/>
      <c r="M3629" s="269"/>
      <c r="N3629" s="270"/>
      <c r="O3629" s="271"/>
      <c r="P3629" s="271"/>
      <c r="Q3629" s="272"/>
      <c r="R3629" s="273"/>
      <c r="S3629" s="273"/>
      <c r="T3629" s="273"/>
      <c r="U3629" s="274"/>
      <c r="V3629" s="263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</row>
    <row r="3630">
      <c r="A3630" s="263"/>
      <c r="B3630" s="264"/>
      <c r="C3630" s="265"/>
      <c r="D3630" s="265"/>
      <c r="E3630" s="264"/>
      <c r="F3630" s="265"/>
      <c r="G3630" s="263"/>
      <c r="H3630" s="432"/>
      <c r="I3630" s="282"/>
      <c r="J3630" s="283"/>
      <c r="K3630" s="265"/>
      <c r="L3630" s="265"/>
      <c r="M3630" s="269"/>
      <c r="N3630" s="270"/>
      <c r="O3630" s="271"/>
      <c r="P3630" s="271"/>
      <c r="Q3630" s="272"/>
      <c r="R3630" s="273"/>
      <c r="S3630" s="273"/>
      <c r="T3630" s="273"/>
      <c r="U3630" s="274"/>
      <c r="V3630" s="263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</row>
    <row r="3631">
      <c r="A3631" s="263"/>
      <c r="B3631" s="264"/>
      <c r="C3631" s="265"/>
      <c r="D3631" s="265"/>
      <c r="E3631" s="264"/>
      <c r="F3631" s="265"/>
      <c r="G3631" s="263"/>
      <c r="H3631" s="432"/>
      <c r="I3631" s="282"/>
      <c r="J3631" s="283"/>
      <c r="K3631" s="265"/>
      <c r="L3631" s="265"/>
      <c r="M3631" s="269"/>
      <c r="N3631" s="270"/>
      <c r="O3631" s="271"/>
      <c r="P3631" s="271"/>
      <c r="Q3631" s="272"/>
      <c r="R3631" s="273"/>
      <c r="S3631" s="273"/>
      <c r="T3631" s="273"/>
      <c r="U3631" s="274"/>
      <c r="V3631" s="263"/>
      <c r="W3631" s="35"/>
      <c r="X3631" s="35"/>
      <c r="Y3631" s="35"/>
      <c r="Z3631" s="35"/>
      <c r="AA3631" s="35"/>
      <c r="AB3631" s="35"/>
      <c r="AC3631" s="35"/>
      <c r="AD3631" s="35"/>
      <c r="AE3631" s="35"/>
      <c r="AF3631" s="35"/>
      <c r="AG3631" s="35"/>
      <c r="AH3631" s="35"/>
      <c r="AI3631" s="35"/>
    </row>
    <row r="3632">
      <c r="A3632" s="263"/>
      <c r="B3632" s="264"/>
      <c r="C3632" s="265"/>
      <c r="D3632" s="265"/>
      <c r="E3632" s="264"/>
      <c r="F3632" s="265"/>
      <c r="G3632" s="263"/>
      <c r="H3632" s="432"/>
      <c r="I3632" s="282"/>
      <c r="J3632" s="283"/>
      <c r="K3632" s="265"/>
      <c r="L3632" s="265"/>
      <c r="M3632" s="269"/>
      <c r="N3632" s="270"/>
      <c r="O3632" s="271"/>
      <c r="P3632" s="271"/>
      <c r="Q3632" s="272"/>
      <c r="R3632" s="273"/>
      <c r="S3632" s="273"/>
      <c r="T3632" s="273"/>
      <c r="U3632" s="274"/>
      <c r="V3632" s="263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</row>
    <row r="3633">
      <c r="A3633" s="263"/>
      <c r="B3633" s="264"/>
      <c r="C3633" s="265"/>
      <c r="D3633" s="265"/>
      <c r="E3633" s="264"/>
      <c r="F3633" s="265"/>
      <c r="G3633" s="263"/>
      <c r="H3633" s="432"/>
      <c r="I3633" s="282"/>
      <c r="J3633" s="283"/>
      <c r="K3633" s="265"/>
      <c r="L3633" s="265"/>
      <c r="M3633" s="269"/>
      <c r="N3633" s="270"/>
      <c r="O3633" s="271"/>
      <c r="P3633" s="271"/>
      <c r="Q3633" s="272"/>
      <c r="R3633" s="273"/>
      <c r="S3633" s="273"/>
      <c r="T3633" s="273"/>
      <c r="U3633" s="274"/>
      <c r="V3633" s="263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</row>
    <row r="3634">
      <c r="A3634" s="263"/>
      <c r="B3634" s="264"/>
      <c r="C3634" s="265"/>
      <c r="D3634" s="265"/>
      <c r="E3634" s="264"/>
      <c r="F3634" s="265"/>
      <c r="G3634" s="263"/>
      <c r="H3634" s="432"/>
      <c r="I3634" s="282"/>
      <c r="J3634" s="283"/>
      <c r="K3634" s="265"/>
      <c r="L3634" s="265"/>
      <c r="M3634" s="269"/>
      <c r="N3634" s="270"/>
      <c r="O3634" s="271"/>
      <c r="P3634" s="271"/>
      <c r="Q3634" s="272"/>
      <c r="R3634" s="273"/>
      <c r="S3634" s="273"/>
      <c r="T3634" s="273"/>
      <c r="U3634" s="274"/>
      <c r="V3634" s="263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</row>
    <row r="3635">
      <c r="A3635" s="263"/>
      <c r="B3635" s="264"/>
      <c r="C3635" s="265"/>
      <c r="D3635" s="265"/>
      <c r="E3635" s="264"/>
      <c r="F3635" s="265"/>
      <c r="G3635" s="263"/>
      <c r="H3635" s="432"/>
      <c r="I3635" s="282"/>
      <c r="J3635" s="283"/>
      <c r="K3635" s="265"/>
      <c r="L3635" s="265"/>
      <c r="M3635" s="269"/>
      <c r="N3635" s="270"/>
      <c r="O3635" s="271"/>
      <c r="P3635" s="271"/>
      <c r="Q3635" s="272"/>
      <c r="R3635" s="273"/>
      <c r="S3635" s="273"/>
      <c r="T3635" s="273"/>
      <c r="U3635" s="274"/>
      <c r="V3635" s="263"/>
      <c r="W3635" s="188"/>
      <c r="X3635" s="188"/>
      <c r="Y3635" s="188"/>
      <c r="Z3635" s="188"/>
      <c r="AA3635" s="188"/>
      <c r="AB3635" s="188"/>
      <c r="AC3635" s="188"/>
      <c r="AD3635" s="188"/>
      <c r="AE3635" s="188"/>
      <c r="AF3635" s="188"/>
      <c r="AG3635" s="188"/>
      <c r="AH3635" s="188"/>
      <c r="AI3635" s="188"/>
    </row>
    <row r="3636">
      <c r="A3636" s="263"/>
      <c r="B3636" s="264"/>
      <c r="C3636" s="265"/>
      <c r="D3636" s="265"/>
      <c r="E3636" s="264"/>
      <c r="F3636" s="265"/>
      <c r="G3636" s="263"/>
      <c r="H3636" s="432"/>
      <c r="I3636" s="282"/>
      <c r="J3636" s="283"/>
      <c r="K3636" s="265"/>
      <c r="L3636" s="265"/>
      <c r="M3636" s="269"/>
      <c r="N3636" s="270"/>
      <c r="O3636" s="271"/>
      <c r="P3636" s="271"/>
      <c r="Q3636" s="272"/>
      <c r="R3636" s="273"/>
      <c r="S3636" s="273"/>
      <c r="T3636" s="273"/>
      <c r="U3636" s="274"/>
      <c r="V3636" s="263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</row>
    <row r="3637">
      <c r="A3637" s="263"/>
      <c r="B3637" s="264"/>
      <c r="C3637" s="265"/>
      <c r="D3637" s="265"/>
      <c r="E3637" s="264"/>
      <c r="F3637" s="265"/>
      <c r="G3637" s="263"/>
      <c r="H3637" s="432"/>
      <c r="I3637" s="282"/>
      <c r="J3637" s="283"/>
      <c r="K3637" s="265"/>
      <c r="L3637" s="265"/>
      <c r="M3637" s="269"/>
      <c r="N3637" s="270"/>
      <c r="O3637" s="271"/>
      <c r="P3637" s="271"/>
      <c r="Q3637" s="272"/>
      <c r="R3637" s="273"/>
      <c r="S3637" s="273"/>
      <c r="T3637" s="273"/>
      <c r="U3637" s="274"/>
      <c r="V3637" s="263"/>
      <c r="W3637" s="35"/>
      <c r="X3637" s="35"/>
      <c r="Y3637" s="35"/>
      <c r="Z3637" s="35"/>
      <c r="AA3637" s="35"/>
      <c r="AB3637" s="35"/>
      <c r="AC3637" s="35"/>
      <c r="AD3637" s="35"/>
      <c r="AE3637" s="35"/>
      <c r="AF3637" s="35"/>
      <c r="AG3637" s="35"/>
      <c r="AH3637" s="35"/>
      <c r="AI3637" s="35"/>
    </row>
    <row r="3638">
      <c r="A3638" s="263"/>
      <c r="B3638" s="264"/>
      <c r="C3638" s="265"/>
      <c r="D3638" s="265"/>
      <c r="E3638" s="264"/>
      <c r="F3638" s="265"/>
      <c r="G3638" s="263"/>
      <c r="H3638" s="432"/>
      <c r="I3638" s="282"/>
      <c r="J3638" s="283"/>
      <c r="K3638" s="265"/>
      <c r="L3638" s="265"/>
      <c r="M3638" s="269"/>
      <c r="N3638" s="270"/>
      <c r="O3638" s="271"/>
      <c r="P3638" s="271"/>
      <c r="Q3638" s="272"/>
      <c r="R3638" s="273"/>
      <c r="S3638" s="273"/>
      <c r="T3638" s="273"/>
      <c r="U3638" s="274"/>
      <c r="V3638" s="263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</row>
    <row r="3639">
      <c r="A3639" s="263"/>
      <c r="B3639" s="264"/>
      <c r="C3639" s="265"/>
      <c r="D3639" s="265"/>
      <c r="E3639" s="264"/>
      <c r="F3639" s="265"/>
      <c r="G3639" s="263"/>
      <c r="H3639" s="432"/>
      <c r="I3639" s="282"/>
      <c r="J3639" s="283"/>
      <c r="K3639" s="265"/>
      <c r="L3639" s="265"/>
      <c r="M3639" s="269"/>
      <c r="N3639" s="270"/>
      <c r="O3639" s="271"/>
      <c r="P3639" s="271"/>
      <c r="Q3639" s="272"/>
      <c r="R3639" s="273"/>
      <c r="S3639" s="273"/>
      <c r="T3639" s="273"/>
      <c r="U3639" s="274"/>
      <c r="V3639" s="263"/>
      <c r="W3639" s="35"/>
      <c r="X3639" s="35"/>
      <c r="Y3639" s="35"/>
      <c r="Z3639" s="35"/>
      <c r="AA3639" s="35"/>
      <c r="AB3639" s="35"/>
      <c r="AC3639" s="35"/>
      <c r="AD3639" s="35"/>
      <c r="AE3639" s="35"/>
      <c r="AF3639" s="35"/>
      <c r="AG3639" s="35"/>
      <c r="AH3639" s="35"/>
      <c r="AI3639" s="35"/>
    </row>
    <row r="3640">
      <c r="A3640" s="263"/>
      <c r="B3640" s="264"/>
      <c r="C3640" s="265"/>
      <c r="D3640" s="265"/>
      <c r="E3640" s="264"/>
      <c r="F3640" s="265"/>
      <c r="G3640" s="263"/>
      <c r="H3640" s="432"/>
      <c r="I3640" s="282"/>
      <c r="J3640" s="283"/>
      <c r="K3640" s="265"/>
      <c r="L3640" s="265"/>
      <c r="M3640" s="269"/>
      <c r="N3640" s="270"/>
      <c r="O3640" s="271"/>
      <c r="P3640" s="271"/>
      <c r="Q3640" s="272"/>
      <c r="R3640" s="273"/>
      <c r="S3640" s="273"/>
      <c r="T3640" s="260"/>
      <c r="U3640" s="261"/>
      <c r="V3640" s="251"/>
      <c r="W3640" s="188"/>
      <c r="X3640" s="188"/>
      <c r="Y3640" s="188"/>
      <c r="Z3640" s="188"/>
      <c r="AA3640" s="188"/>
      <c r="AB3640" s="188"/>
      <c r="AC3640" s="188"/>
      <c r="AD3640" s="188"/>
      <c r="AE3640" s="188"/>
      <c r="AF3640" s="188"/>
      <c r="AG3640" s="188"/>
      <c r="AH3640" s="188"/>
      <c r="AI3640" s="188"/>
    </row>
    <row r="3641">
      <c r="A3641" s="263"/>
      <c r="B3641" s="264"/>
      <c r="C3641" s="265"/>
      <c r="D3641" s="265"/>
      <c r="E3641" s="264"/>
      <c r="F3641" s="265"/>
      <c r="G3641" s="263"/>
      <c r="H3641" s="432"/>
      <c r="I3641" s="282"/>
      <c r="J3641" s="283"/>
      <c r="K3641" s="265"/>
      <c r="L3641" s="265"/>
      <c r="M3641" s="269"/>
      <c r="N3641" s="270"/>
      <c r="O3641" s="271"/>
      <c r="P3641" s="271"/>
      <c r="Q3641" s="272"/>
      <c r="R3641" s="273"/>
      <c r="S3641" s="273"/>
      <c r="T3641" s="273"/>
      <c r="U3641" s="274"/>
      <c r="V3641" s="263"/>
      <c r="W3641" s="35"/>
      <c r="X3641" s="35"/>
      <c r="Y3641" s="35"/>
      <c r="Z3641" s="35"/>
      <c r="AA3641" s="35"/>
      <c r="AB3641" s="35"/>
      <c r="AC3641" s="35"/>
      <c r="AD3641" s="35"/>
      <c r="AE3641" s="35"/>
      <c r="AF3641" s="35"/>
      <c r="AG3641" s="35"/>
      <c r="AH3641" s="35"/>
      <c r="AI3641" s="35"/>
    </row>
    <row r="3642">
      <c r="A3642" s="263"/>
      <c r="B3642" s="264"/>
      <c r="C3642" s="265"/>
      <c r="D3642" s="265"/>
      <c r="E3642" s="264"/>
      <c r="F3642" s="265"/>
      <c r="G3642" s="263"/>
      <c r="H3642" s="432"/>
      <c r="I3642" s="282"/>
      <c r="J3642" s="283"/>
      <c r="K3642" s="265"/>
      <c r="L3642" s="265"/>
      <c r="M3642" s="269"/>
      <c r="N3642" s="270"/>
      <c r="O3642" s="271"/>
      <c r="P3642" s="271"/>
      <c r="Q3642" s="272"/>
      <c r="R3642" s="273"/>
      <c r="S3642" s="273"/>
      <c r="T3642" s="273"/>
      <c r="U3642" s="274"/>
      <c r="V3642" s="263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</row>
    <row r="3643">
      <c r="A3643" s="263"/>
      <c r="B3643" s="264"/>
      <c r="C3643" s="265"/>
      <c r="D3643" s="265"/>
      <c r="E3643" s="264"/>
      <c r="F3643" s="265"/>
      <c r="G3643" s="263"/>
      <c r="H3643" s="432"/>
      <c r="I3643" s="282"/>
      <c r="J3643" s="283"/>
      <c r="K3643" s="265"/>
      <c r="L3643" s="265"/>
      <c r="M3643" s="269"/>
      <c r="N3643" s="270"/>
      <c r="O3643" s="271"/>
      <c r="P3643" s="271"/>
      <c r="Q3643" s="272"/>
      <c r="R3643" s="273"/>
      <c r="S3643" s="273"/>
      <c r="T3643" s="273"/>
      <c r="U3643" s="274"/>
      <c r="V3643" s="263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</row>
    <row r="3644">
      <c r="A3644" s="263"/>
      <c r="B3644" s="264"/>
      <c r="C3644" s="265"/>
      <c r="D3644" s="265"/>
      <c r="E3644" s="264"/>
      <c r="F3644" s="265"/>
      <c r="G3644" s="263"/>
      <c r="H3644" s="432"/>
      <c r="I3644" s="282"/>
      <c r="J3644" s="283"/>
      <c r="K3644" s="265"/>
      <c r="L3644" s="265"/>
      <c r="M3644" s="269"/>
      <c r="N3644" s="270"/>
      <c r="O3644" s="271"/>
      <c r="P3644" s="271"/>
      <c r="Q3644" s="272"/>
      <c r="R3644" s="273"/>
      <c r="S3644" s="273"/>
      <c r="T3644" s="273"/>
      <c r="U3644" s="274"/>
      <c r="V3644" s="263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</row>
    <row r="3645">
      <c r="A3645" s="263"/>
      <c r="B3645" s="264"/>
      <c r="C3645" s="265"/>
      <c r="D3645" s="265"/>
      <c r="E3645" s="264"/>
      <c r="F3645" s="265"/>
      <c r="G3645" s="263"/>
      <c r="H3645" s="432"/>
      <c r="I3645" s="282"/>
      <c r="J3645" s="283"/>
      <c r="K3645" s="265"/>
      <c r="L3645" s="265"/>
      <c r="M3645" s="269"/>
      <c r="N3645" s="270"/>
      <c r="O3645" s="271"/>
      <c r="P3645" s="271"/>
      <c r="Q3645" s="272"/>
      <c r="R3645" s="273"/>
      <c r="S3645" s="273"/>
      <c r="T3645" s="273"/>
      <c r="U3645" s="274"/>
      <c r="V3645" s="263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</row>
    <row r="3646">
      <c r="A3646" s="263"/>
      <c r="B3646" s="264"/>
      <c r="C3646" s="265"/>
      <c r="D3646" s="265"/>
      <c r="E3646" s="264"/>
      <c r="F3646" s="265"/>
      <c r="G3646" s="263"/>
      <c r="H3646" s="432"/>
      <c r="I3646" s="282"/>
      <c r="J3646" s="283"/>
      <c r="K3646" s="265"/>
      <c r="L3646" s="265"/>
      <c r="M3646" s="269"/>
      <c r="N3646" s="270"/>
      <c r="O3646" s="271"/>
      <c r="P3646" s="271"/>
      <c r="Q3646" s="272"/>
      <c r="R3646" s="273"/>
      <c r="S3646" s="273"/>
      <c r="T3646" s="273"/>
      <c r="U3646" s="274"/>
      <c r="V3646" s="263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</row>
    <row r="3647">
      <c r="A3647" s="263"/>
      <c r="B3647" s="264"/>
      <c r="C3647" s="265"/>
      <c r="D3647" s="265"/>
      <c r="E3647" s="264"/>
      <c r="F3647" s="265"/>
      <c r="G3647" s="263"/>
      <c r="H3647" s="432"/>
      <c r="I3647" s="282"/>
      <c r="J3647" s="283"/>
      <c r="K3647" s="265"/>
      <c r="L3647" s="265"/>
      <c r="M3647" s="269"/>
      <c r="N3647" s="270"/>
      <c r="O3647" s="271"/>
      <c r="P3647" s="271"/>
      <c r="Q3647" s="272"/>
      <c r="R3647" s="273"/>
      <c r="S3647" s="273"/>
      <c r="T3647" s="273"/>
      <c r="U3647" s="274"/>
      <c r="V3647" s="263"/>
      <c r="W3647" s="188"/>
      <c r="X3647" s="188"/>
      <c r="Y3647" s="188"/>
      <c r="Z3647" s="188"/>
      <c r="AA3647" s="188"/>
      <c r="AB3647" s="188"/>
      <c r="AC3647" s="188"/>
      <c r="AD3647" s="188"/>
      <c r="AE3647" s="188"/>
      <c r="AF3647" s="188"/>
      <c r="AG3647" s="188"/>
      <c r="AH3647" s="188"/>
      <c r="AI3647" s="188"/>
    </row>
    <row r="3648">
      <c r="A3648" s="263"/>
      <c r="B3648" s="264"/>
      <c r="C3648" s="265"/>
      <c r="D3648" s="265"/>
      <c r="E3648" s="264"/>
      <c r="F3648" s="265"/>
      <c r="G3648" s="263"/>
      <c r="H3648" s="432"/>
      <c r="I3648" s="282"/>
      <c r="J3648" s="283"/>
      <c r="K3648" s="265"/>
      <c r="L3648" s="265"/>
      <c r="M3648" s="269"/>
      <c r="N3648" s="270"/>
      <c r="O3648" s="271"/>
      <c r="P3648" s="271"/>
      <c r="Q3648" s="272"/>
      <c r="R3648" s="273"/>
      <c r="S3648" s="273"/>
      <c r="T3648" s="273"/>
      <c r="U3648" s="274"/>
      <c r="V3648" s="263"/>
      <c r="W3648" s="35"/>
      <c r="X3648" s="35"/>
      <c r="Y3648" s="35"/>
      <c r="Z3648" s="35"/>
      <c r="AA3648" s="35"/>
      <c r="AB3648" s="35"/>
      <c r="AC3648" s="35"/>
      <c r="AD3648" s="35"/>
      <c r="AE3648" s="35"/>
      <c r="AF3648" s="35"/>
      <c r="AG3648" s="35"/>
      <c r="AH3648" s="35"/>
      <c r="AI3648" s="35"/>
    </row>
    <row r="3649">
      <c r="A3649" s="263"/>
      <c r="B3649" s="264"/>
      <c r="C3649" s="265"/>
      <c r="D3649" s="265"/>
      <c r="E3649" s="264"/>
      <c r="F3649" s="265"/>
      <c r="G3649" s="263"/>
      <c r="H3649" s="432"/>
      <c r="I3649" s="282"/>
      <c r="J3649" s="283"/>
      <c r="K3649" s="265"/>
      <c r="L3649" s="265"/>
      <c r="M3649" s="269"/>
      <c r="N3649" s="270"/>
      <c r="O3649" s="271"/>
      <c r="P3649" s="271"/>
      <c r="Q3649" s="272"/>
      <c r="R3649" s="273"/>
      <c r="S3649" s="273"/>
      <c r="T3649" s="273"/>
      <c r="U3649" s="274"/>
      <c r="V3649" s="263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</row>
    <row r="3650">
      <c r="A3650" s="263"/>
      <c r="B3650" s="264"/>
      <c r="C3650" s="265"/>
      <c r="D3650" s="265"/>
      <c r="E3650" s="264"/>
      <c r="F3650" s="265"/>
      <c r="G3650" s="263"/>
      <c r="H3650" s="432"/>
      <c r="I3650" s="282"/>
      <c r="J3650" s="283"/>
      <c r="K3650" s="265"/>
      <c r="L3650" s="265"/>
      <c r="M3650" s="269"/>
      <c r="N3650" s="270"/>
      <c r="O3650" s="271"/>
      <c r="P3650" s="271"/>
      <c r="Q3650" s="272"/>
      <c r="R3650" s="273"/>
      <c r="S3650" s="273"/>
      <c r="T3650" s="273"/>
      <c r="U3650" s="274"/>
      <c r="V3650" s="263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</row>
    <row r="3651">
      <c r="A3651" s="263"/>
      <c r="B3651" s="264"/>
      <c r="C3651" s="265"/>
      <c r="D3651" s="265"/>
      <c r="E3651" s="264"/>
      <c r="F3651" s="265"/>
      <c r="G3651" s="263"/>
      <c r="H3651" s="432"/>
      <c r="I3651" s="282"/>
      <c r="J3651" s="283"/>
      <c r="K3651" s="265"/>
      <c r="L3651" s="265"/>
      <c r="M3651" s="269"/>
      <c r="N3651" s="270"/>
      <c r="O3651" s="271"/>
      <c r="P3651" s="271"/>
      <c r="Q3651" s="272"/>
      <c r="R3651" s="273"/>
      <c r="S3651" s="273"/>
      <c r="T3651" s="273"/>
      <c r="U3651" s="274"/>
      <c r="V3651" s="263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</row>
    <row r="3652">
      <c r="A3652" s="263"/>
      <c r="B3652" s="264"/>
      <c r="C3652" s="265"/>
      <c r="D3652" s="265"/>
      <c r="E3652" s="264"/>
      <c r="F3652" s="265"/>
      <c r="G3652" s="263"/>
      <c r="H3652" s="432"/>
      <c r="I3652" s="282"/>
      <c r="J3652" s="283"/>
      <c r="K3652" s="265"/>
      <c r="L3652" s="265"/>
      <c r="M3652" s="269"/>
      <c r="N3652" s="270"/>
      <c r="O3652" s="271"/>
      <c r="P3652" s="271"/>
      <c r="Q3652" s="272"/>
      <c r="R3652" s="273"/>
      <c r="S3652" s="273"/>
      <c r="T3652" s="273"/>
      <c r="U3652" s="274"/>
      <c r="V3652" s="263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</row>
    <row r="3653">
      <c r="A3653" s="263"/>
      <c r="B3653" s="264"/>
      <c r="C3653" s="265"/>
      <c r="D3653" s="265"/>
      <c r="E3653" s="264"/>
      <c r="F3653" s="265"/>
      <c r="G3653" s="263"/>
      <c r="H3653" s="432"/>
      <c r="I3653" s="282"/>
      <c r="J3653" s="283"/>
      <c r="K3653" s="265"/>
      <c r="L3653" s="265"/>
      <c r="M3653" s="269"/>
      <c r="N3653" s="270"/>
      <c r="O3653" s="271"/>
      <c r="P3653" s="271"/>
      <c r="Q3653" s="272"/>
      <c r="R3653" s="273"/>
      <c r="S3653" s="273"/>
      <c r="T3653" s="273"/>
      <c r="U3653" s="274"/>
      <c r="V3653" s="263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</row>
    <row r="3654">
      <c r="A3654" s="263"/>
      <c r="B3654" s="264"/>
      <c r="C3654" s="265"/>
      <c r="D3654" s="265"/>
      <c r="E3654" s="264"/>
      <c r="F3654" s="265"/>
      <c r="G3654" s="263"/>
      <c r="H3654" s="432"/>
      <c r="I3654" s="282"/>
      <c r="J3654" s="283"/>
      <c r="K3654" s="265"/>
      <c r="L3654" s="265"/>
      <c r="M3654" s="269"/>
      <c r="N3654" s="270"/>
      <c r="O3654" s="271"/>
      <c r="P3654" s="271"/>
      <c r="Q3654" s="272"/>
      <c r="R3654" s="273"/>
      <c r="S3654" s="273"/>
      <c r="T3654" s="273"/>
      <c r="U3654" s="274"/>
      <c r="V3654" s="263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</row>
    <row r="3655">
      <c r="A3655" s="263"/>
      <c r="B3655" s="264"/>
      <c r="C3655" s="265"/>
      <c r="D3655" s="265"/>
      <c r="E3655" s="264"/>
      <c r="F3655" s="265"/>
      <c r="G3655" s="263"/>
      <c r="H3655" s="432"/>
      <c r="I3655" s="282"/>
      <c r="J3655" s="283"/>
      <c r="K3655" s="265"/>
      <c r="L3655" s="265"/>
      <c r="M3655" s="269"/>
      <c r="N3655" s="270"/>
      <c r="O3655" s="271"/>
      <c r="P3655" s="271"/>
      <c r="Q3655" s="272"/>
      <c r="R3655" s="273"/>
      <c r="S3655" s="273"/>
      <c r="T3655" s="273"/>
      <c r="U3655" s="274"/>
      <c r="V3655" s="263"/>
      <c r="W3655" s="35"/>
      <c r="X3655" s="35"/>
      <c r="Y3655" s="35"/>
      <c r="Z3655" s="35"/>
      <c r="AA3655" s="35"/>
      <c r="AB3655" s="35"/>
      <c r="AC3655" s="35"/>
      <c r="AD3655" s="35"/>
      <c r="AE3655" s="35"/>
      <c r="AF3655" s="35"/>
      <c r="AG3655" s="35"/>
      <c r="AH3655" s="35"/>
      <c r="AI3655" s="35"/>
    </row>
    <row r="3656">
      <c r="A3656" s="263"/>
      <c r="B3656" s="264"/>
      <c r="C3656" s="265"/>
      <c r="D3656" s="265"/>
      <c r="E3656" s="264"/>
      <c r="F3656" s="265"/>
      <c r="G3656" s="263"/>
      <c r="H3656" s="432"/>
      <c r="I3656" s="282"/>
      <c r="J3656" s="283"/>
      <c r="K3656" s="265"/>
      <c r="L3656" s="265"/>
      <c r="M3656" s="269"/>
      <c r="N3656" s="270"/>
      <c r="O3656" s="271"/>
      <c r="P3656" s="271"/>
      <c r="Q3656" s="272"/>
      <c r="R3656" s="273"/>
      <c r="S3656" s="273"/>
      <c r="T3656" s="273"/>
      <c r="U3656" s="274"/>
      <c r="V3656" s="263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</row>
    <row r="3657">
      <c r="A3657" s="263"/>
      <c r="B3657" s="264"/>
      <c r="C3657" s="265"/>
      <c r="D3657" s="265"/>
      <c r="E3657" s="264"/>
      <c r="F3657" s="265"/>
      <c r="G3657" s="263"/>
      <c r="H3657" s="432"/>
      <c r="I3657" s="282"/>
      <c r="J3657" s="283"/>
      <c r="K3657" s="265"/>
      <c r="L3657" s="265"/>
      <c r="M3657" s="269"/>
      <c r="N3657" s="270"/>
      <c r="O3657" s="271"/>
      <c r="P3657" s="271"/>
      <c r="Q3657" s="272"/>
      <c r="R3657" s="273"/>
      <c r="S3657" s="273"/>
      <c r="T3657" s="273"/>
      <c r="U3657" s="274"/>
      <c r="V3657" s="263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</row>
    <row r="3658">
      <c r="A3658" s="263"/>
      <c r="B3658" s="264"/>
      <c r="C3658" s="265"/>
      <c r="D3658" s="265"/>
      <c r="E3658" s="264"/>
      <c r="F3658" s="265"/>
      <c r="G3658" s="263"/>
      <c r="H3658" s="432"/>
      <c r="I3658" s="282"/>
      <c r="J3658" s="283"/>
      <c r="K3658" s="265"/>
      <c r="L3658" s="265"/>
      <c r="M3658" s="269"/>
      <c r="N3658" s="270"/>
      <c r="O3658" s="271"/>
      <c r="P3658" s="271"/>
      <c r="Q3658" s="272"/>
      <c r="R3658" s="273"/>
      <c r="S3658" s="273"/>
      <c r="T3658" s="273"/>
      <c r="U3658" s="274"/>
      <c r="V3658" s="263"/>
      <c r="W3658" s="35"/>
      <c r="X3658" s="35"/>
      <c r="Y3658" s="35"/>
      <c r="Z3658" s="35"/>
      <c r="AA3658" s="35"/>
      <c r="AB3658" s="35"/>
      <c r="AC3658" s="35"/>
      <c r="AD3658" s="35"/>
      <c r="AE3658" s="35"/>
      <c r="AF3658" s="35"/>
      <c r="AG3658" s="35"/>
      <c r="AH3658" s="35"/>
      <c r="AI3658" s="35"/>
    </row>
    <row r="3659">
      <c r="A3659" s="263"/>
      <c r="B3659" s="264"/>
      <c r="C3659" s="265"/>
      <c r="D3659" s="265"/>
      <c r="E3659" s="264"/>
      <c r="F3659" s="265"/>
      <c r="G3659" s="263"/>
      <c r="H3659" s="432"/>
      <c r="I3659" s="282"/>
      <c r="J3659" s="283"/>
      <c r="K3659" s="265"/>
      <c r="L3659" s="265"/>
      <c r="M3659" s="269"/>
      <c r="N3659" s="270"/>
      <c r="O3659" s="271"/>
      <c r="P3659" s="271"/>
      <c r="Q3659" s="272"/>
      <c r="R3659" s="273"/>
      <c r="S3659" s="273"/>
      <c r="T3659" s="273"/>
      <c r="U3659" s="274"/>
      <c r="V3659" s="263"/>
      <c r="W3659" s="188"/>
      <c r="X3659" s="188"/>
      <c r="Y3659" s="188"/>
      <c r="Z3659" s="188"/>
      <c r="AA3659" s="188"/>
      <c r="AB3659" s="188"/>
      <c r="AC3659" s="188"/>
      <c r="AD3659" s="188"/>
      <c r="AE3659" s="188"/>
      <c r="AF3659" s="188"/>
      <c r="AG3659" s="188"/>
      <c r="AH3659" s="188"/>
      <c r="AI3659" s="188"/>
    </row>
    <row r="3660">
      <c r="A3660" s="263"/>
      <c r="B3660" s="264"/>
      <c r="C3660" s="265"/>
      <c r="D3660" s="265"/>
      <c r="E3660" s="264"/>
      <c r="F3660" s="265"/>
      <c r="G3660" s="263"/>
      <c r="H3660" s="432"/>
      <c r="I3660" s="282"/>
      <c r="J3660" s="283"/>
      <c r="K3660" s="265"/>
      <c r="L3660" s="265"/>
      <c r="M3660" s="269"/>
      <c r="N3660" s="270"/>
      <c r="O3660" s="271"/>
      <c r="P3660" s="271"/>
      <c r="Q3660" s="272"/>
      <c r="R3660" s="273"/>
      <c r="S3660" s="273"/>
      <c r="T3660" s="273"/>
      <c r="U3660" s="274"/>
      <c r="V3660" s="263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</row>
    <row r="3661">
      <c r="A3661" s="263"/>
      <c r="B3661" s="264"/>
      <c r="C3661" s="265"/>
      <c r="D3661" s="265"/>
      <c r="E3661" s="264"/>
      <c r="F3661" s="265"/>
      <c r="G3661" s="263"/>
      <c r="H3661" s="432"/>
      <c r="I3661" s="282"/>
      <c r="J3661" s="283"/>
      <c r="K3661" s="265"/>
      <c r="L3661" s="265"/>
      <c r="M3661" s="269"/>
      <c r="N3661" s="270"/>
      <c r="O3661" s="271"/>
      <c r="P3661" s="271"/>
      <c r="Q3661" s="272"/>
      <c r="R3661" s="273"/>
      <c r="S3661" s="273"/>
      <c r="T3661" s="273"/>
      <c r="U3661" s="274"/>
      <c r="V3661" s="263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</row>
    <row r="3662">
      <c r="A3662" s="263"/>
      <c r="B3662" s="264"/>
      <c r="C3662" s="265"/>
      <c r="D3662" s="265"/>
      <c r="E3662" s="264"/>
      <c r="F3662" s="265"/>
      <c r="G3662" s="263"/>
      <c r="H3662" s="432"/>
      <c r="I3662" s="282"/>
      <c r="J3662" s="283"/>
      <c r="K3662" s="265"/>
      <c r="L3662" s="265"/>
      <c r="M3662" s="269"/>
      <c r="N3662" s="270"/>
      <c r="O3662" s="271"/>
      <c r="P3662" s="271"/>
      <c r="Q3662" s="272"/>
      <c r="R3662" s="273"/>
      <c r="S3662" s="273"/>
      <c r="T3662" s="273"/>
      <c r="U3662" s="274"/>
      <c r="V3662" s="263"/>
      <c r="W3662" s="188"/>
      <c r="X3662" s="188"/>
      <c r="Y3662" s="188"/>
      <c r="Z3662" s="188"/>
      <c r="AA3662" s="188"/>
      <c r="AB3662" s="188"/>
      <c r="AC3662" s="188"/>
      <c r="AD3662" s="188"/>
      <c r="AE3662" s="188"/>
      <c r="AF3662" s="188"/>
      <c r="AG3662" s="188"/>
      <c r="AH3662" s="188"/>
      <c r="AI3662" s="188"/>
    </row>
    <row r="3663">
      <c r="A3663" s="263"/>
      <c r="B3663" s="264"/>
      <c r="C3663" s="265"/>
      <c r="D3663" s="265"/>
      <c r="E3663" s="264"/>
      <c r="F3663" s="265"/>
      <c r="G3663" s="263"/>
      <c r="H3663" s="432"/>
      <c r="I3663" s="282"/>
      <c r="J3663" s="283"/>
      <c r="K3663" s="265"/>
      <c r="L3663" s="265"/>
      <c r="M3663" s="269"/>
      <c r="N3663" s="270"/>
      <c r="O3663" s="271"/>
      <c r="P3663" s="271"/>
      <c r="Q3663" s="272"/>
      <c r="R3663" s="273"/>
      <c r="S3663" s="273"/>
      <c r="T3663" s="273"/>
      <c r="U3663" s="274"/>
      <c r="V3663" s="263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</row>
    <row r="3664">
      <c r="A3664" s="263"/>
      <c r="B3664" s="264"/>
      <c r="C3664" s="265"/>
      <c r="D3664" s="265"/>
      <c r="E3664" s="264"/>
      <c r="F3664" s="265"/>
      <c r="G3664" s="263"/>
      <c r="H3664" s="432"/>
      <c r="I3664" s="282"/>
      <c r="J3664" s="283"/>
      <c r="K3664" s="265"/>
      <c r="L3664" s="265"/>
      <c r="M3664" s="269"/>
      <c r="N3664" s="270"/>
      <c r="O3664" s="271"/>
      <c r="P3664" s="271"/>
      <c r="Q3664" s="272"/>
      <c r="R3664" s="273"/>
      <c r="S3664" s="273"/>
      <c r="T3664" s="273"/>
      <c r="U3664" s="274"/>
      <c r="V3664" s="263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</row>
    <row r="3665">
      <c r="A3665" s="263"/>
      <c r="B3665" s="264"/>
      <c r="C3665" s="265"/>
      <c r="D3665" s="265"/>
      <c r="E3665" s="264"/>
      <c r="F3665" s="265"/>
      <c r="G3665" s="263"/>
      <c r="H3665" s="432"/>
      <c r="I3665" s="282"/>
      <c r="J3665" s="283"/>
      <c r="K3665" s="265"/>
      <c r="L3665" s="265"/>
      <c r="M3665" s="269"/>
      <c r="N3665" s="270"/>
      <c r="O3665" s="271"/>
      <c r="P3665" s="271"/>
      <c r="Q3665" s="272"/>
      <c r="R3665" s="273"/>
      <c r="S3665" s="273"/>
      <c r="T3665" s="273"/>
      <c r="U3665" s="274"/>
      <c r="V3665" s="263"/>
      <c r="W3665" s="188"/>
      <c r="X3665" s="188"/>
      <c r="Y3665" s="188"/>
      <c r="Z3665" s="188"/>
      <c r="AA3665" s="188"/>
      <c r="AB3665" s="188"/>
      <c r="AC3665" s="188"/>
      <c r="AD3665" s="188"/>
      <c r="AE3665" s="188"/>
      <c r="AF3665" s="188"/>
      <c r="AG3665" s="188"/>
      <c r="AH3665" s="188"/>
      <c r="AI3665" s="188"/>
    </row>
    <row r="3666">
      <c r="A3666" s="263"/>
      <c r="B3666" s="264"/>
      <c r="C3666" s="265"/>
      <c r="D3666" s="265"/>
      <c r="E3666" s="264"/>
      <c r="F3666" s="265"/>
      <c r="G3666" s="263"/>
      <c r="H3666" s="432"/>
      <c r="I3666" s="282"/>
      <c r="J3666" s="283"/>
      <c r="K3666" s="265"/>
      <c r="L3666" s="265"/>
      <c r="M3666" s="269"/>
      <c r="N3666" s="270"/>
      <c r="O3666" s="271"/>
      <c r="P3666" s="271"/>
      <c r="Q3666" s="272"/>
      <c r="R3666" s="273"/>
      <c r="S3666" s="273"/>
      <c r="T3666" s="273"/>
      <c r="U3666" s="274"/>
      <c r="V3666" s="263"/>
      <c r="W3666" s="35"/>
      <c r="X3666" s="35"/>
      <c r="Y3666" s="35"/>
      <c r="Z3666" s="35"/>
      <c r="AA3666" s="35"/>
      <c r="AB3666" s="35"/>
      <c r="AC3666" s="35"/>
      <c r="AD3666" s="35"/>
      <c r="AE3666" s="35"/>
      <c r="AF3666" s="35"/>
      <c r="AG3666" s="35"/>
      <c r="AH3666" s="35"/>
      <c r="AI3666" s="35"/>
    </row>
    <row r="3667">
      <c r="A3667" s="263"/>
      <c r="B3667" s="264"/>
      <c r="C3667" s="265"/>
      <c r="D3667" s="265"/>
      <c r="E3667" s="264"/>
      <c r="F3667" s="265"/>
      <c r="G3667" s="263"/>
      <c r="H3667" s="432"/>
      <c r="I3667" s="282"/>
      <c r="J3667" s="283"/>
      <c r="K3667" s="265"/>
      <c r="L3667" s="265"/>
      <c r="M3667" s="269"/>
      <c r="N3667" s="270"/>
      <c r="O3667" s="271"/>
      <c r="P3667" s="271"/>
      <c r="Q3667" s="272"/>
      <c r="R3667" s="273"/>
      <c r="S3667" s="273"/>
      <c r="T3667" s="273"/>
      <c r="U3667" s="274"/>
      <c r="V3667" s="263"/>
      <c r="W3667" s="35"/>
      <c r="X3667" s="35"/>
      <c r="Y3667" s="35"/>
      <c r="Z3667" s="35"/>
      <c r="AA3667" s="35"/>
      <c r="AB3667" s="35"/>
      <c r="AC3667" s="35"/>
      <c r="AD3667" s="35"/>
      <c r="AE3667" s="35"/>
      <c r="AF3667" s="35"/>
      <c r="AG3667" s="35"/>
      <c r="AH3667" s="35"/>
      <c r="AI3667" s="35"/>
    </row>
    <row r="3668">
      <c r="A3668" s="263"/>
      <c r="B3668" s="264"/>
      <c r="C3668" s="265"/>
      <c r="D3668" s="265"/>
      <c r="E3668" s="264"/>
      <c r="F3668" s="265"/>
      <c r="G3668" s="263"/>
      <c r="H3668" s="432"/>
      <c r="I3668" s="282"/>
      <c r="J3668" s="283"/>
      <c r="K3668" s="265"/>
      <c r="L3668" s="265"/>
      <c r="M3668" s="269"/>
      <c r="N3668" s="270"/>
      <c r="O3668" s="271"/>
      <c r="P3668" s="271"/>
      <c r="Q3668" s="272"/>
      <c r="R3668" s="273"/>
      <c r="S3668" s="273"/>
      <c r="T3668" s="273"/>
      <c r="U3668" s="274"/>
      <c r="V3668" s="263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</row>
    <row r="3669">
      <c r="A3669" s="263"/>
      <c r="B3669" s="264"/>
      <c r="C3669" s="265"/>
      <c r="D3669" s="265"/>
      <c r="E3669" s="264"/>
      <c r="F3669" s="265"/>
      <c r="G3669" s="263"/>
      <c r="H3669" s="432"/>
      <c r="I3669" s="282"/>
      <c r="J3669" s="283"/>
      <c r="K3669" s="265"/>
      <c r="L3669" s="265"/>
      <c r="M3669" s="269"/>
      <c r="N3669" s="270"/>
      <c r="O3669" s="271"/>
      <c r="P3669" s="271"/>
      <c r="Q3669" s="272"/>
      <c r="R3669" s="273"/>
      <c r="S3669" s="273"/>
      <c r="T3669" s="273"/>
      <c r="U3669" s="274"/>
      <c r="V3669" s="263"/>
      <c r="W3669" s="35"/>
      <c r="X3669" s="35"/>
      <c r="Y3669" s="35"/>
      <c r="Z3669" s="35"/>
      <c r="AA3669" s="35"/>
      <c r="AB3669" s="35"/>
      <c r="AC3669" s="35"/>
      <c r="AD3669" s="35"/>
      <c r="AE3669" s="35"/>
      <c r="AF3669" s="35"/>
      <c r="AG3669" s="35"/>
      <c r="AH3669" s="35"/>
      <c r="AI3669" s="35"/>
    </row>
    <row r="3670">
      <c r="A3670" s="263"/>
      <c r="B3670" s="264"/>
      <c r="C3670" s="265"/>
      <c r="D3670" s="265"/>
      <c r="E3670" s="264"/>
      <c r="F3670" s="265"/>
      <c r="G3670" s="263"/>
      <c r="H3670" s="432"/>
      <c r="I3670" s="282"/>
      <c r="J3670" s="283"/>
      <c r="K3670" s="265"/>
      <c r="L3670" s="265"/>
      <c r="M3670" s="269"/>
      <c r="N3670" s="270"/>
      <c r="O3670" s="271"/>
      <c r="P3670" s="271"/>
      <c r="Q3670" s="272"/>
      <c r="R3670" s="273"/>
      <c r="S3670" s="273"/>
      <c r="T3670" s="273"/>
      <c r="U3670" s="274"/>
      <c r="V3670" s="263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</row>
    <row r="3671">
      <c r="A3671" s="263"/>
      <c r="B3671" s="264"/>
      <c r="C3671" s="265"/>
      <c r="D3671" s="265"/>
      <c r="E3671" s="264"/>
      <c r="F3671" s="265"/>
      <c r="G3671" s="263"/>
      <c r="H3671" s="432"/>
      <c r="I3671" s="282"/>
      <c r="J3671" s="283"/>
      <c r="K3671" s="265"/>
      <c r="L3671" s="265"/>
      <c r="M3671" s="269"/>
      <c r="N3671" s="270"/>
      <c r="O3671" s="271"/>
      <c r="P3671" s="271"/>
      <c r="Q3671" s="272"/>
      <c r="R3671" s="273"/>
      <c r="S3671" s="273"/>
      <c r="T3671" s="273"/>
      <c r="U3671" s="274"/>
      <c r="V3671" s="263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</row>
    <row r="3672">
      <c r="A3672" s="263"/>
      <c r="B3672" s="264"/>
      <c r="C3672" s="265"/>
      <c r="D3672" s="265"/>
      <c r="E3672" s="264"/>
      <c r="F3672" s="265"/>
      <c r="G3672" s="263"/>
      <c r="H3672" s="432"/>
      <c r="I3672" s="282"/>
      <c r="J3672" s="283"/>
      <c r="K3672" s="265"/>
      <c r="L3672" s="265"/>
      <c r="M3672" s="269"/>
      <c r="N3672" s="270"/>
      <c r="O3672" s="271"/>
      <c r="P3672" s="271"/>
      <c r="Q3672" s="272"/>
      <c r="R3672" s="273"/>
      <c r="S3672" s="273"/>
      <c r="T3672" s="273"/>
      <c r="U3672" s="274"/>
      <c r="V3672" s="263"/>
      <c r="W3672" s="35"/>
      <c r="X3672" s="35"/>
      <c r="Y3672" s="35"/>
      <c r="Z3672" s="35"/>
      <c r="AA3672" s="35"/>
      <c r="AB3672" s="35"/>
      <c r="AC3672" s="35"/>
      <c r="AD3672" s="35"/>
      <c r="AE3672" s="35"/>
      <c r="AF3672" s="35"/>
      <c r="AG3672" s="35"/>
      <c r="AH3672" s="35"/>
      <c r="AI3672" s="35"/>
    </row>
    <row r="3673">
      <c r="A3673" s="263"/>
      <c r="B3673" s="264"/>
      <c r="C3673" s="265"/>
      <c r="D3673" s="265"/>
      <c r="E3673" s="264"/>
      <c r="F3673" s="265"/>
      <c r="G3673" s="263"/>
      <c r="H3673" s="432"/>
      <c r="I3673" s="282"/>
      <c r="J3673" s="283"/>
      <c r="K3673" s="265"/>
      <c r="L3673" s="265"/>
      <c r="M3673" s="269"/>
      <c r="N3673" s="270"/>
      <c r="O3673" s="271"/>
      <c r="P3673" s="271"/>
      <c r="Q3673" s="272"/>
      <c r="R3673" s="273"/>
      <c r="S3673" s="273"/>
      <c r="T3673" s="273"/>
      <c r="U3673" s="274"/>
      <c r="V3673" s="263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</row>
    <row r="3674">
      <c r="A3674" s="263"/>
      <c r="B3674" s="264"/>
      <c r="C3674" s="265"/>
      <c r="D3674" s="265"/>
      <c r="E3674" s="264"/>
      <c r="F3674" s="265"/>
      <c r="G3674" s="263"/>
      <c r="H3674" s="432"/>
      <c r="I3674" s="282"/>
      <c r="J3674" s="283"/>
      <c r="K3674" s="265"/>
      <c r="L3674" s="265"/>
      <c r="M3674" s="269"/>
      <c r="N3674" s="270"/>
      <c r="O3674" s="271"/>
      <c r="P3674" s="271"/>
      <c r="Q3674" s="272"/>
      <c r="R3674" s="273"/>
      <c r="S3674" s="273"/>
      <c r="T3674" s="273"/>
      <c r="U3674" s="274"/>
      <c r="V3674" s="263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</row>
    <row r="3675">
      <c r="A3675" s="263"/>
      <c r="B3675" s="264"/>
      <c r="C3675" s="265"/>
      <c r="D3675" s="265"/>
      <c r="E3675" s="264"/>
      <c r="F3675" s="265"/>
      <c r="G3675" s="263"/>
      <c r="H3675" s="432"/>
      <c r="I3675" s="282"/>
      <c r="J3675" s="283"/>
      <c r="K3675" s="265"/>
      <c r="L3675" s="265"/>
      <c r="M3675" s="269"/>
      <c r="N3675" s="270"/>
      <c r="O3675" s="271"/>
      <c r="P3675" s="271"/>
      <c r="Q3675" s="272"/>
      <c r="R3675" s="273"/>
      <c r="S3675" s="273"/>
      <c r="T3675" s="273"/>
      <c r="U3675" s="274"/>
      <c r="V3675" s="263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</row>
    <row r="3676">
      <c r="A3676" s="263"/>
      <c r="B3676" s="264"/>
      <c r="C3676" s="265"/>
      <c r="D3676" s="265"/>
      <c r="E3676" s="264"/>
      <c r="F3676" s="265"/>
      <c r="G3676" s="263"/>
      <c r="H3676" s="432"/>
      <c r="I3676" s="282"/>
      <c r="J3676" s="283"/>
      <c r="K3676" s="265"/>
      <c r="L3676" s="265"/>
      <c r="M3676" s="269"/>
      <c r="N3676" s="270"/>
      <c r="O3676" s="271"/>
      <c r="P3676" s="271"/>
      <c r="Q3676" s="272"/>
      <c r="R3676" s="273"/>
      <c r="S3676" s="273"/>
      <c r="T3676" s="273"/>
      <c r="U3676" s="274"/>
      <c r="V3676" s="263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</row>
    <row r="3677">
      <c r="A3677" s="263"/>
      <c r="B3677" s="264"/>
      <c r="C3677" s="265"/>
      <c r="D3677" s="265"/>
      <c r="E3677" s="264"/>
      <c r="F3677" s="265"/>
      <c r="G3677" s="263"/>
      <c r="H3677" s="432"/>
      <c r="I3677" s="282"/>
      <c r="J3677" s="283"/>
      <c r="K3677" s="265"/>
      <c r="L3677" s="265"/>
      <c r="M3677" s="269"/>
      <c r="N3677" s="270"/>
      <c r="O3677" s="271"/>
      <c r="P3677" s="271"/>
      <c r="Q3677" s="272"/>
      <c r="R3677" s="273"/>
      <c r="S3677" s="273"/>
      <c r="T3677" s="273"/>
      <c r="U3677" s="274"/>
      <c r="V3677" s="263"/>
      <c r="W3677" s="35"/>
      <c r="X3677" s="35"/>
      <c r="Y3677" s="35"/>
      <c r="Z3677" s="35"/>
      <c r="AA3677" s="35"/>
      <c r="AB3677" s="35"/>
      <c r="AC3677" s="35"/>
      <c r="AD3677" s="35"/>
      <c r="AE3677" s="35"/>
      <c r="AF3677" s="35"/>
      <c r="AG3677" s="35"/>
      <c r="AH3677" s="35"/>
      <c r="AI3677" s="35"/>
    </row>
    <row r="3678">
      <c r="A3678" s="263"/>
      <c r="B3678" s="264"/>
      <c r="C3678" s="265"/>
      <c r="D3678" s="265"/>
      <c r="E3678" s="264"/>
      <c r="F3678" s="265"/>
      <c r="G3678" s="263"/>
      <c r="H3678" s="432"/>
      <c r="I3678" s="282"/>
      <c r="J3678" s="283"/>
      <c r="K3678" s="265"/>
      <c r="L3678" s="265"/>
      <c r="M3678" s="269"/>
      <c r="N3678" s="270"/>
      <c r="O3678" s="271"/>
      <c r="P3678" s="271"/>
      <c r="Q3678" s="272"/>
      <c r="R3678" s="273"/>
      <c r="S3678" s="273"/>
      <c r="T3678" s="273"/>
      <c r="U3678" s="274"/>
      <c r="V3678" s="263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</row>
    <row r="3679">
      <c r="A3679" s="263"/>
      <c r="B3679" s="264"/>
      <c r="C3679" s="265"/>
      <c r="D3679" s="265"/>
      <c r="E3679" s="264"/>
      <c r="F3679" s="265"/>
      <c r="G3679" s="263"/>
      <c r="H3679" s="432"/>
      <c r="I3679" s="282"/>
      <c r="J3679" s="283"/>
      <c r="K3679" s="265"/>
      <c r="L3679" s="265"/>
      <c r="M3679" s="269"/>
      <c r="N3679" s="270"/>
      <c r="O3679" s="271"/>
      <c r="P3679" s="271"/>
      <c r="Q3679" s="272"/>
      <c r="R3679" s="273"/>
      <c r="S3679" s="273"/>
      <c r="T3679" s="273"/>
      <c r="U3679" s="274"/>
      <c r="V3679" s="263"/>
      <c r="W3679" s="188"/>
      <c r="X3679" s="188"/>
      <c r="Y3679" s="188"/>
      <c r="Z3679" s="188"/>
      <c r="AA3679" s="188"/>
      <c r="AB3679" s="188"/>
      <c r="AC3679" s="188"/>
      <c r="AD3679" s="188"/>
      <c r="AE3679" s="188"/>
      <c r="AF3679" s="188"/>
      <c r="AG3679" s="188"/>
      <c r="AH3679" s="188"/>
      <c r="AI3679" s="188"/>
    </row>
    <row r="3680">
      <c r="A3680" s="263"/>
      <c r="B3680" s="264"/>
      <c r="C3680" s="265"/>
      <c r="D3680" s="265"/>
      <c r="E3680" s="264"/>
      <c r="F3680" s="265"/>
      <c r="G3680" s="263"/>
      <c r="H3680" s="432"/>
      <c r="I3680" s="282"/>
      <c r="J3680" s="283"/>
      <c r="K3680" s="265"/>
      <c r="L3680" s="265"/>
      <c r="M3680" s="269"/>
      <c r="N3680" s="270"/>
      <c r="O3680" s="271"/>
      <c r="P3680" s="271"/>
      <c r="Q3680" s="272"/>
      <c r="R3680" s="273"/>
      <c r="S3680" s="273"/>
      <c r="T3680" s="273"/>
      <c r="U3680" s="274"/>
      <c r="V3680" s="263"/>
      <c r="W3680" s="188"/>
      <c r="X3680" s="188"/>
      <c r="Y3680" s="188"/>
      <c r="Z3680" s="188"/>
      <c r="AA3680" s="188"/>
      <c r="AB3680" s="188"/>
      <c r="AC3680" s="188"/>
      <c r="AD3680" s="188"/>
      <c r="AE3680" s="188"/>
      <c r="AF3680" s="188"/>
      <c r="AG3680" s="188"/>
      <c r="AH3680" s="188"/>
      <c r="AI3680" s="188"/>
    </row>
    <row r="3681">
      <c r="A3681" s="263"/>
      <c r="B3681" s="264"/>
      <c r="C3681" s="265"/>
      <c r="D3681" s="265"/>
      <c r="E3681" s="264"/>
      <c r="F3681" s="265"/>
      <c r="G3681" s="263"/>
      <c r="H3681" s="432"/>
      <c r="I3681" s="282"/>
      <c r="J3681" s="283"/>
      <c r="K3681" s="265"/>
      <c r="L3681" s="265"/>
      <c r="M3681" s="269"/>
      <c r="N3681" s="270"/>
      <c r="O3681" s="271"/>
      <c r="P3681" s="271"/>
      <c r="Q3681" s="272"/>
      <c r="R3681" s="273"/>
      <c r="S3681" s="273"/>
      <c r="T3681" s="273"/>
      <c r="U3681" s="274"/>
      <c r="V3681" s="263"/>
      <c r="W3681" s="35"/>
      <c r="X3681" s="35"/>
      <c r="Y3681" s="35"/>
      <c r="Z3681" s="35"/>
      <c r="AA3681" s="35"/>
      <c r="AB3681" s="35"/>
      <c r="AC3681" s="35"/>
      <c r="AD3681" s="35"/>
      <c r="AE3681" s="35"/>
      <c r="AF3681" s="35"/>
      <c r="AG3681" s="35"/>
      <c r="AH3681" s="35"/>
      <c r="AI3681" s="35"/>
    </row>
    <row r="3682">
      <c r="A3682" s="263"/>
      <c r="B3682" s="264"/>
      <c r="C3682" s="265"/>
      <c r="D3682" s="265"/>
      <c r="E3682" s="264"/>
      <c r="F3682" s="265"/>
      <c r="G3682" s="263"/>
      <c r="H3682" s="432"/>
      <c r="I3682" s="282"/>
      <c r="J3682" s="283"/>
      <c r="K3682" s="265"/>
      <c r="L3682" s="265"/>
      <c r="M3682" s="269"/>
      <c r="N3682" s="270"/>
      <c r="O3682" s="271"/>
      <c r="P3682" s="271"/>
      <c r="Q3682" s="272"/>
      <c r="R3682" s="273"/>
      <c r="S3682" s="273"/>
      <c r="T3682" s="273"/>
      <c r="U3682" s="274"/>
      <c r="V3682" s="263"/>
      <c r="W3682" s="188"/>
      <c r="X3682" s="188"/>
      <c r="Y3682" s="188"/>
      <c r="Z3682" s="188"/>
      <c r="AA3682" s="188"/>
      <c r="AB3682" s="188"/>
      <c r="AC3682" s="188"/>
      <c r="AD3682" s="188"/>
      <c r="AE3682" s="188"/>
      <c r="AF3682" s="188"/>
      <c r="AG3682" s="188"/>
      <c r="AH3682" s="188"/>
      <c r="AI3682" s="188"/>
    </row>
    <row r="3683">
      <c r="A3683" s="263"/>
      <c r="B3683" s="264"/>
      <c r="C3683" s="265"/>
      <c r="D3683" s="265"/>
      <c r="E3683" s="264"/>
      <c r="F3683" s="265"/>
      <c r="G3683" s="263"/>
      <c r="H3683" s="432"/>
      <c r="I3683" s="282"/>
      <c r="J3683" s="283"/>
      <c r="K3683" s="265"/>
      <c r="L3683" s="265"/>
      <c r="M3683" s="269"/>
      <c r="N3683" s="270"/>
      <c r="O3683" s="271"/>
      <c r="P3683" s="271"/>
      <c r="Q3683" s="272"/>
      <c r="R3683" s="273"/>
      <c r="S3683" s="273"/>
      <c r="T3683" s="273"/>
      <c r="U3683" s="274"/>
      <c r="V3683" s="263"/>
      <c r="W3683" s="36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</row>
    <row r="3684">
      <c r="A3684" s="263"/>
      <c r="B3684" s="264"/>
      <c r="C3684" s="265"/>
      <c r="D3684" s="265"/>
      <c r="E3684" s="264"/>
      <c r="F3684" s="265"/>
      <c r="G3684" s="263"/>
      <c r="H3684" s="432"/>
      <c r="I3684" s="282"/>
      <c r="J3684" s="283"/>
      <c r="K3684" s="265"/>
      <c r="L3684" s="265"/>
      <c r="M3684" s="269"/>
      <c r="N3684" s="270"/>
      <c r="O3684" s="271"/>
      <c r="P3684" s="271"/>
      <c r="Q3684" s="272"/>
      <c r="R3684" s="273"/>
      <c r="S3684" s="273"/>
      <c r="T3684" s="273"/>
      <c r="U3684" s="274"/>
      <c r="V3684" s="263"/>
      <c r="W3684" s="188"/>
      <c r="X3684" s="188"/>
      <c r="Y3684" s="188"/>
      <c r="Z3684" s="188"/>
      <c r="AA3684" s="188"/>
      <c r="AB3684" s="188"/>
      <c r="AC3684" s="188"/>
      <c r="AD3684" s="188"/>
      <c r="AE3684" s="188"/>
      <c r="AF3684" s="188"/>
      <c r="AG3684" s="188"/>
      <c r="AH3684" s="188"/>
      <c r="AI3684" s="188"/>
    </row>
    <row r="3685">
      <c r="A3685" s="263"/>
      <c r="B3685" s="264"/>
      <c r="C3685" s="265"/>
      <c r="D3685" s="265"/>
      <c r="E3685" s="264"/>
      <c r="F3685" s="265"/>
      <c r="G3685" s="263"/>
      <c r="H3685" s="432"/>
      <c r="I3685" s="282"/>
      <c r="J3685" s="283"/>
      <c r="K3685" s="265"/>
      <c r="L3685" s="265"/>
      <c r="M3685" s="269"/>
      <c r="N3685" s="270"/>
      <c r="O3685" s="271"/>
      <c r="P3685" s="271"/>
      <c r="Q3685" s="272"/>
      <c r="R3685" s="273"/>
      <c r="S3685" s="273"/>
      <c r="T3685" s="273"/>
      <c r="U3685" s="274"/>
      <c r="V3685" s="263"/>
      <c r="W3685" s="35"/>
      <c r="X3685" s="35"/>
      <c r="Y3685" s="35"/>
      <c r="Z3685" s="35"/>
      <c r="AA3685" s="35"/>
      <c r="AB3685" s="35"/>
      <c r="AC3685" s="35"/>
      <c r="AD3685" s="35"/>
      <c r="AE3685" s="35"/>
      <c r="AF3685" s="35"/>
      <c r="AG3685" s="35"/>
      <c r="AH3685" s="35"/>
      <c r="AI3685" s="35"/>
    </row>
    <row r="3686">
      <c r="A3686" s="263"/>
      <c r="B3686" s="264"/>
      <c r="C3686" s="265"/>
      <c r="D3686" s="265"/>
      <c r="E3686" s="264"/>
      <c r="F3686" s="265"/>
      <c r="G3686" s="263"/>
      <c r="H3686" s="432"/>
      <c r="I3686" s="282"/>
      <c r="J3686" s="283"/>
      <c r="K3686" s="265"/>
      <c r="L3686" s="265"/>
      <c r="M3686" s="269"/>
      <c r="N3686" s="270"/>
      <c r="O3686" s="271"/>
      <c r="P3686" s="271"/>
      <c r="Q3686" s="272"/>
      <c r="R3686" s="273"/>
      <c r="S3686" s="273"/>
      <c r="T3686" s="273"/>
      <c r="U3686" s="274"/>
      <c r="V3686" s="263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</row>
    <row r="3687">
      <c r="A3687" s="263"/>
      <c r="B3687" s="264"/>
      <c r="C3687" s="265"/>
      <c r="D3687" s="265"/>
      <c r="E3687" s="264"/>
      <c r="F3687" s="265"/>
      <c r="G3687" s="263"/>
      <c r="H3687" s="432"/>
      <c r="I3687" s="282"/>
      <c r="J3687" s="283"/>
      <c r="K3687" s="265"/>
      <c r="L3687" s="265"/>
      <c r="M3687" s="269"/>
      <c r="N3687" s="270"/>
      <c r="O3687" s="271"/>
      <c r="P3687" s="271"/>
      <c r="Q3687" s="272"/>
      <c r="R3687" s="273"/>
      <c r="S3687" s="273"/>
      <c r="T3687" s="273"/>
      <c r="U3687" s="274"/>
      <c r="V3687" s="263"/>
      <c r="W3687" s="188"/>
      <c r="X3687" s="188"/>
      <c r="Y3687" s="188"/>
      <c r="Z3687" s="188"/>
      <c r="AA3687" s="188"/>
      <c r="AB3687" s="188"/>
      <c r="AC3687" s="188"/>
      <c r="AD3687" s="188"/>
      <c r="AE3687" s="188"/>
      <c r="AF3687" s="188"/>
      <c r="AG3687" s="188"/>
      <c r="AH3687" s="188"/>
      <c r="AI3687" s="188"/>
    </row>
    <row r="3688">
      <c r="A3688" s="263"/>
      <c r="B3688" s="264"/>
      <c r="C3688" s="265"/>
      <c r="D3688" s="265"/>
      <c r="E3688" s="264"/>
      <c r="F3688" s="265"/>
      <c r="G3688" s="263"/>
      <c r="H3688" s="432"/>
      <c r="I3688" s="282"/>
      <c r="J3688" s="283"/>
      <c r="K3688" s="265"/>
      <c r="L3688" s="265"/>
      <c r="M3688" s="269"/>
      <c r="N3688" s="270"/>
      <c r="O3688" s="271"/>
      <c r="P3688" s="271"/>
      <c r="Q3688" s="272"/>
      <c r="R3688" s="273"/>
      <c r="S3688" s="273"/>
      <c r="T3688" s="273"/>
      <c r="U3688" s="274"/>
      <c r="V3688" s="263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</row>
    <row r="3689">
      <c r="A3689" s="263"/>
      <c r="B3689" s="264"/>
      <c r="C3689" s="265"/>
      <c r="D3689" s="265"/>
      <c r="E3689" s="264"/>
      <c r="F3689" s="265"/>
      <c r="G3689" s="263"/>
      <c r="H3689" s="432"/>
      <c r="I3689" s="282"/>
      <c r="J3689" s="283"/>
      <c r="K3689" s="265"/>
      <c r="L3689" s="265"/>
      <c r="M3689" s="269"/>
      <c r="N3689" s="270"/>
      <c r="O3689" s="271"/>
      <c r="P3689" s="271"/>
      <c r="Q3689" s="272"/>
      <c r="R3689" s="273"/>
      <c r="S3689" s="273"/>
      <c r="T3689" s="273"/>
      <c r="U3689" s="274"/>
      <c r="V3689" s="263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</row>
    <row r="3690">
      <c r="A3690" s="263"/>
      <c r="B3690" s="264"/>
      <c r="C3690" s="265"/>
      <c r="D3690" s="265"/>
      <c r="E3690" s="264"/>
      <c r="F3690" s="265"/>
      <c r="G3690" s="263"/>
      <c r="H3690" s="432"/>
      <c r="I3690" s="282"/>
      <c r="J3690" s="283"/>
      <c r="K3690" s="265"/>
      <c r="L3690" s="265"/>
      <c r="M3690" s="269"/>
      <c r="N3690" s="270"/>
      <c r="O3690" s="271"/>
      <c r="P3690" s="271"/>
      <c r="Q3690" s="272"/>
      <c r="R3690" s="273"/>
      <c r="S3690" s="273"/>
      <c r="T3690" s="273"/>
      <c r="U3690" s="274"/>
      <c r="V3690" s="263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</row>
    <row r="3691">
      <c r="A3691" s="263"/>
      <c r="B3691" s="264"/>
      <c r="C3691" s="265"/>
      <c r="D3691" s="265"/>
      <c r="E3691" s="264"/>
      <c r="F3691" s="265"/>
      <c r="G3691" s="263"/>
      <c r="H3691" s="432"/>
      <c r="I3691" s="282"/>
      <c r="J3691" s="283"/>
      <c r="K3691" s="265"/>
      <c r="L3691" s="265"/>
      <c r="M3691" s="269"/>
      <c r="N3691" s="270"/>
      <c r="O3691" s="271"/>
      <c r="P3691" s="271"/>
      <c r="Q3691" s="272"/>
      <c r="R3691" s="273"/>
      <c r="S3691" s="273"/>
      <c r="T3691" s="260"/>
      <c r="U3691" s="261"/>
      <c r="V3691" s="251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</row>
    <row r="3692">
      <c r="A3692" s="263"/>
      <c r="B3692" s="264"/>
      <c r="C3692" s="265"/>
      <c r="D3692" s="265"/>
      <c r="E3692" s="264"/>
      <c r="F3692" s="265"/>
      <c r="G3692" s="263"/>
      <c r="H3692" s="432"/>
      <c r="I3692" s="282"/>
      <c r="J3692" s="283"/>
      <c r="K3692" s="265"/>
      <c r="L3692" s="265"/>
      <c r="M3692" s="269"/>
      <c r="N3692" s="270"/>
      <c r="O3692" s="271"/>
      <c r="P3692" s="271"/>
      <c r="Q3692" s="272"/>
      <c r="R3692" s="273"/>
      <c r="S3692" s="273"/>
      <c r="T3692" s="273"/>
      <c r="U3692" s="274"/>
      <c r="V3692" s="263"/>
      <c r="W3692" s="188"/>
      <c r="X3692" s="188"/>
      <c r="Y3692" s="188"/>
      <c r="Z3692" s="188"/>
      <c r="AA3692" s="188"/>
      <c r="AB3692" s="188"/>
      <c r="AC3692" s="188"/>
      <c r="AD3692" s="188"/>
      <c r="AE3692" s="188"/>
      <c r="AF3692" s="188"/>
      <c r="AG3692" s="188"/>
      <c r="AH3692" s="188"/>
      <c r="AI3692" s="188"/>
    </row>
    <row r="3693">
      <c r="A3693" s="263"/>
      <c r="B3693" s="264"/>
      <c r="C3693" s="265"/>
      <c r="D3693" s="265"/>
      <c r="E3693" s="264"/>
      <c r="F3693" s="265"/>
      <c r="G3693" s="263"/>
      <c r="H3693" s="432"/>
      <c r="I3693" s="282"/>
      <c r="J3693" s="283"/>
      <c r="K3693" s="265"/>
      <c r="L3693" s="265"/>
      <c r="M3693" s="269"/>
      <c r="N3693" s="270"/>
      <c r="O3693" s="271"/>
      <c r="P3693" s="271"/>
      <c r="Q3693" s="272"/>
      <c r="R3693" s="273"/>
      <c r="S3693" s="273"/>
      <c r="T3693" s="273"/>
      <c r="U3693" s="274"/>
      <c r="V3693" s="263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</row>
    <row r="3694">
      <c r="A3694" s="263"/>
      <c r="B3694" s="264"/>
      <c r="C3694" s="265"/>
      <c r="D3694" s="265"/>
      <c r="E3694" s="264"/>
      <c r="F3694" s="265"/>
      <c r="G3694" s="263"/>
      <c r="H3694" s="432"/>
      <c r="I3694" s="282"/>
      <c r="J3694" s="283"/>
      <c r="K3694" s="265"/>
      <c r="L3694" s="265"/>
      <c r="M3694" s="269"/>
      <c r="N3694" s="270"/>
      <c r="O3694" s="271"/>
      <c r="P3694" s="271"/>
      <c r="Q3694" s="272"/>
      <c r="R3694" s="273"/>
      <c r="S3694" s="273"/>
      <c r="T3694" s="273"/>
      <c r="U3694" s="274"/>
      <c r="V3694" s="263"/>
      <c r="W3694" s="35"/>
      <c r="X3694" s="35"/>
      <c r="Y3694" s="35"/>
      <c r="Z3694" s="35"/>
      <c r="AA3694" s="35"/>
      <c r="AB3694" s="35"/>
      <c r="AC3694" s="35"/>
      <c r="AD3694" s="35"/>
      <c r="AE3694" s="35"/>
      <c r="AF3694" s="35"/>
      <c r="AG3694" s="35"/>
      <c r="AH3694" s="35"/>
      <c r="AI3694" s="35"/>
    </row>
    <row r="3695">
      <c r="A3695" s="263"/>
      <c r="B3695" s="264"/>
      <c r="C3695" s="265"/>
      <c r="D3695" s="265"/>
      <c r="E3695" s="264"/>
      <c r="F3695" s="265"/>
      <c r="G3695" s="263"/>
      <c r="H3695" s="432"/>
      <c r="I3695" s="282"/>
      <c r="J3695" s="283"/>
      <c r="K3695" s="265"/>
      <c r="L3695" s="265"/>
      <c r="M3695" s="269"/>
      <c r="N3695" s="270"/>
      <c r="O3695" s="271"/>
      <c r="P3695" s="271"/>
      <c r="Q3695" s="272"/>
      <c r="R3695" s="273"/>
      <c r="S3695" s="273"/>
      <c r="T3695" s="273"/>
      <c r="U3695" s="274"/>
      <c r="V3695" s="263"/>
      <c r="W3695" s="188"/>
      <c r="X3695" s="188"/>
      <c r="Y3695" s="188"/>
      <c r="Z3695" s="188"/>
      <c r="AA3695" s="188"/>
      <c r="AB3695" s="188"/>
      <c r="AC3695" s="188"/>
      <c r="AD3695" s="188"/>
      <c r="AE3695" s="188"/>
      <c r="AF3695" s="188"/>
      <c r="AG3695" s="188"/>
      <c r="AH3695" s="188"/>
      <c r="AI3695" s="188"/>
    </row>
    <row r="3696">
      <c r="A3696" s="263"/>
      <c r="B3696" s="264"/>
      <c r="C3696" s="265"/>
      <c r="D3696" s="265"/>
      <c r="E3696" s="264"/>
      <c r="F3696" s="265"/>
      <c r="G3696" s="263"/>
      <c r="H3696" s="432"/>
      <c r="I3696" s="282"/>
      <c r="J3696" s="283"/>
      <c r="K3696" s="265"/>
      <c r="L3696" s="265"/>
      <c r="M3696" s="269"/>
      <c r="N3696" s="270"/>
      <c r="O3696" s="271"/>
      <c r="P3696" s="271"/>
      <c r="Q3696" s="272"/>
      <c r="R3696" s="273"/>
      <c r="S3696" s="273"/>
      <c r="T3696" s="273"/>
      <c r="U3696" s="274"/>
      <c r="V3696" s="263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</row>
    <row r="3697">
      <c r="A3697" s="263"/>
      <c r="B3697" s="264"/>
      <c r="C3697" s="265"/>
      <c r="D3697" s="265"/>
      <c r="E3697" s="264"/>
      <c r="F3697" s="265"/>
      <c r="G3697" s="263"/>
      <c r="H3697" s="432"/>
      <c r="I3697" s="282"/>
      <c r="J3697" s="283"/>
      <c r="K3697" s="265"/>
      <c r="L3697" s="265"/>
      <c r="M3697" s="269"/>
      <c r="N3697" s="270"/>
      <c r="O3697" s="271"/>
      <c r="P3697" s="271"/>
      <c r="Q3697" s="272"/>
      <c r="R3697" s="273"/>
      <c r="S3697" s="273"/>
      <c r="T3697" s="273"/>
      <c r="U3697" s="274"/>
      <c r="V3697" s="263"/>
      <c r="W3697" s="188"/>
      <c r="X3697" s="188"/>
      <c r="Y3697" s="188"/>
      <c r="Z3697" s="188"/>
      <c r="AA3697" s="188"/>
      <c r="AB3697" s="188"/>
      <c r="AC3697" s="188"/>
      <c r="AD3697" s="188"/>
      <c r="AE3697" s="188"/>
      <c r="AF3697" s="188"/>
      <c r="AG3697" s="188"/>
      <c r="AH3697" s="188"/>
      <c r="AI3697" s="188"/>
    </row>
    <row r="3698">
      <c r="A3698" s="263"/>
      <c r="B3698" s="264"/>
      <c r="C3698" s="265"/>
      <c r="D3698" s="265"/>
      <c r="E3698" s="264"/>
      <c r="F3698" s="265"/>
      <c r="G3698" s="263"/>
      <c r="H3698" s="432"/>
      <c r="I3698" s="282"/>
      <c r="J3698" s="283"/>
      <c r="K3698" s="265"/>
      <c r="L3698" s="265"/>
      <c r="M3698" s="269"/>
      <c r="N3698" s="270"/>
      <c r="O3698" s="271"/>
      <c r="P3698" s="271"/>
      <c r="Q3698" s="272"/>
      <c r="R3698" s="273"/>
      <c r="S3698" s="273"/>
      <c r="T3698" s="273"/>
      <c r="U3698" s="274"/>
      <c r="V3698" s="263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</row>
    <row r="3699">
      <c r="A3699" s="263"/>
      <c r="B3699" s="264"/>
      <c r="C3699" s="265"/>
      <c r="D3699" s="265"/>
      <c r="E3699" s="264"/>
      <c r="F3699" s="265"/>
      <c r="G3699" s="263"/>
      <c r="H3699" s="432"/>
      <c r="I3699" s="282"/>
      <c r="J3699" s="283"/>
      <c r="K3699" s="265"/>
      <c r="L3699" s="265"/>
      <c r="M3699" s="269"/>
      <c r="N3699" s="270"/>
      <c r="O3699" s="271"/>
      <c r="P3699" s="271"/>
      <c r="Q3699" s="272"/>
      <c r="R3699" s="273"/>
      <c r="S3699" s="273"/>
      <c r="T3699" s="273"/>
      <c r="U3699" s="274"/>
      <c r="V3699" s="263"/>
      <c r="W3699" s="188"/>
      <c r="X3699" s="188"/>
      <c r="Y3699" s="188"/>
      <c r="Z3699" s="188"/>
      <c r="AA3699" s="188"/>
      <c r="AB3699" s="188"/>
      <c r="AC3699" s="188"/>
      <c r="AD3699" s="188"/>
      <c r="AE3699" s="188"/>
      <c r="AF3699" s="188"/>
      <c r="AG3699" s="188"/>
      <c r="AH3699" s="188"/>
      <c r="AI3699" s="188"/>
    </row>
    <row r="3700">
      <c r="A3700" s="263"/>
      <c r="B3700" s="264"/>
      <c r="C3700" s="265"/>
      <c r="D3700" s="265"/>
      <c r="E3700" s="264"/>
      <c r="F3700" s="265"/>
      <c r="G3700" s="263"/>
      <c r="H3700" s="432"/>
      <c r="I3700" s="282"/>
      <c r="J3700" s="283"/>
      <c r="K3700" s="265"/>
      <c r="L3700" s="265"/>
      <c r="M3700" s="269"/>
      <c r="N3700" s="270"/>
      <c r="O3700" s="271"/>
      <c r="P3700" s="271"/>
      <c r="Q3700" s="272"/>
      <c r="R3700" s="273"/>
      <c r="S3700" s="273"/>
      <c r="T3700" s="273"/>
      <c r="U3700" s="274"/>
      <c r="V3700" s="263"/>
      <c r="W3700" s="35"/>
      <c r="X3700" s="35"/>
      <c r="Y3700" s="35"/>
      <c r="Z3700" s="35"/>
      <c r="AA3700" s="35"/>
      <c r="AB3700" s="35"/>
      <c r="AC3700" s="35"/>
      <c r="AD3700" s="35"/>
      <c r="AE3700" s="35"/>
      <c r="AF3700" s="35"/>
      <c r="AG3700" s="35"/>
      <c r="AH3700" s="35"/>
      <c r="AI3700" s="35"/>
    </row>
    <row r="3701">
      <c r="A3701" s="263"/>
      <c r="B3701" s="264"/>
      <c r="C3701" s="265"/>
      <c r="D3701" s="265"/>
      <c r="E3701" s="264"/>
      <c r="F3701" s="265"/>
      <c r="G3701" s="263"/>
      <c r="H3701" s="432"/>
      <c r="I3701" s="282"/>
      <c r="J3701" s="283"/>
      <c r="K3701" s="265"/>
      <c r="L3701" s="265"/>
      <c r="M3701" s="269"/>
      <c r="N3701" s="270"/>
      <c r="O3701" s="271"/>
      <c r="P3701" s="271"/>
      <c r="Q3701" s="272"/>
      <c r="R3701" s="273"/>
      <c r="S3701" s="273"/>
      <c r="T3701" s="273"/>
      <c r="U3701" s="274"/>
      <c r="V3701" s="263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</row>
    <row r="3702">
      <c r="A3702" s="263"/>
      <c r="B3702" s="264"/>
      <c r="C3702" s="265"/>
      <c r="D3702" s="265"/>
      <c r="E3702" s="264"/>
      <c r="F3702" s="265"/>
      <c r="G3702" s="263"/>
      <c r="H3702" s="432"/>
      <c r="I3702" s="282"/>
      <c r="J3702" s="283"/>
      <c r="K3702" s="265"/>
      <c r="L3702" s="265"/>
      <c r="M3702" s="269"/>
      <c r="N3702" s="270"/>
      <c r="O3702" s="271"/>
      <c r="P3702" s="271"/>
      <c r="Q3702" s="272"/>
      <c r="R3702" s="273"/>
      <c r="S3702" s="273"/>
      <c r="T3702" s="273"/>
      <c r="U3702" s="274"/>
      <c r="V3702" s="263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</row>
    <row r="3703">
      <c r="A3703" s="263"/>
      <c r="B3703" s="264"/>
      <c r="C3703" s="265"/>
      <c r="D3703" s="265"/>
      <c r="E3703" s="264"/>
      <c r="F3703" s="265"/>
      <c r="G3703" s="263"/>
      <c r="H3703" s="432"/>
      <c r="I3703" s="282"/>
      <c r="J3703" s="283"/>
      <c r="K3703" s="265"/>
      <c r="L3703" s="265"/>
      <c r="M3703" s="269"/>
      <c r="N3703" s="270"/>
      <c r="O3703" s="271"/>
      <c r="P3703" s="271"/>
      <c r="Q3703" s="272"/>
      <c r="R3703" s="273"/>
      <c r="S3703" s="273"/>
      <c r="T3703" s="273"/>
      <c r="U3703" s="274"/>
      <c r="V3703" s="263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</row>
    <row r="3704">
      <c r="A3704" s="263"/>
      <c r="B3704" s="264"/>
      <c r="C3704" s="265"/>
      <c r="D3704" s="265"/>
      <c r="E3704" s="264"/>
      <c r="F3704" s="265"/>
      <c r="G3704" s="263"/>
      <c r="H3704" s="432"/>
      <c r="I3704" s="282"/>
      <c r="J3704" s="283"/>
      <c r="K3704" s="265"/>
      <c r="L3704" s="265"/>
      <c r="M3704" s="269"/>
      <c r="N3704" s="270"/>
      <c r="O3704" s="271"/>
      <c r="P3704" s="271"/>
      <c r="Q3704" s="272"/>
      <c r="R3704" s="273"/>
      <c r="S3704" s="273"/>
      <c r="T3704" s="273"/>
      <c r="U3704" s="274"/>
      <c r="V3704" s="263"/>
      <c r="W3704" s="188"/>
      <c r="X3704" s="188"/>
      <c r="Y3704" s="188"/>
      <c r="Z3704" s="188"/>
      <c r="AA3704" s="188"/>
      <c r="AB3704" s="188"/>
      <c r="AC3704" s="188"/>
      <c r="AD3704" s="188"/>
      <c r="AE3704" s="188"/>
      <c r="AF3704" s="188"/>
      <c r="AG3704" s="188"/>
      <c r="AH3704" s="188"/>
      <c r="AI3704" s="188"/>
    </row>
    <row r="3705">
      <c r="A3705" s="263"/>
      <c r="B3705" s="264"/>
      <c r="C3705" s="265"/>
      <c r="D3705" s="265"/>
      <c r="E3705" s="264"/>
      <c r="F3705" s="265"/>
      <c r="G3705" s="263"/>
      <c r="H3705" s="432"/>
      <c r="I3705" s="282"/>
      <c r="J3705" s="283"/>
      <c r="K3705" s="265"/>
      <c r="L3705" s="265"/>
      <c r="M3705" s="269"/>
      <c r="N3705" s="270"/>
      <c r="O3705" s="271"/>
      <c r="P3705" s="271"/>
      <c r="Q3705" s="272"/>
      <c r="R3705" s="273"/>
      <c r="S3705" s="273"/>
      <c r="T3705" s="273"/>
      <c r="U3705" s="274"/>
      <c r="V3705" s="263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</row>
    <row r="3706">
      <c r="A3706" s="263"/>
      <c r="B3706" s="264"/>
      <c r="C3706" s="265"/>
      <c r="D3706" s="265"/>
      <c r="E3706" s="264"/>
      <c r="F3706" s="265"/>
      <c r="G3706" s="263"/>
      <c r="H3706" s="432"/>
      <c r="I3706" s="282"/>
      <c r="J3706" s="283"/>
      <c r="K3706" s="265"/>
      <c r="L3706" s="265"/>
      <c r="M3706" s="269"/>
      <c r="N3706" s="270"/>
      <c r="O3706" s="271"/>
      <c r="P3706" s="271"/>
      <c r="Q3706" s="272"/>
      <c r="R3706" s="273"/>
      <c r="S3706" s="273"/>
      <c r="T3706" s="273"/>
      <c r="U3706" s="274"/>
      <c r="V3706" s="263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</row>
    <row r="3707">
      <c r="A3707" s="263"/>
      <c r="B3707" s="264"/>
      <c r="C3707" s="265"/>
      <c r="D3707" s="265"/>
      <c r="E3707" s="264"/>
      <c r="F3707" s="265"/>
      <c r="G3707" s="263"/>
      <c r="H3707" s="432"/>
      <c r="I3707" s="282"/>
      <c r="J3707" s="283"/>
      <c r="K3707" s="265"/>
      <c r="L3707" s="265"/>
      <c r="M3707" s="269"/>
      <c r="N3707" s="270"/>
      <c r="O3707" s="271"/>
      <c r="P3707" s="271"/>
      <c r="Q3707" s="272"/>
      <c r="R3707" s="273"/>
      <c r="S3707" s="273"/>
      <c r="T3707" s="273"/>
      <c r="U3707" s="274"/>
      <c r="V3707" s="263"/>
      <c r="W3707" s="188"/>
      <c r="X3707" s="188"/>
      <c r="Y3707" s="188"/>
      <c r="Z3707" s="188"/>
      <c r="AA3707" s="188"/>
      <c r="AB3707" s="188"/>
      <c r="AC3707" s="188"/>
      <c r="AD3707" s="188"/>
      <c r="AE3707" s="188"/>
      <c r="AF3707" s="188"/>
      <c r="AG3707" s="188"/>
      <c r="AH3707" s="188"/>
      <c r="AI3707" s="188"/>
    </row>
    <row r="3708">
      <c r="A3708" s="263"/>
      <c r="B3708" s="264"/>
      <c r="C3708" s="265"/>
      <c r="D3708" s="265"/>
      <c r="E3708" s="264"/>
      <c r="F3708" s="265"/>
      <c r="G3708" s="263"/>
      <c r="H3708" s="432"/>
      <c r="I3708" s="282"/>
      <c r="J3708" s="283"/>
      <c r="K3708" s="265"/>
      <c r="L3708" s="265"/>
      <c r="M3708" s="269"/>
      <c r="N3708" s="270"/>
      <c r="O3708" s="271"/>
      <c r="P3708" s="271"/>
      <c r="Q3708" s="272"/>
      <c r="R3708" s="273"/>
      <c r="S3708" s="273"/>
      <c r="T3708" s="273"/>
      <c r="U3708" s="274"/>
      <c r="V3708" s="263"/>
      <c r="W3708" s="36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</row>
    <row r="3709">
      <c r="A3709" s="263"/>
      <c r="B3709" s="264"/>
      <c r="C3709" s="265"/>
      <c r="D3709" s="265"/>
      <c r="E3709" s="264"/>
      <c r="F3709" s="265"/>
      <c r="G3709" s="263"/>
      <c r="H3709" s="432"/>
      <c r="I3709" s="282"/>
      <c r="J3709" s="283"/>
      <c r="K3709" s="265"/>
      <c r="L3709" s="265"/>
      <c r="M3709" s="269"/>
      <c r="N3709" s="270"/>
      <c r="O3709" s="271"/>
      <c r="P3709" s="271"/>
      <c r="Q3709" s="272"/>
      <c r="R3709" s="273"/>
      <c r="S3709" s="273"/>
      <c r="T3709" s="273"/>
      <c r="U3709" s="274"/>
      <c r="V3709" s="263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</row>
    <row r="3710">
      <c r="A3710" s="263"/>
      <c r="B3710" s="264"/>
      <c r="C3710" s="265"/>
      <c r="D3710" s="265"/>
      <c r="E3710" s="264"/>
      <c r="F3710" s="265"/>
      <c r="G3710" s="263"/>
      <c r="H3710" s="432"/>
      <c r="I3710" s="282"/>
      <c r="J3710" s="283"/>
      <c r="K3710" s="265"/>
      <c r="L3710" s="265"/>
      <c r="M3710" s="269"/>
      <c r="N3710" s="270"/>
      <c r="O3710" s="271"/>
      <c r="P3710" s="271"/>
      <c r="Q3710" s="272"/>
      <c r="R3710" s="273"/>
      <c r="S3710" s="273"/>
      <c r="T3710" s="273"/>
      <c r="U3710" s="274"/>
      <c r="V3710" s="263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</row>
    <row r="3711">
      <c r="A3711" s="263"/>
      <c r="B3711" s="264"/>
      <c r="C3711" s="265"/>
      <c r="D3711" s="265"/>
      <c r="E3711" s="264"/>
      <c r="F3711" s="265"/>
      <c r="G3711" s="263"/>
      <c r="H3711" s="432"/>
      <c r="I3711" s="282"/>
      <c r="J3711" s="283"/>
      <c r="K3711" s="265"/>
      <c r="L3711" s="265"/>
      <c r="M3711" s="269"/>
      <c r="N3711" s="270"/>
      <c r="O3711" s="271"/>
      <c r="P3711" s="271"/>
      <c r="Q3711" s="272"/>
      <c r="R3711" s="273"/>
      <c r="S3711" s="273"/>
      <c r="T3711" s="273"/>
      <c r="U3711" s="274"/>
      <c r="V3711" s="263"/>
      <c r="W3711" s="35"/>
      <c r="X3711" s="35"/>
      <c r="Y3711" s="35"/>
      <c r="Z3711" s="35"/>
      <c r="AA3711" s="35"/>
      <c r="AB3711" s="35"/>
      <c r="AC3711" s="35"/>
      <c r="AD3711" s="35"/>
      <c r="AE3711" s="35"/>
      <c r="AF3711" s="35"/>
      <c r="AG3711" s="35"/>
      <c r="AH3711" s="35"/>
      <c r="AI3711" s="35"/>
    </row>
    <row r="3712">
      <c r="A3712" s="263"/>
      <c r="B3712" s="264"/>
      <c r="C3712" s="265"/>
      <c r="D3712" s="265"/>
      <c r="E3712" s="264"/>
      <c r="F3712" s="265"/>
      <c r="G3712" s="263"/>
      <c r="H3712" s="432"/>
      <c r="I3712" s="282"/>
      <c r="J3712" s="283"/>
      <c r="K3712" s="265"/>
      <c r="L3712" s="265"/>
      <c r="M3712" s="269"/>
      <c r="N3712" s="270"/>
      <c r="O3712" s="271"/>
      <c r="P3712" s="271"/>
      <c r="Q3712" s="272"/>
      <c r="R3712" s="273"/>
      <c r="S3712" s="273"/>
      <c r="T3712" s="273"/>
      <c r="U3712" s="274"/>
      <c r="V3712" s="263"/>
      <c r="W3712" s="35"/>
      <c r="X3712" s="35"/>
      <c r="Y3712" s="35"/>
      <c r="Z3712" s="35"/>
      <c r="AA3712" s="35"/>
      <c r="AB3712" s="35"/>
      <c r="AC3712" s="35"/>
      <c r="AD3712" s="35"/>
      <c r="AE3712" s="35"/>
      <c r="AF3712" s="35"/>
      <c r="AG3712" s="35"/>
      <c r="AH3712" s="35"/>
      <c r="AI3712" s="35"/>
    </row>
    <row r="3713">
      <c r="A3713" s="263"/>
      <c r="B3713" s="264"/>
      <c r="C3713" s="265"/>
      <c r="D3713" s="265"/>
      <c r="E3713" s="264"/>
      <c r="F3713" s="265"/>
      <c r="G3713" s="263"/>
      <c r="H3713" s="432"/>
      <c r="I3713" s="282"/>
      <c r="J3713" s="283"/>
      <c r="K3713" s="265"/>
      <c r="L3713" s="265"/>
      <c r="M3713" s="269"/>
      <c r="N3713" s="270"/>
      <c r="O3713" s="271"/>
      <c r="P3713" s="271"/>
      <c r="Q3713" s="272"/>
      <c r="R3713" s="273"/>
      <c r="S3713" s="273"/>
      <c r="T3713" s="273"/>
      <c r="U3713" s="274"/>
      <c r="V3713" s="263"/>
      <c r="W3713" s="35"/>
      <c r="X3713" s="35"/>
      <c r="Y3713" s="35"/>
      <c r="Z3713" s="35"/>
      <c r="AA3713" s="35"/>
      <c r="AB3713" s="35"/>
      <c r="AC3713" s="35"/>
      <c r="AD3713" s="35"/>
      <c r="AE3713" s="35"/>
      <c r="AF3713" s="35"/>
      <c r="AG3713" s="35"/>
      <c r="AH3713" s="35"/>
      <c r="AI3713" s="35"/>
    </row>
    <row r="3714">
      <c r="A3714" s="263"/>
      <c r="B3714" s="264"/>
      <c r="C3714" s="265"/>
      <c r="D3714" s="265"/>
      <c r="E3714" s="264"/>
      <c r="F3714" s="265"/>
      <c r="G3714" s="263"/>
      <c r="H3714" s="432"/>
      <c r="I3714" s="282"/>
      <c r="J3714" s="283"/>
      <c r="K3714" s="265"/>
      <c r="L3714" s="265"/>
      <c r="M3714" s="269"/>
      <c r="N3714" s="270"/>
      <c r="O3714" s="271"/>
      <c r="P3714" s="271"/>
      <c r="Q3714" s="272"/>
      <c r="R3714" s="273"/>
      <c r="S3714" s="273"/>
      <c r="T3714" s="273"/>
      <c r="U3714" s="274"/>
      <c r="V3714" s="263"/>
      <c r="W3714" s="36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</row>
    <row r="3715">
      <c r="A3715" s="263"/>
      <c r="B3715" s="264"/>
      <c r="C3715" s="265"/>
      <c r="D3715" s="265"/>
      <c r="E3715" s="264"/>
      <c r="F3715" s="265"/>
      <c r="G3715" s="263"/>
      <c r="H3715" s="432"/>
      <c r="I3715" s="282"/>
      <c r="J3715" s="283"/>
      <c r="K3715" s="265"/>
      <c r="L3715" s="265"/>
      <c r="M3715" s="269"/>
      <c r="N3715" s="270"/>
      <c r="O3715" s="271"/>
      <c r="P3715" s="271"/>
      <c r="Q3715" s="272"/>
      <c r="R3715" s="273"/>
      <c r="S3715" s="273"/>
      <c r="T3715" s="273"/>
      <c r="U3715" s="274"/>
      <c r="V3715" s="263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</row>
    <row r="3716">
      <c r="A3716" s="263"/>
      <c r="B3716" s="264"/>
      <c r="C3716" s="265"/>
      <c r="D3716" s="265"/>
      <c r="E3716" s="264"/>
      <c r="F3716" s="265"/>
      <c r="G3716" s="263"/>
      <c r="H3716" s="432"/>
      <c r="I3716" s="282"/>
      <c r="J3716" s="283"/>
      <c r="K3716" s="265"/>
      <c r="L3716" s="265"/>
      <c r="M3716" s="269"/>
      <c r="N3716" s="270"/>
      <c r="O3716" s="271"/>
      <c r="P3716" s="271"/>
      <c r="Q3716" s="272"/>
      <c r="R3716" s="273"/>
      <c r="S3716" s="273"/>
      <c r="T3716" s="273"/>
      <c r="U3716" s="274"/>
      <c r="V3716" s="263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</row>
    <row r="3717">
      <c r="A3717" s="263"/>
      <c r="B3717" s="264"/>
      <c r="C3717" s="265"/>
      <c r="D3717" s="265"/>
      <c r="E3717" s="264"/>
      <c r="F3717" s="265"/>
      <c r="G3717" s="263"/>
      <c r="H3717" s="432"/>
      <c r="I3717" s="282"/>
      <c r="J3717" s="283"/>
      <c r="K3717" s="265"/>
      <c r="L3717" s="265"/>
      <c r="M3717" s="269"/>
      <c r="N3717" s="270"/>
      <c r="O3717" s="271"/>
      <c r="P3717" s="271"/>
      <c r="Q3717" s="272"/>
      <c r="R3717" s="273"/>
      <c r="S3717" s="273"/>
      <c r="T3717" s="273"/>
      <c r="U3717" s="274"/>
      <c r="V3717" s="263"/>
      <c r="W3717" s="188"/>
      <c r="X3717" s="188"/>
      <c r="Y3717" s="188"/>
      <c r="Z3717" s="188"/>
      <c r="AA3717" s="188"/>
      <c r="AB3717" s="188"/>
      <c r="AC3717" s="188"/>
      <c r="AD3717" s="188"/>
      <c r="AE3717" s="188"/>
      <c r="AF3717" s="188"/>
      <c r="AG3717" s="188"/>
      <c r="AH3717" s="188"/>
      <c r="AI3717" s="188"/>
    </row>
    <row r="3718">
      <c r="A3718" s="263"/>
      <c r="B3718" s="264"/>
      <c r="C3718" s="265"/>
      <c r="D3718" s="265"/>
      <c r="E3718" s="264"/>
      <c r="F3718" s="265"/>
      <c r="G3718" s="263"/>
      <c r="H3718" s="432"/>
      <c r="I3718" s="282"/>
      <c r="J3718" s="283"/>
      <c r="K3718" s="265"/>
      <c r="L3718" s="265"/>
      <c r="M3718" s="269"/>
      <c r="N3718" s="270"/>
      <c r="O3718" s="271"/>
      <c r="P3718" s="271"/>
      <c r="Q3718" s="272"/>
      <c r="R3718" s="273"/>
      <c r="S3718" s="273"/>
      <c r="T3718" s="273"/>
      <c r="U3718" s="274"/>
      <c r="V3718" s="263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</row>
    <row r="3719">
      <c r="A3719" s="263"/>
      <c r="B3719" s="264"/>
      <c r="C3719" s="265"/>
      <c r="D3719" s="265"/>
      <c r="E3719" s="264"/>
      <c r="F3719" s="265"/>
      <c r="G3719" s="263"/>
      <c r="H3719" s="432"/>
      <c r="I3719" s="282"/>
      <c r="J3719" s="283"/>
      <c r="K3719" s="265"/>
      <c r="L3719" s="265"/>
      <c r="M3719" s="269"/>
      <c r="N3719" s="270"/>
      <c r="O3719" s="271"/>
      <c r="P3719" s="271"/>
      <c r="Q3719" s="272"/>
      <c r="R3719" s="273"/>
      <c r="S3719" s="273"/>
      <c r="T3719" s="273"/>
      <c r="U3719" s="274"/>
      <c r="V3719" s="263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</row>
    <row r="3720">
      <c r="A3720" s="263"/>
      <c r="B3720" s="264"/>
      <c r="C3720" s="265"/>
      <c r="D3720" s="265"/>
      <c r="E3720" s="264"/>
      <c r="F3720" s="265"/>
      <c r="G3720" s="263"/>
      <c r="H3720" s="432"/>
      <c r="I3720" s="282"/>
      <c r="J3720" s="283"/>
      <c r="K3720" s="265"/>
      <c r="L3720" s="265"/>
      <c r="M3720" s="269"/>
      <c r="N3720" s="270"/>
      <c r="O3720" s="271"/>
      <c r="P3720" s="271"/>
      <c r="Q3720" s="272"/>
      <c r="R3720" s="273"/>
      <c r="S3720" s="273"/>
      <c r="T3720" s="273"/>
      <c r="U3720" s="274"/>
      <c r="V3720" s="263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</row>
    <row r="3721">
      <c r="A3721" s="263"/>
      <c r="B3721" s="264"/>
      <c r="C3721" s="265"/>
      <c r="D3721" s="265"/>
      <c r="E3721" s="264"/>
      <c r="F3721" s="265"/>
      <c r="G3721" s="263"/>
      <c r="H3721" s="432"/>
      <c r="I3721" s="282"/>
      <c r="J3721" s="283"/>
      <c r="K3721" s="265"/>
      <c r="L3721" s="265"/>
      <c r="M3721" s="269"/>
      <c r="N3721" s="270"/>
      <c r="O3721" s="271"/>
      <c r="P3721" s="271"/>
      <c r="Q3721" s="272"/>
      <c r="R3721" s="273"/>
      <c r="S3721" s="273"/>
      <c r="T3721" s="273"/>
      <c r="U3721" s="274"/>
      <c r="V3721" s="263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</row>
    <row r="3722">
      <c r="A3722" s="263"/>
      <c r="B3722" s="264"/>
      <c r="C3722" s="265"/>
      <c r="D3722" s="265"/>
      <c r="E3722" s="264"/>
      <c r="F3722" s="265"/>
      <c r="G3722" s="263"/>
      <c r="H3722" s="432"/>
      <c r="I3722" s="282"/>
      <c r="J3722" s="283"/>
      <c r="K3722" s="265"/>
      <c r="L3722" s="265"/>
      <c r="M3722" s="269"/>
      <c r="N3722" s="270"/>
      <c r="O3722" s="271"/>
      <c r="P3722" s="271"/>
      <c r="Q3722" s="272"/>
      <c r="R3722" s="273"/>
      <c r="S3722" s="273"/>
      <c r="T3722" s="273"/>
      <c r="U3722" s="274"/>
      <c r="V3722" s="263"/>
      <c r="W3722" s="35"/>
      <c r="X3722" s="35"/>
      <c r="Y3722" s="35"/>
      <c r="Z3722" s="35"/>
      <c r="AA3722" s="35"/>
      <c r="AB3722" s="35"/>
      <c r="AC3722" s="35"/>
      <c r="AD3722" s="35"/>
      <c r="AE3722" s="35"/>
      <c r="AF3722" s="35"/>
      <c r="AG3722" s="35"/>
      <c r="AH3722" s="35"/>
      <c r="AI3722" s="35"/>
    </row>
    <row r="3723">
      <c r="A3723" s="263"/>
      <c r="B3723" s="264"/>
      <c r="C3723" s="265"/>
      <c r="D3723" s="265"/>
      <c r="E3723" s="264"/>
      <c r="F3723" s="265"/>
      <c r="G3723" s="263"/>
      <c r="H3723" s="432"/>
      <c r="I3723" s="282"/>
      <c r="J3723" s="283"/>
      <c r="K3723" s="265"/>
      <c r="L3723" s="265"/>
      <c r="M3723" s="269"/>
      <c r="N3723" s="270"/>
      <c r="O3723" s="271"/>
      <c r="P3723" s="271"/>
      <c r="Q3723" s="272"/>
      <c r="R3723" s="273"/>
      <c r="S3723" s="273"/>
      <c r="T3723" s="273"/>
      <c r="U3723" s="274"/>
      <c r="V3723" s="263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</row>
    <row r="3724">
      <c r="A3724" s="263"/>
      <c r="B3724" s="264"/>
      <c r="C3724" s="265"/>
      <c r="D3724" s="265"/>
      <c r="E3724" s="264"/>
      <c r="F3724" s="265"/>
      <c r="G3724" s="263"/>
      <c r="H3724" s="432"/>
      <c r="I3724" s="282"/>
      <c r="J3724" s="283"/>
      <c r="K3724" s="265"/>
      <c r="L3724" s="265"/>
      <c r="M3724" s="269"/>
      <c r="N3724" s="270"/>
      <c r="O3724" s="271"/>
      <c r="P3724" s="271"/>
      <c r="Q3724" s="272"/>
      <c r="R3724" s="273"/>
      <c r="S3724" s="273"/>
      <c r="T3724" s="273"/>
      <c r="U3724" s="274"/>
      <c r="V3724" s="263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</row>
    <row r="3725">
      <c r="A3725" s="263"/>
      <c r="B3725" s="264"/>
      <c r="C3725" s="265"/>
      <c r="D3725" s="265"/>
      <c r="E3725" s="264"/>
      <c r="F3725" s="265"/>
      <c r="G3725" s="263"/>
      <c r="H3725" s="432"/>
      <c r="I3725" s="282"/>
      <c r="J3725" s="283"/>
      <c r="K3725" s="265"/>
      <c r="L3725" s="265"/>
      <c r="M3725" s="269"/>
      <c r="N3725" s="270"/>
      <c r="O3725" s="271"/>
      <c r="P3725" s="271"/>
      <c r="Q3725" s="272"/>
      <c r="R3725" s="273"/>
      <c r="S3725" s="273"/>
      <c r="T3725" s="273"/>
      <c r="U3725" s="274"/>
      <c r="V3725" s="263"/>
      <c r="W3725" s="35"/>
      <c r="X3725" s="35"/>
      <c r="Y3725" s="35"/>
      <c r="Z3725" s="35"/>
      <c r="AA3725" s="35"/>
      <c r="AB3725" s="35"/>
      <c r="AC3725" s="35"/>
      <c r="AD3725" s="35"/>
      <c r="AE3725" s="35"/>
      <c r="AF3725" s="35"/>
      <c r="AG3725" s="35"/>
      <c r="AH3725" s="35"/>
      <c r="AI3725" s="35"/>
    </row>
    <row r="3726">
      <c r="A3726" s="263"/>
      <c r="B3726" s="264"/>
      <c r="C3726" s="265"/>
      <c r="D3726" s="265"/>
      <c r="E3726" s="264"/>
      <c r="F3726" s="265"/>
      <c r="G3726" s="263"/>
      <c r="H3726" s="432"/>
      <c r="I3726" s="282"/>
      <c r="J3726" s="283"/>
      <c r="K3726" s="265"/>
      <c r="L3726" s="265"/>
      <c r="M3726" s="269"/>
      <c r="N3726" s="270"/>
      <c r="O3726" s="271"/>
      <c r="P3726" s="271"/>
      <c r="Q3726" s="272"/>
      <c r="R3726" s="273"/>
      <c r="S3726" s="273"/>
      <c r="T3726" s="273"/>
      <c r="U3726" s="274"/>
      <c r="V3726" s="263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</row>
    <row r="3727">
      <c r="A3727" s="263"/>
      <c r="B3727" s="264"/>
      <c r="C3727" s="265"/>
      <c r="D3727" s="265"/>
      <c r="E3727" s="264"/>
      <c r="F3727" s="265"/>
      <c r="G3727" s="263"/>
      <c r="H3727" s="432"/>
      <c r="I3727" s="282"/>
      <c r="J3727" s="283"/>
      <c r="K3727" s="265"/>
      <c r="L3727" s="265"/>
      <c r="M3727" s="269"/>
      <c r="N3727" s="270"/>
      <c r="O3727" s="271"/>
      <c r="P3727" s="271"/>
      <c r="Q3727" s="272"/>
      <c r="R3727" s="273"/>
      <c r="S3727" s="273"/>
      <c r="T3727" s="273"/>
      <c r="U3727" s="274"/>
      <c r="V3727" s="263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</row>
    <row r="3728">
      <c r="A3728" s="263"/>
      <c r="B3728" s="264"/>
      <c r="C3728" s="265"/>
      <c r="D3728" s="265"/>
      <c r="E3728" s="264"/>
      <c r="F3728" s="265"/>
      <c r="G3728" s="263"/>
      <c r="H3728" s="432"/>
      <c r="I3728" s="282"/>
      <c r="J3728" s="283"/>
      <c r="K3728" s="265"/>
      <c r="L3728" s="265"/>
      <c r="M3728" s="269"/>
      <c r="N3728" s="270"/>
      <c r="O3728" s="271"/>
      <c r="P3728" s="271"/>
      <c r="Q3728" s="272"/>
      <c r="R3728" s="273"/>
      <c r="S3728" s="273"/>
      <c r="T3728" s="273"/>
      <c r="U3728" s="274"/>
      <c r="V3728" s="263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</row>
    <row r="3729">
      <c r="A3729" s="263"/>
      <c r="B3729" s="264"/>
      <c r="C3729" s="265"/>
      <c r="D3729" s="265"/>
      <c r="E3729" s="264"/>
      <c r="F3729" s="265"/>
      <c r="G3729" s="263"/>
      <c r="H3729" s="432"/>
      <c r="I3729" s="282"/>
      <c r="J3729" s="283"/>
      <c r="K3729" s="265"/>
      <c r="L3729" s="265"/>
      <c r="M3729" s="269"/>
      <c r="N3729" s="270"/>
      <c r="O3729" s="271"/>
      <c r="P3729" s="271"/>
      <c r="Q3729" s="272"/>
      <c r="R3729" s="273"/>
      <c r="S3729" s="273"/>
      <c r="T3729" s="273"/>
      <c r="U3729" s="274"/>
      <c r="V3729" s="263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</row>
    <row r="3730">
      <c r="A3730" s="263"/>
      <c r="B3730" s="264"/>
      <c r="C3730" s="265"/>
      <c r="D3730" s="265"/>
      <c r="E3730" s="264"/>
      <c r="F3730" s="265"/>
      <c r="G3730" s="263"/>
      <c r="H3730" s="432"/>
      <c r="I3730" s="282"/>
      <c r="J3730" s="283"/>
      <c r="K3730" s="265"/>
      <c r="L3730" s="265"/>
      <c r="M3730" s="269"/>
      <c r="N3730" s="270"/>
      <c r="O3730" s="271"/>
      <c r="P3730" s="271"/>
      <c r="Q3730" s="272"/>
      <c r="R3730" s="273"/>
      <c r="S3730" s="273"/>
      <c r="T3730" s="273"/>
      <c r="U3730" s="274"/>
      <c r="V3730" s="263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</row>
    <row r="3731">
      <c r="A3731" s="263"/>
      <c r="B3731" s="264"/>
      <c r="C3731" s="265"/>
      <c r="D3731" s="265"/>
      <c r="E3731" s="264"/>
      <c r="F3731" s="265"/>
      <c r="G3731" s="263"/>
      <c r="H3731" s="432"/>
      <c r="I3731" s="282"/>
      <c r="J3731" s="283"/>
      <c r="K3731" s="265"/>
      <c r="L3731" s="265"/>
      <c r="M3731" s="269"/>
      <c r="N3731" s="270"/>
      <c r="O3731" s="271"/>
      <c r="P3731" s="271"/>
      <c r="Q3731" s="272"/>
      <c r="R3731" s="273"/>
      <c r="S3731" s="273"/>
      <c r="T3731" s="273"/>
      <c r="U3731" s="274"/>
      <c r="V3731" s="263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</row>
    <row r="3732">
      <c r="A3732" s="263"/>
      <c r="B3732" s="264"/>
      <c r="C3732" s="265"/>
      <c r="D3732" s="265"/>
      <c r="E3732" s="264"/>
      <c r="F3732" s="265"/>
      <c r="G3732" s="263"/>
      <c r="H3732" s="432"/>
      <c r="I3732" s="282"/>
      <c r="J3732" s="283"/>
      <c r="K3732" s="265"/>
      <c r="L3732" s="265"/>
      <c r="M3732" s="269"/>
      <c r="N3732" s="270"/>
      <c r="O3732" s="271"/>
      <c r="P3732" s="271"/>
      <c r="Q3732" s="272"/>
      <c r="R3732" s="273"/>
      <c r="S3732" s="273"/>
      <c r="T3732" s="273"/>
      <c r="U3732" s="274"/>
      <c r="V3732" s="263"/>
      <c r="W3732" s="188"/>
      <c r="X3732" s="188"/>
      <c r="Y3732" s="188"/>
      <c r="Z3732" s="188"/>
      <c r="AA3732" s="188"/>
      <c r="AB3732" s="188"/>
      <c r="AC3732" s="188"/>
      <c r="AD3732" s="188"/>
      <c r="AE3732" s="188"/>
      <c r="AF3732" s="188"/>
      <c r="AG3732" s="188"/>
      <c r="AH3732" s="188"/>
      <c r="AI3732" s="188"/>
    </row>
    <row r="3733">
      <c r="A3733" s="263"/>
      <c r="B3733" s="264"/>
      <c r="C3733" s="265"/>
      <c r="D3733" s="265"/>
      <c r="E3733" s="264"/>
      <c r="F3733" s="265"/>
      <c r="G3733" s="263"/>
      <c r="H3733" s="432"/>
      <c r="I3733" s="282"/>
      <c r="J3733" s="283"/>
      <c r="K3733" s="265"/>
      <c r="L3733" s="265"/>
      <c r="M3733" s="269"/>
      <c r="N3733" s="270"/>
      <c r="O3733" s="271"/>
      <c r="P3733" s="271"/>
      <c r="Q3733" s="272"/>
      <c r="R3733" s="273"/>
      <c r="S3733" s="273"/>
      <c r="T3733" s="273"/>
      <c r="U3733" s="274"/>
      <c r="V3733" s="263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</row>
    <row r="3734">
      <c r="A3734" s="263"/>
      <c r="B3734" s="264"/>
      <c r="C3734" s="265"/>
      <c r="D3734" s="265"/>
      <c r="E3734" s="264"/>
      <c r="F3734" s="265"/>
      <c r="G3734" s="263"/>
      <c r="H3734" s="432"/>
      <c r="I3734" s="282"/>
      <c r="J3734" s="283"/>
      <c r="K3734" s="265"/>
      <c r="L3734" s="265"/>
      <c r="M3734" s="269"/>
      <c r="N3734" s="270"/>
      <c r="O3734" s="271"/>
      <c r="P3734" s="271"/>
      <c r="Q3734" s="272"/>
      <c r="R3734" s="273"/>
      <c r="S3734" s="273"/>
      <c r="T3734" s="273"/>
      <c r="U3734" s="274"/>
      <c r="V3734" s="263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</row>
    <row r="3735">
      <c r="A3735" s="263"/>
      <c r="B3735" s="264"/>
      <c r="C3735" s="265"/>
      <c r="D3735" s="265"/>
      <c r="E3735" s="264"/>
      <c r="F3735" s="265"/>
      <c r="G3735" s="263"/>
      <c r="H3735" s="432"/>
      <c r="I3735" s="282"/>
      <c r="J3735" s="283"/>
      <c r="K3735" s="265"/>
      <c r="L3735" s="265"/>
      <c r="M3735" s="269"/>
      <c r="N3735" s="270"/>
      <c r="O3735" s="271"/>
      <c r="P3735" s="271"/>
      <c r="Q3735" s="272"/>
      <c r="R3735" s="273"/>
      <c r="S3735" s="273"/>
      <c r="T3735" s="273"/>
      <c r="U3735" s="274"/>
      <c r="V3735" s="263"/>
      <c r="W3735" s="35"/>
      <c r="X3735" s="35"/>
      <c r="Y3735" s="35"/>
      <c r="Z3735" s="35"/>
      <c r="AA3735" s="35"/>
      <c r="AB3735" s="35"/>
      <c r="AC3735" s="35"/>
      <c r="AD3735" s="35"/>
      <c r="AE3735" s="35"/>
      <c r="AF3735" s="35"/>
      <c r="AG3735" s="35"/>
      <c r="AH3735" s="35"/>
      <c r="AI3735" s="35"/>
    </row>
    <row r="3736">
      <c r="A3736" s="263"/>
      <c r="B3736" s="264"/>
      <c r="C3736" s="265"/>
      <c r="D3736" s="265"/>
      <c r="E3736" s="264"/>
      <c r="F3736" s="265"/>
      <c r="G3736" s="263"/>
      <c r="H3736" s="432"/>
      <c r="I3736" s="282"/>
      <c r="J3736" s="283"/>
      <c r="K3736" s="265"/>
      <c r="L3736" s="265"/>
      <c r="M3736" s="269"/>
      <c r="N3736" s="270"/>
      <c r="O3736" s="271"/>
      <c r="P3736" s="271"/>
      <c r="Q3736" s="272"/>
      <c r="R3736" s="273"/>
      <c r="S3736" s="273"/>
      <c r="T3736" s="273"/>
      <c r="U3736" s="274"/>
      <c r="V3736" s="263"/>
      <c r="W3736" s="188"/>
      <c r="X3736" s="188"/>
      <c r="Y3736" s="188"/>
      <c r="Z3736" s="188"/>
      <c r="AA3736" s="188"/>
      <c r="AB3736" s="188"/>
      <c r="AC3736" s="188"/>
      <c r="AD3736" s="188"/>
      <c r="AE3736" s="188"/>
      <c r="AF3736" s="188"/>
      <c r="AG3736" s="188"/>
      <c r="AH3736" s="188"/>
      <c r="AI3736" s="188"/>
    </row>
    <row r="3737">
      <c r="A3737" s="263"/>
      <c r="B3737" s="264"/>
      <c r="C3737" s="265"/>
      <c r="D3737" s="265"/>
      <c r="E3737" s="264"/>
      <c r="F3737" s="265"/>
      <c r="G3737" s="263"/>
      <c r="H3737" s="432"/>
      <c r="I3737" s="282"/>
      <c r="J3737" s="283"/>
      <c r="K3737" s="265"/>
      <c r="L3737" s="265"/>
      <c r="M3737" s="269"/>
      <c r="N3737" s="270"/>
      <c r="O3737" s="271"/>
      <c r="P3737" s="271"/>
      <c r="Q3737" s="272"/>
      <c r="R3737" s="273"/>
      <c r="S3737" s="273"/>
      <c r="T3737" s="273"/>
      <c r="U3737" s="274"/>
      <c r="V3737" s="263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</row>
    <row r="3738">
      <c r="A3738" s="263"/>
      <c r="B3738" s="264"/>
      <c r="C3738" s="265"/>
      <c r="D3738" s="265"/>
      <c r="E3738" s="264"/>
      <c r="F3738" s="265"/>
      <c r="G3738" s="263"/>
      <c r="H3738" s="432"/>
      <c r="I3738" s="282"/>
      <c r="J3738" s="283"/>
      <c r="K3738" s="265"/>
      <c r="L3738" s="265"/>
      <c r="M3738" s="269"/>
      <c r="N3738" s="270"/>
      <c r="O3738" s="271"/>
      <c r="P3738" s="271"/>
      <c r="Q3738" s="272"/>
      <c r="R3738" s="273"/>
      <c r="S3738" s="273"/>
      <c r="T3738" s="273"/>
      <c r="U3738" s="274"/>
      <c r="V3738" s="263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</row>
    <row r="3739">
      <c r="A3739" s="263"/>
      <c r="B3739" s="264"/>
      <c r="C3739" s="265"/>
      <c r="D3739" s="265"/>
      <c r="E3739" s="264"/>
      <c r="F3739" s="265"/>
      <c r="G3739" s="263"/>
      <c r="H3739" s="432"/>
      <c r="I3739" s="282"/>
      <c r="J3739" s="283"/>
      <c r="K3739" s="265"/>
      <c r="L3739" s="265"/>
      <c r="M3739" s="269"/>
      <c r="N3739" s="270"/>
      <c r="O3739" s="271"/>
      <c r="P3739" s="271"/>
      <c r="Q3739" s="272"/>
      <c r="R3739" s="273"/>
      <c r="S3739" s="273"/>
      <c r="T3739" s="273"/>
      <c r="U3739" s="274"/>
      <c r="V3739" s="263"/>
      <c r="W3739" s="35"/>
      <c r="X3739" s="35"/>
      <c r="Y3739" s="35"/>
      <c r="Z3739" s="35"/>
      <c r="AA3739" s="35"/>
      <c r="AB3739" s="35"/>
      <c r="AC3739" s="35"/>
      <c r="AD3739" s="35"/>
      <c r="AE3739" s="35"/>
      <c r="AF3739" s="35"/>
      <c r="AG3739" s="35"/>
      <c r="AH3739" s="35"/>
      <c r="AI3739" s="35"/>
    </row>
    <row r="3740">
      <c r="A3740" s="263"/>
      <c r="B3740" s="264"/>
      <c r="C3740" s="265"/>
      <c r="D3740" s="265"/>
      <c r="E3740" s="264"/>
      <c r="F3740" s="265"/>
      <c r="G3740" s="263"/>
      <c r="H3740" s="432"/>
      <c r="I3740" s="282"/>
      <c r="J3740" s="283"/>
      <c r="K3740" s="265"/>
      <c r="L3740" s="265"/>
      <c r="M3740" s="269"/>
      <c r="N3740" s="270"/>
      <c r="O3740" s="271"/>
      <c r="P3740" s="271"/>
      <c r="Q3740" s="272"/>
      <c r="R3740" s="273"/>
      <c r="S3740" s="273"/>
      <c r="T3740" s="273"/>
      <c r="U3740" s="274"/>
      <c r="V3740" s="263"/>
      <c r="W3740" s="35"/>
      <c r="X3740" s="35"/>
      <c r="Y3740" s="35"/>
      <c r="Z3740" s="35"/>
      <c r="AA3740" s="35"/>
      <c r="AB3740" s="35"/>
      <c r="AC3740" s="35"/>
      <c r="AD3740" s="35"/>
      <c r="AE3740" s="35"/>
      <c r="AF3740" s="35"/>
      <c r="AG3740" s="35"/>
      <c r="AH3740" s="35"/>
      <c r="AI3740" s="35"/>
    </row>
    <row r="3741">
      <c r="A3741" s="263"/>
      <c r="B3741" s="264"/>
      <c r="C3741" s="265"/>
      <c r="D3741" s="265"/>
      <c r="E3741" s="264"/>
      <c r="F3741" s="265"/>
      <c r="G3741" s="263"/>
      <c r="H3741" s="432"/>
      <c r="I3741" s="282"/>
      <c r="J3741" s="283"/>
      <c r="K3741" s="265"/>
      <c r="L3741" s="265"/>
      <c r="M3741" s="269"/>
      <c r="N3741" s="270"/>
      <c r="O3741" s="271"/>
      <c r="P3741" s="271"/>
      <c r="Q3741" s="272"/>
      <c r="R3741" s="273"/>
      <c r="S3741" s="273"/>
      <c r="T3741" s="273"/>
      <c r="U3741" s="274"/>
      <c r="V3741" s="263"/>
      <c r="W3741" s="35"/>
      <c r="X3741" s="35"/>
      <c r="Y3741" s="35"/>
      <c r="Z3741" s="35"/>
      <c r="AA3741" s="35"/>
      <c r="AB3741" s="35"/>
      <c r="AC3741" s="35"/>
      <c r="AD3741" s="35"/>
      <c r="AE3741" s="35"/>
      <c r="AF3741" s="35"/>
      <c r="AG3741" s="35"/>
      <c r="AH3741" s="35"/>
      <c r="AI3741" s="35"/>
    </row>
    <row r="3742">
      <c r="A3742" s="263"/>
      <c r="B3742" s="264"/>
      <c r="C3742" s="265"/>
      <c r="D3742" s="265"/>
      <c r="E3742" s="264"/>
      <c r="F3742" s="265"/>
      <c r="G3742" s="263"/>
      <c r="H3742" s="432"/>
      <c r="I3742" s="282"/>
      <c r="J3742" s="283"/>
      <c r="K3742" s="265"/>
      <c r="L3742" s="265"/>
      <c r="M3742" s="269"/>
      <c r="N3742" s="270"/>
      <c r="O3742" s="271"/>
      <c r="P3742" s="271"/>
      <c r="Q3742" s="272"/>
      <c r="R3742" s="273"/>
      <c r="S3742" s="273"/>
      <c r="T3742" s="273"/>
      <c r="U3742" s="274"/>
      <c r="V3742" s="263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</row>
    <row r="3743">
      <c r="A3743" s="263"/>
      <c r="B3743" s="264"/>
      <c r="C3743" s="265"/>
      <c r="D3743" s="265"/>
      <c r="E3743" s="264"/>
      <c r="F3743" s="265"/>
      <c r="G3743" s="263"/>
      <c r="H3743" s="432"/>
      <c r="I3743" s="282"/>
      <c r="J3743" s="283"/>
      <c r="K3743" s="265"/>
      <c r="L3743" s="265"/>
      <c r="M3743" s="269"/>
      <c r="N3743" s="270"/>
      <c r="O3743" s="271"/>
      <c r="P3743" s="271"/>
      <c r="Q3743" s="272"/>
      <c r="R3743" s="273"/>
      <c r="S3743" s="273"/>
      <c r="T3743" s="273"/>
      <c r="U3743" s="274"/>
      <c r="V3743" s="263"/>
      <c r="W3743" s="35"/>
      <c r="X3743" s="35"/>
      <c r="Y3743" s="35"/>
      <c r="Z3743" s="35"/>
      <c r="AA3743" s="35"/>
      <c r="AB3743" s="35"/>
      <c r="AC3743" s="35"/>
      <c r="AD3743" s="35"/>
      <c r="AE3743" s="35"/>
      <c r="AF3743" s="35"/>
      <c r="AG3743" s="35"/>
      <c r="AH3743" s="35"/>
      <c r="AI3743" s="35"/>
    </row>
    <row r="3744">
      <c r="A3744" s="263"/>
      <c r="B3744" s="264"/>
      <c r="C3744" s="265"/>
      <c r="D3744" s="265"/>
      <c r="E3744" s="264"/>
      <c r="F3744" s="265"/>
      <c r="G3744" s="263"/>
      <c r="H3744" s="432"/>
      <c r="I3744" s="282"/>
      <c r="J3744" s="283"/>
      <c r="K3744" s="265"/>
      <c r="L3744" s="265"/>
      <c r="M3744" s="269"/>
      <c r="N3744" s="270"/>
      <c r="O3744" s="271"/>
      <c r="P3744" s="271"/>
      <c r="Q3744" s="272"/>
      <c r="R3744" s="273"/>
      <c r="S3744" s="273"/>
      <c r="T3744" s="273"/>
      <c r="U3744" s="274"/>
      <c r="V3744" s="263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</row>
    <row r="3745">
      <c r="A3745" s="263"/>
      <c r="B3745" s="264"/>
      <c r="C3745" s="265"/>
      <c r="D3745" s="265"/>
      <c r="E3745" s="264"/>
      <c r="F3745" s="265"/>
      <c r="G3745" s="263"/>
      <c r="H3745" s="432"/>
      <c r="I3745" s="282"/>
      <c r="J3745" s="283"/>
      <c r="K3745" s="265"/>
      <c r="L3745" s="265"/>
      <c r="M3745" s="269"/>
      <c r="N3745" s="270"/>
      <c r="O3745" s="271"/>
      <c r="P3745" s="271"/>
      <c r="Q3745" s="272"/>
      <c r="R3745" s="273"/>
      <c r="S3745" s="273"/>
      <c r="T3745" s="273"/>
      <c r="U3745" s="274"/>
      <c r="V3745" s="263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</row>
    <row r="3746">
      <c r="A3746" s="263"/>
      <c r="B3746" s="264"/>
      <c r="C3746" s="265"/>
      <c r="D3746" s="265"/>
      <c r="E3746" s="264"/>
      <c r="F3746" s="265"/>
      <c r="G3746" s="263"/>
      <c r="H3746" s="432"/>
      <c r="I3746" s="282"/>
      <c r="J3746" s="283"/>
      <c r="K3746" s="265"/>
      <c r="L3746" s="265"/>
      <c r="M3746" s="269"/>
      <c r="N3746" s="270"/>
      <c r="O3746" s="271"/>
      <c r="P3746" s="271"/>
      <c r="Q3746" s="272"/>
      <c r="R3746" s="273"/>
      <c r="S3746" s="273"/>
      <c r="T3746" s="273"/>
      <c r="U3746" s="274"/>
      <c r="V3746" s="263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</row>
    <row r="3747">
      <c r="A3747" s="263"/>
      <c r="B3747" s="264"/>
      <c r="C3747" s="265"/>
      <c r="D3747" s="265"/>
      <c r="E3747" s="264"/>
      <c r="F3747" s="265"/>
      <c r="G3747" s="263"/>
      <c r="H3747" s="432"/>
      <c r="I3747" s="282"/>
      <c r="J3747" s="283"/>
      <c r="K3747" s="265"/>
      <c r="L3747" s="265"/>
      <c r="M3747" s="269"/>
      <c r="N3747" s="270"/>
      <c r="O3747" s="271"/>
      <c r="P3747" s="271"/>
      <c r="Q3747" s="272"/>
      <c r="R3747" s="273"/>
      <c r="S3747" s="273"/>
      <c r="T3747" s="273"/>
      <c r="U3747" s="274"/>
      <c r="V3747" s="263"/>
      <c r="W3747" s="35"/>
      <c r="X3747" s="35"/>
      <c r="Y3747" s="35"/>
      <c r="Z3747" s="35"/>
      <c r="AA3747" s="35"/>
      <c r="AB3747" s="35"/>
      <c r="AC3747" s="35"/>
      <c r="AD3747" s="35"/>
      <c r="AE3747" s="35"/>
      <c r="AF3747" s="35"/>
      <c r="AG3747" s="35"/>
      <c r="AH3747" s="35"/>
      <c r="AI3747" s="35"/>
    </row>
    <row r="3748">
      <c r="A3748" s="263"/>
      <c r="B3748" s="264"/>
      <c r="C3748" s="265"/>
      <c r="D3748" s="265"/>
      <c r="E3748" s="264"/>
      <c r="F3748" s="265"/>
      <c r="G3748" s="263"/>
      <c r="H3748" s="432"/>
      <c r="I3748" s="282"/>
      <c r="J3748" s="283"/>
      <c r="K3748" s="265"/>
      <c r="L3748" s="265"/>
      <c r="M3748" s="269"/>
      <c r="N3748" s="270"/>
      <c r="O3748" s="271"/>
      <c r="P3748" s="271"/>
      <c r="Q3748" s="272"/>
      <c r="R3748" s="273"/>
      <c r="S3748" s="273"/>
      <c r="T3748" s="273"/>
      <c r="U3748" s="274"/>
      <c r="V3748" s="263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</row>
    <row r="3749">
      <c r="A3749" s="263"/>
      <c r="B3749" s="264"/>
      <c r="C3749" s="265"/>
      <c r="D3749" s="265"/>
      <c r="E3749" s="264"/>
      <c r="F3749" s="265"/>
      <c r="G3749" s="263"/>
      <c r="H3749" s="432"/>
      <c r="I3749" s="282"/>
      <c r="J3749" s="283"/>
      <c r="K3749" s="265"/>
      <c r="L3749" s="265"/>
      <c r="M3749" s="269"/>
      <c r="N3749" s="270"/>
      <c r="O3749" s="271"/>
      <c r="P3749" s="271"/>
      <c r="Q3749" s="272"/>
      <c r="R3749" s="273"/>
      <c r="S3749" s="273"/>
      <c r="T3749" s="273"/>
      <c r="U3749" s="274"/>
      <c r="V3749" s="263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</row>
    <row r="3750">
      <c r="A3750" s="263"/>
      <c r="B3750" s="264"/>
      <c r="C3750" s="265"/>
      <c r="D3750" s="265"/>
      <c r="E3750" s="264"/>
      <c r="F3750" s="265"/>
      <c r="G3750" s="263"/>
      <c r="H3750" s="432"/>
      <c r="I3750" s="282"/>
      <c r="J3750" s="283"/>
      <c r="K3750" s="265"/>
      <c r="L3750" s="265"/>
      <c r="M3750" s="269"/>
      <c r="N3750" s="270"/>
      <c r="O3750" s="271"/>
      <c r="P3750" s="271"/>
      <c r="Q3750" s="272"/>
      <c r="R3750" s="273"/>
      <c r="S3750" s="273"/>
      <c r="T3750" s="273"/>
      <c r="U3750" s="274"/>
      <c r="V3750" s="263"/>
      <c r="W3750" s="35"/>
      <c r="X3750" s="35"/>
      <c r="Y3750" s="35"/>
      <c r="Z3750" s="35"/>
      <c r="AA3750" s="35"/>
      <c r="AB3750" s="35"/>
      <c r="AC3750" s="35"/>
      <c r="AD3750" s="35"/>
      <c r="AE3750" s="35"/>
      <c r="AF3750" s="35"/>
      <c r="AG3750" s="35"/>
      <c r="AH3750" s="35"/>
      <c r="AI3750" s="35"/>
    </row>
    <row r="3751">
      <c r="A3751" s="263"/>
      <c r="B3751" s="264"/>
      <c r="C3751" s="265"/>
      <c r="D3751" s="265"/>
      <c r="E3751" s="264"/>
      <c r="F3751" s="265"/>
      <c r="G3751" s="263"/>
      <c r="H3751" s="432"/>
      <c r="I3751" s="282"/>
      <c r="J3751" s="283"/>
      <c r="K3751" s="265"/>
      <c r="L3751" s="265"/>
      <c r="M3751" s="269"/>
      <c r="N3751" s="270"/>
      <c r="O3751" s="271"/>
      <c r="P3751" s="271"/>
      <c r="Q3751" s="272"/>
      <c r="R3751" s="273"/>
      <c r="S3751" s="273"/>
      <c r="T3751" s="273"/>
      <c r="U3751" s="274"/>
      <c r="V3751" s="263"/>
      <c r="W3751" s="188"/>
      <c r="X3751" s="188"/>
      <c r="Y3751" s="188"/>
      <c r="Z3751" s="188"/>
      <c r="AA3751" s="188"/>
      <c r="AB3751" s="188"/>
      <c r="AC3751" s="188"/>
      <c r="AD3751" s="188"/>
      <c r="AE3751" s="188"/>
      <c r="AF3751" s="188"/>
      <c r="AG3751" s="188"/>
      <c r="AH3751" s="188"/>
      <c r="AI3751" s="188"/>
    </row>
    <row r="3752">
      <c r="A3752" s="263"/>
      <c r="B3752" s="264"/>
      <c r="C3752" s="265"/>
      <c r="D3752" s="265"/>
      <c r="E3752" s="264"/>
      <c r="F3752" s="265"/>
      <c r="G3752" s="263"/>
      <c r="H3752" s="432"/>
      <c r="I3752" s="282"/>
      <c r="J3752" s="283"/>
      <c r="K3752" s="265"/>
      <c r="L3752" s="265"/>
      <c r="M3752" s="269"/>
      <c r="N3752" s="270"/>
      <c r="O3752" s="271"/>
      <c r="P3752" s="271"/>
      <c r="Q3752" s="272"/>
      <c r="R3752" s="273"/>
      <c r="S3752" s="273"/>
      <c r="T3752" s="273"/>
      <c r="U3752" s="274"/>
      <c r="V3752" s="263"/>
      <c r="W3752" s="188"/>
      <c r="X3752" s="188"/>
      <c r="Y3752" s="188"/>
      <c r="Z3752" s="188"/>
      <c r="AA3752" s="188"/>
      <c r="AB3752" s="188"/>
      <c r="AC3752" s="188"/>
      <c r="AD3752" s="188"/>
      <c r="AE3752" s="188"/>
      <c r="AF3752" s="188"/>
      <c r="AG3752" s="188"/>
      <c r="AH3752" s="188"/>
      <c r="AI3752" s="188"/>
    </row>
    <row r="3753">
      <c r="A3753" s="263"/>
      <c r="B3753" s="264"/>
      <c r="C3753" s="265"/>
      <c r="D3753" s="265"/>
      <c r="E3753" s="264"/>
      <c r="F3753" s="265"/>
      <c r="G3753" s="263"/>
      <c r="H3753" s="432"/>
      <c r="I3753" s="282"/>
      <c r="J3753" s="283"/>
      <c r="K3753" s="265"/>
      <c r="L3753" s="265"/>
      <c r="M3753" s="269"/>
      <c r="N3753" s="270"/>
      <c r="O3753" s="271"/>
      <c r="P3753" s="271"/>
      <c r="Q3753" s="272"/>
      <c r="R3753" s="273"/>
      <c r="S3753" s="273"/>
      <c r="T3753" s="273"/>
      <c r="U3753" s="274"/>
      <c r="V3753" s="263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</row>
    <row r="3754">
      <c r="A3754" s="263"/>
      <c r="B3754" s="264"/>
      <c r="C3754" s="265"/>
      <c r="D3754" s="265"/>
      <c r="E3754" s="264"/>
      <c r="F3754" s="265"/>
      <c r="G3754" s="263"/>
      <c r="H3754" s="432"/>
      <c r="I3754" s="282"/>
      <c r="J3754" s="283"/>
      <c r="K3754" s="265"/>
      <c r="L3754" s="265"/>
      <c r="M3754" s="269"/>
      <c r="N3754" s="270"/>
      <c r="O3754" s="271"/>
      <c r="P3754" s="271"/>
      <c r="Q3754" s="272"/>
      <c r="R3754" s="273"/>
      <c r="S3754" s="273"/>
      <c r="T3754" s="273"/>
      <c r="U3754" s="274"/>
      <c r="V3754" s="263"/>
      <c r="W3754" s="35"/>
      <c r="X3754" s="35"/>
      <c r="Y3754" s="35"/>
      <c r="Z3754" s="35"/>
      <c r="AA3754" s="35"/>
      <c r="AB3754" s="35"/>
      <c r="AC3754" s="35"/>
      <c r="AD3754" s="35"/>
      <c r="AE3754" s="35"/>
      <c r="AF3754" s="35"/>
      <c r="AG3754" s="35"/>
      <c r="AH3754" s="35"/>
      <c r="AI3754" s="35"/>
    </row>
    <row r="3755">
      <c r="A3755" s="263"/>
      <c r="B3755" s="264"/>
      <c r="C3755" s="265"/>
      <c r="D3755" s="265"/>
      <c r="E3755" s="264"/>
      <c r="F3755" s="265"/>
      <c r="G3755" s="263"/>
      <c r="H3755" s="432"/>
      <c r="I3755" s="282"/>
      <c r="J3755" s="283"/>
      <c r="K3755" s="265"/>
      <c r="L3755" s="265"/>
      <c r="M3755" s="269"/>
      <c r="N3755" s="270"/>
      <c r="O3755" s="271"/>
      <c r="P3755" s="271"/>
      <c r="Q3755" s="272"/>
      <c r="R3755" s="273"/>
      <c r="S3755" s="273"/>
      <c r="T3755" s="273"/>
      <c r="U3755" s="274"/>
      <c r="V3755" s="263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</row>
    <row r="3756">
      <c r="A3756" s="263"/>
      <c r="B3756" s="264"/>
      <c r="C3756" s="265"/>
      <c r="D3756" s="265"/>
      <c r="E3756" s="264"/>
      <c r="F3756" s="265"/>
      <c r="G3756" s="263"/>
      <c r="H3756" s="432"/>
      <c r="I3756" s="282"/>
      <c r="J3756" s="283"/>
      <c r="K3756" s="265"/>
      <c r="L3756" s="265"/>
      <c r="M3756" s="269"/>
      <c r="N3756" s="270"/>
      <c r="O3756" s="271"/>
      <c r="P3756" s="271"/>
      <c r="Q3756" s="272"/>
      <c r="R3756" s="273"/>
      <c r="S3756" s="273"/>
      <c r="T3756" s="273"/>
      <c r="U3756" s="274"/>
      <c r="V3756" s="263"/>
      <c r="W3756" s="188"/>
      <c r="X3756" s="188"/>
      <c r="Y3756" s="188"/>
      <c r="Z3756" s="188"/>
      <c r="AA3756" s="188"/>
      <c r="AB3756" s="188"/>
      <c r="AC3756" s="188"/>
      <c r="AD3756" s="188"/>
      <c r="AE3756" s="188"/>
      <c r="AF3756" s="188"/>
      <c r="AG3756" s="188"/>
      <c r="AH3756" s="188"/>
      <c r="AI3756" s="188"/>
    </row>
    <row r="3757">
      <c r="A3757" s="263"/>
      <c r="B3757" s="264"/>
      <c r="C3757" s="265"/>
      <c r="D3757" s="265"/>
      <c r="E3757" s="264"/>
      <c r="F3757" s="265"/>
      <c r="G3757" s="263"/>
      <c r="H3757" s="432"/>
      <c r="I3757" s="282"/>
      <c r="J3757" s="283"/>
      <c r="K3757" s="265"/>
      <c r="L3757" s="265"/>
      <c r="M3757" s="269"/>
      <c r="N3757" s="270"/>
      <c r="O3757" s="271"/>
      <c r="P3757" s="271"/>
      <c r="Q3757" s="272"/>
      <c r="R3757" s="273"/>
      <c r="S3757" s="273"/>
      <c r="T3757" s="273"/>
      <c r="U3757" s="274"/>
      <c r="V3757" s="263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</row>
    <row r="3758">
      <c r="A3758" s="263"/>
      <c r="B3758" s="264"/>
      <c r="C3758" s="265"/>
      <c r="D3758" s="265"/>
      <c r="E3758" s="264"/>
      <c r="F3758" s="265"/>
      <c r="G3758" s="263"/>
      <c r="H3758" s="432"/>
      <c r="I3758" s="282"/>
      <c r="J3758" s="283"/>
      <c r="K3758" s="265"/>
      <c r="L3758" s="265"/>
      <c r="M3758" s="269"/>
      <c r="N3758" s="270"/>
      <c r="O3758" s="271"/>
      <c r="P3758" s="271"/>
      <c r="Q3758" s="272"/>
      <c r="R3758" s="273"/>
      <c r="S3758" s="273"/>
      <c r="T3758" s="273"/>
      <c r="U3758" s="274"/>
      <c r="V3758" s="263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</row>
    <row r="3759">
      <c r="A3759" s="263"/>
      <c r="B3759" s="264"/>
      <c r="C3759" s="265"/>
      <c r="D3759" s="265"/>
      <c r="E3759" s="264"/>
      <c r="F3759" s="265"/>
      <c r="G3759" s="263"/>
      <c r="H3759" s="432"/>
      <c r="I3759" s="282"/>
      <c r="J3759" s="283"/>
      <c r="K3759" s="265"/>
      <c r="L3759" s="265"/>
      <c r="M3759" s="269"/>
      <c r="N3759" s="270"/>
      <c r="O3759" s="271"/>
      <c r="P3759" s="271"/>
      <c r="Q3759" s="272"/>
      <c r="R3759" s="273"/>
      <c r="S3759" s="273"/>
      <c r="T3759" s="273"/>
      <c r="U3759" s="274"/>
      <c r="V3759" s="263"/>
      <c r="W3759" s="188"/>
      <c r="X3759" s="188"/>
      <c r="Y3759" s="188"/>
      <c r="Z3759" s="188"/>
      <c r="AA3759" s="188"/>
      <c r="AB3759" s="188"/>
      <c r="AC3759" s="188"/>
      <c r="AD3759" s="188"/>
      <c r="AE3759" s="188"/>
      <c r="AF3759" s="188"/>
      <c r="AG3759" s="188"/>
      <c r="AH3759" s="188"/>
      <c r="AI3759" s="188"/>
    </row>
    <row r="3760">
      <c r="A3760" s="263"/>
      <c r="B3760" s="264"/>
      <c r="C3760" s="265"/>
      <c r="D3760" s="265"/>
      <c r="E3760" s="264"/>
      <c r="F3760" s="265"/>
      <c r="G3760" s="263"/>
      <c r="H3760" s="432"/>
      <c r="I3760" s="282"/>
      <c r="J3760" s="283"/>
      <c r="K3760" s="265"/>
      <c r="L3760" s="265"/>
      <c r="M3760" s="269"/>
      <c r="N3760" s="270"/>
      <c r="O3760" s="271"/>
      <c r="P3760" s="271"/>
      <c r="Q3760" s="272"/>
      <c r="R3760" s="273"/>
      <c r="S3760" s="273"/>
      <c r="T3760" s="273"/>
      <c r="U3760" s="274"/>
      <c r="V3760" s="263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</row>
    <row r="3761">
      <c r="A3761" s="263"/>
      <c r="B3761" s="264"/>
      <c r="C3761" s="265"/>
      <c r="D3761" s="265"/>
      <c r="E3761" s="264"/>
      <c r="F3761" s="265"/>
      <c r="G3761" s="263"/>
      <c r="H3761" s="432"/>
      <c r="I3761" s="282"/>
      <c r="J3761" s="283"/>
      <c r="K3761" s="265"/>
      <c r="L3761" s="265"/>
      <c r="M3761" s="269"/>
      <c r="N3761" s="270"/>
      <c r="O3761" s="271"/>
      <c r="P3761" s="271"/>
      <c r="Q3761" s="272"/>
      <c r="R3761" s="273"/>
      <c r="S3761" s="273"/>
      <c r="T3761" s="273"/>
      <c r="U3761" s="274"/>
      <c r="V3761" s="263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</row>
    <row r="3762">
      <c r="A3762" s="263"/>
      <c r="B3762" s="264"/>
      <c r="C3762" s="265"/>
      <c r="D3762" s="265"/>
      <c r="E3762" s="264"/>
      <c r="F3762" s="265"/>
      <c r="G3762" s="263"/>
      <c r="H3762" s="432"/>
      <c r="I3762" s="282"/>
      <c r="J3762" s="283"/>
      <c r="K3762" s="265"/>
      <c r="L3762" s="265"/>
      <c r="M3762" s="269"/>
      <c r="N3762" s="270"/>
      <c r="O3762" s="271"/>
      <c r="P3762" s="271"/>
      <c r="Q3762" s="272"/>
      <c r="R3762" s="273"/>
      <c r="S3762" s="273"/>
      <c r="T3762" s="273"/>
      <c r="U3762" s="274"/>
      <c r="V3762" s="263"/>
      <c r="W3762" s="35"/>
      <c r="X3762" s="35"/>
      <c r="Y3762" s="35"/>
      <c r="Z3762" s="35"/>
      <c r="AA3762" s="35"/>
      <c r="AB3762" s="35"/>
      <c r="AC3762" s="35"/>
      <c r="AD3762" s="35"/>
      <c r="AE3762" s="35"/>
      <c r="AF3762" s="35"/>
      <c r="AG3762" s="35"/>
      <c r="AH3762" s="35"/>
      <c r="AI3762" s="35"/>
    </row>
    <row r="3763">
      <c r="A3763" s="263"/>
      <c r="B3763" s="264"/>
      <c r="C3763" s="265"/>
      <c r="D3763" s="265"/>
      <c r="E3763" s="264"/>
      <c r="F3763" s="265"/>
      <c r="G3763" s="263"/>
      <c r="H3763" s="432"/>
      <c r="I3763" s="282"/>
      <c r="J3763" s="283"/>
      <c r="K3763" s="265"/>
      <c r="L3763" s="265"/>
      <c r="M3763" s="269"/>
      <c r="N3763" s="270"/>
      <c r="O3763" s="271"/>
      <c r="P3763" s="271"/>
      <c r="Q3763" s="272"/>
      <c r="R3763" s="273"/>
      <c r="S3763" s="273"/>
      <c r="T3763" s="273"/>
      <c r="U3763" s="274"/>
      <c r="V3763" s="263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</row>
    <row r="3764">
      <c r="A3764" s="263"/>
      <c r="B3764" s="264"/>
      <c r="C3764" s="265"/>
      <c r="D3764" s="265"/>
      <c r="E3764" s="264"/>
      <c r="F3764" s="265"/>
      <c r="G3764" s="263"/>
      <c r="H3764" s="432"/>
      <c r="I3764" s="282"/>
      <c r="J3764" s="283"/>
      <c r="K3764" s="265"/>
      <c r="L3764" s="265"/>
      <c r="M3764" s="269"/>
      <c r="N3764" s="270"/>
      <c r="O3764" s="271"/>
      <c r="P3764" s="271"/>
      <c r="Q3764" s="272"/>
      <c r="R3764" s="273"/>
      <c r="S3764" s="273"/>
      <c r="T3764" s="273"/>
      <c r="U3764" s="274"/>
      <c r="V3764" s="263"/>
      <c r="W3764" s="188"/>
      <c r="X3764" s="188"/>
      <c r="Y3764" s="188"/>
      <c r="Z3764" s="188"/>
      <c r="AA3764" s="188"/>
      <c r="AB3764" s="188"/>
      <c r="AC3764" s="188"/>
      <c r="AD3764" s="188"/>
      <c r="AE3764" s="188"/>
      <c r="AF3764" s="188"/>
      <c r="AG3764" s="188"/>
      <c r="AH3764" s="188"/>
      <c r="AI3764" s="188"/>
    </row>
    <row r="3765">
      <c r="A3765" s="263"/>
      <c r="B3765" s="264"/>
      <c r="C3765" s="265"/>
      <c r="D3765" s="265"/>
      <c r="E3765" s="264"/>
      <c r="F3765" s="265"/>
      <c r="G3765" s="263"/>
      <c r="H3765" s="432"/>
      <c r="I3765" s="282"/>
      <c r="J3765" s="283"/>
      <c r="K3765" s="265"/>
      <c r="L3765" s="265"/>
      <c r="M3765" s="269"/>
      <c r="N3765" s="270"/>
      <c r="O3765" s="271"/>
      <c r="P3765" s="271"/>
      <c r="Q3765" s="272"/>
      <c r="R3765" s="273"/>
      <c r="S3765" s="273"/>
      <c r="T3765" s="273"/>
      <c r="U3765" s="274"/>
      <c r="V3765" s="263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</row>
    <row r="3766">
      <c r="A3766" s="263"/>
      <c r="B3766" s="264"/>
      <c r="C3766" s="265"/>
      <c r="D3766" s="265"/>
      <c r="E3766" s="264"/>
      <c r="F3766" s="265"/>
      <c r="G3766" s="263"/>
      <c r="H3766" s="432"/>
      <c r="I3766" s="282"/>
      <c r="J3766" s="283"/>
      <c r="K3766" s="265"/>
      <c r="L3766" s="265"/>
      <c r="M3766" s="269"/>
      <c r="N3766" s="270"/>
      <c r="O3766" s="271"/>
      <c r="P3766" s="271"/>
      <c r="Q3766" s="272"/>
      <c r="R3766" s="273"/>
      <c r="S3766" s="273"/>
      <c r="T3766" s="273"/>
      <c r="U3766" s="274"/>
      <c r="V3766" s="263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</row>
    <row r="3767">
      <c r="A3767" s="263"/>
      <c r="B3767" s="264"/>
      <c r="C3767" s="265"/>
      <c r="D3767" s="265"/>
      <c r="E3767" s="264"/>
      <c r="F3767" s="265"/>
      <c r="G3767" s="263"/>
      <c r="H3767" s="432"/>
      <c r="I3767" s="282"/>
      <c r="J3767" s="283"/>
      <c r="K3767" s="265"/>
      <c r="L3767" s="265"/>
      <c r="M3767" s="269"/>
      <c r="N3767" s="270"/>
      <c r="O3767" s="271"/>
      <c r="P3767" s="271"/>
      <c r="Q3767" s="272"/>
      <c r="R3767" s="273"/>
      <c r="S3767" s="273"/>
      <c r="T3767" s="273"/>
      <c r="U3767" s="274"/>
      <c r="V3767" s="263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</row>
    <row r="3768">
      <c r="A3768" s="263"/>
      <c r="B3768" s="264"/>
      <c r="C3768" s="265"/>
      <c r="D3768" s="265"/>
      <c r="E3768" s="264"/>
      <c r="F3768" s="265"/>
      <c r="G3768" s="263"/>
      <c r="H3768" s="432"/>
      <c r="I3768" s="282"/>
      <c r="J3768" s="283"/>
      <c r="K3768" s="265"/>
      <c r="L3768" s="265"/>
      <c r="M3768" s="269"/>
      <c r="N3768" s="270"/>
      <c r="O3768" s="271"/>
      <c r="P3768" s="271"/>
      <c r="Q3768" s="272"/>
      <c r="R3768" s="273"/>
      <c r="S3768" s="273"/>
      <c r="T3768" s="273"/>
      <c r="U3768" s="274"/>
      <c r="V3768" s="263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</row>
    <row r="3769">
      <c r="A3769" s="263"/>
      <c r="B3769" s="264"/>
      <c r="C3769" s="265"/>
      <c r="D3769" s="265"/>
      <c r="E3769" s="264"/>
      <c r="F3769" s="265"/>
      <c r="G3769" s="263"/>
      <c r="H3769" s="432"/>
      <c r="I3769" s="282"/>
      <c r="J3769" s="283"/>
      <c r="K3769" s="265"/>
      <c r="L3769" s="265"/>
      <c r="M3769" s="269"/>
      <c r="N3769" s="270"/>
      <c r="O3769" s="271"/>
      <c r="P3769" s="271"/>
      <c r="Q3769" s="272"/>
      <c r="R3769" s="273"/>
      <c r="S3769" s="273"/>
      <c r="T3769" s="273"/>
      <c r="U3769" s="274"/>
      <c r="V3769" s="263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</row>
    <row r="3770">
      <c r="A3770" s="263"/>
      <c r="B3770" s="264"/>
      <c r="C3770" s="265"/>
      <c r="D3770" s="265"/>
      <c r="E3770" s="264"/>
      <c r="F3770" s="265"/>
      <c r="G3770" s="263"/>
      <c r="H3770" s="432"/>
      <c r="I3770" s="282"/>
      <c r="J3770" s="283"/>
      <c r="K3770" s="265"/>
      <c r="L3770" s="265"/>
      <c r="M3770" s="269"/>
      <c r="N3770" s="270"/>
      <c r="O3770" s="271"/>
      <c r="P3770" s="271"/>
      <c r="Q3770" s="272"/>
      <c r="R3770" s="273"/>
      <c r="S3770" s="273"/>
      <c r="T3770" s="273"/>
      <c r="U3770" s="274"/>
      <c r="V3770" s="263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</row>
    <row r="3771">
      <c r="A3771" s="263"/>
      <c r="B3771" s="264"/>
      <c r="C3771" s="265"/>
      <c r="D3771" s="265"/>
      <c r="E3771" s="264"/>
      <c r="F3771" s="265"/>
      <c r="G3771" s="263"/>
      <c r="H3771" s="432"/>
      <c r="I3771" s="282"/>
      <c r="J3771" s="283"/>
      <c r="K3771" s="265"/>
      <c r="L3771" s="265"/>
      <c r="M3771" s="269"/>
      <c r="N3771" s="270"/>
      <c r="O3771" s="271"/>
      <c r="P3771" s="271"/>
      <c r="Q3771" s="272"/>
      <c r="R3771" s="273"/>
      <c r="S3771" s="273"/>
      <c r="T3771" s="273"/>
      <c r="U3771" s="274"/>
      <c r="V3771" s="263"/>
      <c r="W3771" s="188"/>
      <c r="X3771" s="188"/>
      <c r="Y3771" s="188"/>
      <c r="Z3771" s="188"/>
      <c r="AA3771" s="188"/>
      <c r="AB3771" s="188"/>
      <c r="AC3771" s="188"/>
      <c r="AD3771" s="188"/>
      <c r="AE3771" s="188"/>
      <c r="AF3771" s="188"/>
      <c r="AG3771" s="188"/>
      <c r="AH3771" s="188"/>
      <c r="AI3771" s="188"/>
    </row>
    <row r="3772">
      <c r="A3772" s="263"/>
      <c r="B3772" s="264"/>
      <c r="C3772" s="265"/>
      <c r="D3772" s="265"/>
      <c r="E3772" s="264"/>
      <c r="F3772" s="265"/>
      <c r="G3772" s="263"/>
      <c r="H3772" s="432"/>
      <c r="I3772" s="282"/>
      <c r="J3772" s="283"/>
      <c r="K3772" s="265"/>
      <c r="L3772" s="265"/>
      <c r="M3772" s="269"/>
      <c r="N3772" s="270"/>
      <c r="O3772" s="271"/>
      <c r="P3772" s="271"/>
      <c r="Q3772" s="272"/>
      <c r="R3772" s="273"/>
      <c r="S3772" s="273"/>
      <c r="T3772" s="273"/>
      <c r="U3772" s="274"/>
      <c r="V3772" s="263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</row>
    <row r="3773">
      <c r="A3773" s="263"/>
      <c r="B3773" s="264"/>
      <c r="C3773" s="265"/>
      <c r="D3773" s="265"/>
      <c r="E3773" s="264"/>
      <c r="F3773" s="265"/>
      <c r="G3773" s="263"/>
      <c r="H3773" s="432"/>
      <c r="I3773" s="282"/>
      <c r="J3773" s="283"/>
      <c r="K3773" s="265"/>
      <c r="L3773" s="265"/>
      <c r="M3773" s="269"/>
      <c r="N3773" s="270"/>
      <c r="O3773" s="271"/>
      <c r="P3773" s="271"/>
      <c r="Q3773" s="272"/>
      <c r="R3773" s="273"/>
      <c r="S3773" s="273"/>
      <c r="T3773" s="273"/>
      <c r="U3773" s="274"/>
      <c r="V3773" s="263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</row>
    <row r="3774">
      <c r="A3774" s="263"/>
      <c r="B3774" s="264"/>
      <c r="C3774" s="265"/>
      <c r="D3774" s="265"/>
      <c r="E3774" s="264"/>
      <c r="F3774" s="265"/>
      <c r="G3774" s="263"/>
      <c r="H3774" s="432"/>
      <c r="I3774" s="282"/>
      <c r="J3774" s="283"/>
      <c r="K3774" s="265"/>
      <c r="L3774" s="265"/>
      <c r="M3774" s="269"/>
      <c r="N3774" s="270"/>
      <c r="O3774" s="271"/>
      <c r="P3774" s="271"/>
      <c r="Q3774" s="272"/>
      <c r="R3774" s="273"/>
      <c r="S3774" s="273"/>
      <c r="T3774" s="273"/>
      <c r="U3774" s="274"/>
      <c r="V3774" s="263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</row>
    <row r="3775">
      <c r="A3775" s="263"/>
      <c r="B3775" s="264"/>
      <c r="C3775" s="265"/>
      <c r="D3775" s="265"/>
      <c r="E3775" s="264"/>
      <c r="F3775" s="265"/>
      <c r="G3775" s="263"/>
      <c r="H3775" s="432"/>
      <c r="I3775" s="282"/>
      <c r="J3775" s="283"/>
      <c r="K3775" s="265"/>
      <c r="L3775" s="265"/>
      <c r="M3775" s="269"/>
      <c r="N3775" s="270"/>
      <c r="O3775" s="271"/>
      <c r="P3775" s="271"/>
      <c r="Q3775" s="272"/>
      <c r="R3775" s="273"/>
      <c r="S3775" s="273"/>
      <c r="T3775" s="273"/>
      <c r="U3775" s="274"/>
      <c r="V3775" s="263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</row>
    <row r="3776">
      <c r="A3776" s="263"/>
      <c r="B3776" s="264"/>
      <c r="C3776" s="265"/>
      <c r="D3776" s="265"/>
      <c r="E3776" s="264"/>
      <c r="F3776" s="265"/>
      <c r="G3776" s="263"/>
      <c r="H3776" s="432"/>
      <c r="I3776" s="282"/>
      <c r="J3776" s="283"/>
      <c r="K3776" s="265"/>
      <c r="L3776" s="265"/>
      <c r="M3776" s="269"/>
      <c r="N3776" s="270"/>
      <c r="O3776" s="271"/>
      <c r="P3776" s="271"/>
      <c r="Q3776" s="272"/>
      <c r="R3776" s="273"/>
      <c r="S3776" s="273"/>
      <c r="T3776" s="273"/>
      <c r="U3776" s="274"/>
      <c r="V3776" s="263"/>
      <c r="W3776" s="188"/>
      <c r="X3776" s="188"/>
      <c r="Y3776" s="188"/>
      <c r="Z3776" s="188"/>
      <c r="AA3776" s="188"/>
      <c r="AB3776" s="188"/>
      <c r="AC3776" s="188"/>
      <c r="AD3776" s="188"/>
      <c r="AE3776" s="188"/>
      <c r="AF3776" s="188"/>
      <c r="AG3776" s="188"/>
      <c r="AH3776" s="188"/>
      <c r="AI3776" s="188"/>
    </row>
    <row r="3777">
      <c r="A3777" s="263"/>
      <c r="B3777" s="264"/>
      <c r="C3777" s="265"/>
      <c r="D3777" s="265"/>
      <c r="E3777" s="264"/>
      <c r="F3777" s="265"/>
      <c r="G3777" s="263"/>
      <c r="H3777" s="432"/>
      <c r="I3777" s="282"/>
      <c r="J3777" s="283"/>
      <c r="K3777" s="265"/>
      <c r="L3777" s="265"/>
      <c r="M3777" s="269"/>
      <c r="N3777" s="270"/>
      <c r="O3777" s="271"/>
      <c r="P3777" s="271"/>
      <c r="Q3777" s="272"/>
      <c r="R3777" s="273"/>
      <c r="S3777" s="273"/>
      <c r="T3777" s="273"/>
      <c r="U3777" s="274"/>
      <c r="V3777" s="263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</row>
    <row r="3778">
      <c r="A3778" s="263"/>
      <c r="B3778" s="264"/>
      <c r="C3778" s="265"/>
      <c r="D3778" s="265"/>
      <c r="E3778" s="264"/>
      <c r="F3778" s="265"/>
      <c r="G3778" s="263"/>
      <c r="H3778" s="432"/>
      <c r="I3778" s="282"/>
      <c r="J3778" s="283"/>
      <c r="K3778" s="265"/>
      <c r="L3778" s="265"/>
      <c r="M3778" s="269"/>
      <c r="N3778" s="270"/>
      <c r="O3778" s="271"/>
      <c r="P3778" s="271"/>
      <c r="Q3778" s="272"/>
      <c r="R3778" s="273"/>
      <c r="S3778" s="273"/>
      <c r="T3778" s="273"/>
      <c r="U3778" s="274"/>
      <c r="V3778" s="263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</row>
    <row r="3779">
      <c r="A3779" s="263"/>
      <c r="B3779" s="264"/>
      <c r="C3779" s="265"/>
      <c r="D3779" s="265"/>
      <c r="E3779" s="264"/>
      <c r="F3779" s="265"/>
      <c r="G3779" s="263"/>
      <c r="H3779" s="432"/>
      <c r="I3779" s="282"/>
      <c r="J3779" s="283"/>
      <c r="K3779" s="265"/>
      <c r="L3779" s="265"/>
      <c r="M3779" s="269"/>
      <c r="N3779" s="270"/>
      <c r="O3779" s="271"/>
      <c r="P3779" s="271"/>
      <c r="Q3779" s="272"/>
      <c r="R3779" s="273"/>
      <c r="S3779" s="273"/>
      <c r="T3779" s="273"/>
      <c r="U3779" s="274"/>
      <c r="V3779" s="263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</row>
    <row r="3780">
      <c r="A3780" s="263"/>
      <c r="B3780" s="264"/>
      <c r="C3780" s="265"/>
      <c r="D3780" s="265"/>
      <c r="E3780" s="264"/>
      <c r="F3780" s="265"/>
      <c r="G3780" s="263"/>
      <c r="H3780" s="432"/>
      <c r="I3780" s="282"/>
      <c r="J3780" s="283"/>
      <c r="K3780" s="265"/>
      <c r="L3780" s="265"/>
      <c r="M3780" s="269"/>
      <c r="N3780" s="270"/>
      <c r="O3780" s="271"/>
      <c r="P3780" s="271"/>
      <c r="Q3780" s="272"/>
      <c r="R3780" s="273"/>
      <c r="S3780" s="273"/>
      <c r="T3780" s="273"/>
      <c r="U3780" s="274"/>
      <c r="V3780" s="263"/>
      <c r="W3780" s="35"/>
      <c r="X3780" s="35"/>
      <c r="Y3780" s="35"/>
      <c r="Z3780" s="35"/>
      <c r="AA3780" s="35"/>
      <c r="AB3780" s="35"/>
      <c r="AC3780" s="35"/>
      <c r="AD3780" s="35"/>
      <c r="AE3780" s="35"/>
      <c r="AF3780" s="35"/>
      <c r="AG3780" s="35"/>
      <c r="AH3780" s="35"/>
      <c r="AI3780" s="35"/>
    </row>
    <row r="3781">
      <c r="A3781" s="263"/>
      <c r="B3781" s="264"/>
      <c r="C3781" s="265"/>
      <c r="D3781" s="265"/>
      <c r="E3781" s="264"/>
      <c r="F3781" s="265"/>
      <c r="G3781" s="263"/>
      <c r="H3781" s="432"/>
      <c r="I3781" s="282"/>
      <c r="J3781" s="283"/>
      <c r="K3781" s="265"/>
      <c r="L3781" s="265"/>
      <c r="M3781" s="269"/>
      <c r="N3781" s="270"/>
      <c r="O3781" s="271"/>
      <c r="P3781" s="271"/>
      <c r="Q3781" s="272"/>
      <c r="R3781" s="273"/>
      <c r="S3781" s="273"/>
      <c r="T3781" s="273"/>
      <c r="U3781" s="274"/>
      <c r="V3781" s="263"/>
      <c r="W3781" s="188"/>
      <c r="X3781" s="188"/>
      <c r="Y3781" s="188"/>
      <c r="Z3781" s="188"/>
      <c r="AA3781" s="188"/>
      <c r="AB3781" s="188"/>
      <c r="AC3781" s="188"/>
      <c r="AD3781" s="188"/>
      <c r="AE3781" s="188"/>
      <c r="AF3781" s="188"/>
      <c r="AG3781" s="188"/>
      <c r="AH3781" s="188"/>
      <c r="AI3781" s="188"/>
    </row>
    <row r="3782">
      <c r="A3782" s="263"/>
      <c r="B3782" s="264"/>
      <c r="C3782" s="265"/>
      <c r="D3782" s="265"/>
      <c r="E3782" s="264"/>
      <c r="F3782" s="265"/>
      <c r="G3782" s="263"/>
      <c r="H3782" s="432"/>
      <c r="I3782" s="282"/>
      <c r="J3782" s="283"/>
      <c r="K3782" s="265"/>
      <c r="L3782" s="265"/>
      <c r="M3782" s="269"/>
      <c r="N3782" s="270"/>
      <c r="O3782" s="271"/>
      <c r="P3782" s="271"/>
      <c r="Q3782" s="272"/>
      <c r="R3782" s="273"/>
      <c r="S3782" s="273"/>
      <c r="T3782" s="273"/>
      <c r="U3782" s="274"/>
      <c r="V3782" s="263"/>
      <c r="W3782" s="35"/>
      <c r="X3782" s="35"/>
      <c r="Y3782" s="35"/>
      <c r="Z3782" s="35"/>
      <c r="AA3782" s="35"/>
      <c r="AB3782" s="35"/>
      <c r="AC3782" s="35"/>
      <c r="AD3782" s="35"/>
      <c r="AE3782" s="35"/>
      <c r="AF3782" s="35"/>
      <c r="AG3782" s="35"/>
      <c r="AH3782" s="35"/>
      <c r="AI3782" s="35"/>
    </row>
    <row r="3783">
      <c r="A3783" s="263"/>
      <c r="B3783" s="264"/>
      <c r="C3783" s="265"/>
      <c r="D3783" s="265"/>
      <c r="E3783" s="264"/>
      <c r="F3783" s="265"/>
      <c r="G3783" s="263"/>
      <c r="H3783" s="432"/>
      <c r="I3783" s="282"/>
      <c r="J3783" s="283"/>
      <c r="K3783" s="265"/>
      <c r="L3783" s="265"/>
      <c r="M3783" s="269"/>
      <c r="N3783" s="270"/>
      <c r="O3783" s="271"/>
      <c r="P3783" s="271"/>
      <c r="Q3783" s="272"/>
      <c r="R3783" s="273"/>
      <c r="S3783" s="273"/>
      <c r="T3783" s="273"/>
      <c r="U3783" s="274"/>
      <c r="V3783" s="263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</row>
    <row r="3784">
      <c r="A3784" s="263"/>
      <c r="B3784" s="264"/>
      <c r="C3784" s="265"/>
      <c r="D3784" s="265"/>
      <c r="E3784" s="264"/>
      <c r="F3784" s="265"/>
      <c r="G3784" s="263"/>
      <c r="H3784" s="432"/>
      <c r="I3784" s="282"/>
      <c r="J3784" s="283"/>
      <c r="K3784" s="265"/>
      <c r="L3784" s="265"/>
      <c r="M3784" s="269"/>
      <c r="N3784" s="270"/>
      <c r="O3784" s="271"/>
      <c r="P3784" s="271"/>
      <c r="Q3784" s="272"/>
      <c r="R3784" s="273"/>
      <c r="S3784" s="273"/>
      <c r="T3784" s="273"/>
      <c r="U3784" s="274"/>
      <c r="V3784" s="263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</row>
    <row r="3785">
      <c r="A3785" s="263"/>
      <c r="B3785" s="264"/>
      <c r="C3785" s="265"/>
      <c r="D3785" s="265"/>
      <c r="E3785" s="264"/>
      <c r="F3785" s="265"/>
      <c r="G3785" s="263"/>
      <c r="H3785" s="432"/>
      <c r="I3785" s="282"/>
      <c r="J3785" s="283"/>
      <c r="K3785" s="265"/>
      <c r="L3785" s="265"/>
      <c r="M3785" s="269"/>
      <c r="N3785" s="270"/>
      <c r="O3785" s="271"/>
      <c r="P3785" s="271"/>
      <c r="Q3785" s="272"/>
      <c r="R3785" s="273"/>
      <c r="S3785" s="273"/>
      <c r="T3785" s="273"/>
      <c r="U3785" s="274"/>
      <c r="V3785" s="263"/>
      <c r="W3785" s="35"/>
      <c r="X3785" s="35"/>
      <c r="Y3785" s="35"/>
      <c r="Z3785" s="35"/>
      <c r="AA3785" s="35"/>
      <c r="AB3785" s="35"/>
      <c r="AC3785" s="35"/>
      <c r="AD3785" s="35"/>
      <c r="AE3785" s="35"/>
      <c r="AF3785" s="35"/>
      <c r="AG3785" s="35"/>
      <c r="AH3785" s="35"/>
      <c r="AI3785" s="35"/>
    </row>
    <row r="3786">
      <c r="A3786" s="263"/>
      <c r="B3786" s="264"/>
      <c r="C3786" s="265"/>
      <c r="D3786" s="265"/>
      <c r="E3786" s="264"/>
      <c r="F3786" s="265"/>
      <c r="G3786" s="263"/>
      <c r="H3786" s="432"/>
      <c r="I3786" s="282"/>
      <c r="J3786" s="283"/>
      <c r="K3786" s="265"/>
      <c r="L3786" s="265"/>
      <c r="M3786" s="269"/>
      <c r="N3786" s="270"/>
      <c r="O3786" s="271"/>
      <c r="P3786" s="271"/>
      <c r="Q3786" s="272"/>
      <c r="R3786" s="273"/>
      <c r="S3786" s="273"/>
      <c r="T3786" s="273"/>
      <c r="U3786" s="274"/>
      <c r="V3786" s="263"/>
      <c r="W3786" s="35"/>
      <c r="X3786" s="35"/>
      <c r="Y3786" s="35"/>
      <c r="Z3786" s="35"/>
      <c r="AA3786" s="35"/>
      <c r="AB3786" s="35"/>
      <c r="AC3786" s="35"/>
      <c r="AD3786" s="35"/>
      <c r="AE3786" s="35"/>
      <c r="AF3786" s="35"/>
      <c r="AG3786" s="35"/>
      <c r="AH3786" s="35"/>
      <c r="AI3786" s="35"/>
    </row>
    <row r="3787">
      <c r="A3787" s="263"/>
      <c r="B3787" s="264"/>
      <c r="C3787" s="265"/>
      <c r="D3787" s="265"/>
      <c r="E3787" s="264"/>
      <c r="F3787" s="265"/>
      <c r="G3787" s="263"/>
      <c r="H3787" s="432"/>
      <c r="I3787" s="282"/>
      <c r="J3787" s="283"/>
      <c r="K3787" s="265"/>
      <c r="L3787" s="265"/>
      <c r="M3787" s="269"/>
      <c r="N3787" s="270"/>
      <c r="O3787" s="271"/>
      <c r="P3787" s="271"/>
      <c r="Q3787" s="272"/>
      <c r="R3787" s="273"/>
      <c r="S3787" s="273"/>
      <c r="T3787" s="273"/>
      <c r="U3787" s="274"/>
      <c r="V3787" s="263"/>
      <c r="W3787" s="35"/>
      <c r="X3787" s="35"/>
      <c r="Y3787" s="35"/>
      <c r="Z3787" s="35"/>
      <c r="AA3787" s="35"/>
      <c r="AB3787" s="35"/>
      <c r="AC3787" s="35"/>
      <c r="AD3787" s="35"/>
      <c r="AE3787" s="35"/>
      <c r="AF3787" s="35"/>
      <c r="AG3787" s="35"/>
      <c r="AH3787" s="35"/>
      <c r="AI3787" s="35"/>
    </row>
    <row r="3788">
      <c r="A3788" s="263"/>
      <c r="B3788" s="264"/>
      <c r="C3788" s="265"/>
      <c r="D3788" s="265"/>
      <c r="E3788" s="264"/>
      <c r="F3788" s="265"/>
      <c r="G3788" s="263"/>
      <c r="H3788" s="432"/>
      <c r="I3788" s="282"/>
      <c r="J3788" s="283"/>
      <c r="K3788" s="265"/>
      <c r="L3788" s="265"/>
      <c r="M3788" s="269"/>
      <c r="N3788" s="270"/>
      <c r="O3788" s="271"/>
      <c r="P3788" s="271"/>
      <c r="Q3788" s="272"/>
      <c r="R3788" s="273"/>
      <c r="S3788" s="273"/>
      <c r="T3788" s="273"/>
      <c r="U3788" s="274"/>
      <c r="V3788" s="263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</row>
    <row r="3789">
      <c r="A3789" s="263"/>
      <c r="B3789" s="264"/>
      <c r="C3789" s="265"/>
      <c r="D3789" s="265"/>
      <c r="E3789" s="264"/>
      <c r="F3789" s="265"/>
      <c r="G3789" s="263"/>
      <c r="H3789" s="432"/>
      <c r="I3789" s="282"/>
      <c r="J3789" s="283"/>
      <c r="K3789" s="265"/>
      <c r="L3789" s="265"/>
      <c r="M3789" s="269"/>
      <c r="N3789" s="270"/>
      <c r="O3789" s="271"/>
      <c r="P3789" s="271"/>
      <c r="Q3789" s="272"/>
      <c r="R3789" s="273"/>
      <c r="S3789" s="273"/>
      <c r="T3789" s="273"/>
      <c r="U3789" s="274"/>
      <c r="V3789" s="263"/>
      <c r="W3789" s="35"/>
      <c r="X3789" s="35"/>
      <c r="Y3789" s="35"/>
      <c r="Z3789" s="35"/>
      <c r="AA3789" s="35"/>
      <c r="AB3789" s="35"/>
      <c r="AC3789" s="35"/>
      <c r="AD3789" s="35"/>
      <c r="AE3789" s="35"/>
      <c r="AF3789" s="35"/>
      <c r="AG3789" s="35"/>
      <c r="AH3789" s="35"/>
      <c r="AI3789" s="35"/>
    </row>
    <row r="3790">
      <c r="A3790" s="263"/>
      <c r="B3790" s="264"/>
      <c r="C3790" s="265"/>
      <c r="D3790" s="265"/>
      <c r="E3790" s="264"/>
      <c r="F3790" s="265"/>
      <c r="G3790" s="263"/>
      <c r="H3790" s="432"/>
      <c r="I3790" s="282"/>
      <c r="J3790" s="283"/>
      <c r="K3790" s="265"/>
      <c r="L3790" s="265"/>
      <c r="M3790" s="269"/>
      <c r="N3790" s="270"/>
      <c r="O3790" s="271"/>
      <c r="P3790" s="271"/>
      <c r="Q3790" s="272"/>
      <c r="R3790" s="273"/>
      <c r="S3790" s="273"/>
      <c r="T3790" s="273"/>
      <c r="U3790" s="274"/>
      <c r="V3790" s="263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</row>
    <row r="3791">
      <c r="A3791" s="263"/>
      <c r="B3791" s="264"/>
      <c r="C3791" s="265"/>
      <c r="D3791" s="265"/>
      <c r="E3791" s="264"/>
      <c r="F3791" s="265"/>
      <c r="G3791" s="263"/>
      <c r="H3791" s="432"/>
      <c r="I3791" s="282"/>
      <c r="J3791" s="283"/>
      <c r="K3791" s="265"/>
      <c r="L3791" s="265"/>
      <c r="M3791" s="269"/>
      <c r="N3791" s="270"/>
      <c r="O3791" s="271"/>
      <c r="P3791" s="271"/>
      <c r="Q3791" s="272"/>
      <c r="R3791" s="273"/>
      <c r="S3791" s="273"/>
      <c r="T3791" s="273"/>
      <c r="U3791" s="274"/>
      <c r="V3791" s="263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</row>
    <row r="3792">
      <c r="A3792" s="263"/>
      <c r="B3792" s="264"/>
      <c r="C3792" s="265"/>
      <c r="D3792" s="265"/>
      <c r="E3792" s="264"/>
      <c r="F3792" s="265"/>
      <c r="G3792" s="263"/>
      <c r="H3792" s="432"/>
      <c r="I3792" s="282"/>
      <c r="J3792" s="283"/>
      <c r="K3792" s="265"/>
      <c r="L3792" s="265"/>
      <c r="M3792" s="269"/>
      <c r="N3792" s="270"/>
      <c r="O3792" s="271"/>
      <c r="P3792" s="271"/>
      <c r="Q3792" s="272"/>
      <c r="R3792" s="273"/>
      <c r="S3792" s="273"/>
      <c r="T3792" s="273"/>
      <c r="U3792" s="274"/>
      <c r="V3792" s="263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</row>
    <row r="3793">
      <c r="A3793" s="263"/>
      <c r="B3793" s="264"/>
      <c r="C3793" s="265"/>
      <c r="D3793" s="265"/>
      <c r="E3793" s="264"/>
      <c r="F3793" s="265"/>
      <c r="G3793" s="263"/>
      <c r="H3793" s="432"/>
      <c r="I3793" s="282"/>
      <c r="J3793" s="283"/>
      <c r="K3793" s="265"/>
      <c r="L3793" s="265"/>
      <c r="M3793" s="269"/>
      <c r="N3793" s="270"/>
      <c r="O3793" s="271"/>
      <c r="P3793" s="271"/>
      <c r="Q3793" s="272"/>
      <c r="R3793" s="273"/>
      <c r="S3793" s="273"/>
      <c r="T3793" s="273"/>
      <c r="U3793" s="274"/>
      <c r="V3793" s="263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</row>
    <row r="3794">
      <c r="A3794" s="263"/>
      <c r="B3794" s="264"/>
      <c r="C3794" s="265"/>
      <c r="D3794" s="265"/>
      <c r="E3794" s="264"/>
      <c r="F3794" s="265"/>
      <c r="G3794" s="263"/>
      <c r="H3794" s="432"/>
      <c r="I3794" s="282"/>
      <c r="J3794" s="283"/>
      <c r="K3794" s="265"/>
      <c r="L3794" s="265"/>
      <c r="M3794" s="269"/>
      <c r="N3794" s="270"/>
      <c r="O3794" s="271"/>
      <c r="P3794" s="271"/>
      <c r="Q3794" s="272"/>
      <c r="R3794" s="273"/>
      <c r="S3794" s="273"/>
      <c r="T3794" s="273"/>
      <c r="U3794" s="274"/>
      <c r="V3794" s="263"/>
      <c r="W3794" s="36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</row>
    <row r="3795">
      <c r="A3795" s="263"/>
      <c r="B3795" s="264"/>
      <c r="C3795" s="265"/>
      <c r="D3795" s="265"/>
      <c r="E3795" s="264"/>
      <c r="F3795" s="265"/>
      <c r="G3795" s="263"/>
      <c r="H3795" s="432"/>
      <c r="I3795" s="282"/>
      <c r="J3795" s="283"/>
      <c r="K3795" s="265"/>
      <c r="L3795" s="265"/>
      <c r="M3795" s="269"/>
      <c r="N3795" s="270"/>
      <c r="O3795" s="271"/>
      <c r="P3795" s="271"/>
      <c r="Q3795" s="272"/>
      <c r="R3795" s="273"/>
      <c r="S3795" s="273"/>
      <c r="T3795" s="273"/>
      <c r="U3795" s="274"/>
      <c r="V3795" s="263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</row>
    <row r="3796">
      <c r="A3796" s="263"/>
      <c r="B3796" s="264"/>
      <c r="C3796" s="265"/>
      <c r="D3796" s="265"/>
      <c r="E3796" s="264"/>
      <c r="F3796" s="265"/>
      <c r="G3796" s="263"/>
      <c r="H3796" s="432"/>
      <c r="I3796" s="282"/>
      <c r="J3796" s="283"/>
      <c r="K3796" s="265"/>
      <c r="L3796" s="265"/>
      <c r="M3796" s="269"/>
      <c r="N3796" s="270"/>
      <c r="O3796" s="271"/>
      <c r="P3796" s="271"/>
      <c r="Q3796" s="272"/>
      <c r="R3796" s="273"/>
      <c r="S3796" s="273"/>
      <c r="T3796" s="273"/>
      <c r="U3796" s="274"/>
      <c r="V3796" s="263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</row>
    <row r="3797">
      <c r="A3797" s="263"/>
      <c r="B3797" s="264"/>
      <c r="C3797" s="265"/>
      <c r="D3797" s="265"/>
      <c r="E3797" s="264"/>
      <c r="F3797" s="265"/>
      <c r="G3797" s="263"/>
      <c r="H3797" s="432"/>
      <c r="I3797" s="282"/>
      <c r="J3797" s="283"/>
      <c r="K3797" s="265"/>
      <c r="L3797" s="265"/>
      <c r="M3797" s="269"/>
      <c r="N3797" s="270"/>
      <c r="O3797" s="271"/>
      <c r="P3797" s="271"/>
      <c r="Q3797" s="272"/>
      <c r="R3797" s="273"/>
      <c r="S3797" s="273"/>
      <c r="T3797" s="273"/>
      <c r="U3797" s="274"/>
      <c r="V3797" s="263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</row>
    <row r="3798">
      <c r="A3798" s="263"/>
      <c r="B3798" s="264"/>
      <c r="C3798" s="265"/>
      <c r="D3798" s="265"/>
      <c r="E3798" s="264"/>
      <c r="F3798" s="265"/>
      <c r="G3798" s="263"/>
      <c r="H3798" s="432"/>
      <c r="I3798" s="282"/>
      <c r="J3798" s="283"/>
      <c r="K3798" s="265"/>
      <c r="L3798" s="265"/>
      <c r="M3798" s="269"/>
      <c r="N3798" s="270"/>
      <c r="O3798" s="271"/>
      <c r="P3798" s="271"/>
      <c r="Q3798" s="272"/>
      <c r="R3798" s="273"/>
      <c r="S3798" s="273"/>
      <c r="T3798" s="273"/>
      <c r="U3798" s="274"/>
      <c r="V3798" s="263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</row>
    <row r="3799">
      <c r="A3799" s="263"/>
      <c r="B3799" s="264"/>
      <c r="C3799" s="265"/>
      <c r="D3799" s="265"/>
      <c r="E3799" s="264"/>
      <c r="F3799" s="265"/>
      <c r="G3799" s="263"/>
      <c r="H3799" s="432"/>
      <c r="I3799" s="282"/>
      <c r="J3799" s="283"/>
      <c r="K3799" s="265"/>
      <c r="L3799" s="265"/>
      <c r="M3799" s="269"/>
      <c r="N3799" s="270"/>
      <c r="O3799" s="271"/>
      <c r="P3799" s="271"/>
      <c r="Q3799" s="272"/>
      <c r="R3799" s="273"/>
      <c r="S3799" s="273"/>
      <c r="T3799" s="273"/>
      <c r="U3799" s="274"/>
      <c r="V3799" s="263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</row>
    <row r="3800">
      <c r="A3800" s="263"/>
      <c r="B3800" s="264"/>
      <c r="C3800" s="265"/>
      <c r="D3800" s="265"/>
      <c r="E3800" s="264"/>
      <c r="F3800" s="265"/>
      <c r="G3800" s="263"/>
      <c r="H3800" s="432"/>
      <c r="I3800" s="282"/>
      <c r="J3800" s="283"/>
      <c r="K3800" s="265"/>
      <c r="L3800" s="265"/>
      <c r="M3800" s="269"/>
      <c r="N3800" s="270"/>
      <c r="O3800" s="271"/>
      <c r="P3800" s="271"/>
      <c r="Q3800" s="272"/>
      <c r="R3800" s="273"/>
      <c r="S3800" s="273"/>
      <c r="T3800" s="273"/>
      <c r="U3800" s="274"/>
      <c r="V3800" s="263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</row>
    <row r="3801">
      <c r="A3801" s="263"/>
      <c r="B3801" s="264"/>
      <c r="C3801" s="265"/>
      <c r="D3801" s="265"/>
      <c r="E3801" s="264"/>
      <c r="F3801" s="265"/>
      <c r="G3801" s="263"/>
      <c r="H3801" s="432"/>
      <c r="I3801" s="282"/>
      <c r="J3801" s="283"/>
      <c r="K3801" s="265"/>
      <c r="L3801" s="265"/>
      <c r="M3801" s="269"/>
      <c r="N3801" s="270"/>
      <c r="O3801" s="271"/>
      <c r="P3801" s="271"/>
      <c r="Q3801" s="272"/>
      <c r="R3801" s="273"/>
      <c r="S3801" s="273"/>
      <c r="T3801" s="273"/>
      <c r="U3801" s="274"/>
      <c r="V3801" s="263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</row>
    <row r="3802">
      <c r="A3802" s="263"/>
      <c r="B3802" s="264"/>
      <c r="C3802" s="265"/>
      <c r="D3802" s="265"/>
      <c r="E3802" s="264"/>
      <c r="F3802" s="265"/>
      <c r="G3802" s="263"/>
      <c r="H3802" s="432"/>
      <c r="I3802" s="282"/>
      <c r="J3802" s="283"/>
      <c r="K3802" s="265"/>
      <c r="L3802" s="265"/>
      <c r="M3802" s="269"/>
      <c r="N3802" s="270"/>
      <c r="O3802" s="271"/>
      <c r="P3802" s="271"/>
      <c r="Q3802" s="272"/>
      <c r="R3802" s="273"/>
      <c r="S3802" s="273"/>
      <c r="T3802" s="273"/>
      <c r="U3802" s="274"/>
      <c r="V3802" s="263"/>
      <c r="W3802" s="188"/>
      <c r="X3802" s="188"/>
      <c r="Y3802" s="188"/>
      <c r="Z3802" s="188"/>
      <c r="AA3802" s="188"/>
      <c r="AB3802" s="188"/>
      <c r="AC3802" s="188"/>
      <c r="AD3802" s="188"/>
      <c r="AE3802" s="188"/>
      <c r="AF3802" s="188"/>
      <c r="AG3802" s="188"/>
      <c r="AH3802" s="188"/>
      <c r="AI3802" s="188"/>
    </row>
    <row r="3803">
      <c r="A3803" s="263"/>
      <c r="B3803" s="264"/>
      <c r="C3803" s="265"/>
      <c r="D3803" s="265"/>
      <c r="E3803" s="264"/>
      <c r="F3803" s="265"/>
      <c r="G3803" s="263"/>
      <c r="H3803" s="432"/>
      <c r="I3803" s="282"/>
      <c r="J3803" s="283"/>
      <c r="K3803" s="265"/>
      <c r="L3803" s="265"/>
      <c r="M3803" s="269"/>
      <c r="N3803" s="270"/>
      <c r="O3803" s="271"/>
      <c r="P3803" s="271"/>
      <c r="Q3803" s="272"/>
      <c r="R3803" s="273"/>
      <c r="S3803" s="273"/>
      <c r="T3803" s="273"/>
      <c r="U3803" s="274"/>
      <c r="V3803" s="263"/>
      <c r="W3803" s="35"/>
      <c r="X3803" s="35"/>
      <c r="Y3803" s="35"/>
      <c r="Z3803" s="35"/>
      <c r="AA3803" s="35"/>
      <c r="AB3803" s="35"/>
      <c r="AC3803" s="35"/>
      <c r="AD3803" s="35"/>
      <c r="AE3803" s="35"/>
      <c r="AF3803" s="35"/>
      <c r="AG3803" s="35"/>
      <c r="AH3803" s="35"/>
      <c r="AI3803" s="35"/>
    </row>
    <row r="3804">
      <c r="A3804" s="263"/>
      <c r="B3804" s="264"/>
      <c r="C3804" s="265"/>
      <c r="D3804" s="265"/>
      <c r="E3804" s="264"/>
      <c r="F3804" s="265"/>
      <c r="G3804" s="263"/>
      <c r="H3804" s="432"/>
      <c r="I3804" s="282"/>
      <c r="J3804" s="283"/>
      <c r="K3804" s="265"/>
      <c r="L3804" s="265"/>
      <c r="M3804" s="269"/>
      <c r="N3804" s="270"/>
      <c r="O3804" s="271"/>
      <c r="P3804" s="271"/>
      <c r="Q3804" s="272"/>
      <c r="R3804" s="273"/>
      <c r="S3804" s="273"/>
      <c r="T3804" s="273"/>
      <c r="U3804" s="274"/>
      <c r="V3804" s="263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</row>
    <row r="3805">
      <c r="A3805" s="263"/>
      <c r="B3805" s="264"/>
      <c r="C3805" s="265"/>
      <c r="D3805" s="265"/>
      <c r="E3805" s="264"/>
      <c r="F3805" s="265"/>
      <c r="G3805" s="263"/>
      <c r="H3805" s="432"/>
      <c r="I3805" s="282"/>
      <c r="J3805" s="283"/>
      <c r="K3805" s="265"/>
      <c r="L3805" s="265"/>
      <c r="M3805" s="269"/>
      <c r="N3805" s="270"/>
      <c r="O3805" s="271"/>
      <c r="P3805" s="271"/>
      <c r="Q3805" s="272"/>
      <c r="R3805" s="273"/>
      <c r="S3805" s="273"/>
      <c r="T3805" s="273"/>
      <c r="U3805" s="274"/>
      <c r="V3805" s="263"/>
      <c r="W3805" s="35"/>
      <c r="X3805" s="35"/>
      <c r="Y3805" s="35"/>
      <c r="Z3805" s="35"/>
      <c r="AA3805" s="35"/>
      <c r="AB3805" s="35"/>
      <c r="AC3805" s="35"/>
      <c r="AD3805" s="35"/>
      <c r="AE3805" s="35"/>
      <c r="AF3805" s="35"/>
      <c r="AG3805" s="35"/>
      <c r="AH3805" s="35"/>
      <c r="AI3805" s="35"/>
    </row>
    <row r="3806">
      <c r="A3806" s="263"/>
      <c r="B3806" s="264"/>
      <c r="C3806" s="265"/>
      <c r="D3806" s="265"/>
      <c r="E3806" s="264"/>
      <c r="F3806" s="265"/>
      <c r="G3806" s="263"/>
      <c r="H3806" s="432"/>
      <c r="I3806" s="282"/>
      <c r="J3806" s="283"/>
      <c r="K3806" s="265"/>
      <c r="L3806" s="265"/>
      <c r="M3806" s="269"/>
      <c r="N3806" s="270"/>
      <c r="O3806" s="271"/>
      <c r="P3806" s="271"/>
      <c r="Q3806" s="272"/>
      <c r="R3806" s="273"/>
      <c r="S3806" s="273"/>
      <c r="T3806" s="273"/>
      <c r="U3806" s="274"/>
      <c r="V3806" s="263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</row>
    <row r="3807">
      <c r="A3807" s="263"/>
      <c r="B3807" s="264"/>
      <c r="C3807" s="265"/>
      <c r="D3807" s="265"/>
      <c r="E3807" s="264"/>
      <c r="F3807" s="265"/>
      <c r="G3807" s="263"/>
      <c r="H3807" s="432"/>
      <c r="I3807" s="282"/>
      <c r="J3807" s="283"/>
      <c r="K3807" s="265"/>
      <c r="L3807" s="265"/>
      <c r="M3807" s="269"/>
      <c r="N3807" s="270"/>
      <c r="O3807" s="271"/>
      <c r="P3807" s="271"/>
      <c r="Q3807" s="272"/>
      <c r="R3807" s="273"/>
      <c r="S3807" s="273"/>
      <c r="T3807" s="273"/>
      <c r="U3807" s="274"/>
      <c r="V3807" s="263"/>
      <c r="W3807" s="35"/>
      <c r="X3807" s="35"/>
      <c r="Y3807" s="35"/>
      <c r="Z3807" s="35"/>
      <c r="AA3807" s="35"/>
      <c r="AB3807" s="35"/>
      <c r="AC3807" s="35"/>
      <c r="AD3807" s="35"/>
      <c r="AE3807" s="35"/>
      <c r="AF3807" s="35"/>
      <c r="AG3807" s="35"/>
      <c r="AH3807" s="35"/>
      <c r="AI3807" s="35"/>
    </row>
    <row r="3808">
      <c r="A3808" s="263"/>
      <c r="B3808" s="264"/>
      <c r="C3808" s="265"/>
      <c r="D3808" s="265"/>
      <c r="E3808" s="264"/>
      <c r="F3808" s="265"/>
      <c r="G3808" s="263"/>
      <c r="H3808" s="432"/>
      <c r="I3808" s="282"/>
      <c r="J3808" s="283"/>
      <c r="K3808" s="265"/>
      <c r="L3808" s="265"/>
      <c r="M3808" s="269"/>
      <c r="N3808" s="270"/>
      <c r="O3808" s="271"/>
      <c r="P3808" s="271"/>
      <c r="Q3808" s="272"/>
      <c r="R3808" s="273"/>
      <c r="S3808" s="273"/>
      <c r="T3808" s="273"/>
      <c r="U3808" s="274"/>
      <c r="V3808" s="263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</row>
    <row r="3809">
      <c r="A3809" s="263"/>
      <c r="B3809" s="264"/>
      <c r="C3809" s="265"/>
      <c r="D3809" s="265"/>
      <c r="E3809" s="264"/>
      <c r="F3809" s="265"/>
      <c r="G3809" s="263"/>
      <c r="H3809" s="432"/>
      <c r="I3809" s="282"/>
      <c r="J3809" s="283"/>
      <c r="K3809" s="265"/>
      <c r="L3809" s="265"/>
      <c r="M3809" s="269"/>
      <c r="N3809" s="270"/>
      <c r="O3809" s="271"/>
      <c r="P3809" s="271"/>
      <c r="Q3809" s="272"/>
      <c r="R3809" s="273"/>
      <c r="S3809" s="273"/>
      <c r="T3809" s="260"/>
      <c r="U3809" s="261"/>
      <c r="V3809" s="251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</row>
    <row r="3810">
      <c r="A3810" s="263"/>
      <c r="B3810" s="264"/>
      <c r="C3810" s="265"/>
      <c r="D3810" s="265"/>
      <c r="E3810" s="264"/>
      <c r="F3810" s="265"/>
      <c r="G3810" s="263"/>
      <c r="H3810" s="432"/>
      <c r="I3810" s="282"/>
      <c r="J3810" s="283"/>
      <c r="K3810" s="265"/>
      <c r="L3810" s="265"/>
      <c r="M3810" s="269"/>
      <c r="N3810" s="270"/>
      <c r="O3810" s="271"/>
      <c r="P3810" s="271"/>
      <c r="Q3810" s="272"/>
      <c r="R3810" s="273"/>
      <c r="S3810" s="273"/>
      <c r="T3810" s="273"/>
      <c r="U3810" s="274"/>
      <c r="V3810" s="263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</row>
    <row r="3811">
      <c r="A3811" s="263"/>
      <c r="B3811" s="264"/>
      <c r="C3811" s="265"/>
      <c r="D3811" s="265"/>
      <c r="E3811" s="264"/>
      <c r="F3811" s="265"/>
      <c r="G3811" s="263"/>
      <c r="H3811" s="432"/>
      <c r="I3811" s="282"/>
      <c r="J3811" s="283"/>
      <c r="K3811" s="265"/>
      <c r="L3811" s="265"/>
      <c r="M3811" s="269"/>
      <c r="N3811" s="270"/>
      <c r="O3811" s="271"/>
      <c r="P3811" s="271"/>
      <c r="Q3811" s="272"/>
      <c r="R3811" s="273"/>
      <c r="S3811" s="273"/>
      <c r="T3811" s="273"/>
      <c r="U3811" s="274"/>
      <c r="V3811" s="263"/>
      <c r="W3811" s="188"/>
      <c r="X3811" s="188"/>
      <c r="Y3811" s="188"/>
      <c r="Z3811" s="188"/>
      <c r="AA3811" s="188"/>
      <c r="AB3811" s="188"/>
      <c r="AC3811" s="188"/>
      <c r="AD3811" s="188"/>
      <c r="AE3811" s="188"/>
      <c r="AF3811" s="188"/>
      <c r="AG3811" s="188"/>
      <c r="AH3811" s="188"/>
      <c r="AI3811" s="188"/>
    </row>
    <row r="3812">
      <c r="A3812" s="263"/>
      <c r="B3812" s="264"/>
      <c r="C3812" s="265"/>
      <c r="D3812" s="265"/>
      <c r="E3812" s="264"/>
      <c r="F3812" s="265"/>
      <c r="G3812" s="263"/>
      <c r="H3812" s="432"/>
      <c r="I3812" s="282"/>
      <c r="J3812" s="283"/>
      <c r="K3812" s="265"/>
      <c r="L3812" s="265"/>
      <c r="M3812" s="269"/>
      <c r="N3812" s="270"/>
      <c r="O3812" s="271"/>
      <c r="P3812" s="271"/>
      <c r="Q3812" s="272"/>
      <c r="R3812" s="273"/>
      <c r="S3812" s="273"/>
      <c r="T3812" s="273"/>
      <c r="U3812" s="274"/>
      <c r="V3812" s="263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</row>
    <row r="3813">
      <c r="A3813" s="263"/>
      <c r="B3813" s="264"/>
      <c r="C3813" s="265"/>
      <c r="D3813" s="265"/>
      <c r="E3813" s="264"/>
      <c r="F3813" s="265"/>
      <c r="G3813" s="263"/>
      <c r="H3813" s="432"/>
      <c r="I3813" s="282"/>
      <c r="J3813" s="283"/>
      <c r="K3813" s="265"/>
      <c r="L3813" s="265"/>
      <c r="M3813" s="269"/>
      <c r="N3813" s="270"/>
      <c r="O3813" s="271"/>
      <c r="P3813" s="271"/>
      <c r="Q3813" s="272"/>
      <c r="R3813" s="273"/>
      <c r="S3813" s="273"/>
      <c r="T3813" s="273"/>
      <c r="U3813" s="274"/>
      <c r="V3813" s="263"/>
      <c r="W3813" s="188"/>
      <c r="X3813" s="188"/>
      <c r="Y3813" s="188"/>
      <c r="Z3813" s="188"/>
      <c r="AA3813" s="188"/>
      <c r="AB3813" s="188"/>
      <c r="AC3813" s="188"/>
      <c r="AD3813" s="188"/>
      <c r="AE3813" s="188"/>
      <c r="AF3813" s="188"/>
      <c r="AG3813" s="188"/>
      <c r="AH3813" s="188"/>
      <c r="AI3813" s="188"/>
    </row>
    <row r="3814">
      <c r="A3814" s="263"/>
      <c r="B3814" s="264"/>
      <c r="C3814" s="265"/>
      <c r="D3814" s="265"/>
      <c r="E3814" s="264"/>
      <c r="F3814" s="265"/>
      <c r="G3814" s="263"/>
      <c r="H3814" s="432"/>
      <c r="I3814" s="282"/>
      <c r="J3814" s="283"/>
      <c r="K3814" s="265"/>
      <c r="L3814" s="265"/>
      <c r="M3814" s="269"/>
      <c r="N3814" s="270"/>
      <c r="O3814" s="271"/>
      <c r="P3814" s="271"/>
      <c r="Q3814" s="272"/>
      <c r="R3814" s="273"/>
      <c r="S3814" s="273"/>
      <c r="T3814" s="273"/>
      <c r="U3814" s="274"/>
      <c r="V3814" s="263"/>
      <c r="W3814" s="35"/>
      <c r="X3814" s="35"/>
      <c r="Y3814" s="35"/>
      <c r="Z3814" s="35"/>
      <c r="AA3814" s="35"/>
      <c r="AB3814" s="35"/>
      <c r="AC3814" s="35"/>
      <c r="AD3814" s="35"/>
      <c r="AE3814" s="35"/>
      <c r="AF3814" s="35"/>
      <c r="AG3814" s="35"/>
      <c r="AH3814" s="35"/>
      <c r="AI3814" s="35"/>
    </row>
    <row r="3815">
      <c r="A3815" s="263"/>
      <c r="B3815" s="264"/>
      <c r="C3815" s="265"/>
      <c r="D3815" s="265"/>
      <c r="E3815" s="264"/>
      <c r="F3815" s="265"/>
      <c r="G3815" s="263"/>
      <c r="H3815" s="432"/>
      <c r="I3815" s="282"/>
      <c r="J3815" s="283"/>
      <c r="K3815" s="265"/>
      <c r="L3815" s="265"/>
      <c r="M3815" s="269"/>
      <c r="N3815" s="270"/>
      <c r="O3815" s="271"/>
      <c r="P3815" s="271"/>
      <c r="Q3815" s="272"/>
      <c r="R3815" s="273"/>
      <c r="S3815" s="273"/>
      <c r="T3815" s="273"/>
      <c r="U3815" s="274"/>
      <c r="V3815" s="263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</row>
    <row r="3816">
      <c r="A3816" s="263"/>
      <c r="B3816" s="264"/>
      <c r="C3816" s="265"/>
      <c r="D3816" s="265"/>
      <c r="E3816" s="264"/>
      <c r="F3816" s="265"/>
      <c r="G3816" s="263"/>
      <c r="H3816" s="432"/>
      <c r="I3816" s="282"/>
      <c r="J3816" s="283"/>
      <c r="K3816" s="265"/>
      <c r="L3816" s="265"/>
      <c r="M3816" s="269"/>
      <c r="N3816" s="270"/>
      <c r="O3816" s="271"/>
      <c r="P3816" s="271"/>
      <c r="Q3816" s="272"/>
      <c r="R3816" s="273"/>
      <c r="S3816" s="273"/>
      <c r="T3816" s="273"/>
      <c r="U3816" s="274"/>
      <c r="V3816" s="263"/>
      <c r="W3816" s="35"/>
      <c r="X3816" s="35"/>
      <c r="Y3816" s="35"/>
      <c r="Z3816" s="35"/>
      <c r="AA3816" s="35"/>
      <c r="AB3816" s="35"/>
      <c r="AC3816" s="35"/>
      <c r="AD3816" s="35"/>
      <c r="AE3816" s="35"/>
      <c r="AF3816" s="35"/>
      <c r="AG3816" s="35"/>
      <c r="AH3816" s="35"/>
      <c r="AI3816" s="35"/>
    </row>
    <row r="3817">
      <c r="A3817" s="263"/>
      <c r="B3817" s="264"/>
      <c r="C3817" s="265"/>
      <c r="D3817" s="265"/>
      <c r="E3817" s="264"/>
      <c r="F3817" s="265"/>
      <c r="G3817" s="263"/>
      <c r="H3817" s="432"/>
      <c r="I3817" s="282"/>
      <c r="J3817" s="283"/>
      <c r="K3817" s="265"/>
      <c r="L3817" s="265"/>
      <c r="M3817" s="269"/>
      <c r="N3817" s="270"/>
      <c r="O3817" s="271"/>
      <c r="P3817" s="271"/>
      <c r="Q3817" s="272"/>
      <c r="R3817" s="273"/>
      <c r="S3817" s="273"/>
      <c r="T3817" s="273"/>
      <c r="U3817" s="274"/>
      <c r="V3817" s="263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</row>
    <row r="3818">
      <c r="A3818" s="263"/>
      <c r="B3818" s="264"/>
      <c r="C3818" s="265"/>
      <c r="D3818" s="265"/>
      <c r="E3818" s="264"/>
      <c r="F3818" s="265"/>
      <c r="G3818" s="263"/>
      <c r="H3818" s="432"/>
      <c r="I3818" s="282"/>
      <c r="J3818" s="283"/>
      <c r="K3818" s="265"/>
      <c r="L3818" s="265"/>
      <c r="M3818" s="269"/>
      <c r="N3818" s="270"/>
      <c r="O3818" s="271"/>
      <c r="P3818" s="271"/>
      <c r="Q3818" s="272"/>
      <c r="R3818" s="273"/>
      <c r="S3818" s="273"/>
      <c r="T3818" s="273"/>
      <c r="U3818" s="274"/>
      <c r="V3818" s="263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</row>
    <row r="3819">
      <c r="A3819" s="263"/>
      <c r="B3819" s="264"/>
      <c r="C3819" s="265"/>
      <c r="D3819" s="265"/>
      <c r="E3819" s="264"/>
      <c r="F3819" s="265"/>
      <c r="G3819" s="263"/>
      <c r="H3819" s="432"/>
      <c r="I3819" s="282"/>
      <c r="J3819" s="283"/>
      <c r="K3819" s="265"/>
      <c r="L3819" s="265"/>
      <c r="M3819" s="269"/>
      <c r="N3819" s="270"/>
      <c r="O3819" s="271"/>
      <c r="P3819" s="271"/>
      <c r="Q3819" s="272"/>
      <c r="R3819" s="273"/>
      <c r="S3819" s="273"/>
      <c r="T3819" s="273"/>
      <c r="U3819" s="274"/>
      <c r="V3819" s="263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</row>
    <row r="3820">
      <c r="A3820" s="263"/>
      <c r="B3820" s="264"/>
      <c r="C3820" s="265"/>
      <c r="D3820" s="265"/>
      <c r="E3820" s="264"/>
      <c r="F3820" s="265"/>
      <c r="G3820" s="263"/>
      <c r="H3820" s="432"/>
      <c r="I3820" s="282"/>
      <c r="J3820" s="283"/>
      <c r="K3820" s="265"/>
      <c r="L3820" s="265"/>
      <c r="M3820" s="269"/>
      <c r="N3820" s="270"/>
      <c r="O3820" s="271"/>
      <c r="P3820" s="271"/>
      <c r="Q3820" s="272"/>
      <c r="R3820" s="273"/>
      <c r="S3820" s="273"/>
      <c r="T3820" s="273"/>
      <c r="U3820" s="274"/>
      <c r="V3820" s="263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</row>
    <row r="3821">
      <c r="A3821" s="263"/>
      <c r="B3821" s="264"/>
      <c r="C3821" s="265"/>
      <c r="D3821" s="265"/>
      <c r="E3821" s="264"/>
      <c r="F3821" s="265"/>
      <c r="G3821" s="263"/>
      <c r="H3821" s="432"/>
      <c r="I3821" s="282"/>
      <c r="J3821" s="283"/>
      <c r="K3821" s="265"/>
      <c r="L3821" s="265"/>
      <c r="M3821" s="269"/>
      <c r="N3821" s="270"/>
      <c r="O3821" s="271"/>
      <c r="P3821" s="271"/>
      <c r="Q3821" s="272"/>
      <c r="R3821" s="273"/>
      <c r="S3821" s="273"/>
      <c r="T3821" s="260"/>
      <c r="U3821" s="261"/>
      <c r="V3821" s="251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</row>
    <row r="3822">
      <c r="A3822" s="263"/>
      <c r="B3822" s="264"/>
      <c r="C3822" s="265"/>
      <c r="D3822" s="265"/>
      <c r="E3822" s="264"/>
      <c r="F3822" s="265"/>
      <c r="G3822" s="263"/>
      <c r="H3822" s="432"/>
      <c r="I3822" s="282"/>
      <c r="J3822" s="283"/>
      <c r="K3822" s="265"/>
      <c r="L3822" s="265"/>
      <c r="M3822" s="269"/>
      <c r="N3822" s="270"/>
      <c r="O3822" s="271"/>
      <c r="P3822" s="271"/>
      <c r="Q3822" s="272"/>
      <c r="R3822" s="273"/>
      <c r="S3822" s="273"/>
      <c r="T3822" s="273"/>
      <c r="U3822" s="274"/>
      <c r="V3822" s="263"/>
      <c r="W3822" s="35"/>
      <c r="X3822" s="35"/>
      <c r="Y3822" s="35"/>
      <c r="Z3822" s="35"/>
      <c r="AA3822" s="35"/>
      <c r="AB3822" s="35"/>
      <c r="AC3822" s="35"/>
      <c r="AD3822" s="35"/>
      <c r="AE3822" s="35"/>
      <c r="AF3822" s="35"/>
      <c r="AG3822" s="35"/>
      <c r="AH3822" s="35"/>
      <c r="AI3822" s="35"/>
    </row>
    <row r="3823">
      <c r="A3823" s="263"/>
      <c r="B3823" s="264"/>
      <c r="C3823" s="265"/>
      <c r="D3823" s="265"/>
      <c r="E3823" s="264"/>
      <c r="F3823" s="265"/>
      <c r="G3823" s="263"/>
      <c r="H3823" s="432"/>
      <c r="I3823" s="282"/>
      <c r="J3823" s="283"/>
      <c r="K3823" s="265"/>
      <c r="L3823" s="265"/>
      <c r="M3823" s="269"/>
      <c r="N3823" s="270"/>
      <c r="O3823" s="271"/>
      <c r="P3823" s="271"/>
      <c r="Q3823" s="272"/>
      <c r="R3823" s="273"/>
      <c r="S3823" s="273"/>
      <c r="T3823" s="273"/>
      <c r="U3823" s="274"/>
      <c r="V3823" s="263"/>
      <c r="W3823" s="188"/>
      <c r="X3823" s="188"/>
      <c r="Y3823" s="188"/>
      <c r="Z3823" s="188"/>
      <c r="AA3823" s="188"/>
      <c r="AB3823" s="188"/>
      <c r="AC3823" s="188"/>
      <c r="AD3823" s="188"/>
      <c r="AE3823" s="188"/>
      <c r="AF3823" s="188"/>
      <c r="AG3823" s="188"/>
      <c r="AH3823" s="188"/>
      <c r="AI3823" s="188"/>
    </row>
    <row r="3824">
      <c r="A3824" s="263"/>
      <c r="B3824" s="264"/>
      <c r="C3824" s="265"/>
      <c r="D3824" s="265"/>
      <c r="E3824" s="264"/>
      <c r="F3824" s="265"/>
      <c r="G3824" s="263"/>
      <c r="H3824" s="432"/>
      <c r="I3824" s="282"/>
      <c r="J3824" s="283"/>
      <c r="K3824" s="265"/>
      <c r="L3824" s="265"/>
      <c r="M3824" s="269"/>
      <c r="N3824" s="270"/>
      <c r="O3824" s="271"/>
      <c r="P3824" s="271"/>
      <c r="Q3824" s="272"/>
      <c r="R3824" s="273"/>
      <c r="S3824" s="273"/>
      <c r="T3824" s="273"/>
      <c r="U3824" s="274"/>
      <c r="V3824" s="263"/>
      <c r="W3824" s="35"/>
      <c r="X3824" s="35"/>
      <c r="Y3824" s="35"/>
      <c r="Z3824" s="35"/>
      <c r="AA3824" s="35"/>
      <c r="AB3824" s="35"/>
      <c r="AC3824" s="35"/>
      <c r="AD3824" s="35"/>
      <c r="AE3824" s="35"/>
      <c r="AF3824" s="35"/>
      <c r="AG3824" s="35"/>
      <c r="AH3824" s="35"/>
      <c r="AI3824" s="35"/>
    </row>
    <row r="3825">
      <c r="A3825" s="263"/>
      <c r="B3825" s="264"/>
      <c r="C3825" s="265"/>
      <c r="D3825" s="265"/>
      <c r="E3825" s="264"/>
      <c r="F3825" s="265"/>
      <c r="G3825" s="263"/>
      <c r="H3825" s="432"/>
      <c r="I3825" s="282"/>
      <c r="J3825" s="283"/>
      <c r="K3825" s="265"/>
      <c r="L3825" s="265"/>
      <c r="M3825" s="269"/>
      <c r="N3825" s="270"/>
      <c r="O3825" s="271"/>
      <c r="P3825" s="271"/>
      <c r="Q3825" s="272"/>
      <c r="R3825" s="273"/>
      <c r="S3825" s="273"/>
      <c r="T3825" s="273"/>
      <c r="U3825" s="274"/>
      <c r="V3825" s="263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</row>
    <row r="3826">
      <c r="A3826" s="263"/>
      <c r="B3826" s="264"/>
      <c r="C3826" s="265"/>
      <c r="D3826" s="265"/>
      <c r="E3826" s="264"/>
      <c r="F3826" s="265"/>
      <c r="G3826" s="263"/>
      <c r="H3826" s="432"/>
      <c r="I3826" s="282"/>
      <c r="J3826" s="283"/>
      <c r="K3826" s="265"/>
      <c r="L3826" s="265"/>
      <c r="M3826" s="269"/>
      <c r="N3826" s="270"/>
      <c r="O3826" s="271"/>
      <c r="P3826" s="271"/>
      <c r="Q3826" s="272"/>
      <c r="R3826" s="273"/>
      <c r="S3826" s="273"/>
      <c r="T3826" s="273"/>
      <c r="U3826" s="274"/>
      <c r="V3826" s="263"/>
      <c r="W3826" s="35"/>
      <c r="X3826" s="35"/>
      <c r="Y3826" s="35"/>
      <c r="Z3826" s="35"/>
      <c r="AA3826" s="35"/>
      <c r="AB3826" s="35"/>
      <c r="AC3826" s="35"/>
      <c r="AD3826" s="35"/>
      <c r="AE3826" s="35"/>
      <c r="AF3826" s="35"/>
      <c r="AG3826" s="35"/>
      <c r="AH3826" s="35"/>
      <c r="AI3826" s="35"/>
    </row>
    <row r="3827">
      <c r="A3827" s="263"/>
      <c r="B3827" s="264"/>
      <c r="C3827" s="265"/>
      <c r="D3827" s="265"/>
      <c r="E3827" s="264"/>
      <c r="F3827" s="265"/>
      <c r="G3827" s="263"/>
      <c r="H3827" s="432"/>
      <c r="I3827" s="282"/>
      <c r="J3827" s="283"/>
      <c r="K3827" s="265"/>
      <c r="L3827" s="265"/>
      <c r="M3827" s="269"/>
      <c r="N3827" s="270"/>
      <c r="O3827" s="271"/>
      <c r="P3827" s="271"/>
      <c r="Q3827" s="272"/>
      <c r="R3827" s="273"/>
      <c r="S3827" s="273"/>
      <c r="T3827" s="273"/>
      <c r="U3827" s="274"/>
      <c r="V3827" s="263"/>
      <c r="W3827" s="35"/>
      <c r="X3827" s="35"/>
      <c r="Y3827" s="35"/>
      <c r="Z3827" s="35"/>
      <c r="AA3827" s="35"/>
      <c r="AB3827" s="35"/>
      <c r="AC3827" s="35"/>
      <c r="AD3827" s="35"/>
      <c r="AE3827" s="35"/>
      <c r="AF3827" s="35"/>
      <c r="AG3827" s="35"/>
      <c r="AH3827" s="35"/>
      <c r="AI3827" s="35"/>
    </row>
    <row r="3828">
      <c r="A3828" s="263"/>
      <c r="B3828" s="264"/>
      <c r="C3828" s="265"/>
      <c r="D3828" s="265"/>
      <c r="E3828" s="264"/>
      <c r="F3828" s="265"/>
      <c r="G3828" s="263"/>
      <c r="H3828" s="432"/>
      <c r="I3828" s="282"/>
      <c r="J3828" s="283"/>
      <c r="K3828" s="265"/>
      <c r="L3828" s="265"/>
      <c r="M3828" s="269"/>
      <c r="N3828" s="270"/>
      <c r="O3828" s="271"/>
      <c r="P3828" s="271"/>
      <c r="Q3828" s="272"/>
      <c r="R3828" s="273"/>
      <c r="S3828" s="273"/>
      <c r="T3828" s="273"/>
      <c r="U3828" s="274"/>
      <c r="V3828" s="263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</row>
    <row r="3829">
      <c r="A3829" s="263"/>
      <c r="B3829" s="264"/>
      <c r="C3829" s="265"/>
      <c r="D3829" s="265"/>
      <c r="E3829" s="264"/>
      <c r="F3829" s="265"/>
      <c r="G3829" s="263"/>
      <c r="H3829" s="432"/>
      <c r="I3829" s="282"/>
      <c r="J3829" s="283"/>
      <c r="K3829" s="265"/>
      <c r="L3829" s="265"/>
      <c r="M3829" s="269"/>
      <c r="N3829" s="270"/>
      <c r="O3829" s="271"/>
      <c r="P3829" s="271"/>
      <c r="Q3829" s="272"/>
      <c r="R3829" s="273"/>
      <c r="S3829" s="273"/>
      <c r="T3829" s="273"/>
      <c r="U3829" s="274"/>
      <c r="V3829" s="263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</row>
    <row r="3830">
      <c r="A3830" s="263"/>
      <c r="B3830" s="264"/>
      <c r="C3830" s="265"/>
      <c r="D3830" s="265"/>
      <c r="E3830" s="264"/>
      <c r="F3830" s="265"/>
      <c r="G3830" s="263"/>
      <c r="H3830" s="432"/>
      <c r="I3830" s="282"/>
      <c r="J3830" s="283"/>
      <c r="K3830" s="265"/>
      <c r="L3830" s="265"/>
      <c r="M3830" s="269"/>
      <c r="N3830" s="270"/>
      <c r="O3830" s="271"/>
      <c r="P3830" s="271"/>
      <c r="Q3830" s="272"/>
      <c r="R3830" s="273"/>
      <c r="S3830" s="273"/>
      <c r="T3830" s="273"/>
      <c r="U3830" s="274"/>
      <c r="V3830" s="263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</row>
    <row r="3831">
      <c r="A3831" s="263"/>
      <c r="B3831" s="264"/>
      <c r="C3831" s="265"/>
      <c r="D3831" s="265"/>
      <c r="E3831" s="264"/>
      <c r="F3831" s="265"/>
      <c r="G3831" s="263"/>
      <c r="H3831" s="432"/>
      <c r="I3831" s="282"/>
      <c r="J3831" s="283"/>
      <c r="K3831" s="265"/>
      <c r="L3831" s="265"/>
      <c r="M3831" s="269"/>
      <c r="N3831" s="270"/>
      <c r="O3831" s="271"/>
      <c r="P3831" s="271"/>
      <c r="Q3831" s="272"/>
      <c r="R3831" s="273"/>
      <c r="S3831" s="273"/>
      <c r="T3831" s="273"/>
      <c r="U3831" s="274"/>
      <c r="V3831" s="263"/>
      <c r="W3831" s="188"/>
      <c r="X3831" s="188"/>
      <c r="Y3831" s="188"/>
      <c r="Z3831" s="188"/>
      <c r="AA3831" s="188"/>
      <c r="AB3831" s="188"/>
      <c r="AC3831" s="188"/>
      <c r="AD3831" s="188"/>
      <c r="AE3831" s="188"/>
      <c r="AF3831" s="188"/>
      <c r="AG3831" s="188"/>
      <c r="AH3831" s="188"/>
      <c r="AI3831" s="188"/>
    </row>
    <row r="3832">
      <c r="A3832" s="263"/>
      <c r="B3832" s="264"/>
      <c r="C3832" s="265"/>
      <c r="D3832" s="265"/>
      <c r="E3832" s="264"/>
      <c r="F3832" s="265"/>
      <c r="G3832" s="263"/>
      <c r="H3832" s="432"/>
      <c r="I3832" s="282"/>
      <c r="J3832" s="283"/>
      <c r="K3832" s="265"/>
      <c r="L3832" s="265"/>
      <c r="M3832" s="269"/>
      <c r="N3832" s="270"/>
      <c r="O3832" s="271"/>
      <c r="P3832" s="271"/>
      <c r="Q3832" s="272"/>
      <c r="R3832" s="273"/>
      <c r="S3832" s="273"/>
      <c r="T3832" s="273"/>
      <c r="U3832" s="274"/>
      <c r="V3832" s="263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</row>
    <row r="3833">
      <c r="A3833" s="263"/>
      <c r="B3833" s="264"/>
      <c r="C3833" s="265"/>
      <c r="D3833" s="265"/>
      <c r="E3833" s="264"/>
      <c r="F3833" s="265"/>
      <c r="G3833" s="263"/>
      <c r="H3833" s="432"/>
      <c r="I3833" s="282"/>
      <c r="J3833" s="283"/>
      <c r="K3833" s="265"/>
      <c r="L3833" s="265"/>
      <c r="M3833" s="269"/>
      <c r="N3833" s="270"/>
      <c r="O3833" s="271"/>
      <c r="P3833" s="271"/>
      <c r="Q3833" s="272"/>
      <c r="R3833" s="273"/>
      <c r="S3833" s="273"/>
      <c r="T3833" s="273"/>
      <c r="U3833" s="274"/>
      <c r="V3833" s="263"/>
      <c r="W3833" s="35"/>
      <c r="X3833" s="35"/>
      <c r="Y3833" s="35"/>
      <c r="Z3833" s="35"/>
      <c r="AA3833" s="35"/>
      <c r="AB3833" s="35"/>
      <c r="AC3833" s="35"/>
      <c r="AD3833" s="35"/>
      <c r="AE3833" s="35"/>
      <c r="AF3833" s="35"/>
      <c r="AG3833" s="35"/>
      <c r="AH3833" s="35"/>
      <c r="AI3833" s="35"/>
    </row>
    <row r="3834">
      <c r="A3834" s="263"/>
      <c r="B3834" s="264"/>
      <c r="C3834" s="265"/>
      <c r="D3834" s="265"/>
      <c r="E3834" s="264"/>
      <c r="F3834" s="265"/>
      <c r="G3834" s="263"/>
      <c r="H3834" s="432"/>
      <c r="I3834" s="282"/>
      <c r="J3834" s="283"/>
      <c r="K3834" s="265"/>
      <c r="L3834" s="265"/>
      <c r="M3834" s="269"/>
      <c r="N3834" s="270"/>
      <c r="O3834" s="271"/>
      <c r="P3834" s="271"/>
      <c r="Q3834" s="272"/>
      <c r="R3834" s="273"/>
      <c r="S3834" s="273"/>
      <c r="T3834" s="273"/>
      <c r="U3834" s="274"/>
      <c r="V3834" s="263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</row>
    <row r="3835">
      <c r="A3835" s="263"/>
      <c r="B3835" s="264"/>
      <c r="C3835" s="265"/>
      <c r="D3835" s="265"/>
      <c r="E3835" s="264"/>
      <c r="F3835" s="265"/>
      <c r="G3835" s="263"/>
      <c r="H3835" s="432"/>
      <c r="I3835" s="282"/>
      <c r="J3835" s="283"/>
      <c r="K3835" s="265"/>
      <c r="L3835" s="265"/>
      <c r="M3835" s="269"/>
      <c r="N3835" s="270"/>
      <c r="O3835" s="271"/>
      <c r="P3835" s="271"/>
      <c r="Q3835" s="272"/>
      <c r="R3835" s="273"/>
      <c r="S3835" s="273"/>
      <c r="T3835" s="273"/>
      <c r="U3835" s="274"/>
      <c r="V3835" s="263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</row>
    <row r="3836">
      <c r="A3836" s="263"/>
      <c r="B3836" s="264"/>
      <c r="C3836" s="265"/>
      <c r="D3836" s="265"/>
      <c r="E3836" s="264"/>
      <c r="F3836" s="265"/>
      <c r="G3836" s="263"/>
      <c r="H3836" s="432"/>
      <c r="I3836" s="282"/>
      <c r="J3836" s="283"/>
      <c r="K3836" s="265"/>
      <c r="L3836" s="265"/>
      <c r="M3836" s="269"/>
      <c r="N3836" s="270"/>
      <c r="O3836" s="271"/>
      <c r="P3836" s="271"/>
      <c r="Q3836" s="272"/>
      <c r="R3836" s="273"/>
      <c r="S3836" s="273"/>
      <c r="T3836" s="273"/>
      <c r="U3836" s="274"/>
      <c r="V3836" s="263"/>
      <c r="W3836" s="188"/>
      <c r="X3836" s="188"/>
      <c r="Y3836" s="188"/>
      <c r="Z3836" s="188"/>
      <c r="AA3836" s="188"/>
      <c r="AB3836" s="188"/>
      <c r="AC3836" s="188"/>
      <c r="AD3836" s="188"/>
      <c r="AE3836" s="188"/>
      <c r="AF3836" s="188"/>
      <c r="AG3836" s="188"/>
      <c r="AH3836" s="188"/>
      <c r="AI3836" s="188"/>
    </row>
    <row r="3837">
      <c r="A3837" s="263"/>
      <c r="B3837" s="264"/>
      <c r="C3837" s="265"/>
      <c r="D3837" s="265"/>
      <c r="E3837" s="264"/>
      <c r="F3837" s="265"/>
      <c r="G3837" s="263"/>
      <c r="H3837" s="432"/>
      <c r="I3837" s="282"/>
      <c r="J3837" s="283"/>
      <c r="K3837" s="265"/>
      <c r="L3837" s="265"/>
      <c r="M3837" s="269"/>
      <c r="N3837" s="270"/>
      <c r="O3837" s="271"/>
      <c r="P3837" s="271"/>
      <c r="Q3837" s="272"/>
      <c r="R3837" s="273"/>
      <c r="S3837" s="273"/>
      <c r="T3837" s="273"/>
      <c r="U3837" s="274"/>
      <c r="V3837" s="263"/>
      <c r="W3837" s="35"/>
      <c r="X3837" s="35"/>
      <c r="Y3837" s="35"/>
      <c r="Z3837" s="35"/>
      <c r="AA3837" s="35"/>
      <c r="AB3837" s="35"/>
      <c r="AC3837" s="35"/>
      <c r="AD3837" s="35"/>
      <c r="AE3837" s="35"/>
      <c r="AF3837" s="35"/>
      <c r="AG3837" s="35"/>
      <c r="AH3837" s="35"/>
      <c r="AI3837" s="35"/>
    </row>
    <row r="3838">
      <c r="A3838" s="263"/>
      <c r="B3838" s="264"/>
      <c r="C3838" s="265"/>
      <c r="D3838" s="265"/>
      <c r="E3838" s="264"/>
      <c r="F3838" s="265"/>
      <c r="G3838" s="263"/>
      <c r="H3838" s="432"/>
      <c r="I3838" s="282"/>
      <c r="J3838" s="283"/>
      <c r="K3838" s="265"/>
      <c r="L3838" s="265"/>
      <c r="M3838" s="269"/>
      <c r="N3838" s="270"/>
      <c r="O3838" s="271"/>
      <c r="P3838" s="271"/>
      <c r="Q3838" s="272"/>
      <c r="R3838" s="273"/>
      <c r="S3838" s="273"/>
      <c r="T3838" s="273"/>
      <c r="U3838" s="274"/>
      <c r="V3838" s="263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</row>
    <row r="3839">
      <c r="A3839" s="263"/>
      <c r="B3839" s="264"/>
      <c r="C3839" s="265"/>
      <c r="D3839" s="265"/>
      <c r="E3839" s="264"/>
      <c r="F3839" s="265"/>
      <c r="G3839" s="263"/>
      <c r="H3839" s="432"/>
      <c r="I3839" s="282"/>
      <c r="J3839" s="283"/>
      <c r="K3839" s="265"/>
      <c r="L3839" s="265"/>
      <c r="M3839" s="269"/>
      <c r="N3839" s="270"/>
      <c r="O3839" s="271"/>
      <c r="P3839" s="271"/>
      <c r="Q3839" s="272"/>
      <c r="R3839" s="273"/>
      <c r="S3839" s="273"/>
      <c r="T3839" s="273"/>
      <c r="U3839" s="274"/>
      <c r="V3839" s="263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</row>
    <row r="3840">
      <c r="A3840" s="263"/>
      <c r="B3840" s="264"/>
      <c r="C3840" s="265"/>
      <c r="D3840" s="265"/>
      <c r="E3840" s="264"/>
      <c r="F3840" s="265"/>
      <c r="G3840" s="263"/>
      <c r="H3840" s="432"/>
      <c r="I3840" s="282"/>
      <c r="J3840" s="283"/>
      <c r="K3840" s="265"/>
      <c r="L3840" s="265"/>
      <c r="M3840" s="269"/>
      <c r="N3840" s="270"/>
      <c r="O3840" s="271"/>
      <c r="P3840" s="271"/>
      <c r="Q3840" s="272"/>
      <c r="R3840" s="273"/>
      <c r="S3840" s="273"/>
      <c r="T3840" s="273"/>
      <c r="U3840" s="274"/>
      <c r="V3840" s="263"/>
      <c r="W3840" s="35"/>
      <c r="X3840" s="35"/>
      <c r="Y3840" s="35"/>
      <c r="Z3840" s="35"/>
      <c r="AA3840" s="35"/>
      <c r="AB3840" s="35"/>
      <c r="AC3840" s="35"/>
      <c r="AD3840" s="35"/>
      <c r="AE3840" s="35"/>
      <c r="AF3840" s="35"/>
      <c r="AG3840" s="35"/>
      <c r="AH3840" s="35"/>
      <c r="AI3840" s="35"/>
    </row>
    <row r="3841">
      <c r="A3841" s="263"/>
      <c r="B3841" s="264"/>
      <c r="C3841" s="265"/>
      <c r="D3841" s="265"/>
      <c r="E3841" s="264"/>
      <c r="F3841" s="265"/>
      <c r="G3841" s="263"/>
      <c r="H3841" s="432"/>
      <c r="I3841" s="282"/>
      <c r="J3841" s="283"/>
      <c r="K3841" s="265"/>
      <c r="L3841" s="265"/>
      <c r="M3841" s="269"/>
      <c r="N3841" s="270"/>
      <c r="O3841" s="271"/>
      <c r="P3841" s="271"/>
      <c r="Q3841" s="272"/>
      <c r="R3841" s="273"/>
      <c r="S3841" s="273"/>
      <c r="T3841" s="273"/>
      <c r="U3841" s="274"/>
      <c r="V3841" s="263"/>
      <c r="W3841" s="35"/>
      <c r="X3841" s="35"/>
      <c r="Y3841" s="35"/>
      <c r="Z3841" s="35"/>
      <c r="AA3841" s="35"/>
      <c r="AB3841" s="35"/>
      <c r="AC3841" s="35"/>
      <c r="AD3841" s="35"/>
      <c r="AE3841" s="35"/>
      <c r="AF3841" s="35"/>
      <c r="AG3841" s="35"/>
      <c r="AH3841" s="35"/>
      <c r="AI3841" s="35"/>
    </row>
    <row r="3842">
      <c r="A3842" s="263"/>
      <c r="B3842" s="264"/>
      <c r="C3842" s="265"/>
      <c r="D3842" s="265"/>
      <c r="E3842" s="264"/>
      <c r="F3842" s="265"/>
      <c r="G3842" s="263"/>
      <c r="H3842" s="432"/>
      <c r="I3842" s="282"/>
      <c r="J3842" s="283"/>
      <c r="K3842" s="265"/>
      <c r="L3842" s="265"/>
      <c r="M3842" s="269"/>
      <c r="N3842" s="270"/>
      <c r="O3842" s="271"/>
      <c r="P3842" s="271"/>
      <c r="Q3842" s="272"/>
      <c r="R3842" s="273"/>
      <c r="S3842" s="273"/>
      <c r="T3842" s="260"/>
      <c r="U3842" s="261"/>
      <c r="V3842" s="251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</row>
    <row r="3843">
      <c r="A3843" s="263"/>
      <c r="B3843" s="264"/>
      <c r="C3843" s="265"/>
      <c r="D3843" s="265"/>
      <c r="E3843" s="264"/>
      <c r="F3843" s="265"/>
      <c r="G3843" s="263"/>
      <c r="H3843" s="432"/>
      <c r="I3843" s="282"/>
      <c r="J3843" s="283"/>
      <c r="K3843" s="265"/>
      <c r="L3843" s="265"/>
      <c r="M3843" s="269"/>
      <c r="N3843" s="270"/>
      <c r="O3843" s="271"/>
      <c r="P3843" s="271"/>
      <c r="Q3843" s="272"/>
      <c r="R3843" s="273"/>
      <c r="S3843" s="273"/>
      <c r="T3843" s="273"/>
      <c r="U3843" s="274"/>
      <c r="V3843" s="263"/>
      <c r="W3843" s="35"/>
      <c r="X3843" s="35"/>
      <c r="Y3843" s="35"/>
      <c r="Z3843" s="35"/>
      <c r="AA3843" s="35"/>
      <c r="AB3843" s="35"/>
      <c r="AC3843" s="35"/>
      <c r="AD3843" s="35"/>
      <c r="AE3843" s="35"/>
      <c r="AF3843" s="35"/>
      <c r="AG3843" s="35"/>
      <c r="AH3843" s="35"/>
      <c r="AI3843" s="35"/>
    </row>
    <row r="3844">
      <c r="A3844" s="263"/>
      <c r="B3844" s="264"/>
      <c r="C3844" s="265"/>
      <c r="D3844" s="265"/>
      <c r="E3844" s="264"/>
      <c r="F3844" s="265"/>
      <c r="G3844" s="263"/>
      <c r="H3844" s="432"/>
      <c r="I3844" s="282"/>
      <c r="J3844" s="283"/>
      <c r="K3844" s="265"/>
      <c r="L3844" s="265"/>
      <c r="M3844" s="269"/>
      <c r="N3844" s="270"/>
      <c r="O3844" s="271"/>
      <c r="P3844" s="271"/>
      <c r="Q3844" s="272"/>
      <c r="R3844" s="273"/>
      <c r="S3844" s="273"/>
      <c r="T3844" s="273"/>
      <c r="U3844" s="274"/>
      <c r="V3844" s="263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</row>
    <row r="3845">
      <c r="A3845" s="263"/>
      <c r="B3845" s="264"/>
      <c r="C3845" s="265"/>
      <c r="D3845" s="265"/>
      <c r="E3845" s="264"/>
      <c r="F3845" s="265"/>
      <c r="G3845" s="263"/>
      <c r="H3845" s="432"/>
      <c r="I3845" s="282"/>
      <c r="J3845" s="283"/>
      <c r="K3845" s="265"/>
      <c r="L3845" s="265"/>
      <c r="M3845" s="269"/>
      <c r="N3845" s="270"/>
      <c r="O3845" s="271"/>
      <c r="P3845" s="271"/>
      <c r="Q3845" s="272"/>
      <c r="R3845" s="273"/>
      <c r="S3845" s="273"/>
      <c r="T3845" s="273"/>
      <c r="U3845" s="274"/>
      <c r="V3845" s="263"/>
      <c r="W3845" s="35"/>
      <c r="X3845" s="35"/>
      <c r="Y3845" s="35"/>
      <c r="Z3845" s="35"/>
      <c r="AA3845" s="35"/>
      <c r="AB3845" s="35"/>
      <c r="AC3845" s="35"/>
      <c r="AD3845" s="35"/>
      <c r="AE3845" s="35"/>
      <c r="AF3845" s="35"/>
      <c r="AG3845" s="35"/>
      <c r="AH3845" s="35"/>
      <c r="AI3845" s="35"/>
    </row>
    <row r="3846">
      <c r="A3846" s="263"/>
      <c r="B3846" s="264"/>
      <c r="C3846" s="265"/>
      <c r="D3846" s="265"/>
      <c r="E3846" s="264"/>
      <c r="F3846" s="265"/>
      <c r="G3846" s="263"/>
      <c r="H3846" s="432"/>
      <c r="I3846" s="282"/>
      <c r="J3846" s="283"/>
      <c r="K3846" s="265"/>
      <c r="L3846" s="265"/>
      <c r="M3846" s="269"/>
      <c r="N3846" s="270"/>
      <c r="O3846" s="271"/>
      <c r="P3846" s="271"/>
      <c r="Q3846" s="272"/>
      <c r="R3846" s="273"/>
      <c r="S3846" s="273"/>
      <c r="T3846" s="273"/>
      <c r="U3846" s="274"/>
      <c r="V3846" s="263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</row>
    <row r="3847">
      <c r="A3847" s="263"/>
      <c r="B3847" s="264"/>
      <c r="C3847" s="265"/>
      <c r="D3847" s="265"/>
      <c r="E3847" s="264"/>
      <c r="F3847" s="265"/>
      <c r="G3847" s="263"/>
      <c r="H3847" s="432"/>
      <c r="I3847" s="282"/>
      <c r="J3847" s="283"/>
      <c r="K3847" s="265"/>
      <c r="L3847" s="265"/>
      <c r="M3847" s="269"/>
      <c r="N3847" s="270"/>
      <c r="O3847" s="271"/>
      <c r="P3847" s="271"/>
      <c r="Q3847" s="272"/>
      <c r="R3847" s="273"/>
      <c r="S3847" s="273"/>
      <c r="T3847" s="273"/>
      <c r="U3847" s="274"/>
      <c r="V3847" s="263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</row>
    <row r="3848">
      <c r="A3848" s="263"/>
      <c r="B3848" s="264"/>
      <c r="C3848" s="265"/>
      <c r="D3848" s="265"/>
      <c r="E3848" s="264"/>
      <c r="F3848" s="265"/>
      <c r="G3848" s="263"/>
      <c r="H3848" s="432"/>
      <c r="I3848" s="282"/>
      <c r="J3848" s="283"/>
      <c r="K3848" s="265"/>
      <c r="L3848" s="265"/>
      <c r="M3848" s="269"/>
      <c r="N3848" s="270"/>
      <c r="O3848" s="271"/>
      <c r="P3848" s="271"/>
      <c r="Q3848" s="272"/>
      <c r="R3848" s="273"/>
      <c r="S3848" s="273"/>
      <c r="T3848" s="260"/>
      <c r="U3848" s="261"/>
      <c r="V3848" s="251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</row>
    <row r="3849">
      <c r="A3849" s="263"/>
      <c r="B3849" s="264"/>
      <c r="C3849" s="265"/>
      <c r="D3849" s="265"/>
      <c r="E3849" s="264"/>
      <c r="F3849" s="265"/>
      <c r="G3849" s="263"/>
      <c r="H3849" s="432"/>
      <c r="I3849" s="282"/>
      <c r="J3849" s="283"/>
      <c r="K3849" s="265"/>
      <c r="L3849" s="265"/>
      <c r="M3849" s="269"/>
      <c r="N3849" s="270"/>
      <c r="O3849" s="271"/>
      <c r="P3849" s="271"/>
      <c r="Q3849" s="272"/>
      <c r="R3849" s="273"/>
      <c r="S3849" s="273"/>
      <c r="T3849" s="273"/>
      <c r="U3849" s="274"/>
      <c r="V3849" s="263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</row>
    <row r="3850">
      <c r="A3850" s="263"/>
      <c r="B3850" s="264"/>
      <c r="C3850" s="265"/>
      <c r="D3850" s="265"/>
      <c r="E3850" s="264"/>
      <c r="F3850" s="265"/>
      <c r="G3850" s="263"/>
      <c r="H3850" s="432"/>
      <c r="I3850" s="282"/>
      <c r="J3850" s="283"/>
      <c r="K3850" s="265"/>
      <c r="L3850" s="265"/>
      <c r="M3850" s="269"/>
      <c r="N3850" s="270"/>
      <c r="O3850" s="271"/>
      <c r="P3850" s="271"/>
      <c r="Q3850" s="272"/>
      <c r="R3850" s="273"/>
      <c r="S3850" s="273"/>
      <c r="T3850" s="273"/>
      <c r="U3850" s="274"/>
      <c r="V3850" s="263"/>
      <c r="W3850" s="35"/>
      <c r="X3850" s="35"/>
      <c r="Y3850" s="35"/>
      <c r="Z3850" s="35"/>
      <c r="AA3850" s="35"/>
      <c r="AB3850" s="35"/>
      <c r="AC3850" s="35"/>
      <c r="AD3850" s="35"/>
      <c r="AE3850" s="35"/>
      <c r="AF3850" s="35"/>
      <c r="AG3850" s="35"/>
      <c r="AH3850" s="35"/>
      <c r="AI3850" s="35"/>
    </row>
    <row r="3851">
      <c r="A3851" s="263"/>
      <c r="B3851" s="264"/>
      <c r="C3851" s="265"/>
      <c r="D3851" s="265"/>
      <c r="E3851" s="264"/>
      <c r="F3851" s="265"/>
      <c r="G3851" s="263"/>
      <c r="H3851" s="432"/>
      <c r="I3851" s="282"/>
      <c r="J3851" s="283"/>
      <c r="K3851" s="265"/>
      <c r="L3851" s="265"/>
      <c r="M3851" s="269"/>
      <c r="N3851" s="270"/>
      <c r="O3851" s="271"/>
      <c r="P3851" s="271"/>
      <c r="Q3851" s="272"/>
      <c r="R3851" s="273"/>
      <c r="S3851" s="273"/>
      <c r="T3851" s="273"/>
      <c r="U3851" s="274"/>
      <c r="V3851" s="263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</row>
    <row r="3852">
      <c r="A3852" s="251"/>
      <c r="B3852" s="252"/>
      <c r="C3852" s="253"/>
      <c r="D3852" s="253"/>
      <c r="E3852" s="252"/>
      <c r="F3852" s="253"/>
      <c r="G3852" s="251"/>
      <c r="H3852" s="433"/>
      <c r="I3852" s="278"/>
      <c r="J3852" s="257"/>
      <c r="K3852" s="253"/>
      <c r="L3852" s="253"/>
      <c r="M3852" s="252"/>
      <c r="N3852" s="258"/>
      <c r="O3852" s="259"/>
      <c r="P3852" s="259"/>
      <c r="Q3852" s="262"/>
      <c r="R3852" s="260"/>
      <c r="S3852" s="260"/>
      <c r="T3852" s="260"/>
      <c r="U3852" s="261"/>
      <c r="V3852" s="251"/>
      <c r="W3852" s="188"/>
      <c r="X3852" s="188"/>
      <c r="Y3852" s="188"/>
      <c r="Z3852" s="188"/>
      <c r="AA3852" s="188"/>
      <c r="AB3852" s="188"/>
      <c r="AC3852" s="188"/>
      <c r="AD3852" s="188"/>
      <c r="AE3852" s="188"/>
      <c r="AF3852" s="188"/>
      <c r="AG3852" s="188"/>
      <c r="AH3852" s="188"/>
      <c r="AI3852" s="188"/>
    </row>
    <row r="3853">
      <c r="A3853" s="263"/>
      <c r="B3853" s="264"/>
      <c r="C3853" s="265"/>
      <c r="D3853" s="265"/>
      <c r="E3853" s="264"/>
      <c r="F3853" s="265"/>
      <c r="G3853" s="263"/>
      <c r="H3853" s="432"/>
      <c r="I3853" s="282"/>
      <c r="J3853" s="283"/>
      <c r="K3853" s="265"/>
      <c r="L3853" s="265"/>
      <c r="M3853" s="269"/>
      <c r="N3853" s="270"/>
      <c r="O3853" s="271"/>
      <c r="P3853" s="271"/>
      <c r="Q3853" s="272"/>
      <c r="R3853" s="273"/>
      <c r="S3853" s="273"/>
      <c r="T3853" s="273"/>
      <c r="U3853" s="274"/>
      <c r="V3853" s="263"/>
      <c r="W3853" s="35"/>
      <c r="X3853" s="35"/>
      <c r="Y3853" s="35"/>
      <c r="Z3853" s="35"/>
      <c r="AA3853" s="35"/>
      <c r="AB3853" s="35"/>
      <c r="AC3853" s="35"/>
      <c r="AD3853" s="35"/>
      <c r="AE3853" s="35"/>
      <c r="AF3853" s="35"/>
      <c r="AG3853" s="35"/>
      <c r="AH3853" s="35"/>
      <c r="AI3853" s="35"/>
    </row>
    <row r="3854">
      <c r="A3854" s="263"/>
      <c r="B3854" s="264"/>
      <c r="C3854" s="265"/>
      <c r="D3854" s="265"/>
      <c r="E3854" s="264"/>
      <c r="F3854" s="265"/>
      <c r="G3854" s="263"/>
      <c r="H3854" s="432"/>
      <c r="I3854" s="282"/>
      <c r="J3854" s="283"/>
      <c r="K3854" s="265"/>
      <c r="L3854" s="265"/>
      <c r="M3854" s="269"/>
      <c r="N3854" s="270"/>
      <c r="O3854" s="271"/>
      <c r="P3854" s="271"/>
      <c r="Q3854" s="272"/>
      <c r="R3854" s="273"/>
      <c r="S3854" s="273"/>
      <c r="T3854" s="273"/>
      <c r="U3854" s="274"/>
      <c r="V3854" s="263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</row>
    <row r="3855">
      <c r="A3855" s="263"/>
      <c r="B3855" s="264"/>
      <c r="C3855" s="265"/>
      <c r="D3855" s="265"/>
      <c r="E3855" s="264"/>
      <c r="F3855" s="265"/>
      <c r="G3855" s="263"/>
      <c r="H3855" s="432"/>
      <c r="I3855" s="282"/>
      <c r="J3855" s="283"/>
      <c r="K3855" s="265"/>
      <c r="L3855" s="265"/>
      <c r="M3855" s="269"/>
      <c r="N3855" s="270"/>
      <c r="O3855" s="271"/>
      <c r="P3855" s="271"/>
      <c r="Q3855" s="272"/>
      <c r="R3855" s="273"/>
      <c r="S3855" s="273"/>
      <c r="T3855" s="273"/>
      <c r="U3855" s="274"/>
      <c r="V3855" s="263"/>
      <c r="W3855" s="35"/>
      <c r="X3855" s="35"/>
      <c r="Y3855" s="35"/>
      <c r="Z3855" s="35"/>
      <c r="AA3855" s="35"/>
      <c r="AB3855" s="35"/>
      <c r="AC3855" s="35"/>
      <c r="AD3855" s="35"/>
      <c r="AE3855" s="35"/>
      <c r="AF3855" s="35"/>
      <c r="AG3855" s="35"/>
      <c r="AH3855" s="35"/>
      <c r="AI3855" s="35"/>
    </row>
    <row r="3856">
      <c r="A3856" s="251"/>
      <c r="B3856" s="252"/>
      <c r="C3856" s="253"/>
      <c r="D3856" s="253"/>
      <c r="E3856" s="252"/>
      <c r="F3856" s="253"/>
      <c r="G3856" s="251"/>
      <c r="H3856" s="433"/>
      <c r="I3856" s="278"/>
      <c r="J3856" s="257"/>
      <c r="K3856" s="253"/>
      <c r="L3856" s="253"/>
      <c r="M3856" s="252"/>
      <c r="N3856" s="258"/>
      <c r="O3856" s="259"/>
      <c r="P3856" s="259"/>
      <c r="Q3856" s="262"/>
      <c r="R3856" s="260"/>
      <c r="S3856" s="260"/>
      <c r="T3856" s="260"/>
      <c r="U3856" s="261"/>
      <c r="V3856" s="251"/>
      <c r="W3856" s="36"/>
      <c r="X3856" s="36"/>
      <c r="Y3856" s="36"/>
      <c r="Z3856" s="36"/>
      <c r="AA3856" s="36"/>
      <c r="AB3856" s="36"/>
      <c r="AC3856" s="36"/>
      <c r="AD3856" s="36"/>
      <c r="AE3856" s="36"/>
      <c r="AF3856" s="36"/>
      <c r="AG3856" s="36"/>
      <c r="AH3856" s="36"/>
      <c r="AI3856" s="36"/>
    </row>
    <row r="3857">
      <c r="A3857" s="251"/>
      <c r="B3857" s="252"/>
      <c r="C3857" s="253"/>
      <c r="D3857" s="253"/>
      <c r="E3857" s="252"/>
      <c r="F3857" s="253"/>
      <c r="G3857" s="251"/>
      <c r="H3857" s="433"/>
      <c r="I3857" s="278"/>
      <c r="J3857" s="257"/>
      <c r="K3857" s="253"/>
      <c r="L3857" s="253"/>
      <c r="M3857" s="252"/>
      <c r="N3857" s="258"/>
      <c r="O3857" s="259"/>
      <c r="P3857" s="259"/>
      <c r="Q3857" s="262"/>
      <c r="R3857" s="260"/>
      <c r="S3857" s="260"/>
      <c r="T3857" s="260"/>
      <c r="U3857" s="261"/>
      <c r="V3857" s="251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</row>
    <row r="3858">
      <c r="A3858" s="263"/>
      <c r="B3858" s="264"/>
      <c r="C3858" s="265"/>
      <c r="D3858" s="265"/>
      <c r="E3858" s="264"/>
      <c r="F3858" s="265"/>
      <c r="G3858" s="263"/>
      <c r="H3858" s="432"/>
      <c r="I3858" s="282"/>
      <c r="J3858" s="283"/>
      <c r="K3858" s="265"/>
      <c r="L3858" s="265"/>
      <c r="M3858" s="269"/>
      <c r="N3858" s="270"/>
      <c r="O3858" s="271"/>
      <c r="P3858" s="271"/>
      <c r="Q3858" s="272"/>
      <c r="R3858" s="273"/>
      <c r="S3858" s="273"/>
      <c r="T3858" s="273"/>
      <c r="U3858" s="274"/>
      <c r="V3858" s="263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</row>
    <row r="3859">
      <c r="A3859" s="263"/>
      <c r="B3859" s="264"/>
      <c r="C3859" s="265"/>
      <c r="D3859" s="265"/>
      <c r="E3859" s="264"/>
      <c r="F3859" s="265"/>
      <c r="G3859" s="263"/>
      <c r="H3859" s="432"/>
      <c r="I3859" s="282"/>
      <c r="J3859" s="283"/>
      <c r="K3859" s="265"/>
      <c r="L3859" s="265"/>
      <c r="M3859" s="269"/>
      <c r="N3859" s="270"/>
      <c r="O3859" s="271"/>
      <c r="P3859" s="271"/>
      <c r="Q3859" s="272"/>
      <c r="R3859" s="273"/>
      <c r="S3859" s="273"/>
      <c r="T3859" s="273"/>
      <c r="U3859" s="274"/>
      <c r="V3859" s="263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</row>
    <row r="3860">
      <c r="A3860" s="263"/>
      <c r="B3860" s="264"/>
      <c r="C3860" s="265"/>
      <c r="D3860" s="265"/>
      <c r="E3860" s="264"/>
      <c r="F3860" s="265"/>
      <c r="G3860" s="263"/>
      <c r="H3860" s="432"/>
      <c r="I3860" s="282"/>
      <c r="J3860" s="283"/>
      <c r="K3860" s="265"/>
      <c r="L3860" s="265"/>
      <c r="M3860" s="269"/>
      <c r="N3860" s="270"/>
      <c r="O3860" s="271"/>
      <c r="P3860" s="271"/>
      <c r="Q3860" s="272"/>
      <c r="R3860" s="273"/>
      <c r="S3860" s="273"/>
      <c r="T3860" s="273"/>
      <c r="U3860" s="274"/>
      <c r="V3860" s="263"/>
      <c r="W3860" s="188"/>
      <c r="X3860" s="188"/>
      <c r="Y3860" s="188"/>
      <c r="Z3860" s="188"/>
      <c r="AA3860" s="188"/>
      <c r="AB3860" s="188"/>
      <c r="AC3860" s="188"/>
      <c r="AD3860" s="188"/>
      <c r="AE3860" s="188"/>
      <c r="AF3860" s="188"/>
      <c r="AG3860" s="188"/>
      <c r="AH3860" s="188"/>
      <c r="AI3860" s="188"/>
    </row>
    <row r="3861">
      <c r="A3861" s="263"/>
      <c r="B3861" s="264"/>
      <c r="C3861" s="265"/>
      <c r="D3861" s="265"/>
      <c r="E3861" s="264"/>
      <c r="F3861" s="265"/>
      <c r="G3861" s="263"/>
      <c r="H3861" s="432"/>
      <c r="I3861" s="282"/>
      <c r="J3861" s="283"/>
      <c r="K3861" s="265"/>
      <c r="L3861" s="265"/>
      <c r="M3861" s="269"/>
      <c r="N3861" s="270"/>
      <c r="O3861" s="271"/>
      <c r="P3861" s="271"/>
      <c r="Q3861" s="272"/>
      <c r="R3861" s="273"/>
      <c r="S3861" s="273"/>
      <c r="T3861" s="273"/>
      <c r="U3861" s="274"/>
      <c r="V3861" s="263"/>
      <c r="W3861" s="188"/>
      <c r="X3861" s="188"/>
      <c r="Y3861" s="188"/>
      <c r="Z3861" s="188"/>
      <c r="AA3861" s="188"/>
      <c r="AB3861" s="188"/>
      <c r="AC3861" s="188"/>
      <c r="AD3861" s="188"/>
      <c r="AE3861" s="188"/>
      <c r="AF3861" s="188"/>
      <c r="AG3861" s="188"/>
      <c r="AH3861" s="188"/>
      <c r="AI3861" s="188"/>
    </row>
    <row r="3862">
      <c r="A3862" s="263"/>
      <c r="B3862" s="264"/>
      <c r="C3862" s="265"/>
      <c r="D3862" s="265"/>
      <c r="E3862" s="264"/>
      <c r="F3862" s="265"/>
      <c r="G3862" s="263"/>
      <c r="H3862" s="432"/>
      <c r="I3862" s="282"/>
      <c r="J3862" s="283"/>
      <c r="K3862" s="265"/>
      <c r="L3862" s="265"/>
      <c r="M3862" s="269"/>
      <c r="N3862" s="270"/>
      <c r="O3862" s="271"/>
      <c r="P3862" s="271"/>
      <c r="Q3862" s="272"/>
      <c r="R3862" s="273"/>
      <c r="S3862" s="273"/>
      <c r="T3862" s="273"/>
      <c r="U3862" s="274"/>
      <c r="V3862" s="263"/>
      <c r="W3862" s="188"/>
      <c r="X3862" s="188"/>
      <c r="Y3862" s="188"/>
      <c r="Z3862" s="188"/>
      <c r="AA3862" s="188"/>
      <c r="AB3862" s="188"/>
      <c r="AC3862" s="188"/>
      <c r="AD3862" s="188"/>
      <c r="AE3862" s="188"/>
      <c r="AF3862" s="188"/>
      <c r="AG3862" s="188"/>
      <c r="AH3862" s="188"/>
      <c r="AI3862" s="188"/>
    </row>
    <row r="3863">
      <c r="A3863" s="263"/>
      <c r="B3863" s="264"/>
      <c r="C3863" s="265"/>
      <c r="D3863" s="265"/>
      <c r="E3863" s="264"/>
      <c r="F3863" s="265"/>
      <c r="G3863" s="263"/>
      <c r="H3863" s="432"/>
      <c r="I3863" s="282"/>
      <c r="J3863" s="283"/>
      <c r="K3863" s="265"/>
      <c r="L3863" s="265"/>
      <c r="M3863" s="269"/>
      <c r="N3863" s="270"/>
      <c r="O3863" s="271"/>
      <c r="P3863" s="271"/>
      <c r="Q3863" s="272"/>
      <c r="R3863" s="273"/>
      <c r="S3863" s="273"/>
      <c r="T3863" s="273"/>
      <c r="U3863" s="274"/>
      <c r="V3863" s="263"/>
      <c r="W3863" s="188"/>
      <c r="X3863" s="188"/>
      <c r="Y3863" s="188"/>
      <c r="Z3863" s="188"/>
      <c r="AA3863" s="188"/>
      <c r="AB3863" s="188"/>
      <c r="AC3863" s="188"/>
      <c r="AD3863" s="188"/>
      <c r="AE3863" s="188"/>
      <c r="AF3863" s="188"/>
      <c r="AG3863" s="188"/>
      <c r="AH3863" s="188"/>
      <c r="AI3863" s="188"/>
    </row>
    <row r="3864">
      <c r="A3864" s="263"/>
      <c r="B3864" s="264"/>
      <c r="C3864" s="265"/>
      <c r="D3864" s="265"/>
      <c r="E3864" s="264"/>
      <c r="F3864" s="265"/>
      <c r="G3864" s="263"/>
      <c r="H3864" s="432"/>
      <c r="I3864" s="282"/>
      <c r="J3864" s="283"/>
      <c r="K3864" s="265"/>
      <c r="L3864" s="265"/>
      <c r="M3864" s="269"/>
      <c r="N3864" s="270"/>
      <c r="O3864" s="271"/>
      <c r="P3864" s="271"/>
      <c r="Q3864" s="272"/>
      <c r="R3864" s="273"/>
      <c r="S3864" s="273"/>
      <c r="T3864" s="273"/>
      <c r="U3864" s="274"/>
      <c r="V3864" s="263"/>
      <c r="W3864" s="188"/>
      <c r="X3864" s="188"/>
      <c r="Y3864" s="188"/>
      <c r="Z3864" s="188"/>
      <c r="AA3864" s="188"/>
      <c r="AB3864" s="188"/>
      <c r="AC3864" s="188"/>
      <c r="AD3864" s="188"/>
      <c r="AE3864" s="188"/>
      <c r="AF3864" s="188"/>
      <c r="AG3864" s="188"/>
      <c r="AH3864" s="188"/>
      <c r="AI3864" s="188"/>
    </row>
    <row r="3865">
      <c r="A3865" s="263"/>
      <c r="B3865" s="264"/>
      <c r="C3865" s="265"/>
      <c r="D3865" s="265"/>
      <c r="E3865" s="264"/>
      <c r="F3865" s="265"/>
      <c r="G3865" s="263"/>
      <c r="H3865" s="432"/>
      <c r="I3865" s="282"/>
      <c r="J3865" s="283"/>
      <c r="K3865" s="265"/>
      <c r="L3865" s="265"/>
      <c r="M3865" s="269"/>
      <c r="N3865" s="270"/>
      <c r="O3865" s="271"/>
      <c r="P3865" s="271"/>
      <c r="Q3865" s="272"/>
      <c r="R3865" s="273"/>
      <c r="S3865" s="273"/>
      <c r="T3865" s="273"/>
      <c r="U3865" s="274"/>
      <c r="V3865" s="263"/>
      <c r="W3865" s="188"/>
      <c r="X3865" s="188"/>
      <c r="Y3865" s="188"/>
      <c r="Z3865" s="188"/>
      <c r="AA3865" s="188"/>
      <c r="AB3865" s="188"/>
      <c r="AC3865" s="188"/>
      <c r="AD3865" s="188"/>
      <c r="AE3865" s="188"/>
      <c r="AF3865" s="188"/>
      <c r="AG3865" s="188"/>
      <c r="AH3865" s="188"/>
      <c r="AI3865" s="188"/>
    </row>
    <row r="3866">
      <c r="A3866" s="263"/>
      <c r="B3866" s="264"/>
      <c r="C3866" s="265"/>
      <c r="D3866" s="265"/>
      <c r="E3866" s="264"/>
      <c r="F3866" s="265"/>
      <c r="G3866" s="263"/>
      <c r="H3866" s="432"/>
      <c r="I3866" s="282"/>
      <c r="J3866" s="283"/>
      <c r="K3866" s="265"/>
      <c r="L3866" s="265"/>
      <c r="M3866" s="269"/>
      <c r="N3866" s="270"/>
      <c r="O3866" s="271"/>
      <c r="P3866" s="271"/>
      <c r="Q3866" s="272"/>
      <c r="R3866" s="273"/>
      <c r="S3866" s="273"/>
      <c r="T3866" s="273"/>
      <c r="U3866" s="274"/>
      <c r="V3866" s="263"/>
      <c r="W3866" s="35"/>
      <c r="X3866" s="35"/>
      <c r="Y3866" s="35"/>
      <c r="Z3866" s="35"/>
      <c r="AA3866" s="35"/>
      <c r="AB3866" s="35"/>
      <c r="AC3866" s="35"/>
      <c r="AD3866" s="35"/>
      <c r="AE3866" s="35"/>
      <c r="AF3866" s="35"/>
      <c r="AG3866" s="35"/>
      <c r="AH3866" s="35"/>
      <c r="AI3866" s="35"/>
    </row>
    <row r="3867">
      <c r="A3867" s="263"/>
      <c r="B3867" s="264"/>
      <c r="C3867" s="265"/>
      <c r="D3867" s="265"/>
      <c r="E3867" s="264"/>
      <c r="F3867" s="265"/>
      <c r="G3867" s="263"/>
      <c r="H3867" s="432"/>
      <c r="I3867" s="282"/>
      <c r="J3867" s="283"/>
      <c r="K3867" s="265"/>
      <c r="L3867" s="265"/>
      <c r="M3867" s="269"/>
      <c r="N3867" s="270"/>
      <c r="O3867" s="271"/>
      <c r="P3867" s="271"/>
      <c r="Q3867" s="272"/>
      <c r="R3867" s="273"/>
      <c r="S3867" s="273"/>
      <c r="T3867" s="273"/>
      <c r="U3867" s="274"/>
      <c r="V3867" s="263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</row>
    <row r="3868">
      <c r="A3868" s="263"/>
      <c r="B3868" s="264"/>
      <c r="C3868" s="265"/>
      <c r="D3868" s="265"/>
      <c r="E3868" s="264"/>
      <c r="F3868" s="265"/>
      <c r="G3868" s="263"/>
      <c r="H3868" s="432"/>
      <c r="I3868" s="282"/>
      <c r="J3868" s="283"/>
      <c r="K3868" s="265"/>
      <c r="L3868" s="265"/>
      <c r="M3868" s="269"/>
      <c r="N3868" s="270"/>
      <c r="O3868" s="271"/>
      <c r="P3868" s="271"/>
      <c r="Q3868" s="272"/>
      <c r="R3868" s="273"/>
      <c r="S3868" s="273"/>
      <c r="T3868" s="273"/>
      <c r="U3868" s="274"/>
      <c r="V3868" s="263"/>
      <c r="W3868" s="188"/>
      <c r="X3868" s="188"/>
      <c r="Y3868" s="188"/>
      <c r="Z3868" s="188"/>
      <c r="AA3868" s="188"/>
      <c r="AB3868" s="188"/>
      <c r="AC3868" s="188"/>
      <c r="AD3868" s="188"/>
      <c r="AE3868" s="188"/>
      <c r="AF3868" s="188"/>
      <c r="AG3868" s="188"/>
      <c r="AH3868" s="188"/>
      <c r="AI3868" s="188"/>
    </row>
    <row r="3869">
      <c r="A3869" s="263"/>
      <c r="B3869" s="264"/>
      <c r="C3869" s="265"/>
      <c r="D3869" s="265"/>
      <c r="E3869" s="264"/>
      <c r="F3869" s="265"/>
      <c r="G3869" s="263"/>
      <c r="H3869" s="432"/>
      <c r="I3869" s="282"/>
      <c r="J3869" s="283"/>
      <c r="K3869" s="265"/>
      <c r="L3869" s="265"/>
      <c r="M3869" s="269"/>
      <c r="N3869" s="270"/>
      <c r="O3869" s="271"/>
      <c r="P3869" s="271"/>
      <c r="Q3869" s="272"/>
      <c r="R3869" s="273"/>
      <c r="S3869" s="273"/>
      <c r="T3869" s="273"/>
      <c r="U3869" s="274"/>
      <c r="V3869" s="263"/>
      <c r="W3869" s="188"/>
      <c r="X3869" s="188"/>
      <c r="Y3869" s="188"/>
      <c r="Z3869" s="188"/>
      <c r="AA3869" s="188"/>
      <c r="AB3869" s="188"/>
      <c r="AC3869" s="188"/>
      <c r="AD3869" s="188"/>
      <c r="AE3869" s="188"/>
      <c r="AF3869" s="188"/>
      <c r="AG3869" s="188"/>
      <c r="AH3869" s="188"/>
      <c r="AI3869" s="188"/>
    </row>
    <row r="3870">
      <c r="A3870" s="263"/>
      <c r="B3870" s="264"/>
      <c r="C3870" s="265"/>
      <c r="D3870" s="265"/>
      <c r="E3870" s="264"/>
      <c r="F3870" s="265"/>
      <c r="G3870" s="263"/>
      <c r="H3870" s="432"/>
      <c r="I3870" s="282"/>
      <c r="J3870" s="283"/>
      <c r="K3870" s="265"/>
      <c r="L3870" s="265"/>
      <c r="M3870" s="269"/>
      <c r="N3870" s="270"/>
      <c r="O3870" s="271"/>
      <c r="P3870" s="271"/>
      <c r="Q3870" s="272"/>
      <c r="R3870" s="273"/>
      <c r="S3870" s="273"/>
      <c r="T3870" s="273"/>
      <c r="U3870" s="274"/>
      <c r="V3870" s="263"/>
      <c r="W3870" s="35"/>
      <c r="X3870" s="35"/>
      <c r="Y3870" s="35"/>
      <c r="Z3870" s="35"/>
      <c r="AA3870" s="35"/>
      <c r="AB3870" s="35"/>
      <c r="AC3870" s="35"/>
      <c r="AD3870" s="35"/>
      <c r="AE3870" s="35"/>
      <c r="AF3870" s="35"/>
      <c r="AG3870" s="35"/>
      <c r="AH3870" s="35"/>
      <c r="AI3870" s="35"/>
    </row>
    <row r="3871">
      <c r="A3871" s="263"/>
      <c r="B3871" s="264"/>
      <c r="C3871" s="265"/>
      <c r="D3871" s="265"/>
      <c r="E3871" s="264"/>
      <c r="F3871" s="265"/>
      <c r="G3871" s="263"/>
      <c r="H3871" s="432"/>
      <c r="I3871" s="282"/>
      <c r="J3871" s="283"/>
      <c r="K3871" s="265"/>
      <c r="L3871" s="265"/>
      <c r="M3871" s="269"/>
      <c r="N3871" s="270"/>
      <c r="O3871" s="271"/>
      <c r="P3871" s="271"/>
      <c r="Q3871" s="272"/>
      <c r="R3871" s="273"/>
      <c r="S3871" s="273"/>
      <c r="T3871" s="273"/>
      <c r="U3871" s="274"/>
      <c r="V3871" s="263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</row>
    <row r="3872">
      <c r="A3872" s="434"/>
      <c r="B3872" s="380"/>
      <c r="C3872" s="381"/>
      <c r="D3872" s="381"/>
      <c r="E3872" s="380"/>
      <c r="F3872" s="381"/>
      <c r="G3872" s="434"/>
      <c r="H3872" s="444"/>
      <c r="I3872" s="383"/>
      <c r="J3872" s="384"/>
      <c r="K3872" s="381"/>
      <c r="L3872" s="381"/>
      <c r="M3872" s="385"/>
      <c r="N3872" s="387"/>
      <c r="O3872" s="388"/>
      <c r="P3872" s="388"/>
      <c r="Q3872" s="389"/>
      <c r="R3872" s="390"/>
      <c r="S3872" s="390"/>
      <c r="T3872" s="390"/>
      <c r="U3872" s="391"/>
      <c r="V3872" s="434"/>
      <c r="W3872" s="188"/>
      <c r="X3872" s="188"/>
      <c r="Y3872" s="188"/>
      <c r="Z3872" s="188"/>
      <c r="AA3872" s="188"/>
      <c r="AB3872" s="188"/>
      <c r="AC3872" s="188"/>
      <c r="AD3872" s="188"/>
      <c r="AE3872" s="188"/>
      <c r="AF3872" s="188"/>
      <c r="AG3872" s="188"/>
      <c r="AH3872" s="188"/>
      <c r="AI3872" s="188"/>
    </row>
    <row r="3873">
      <c r="A3873" s="434"/>
      <c r="B3873" s="380"/>
      <c r="C3873" s="381"/>
      <c r="D3873" s="381"/>
      <c r="E3873" s="380"/>
      <c r="F3873" s="381"/>
      <c r="G3873" s="434"/>
      <c r="H3873" s="444"/>
      <c r="I3873" s="383"/>
      <c r="J3873" s="384"/>
      <c r="K3873" s="381"/>
      <c r="L3873" s="381"/>
      <c r="M3873" s="385"/>
      <c r="N3873" s="387"/>
      <c r="O3873" s="388"/>
      <c r="P3873" s="388"/>
      <c r="Q3873" s="389"/>
      <c r="R3873" s="390"/>
      <c r="S3873" s="390"/>
      <c r="T3873" s="390"/>
      <c r="U3873" s="391"/>
      <c r="V3873" s="4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</row>
    <row r="3874">
      <c r="A3874" s="263"/>
      <c r="B3874" s="264"/>
      <c r="C3874" s="265"/>
      <c r="D3874" s="265"/>
      <c r="E3874" s="264"/>
      <c r="F3874" s="265"/>
      <c r="G3874" s="263"/>
      <c r="H3874" s="432"/>
      <c r="I3874" s="282"/>
      <c r="J3874" s="283"/>
      <c r="K3874" s="265"/>
      <c r="L3874" s="265"/>
      <c r="M3874" s="269"/>
      <c r="N3874" s="270"/>
      <c r="O3874" s="271"/>
      <c r="P3874" s="271"/>
      <c r="Q3874" s="272"/>
      <c r="R3874" s="273"/>
      <c r="S3874" s="273"/>
      <c r="T3874" s="273"/>
      <c r="U3874" s="274"/>
      <c r="V3874" s="263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</row>
    <row r="3875">
      <c r="A3875" s="263"/>
      <c r="B3875" s="264"/>
      <c r="C3875" s="265"/>
      <c r="D3875" s="265"/>
      <c r="E3875" s="264"/>
      <c r="F3875" s="265"/>
      <c r="G3875" s="263"/>
      <c r="H3875" s="432"/>
      <c r="I3875" s="282"/>
      <c r="J3875" s="283"/>
      <c r="K3875" s="265"/>
      <c r="L3875" s="265"/>
      <c r="M3875" s="269"/>
      <c r="N3875" s="270"/>
      <c r="O3875" s="271"/>
      <c r="P3875" s="271"/>
      <c r="Q3875" s="272"/>
      <c r="R3875" s="273"/>
      <c r="S3875" s="273"/>
      <c r="T3875" s="273"/>
      <c r="U3875" s="274"/>
      <c r="V3875" s="263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</row>
    <row r="3876">
      <c r="A3876" s="263"/>
      <c r="B3876" s="264"/>
      <c r="C3876" s="265"/>
      <c r="D3876" s="265"/>
      <c r="E3876" s="264"/>
      <c r="F3876" s="265"/>
      <c r="G3876" s="263"/>
      <c r="H3876" s="432"/>
      <c r="I3876" s="282"/>
      <c r="J3876" s="283"/>
      <c r="K3876" s="265"/>
      <c r="L3876" s="265"/>
      <c r="M3876" s="269"/>
      <c r="N3876" s="270"/>
      <c r="O3876" s="271"/>
      <c r="P3876" s="271"/>
      <c r="Q3876" s="272"/>
      <c r="R3876" s="273"/>
      <c r="S3876" s="273"/>
      <c r="T3876" s="273"/>
      <c r="U3876" s="274"/>
      <c r="V3876" s="263"/>
      <c r="W3876" s="35"/>
      <c r="X3876" s="35"/>
      <c r="Y3876" s="35"/>
      <c r="Z3876" s="35"/>
      <c r="AA3876" s="35"/>
      <c r="AB3876" s="35"/>
      <c r="AC3876" s="35"/>
      <c r="AD3876" s="35"/>
      <c r="AE3876" s="35"/>
      <c r="AF3876" s="35"/>
      <c r="AG3876" s="35"/>
      <c r="AH3876" s="35"/>
      <c r="AI3876" s="35"/>
    </row>
    <row r="3877">
      <c r="A3877" s="263"/>
      <c r="B3877" s="264"/>
      <c r="C3877" s="265"/>
      <c r="D3877" s="265"/>
      <c r="E3877" s="264"/>
      <c r="F3877" s="265"/>
      <c r="G3877" s="263"/>
      <c r="H3877" s="432"/>
      <c r="I3877" s="282"/>
      <c r="J3877" s="283"/>
      <c r="K3877" s="265"/>
      <c r="L3877" s="265"/>
      <c r="M3877" s="269"/>
      <c r="N3877" s="270"/>
      <c r="O3877" s="271"/>
      <c r="P3877" s="271"/>
      <c r="Q3877" s="272"/>
      <c r="R3877" s="273"/>
      <c r="S3877" s="273"/>
      <c r="T3877" s="273"/>
      <c r="U3877" s="274"/>
      <c r="V3877" s="263"/>
      <c r="W3877" s="35"/>
      <c r="X3877" s="35"/>
      <c r="Y3877" s="35"/>
      <c r="Z3877" s="35"/>
      <c r="AA3877" s="35"/>
      <c r="AB3877" s="35"/>
      <c r="AC3877" s="35"/>
      <c r="AD3877" s="35"/>
      <c r="AE3877" s="35"/>
      <c r="AF3877" s="35"/>
      <c r="AG3877" s="35"/>
      <c r="AH3877" s="35"/>
      <c r="AI3877" s="35"/>
    </row>
    <row r="3878">
      <c r="A3878" s="263"/>
      <c r="B3878" s="264"/>
      <c r="C3878" s="265"/>
      <c r="D3878" s="265"/>
      <c r="E3878" s="264"/>
      <c r="F3878" s="265"/>
      <c r="G3878" s="263"/>
      <c r="H3878" s="432"/>
      <c r="I3878" s="282"/>
      <c r="J3878" s="283"/>
      <c r="K3878" s="265"/>
      <c r="L3878" s="265"/>
      <c r="M3878" s="269"/>
      <c r="N3878" s="270"/>
      <c r="O3878" s="271"/>
      <c r="P3878" s="271"/>
      <c r="Q3878" s="272"/>
      <c r="R3878" s="273"/>
      <c r="S3878" s="273"/>
      <c r="T3878" s="273"/>
      <c r="U3878" s="274"/>
      <c r="V3878" s="263"/>
      <c r="W3878" s="35"/>
      <c r="X3878" s="35"/>
      <c r="Y3878" s="35"/>
      <c r="Z3878" s="35"/>
      <c r="AA3878" s="35"/>
      <c r="AB3878" s="35"/>
      <c r="AC3878" s="35"/>
      <c r="AD3878" s="35"/>
      <c r="AE3878" s="35"/>
      <c r="AF3878" s="35"/>
      <c r="AG3878" s="35"/>
      <c r="AH3878" s="35"/>
      <c r="AI3878" s="35"/>
    </row>
    <row r="3879">
      <c r="A3879" s="263"/>
      <c r="B3879" s="264"/>
      <c r="C3879" s="265"/>
      <c r="D3879" s="265"/>
      <c r="E3879" s="264"/>
      <c r="F3879" s="265"/>
      <c r="G3879" s="263"/>
      <c r="H3879" s="432"/>
      <c r="I3879" s="282"/>
      <c r="J3879" s="283"/>
      <c r="K3879" s="265"/>
      <c r="L3879" s="265"/>
      <c r="M3879" s="269"/>
      <c r="N3879" s="270"/>
      <c r="O3879" s="271"/>
      <c r="P3879" s="271"/>
      <c r="Q3879" s="272"/>
      <c r="R3879" s="273"/>
      <c r="S3879" s="273"/>
      <c r="T3879" s="273"/>
      <c r="U3879" s="274"/>
      <c r="V3879" s="263"/>
      <c r="W3879" s="35"/>
      <c r="X3879" s="35"/>
      <c r="Y3879" s="35"/>
      <c r="Z3879" s="35"/>
      <c r="AA3879" s="35"/>
      <c r="AB3879" s="35"/>
      <c r="AC3879" s="35"/>
      <c r="AD3879" s="35"/>
      <c r="AE3879" s="35"/>
      <c r="AF3879" s="35"/>
      <c r="AG3879" s="35"/>
      <c r="AH3879" s="35"/>
      <c r="AI3879" s="35"/>
    </row>
    <row r="3880">
      <c r="A3880" s="263"/>
      <c r="B3880" s="264"/>
      <c r="C3880" s="265"/>
      <c r="D3880" s="265"/>
      <c r="E3880" s="264"/>
      <c r="F3880" s="265"/>
      <c r="G3880" s="263"/>
      <c r="H3880" s="432"/>
      <c r="I3880" s="282"/>
      <c r="J3880" s="283"/>
      <c r="K3880" s="265"/>
      <c r="L3880" s="265"/>
      <c r="M3880" s="269"/>
      <c r="N3880" s="270"/>
      <c r="O3880" s="271"/>
      <c r="P3880" s="271"/>
      <c r="Q3880" s="272"/>
      <c r="R3880" s="273"/>
      <c r="S3880" s="273"/>
      <c r="T3880" s="273"/>
      <c r="U3880" s="274"/>
      <c r="V3880" s="263"/>
      <c r="W3880" s="35"/>
      <c r="X3880" s="35"/>
      <c r="Y3880" s="35"/>
      <c r="Z3880" s="35"/>
      <c r="AA3880" s="35"/>
      <c r="AB3880" s="35"/>
      <c r="AC3880" s="35"/>
      <c r="AD3880" s="35"/>
      <c r="AE3880" s="35"/>
      <c r="AF3880" s="35"/>
      <c r="AG3880" s="35"/>
      <c r="AH3880" s="35"/>
      <c r="AI3880" s="35"/>
    </row>
    <row r="3881">
      <c r="A3881" s="263"/>
      <c r="B3881" s="264"/>
      <c r="C3881" s="265"/>
      <c r="D3881" s="265"/>
      <c r="E3881" s="264"/>
      <c r="F3881" s="265"/>
      <c r="G3881" s="263"/>
      <c r="H3881" s="432"/>
      <c r="I3881" s="282"/>
      <c r="J3881" s="283"/>
      <c r="K3881" s="265"/>
      <c r="L3881" s="265"/>
      <c r="M3881" s="269"/>
      <c r="N3881" s="270"/>
      <c r="O3881" s="271"/>
      <c r="P3881" s="271"/>
      <c r="Q3881" s="272"/>
      <c r="R3881" s="273"/>
      <c r="S3881" s="273"/>
      <c r="T3881" s="273"/>
      <c r="U3881" s="274"/>
      <c r="V3881" s="263"/>
      <c r="W3881" s="35"/>
      <c r="X3881" s="35"/>
      <c r="Y3881" s="35"/>
      <c r="Z3881" s="35"/>
      <c r="AA3881" s="35"/>
      <c r="AB3881" s="35"/>
      <c r="AC3881" s="35"/>
      <c r="AD3881" s="35"/>
      <c r="AE3881" s="35"/>
      <c r="AF3881" s="35"/>
      <c r="AG3881" s="35"/>
      <c r="AH3881" s="35"/>
      <c r="AI3881" s="35"/>
    </row>
    <row r="3882">
      <c r="A3882" s="263"/>
      <c r="B3882" s="264"/>
      <c r="C3882" s="265"/>
      <c r="D3882" s="265"/>
      <c r="E3882" s="264"/>
      <c r="F3882" s="265"/>
      <c r="G3882" s="263"/>
      <c r="H3882" s="432"/>
      <c r="I3882" s="282"/>
      <c r="J3882" s="283"/>
      <c r="K3882" s="265"/>
      <c r="L3882" s="265"/>
      <c r="M3882" s="269"/>
      <c r="N3882" s="270"/>
      <c r="O3882" s="271"/>
      <c r="P3882" s="271"/>
      <c r="Q3882" s="272"/>
      <c r="R3882" s="273"/>
      <c r="S3882" s="273"/>
      <c r="T3882" s="273"/>
      <c r="U3882" s="274"/>
      <c r="V3882" s="263"/>
      <c r="W3882" s="35"/>
      <c r="X3882" s="35"/>
      <c r="Y3882" s="35"/>
      <c r="Z3882" s="35"/>
      <c r="AA3882" s="35"/>
      <c r="AB3882" s="35"/>
      <c r="AC3882" s="35"/>
      <c r="AD3882" s="35"/>
      <c r="AE3882" s="35"/>
      <c r="AF3882" s="35"/>
      <c r="AG3882" s="35"/>
      <c r="AH3882" s="35"/>
      <c r="AI3882" s="35"/>
    </row>
    <row r="3883">
      <c r="A3883" s="263"/>
      <c r="B3883" s="264"/>
      <c r="C3883" s="265"/>
      <c r="D3883" s="265"/>
      <c r="E3883" s="264"/>
      <c r="F3883" s="265"/>
      <c r="G3883" s="263"/>
      <c r="H3883" s="432"/>
      <c r="I3883" s="282"/>
      <c r="J3883" s="283"/>
      <c r="K3883" s="265"/>
      <c r="L3883" s="265"/>
      <c r="M3883" s="269"/>
      <c r="N3883" s="270"/>
      <c r="O3883" s="271"/>
      <c r="P3883" s="271"/>
      <c r="Q3883" s="272"/>
      <c r="R3883" s="273"/>
      <c r="S3883" s="273"/>
      <c r="T3883" s="273"/>
      <c r="U3883" s="274"/>
      <c r="V3883" s="263"/>
      <c r="W3883" s="35"/>
      <c r="X3883" s="35"/>
      <c r="Y3883" s="35"/>
      <c r="Z3883" s="35"/>
      <c r="AA3883" s="35"/>
      <c r="AB3883" s="35"/>
      <c r="AC3883" s="35"/>
      <c r="AD3883" s="35"/>
      <c r="AE3883" s="35"/>
      <c r="AF3883" s="35"/>
      <c r="AG3883" s="35"/>
      <c r="AH3883" s="35"/>
      <c r="AI3883" s="35"/>
    </row>
    <row r="3884">
      <c r="A3884" s="263"/>
      <c r="B3884" s="264"/>
      <c r="C3884" s="265"/>
      <c r="D3884" s="265"/>
      <c r="E3884" s="264"/>
      <c r="F3884" s="265"/>
      <c r="G3884" s="263"/>
      <c r="H3884" s="432"/>
      <c r="I3884" s="282"/>
      <c r="J3884" s="283"/>
      <c r="K3884" s="265"/>
      <c r="L3884" s="265"/>
      <c r="M3884" s="269"/>
      <c r="N3884" s="270"/>
      <c r="O3884" s="271"/>
      <c r="P3884" s="271"/>
      <c r="Q3884" s="272"/>
      <c r="R3884" s="273"/>
      <c r="S3884" s="273"/>
      <c r="T3884" s="273"/>
      <c r="U3884" s="274"/>
      <c r="V3884" s="263"/>
      <c r="W3884" s="35"/>
      <c r="X3884" s="35"/>
      <c r="Y3884" s="35"/>
      <c r="Z3884" s="35"/>
      <c r="AA3884" s="35"/>
      <c r="AB3884" s="35"/>
      <c r="AC3884" s="35"/>
      <c r="AD3884" s="35"/>
      <c r="AE3884" s="35"/>
      <c r="AF3884" s="35"/>
      <c r="AG3884" s="35"/>
      <c r="AH3884" s="35"/>
      <c r="AI3884" s="35"/>
    </row>
    <row r="3885">
      <c r="A3885" s="263"/>
      <c r="B3885" s="264"/>
      <c r="C3885" s="265"/>
      <c r="D3885" s="265"/>
      <c r="E3885" s="264"/>
      <c r="F3885" s="265"/>
      <c r="G3885" s="263"/>
      <c r="H3885" s="432"/>
      <c r="I3885" s="282"/>
      <c r="J3885" s="283"/>
      <c r="K3885" s="265"/>
      <c r="L3885" s="265"/>
      <c r="M3885" s="269"/>
      <c r="N3885" s="270"/>
      <c r="O3885" s="271"/>
      <c r="P3885" s="271"/>
      <c r="Q3885" s="272"/>
      <c r="R3885" s="273"/>
      <c r="S3885" s="273"/>
      <c r="T3885" s="273"/>
      <c r="U3885" s="274"/>
      <c r="V3885" s="263"/>
      <c r="W3885" s="35"/>
      <c r="X3885" s="35"/>
      <c r="Y3885" s="35"/>
      <c r="Z3885" s="35"/>
      <c r="AA3885" s="35"/>
      <c r="AB3885" s="35"/>
      <c r="AC3885" s="35"/>
      <c r="AD3885" s="35"/>
      <c r="AE3885" s="35"/>
      <c r="AF3885" s="35"/>
      <c r="AG3885" s="35"/>
      <c r="AH3885" s="35"/>
      <c r="AI3885" s="35"/>
    </row>
    <row r="3886">
      <c r="A3886" s="263"/>
      <c r="B3886" s="264"/>
      <c r="C3886" s="265"/>
      <c r="D3886" s="265"/>
      <c r="E3886" s="264"/>
      <c r="F3886" s="265"/>
      <c r="G3886" s="263"/>
      <c r="H3886" s="432"/>
      <c r="I3886" s="282"/>
      <c r="J3886" s="283"/>
      <c r="K3886" s="265"/>
      <c r="L3886" s="265"/>
      <c r="M3886" s="269"/>
      <c r="N3886" s="270"/>
      <c r="O3886" s="271"/>
      <c r="P3886" s="271"/>
      <c r="Q3886" s="272"/>
      <c r="R3886" s="273"/>
      <c r="S3886" s="273"/>
      <c r="T3886" s="273"/>
      <c r="U3886" s="274"/>
      <c r="V3886" s="263"/>
      <c r="W3886" s="35"/>
      <c r="X3886" s="35"/>
      <c r="Y3886" s="35"/>
      <c r="Z3886" s="35"/>
      <c r="AA3886" s="35"/>
      <c r="AB3886" s="35"/>
      <c r="AC3886" s="35"/>
      <c r="AD3886" s="35"/>
      <c r="AE3886" s="35"/>
      <c r="AF3886" s="35"/>
      <c r="AG3886" s="35"/>
      <c r="AH3886" s="35"/>
      <c r="AI3886" s="35"/>
    </row>
    <row r="3887">
      <c r="A3887" s="263"/>
      <c r="B3887" s="264"/>
      <c r="C3887" s="265"/>
      <c r="D3887" s="265"/>
      <c r="E3887" s="264"/>
      <c r="F3887" s="265"/>
      <c r="G3887" s="263"/>
      <c r="H3887" s="432"/>
      <c r="I3887" s="282"/>
      <c r="J3887" s="283"/>
      <c r="K3887" s="265"/>
      <c r="L3887" s="265"/>
      <c r="M3887" s="269"/>
      <c r="N3887" s="270"/>
      <c r="O3887" s="271"/>
      <c r="P3887" s="271"/>
      <c r="Q3887" s="272"/>
      <c r="R3887" s="273"/>
      <c r="S3887" s="273"/>
      <c r="T3887" s="273"/>
      <c r="U3887" s="274"/>
      <c r="V3887" s="263"/>
      <c r="W3887" s="35"/>
      <c r="X3887" s="35"/>
      <c r="Y3887" s="35"/>
      <c r="Z3887" s="35"/>
      <c r="AA3887" s="35"/>
      <c r="AB3887" s="35"/>
      <c r="AC3887" s="35"/>
      <c r="AD3887" s="35"/>
      <c r="AE3887" s="35"/>
      <c r="AF3887" s="35"/>
      <c r="AG3887" s="35"/>
      <c r="AH3887" s="35"/>
      <c r="AI3887" s="35"/>
    </row>
    <row r="3888">
      <c r="A3888" s="263"/>
      <c r="B3888" s="264"/>
      <c r="C3888" s="265"/>
      <c r="D3888" s="265"/>
      <c r="E3888" s="264"/>
      <c r="F3888" s="265"/>
      <c r="G3888" s="263"/>
      <c r="H3888" s="432"/>
      <c r="I3888" s="282"/>
      <c r="J3888" s="283"/>
      <c r="K3888" s="265"/>
      <c r="L3888" s="265"/>
      <c r="M3888" s="269"/>
      <c r="N3888" s="270"/>
      <c r="O3888" s="271"/>
      <c r="P3888" s="271"/>
      <c r="Q3888" s="272"/>
      <c r="R3888" s="273"/>
      <c r="S3888" s="273"/>
      <c r="T3888" s="273"/>
      <c r="U3888" s="274"/>
      <c r="V3888" s="263"/>
      <c r="W3888" s="35"/>
      <c r="X3888" s="35"/>
      <c r="Y3888" s="35"/>
      <c r="Z3888" s="35"/>
      <c r="AA3888" s="35"/>
      <c r="AB3888" s="35"/>
      <c r="AC3888" s="35"/>
      <c r="AD3888" s="35"/>
      <c r="AE3888" s="35"/>
      <c r="AF3888" s="35"/>
      <c r="AG3888" s="35"/>
      <c r="AH3888" s="35"/>
      <c r="AI3888" s="35"/>
    </row>
    <row r="3889">
      <c r="A3889" s="263"/>
      <c r="B3889" s="264"/>
      <c r="C3889" s="265"/>
      <c r="D3889" s="265"/>
      <c r="E3889" s="264"/>
      <c r="F3889" s="265"/>
      <c r="G3889" s="263"/>
      <c r="H3889" s="432"/>
      <c r="I3889" s="282"/>
      <c r="J3889" s="283"/>
      <c r="K3889" s="265"/>
      <c r="L3889" s="265"/>
      <c r="M3889" s="269"/>
      <c r="N3889" s="270"/>
      <c r="O3889" s="271"/>
      <c r="P3889" s="271"/>
      <c r="Q3889" s="272"/>
      <c r="R3889" s="273"/>
      <c r="S3889" s="273"/>
      <c r="T3889" s="273"/>
      <c r="U3889" s="274"/>
      <c r="V3889" s="263"/>
      <c r="W3889" s="35"/>
      <c r="X3889" s="35"/>
      <c r="Y3889" s="35"/>
      <c r="Z3889" s="35"/>
      <c r="AA3889" s="35"/>
      <c r="AB3889" s="35"/>
      <c r="AC3889" s="35"/>
      <c r="AD3889" s="35"/>
      <c r="AE3889" s="35"/>
      <c r="AF3889" s="35"/>
      <c r="AG3889" s="35"/>
      <c r="AH3889" s="35"/>
      <c r="AI3889" s="35"/>
    </row>
    <row r="3890">
      <c r="A3890" s="263"/>
      <c r="B3890" s="264"/>
      <c r="C3890" s="265"/>
      <c r="D3890" s="265"/>
      <c r="E3890" s="264"/>
      <c r="F3890" s="265"/>
      <c r="G3890" s="263"/>
      <c r="H3890" s="432"/>
      <c r="I3890" s="282"/>
      <c r="J3890" s="283"/>
      <c r="K3890" s="265"/>
      <c r="L3890" s="265"/>
      <c r="M3890" s="269"/>
      <c r="N3890" s="270"/>
      <c r="O3890" s="271"/>
      <c r="P3890" s="271"/>
      <c r="Q3890" s="272"/>
      <c r="R3890" s="273"/>
      <c r="S3890" s="273"/>
      <c r="T3890" s="273"/>
      <c r="U3890" s="274"/>
      <c r="V3890" s="263"/>
      <c r="W3890" s="35"/>
      <c r="X3890" s="35"/>
      <c r="Y3890" s="35"/>
      <c r="Z3890" s="35"/>
      <c r="AA3890" s="35"/>
      <c r="AB3890" s="35"/>
      <c r="AC3890" s="35"/>
      <c r="AD3890" s="35"/>
      <c r="AE3890" s="35"/>
      <c r="AF3890" s="35"/>
      <c r="AG3890" s="35"/>
      <c r="AH3890" s="35"/>
      <c r="AI3890" s="35"/>
    </row>
    <row r="3891">
      <c r="A3891" s="263"/>
      <c r="B3891" s="264"/>
      <c r="C3891" s="265"/>
      <c r="D3891" s="265"/>
      <c r="E3891" s="264"/>
      <c r="F3891" s="265"/>
      <c r="G3891" s="263"/>
      <c r="H3891" s="432"/>
      <c r="I3891" s="282"/>
      <c r="J3891" s="283"/>
      <c r="K3891" s="265"/>
      <c r="L3891" s="265"/>
      <c r="M3891" s="269"/>
      <c r="N3891" s="270"/>
      <c r="O3891" s="271"/>
      <c r="P3891" s="271"/>
      <c r="Q3891" s="272"/>
      <c r="R3891" s="273"/>
      <c r="S3891" s="273"/>
      <c r="T3891" s="273"/>
      <c r="U3891" s="274"/>
      <c r="V3891" s="263"/>
      <c r="W3891" s="35"/>
      <c r="X3891" s="35"/>
      <c r="Y3891" s="35"/>
      <c r="Z3891" s="35"/>
      <c r="AA3891" s="35"/>
      <c r="AB3891" s="35"/>
      <c r="AC3891" s="35"/>
      <c r="AD3891" s="35"/>
      <c r="AE3891" s="35"/>
      <c r="AF3891" s="35"/>
      <c r="AG3891" s="35"/>
      <c r="AH3891" s="35"/>
      <c r="AI3891" s="35"/>
    </row>
    <row r="3892">
      <c r="A3892" s="263"/>
      <c r="B3892" s="264"/>
      <c r="C3892" s="265"/>
      <c r="D3892" s="265"/>
      <c r="E3892" s="264"/>
      <c r="F3892" s="265"/>
      <c r="G3892" s="263"/>
      <c r="H3892" s="432"/>
      <c r="I3892" s="282"/>
      <c r="J3892" s="283"/>
      <c r="K3892" s="265"/>
      <c r="L3892" s="265"/>
      <c r="M3892" s="269"/>
      <c r="N3892" s="270"/>
      <c r="O3892" s="271"/>
      <c r="P3892" s="271"/>
      <c r="Q3892" s="272"/>
      <c r="R3892" s="273"/>
      <c r="S3892" s="273"/>
      <c r="T3892" s="273"/>
      <c r="U3892" s="274"/>
      <c r="V3892" s="263"/>
      <c r="W3892" s="35"/>
      <c r="X3892" s="35"/>
      <c r="Y3892" s="35"/>
      <c r="Z3892" s="35"/>
      <c r="AA3892" s="35"/>
      <c r="AB3892" s="35"/>
      <c r="AC3892" s="35"/>
      <c r="AD3892" s="35"/>
      <c r="AE3892" s="35"/>
      <c r="AF3892" s="35"/>
      <c r="AG3892" s="35"/>
      <c r="AH3892" s="35"/>
      <c r="AI3892" s="35"/>
    </row>
    <row r="3893">
      <c r="A3893" s="263"/>
      <c r="B3893" s="264"/>
      <c r="C3893" s="265"/>
      <c r="D3893" s="265"/>
      <c r="E3893" s="264"/>
      <c r="F3893" s="265"/>
      <c r="G3893" s="263"/>
      <c r="H3893" s="432"/>
      <c r="I3893" s="282"/>
      <c r="J3893" s="283"/>
      <c r="K3893" s="265"/>
      <c r="L3893" s="265"/>
      <c r="M3893" s="269"/>
      <c r="N3893" s="270"/>
      <c r="O3893" s="271"/>
      <c r="P3893" s="271"/>
      <c r="Q3893" s="272"/>
      <c r="R3893" s="273"/>
      <c r="S3893" s="273"/>
      <c r="T3893" s="273"/>
      <c r="U3893" s="274"/>
      <c r="V3893" s="263"/>
      <c r="W3893" s="35"/>
      <c r="X3893" s="35"/>
      <c r="Y3893" s="35"/>
      <c r="Z3893" s="35"/>
      <c r="AA3893" s="35"/>
      <c r="AB3893" s="35"/>
      <c r="AC3893" s="35"/>
      <c r="AD3893" s="35"/>
      <c r="AE3893" s="35"/>
      <c r="AF3893" s="35"/>
      <c r="AG3893" s="35"/>
      <c r="AH3893" s="35"/>
      <c r="AI3893" s="35"/>
    </row>
    <row r="3894">
      <c r="A3894" s="263"/>
      <c r="B3894" s="264"/>
      <c r="C3894" s="265"/>
      <c r="D3894" s="265"/>
      <c r="E3894" s="264"/>
      <c r="F3894" s="265"/>
      <c r="G3894" s="263"/>
      <c r="H3894" s="432"/>
      <c r="I3894" s="282"/>
      <c r="J3894" s="283"/>
      <c r="K3894" s="265"/>
      <c r="L3894" s="265"/>
      <c r="M3894" s="269"/>
      <c r="N3894" s="270"/>
      <c r="O3894" s="271"/>
      <c r="P3894" s="271"/>
      <c r="Q3894" s="272"/>
      <c r="R3894" s="273"/>
      <c r="S3894" s="273"/>
      <c r="T3894" s="273"/>
      <c r="U3894" s="274"/>
      <c r="V3894" s="263"/>
      <c r="W3894" s="35"/>
      <c r="X3894" s="35"/>
      <c r="Y3894" s="35"/>
      <c r="Z3894" s="35"/>
      <c r="AA3894" s="35"/>
      <c r="AB3894" s="35"/>
      <c r="AC3894" s="35"/>
      <c r="AD3894" s="35"/>
      <c r="AE3894" s="35"/>
      <c r="AF3894" s="35"/>
      <c r="AG3894" s="35"/>
      <c r="AH3894" s="35"/>
      <c r="AI3894" s="35"/>
    </row>
    <row r="3895">
      <c r="A3895" s="263"/>
      <c r="B3895" s="264"/>
      <c r="C3895" s="265"/>
      <c r="D3895" s="265"/>
      <c r="E3895" s="264"/>
      <c r="F3895" s="265"/>
      <c r="G3895" s="263"/>
      <c r="H3895" s="432"/>
      <c r="I3895" s="282"/>
      <c r="J3895" s="283"/>
      <c r="K3895" s="265"/>
      <c r="L3895" s="265"/>
      <c r="M3895" s="269"/>
      <c r="N3895" s="270"/>
      <c r="O3895" s="271"/>
      <c r="P3895" s="271"/>
      <c r="Q3895" s="272"/>
      <c r="R3895" s="273"/>
      <c r="S3895" s="273"/>
      <c r="T3895" s="273"/>
      <c r="U3895" s="274"/>
      <c r="V3895" s="263"/>
      <c r="W3895" s="35"/>
      <c r="X3895" s="35"/>
      <c r="Y3895" s="35"/>
      <c r="Z3895" s="35"/>
      <c r="AA3895" s="35"/>
      <c r="AB3895" s="35"/>
      <c r="AC3895" s="35"/>
      <c r="AD3895" s="35"/>
      <c r="AE3895" s="35"/>
      <c r="AF3895" s="35"/>
      <c r="AG3895" s="35"/>
      <c r="AH3895" s="35"/>
      <c r="AI3895" s="35"/>
    </row>
    <row r="3896">
      <c r="A3896" s="263"/>
      <c r="B3896" s="264"/>
      <c r="C3896" s="265"/>
      <c r="D3896" s="265"/>
      <c r="E3896" s="264"/>
      <c r="F3896" s="265"/>
      <c r="G3896" s="263"/>
      <c r="H3896" s="432"/>
      <c r="I3896" s="282"/>
      <c r="J3896" s="283"/>
      <c r="K3896" s="265"/>
      <c r="L3896" s="265"/>
      <c r="M3896" s="269"/>
      <c r="N3896" s="270"/>
      <c r="O3896" s="271"/>
      <c r="P3896" s="271"/>
      <c r="Q3896" s="272"/>
      <c r="R3896" s="273"/>
      <c r="S3896" s="273"/>
      <c r="T3896" s="273"/>
      <c r="U3896" s="274"/>
      <c r="V3896" s="263"/>
      <c r="W3896" s="35"/>
      <c r="X3896" s="35"/>
      <c r="Y3896" s="35"/>
      <c r="Z3896" s="35"/>
      <c r="AA3896" s="35"/>
      <c r="AB3896" s="35"/>
      <c r="AC3896" s="35"/>
      <c r="AD3896" s="35"/>
      <c r="AE3896" s="35"/>
      <c r="AF3896" s="35"/>
      <c r="AG3896" s="35"/>
      <c r="AH3896" s="35"/>
      <c r="AI3896" s="35"/>
    </row>
    <row r="3897">
      <c r="A3897" s="263"/>
      <c r="B3897" s="264"/>
      <c r="C3897" s="265"/>
      <c r="D3897" s="265"/>
      <c r="E3897" s="264"/>
      <c r="F3897" s="265"/>
      <c r="G3897" s="263"/>
      <c r="H3897" s="432"/>
      <c r="I3897" s="282"/>
      <c r="J3897" s="283"/>
      <c r="K3897" s="265"/>
      <c r="L3897" s="265"/>
      <c r="M3897" s="269"/>
      <c r="N3897" s="270"/>
      <c r="O3897" s="271"/>
      <c r="P3897" s="271"/>
      <c r="Q3897" s="272"/>
      <c r="R3897" s="273"/>
      <c r="S3897" s="273"/>
      <c r="T3897" s="273"/>
      <c r="U3897" s="274"/>
      <c r="V3897" s="263"/>
      <c r="W3897" s="35"/>
      <c r="X3897" s="35"/>
      <c r="Y3897" s="35"/>
      <c r="Z3897" s="35"/>
      <c r="AA3897" s="35"/>
      <c r="AB3897" s="35"/>
      <c r="AC3897" s="35"/>
      <c r="AD3897" s="35"/>
      <c r="AE3897" s="35"/>
      <c r="AF3897" s="35"/>
      <c r="AG3897" s="35"/>
      <c r="AH3897" s="35"/>
      <c r="AI3897" s="35"/>
    </row>
    <row r="3898">
      <c r="A3898" s="263"/>
      <c r="B3898" s="264"/>
      <c r="C3898" s="265"/>
      <c r="D3898" s="265"/>
      <c r="E3898" s="264"/>
      <c r="F3898" s="265"/>
      <c r="G3898" s="263"/>
      <c r="H3898" s="432"/>
      <c r="I3898" s="282"/>
      <c r="J3898" s="283"/>
      <c r="K3898" s="265"/>
      <c r="L3898" s="265"/>
      <c r="M3898" s="269"/>
      <c r="N3898" s="270"/>
      <c r="O3898" s="271"/>
      <c r="P3898" s="271"/>
      <c r="Q3898" s="272"/>
      <c r="R3898" s="273"/>
      <c r="S3898" s="273"/>
      <c r="T3898" s="273"/>
      <c r="U3898" s="274"/>
      <c r="V3898" s="263"/>
      <c r="W3898" s="35"/>
      <c r="X3898" s="35"/>
      <c r="Y3898" s="35"/>
      <c r="Z3898" s="35"/>
      <c r="AA3898" s="35"/>
      <c r="AB3898" s="35"/>
      <c r="AC3898" s="35"/>
      <c r="AD3898" s="35"/>
      <c r="AE3898" s="35"/>
      <c r="AF3898" s="35"/>
      <c r="AG3898" s="35"/>
      <c r="AH3898" s="35"/>
      <c r="AI3898" s="35"/>
    </row>
    <row r="3899">
      <c r="A3899" s="263"/>
      <c r="B3899" s="264"/>
      <c r="C3899" s="265"/>
      <c r="D3899" s="265"/>
      <c r="E3899" s="264"/>
      <c r="F3899" s="265"/>
      <c r="G3899" s="263"/>
      <c r="H3899" s="432"/>
      <c r="I3899" s="282"/>
      <c r="J3899" s="283"/>
      <c r="K3899" s="265"/>
      <c r="L3899" s="265"/>
      <c r="M3899" s="269"/>
      <c r="N3899" s="270"/>
      <c r="O3899" s="271"/>
      <c r="P3899" s="271"/>
      <c r="Q3899" s="272"/>
      <c r="R3899" s="273"/>
      <c r="S3899" s="273"/>
      <c r="T3899" s="273"/>
      <c r="U3899" s="274"/>
      <c r="V3899" s="263"/>
      <c r="W3899" s="35"/>
      <c r="X3899" s="35"/>
      <c r="Y3899" s="35"/>
      <c r="Z3899" s="35"/>
      <c r="AA3899" s="35"/>
      <c r="AB3899" s="35"/>
      <c r="AC3899" s="35"/>
      <c r="AD3899" s="35"/>
      <c r="AE3899" s="35"/>
      <c r="AF3899" s="35"/>
      <c r="AG3899" s="35"/>
      <c r="AH3899" s="35"/>
      <c r="AI3899" s="35"/>
    </row>
    <row r="3900">
      <c r="A3900" s="263"/>
      <c r="B3900" s="264"/>
      <c r="C3900" s="265"/>
      <c r="D3900" s="265"/>
      <c r="E3900" s="264"/>
      <c r="F3900" s="265"/>
      <c r="G3900" s="263"/>
      <c r="H3900" s="432"/>
      <c r="I3900" s="282"/>
      <c r="J3900" s="283"/>
      <c r="K3900" s="265"/>
      <c r="L3900" s="265"/>
      <c r="M3900" s="269"/>
      <c r="N3900" s="270"/>
      <c r="O3900" s="271"/>
      <c r="P3900" s="271"/>
      <c r="Q3900" s="272"/>
      <c r="R3900" s="273"/>
      <c r="S3900" s="273"/>
      <c r="T3900" s="273"/>
      <c r="U3900" s="274"/>
      <c r="V3900" s="263"/>
      <c r="W3900" s="35"/>
      <c r="X3900" s="35"/>
      <c r="Y3900" s="35"/>
      <c r="Z3900" s="35"/>
      <c r="AA3900" s="35"/>
      <c r="AB3900" s="35"/>
      <c r="AC3900" s="35"/>
      <c r="AD3900" s="35"/>
      <c r="AE3900" s="35"/>
      <c r="AF3900" s="35"/>
      <c r="AG3900" s="35"/>
      <c r="AH3900" s="35"/>
      <c r="AI3900" s="35"/>
    </row>
    <row r="3901">
      <c r="A3901" s="263"/>
      <c r="B3901" s="264"/>
      <c r="C3901" s="265"/>
      <c r="D3901" s="265"/>
      <c r="E3901" s="264"/>
      <c r="F3901" s="265"/>
      <c r="G3901" s="263"/>
      <c r="H3901" s="432"/>
      <c r="I3901" s="282"/>
      <c r="J3901" s="283"/>
      <c r="K3901" s="265"/>
      <c r="L3901" s="265"/>
      <c r="M3901" s="269"/>
      <c r="N3901" s="270"/>
      <c r="O3901" s="271"/>
      <c r="P3901" s="271"/>
      <c r="Q3901" s="272"/>
      <c r="R3901" s="273"/>
      <c r="S3901" s="273"/>
      <c r="T3901" s="273"/>
      <c r="U3901" s="274"/>
      <c r="V3901" s="263"/>
      <c r="W3901" s="35"/>
      <c r="X3901" s="35"/>
      <c r="Y3901" s="35"/>
      <c r="Z3901" s="35"/>
      <c r="AA3901" s="35"/>
      <c r="AB3901" s="35"/>
      <c r="AC3901" s="35"/>
      <c r="AD3901" s="35"/>
      <c r="AE3901" s="35"/>
      <c r="AF3901" s="35"/>
      <c r="AG3901" s="35"/>
      <c r="AH3901" s="35"/>
      <c r="AI3901" s="35"/>
    </row>
    <row r="3902">
      <c r="A3902" s="263"/>
      <c r="B3902" s="264"/>
      <c r="C3902" s="265"/>
      <c r="D3902" s="265"/>
      <c r="E3902" s="264"/>
      <c r="F3902" s="265"/>
      <c r="G3902" s="263"/>
      <c r="H3902" s="432"/>
      <c r="I3902" s="282"/>
      <c r="J3902" s="283"/>
      <c r="K3902" s="265"/>
      <c r="L3902" s="265"/>
      <c r="M3902" s="269"/>
      <c r="N3902" s="270"/>
      <c r="O3902" s="271"/>
      <c r="P3902" s="271"/>
      <c r="Q3902" s="272"/>
      <c r="R3902" s="273"/>
      <c r="S3902" s="273"/>
      <c r="T3902" s="273"/>
      <c r="U3902" s="274"/>
      <c r="V3902" s="263"/>
      <c r="W3902" s="35"/>
      <c r="X3902" s="35"/>
      <c r="Y3902" s="35"/>
      <c r="Z3902" s="35"/>
      <c r="AA3902" s="35"/>
      <c r="AB3902" s="35"/>
      <c r="AC3902" s="35"/>
      <c r="AD3902" s="35"/>
      <c r="AE3902" s="35"/>
      <c r="AF3902" s="35"/>
      <c r="AG3902" s="35"/>
      <c r="AH3902" s="35"/>
      <c r="AI3902" s="35"/>
    </row>
    <row r="3903">
      <c r="A3903" s="263"/>
      <c r="B3903" s="264"/>
      <c r="C3903" s="265"/>
      <c r="D3903" s="265"/>
      <c r="E3903" s="264"/>
      <c r="F3903" s="265"/>
      <c r="G3903" s="263"/>
      <c r="H3903" s="432"/>
      <c r="I3903" s="282"/>
      <c r="J3903" s="283"/>
      <c r="K3903" s="265"/>
      <c r="L3903" s="265"/>
      <c r="M3903" s="269"/>
      <c r="N3903" s="270"/>
      <c r="O3903" s="271"/>
      <c r="P3903" s="271"/>
      <c r="Q3903" s="272"/>
      <c r="R3903" s="273"/>
      <c r="S3903" s="273"/>
      <c r="T3903" s="273"/>
      <c r="U3903" s="274"/>
      <c r="V3903" s="263"/>
      <c r="W3903" s="35"/>
      <c r="X3903" s="35"/>
      <c r="Y3903" s="35"/>
      <c r="Z3903" s="35"/>
      <c r="AA3903" s="35"/>
      <c r="AB3903" s="35"/>
      <c r="AC3903" s="35"/>
      <c r="AD3903" s="35"/>
      <c r="AE3903" s="35"/>
      <c r="AF3903" s="35"/>
      <c r="AG3903" s="35"/>
      <c r="AH3903" s="35"/>
      <c r="AI3903" s="35"/>
    </row>
    <row r="3904">
      <c r="A3904" s="263"/>
      <c r="B3904" s="264"/>
      <c r="C3904" s="265"/>
      <c r="D3904" s="265"/>
      <c r="E3904" s="264"/>
      <c r="F3904" s="265"/>
      <c r="G3904" s="263"/>
      <c r="H3904" s="432"/>
      <c r="I3904" s="282"/>
      <c r="J3904" s="283"/>
      <c r="K3904" s="265"/>
      <c r="L3904" s="265"/>
      <c r="M3904" s="269"/>
      <c r="N3904" s="270"/>
      <c r="O3904" s="271"/>
      <c r="P3904" s="271"/>
      <c r="Q3904" s="272"/>
      <c r="R3904" s="273"/>
      <c r="S3904" s="273"/>
      <c r="T3904" s="273"/>
      <c r="U3904" s="274"/>
      <c r="V3904" s="263"/>
      <c r="W3904" s="35"/>
      <c r="X3904" s="35"/>
      <c r="Y3904" s="35"/>
      <c r="Z3904" s="35"/>
      <c r="AA3904" s="35"/>
      <c r="AB3904" s="35"/>
      <c r="AC3904" s="35"/>
      <c r="AD3904" s="35"/>
      <c r="AE3904" s="35"/>
      <c r="AF3904" s="35"/>
      <c r="AG3904" s="35"/>
      <c r="AH3904" s="35"/>
      <c r="AI3904" s="35"/>
    </row>
    <row r="3905">
      <c r="A3905" s="263"/>
      <c r="B3905" s="264"/>
      <c r="C3905" s="265"/>
      <c r="D3905" s="265"/>
      <c r="E3905" s="264"/>
      <c r="F3905" s="265"/>
      <c r="G3905" s="263"/>
      <c r="H3905" s="432"/>
      <c r="I3905" s="282"/>
      <c r="J3905" s="283"/>
      <c r="K3905" s="265"/>
      <c r="L3905" s="265"/>
      <c r="M3905" s="269"/>
      <c r="N3905" s="270"/>
      <c r="O3905" s="271"/>
      <c r="P3905" s="271"/>
      <c r="Q3905" s="272"/>
      <c r="R3905" s="273"/>
      <c r="S3905" s="273"/>
      <c r="T3905" s="273"/>
      <c r="U3905" s="274"/>
      <c r="V3905" s="263"/>
      <c r="W3905" s="35"/>
      <c r="X3905" s="35"/>
      <c r="Y3905" s="35"/>
      <c r="Z3905" s="35"/>
      <c r="AA3905" s="35"/>
      <c r="AB3905" s="35"/>
      <c r="AC3905" s="35"/>
      <c r="AD3905" s="35"/>
      <c r="AE3905" s="35"/>
      <c r="AF3905" s="35"/>
      <c r="AG3905" s="35"/>
      <c r="AH3905" s="35"/>
      <c r="AI3905" s="35"/>
    </row>
    <row r="3906">
      <c r="A3906" s="263"/>
      <c r="B3906" s="264"/>
      <c r="C3906" s="265"/>
      <c r="D3906" s="265"/>
      <c r="E3906" s="264"/>
      <c r="F3906" s="265"/>
      <c r="G3906" s="263"/>
      <c r="H3906" s="432"/>
      <c r="I3906" s="282"/>
      <c r="J3906" s="283"/>
      <c r="K3906" s="265"/>
      <c r="L3906" s="265"/>
      <c r="M3906" s="269"/>
      <c r="N3906" s="270"/>
      <c r="O3906" s="271"/>
      <c r="P3906" s="271"/>
      <c r="Q3906" s="272"/>
      <c r="R3906" s="273"/>
      <c r="S3906" s="273"/>
      <c r="T3906" s="273"/>
      <c r="U3906" s="274"/>
      <c r="V3906" s="263"/>
      <c r="W3906" s="35"/>
      <c r="X3906" s="35"/>
      <c r="Y3906" s="35"/>
      <c r="Z3906" s="35"/>
      <c r="AA3906" s="35"/>
      <c r="AB3906" s="35"/>
      <c r="AC3906" s="35"/>
      <c r="AD3906" s="35"/>
      <c r="AE3906" s="35"/>
      <c r="AF3906" s="35"/>
      <c r="AG3906" s="35"/>
      <c r="AH3906" s="35"/>
      <c r="AI3906" s="35"/>
    </row>
    <row r="3907">
      <c r="A3907" s="263"/>
      <c r="B3907" s="264"/>
      <c r="C3907" s="265"/>
      <c r="D3907" s="265"/>
      <c r="E3907" s="264"/>
      <c r="F3907" s="265"/>
      <c r="G3907" s="263"/>
      <c r="H3907" s="432"/>
      <c r="I3907" s="282"/>
      <c r="J3907" s="283"/>
      <c r="K3907" s="265"/>
      <c r="L3907" s="265"/>
      <c r="M3907" s="269"/>
      <c r="N3907" s="270"/>
      <c r="O3907" s="271"/>
      <c r="P3907" s="271"/>
      <c r="Q3907" s="272"/>
      <c r="R3907" s="273"/>
      <c r="S3907" s="273"/>
      <c r="T3907" s="273"/>
      <c r="U3907" s="274"/>
      <c r="V3907" s="263"/>
      <c r="W3907" s="35"/>
      <c r="X3907" s="35"/>
      <c r="Y3907" s="35"/>
      <c r="Z3907" s="35"/>
      <c r="AA3907" s="35"/>
      <c r="AB3907" s="35"/>
      <c r="AC3907" s="35"/>
      <c r="AD3907" s="35"/>
      <c r="AE3907" s="35"/>
      <c r="AF3907" s="35"/>
      <c r="AG3907" s="35"/>
      <c r="AH3907" s="35"/>
      <c r="AI3907" s="35"/>
    </row>
    <row r="3908">
      <c r="A3908" s="263"/>
      <c r="B3908" s="264"/>
      <c r="C3908" s="265"/>
      <c r="D3908" s="265"/>
      <c r="E3908" s="264"/>
      <c r="F3908" s="265"/>
      <c r="G3908" s="263"/>
      <c r="H3908" s="432"/>
      <c r="I3908" s="282"/>
      <c r="J3908" s="283"/>
      <c r="K3908" s="265"/>
      <c r="L3908" s="265"/>
      <c r="M3908" s="269"/>
      <c r="N3908" s="270"/>
      <c r="O3908" s="271"/>
      <c r="P3908" s="271"/>
      <c r="Q3908" s="272"/>
      <c r="R3908" s="273"/>
      <c r="S3908" s="273"/>
      <c r="T3908" s="273"/>
      <c r="U3908" s="274"/>
      <c r="V3908" s="263"/>
      <c r="W3908" s="35"/>
      <c r="X3908" s="35"/>
      <c r="Y3908" s="35"/>
      <c r="Z3908" s="35"/>
      <c r="AA3908" s="35"/>
      <c r="AB3908" s="35"/>
      <c r="AC3908" s="35"/>
      <c r="AD3908" s="35"/>
      <c r="AE3908" s="35"/>
      <c r="AF3908" s="35"/>
      <c r="AG3908" s="35"/>
      <c r="AH3908" s="35"/>
      <c r="AI3908" s="35"/>
    </row>
    <row r="3909">
      <c r="A3909" s="263"/>
      <c r="B3909" s="264"/>
      <c r="C3909" s="265"/>
      <c r="D3909" s="265"/>
      <c r="E3909" s="264"/>
      <c r="F3909" s="265"/>
      <c r="G3909" s="263"/>
      <c r="H3909" s="432"/>
      <c r="I3909" s="282"/>
      <c r="J3909" s="283"/>
      <c r="K3909" s="265"/>
      <c r="L3909" s="265"/>
      <c r="M3909" s="269"/>
      <c r="N3909" s="270"/>
      <c r="O3909" s="271"/>
      <c r="P3909" s="271"/>
      <c r="Q3909" s="272"/>
      <c r="R3909" s="273"/>
      <c r="S3909" s="273"/>
      <c r="T3909" s="273"/>
      <c r="U3909" s="274"/>
      <c r="V3909" s="263"/>
      <c r="W3909" s="35"/>
      <c r="X3909" s="35"/>
      <c r="Y3909" s="35"/>
      <c r="Z3909" s="35"/>
      <c r="AA3909" s="35"/>
      <c r="AB3909" s="35"/>
      <c r="AC3909" s="35"/>
      <c r="AD3909" s="35"/>
      <c r="AE3909" s="35"/>
      <c r="AF3909" s="35"/>
      <c r="AG3909" s="35"/>
      <c r="AH3909" s="35"/>
      <c r="AI3909" s="35"/>
    </row>
    <row r="3910">
      <c r="A3910" s="263"/>
      <c r="B3910" s="264"/>
      <c r="C3910" s="265"/>
      <c r="D3910" s="265"/>
      <c r="E3910" s="264"/>
      <c r="F3910" s="265"/>
      <c r="G3910" s="263"/>
      <c r="H3910" s="432"/>
      <c r="I3910" s="282"/>
      <c r="J3910" s="283"/>
      <c r="K3910" s="265"/>
      <c r="L3910" s="265"/>
      <c r="M3910" s="269"/>
      <c r="N3910" s="270"/>
      <c r="O3910" s="271"/>
      <c r="P3910" s="271"/>
      <c r="Q3910" s="272"/>
      <c r="R3910" s="273"/>
      <c r="S3910" s="273"/>
      <c r="T3910" s="273"/>
      <c r="U3910" s="274"/>
      <c r="V3910" s="263"/>
      <c r="W3910" s="35"/>
      <c r="X3910" s="35"/>
      <c r="Y3910" s="35"/>
      <c r="Z3910" s="35"/>
      <c r="AA3910" s="35"/>
      <c r="AB3910" s="35"/>
      <c r="AC3910" s="35"/>
      <c r="AD3910" s="35"/>
      <c r="AE3910" s="35"/>
      <c r="AF3910" s="35"/>
      <c r="AG3910" s="35"/>
      <c r="AH3910" s="35"/>
      <c r="AI3910" s="35"/>
    </row>
    <row r="3911">
      <c r="A3911" s="263"/>
      <c r="B3911" s="264"/>
      <c r="C3911" s="265"/>
      <c r="D3911" s="265"/>
      <c r="E3911" s="264"/>
      <c r="F3911" s="265"/>
      <c r="G3911" s="263"/>
      <c r="H3911" s="432"/>
      <c r="I3911" s="282"/>
      <c r="J3911" s="283"/>
      <c r="K3911" s="265"/>
      <c r="L3911" s="265"/>
      <c r="M3911" s="269"/>
      <c r="N3911" s="270"/>
      <c r="O3911" s="271"/>
      <c r="P3911" s="271"/>
      <c r="Q3911" s="272"/>
      <c r="R3911" s="273"/>
      <c r="S3911" s="273"/>
      <c r="T3911" s="273"/>
      <c r="U3911" s="274"/>
      <c r="V3911" s="263"/>
      <c r="W3911" s="35"/>
      <c r="X3911" s="35"/>
      <c r="Y3911" s="35"/>
      <c r="Z3911" s="35"/>
      <c r="AA3911" s="35"/>
      <c r="AB3911" s="35"/>
      <c r="AC3911" s="35"/>
      <c r="AD3911" s="35"/>
      <c r="AE3911" s="35"/>
      <c r="AF3911" s="35"/>
      <c r="AG3911" s="35"/>
      <c r="AH3911" s="35"/>
      <c r="AI3911" s="35"/>
    </row>
    <row r="3912">
      <c r="A3912" s="263"/>
      <c r="B3912" s="264"/>
      <c r="C3912" s="265"/>
      <c r="D3912" s="265"/>
      <c r="E3912" s="264"/>
      <c r="F3912" s="265"/>
      <c r="G3912" s="263"/>
      <c r="H3912" s="432"/>
      <c r="I3912" s="282"/>
      <c r="J3912" s="283"/>
      <c r="K3912" s="265"/>
      <c r="L3912" s="265"/>
      <c r="M3912" s="269"/>
      <c r="N3912" s="270"/>
      <c r="O3912" s="271"/>
      <c r="P3912" s="271"/>
      <c r="Q3912" s="272"/>
      <c r="R3912" s="273"/>
      <c r="S3912" s="273"/>
      <c r="T3912" s="273"/>
      <c r="U3912" s="274"/>
      <c r="V3912" s="263"/>
      <c r="W3912" s="35"/>
      <c r="X3912" s="35"/>
      <c r="Y3912" s="35"/>
      <c r="Z3912" s="35"/>
      <c r="AA3912" s="35"/>
      <c r="AB3912" s="35"/>
      <c r="AC3912" s="35"/>
      <c r="AD3912" s="35"/>
      <c r="AE3912" s="35"/>
      <c r="AF3912" s="35"/>
      <c r="AG3912" s="35"/>
      <c r="AH3912" s="35"/>
      <c r="AI3912" s="35"/>
    </row>
    <row r="3913">
      <c r="A3913" s="263"/>
      <c r="B3913" s="264"/>
      <c r="C3913" s="265"/>
      <c r="D3913" s="265"/>
      <c r="E3913" s="264"/>
      <c r="F3913" s="265"/>
      <c r="G3913" s="263"/>
      <c r="H3913" s="432"/>
      <c r="I3913" s="282"/>
      <c r="J3913" s="283"/>
      <c r="K3913" s="265"/>
      <c r="L3913" s="265"/>
      <c r="M3913" s="269"/>
      <c r="N3913" s="270"/>
      <c r="O3913" s="271"/>
      <c r="P3913" s="271"/>
      <c r="Q3913" s="272"/>
      <c r="R3913" s="273"/>
      <c r="S3913" s="273"/>
      <c r="T3913" s="273"/>
      <c r="U3913" s="274"/>
      <c r="V3913" s="263"/>
      <c r="W3913" s="35"/>
      <c r="X3913" s="35"/>
      <c r="Y3913" s="35"/>
      <c r="Z3913" s="35"/>
      <c r="AA3913" s="35"/>
      <c r="AB3913" s="35"/>
      <c r="AC3913" s="35"/>
      <c r="AD3913" s="35"/>
      <c r="AE3913" s="35"/>
      <c r="AF3913" s="35"/>
      <c r="AG3913" s="35"/>
      <c r="AH3913" s="35"/>
      <c r="AI3913" s="35"/>
    </row>
    <row r="3914">
      <c r="A3914" s="263"/>
      <c r="B3914" s="264"/>
      <c r="C3914" s="265"/>
      <c r="D3914" s="265"/>
      <c r="E3914" s="264"/>
      <c r="F3914" s="265"/>
      <c r="G3914" s="263"/>
      <c r="H3914" s="432"/>
      <c r="I3914" s="282"/>
      <c r="J3914" s="283"/>
      <c r="K3914" s="265"/>
      <c r="L3914" s="265"/>
      <c r="M3914" s="269"/>
      <c r="N3914" s="270"/>
      <c r="O3914" s="271"/>
      <c r="P3914" s="271"/>
      <c r="Q3914" s="272"/>
      <c r="R3914" s="273"/>
      <c r="S3914" s="273"/>
      <c r="T3914" s="273"/>
      <c r="U3914" s="274"/>
      <c r="V3914" s="263"/>
      <c r="W3914" s="35"/>
      <c r="X3914" s="35"/>
      <c r="Y3914" s="35"/>
      <c r="Z3914" s="35"/>
      <c r="AA3914" s="35"/>
      <c r="AB3914" s="35"/>
      <c r="AC3914" s="35"/>
      <c r="AD3914" s="35"/>
      <c r="AE3914" s="35"/>
      <c r="AF3914" s="35"/>
      <c r="AG3914" s="35"/>
      <c r="AH3914" s="35"/>
      <c r="AI3914" s="35"/>
    </row>
    <row r="3915">
      <c r="A3915" s="263"/>
      <c r="B3915" s="264"/>
      <c r="C3915" s="265"/>
      <c r="D3915" s="265"/>
      <c r="E3915" s="264"/>
      <c r="F3915" s="265"/>
      <c r="G3915" s="263"/>
      <c r="H3915" s="432"/>
      <c r="I3915" s="282"/>
      <c r="J3915" s="283"/>
      <c r="K3915" s="265"/>
      <c r="L3915" s="265"/>
      <c r="M3915" s="269"/>
      <c r="N3915" s="270"/>
      <c r="O3915" s="271"/>
      <c r="P3915" s="271"/>
      <c r="Q3915" s="272"/>
      <c r="R3915" s="273"/>
      <c r="S3915" s="273"/>
      <c r="T3915" s="273"/>
      <c r="U3915" s="274"/>
      <c r="V3915" s="263"/>
      <c r="W3915" s="35"/>
      <c r="X3915" s="35"/>
      <c r="Y3915" s="35"/>
      <c r="Z3915" s="35"/>
      <c r="AA3915" s="35"/>
      <c r="AB3915" s="35"/>
      <c r="AC3915" s="35"/>
      <c r="AD3915" s="35"/>
      <c r="AE3915" s="35"/>
      <c r="AF3915" s="35"/>
      <c r="AG3915" s="35"/>
      <c r="AH3915" s="35"/>
      <c r="AI3915" s="35"/>
    </row>
    <row r="3916">
      <c r="A3916" s="263"/>
      <c r="B3916" s="264"/>
      <c r="C3916" s="265"/>
      <c r="D3916" s="265"/>
      <c r="E3916" s="264"/>
      <c r="F3916" s="265"/>
      <c r="G3916" s="263"/>
      <c r="H3916" s="432"/>
      <c r="I3916" s="282"/>
      <c r="J3916" s="283"/>
      <c r="K3916" s="265"/>
      <c r="L3916" s="265"/>
      <c r="M3916" s="269"/>
      <c r="N3916" s="270"/>
      <c r="O3916" s="271"/>
      <c r="P3916" s="271"/>
      <c r="Q3916" s="272"/>
      <c r="R3916" s="273"/>
      <c r="S3916" s="273"/>
      <c r="T3916" s="273"/>
      <c r="U3916" s="274"/>
      <c r="V3916" s="263"/>
      <c r="W3916" s="35"/>
      <c r="X3916" s="35"/>
      <c r="Y3916" s="35"/>
      <c r="Z3916" s="35"/>
      <c r="AA3916" s="35"/>
      <c r="AB3916" s="35"/>
      <c r="AC3916" s="35"/>
      <c r="AD3916" s="35"/>
      <c r="AE3916" s="35"/>
      <c r="AF3916" s="35"/>
      <c r="AG3916" s="35"/>
      <c r="AH3916" s="35"/>
      <c r="AI3916" s="35"/>
    </row>
    <row r="3917">
      <c r="A3917" s="263"/>
      <c r="B3917" s="264"/>
      <c r="C3917" s="265"/>
      <c r="D3917" s="265"/>
      <c r="E3917" s="264"/>
      <c r="F3917" s="265"/>
      <c r="G3917" s="263"/>
      <c r="H3917" s="432"/>
      <c r="I3917" s="282"/>
      <c r="J3917" s="283"/>
      <c r="K3917" s="265"/>
      <c r="L3917" s="265"/>
      <c r="M3917" s="269"/>
      <c r="N3917" s="270"/>
      <c r="O3917" s="271"/>
      <c r="P3917" s="271"/>
      <c r="Q3917" s="272"/>
      <c r="R3917" s="273"/>
      <c r="S3917" s="273"/>
      <c r="T3917" s="273"/>
      <c r="U3917" s="274"/>
      <c r="V3917" s="263"/>
      <c r="W3917" s="35"/>
      <c r="X3917" s="35"/>
      <c r="Y3917" s="35"/>
      <c r="Z3917" s="35"/>
      <c r="AA3917" s="35"/>
      <c r="AB3917" s="35"/>
      <c r="AC3917" s="35"/>
      <c r="AD3917" s="35"/>
      <c r="AE3917" s="35"/>
      <c r="AF3917" s="35"/>
      <c r="AG3917" s="35"/>
      <c r="AH3917" s="35"/>
      <c r="AI3917" s="35"/>
    </row>
    <row r="3918">
      <c r="A3918" s="263"/>
      <c r="B3918" s="264"/>
      <c r="C3918" s="265"/>
      <c r="D3918" s="265"/>
      <c r="E3918" s="264"/>
      <c r="F3918" s="265"/>
      <c r="G3918" s="263"/>
      <c r="H3918" s="432"/>
      <c r="I3918" s="282"/>
      <c r="J3918" s="283"/>
      <c r="K3918" s="265"/>
      <c r="L3918" s="265"/>
      <c r="M3918" s="269"/>
      <c r="N3918" s="270"/>
      <c r="O3918" s="271"/>
      <c r="P3918" s="271"/>
      <c r="Q3918" s="272"/>
      <c r="R3918" s="273"/>
      <c r="S3918" s="273"/>
      <c r="T3918" s="273"/>
      <c r="U3918" s="274"/>
      <c r="V3918" s="263"/>
      <c r="W3918" s="35"/>
      <c r="X3918" s="35"/>
      <c r="Y3918" s="35"/>
      <c r="Z3918" s="35"/>
      <c r="AA3918" s="35"/>
      <c r="AB3918" s="35"/>
      <c r="AC3918" s="35"/>
      <c r="AD3918" s="35"/>
      <c r="AE3918" s="35"/>
      <c r="AF3918" s="35"/>
      <c r="AG3918" s="35"/>
      <c r="AH3918" s="35"/>
      <c r="AI3918" s="35"/>
    </row>
    <row r="3919">
      <c r="A3919" s="263"/>
      <c r="B3919" s="264"/>
      <c r="C3919" s="265"/>
      <c r="D3919" s="265"/>
      <c r="E3919" s="264"/>
      <c r="F3919" s="265"/>
      <c r="G3919" s="263"/>
      <c r="H3919" s="432"/>
      <c r="I3919" s="282"/>
      <c r="J3919" s="283"/>
      <c r="K3919" s="265"/>
      <c r="L3919" s="265"/>
      <c r="M3919" s="269"/>
      <c r="N3919" s="270"/>
      <c r="O3919" s="271"/>
      <c r="P3919" s="271"/>
      <c r="Q3919" s="272"/>
      <c r="R3919" s="273"/>
      <c r="S3919" s="273"/>
      <c r="T3919" s="273"/>
      <c r="U3919" s="274"/>
      <c r="V3919" s="263"/>
      <c r="W3919" s="35"/>
      <c r="X3919" s="35"/>
      <c r="Y3919" s="35"/>
      <c r="Z3919" s="35"/>
      <c r="AA3919" s="35"/>
      <c r="AB3919" s="35"/>
      <c r="AC3919" s="35"/>
      <c r="AD3919" s="35"/>
      <c r="AE3919" s="35"/>
      <c r="AF3919" s="35"/>
      <c r="AG3919" s="35"/>
      <c r="AH3919" s="35"/>
      <c r="AI3919" s="35"/>
    </row>
    <row r="3920">
      <c r="A3920" s="263"/>
      <c r="B3920" s="264"/>
      <c r="C3920" s="265"/>
      <c r="D3920" s="265"/>
      <c r="E3920" s="264"/>
      <c r="F3920" s="265"/>
      <c r="G3920" s="263"/>
      <c r="H3920" s="432"/>
      <c r="I3920" s="282"/>
      <c r="J3920" s="283"/>
      <c r="K3920" s="265"/>
      <c r="L3920" s="265"/>
      <c r="M3920" s="269"/>
      <c r="N3920" s="270"/>
      <c r="O3920" s="271"/>
      <c r="P3920" s="271"/>
      <c r="Q3920" s="272"/>
      <c r="R3920" s="273"/>
      <c r="S3920" s="273"/>
      <c r="T3920" s="273"/>
      <c r="U3920" s="274"/>
      <c r="V3920" s="263"/>
      <c r="W3920" s="35"/>
      <c r="X3920" s="35"/>
      <c r="Y3920" s="35"/>
      <c r="Z3920" s="35"/>
      <c r="AA3920" s="35"/>
      <c r="AB3920" s="35"/>
      <c r="AC3920" s="35"/>
      <c r="AD3920" s="35"/>
      <c r="AE3920" s="35"/>
      <c r="AF3920" s="35"/>
      <c r="AG3920" s="35"/>
      <c r="AH3920" s="35"/>
      <c r="AI3920" s="35"/>
    </row>
    <row r="3921">
      <c r="A3921" s="263"/>
      <c r="B3921" s="264"/>
      <c r="C3921" s="265"/>
      <c r="D3921" s="265"/>
      <c r="E3921" s="264"/>
      <c r="F3921" s="265"/>
      <c r="G3921" s="263"/>
      <c r="H3921" s="432"/>
      <c r="I3921" s="282"/>
      <c r="J3921" s="283"/>
      <c r="K3921" s="265"/>
      <c r="L3921" s="265"/>
      <c r="M3921" s="269"/>
      <c r="N3921" s="270"/>
      <c r="O3921" s="271"/>
      <c r="P3921" s="271"/>
      <c r="Q3921" s="272"/>
      <c r="R3921" s="273"/>
      <c r="S3921" s="273"/>
      <c r="T3921" s="273"/>
      <c r="U3921" s="274"/>
      <c r="V3921" s="263"/>
      <c r="W3921" s="35"/>
      <c r="X3921" s="35"/>
      <c r="Y3921" s="35"/>
      <c r="Z3921" s="35"/>
      <c r="AA3921" s="35"/>
      <c r="AB3921" s="35"/>
      <c r="AC3921" s="35"/>
      <c r="AD3921" s="35"/>
      <c r="AE3921" s="35"/>
      <c r="AF3921" s="35"/>
      <c r="AG3921" s="35"/>
      <c r="AH3921" s="35"/>
      <c r="AI3921" s="35"/>
    </row>
    <row r="3922">
      <c r="A3922" s="263"/>
      <c r="B3922" s="264"/>
      <c r="C3922" s="265"/>
      <c r="D3922" s="265"/>
      <c r="E3922" s="264"/>
      <c r="F3922" s="265"/>
      <c r="G3922" s="263"/>
      <c r="H3922" s="432"/>
      <c r="I3922" s="282"/>
      <c r="J3922" s="283"/>
      <c r="K3922" s="265"/>
      <c r="L3922" s="265"/>
      <c r="M3922" s="269"/>
      <c r="N3922" s="270"/>
      <c r="O3922" s="271"/>
      <c r="P3922" s="271"/>
      <c r="Q3922" s="272"/>
      <c r="R3922" s="273"/>
      <c r="S3922" s="273"/>
      <c r="T3922" s="273"/>
      <c r="U3922" s="274"/>
      <c r="V3922" s="263"/>
      <c r="W3922" s="35"/>
      <c r="X3922" s="35"/>
      <c r="Y3922" s="35"/>
      <c r="Z3922" s="35"/>
      <c r="AA3922" s="35"/>
      <c r="AB3922" s="35"/>
      <c r="AC3922" s="35"/>
      <c r="AD3922" s="35"/>
      <c r="AE3922" s="35"/>
      <c r="AF3922" s="35"/>
      <c r="AG3922" s="35"/>
      <c r="AH3922" s="35"/>
      <c r="AI3922" s="35"/>
    </row>
    <row r="3923">
      <c r="A3923" s="263"/>
      <c r="B3923" s="264"/>
      <c r="C3923" s="265"/>
      <c r="D3923" s="265"/>
      <c r="E3923" s="264"/>
      <c r="F3923" s="265"/>
      <c r="G3923" s="263"/>
      <c r="H3923" s="432"/>
      <c r="I3923" s="282"/>
      <c r="J3923" s="283"/>
      <c r="K3923" s="265"/>
      <c r="L3923" s="265"/>
      <c r="M3923" s="269"/>
      <c r="N3923" s="270"/>
      <c r="O3923" s="271"/>
      <c r="P3923" s="271"/>
      <c r="Q3923" s="272"/>
      <c r="R3923" s="273"/>
      <c r="S3923" s="273"/>
      <c r="T3923" s="273"/>
      <c r="U3923" s="274"/>
      <c r="V3923" s="263"/>
      <c r="W3923" s="35"/>
      <c r="X3923" s="35"/>
      <c r="Y3923" s="35"/>
      <c r="Z3923" s="35"/>
      <c r="AA3923" s="35"/>
      <c r="AB3923" s="35"/>
      <c r="AC3923" s="35"/>
      <c r="AD3923" s="35"/>
      <c r="AE3923" s="35"/>
      <c r="AF3923" s="35"/>
      <c r="AG3923" s="35"/>
      <c r="AH3923" s="35"/>
      <c r="AI3923" s="35"/>
    </row>
    <row r="3924">
      <c r="A3924" s="263"/>
      <c r="B3924" s="264"/>
      <c r="C3924" s="265"/>
      <c r="D3924" s="265"/>
      <c r="E3924" s="264"/>
      <c r="F3924" s="265"/>
      <c r="G3924" s="263"/>
      <c r="H3924" s="432"/>
      <c r="I3924" s="282"/>
      <c r="J3924" s="283"/>
      <c r="K3924" s="265"/>
      <c r="L3924" s="265"/>
      <c r="M3924" s="269"/>
      <c r="N3924" s="270"/>
      <c r="O3924" s="271"/>
      <c r="P3924" s="271"/>
      <c r="Q3924" s="272"/>
      <c r="R3924" s="273"/>
      <c r="S3924" s="273"/>
      <c r="T3924" s="273"/>
      <c r="U3924" s="274"/>
      <c r="V3924" s="263"/>
      <c r="W3924" s="35"/>
      <c r="X3924" s="35"/>
      <c r="Y3924" s="35"/>
      <c r="Z3924" s="35"/>
      <c r="AA3924" s="35"/>
      <c r="AB3924" s="35"/>
      <c r="AC3924" s="35"/>
      <c r="AD3924" s="35"/>
      <c r="AE3924" s="35"/>
      <c r="AF3924" s="35"/>
      <c r="AG3924" s="35"/>
      <c r="AH3924" s="35"/>
      <c r="AI3924" s="35"/>
    </row>
    <row r="3925">
      <c r="A3925" s="263"/>
      <c r="B3925" s="264"/>
      <c r="C3925" s="265"/>
      <c r="D3925" s="265"/>
      <c r="E3925" s="264"/>
      <c r="F3925" s="265"/>
      <c r="G3925" s="263"/>
      <c r="H3925" s="432"/>
      <c r="I3925" s="282"/>
      <c r="J3925" s="283"/>
      <c r="K3925" s="265"/>
      <c r="L3925" s="265"/>
      <c r="M3925" s="269"/>
      <c r="N3925" s="270"/>
      <c r="O3925" s="271"/>
      <c r="P3925" s="271"/>
      <c r="Q3925" s="272"/>
      <c r="R3925" s="273"/>
      <c r="S3925" s="273"/>
      <c r="T3925" s="273"/>
      <c r="U3925" s="274"/>
      <c r="V3925" s="263"/>
      <c r="W3925" s="35"/>
      <c r="X3925" s="35"/>
      <c r="Y3925" s="35"/>
      <c r="Z3925" s="35"/>
      <c r="AA3925" s="35"/>
      <c r="AB3925" s="35"/>
      <c r="AC3925" s="35"/>
      <c r="AD3925" s="35"/>
      <c r="AE3925" s="35"/>
      <c r="AF3925" s="35"/>
      <c r="AG3925" s="35"/>
      <c r="AH3925" s="35"/>
      <c r="AI3925" s="35"/>
    </row>
    <row r="3926">
      <c r="A3926" s="263"/>
      <c r="B3926" s="264"/>
      <c r="C3926" s="265"/>
      <c r="D3926" s="265"/>
      <c r="E3926" s="264"/>
      <c r="F3926" s="265"/>
      <c r="G3926" s="263"/>
      <c r="H3926" s="432"/>
      <c r="I3926" s="282"/>
      <c r="J3926" s="283"/>
      <c r="K3926" s="265"/>
      <c r="L3926" s="265"/>
      <c r="M3926" s="269"/>
      <c r="N3926" s="270"/>
      <c r="O3926" s="271"/>
      <c r="P3926" s="271"/>
      <c r="Q3926" s="272"/>
      <c r="R3926" s="273"/>
      <c r="S3926" s="273"/>
      <c r="T3926" s="273"/>
      <c r="U3926" s="274"/>
      <c r="V3926" s="263"/>
      <c r="W3926" s="35"/>
      <c r="X3926" s="35"/>
      <c r="Y3926" s="35"/>
      <c r="Z3926" s="35"/>
      <c r="AA3926" s="35"/>
      <c r="AB3926" s="35"/>
      <c r="AC3926" s="35"/>
      <c r="AD3926" s="35"/>
      <c r="AE3926" s="35"/>
      <c r="AF3926" s="35"/>
      <c r="AG3926" s="35"/>
      <c r="AH3926" s="35"/>
      <c r="AI3926" s="35"/>
    </row>
    <row r="3927">
      <c r="A3927" s="263"/>
      <c r="B3927" s="264"/>
      <c r="C3927" s="265"/>
      <c r="D3927" s="265"/>
      <c r="E3927" s="264"/>
      <c r="F3927" s="265"/>
      <c r="G3927" s="263"/>
      <c r="H3927" s="432"/>
      <c r="I3927" s="282"/>
      <c r="J3927" s="283"/>
      <c r="K3927" s="265"/>
      <c r="L3927" s="265"/>
      <c r="M3927" s="269"/>
      <c r="N3927" s="270"/>
      <c r="O3927" s="271"/>
      <c r="P3927" s="271"/>
      <c r="Q3927" s="272"/>
      <c r="R3927" s="273"/>
      <c r="S3927" s="273"/>
      <c r="T3927" s="273"/>
      <c r="U3927" s="274"/>
      <c r="V3927" s="263"/>
      <c r="W3927" s="35"/>
      <c r="X3927" s="35"/>
      <c r="Y3927" s="35"/>
      <c r="Z3927" s="35"/>
      <c r="AA3927" s="35"/>
      <c r="AB3927" s="35"/>
      <c r="AC3927" s="35"/>
      <c r="AD3927" s="35"/>
      <c r="AE3927" s="35"/>
      <c r="AF3927" s="35"/>
      <c r="AG3927" s="35"/>
      <c r="AH3927" s="35"/>
      <c r="AI3927" s="35"/>
    </row>
    <row r="3928">
      <c r="A3928" s="263"/>
      <c r="B3928" s="264"/>
      <c r="C3928" s="265"/>
      <c r="D3928" s="265"/>
      <c r="E3928" s="264"/>
      <c r="F3928" s="265"/>
      <c r="G3928" s="263"/>
      <c r="H3928" s="432"/>
      <c r="I3928" s="282"/>
      <c r="J3928" s="283"/>
      <c r="K3928" s="265"/>
      <c r="L3928" s="265"/>
      <c r="M3928" s="269"/>
      <c r="N3928" s="270"/>
      <c r="O3928" s="271"/>
      <c r="P3928" s="271"/>
      <c r="Q3928" s="272"/>
      <c r="R3928" s="273"/>
      <c r="S3928" s="273"/>
      <c r="T3928" s="273"/>
      <c r="U3928" s="274"/>
      <c r="V3928" s="263"/>
      <c r="W3928" s="35"/>
      <c r="X3928" s="35"/>
      <c r="Y3928" s="35"/>
      <c r="Z3928" s="35"/>
      <c r="AA3928" s="35"/>
      <c r="AB3928" s="35"/>
      <c r="AC3928" s="35"/>
      <c r="AD3928" s="35"/>
      <c r="AE3928" s="35"/>
      <c r="AF3928" s="35"/>
      <c r="AG3928" s="35"/>
      <c r="AH3928" s="35"/>
      <c r="AI3928" s="35"/>
    </row>
    <row r="3929">
      <c r="A3929" s="263"/>
      <c r="B3929" s="264"/>
      <c r="C3929" s="265"/>
      <c r="D3929" s="265"/>
      <c r="E3929" s="264"/>
      <c r="F3929" s="265"/>
      <c r="G3929" s="263"/>
      <c r="H3929" s="432"/>
      <c r="I3929" s="282"/>
      <c r="J3929" s="283"/>
      <c r="K3929" s="265"/>
      <c r="L3929" s="265"/>
      <c r="M3929" s="269"/>
      <c r="N3929" s="270"/>
      <c r="O3929" s="271"/>
      <c r="P3929" s="271"/>
      <c r="Q3929" s="272"/>
      <c r="R3929" s="273"/>
      <c r="S3929" s="273"/>
      <c r="T3929" s="273"/>
      <c r="U3929" s="274"/>
      <c r="V3929" s="263"/>
      <c r="W3929" s="35"/>
      <c r="X3929" s="35"/>
      <c r="Y3929" s="35"/>
      <c r="Z3929" s="35"/>
      <c r="AA3929" s="35"/>
      <c r="AB3929" s="35"/>
      <c r="AC3929" s="35"/>
      <c r="AD3929" s="35"/>
      <c r="AE3929" s="35"/>
      <c r="AF3929" s="35"/>
      <c r="AG3929" s="35"/>
      <c r="AH3929" s="35"/>
      <c r="AI3929" s="35"/>
    </row>
    <row r="3930">
      <c r="A3930" s="263"/>
      <c r="B3930" s="264"/>
      <c r="C3930" s="265"/>
      <c r="D3930" s="265"/>
      <c r="E3930" s="264"/>
      <c r="F3930" s="265"/>
      <c r="G3930" s="263"/>
      <c r="H3930" s="432"/>
      <c r="I3930" s="282"/>
      <c r="J3930" s="283"/>
      <c r="K3930" s="265"/>
      <c r="L3930" s="265"/>
      <c r="M3930" s="269"/>
      <c r="N3930" s="270"/>
      <c r="O3930" s="271"/>
      <c r="P3930" s="271"/>
      <c r="Q3930" s="272"/>
      <c r="R3930" s="273"/>
      <c r="S3930" s="273"/>
      <c r="T3930" s="273"/>
      <c r="U3930" s="274"/>
      <c r="V3930" s="263"/>
      <c r="W3930" s="35"/>
      <c r="X3930" s="35"/>
      <c r="Y3930" s="35"/>
      <c r="Z3930" s="35"/>
      <c r="AA3930" s="35"/>
      <c r="AB3930" s="35"/>
      <c r="AC3930" s="35"/>
      <c r="AD3930" s="35"/>
      <c r="AE3930" s="35"/>
      <c r="AF3930" s="35"/>
      <c r="AG3930" s="35"/>
      <c r="AH3930" s="35"/>
      <c r="AI3930" s="35"/>
    </row>
    <row r="3931">
      <c r="A3931" s="263"/>
      <c r="B3931" s="264"/>
      <c r="C3931" s="265"/>
      <c r="D3931" s="265"/>
      <c r="E3931" s="264"/>
      <c r="F3931" s="265"/>
      <c r="G3931" s="263"/>
      <c r="H3931" s="432"/>
      <c r="I3931" s="282"/>
      <c r="J3931" s="283"/>
      <c r="K3931" s="265"/>
      <c r="L3931" s="265"/>
      <c r="M3931" s="269"/>
      <c r="N3931" s="270"/>
      <c r="O3931" s="271"/>
      <c r="P3931" s="271"/>
      <c r="Q3931" s="272"/>
      <c r="R3931" s="273"/>
      <c r="S3931" s="273"/>
      <c r="T3931" s="260"/>
      <c r="U3931" s="261"/>
      <c r="V3931" s="251"/>
      <c r="W3931" s="35"/>
      <c r="X3931" s="35"/>
      <c r="Y3931" s="35"/>
      <c r="Z3931" s="35"/>
      <c r="AA3931" s="35"/>
      <c r="AB3931" s="35"/>
      <c r="AC3931" s="35"/>
      <c r="AD3931" s="35"/>
      <c r="AE3931" s="35"/>
      <c r="AF3931" s="35"/>
      <c r="AG3931" s="35"/>
      <c r="AH3931" s="35"/>
      <c r="AI3931" s="35"/>
    </row>
    <row r="3932">
      <c r="A3932" s="263"/>
      <c r="B3932" s="264"/>
      <c r="C3932" s="265"/>
      <c r="D3932" s="265"/>
      <c r="E3932" s="264"/>
      <c r="F3932" s="265"/>
      <c r="G3932" s="263"/>
      <c r="H3932" s="432"/>
      <c r="I3932" s="282"/>
      <c r="J3932" s="283"/>
      <c r="K3932" s="265"/>
      <c r="L3932" s="265"/>
      <c r="M3932" s="269"/>
      <c r="N3932" s="270"/>
      <c r="O3932" s="271"/>
      <c r="P3932" s="271"/>
      <c r="Q3932" s="272"/>
      <c r="R3932" s="273"/>
      <c r="S3932" s="273"/>
      <c r="T3932" s="273"/>
      <c r="U3932" s="274"/>
      <c r="V3932" s="263"/>
      <c r="W3932" s="35"/>
      <c r="X3932" s="35"/>
      <c r="Y3932" s="35"/>
      <c r="Z3932" s="35"/>
      <c r="AA3932" s="35"/>
      <c r="AB3932" s="35"/>
      <c r="AC3932" s="35"/>
      <c r="AD3932" s="35"/>
      <c r="AE3932" s="35"/>
      <c r="AF3932" s="35"/>
      <c r="AG3932" s="35"/>
      <c r="AH3932" s="35"/>
      <c r="AI3932" s="35"/>
    </row>
    <row r="3933">
      <c r="A3933" s="263"/>
      <c r="B3933" s="264"/>
      <c r="C3933" s="265"/>
      <c r="D3933" s="265"/>
      <c r="E3933" s="264"/>
      <c r="F3933" s="265"/>
      <c r="G3933" s="263"/>
      <c r="H3933" s="432"/>
      <c r="I3933" s="282"/>
      <c r="J3933" s="283"/>
      <c r="K3933" s="265"/>
      <c r="L3933" s="265"/>
      <c r="M3933" s="269"/>
      <c r="N3933" s="270"/>
      <c r="O3933" s="271"/>
      <c r="P3933" s="271"/>
      <c r="Q3933" s="272"/>
      <c r="R3933" s="273"/>
      <c r="S3933" s="273"/>
      <c r="T3933" s="273"/>
      <c r="U3933" s="274"/>
      <c r="V3933" s="263"/>
      <c r="W3933" s="35"/>
      <c r="X3933" s="35"/>
      <c r="Y3933" s="35"/>
      <c r="Z3933" s="35"/>
      <c r="AA3933" s="35"/>
      <c r="AB3933" s="35"/>
      <c r="AC3933" s="35"/>
      <c r="AD3933" s="35"/>
      <c r="AE3933" s="35"/>
      <c r="AF3933" s="35"/>
      <c r="AG3933" s="35"/>
      <c r="AH3933" s="35"/>
      <c r="AI3933" s="35"/>
    </row>
    <row r="3934">
      <c r="A3934" s="263"/>
      <c r="B3934" s="264"/>
      <c r="C3934" s="265"/>
      <c r="D3934" s="265"/>
      <c r="E3934" s="264"/>
      <c r="F3934" s="265"/>
      <c r="G3934" s="263"/>
      <c r="H3934" s="432"/>
      <c r="I3934" s="282"/>
      <c r="J3934" s="283"/>
      <c r="K3934" s="265"/>
      <c r="L3934" s="265"/>
      <c r="M3934" s="269"/>
      <c r="N3934" s="270"/>
      <c r="O3934" s="271"/>
      <c r="P3934" s="271"/>
      <c r="Q3934" s="272"/>
      <c r="R3934" s="273"/>
      <c r="S3934" s="273"/>
      <c r="T3934" s="273"/>
      <c r="U3934" s="274"/>
      <c r="V3934" s="263"/>
      <c r="W3934" s="35"/>
      <c r="X3934" s="35"/>
      <c r="Y3934" s="35"/>
      <c r="Z3934" s="35"/>
      <c r="AA3934" s="35"/>
      <c r="AB3934" s="35"/>
      <c r="AC3934" s="35"/>
      <c r="AD3934" s="35"/>
      <c r="AE3934" s="35"/>
      <c r="AF3934" s="35"/>
      <c r="AG3934" s="35"/>
      <c r="AH3934" s="35"/>
      <c r="AI3934" s="35"/>
    </row>
    <row r="3935">
      <c r="A3935" s="263"/>
      <c r="B3935" s="264"/>
      <c r="C3935" s="265"/>
      <c r="D3935" s="265"/>
      <c r="E3935" s="264"/>
      <c r="F3935" s="265"/>
      <c r="G3935" s="263"/>
      <c r="H3935" s="432"/>
      <c r="I3935" s="282"/>
      <c r="J3935" s="283"/>
      <c r="K3935" s="265"/>
      <c r="L3935" s="265"/>
      <c r="M3935" s="269"/>
      <c r="N3935" s="270"/>
      <c r="O3935" s="271"/>
      <c r="P3935" s="271"/>
      <c r="Q3935" s="272"/>
      <c r="R3935" s="273"/>
      <c r="S3935" s="273"/>
      <c r="T3935" s="273"/>
      <c r="U3935" s="274"/>
      <c r="V3935" s="263"/>
      <c r="W3935" s="35"/>
      <c r="X3935" s="35"/>
      <c r="Y3935" s="35"/>
      <c r="Z3935" s="35"/>
      <c r="AA3935" s="35"/>
      <c r="AB3935" s="35"/>
      <c r="AC3935" s="35"/>
      <c r="AD3935" s="35"/>
      <c r="AE3935" s="35"/>
      <c r="AF3935" s="35"/>
      <c r="AG3935" s="35"/>
      <c r="AH3935" s="35"/>
      <c r="AI3935" s="35"/>
    </row>
    <row r="3936">
      <c r="A3936" s="263"/>
      <c r="B3936" s="264"/>
      <c r="C3936" s="265"/>
      <c r="D3936" s="265"/>
      <c r="E3936" s="264"/>
      <c r="F3936" s="265"/>
      <c r="G3936" s="263"/>
      <c r="H3936" s="432"/>
      <c r="I3936" s="282"/>
      <c r="J3936" s="283"/>
      <c r="K3936" s="265"/>
      <c r="L3936" s="265"/>
      <c r="M3936" s="269"/>
      <c r="N3936" s="270"/>
      <c r="O3936" s="271"/>
      <c r="P3936" s="271"/>
      <c r="Q3936" s="272"/>
      <c r="R3936" s="273"/>
      <c r="S3936" s="273"/>
      <c r="T3936" s="273"/>
      <c r="U3936" s="274"/>
      <c r="V3936" s="263"/>
      <c r="W3936" s="35"/>
      <c r="X3936" s="35"/>
      <c r="Y3936" s="35"/>
      <c r="Z3936" s="35"/>
      <c r="AA3936" s="35"/>
      <c r="AB3936" s="35"/>
      <c r="AC3936" s="35"/>
      <c r="AD3936" s="35"/>
      <c r="AE3936" s="35"/>
      <c r="AF3936" s="35"/>
      <c r="AG3936" s="35"/>
      <c r="AH3936" s="35"/>
      <c r="AI3936" s="35"/>
    </row>
    <row r="3937">
      <c r="A3937" s="263"/>
      <c r="B3937" s="264"/>
      <c r="C3937" s="265"/>
      <c r="D3937" s="265"/>
      <c r="E3937" s="264"/>
      <c r="F3937" s="265"/>
      <c r="G3937" s="263"/>
      <c r="H3937" s="432"/>
      <c r="I3937" s="282"/>
      <c r="J3937" s="283"/>
      <c r="K3937" s="265"/>
      <c r="L3937" s="265"/>
      <c r="M3937" s="269"/>
      <c r="N3937" s="270"/>
      <c r="O3937" s="271"/>
      <c r="P3937" s="271"/>
      <c r="Q3937" s="272"/>
      <c r="R3937" s="273"/>
      <c r="S3937" s="273"/>
      <c r="T3937" s="273"/>
      <c r="U3937" s="274"/>
      <c r="V3937" s="263"/>
      <c r="W3937" s="35"/>
      <c r="X3937" s="35"/>
      <c r="Y3937" s="35"/>
      <c r="Z3937" s="35"/>
      <c r="AA3937" s="35"/>
      <c r="AB3937" s="35"/>
      <c r="AC3937" s="35"/>
      <c r="AD3937" s="35"/>
      <c r="AE3937" s="35"/>
      <c r="AF3937" s="35"/>
      <c r="AG3937" s="35"/>
      <c r="AH3937" s="35"/>
      <c r="AI3937" s="35"/>
    </row>
    <row r="3938">
      <c r="A3938" s="263"/>
      <c r="B3938" s="264"/>
      <c r="C3938" s="265"/>
      <c r="D3938" s="265"/>
      <c r="E3938" s="264"/>
      <c r="F3938" s="265"/>
      <c r="G3938" s="263"/>
      <c r="H3938" s="432"/>
      <c r="I3938" s="282"/>
      <c r="J3938" s="283"/>
      <c r="K3938" s="265"/>
      <c r="L3938" s="265"/>
      <c r="M3938" s="269"/>
      <c r="N3938" s="270"/>
      <c r="O3938" s="271"/>
      <c r="P3938" s="271"/>
      <c r="Q3938" s="272"/>
      <c r="R3938" s="273"/>
      <c r="S3938" s="273"/>
      <c r="T3938" s="273"/>
      <c r="U3938" s="274"/>
      <c r="V3938" s="263"/>
      <c r="W3938" s="35"/>
      <c r="X3938" s="35"/>
      <c r="Y3938" s="35"/>
      <c r="Z3938" s="35"/>
      <c r="AA3938" s="35"/>
      <c r="AB3938" s="35"/>
      <c r="AC3938" s="35"/>
      <c r="AD3938" s="35"/>
      <c r="AE3938" s="35"/>
      <c r="AF3938" s="35"/>
      <c r="AG3938" s="35"/>
      <c r="AH3938" s="35"/>
      <c r="AI3938" s="35"/>
    </row>
    <row r="3939">
      <c r="A3939" s="263"/>
      <c r="B3939" s="264"/>
      <c r="C3939" s="265"/>
      <c r="D3939" s="265"/>
      <c r="E3939" s="264"/>
      <c r="F3939" s="265"/>
      <c r="G3939" s="263"/>
      <c r="H3939" s="432"/>
      <c r="I3939" s="282"/>
      <c r="J3939" s="283"/>
      <c r="K3939" s="265"/>
      <c r="L3939" s="265"/>
      <c r="M3939" s="269"/>
      <c r="N3939" s="270"/>
      <c r="O3939" s="271"/>
      <c r="P3939" s="271"/>
      <c r="Q3939" s="272"/>
      <c r="R3939" s="273"/>
      <c r="S3939" s="273"/>
      <c r="T3939" s="260"/>
      <c r="U3939" s="261"/>
      <c r="V3939" s="251"/>
      <c r="W3939" s="35"/>
      <c r="X3939" s="35"/>
      <c r="Y3939" s="35"/>
      <c r="Z3939" s="35"/>
      <c r="AA3939" s="35"/>
      <c r="AB3939" s="35"/>
      <c r="AC3939" s="35"/>
      <c r="AD3939" s="35"/>
      <c r="AE3939" s="35"/>
      <c r="AF3939" s="35"/>
      <c r="AG3939" s="35"/>
      <c r="AH3939" s="35"/>
      <c r="AI3939" s="35"/>
    </row>
    <row r="3940">
      <c r="A3940" s="263"/>
      <c r="B3940" s="264"/>
      <c r="C3940" s="265"/>
      <c r="D3940" s="265"/>
      <c r="E3940" s="264"/>
      <c r="F3940" s="265"/>
      <c r="G3940" s="263"/>
      <c r="H3940" s="432"/>
      <c r="I3940" s="282"/>
      <c r="J3940" s="283"/>
      <c r="K3940" s="265"/>
      <c r="L3940" s="265"/>
      <c r="M3940" s="269"/>
      <c r="N3940" s="270"/>
      <c r="O3940" s="271"/>
      <c r="P3940" s="271"/>
      <c r="Q3940" s="272"/>
      <c r="R3940" s="273"/>
      <c r="S3940" s="273"/>
      <c r="T3940" s="273"/>
      <c r="U3940" s="274"/>
      <c r="V3940" s="263"/>
      <c r="W3940" s="35"/>
      <c r="X3940" s="35"/>
      <c r="Y3940" s="35"/>
      <c r="Z3940" s="35"/>
      <c r="AA3940" s="35"/>
      <c r="AB3940" s="35"/>
      <c r="AC3940" s="35"/>
      <c r="AD3940" s="35"/>
      <c r="AE3940" s="35"/>
      <c r="AF3940" s="35"/>
      <c r="AG3940" s="35"/>
      <c r="AH3940" s="35"/>
      <c r="AI3940" s="35"/>
    </row>
    <row r="3941">
      <c r="A3941" s="263"/>
      <c r="B3941" s="264"/>
      <c r="C3941" s="265"/>
      <c r="D3941" s="265"/>
      <c r="E3941" s="264"/>
      <c r="F3941" s="265"/>
      <c r="G3941" s="263"/>
      <c r="H3941" s="432"/>
      <c r="I3941" s="282"/>
      <c r="J3941" s="283"/>
      <c r="K3941" s="265"/>
      <c r="L3941" s="265"/>
      <c r="M3941" s="269"/>
      <c r="N3941" s="270"/>
      <c r="O3941" s="271"/>
      <c r="P3941" s="271"/>
      <c r="Q3941" s="272"/>
      <c r="R3941" s="273"/>
      <c r="S3941" s="273"/>
      <c r="T3941" s="273"/>
      <c r="U3941" s="274"/>
      <c r="V3941" s="263"/>
      <c r="W3941" s="35"/>
      <c r="X3941" s="35"/>
      <c r="Y3941" s="35"/>
      <c r="Z3941" s="35"/>
      <c r="AA3941" s="35"/>
      <c r="AB3941" s="35"/>
      <c r="AC3941" s="35"/>
      <c r="AD3941" s="35"/>
      <c r="AE3941" s="35"/>
      <c r="AF3941" s="35"/>
      <c r="AG3941" s="35"/>
      <c r="AH3941" s="35"/>
      <c r="AI3941" s="35"/>
    </row>
    <row r="3942">
      <c r="A3942" s="263"/>
      <c r="B3942" s="264"/>
      <c r="C3942" s="265"/>
      <c r="D3942" s="265"/>
      <c r="E3942" s="264"/>
      <c r="F3942" s="265"/>
      <c r="G3942" s="263"/>
      <c r="H3942" s="432"/>
      <c r="I3942" s="282"/>
      <c r="J3942" s="283"/>
      <c r="K3942" s="265"/>
      <c r="L3942" s="265"/>
      <c r="M3942" s="269"/>
      <c r="N3942" s="270"/>
      <c r="O3942" s="271"/>
      <c r="P3942" s="271"/>
      <c r="Q3942" s="272"/>
      <c r="R3942" s="273"/>
      <c r="S3942" s="273"/>
      <c r="T3942" s="273"/>
      <c r="U3942" s="274"/>
      <c r="V3942" s="263"/>
      <c r="W3942" s="35"/>
      <c r="X3942" s="35"/>
      <c r="Y3942" s="35"/>
      <c r="Z3942" s="35"/>
      <c r="AA3942" s="35"/>
      <c r="AB3942" s="35"/>
      <c r="AC3942" s="35"/>
      <c r="AD3942" s="35"/>
      <c r="AE3942" s="35"/>
      <c r="AF3942" s="35"/>
      <c r="AG3942" s="35"/>
      <c r="AH3942" s="35"/>
      <c r="AI3942" s="35"/>
    </row>
    <row r="3943">
      <c r="A3943" s="263"/>
      <c r="B3943" s="264"/>
      <c r="C3943" s="265"/>
      <c r="D3943" s="265"/>
      <c r="E3943" s="264"/>
      <c r="F3943" s="265"/>
      <c r="G3943" s="263"/>
      <c r="H3943" s="432"/>
      <c r="I3943" s="282"/>
      <c r="J3943" s="283"/>
      <c r="K3943" s="265"/>
      <c r="L3943" s="265"/>
      <c r="M3943" s="269"/>
      <c r="N3943" s="270"/>
      <c r="O3943" s="271"/>
      <c r="P3943" s="271"/>
      <c r="Q3943" s="272"/>
      <c r="R3943" s="273"/>
      <c r="S3943" s="273"/>
      <c r="T3943" s="273"/>
      <c r="U3943" s="274"/>
      <c r="V3943" s="263"/>
      <c r="W3943" s="35"/>
      <c r="X3943" s="35"/>
      <c r="Y3943" s="35"/>
      <c r="Z3943" s="35"/>
      <c r="AA3943" s="35"/>
      <c r="AB3943" s="35"/>
      <c r="AC3943" s="35"/>
      <c r="AD3943" s="35"/>
      <c r="AE3943" s="35"/>
      <c r="AF3943" s="35"/>
      <c r="AG3943" s="35"/>
      <c r="AH3943" s="35"/>
      <c r="AI3943" s="35"/>
    </row>
    <row r="3944">
      <c r="A3944" s="263"/>
      <c r="B3944" s="264"/>
      <c r="C3944" s="265"/>
      <c r="D3944" s="265"/>
      <c r="E3944" s="264"/>
      <c r="F3944" s="265"/>
      <c r="G3944" s="263"/>
      <c r="H3944" s="432"/>
      <c r="I3944" s="282"/>
      <c r="J3944" s="283"/>
      <c r="K3944" s="265"/>
      <c r="L3944" s="265"/>
      <c r="M3944" s="269"/>
      <c r="N3944" s="270"/>
      <c r="O3944" s="271"/>
      <c r="P3944" s="271"/>
      <c r="Q3944" s="272"/>
      <c r="R3944" s="273"/>
      <c r="S3944" s="273"/>
      <c r="T3944" s="273"/>
      <c r="U3944" s="274"/>
      <c r="V3944" s="263"/>
      <c r="W3944" s="35"/>
      <c r="X3944" s="35"/>
      <c r="Y3944" s="35"/>
      <c r="Z3944" s="35"/>
      <c r="AA3944" s="35"/>
      <c r="AB3944" s="35"/>
      <c r="AC3944" s="35"/>
      <c r="AD3944" s="35"/>
      <c r="AE3944" s="35"/>
      <c r="AF3944" s="35"/>
      <c r="AG3944" s="35"/>
      <c r="AH3944" s="35"/>
      <c r="AI3944" s="35"/>
    </row>
    <row r="3945">
      <c r="A3945" s="263"/>
      <c r="B3945" s="264"/>
      <c r="C3945" s="265"/>
      <c r="D3945" s="265"/>
      <c r="E3945" s="264"/>
      <c r="F3945" s="265"/>
      <c r="G3945" s="263"/>
      <c r="H3945" s="432"/>
      <c r="I3945" s="282"/>
      <c r="J3945" s="283"/>
      <c r="K3945" s="265"/>
      <c r="L3945" s="265"/>
      <c r="M3945" s="269"/>
      <c r="N3945" s="270"/>
      <c r="O3945" s="271"/>
      <c r="P3945" s="271"/>
      <c r="Q3945" s="272"/>
      <c r="R3945" s="273"/>
      <c r="S3945" s="273"/>
      <c r="T3945" s="273"/>
      <c r="U3945" s="274"/>
      <c r="V3945" s="263"/>
      <c r="W3945" s="35"/>
      <c r="X3945" s="35"/>
      <c r="Y3945" s="35"/>
      <c r="Z3945" s="35"/>
      <c r="AA3945" s="35"/>
      <c r="AB3945" s="35"/>
      <c r="AC3945" s="35"/>
      <c r="AD3945" s="35"/>
      <c r="AE3945" s="35"/>
      <c r="AF3945" s="35"/>
      <c r="AG3945" s="35"/>
      <c r="AH3945" s="35"/>
      <c r="AI3945" s="35"/>
    </row>
    <row r="3946">
      <c r="A3946" s="263"/>
      <c r="B3946" s="264"/>
      <c r="C3946" s="265"/>
      <c r="D3946" s="265"/>
      <c r="E3946" s="264"/>
      <c r="F3946" s="265"/>
      <c r="G3946" s="263"/>
      <c r="H3946" s="432"/>
      <c r="I3946" s="282"/>
      <c r="J3946" s="283"/>
      <c r="K3946" s="265"/>
      <c r="L3946" s="265"/>
      <c r="M3946" s="269"/>
      <c r="N3946" s="270"/>
      <c r="O3946" s="271"/>
      <c r="P3946" s="271"/>
      <c r="Q3946" s="272"/>
      <c r="R3946" s="273"/>
      <c r="S3946" s="273"/>
      <c r="T3946" s="273"/>
      <c r="U3946" s="274"/>
      <c r="V3946" s="263"/>
      <c r="W3946" s="35"/>
      <c r="X3946" s="35"/>
      <c r="Y3946" s="35"/>
      <c r="Z3946" s="35"/>
      <c r="AA3946" s="35"/>
      <c r="AB3946" s="35"/>
      <c r="AC3946" s="35"/>
      <c r="AD3946" s="35"/>
      <c r="AE3946" s="35"/>
      <c r="AF3946" s="35"/>
      <c r="AG3946" s="35"/>
      <c r="AH3946" s="35"/>
      <c r="AI3946" s="35"/>
    </row>
    <row r="3947">
      <c r="A3947" s="263"/>
      <c r="B3947" s="264"/>
      <c r="C3947" s="265"/>
      <c r="D3947" s="265"/>
      <c r="E3947" s="264"/>
      <c r="F3947" s="265"/>
      <c r="G3947" s="263"/>
      <c r="H3947" s="432"/>
      <c r="I3947" s="282"/>
      <c r="J3947" s="283"/>
      <c r="K3947" s="265"/>
      <c r="L3947" s="265"/>
      <c r="M3947" s="269"/>
      <c r="N3947" s="270"/>
      <c r="O3947" s="271"/>
      <c r="P3947" s="271"/>
      <c r="Q3947" s="272"/>
      <c r="R3947" s="273"/>
      <c r="S3947" s="273"/>
      <c r="T3947" s="273"/>
      <c r="U3947" s="274"/>
      <c r="V3947" s="263"/>
      <c r="W3947" s="35"/>
      <c r="X3947" s="35"/>
      <c r="Y3947" s="35"/>
      <c r="Z3947" s="35"/>
      <c r="AA3947" s="35"/>
      <c r="AB3947" s="35"/>
      <c r="AC3947" s="35"/>
      <c r="AD3947" s="35"/>
      <c r="AE3947" s="35"/>
      <c r="AF3947" s="35"/>
      <c r="AG3947" s="35"/>
      <c r="AH3947" s="35"/>
      <c r="AI3947" s="35"/>
    </row>
    <row r="3948">
      <c r="A3948" s="263"/>
      <c r="B3948" s="264"/>
      <c r="C3948" s="265"/>
      <c r="D3948" s="265"/>
      <c r="E3948" s="264"/>
      <c r="F3948" s="265"/>
      <c r="G3948" s="263"/>
      <c r="H3948" s="432"/>
      <c r="I3948" s="282"/>
      <c r="J3948" s="283"/>
      <c r="K3948" s="265"/>
      <c r="L3948" s="265"/>
      <c r="M3948" s="269"/>
      <c r="N3948" s="270"/>
      <c r="O3948" s="271"/>
      <c r="P3948" s="271"/>
      <c r="Q3948" s="272"/>
      <c r="R3948" s="273"/>
      <c r="S3948" s="273"/>
      <c r="T3948" s="273"/>
      <c r="U3948" s="274"/>
      <c r="V3948" s="263"/>
      <c r="W3948" s="35"/>
      <c r="X3948" s="35"/>
      <c r="Y3948" s="35"/>
      <c r="Z3948" s="35"/>
      <c r="AA3948" s="35"/>
      <c r="AB3948" s="35"/>
      <c r="AC3948" s="35"/>
      <c r="AD3948" s="35"/>
      <c r="AE3948" s="35"/>
      <c r="AF3948" s="35"/>
      <c r="AG3948" s="35"/>
      <c r="AH3948" s="35"/>
      <c r="AI3948" s="35"/>
    </row>
    <row r="3949">
      <c r="A3949" s="263"/>
      <c r="B3949" s="264"/>
      <c r="C3949" s="265"/>
      <c r="D3949" s="265"/>
      <c r="E3949" s="264"/>
      <c r="F3949" s="265"/>
      <c r="G3949" s="263"/>
      <c r="H3949" s="432"/>
      <c r="I3949" s="282"/>
      <c r="J3949" s="283"/>
      <c r="K3949" s="265"/>
      <c r="L3949" s="265"/>
      <c r="M3949" s="269"/>
      <c r="N3949" s="270"/>
      <c r="O3949" s="271"/>
      <c r="P3949" s="271"/>
      <c r="Q3949" s="272"/>
      <c r="R3949" s="273"/>
      <c r="S3949" s="273"/>
      <c r="T3949" s="273"/>
      <c r="U3949" s="274"/>
      <c r="V3949" s="263"/>
      <c r="W3949" s="35"/>
      <c r="X3949" s="35"/>
      <c r="Y3949" s="35"/>
      <c r="Z3949" s="35"/>
      <c r="AA3949" s="35"/>
      <c r="AB3949" s="35"/>
      <c r="AC3949" s="35"/>
      <c r="AD3949" s="35"/>
      <c r="AE3949" s="35"/>
      <c r="AF3949" s="35"/>
      <c r="AG3949" s="35"/>
      <c r="AH3949" s="35"/>
      <c r="AI3949" s="35"/>
    </row>
    <row r="3950">
      <c r="A3950" s="263"/>
      <c r="B3950" s="264"/>
      <c r="C3950" s="265"/>
      <c r="D3950" s="265"/>
      <c r="E3950" s="264"/>
      <c r="F3950" s="265"/>
      <c r="G3950" s="263"/>
      <c r="H3950" s="432"/>
      <c r="I3950" s="282"/>
      <c r="J3950" s="283"/>
      <c r="K3950" s="265"/>
      <c r="L3950" s="265"/>
      <c r="M3950" s="269"/>
      <c r="N3950" s="270"/>
      <c r="O3950" s="271"/>
      <c r="P3950" s="271"/>
      <c r="Q3950" s="272"/>
      <c r="R3950" s="273"/>
      <c r="S3950" s="273"/>
      <c r="T3950" s="273"/>
      <c r="U3950" s="274"/>
      <c r="V3950" s="263"/>
      <c r="W3950" s="35"/>
      <c r="X3950" s="35"/>
      <c r="Y3950" s="35"/>
      <c r="Z3950" s="35"/>
      <c r="AA3950" s="35"/>
      <c r="AB3950" s="35"/>
      <c r="AC3950" s="35"/>
      <c r="AD3950" s="35"/>
      <c r="AE3950" s="35"/>
      <c r="AF3950" s="35"/>
      <c r="AG3950" s="35"/>
      <c r="AH3950" s="35"/>
      <c r="AI3950" s="35"/>
    </row>
    <row r="3951">
      <c r="A3951" s="263"/>
      <c r="B3951" s="264"/>
      <c r="C3951" s="265"/>
      <c r="D3951" s="265"/>
      <c r="E3951" s="264"/>
      <c r="F3951" s="265"/>
      <c r="G3951" s="263"/>
      <c r="H3951" s="432"/>
      <c r="I3951" s="282"/>
      <c r="J3951" s="283"/>
      <c r="K3951" s="265"/>
      <c r="L3951" s="265"/>
      <c r="M3951" s="269"/>
      <c r="N3951" s="270"/>
      <c r="O3951" s="271"/>
      <c r="P3951" s="271"/>
      <c r="Q3951" s="272"/>
      <c r="R3951" s="273"/>
      <c r="S3951" s="273"/>
      <c r="T3951" s="273"/>
      <c r="U3951" s="274"/>
      <c r="V3951" s="263"/>
      <c r="W3951" s="35"/>
      <c r="X3951" s="35"/>
      <c r="Y3951" s="35"/>
      <c r="Z3951" s="35"/>
      <c r="AA3951" s="35"/>
      <c r="AB3951" s="35"/>
      <c r="AC3951" s="35"/>
      <c r="AD3951" s="35"/>
      <c r="AE3951" s="35"/>
      <c r="AF3951" s="35"/>
      <c r="AG3951" s="35"/>
      <c r="AH3951" s="35"/>
      <c r="AI3951" s="35"/>
    </row>
    <row r="3952">
      <c r="A3952" s="263"/>
      <c r="B3952" s="264"/>
      <c r="C3952" s="265"/>
      <c r="D3952" s="265"/>
      <c r="E3952" s="264"/>
      <c r="F3952" s="265"/>
      <c r="G3952" s="263"/>
      <c r="H3952" s="432"/>
      <c r="I3952" s="282"/>
      <c r="J3952" s="283"/>
      <c r="K3952" s="265"/>
      <c r="L3952" s="265"/>
      <c r="M3952" s="269"/>
      <c r="N3952" s="270"/>
      <c r="O3952" s="271"/>
      <c r="P3952" s="271"/>
      <c r="Q3952" s="272"/>
      <c r="R3952" s="273"/>
      <c r="S3952" s="273"/>
      <c r="T3952" s="273"/>
      <c r="U3952" s="274"/>
      <c r="V3952" s="263"/>
      <c r="W3952" s="35"/>
      <c r="X3952" s="35"/>
      <c r="Y3952" s="35"/>
      <c r="Z3952" s="35"/>
      <c r="AA3952" s="35"/>
      <c r="AB3952" s="35"/>
      <c r="AC3952" s="35"/>
      <c r="AD3952" s="35"/>
      <c r="AE3952" s="35"/>
      <c r="AF3952" s="35"/>
      <c r="AG3952" s="35"/>
      <c r="AH3952" s="35"/>
      <c r="AI3952" s="35"/>
    </row>
    <row r="3953">
      <c r="A3953" s="263"/>
      <c r="B3953" s="264"/>
      <c r="C3953" s="265"/>
      <c r="D3953" s="265"/>
      <c r="E3953" s="264"/>
      <c r="F3953" s="265"/>
      <c r="G3953" s="263"/>
      <c r="H3953" s="432"/>
      <c r="I3953" s="282"/>
      <c r="J3953" s="283"/>
      <c r="K3953" s="265"/>
      <c r="L3953" s="265"/>
      <c r="M3953" s="269"/>
      <c r="N3953" s="270"/>
      <c r="O3953" s="271"/>
      <c r="P3953" s="271"/>
      <c r="Q3953" s="272"/>
      <c r="R3953" s="273"/>
      <c r="S3953" s="273"/>
      <c r="T3953" s="273"/>
      <c r="U3953" s="274"/>
      <c r="V3953" s="263"/>
      <c r="W3953" s="35"/>
      <c r="X3953" s="35"/>
      <c r="Y3953" s="35"/>
      <c r="Z3953" s="35"/>
      <c r="AA3953" s="35"/>
      <c r="AB3953" s="35"/>
      <c r="AC3953" s="35"/>
      <c r="AD3953" s="35"/>
      <c r="AE3953" s="35"/>
      <c r="AF3953" s="35"/>
      <c r="AG3953" s="35"/>
      <c r="AH3953" s="35"/>
      <c r="AI3953" s="35"/>
    </row>
    <row r="3954">
      <c r="A3954" s="263"/>
      <c r="B3954" s="264"/>
      <c r="C3954" s="265"/>
      <c r="D3954" s="265"/>
      <c r="E3954" s="264"/>
      <c r="F3954" s="265"/>
      <c r="G3954" s="263"/>
      <c r="H3954" s="432"/>
      <c r="I3954" s="282"/>
      <c r="J3954" s="283"/>
      <c r="K3954" s="265"/>
      <c r="L3954" s="265"/>
      <c r="M3954" s="269"/>
      <c r="N3954" s="270"/>
      <c r="O3954" s="271"/>
      <c r="P3954" s="271"/>
      <c r="Q3954" s="272"/>
      <c r="R3954" s="273"/>
      <c r="S3954" s="273"/>
      <c r="T3954" s="273"/>
      <c r="U3954" s="274"/>
      <c r="V3954" s="263"/>
      <c r="W3954" s="35"/>
      <c r="X3954" s="35"/>
      <c r="Y3954" s="35"/>
      <c r="Z3954" s="35"/>
      <c r="AA3954" s="35"/>
      <c r="AB3954" s="35"/>
      <c r="AC3954" s="35"/>
      <c r="AD3954" s="35"/>
      <c r="AE3954" s="35"/>
      <c r="AF3954" s="35"/>
      <c r="AG3954" s="35"/>
      <c r="AH3954" s="35"/>
      <c r="AI3954" s="35"/>
    </row>
    <row r="3955">
      <c r="A3955" s="263"/>
      <c r="B3955" s="264"/>
      <c r="C3955" s="265"/>
      <c r="D3955" s="265"/>
      <c r="E3955" s="264"/>
      <c r="F3955" s="265"/>
      <c r="G3955" s="263"/>
      <c r="H3955" s="432"/>
      <c r="I3955" s="282"/>
      <c r="J3955" s="283"/>
      <c r="K3955" s="265"/>
      <c r="L3955" s="265"/>
      <c r="M3955" s="269"/>
      <c r="N3955" s="270"/>
      <c r="O3955" s="271"/>
      <c r="P3955" s="271"/>
      <c r="Q3955" s="272"/>
      <c r="R3955" s="273"/>
      <c r="S3955" s="273"/>
      <c r="T3955" s="273"/>
      <c r="U3955" s="274"/>
      <c r="V3955" s="263"/>
      <c r="W3955" s="35"/>
      <c r="X3955" s="35"/>
      <c r="Y3955" s="35"/>
      <c r="Z3955" s="35"/>
      <c r="AA3955" s="35"/>
      <c r="AB3955" s="35"/>
      <c r="AC3955" s="35"/>
      <c r="AD3955" s="35"/>
      <c r="AE3955" s="35"/>
      <c r="AF3955" s="35"/>
      <c r="AG3955" s="35"/>
      <c r="AH3955" s="35"/>
      <c r="AI3955" s="35"/>
    </row>
    <row r="3956">
      <c r="A3956" s="263"/>
      <c r="B3956" s="264"/>
      <c r="C3956" s="265"/>
      <c r="D3956" s="265"/>
      <c r="E3956" s="264"/>
      <c r="F3956" s="265"/>
      <c r="G3956" s="263"/>
      <c r="H3956" s="432"/>
      <c r="I3956" s="282"/>
      <c r="J3956" s="283"/>
      <c r="K3956" s="265"/>
      <c r="L3956" s="265"/>
      <c r="M3956" s="269"/>
      <c r="N3956" s="270"/>
      <c r="O3956" s="271"/>
      <c r="P3956" s="271"/>
      <c r="Q3956" s="272"/>
      <c r="R3956" s="273"/>
      <c r="S3956" s="273"/>
      <c r="T3956" s="273"/>
      <c r="U3956" s="274"/>
      <c r="V3956" s="263"/>
      <c r="W3956" s="35"/>
      <c r="X3956" s="35"/>
      <c r="Y3956" s="35"/>
      <c r="Z3956" s="35"/>
      <c r="AA3956" s="35"/>
      <c r="AB3956" s="35"/>
      <c r="AC3956" s="35"/>
      <c r="AD3956" s="35"/>
      <c r="AE3956" s="35"/>
      <c r="AF3956" s="35"/>
      <c r="AG3956" s="35"/>
      <c r="AH3956" s="35"/>
      <c r="AI3956" s="35"/>
    </row>
    <row r="3957">
      <c r="A3957" s="263"/>
      <c r="B3957" s="264"/>
      <c r="C3957" s="265"/>
      <c r="D3957" s="265"/>
      <c r="E3957" s="264"/>
      <c r="F3957" s="265"/>
      <c r="G3957" s="263"/>
      <c r="H3957" s="432"/>
      <c r="I3957" s="282"/>
      <c r="J3957" s="283"/>
      <c r="K3957" s="265"/>
      <c r="L3957" s="265"/>
      <c r="M3957" s="269"/>
      <c r="N3957" s="270"/>
      <c r="O3957" s="271"/>
      <c r="P3957" s="271"/>
      <c r="Q3957" s="272"/>
      <c r="R3957" s="273"/>
      <c r="S3957" s="273"/>
      <c r="T3957" s="273"/>
      <c r="U3957" s="274"/>
      <c r="V3957" s="263"/>
      <c r="W3957" s="35"/>
      <c r="X3957" s="35"/>
      <c r="Y3957" s="35"/>
      <c r="Z3957" s="35"/>
      <c r="AA3957" s="35"/>
      <c r="AB3957" s="35"/>
      <c r="AC3957" s="35"/>
      <c r="AD3957" s="35"/>
      <c r="AE3957" s="35"/>
      <c r="AF3957" s="35"/>
      <c r="AG3957" s="35"/>
      <c r="AH3957" s="35"/>
      <c r="AI3957" s="35"/>
    </row>
    <row r="3958">
      <c r="A3958" s="263"/>
      <c r="B3958" s="264"/>
      <c r="C3958" s="265"/>
      <c r="D3958" s="265"/>
      <c r="E3958" s="264"/>
      <c r="F3958" s="265"/>
      <c r="G3958" s="263"/>
      <c r="H3958" s="432"/>
      <c r="I3958" s="282"/>
      <c r="J3958" s="283"/>
      <c r="K3958" s="265"/>
      <c r="L3958" s="265"/>
      <c r="M3958" s="269"/>
      <c r="N3958" s="270"/>
      <c r="O3958" s="271"/>
      <c r="P3958" s="271"/>
      <c r="Q3958" s="272"/>
      <c r="R3958" s="273"/>
      <c r="S3958" s="273"/>
      <c r="T3958" s="273"/>
      <c r="U3958" s="274"/>
      <c r="V3958" s="263"/>
      <c r="W3958" s="35"/>
      <c r="X3958" s="35"/>
      <c r="Y3958" s="35"/>
      <c r="Z3958" s="35"/>
      <c r="AA3958" s="35"/>
      <c r="AB3958" s="35"/>
      <c r="AC3958" s="35"/>
      <c r="AD3958" s="35"/>
      <c r="AE3958" s="35"/>
      <c r="AF3958" s="35"/>
      <c r="AG3958" s="35"/>
      <c r="AH3958" s="35"/>
      <c r="AI3958" s="35"/>
    </row>
    <row r="3959">
      <c r="A3959" s="263"/>
      <c r="B3959" s="264"/>
      <c r="C3959" s="265"/>
      <c r="D3959" s="265"/>
      <c r="E3959" s="264"/>
      <c r="F3959" s="265"/>
      <c r="G3959" s="263"/>
      <c r="H3959" s="432"/>
      <c r="I3959" s="282"/>
      <c r="J3959" s="283"/>
      <c r="K3959" s="265"/>
      <c r="L3959" s="265"/>
      <c r="M3959" s="269"/>
      <c r="N3959" s="270"/>
      <c r="O3959" s="271"/>
      <c r="P3959" s="271"/>
      <c r="Q3959" s="272"/>
      <c r="R3959" s="273"/>
      <c r="S3959" s="273"/>
      <c r="T3959" s="273"/>
      <c r="U3959" s="274"/>
      <c r="V3959" s="263"/>
      <c r="W3959" s="35"/>
      <c r="X3959" s="35"/>
      <c r="Y3959" s="35"/>
      <c r="Z3959" s="35"/>
      <c r="AA3959" s="35"/>
      <c r="AB3959" s="35"/>
      <c r="AC3959" s="35"/>
      <c r="AD3959" s="35"/>
      <c r="AE3959" s="35"/>
      <c r="AF3959" s="35"/>
      <c r="AG3959" s="35"/>
      <c r="AH3959" s="35"/>
      <c r="AI3959" s="35"/>
    </row>
    <row r="3960">
      <c r="A3960" s="263"/>
      <c r="B3960" s="264"/>
      <c r="C3960" s="265"/>
      <c r="D3960" s="265"/>
      <c r="E3960" s="264"/>
      <c r="F3960" s="265"/>
      <c r="G3960" s="263"/>
      <c r="H3960" s="432"/>
      <c r="I3960" s="282"/>
      <c r="J3960" s="283"/>
      <c r="K3960" s="265"/>
      <c r="L3960" s="265"/>
      <c r="M3960" s="269"/>
      <c r="N3960" s="270"/>
      <c r="O3960" s="271"/>
      <c r="P3960" s="271"/>
      <c r="Q3960" s="272"/>
      <c r="R3960" s="273"/>
      <c r="S3960" s="273"/>
      <c r="T3960" s="273"/>
      <c r="U3960" s="274"/>
      <c r="V3960" s="263"/>
      <c r="W3960" s="35"/>
      <c r="X3960" s="35"/>
      <c r="Y3960" s="35"/>
      <c r="Z3960" s="35"/>
      <c r="AA3960" s="35"/>
      <c r="AB3960" s="35"/>
      <c r="AC3960" s="35"/>
      <c r="AD3960" s="35"/>
      <c r="AE3960" s="35"/>
      <c r="AF3960" s="35"/>
      <c r="AG3960" s="35"/>
      <c r="AH3960" s="35"/>
      <c r="AI3960" s="35"/>
    </row>
    <row r="3961">
      <c r="A3961" s="263"/>
      <c r="B3961" s="264"/>
      <c r="C3961" s="265"/>
      <c r="D3961" s="265"/>
      <c r="E3961" s="264"/>
      <c r="F3961" s="265"/>
      <c r="G3961" s="263"/>
      <c r="H3961" s="432"/>
      <c r="I3961" s="282"/>
      <c r="J3961" s="283"/>
      <c r="K3961" s="265"/>
      <c r="L3961" s="265"/>
      <c r="M3961" s="269"/>
      <c r="N3961" s="270"/>
      <c r="O3961" s="271"/>
      <c r="P3961" s="271"/>
      <c r="Q3961" s="272"/>
      <c r="R3961" s="273"/>
      <c r="S3961" s="273"/>
      <c r="T3961" s="273"/>
      <c r="U3961" s="274"/>
      <c r="V3961" s="263"/>
      <c r="W3961" s="35"/>
      <c r="X3961" s="35"/>
      <c r="Y3961" s="35"/>
      <c r="Z3961" s="35"/>
      <c r="AA3961" s="35"/>
      <c r="AB3961" s="35"/>
      <c r="AC3961" s="35"/>
      <c r="AD3961" s="35"/>
      <c r="AE3961" s="35"/>
      <c r="AF3961" s="35"/>
      <c r="AG3961" s="35"/>
      <c r="AH3961" s="35"/>
      <c r="AI3961" s="35"/>
    </row>
    <row r="3962">
      <c r="A3962" s="263"/>
      <c r="B3962" s="264"/>
      <c r="C3962" s="265"/>
      <c r="D3962" s="265"/>
      <c r="E3962" s="264"/>
      <c r="F3962" s="265"/>
      <c r="G3962" s="263"/>
      <c r="H3962" s="432"/>
      <c r="I3962" s="282"/>
      <c r="J3962" s="283"/>
      <c r="K3962" s="265"/>
      <c r="L3962" s="265"/>
      <c r="M3962" s="269"/>
      <c r="N3962" s="270"/>
      <c r="O3962" s="271"/>
      <c r="P3962" s="271"/>
      <c r="Q3962" s="272"/>
      <c r="R3962" s="273"/>
      <c r="S3962" s="273"/>
      <c r="T3962" s="273"/>
      <c r="U3962" s="274"/>
      <c r="V3962" s="263"/>
      <c r="W3962" s="35"/>
      <c r="X3962" s="35"/>
      <c r="Y3962" s="35"/>
      <c r="Z3962" s="35"/>
      <c r="AA3962" s="35"/>
      <c r="AB3962" s="35"/>
      <c r="AC3962" s="35"/>
      <c r="AD3962" s="35"/>
      <c r="AE3962" s="35"/>
      <c r="AF3962" s="35"/>
      <c r="AG3962" s="35"/>
      <c r="AH3962" s="35"/>
      <c r="AI3962" s="35"/>
    </row>
    <row r="3963">
      <c r="A3963" s="263"/>
      <c r="B3963" s="264"/>
      <c r="C3963" s="265"/>
      <c r="D3963" s="265"/>
      <c r="E3963" s="264"/>
      <c r="F3963" s="265"/>
      <c r="G3963" s="263"/>
      <c r="H3963" s="432"/>
      <c r="I3963" s="282"/>
      <c r="J3963" s="283"/>
      <c r="K3963" s="265"/>
      <c r="L3963" s="265"/>
      <c r="M3963" s="269"/>
      <c r="N3963" s="270"/>
      <c r="O3963" s="271"/>
      <c r="P3963" s="271"/>
      <c r="Q3963" s="272"/>
      <c r="R3963" s="273"/>
      <c r="S3963" s="273"/>
      <c r="T3963" s="273"/>
      <c r="U3963" s="274"/>
      <c r="V3963" s="263"/>
      <c r="W3963" s="35"/>
      <c r="X3963" s="35"/>
      <c r="Y3963" s="35"/>
      <c r="Z3963" s="35"/>
      <c r="AA3963" s="35"/>
      <c r="AB3963" s="35"/>
      <c r="AC3963" s="35"/>
      <c r="AD3963" s="35"/>
      <c r="AE3963" s="35"/>
      <c r="AF3963" s="35"/>
      <c r="AG3963" s="35"/>
      <c r="AH3963" s="35"/>
      <c r="AI3963" s="35"/>
    </row>
    <row r="3964">
      <c r="A3964" s="263"/>
      <c r="B3964" s="264"/>
      <c r="C3964" s="265"/>
      <c r="D3964" s="265"/>
      <c r="E3964" s="264"/>
      <c r="F3964" s="265"/>
      <c r="G3964" s="263"/>
      <c r="H3964" s="432"/>
      <c r="I3964" s="282"/>
      <c r="J3964" s="283"/>
      <c r="K3964" s="265"/>
      <c r="L3964" s="265"/>
      <c r="M3964" s="269"/>
      <c r="N3964" s="270"/>
      <c r="O3964" s="271"/>
      <c r="P3964" s="271"/>
      <c r="Q3964" s="272"/>
      <c r="R3964" s="273"/>
      <c r="S3964" s="273"/>
      <c r="T3964" s="273"/>
      <c r="U3964" s="274"/>
      <c r="V3964" s="263"/>
      <c r="W3964" s="35"/>
      <c r="X3964" s="35"/>
      <c r="Y3964" s="35"/>
      <c r="Z3964" s="35"/>
      <c r="AA3964" s="35"/>
      <c r="AB3964" s="35"/>
      <c r="AC3964" s="35"/>
      <c r="AD3964" s="35"/>
      <c r="AE3964" s="35"/>
      <c r="AF3964" s="35"/>
      <c r="AG3964" s="35"/>
      <c r="AH3964" s="35"/>
      <c r="AI3964" s="35"/>
    </row>
    <row r="3965">
      <c r="A3965" s="263"/>
      <c r="B3965" s="264"/>
      <c r="C3965" s="265"/>
      <c r="D3965" s="265"/>
      <c r="E3965" s="264"/>
      <c r="F3965" s="265"/>
      <c r="G3965" s="263"/>
      <c r="H3965" s="432"/>
      <c r="I3965" s="282"/>
      <c r="J3965" s="283"/>
      <c r="K3965" s="265"/>
      <c r="L3965" s="265"/>
      <c r="M3965" s="269"/>
      <c r="N3965" s="270"/>
      <c r="O3965" s="271"/>
      <c r="P3965" s="271"/>
      <c r="Q3965" s="272"/>
      <c r="R3965" s="273"/>
      <c r="S3965" s="273"/>
      <c r="T3965" s="273"/>
      <c r="U3965" s="274"/>
      <c r="V3965" s="263"/>
      <c r="W3965" s="35"/>
      <c r="X3965" s="35"/>
      <c r="Y3965" s="35"/>
      <c r="Z3965" s="35"/>
      <c r="AA3965" s="35"/>
      <c r="AB3965" s="35"/>
      <c r="AC3965" s="35"/>
      <c r="AD3965" s="35"/>
      <c r="AE3965" s="35"/>
      <c r="AF3965" s="35"/>
      <c r="AG3965" s="35"/>
      <c r="AH3965" s="35"/>
      <c r="AI3965" s="35"/>
    </row>
    <row r="3966">
      <c r="A3966" s="263"/>
      <c r="B3966" s="264"/>
      <c r="C3966" s="265"/>
      <c r="D3966" s="265"/>
      <c r="E3966" s="264"/>
      <c r="F3966" s="265"/>
      <c r="G3966" s="263"/>
      <c r="H3966" s="432"/>
      <c r="I3966" s="282"/>
      <c r="J3966" s="283"/>
      <c r="K3966" s="265"/>
      <c r="L3966" s="265"/>
      <c r="M3966" s="269"/>
      <c r="N3966" s="270"/>
      <c r="O3966" s="271"/>
      <c r="P3966" s="271"/>
      <c r="Q3966" s="272"/>
      <c r="R3966" s="273"/>
      <c r="S3966" s="273"/>
      <c r="T3966" s="273"/>
      <c r="U3966" s="274"/>
      <c r="V3966" s="263"/>
      <c r="W3966" s="35"/>
      <c r="X3966" s="35"/>
      <c r="Y3966" s="35"/>
      <c r="Z3966" s="35"/>
      <c r="AA3966" s="35"/>
      <c r="AB3966" s="35"/>
      <c r="AC3966" s="35"/>
      <c r="AD3966" s="35"/>
      <c r="AE3966" s="35"/>
      <c r="AF3966" s="35"/>
      <c r="AG3966" s="35"/>
      <c r="AH3966" s="35"/>
      <c r="AI3966" s="35"/>
    </row>
    <row r="3967">
      <c r="A3967" s="263"/>
      <c r="B3967" s="264"/>
      <c r="C3967" s="265"/>
      <c r="D3967" s="265"/>
      <c r="E3967" s="264"/>
      <c r="F3967" s="265"/>
      <c r="G3967" s="263"/>
      <c r="H3967" s="432"/>
      <c r="I3967" s="282"/>
      <c r="J3967" s="283"/>
      <c r="K3967" s="265"/>
      <c r="L3967" s="265"/>
      <c r="M3967" s="269"/>
      <c r="N3967" s="270"/>
      <c r="O3967" s="271"/>
      <c r="P3967" s="271"/>
      <c r="Q3967" s="272"/>
      <c r="R3967" s="273"/>
      <c r="S3967" s="273"/>
      <c r="T3967" s="273"/>
      <c r="U3967" s="274"/>
      <c r="V3967" s="263"/>
      <c r="W3967" s="35"/>
      <c r="X3967" s="35"/>
      <c r="Y3967" s="35"/>
      <c r="Z3967" s="35"/>
      <c r="AA3967" s="35"/>
      <c r="AB3967" s="35"/>
      <c r="AC3967" s="35"/>
      <c r="AD3967" s="35"/>
      <c r="AE3967" s="35"/>
      <c r="AF3967" s="35"/>
      <c r="AG3967" s="35"/>
      <c r="AH3967" s="35"/>
      <c r="AI3967" s="35"/>
    </row>
    <row r="3968">
      <c r="A3968" s="263"/>
      <c r="B3968" s="264"/>
      <c r="C3968" s="265"/>
      <c r="D3968" s="265"/>
      <c r="E3968" s="264"/>
      <c r="F3968" s="265"/>
      <c r="G3968" s="263"/>
      <c r="H3968" s="432"/>
      <c r="I3968" s="282"/>
      <c r="J3968" s="283"/>
      <c r="K3968" s="265"/>
      <c r="L3968" s="265"/>
      <c r="M3968" s="269"/>
      <c r="N3968" s="270"/>
      <c r="O3968" s="271"/>
      <c r="P3968" s="271"/>
      <c r="Q3968" s="272"/>
      <c r="R3968" s="273"/>
      <c r="S3968" s="273"/>
      <c r="T3968" s="273"/>
      <c r="U3968" s="274"/>
      <c r="V3968" s="263"/>
      <c r="W3968" s="35"/>
      <c r="X3968" s="35"/>
      <c r="Y3968" s="35"/>
      <c r="Z3968" s="35"/>
      <c r="AA3968" s="35"/>
      <c r="AB3968" s="35"/>
      <c r="AC3968" s="35"/>
      <c r="AD3968" s="35"/>
      <c r="AE3968" s="35"/>
      <c r="AF3968" s="35"/>
      <c r="AG3968" s="35"/>
      <c r="AH3968" s="35"/>
      <c r="AI3968" s="35"/>
    </row>
    <row r="3969">
      <c r="A3969" s="263"/>
      <c r="B3969" s="264"/>
      <c r="C3969" s="265"/>
      <c r="D3969" s="265"/>
      <c r="E3969" s="264"/>
      <c r="F3969" s="265"/>
      <c r="G3969" s="263"/>
      <c r="H3969" s="432"/>
      <c r="I3969" s="282"/>
      <c r="J3969" s="283"/>
      <c r="K3969" s="265"/>
      <c r="L3969" s="265"/>
      <c r="M3969" s="269"/>
      <c r="N3969" s="270"/>
      <c r="O3969" s="271"/>
      <c r="P3969" s="271"/>
      <c r="Q3969" s="272"/>
      <c r="R3969" s="273"/>
      <c r="S3969" s="273"/>
      <c r="T3969" s="273"/>
      <c r="U3969" s="274"/>
      <c r="V3969" s="263"/>
      <c r="W3969" s="35"/>
      <c r="X3969" s="35"/>
      <c r="Y3969" s="35"/>
      <c r="Z3969" s="35"/>
      <c r="AA3969" s="35"/>
      <c r="AB3969" s="35"/>
      <c r="AC3969" s="35"/>
      <c r="AD3969" s="35"/>
      <c r="AE3969" s="35"/>
      <c r="AF3969" s="35"/>
      <c r="AG3969" s="35"/>
      <c r="AH3969" s="35"/>
      <c r="AI3969" s="35"/>
    </row>
    <row r="3970">
      <c r="A3970" s="263"/>
      <c r="B3970" s="264"/>
      <c r="C3970" s="265"/>
      <c r="D3970" s="265"/>
      <c r="E3970" s="264"/>
      <c r="F3970" s="265"/>
      <c r="G3970" s="263"/>
      <c r="H3970" s="432"/>
      <c r="I3970" s="282"/>
      <c r="J3970" s="283"/>
      <c r="K3970" s="265"/>
      <c r="L3970" s="265"/>
      <c r="M3970" s="269"/>
      <c r="N3970" s="270"/>
      <c r="O3970" s="271"/>
      <c r="P3970" s="271"/>
      <c r="Q3970" s="272"/>
      <c r="R3970" s="273"/>
      <c r="S3970" s="273"/>
      <c r="T3970" s="273"/>
      <c r="U3970" s="274"/>
      <c r="V3970" s="263"/>
      <c r="W3970" s="35"/>
      <c r="X3970" s="35"/>
      <c r="Y3970" s="35"/>
      <c r="Z3970" s="35"/>
      <c r="AA3970" s="35"/>
      <c r="AB3970" s="35"/>
      <c r="AC3970" s="35"/>
      <c r="AD3970" s="35"/>
      <c r="AE3970" s="35"/>
      <c r="AF3970" s="35"/>
      <c r="AG3970" s="35"/>
      <c r="AH3970" s="35"/>
      <c r="AI3970" s="35"/>
    </row>
    <row r="3971">
      <c r="A3971" s="263"/>
      <c r="B3971" s="264"/>
      <c r="C3971" s="265"/>
      <c r="D3971" s="265"/>
      <c r="E3971" s="264"/>
      <c r="F3971" s="265"/>
      <c r="G3971" s="263"/>
      <c r="H3971" s="432"/>
      <c r="I3971" s="282"/>
      <c r="J3971" s="283"/>
      <c r="K3971" s="265"/>
      <c r="L3971" s="265"/>
      <c r="M3971" s="269"/>
      <c r="N3971" s="270"/>
      <c r="O3971" s="271"/>
      <c r="P3971" s="271"/>
      <c r="Q3971" s="272"/>
      <c r="R3971" s="273"/>
      <c r="S3971" s="273"/>
      <c r="T3971" s="273"/>
      <c r="U3971" s="274"/>
      <c r="V3971" s="263"/>
      <c r="W3971" s="35"/>
      <c r="X3971" s="35"/>
      <c r="Y3971" s="35"/>
      <c r="Z3971" s="35"/>
      <c r="AA3971" s="35"/>
      <c r="AB3971" s="35"/>
      <c r="AC3971" s="35"/>
      <c r="AD3971" s="35"/>
      <c r="AE3971" s="35"/>
      <c r="AF3971" s="35"/>
      <c r="AG3971" s="35"/>
      <c r="AH3971" s="35"/>
      <c r="AI3971" s="35"/>
    </row>
    <row r="3972">
      <c r="A3972" s="263"/>
      <c r="B3972" s="264"/>
      <c r="C3972" s="265"/>
      <c r="D3972" s="265"/>
      <c r="E3972" s="264"/>
      <c r="F3972" s="265"/>
      <c r="G3972" s="263"/>
      <c r="H3972" s="432"/>
      <c r="I3972" s="282"/>
      <c r="J3972" s="283"/>
      <c r="K3972" s="265"/>
      <c r="L3972" s="265"/>
      <c r="M3972" s="269"/>
      <c r="N3972" s="270"/>
      <c r="O3972" s="271"/>
      <c r="P3972" s="271"/>
      <c r="Q3972" s="272"/>
      <c r="R3972" s="273"/>
      <c r="S3972" s="273"/>
      <c r="T3972" s="273"/>
      <c r="U3972" s="274"/>
      <c r="V3972" s="263"/>
      <c r="W3972" s="35"/>
      <c r="X3972" s="35"/>
      <c r="Y3972" s="35"/>
      <c r="Z3972" s="35"/>
      <c r="AA3972" s="35"/>
      <c r="AB3972" s="35"/>
      <c r="AC3972" s="35"/>
      <c r="AD3972" s="35"/>
      <c r="AE3972" s="35"/>
      <c r="AF3972" s="35"/>
      <c r="AG3972" s="35"/>
      <c r="AH3972" s="35"/>
      <c r="AI3972" s="35"/>
    </row>
    <row r="3973">
      <c r="A3973" s="263"/>
      <c r="B3973" s="264"/>
      <c r="C3973" s="265"/>
      <c r="D3973" s="265"/>
      <c r="E3973" s="264"/>
      <c r="F3973" s="265"/>
      <c r="G3973" s="263"/>
      <c r="H3973" s="432"/>
      <c r="I3973" s="282"/>
      <c r="J3973" s="283"/>
      <c r="K3973" s="265"/>
      <c r="L3973" s="265"/>
      <c r="M3973" s="269"/>
      <c r="N3973" s="270"/>
      <c r="O3973" s="271"/>
      <c r="P3973" s="271"/>
      <c r="Q3973" s="272"/>
      <c r="R3973" s="273"/>
      <c r="S3973" s="273"/>
      <c r="T3973" s="273"/>
      <c r="U3973" s="274"/>
      <c r="V3973" s="263"/>
      <c r="W3973" s="35"/>
      <c r="X3973" s="35"/>
      <c r="Y3973" s="35"/>
      <c r="Z3973" s="35"/>
      <c r="AA3973" s="35"/>
      <c r="AB3973" s="35"/>
      <c r="AC3973" s="35"/>
      <c r="AD3973" s="35"/>
      <c r="AE3973" s="35"/>
      <c r="AF3973" s="35"/>
      <c r="AG3973" s="35"/>
      <c r="AH3973" s="35"/>
      <c r="AI3973" s="35"/>
    </row>
    <row r="3974">
      <c r="A3974" s="263"/>
      <c r="B3974" s="264"/>
      <c r="C3974" s="265"/>
      <c r="D3974" s="265"/>
      <c r="E3974" s="264"/>
      <c r="F3974" s="265"/>
      <c r="G3974" s="263"/>
      <c r="H3974" s="432"/>
      <c r="I3974" s="282"/>
      <c r="J3974" s="283"/>
      <c r="K3974" s="265"/>
      <c r="L3974" s="265"/>
      <c r="M3974" s="269"/>
      <c r="N3974" s="270"/>
      <c r="O3974" s="271"/>
      <c r="P3974" s="271"/>
      <c r="Q3974" s="272"/>
      <c r="R3974" s="273"/>
      <c r="S3974" s="273"/>
      <c r="T3974" s="273"/>
      <c r="U3974" s="274"/>
      <c r="V3974" s="263"/>
      <c r="W3974" s="35"/>
      <c r="X3974" s="35"/>
      <c r="Y3974" s="35"/>
      <c r="Z3974" s="35"/>
      <c r="AA3974" s="35"/>
      <c r="AB3974" s="35"/>
      <c r="AC3974" s="35"/>
      <c r="AD3974" s="35"/>
      <c r="AE3974" s="35"/>
      <c r="AF3974" s="35"/>
      <c r="AG3974" s="35"/>
      <c r="AH3974" s="35"/>
      <c r="AI3974" s="35"/>
    </row>
    <row r="3975">
      <c r="A3975" s="263"/>
      <c r="B3975" s="264"/>
      <c r="C3975" s="265"/>
      <c r="D3975" s="265"/>
      <c r="E3975" s="264"/>
      <c r="F3975" s="265"/>
      <c r="G3975" s="263"/>
      <c r="H3975" s="432"/>
      <c r="I3975" s="282"/>
      <c r="J3975" s="283"/>
      <c r="K3975" s="265"/>
      <c r="L3975" s="265"/>
      <c r="M3975" s="269"/>
      <c r="N3975" s="270"/>
      <c r="O3975" s="271"/>
      <c r="P3975" s="271"/>
      <c r="Q3975" s="272"/>
      <c r="R3975" s="273"/>
      <c r="S3975" s="273"/>
      <c r="T3975" s="273"/>
      <c r="U3975" s="274"/>
      <c r="V3975" s="263"/>
      <c r="W3975" s="35"/>
      <c r="X3975" s="35"/>
      <c r="Y3975" s="35"/>
      <c r="Z3975" s="35"/>
      <c r="AA3975" s="35"/>
      <c r="AB3975" s="35"/>
      <c r="AC3975" s="35"/>
      <c r="AD3975" s="35"/>
      <c r="AE3975" s="35"/>
      <c r="AF3975" s="35"/>
      <c r="AG3975" s="35"/>
      <c r="AH3975" s="35"/>
      <c r="AI3975" s="35"/>
    </row>
    <row r="3976">
      <c r="A3976" s="263"/>
      <c r="B3976" s="264"/>
      <c r="C3976" s="265"/>
      <c r="D3976" s="265"/>
      <c r="E3976" s="264"/>
      <c r="F3976" s="265"/>
      <c r="G3976" s="263"/>
      <c r="H3976" s="432"/>
      <c r="I3976" s="282"/>
      <c r="J3976" s="283"/>
      <c r="K3976" s="265"/>
      <c r="L3976" s="265"/>
      <c r="M3976" s="269"/>
      <c r="N3976" s="270"/>
      <c r="O3976" s="271"/>
      <c r="P3976" s="271"/>
      <c r="Q3976" s="272"/>
      <c r="R3976" s="273"/>
      <c r="S3976" s="273"/>
      <c r="T3976" s="273"/>
      <c r="U3976" s="274"/>
      <c r="V3976" s="263"/>
      <c r="W3976" s="35"/>
      <c r="X3976" s="35"/>
      <c r="Y3976" s="35"/>
      <c r="Z3976" s="35"/>
      <c r="AA3976" s="35"/>
      <c r="AB3976" s="35"/>
      <c r="AC3976" s="35"/>
      <c r="AD3976" s="35"/>
      <c r="AE3976" s="35"/>
      <c r="AF3976" s="35"/>
      <c r="AG3976" s="35"/>
      <c r="AH3976" s="35"/>
      <c r="AI3976" s="35"/>
    </row>
    <row r="3977">
      <c r="A3977" s="263"/>
      <c r="B3977" s="264"/>
      <c r="C3977" s="265"/>
      <c r="D3977" s="265"/>
      <c r="E3977" s="264"/>
      <c r="F3977" s="265"/>
      <c r="G3977" s="263"/>
      <c r="H3977" s="432"/>
      <c r="I3977" s="282"/>
      <c r="J3977" s="283"/>
      <c r="K3977" s="265"/>
      <c r="L3977" s="265"/>
      <c r="M3977" s="269"/>
      <c r="N3977" s="270"/>
      <c r="O3977" s="271"/>
      <c r="P3977" s="271"/>
      <c r="Q3977" s="272"/>
      <c r="R3977" s="273"/>
      <c r="S3977" s="273"/>
      <c r="T3977" s="273"/>
      <c r="U3977" s="274"/>
      <c r="V3977" s="263"/>
      <c r="W3977" s="35"/>
      <c r="X3977" s="35"/>
      <c r="Y3977" s="35"/>
      <c r="Z3977" s="35"/>
      <c r="AA3977" s="35"/>
      <c r="AB3977" s="35"/>
      <c r="AC3977" s="35"/>
      <c r="AD3977" s="35"/>
      <c r="AE3977" s="35"/>
      <c r="AF3977" s="35"/>
      <c r="AG3977" s="35"/>
      <c r="AH3977" s="35"/>
      <c r="AI3977" s="35"/>
    </row>
    <row r="3978">
      <c r="A3978" s="263"/>
      <c r="B3978" s="264"/>
      <c r="C3978" s="265"/>
      <c r="D3978" s="265"/>
      <c r="E3978" s="264"/>
      <c r="F3978" s="265"/>
      <c r="G3978" s="263"/>
      <c r="H3978" s="432"/>
      <c r="I3978" s="282"/>
      <c r="J3978" s="283"/>
      <c r="K3978" s="265"/>
      <c r="L3978" s="265"/>
      <c r="M3978" s="269"/>
      <c r="N3978" s="270"/>
      <c r="O3978" s="271"/>
      <c r="P3978" s="271"/>
      <c r="Q3978" s="272"/>
      <c r="R3978" s="273"/>
      <c r="S3978" s="273"/>
      <c r="T3978" s="273"/>
      <c r="U3978" s="274"/>
      <c r="V3978" s="263"/>
      <c r="W3978" s="35"/>
      <c r="X3978" s="35"/>
      <c r="Y3978" s="35"/>
      <c r="Z3978" s="35"/>
      <c r="AA3978" s="35"/>
      <c r="AB3978" s="35"/>
      <c r="AC3978" s="35"/>
      <c r="AD3978" s="35"/>
      <c r="AE3978" s="35"/>
      <c r="AF3978" s="35"/>
      <c r="AG3978" s="35"/>
      <c r="AH3978" s="35"/>
      <c r="AI3978" s="35"/>
    </row>
    <row r="3979">
      <c r="A3979" s="263"/>
      <c r="B3979" s="264"/>
      <c r="C3979" s="265"/>
      <c r="D3979" s="265"/>
      <c r="E3979" s="264"/>
      <c r="F3979" s="265"/>
      <c r="G3979" s="263"/>
      <c r="H3979" s="432"/>
      <c r="I3979" s="282"/>
      <c r="J3979" s="283"/>
      <c r="K3979" s="265"/>
      <c r="L3979" s="265"/>
      <c r="M3979" s="269"/>
      <c r="N3979" s="270"/>
      <c r="O3979" s="271"/>
      <c r="P3979" s="271"/>
      <c r="Q3979" s="272"/>
      <c r="R3979" s="273"/>
      <c r="S3979" s="273"/>
      <c r="T3979" s="273"/>
      <c r="U3979" s="274"/>
      <c r="V3979" s="263"/>
      <c r="W3979" s="35"/>
      <c r="X3979" s="35"/>
      <c r="Y3979" s="35"/>
      <c r="Z3979" s="35"/>
      <c r="AA3979" s="35"/>
      <c r="AB3979" s="35"/>
      <c r="AC3979" s="35"/>
      <c r="AD3979" s="35"/>
      <c r="AE3979" s="35"/>
      <c r="AF3979" s="35"/>
      <c r="AG3979" s="35"/>
      <c r="AH3979" s="35"/>
      <c r="AI3979" s="35"/>
    </row>
    <row r="3980">
      <c r="A3980" s="263"/>
      <c r="B3980" s="264"/>
      <c r="C3980" s="265"/>
      <c r="D3980" s="265"/>
      <c r="E3980" s="264"/>
      <c r="F3980" s="265"/>
      <c r="G3980" s="263"/>
      <c r="H3980" s="432"/>
      <c r="I3980" s="282"/>
      <c r="J3980" s="283"/>
      <c r="K3980" s="265"/>
      <c r="L3980" s="265"/>
      <c r="M3980" s="269"/>
      <c r="N3980" s="270"/>
      <c r="O3980" s="271"/>
      <c r="P3980" s="271"/>
      <c r="Q3980" s="272"/>
      <c r="R3980" s="273"/>
      <c r="S3980" s="273"/>
      <c r="T3980" s="273"/>
      <c r="U3980" s="274"/>
      <c r="V3980" s="263"/>
      <c r="W3980" s="35"/>
      <c r="X3980" s="35"/>
      <c r="Y3980" s="35"/>
      <c r="Z3980" s="35"/>
      <c r="AA3980" s="35"/>
      <c r="AB3980" s="35"/>
      <c r="AC3980" s="35"/>
      <c r="AD3980" s="35"/>
      <c r="AE3980" s="35"/>
      <c r="AF3980" s="35"/>
      <c r="AG3980" s="35"/>
      <c r="AH3980" s="35"/>
      <c r="AI3980" s="35"/>
    </row>
    <row r="3981">
      <c r="A3981" s="263"/>
      <c r="B3981" s="264"/>
      <c r="C3981" s="265"/>
      <c r="D3981" s="265"/>
      <c r="E3981" s="264"/>
      <c r="F3981" s="265"/>
      <c r="G3981" s="263"/>
      <c r="H3981" s="432"/>
      <c r="I3981" s="282"/>
      <c r="J3981" s="283"/>
      <c r="K3981" s="265"/>
      <c r="L3981" s="265"/>
      <c r="M3981" s="269"/>
      <c r="N3981" s="270"/>
      <c r="O3981" s="271"/>
      <c r="P3981" s="271"/>
      <c r="Q3981" s="272"/>
      <c r="R3981" s="273"/>
      <c r="S3981" s="273"/>
      <c r="T3981" s="273"/>
      <c r="U3981" s="274"/>
      <c r="V3981" s="263"/>
      <c r="W3981" s="35"/>
      <c r="X3981" s="35"/>
      <c r="Y3981" s="35"/>
      <c r="Z3981" s="35"/>
      <c r="AA3981" s="35"/>
      <c r="AB3981" s="35"/>
      <c r="AC3981" s="35"/>
      <c r="AD3981" s="35"/>
      <c r="AE3981" s="35"/>
      <c r="AF3981" s="35"/>
      <c r="AG3981" s="35"/>
      <c r="AH3981" s="35"/>
      <c r="AI3981" s="35"/>
    </row>
    <row r="3982">
      <c r="A3982" s="263"/>
      <c r="B3982" s="264"/>
      <c r="C3982" s="265"/>
      <c r="D3982" s="265"/>
      <c r="E3982" s="264"/>
      <c r="F3982" s="265"/>
      <c r="G3982" s="263"/>
      <c r="H3982" s="432"/>
      <c r="I3982" s="282"/>
      <c r="J3982" s="283"/>
      <c r="K3982" s="265"/>
      <c r="L3982" s="265"/>
      <c r="M3982" s="269"/>
      <c r="N3982" s="270"/>
      <c r="O3982" s="271"/>
      <c r="P3982" s="271"/>
      <c r="Q3982" s="272"/>
      <c r="R3982" s="273"/>
      <c r="S3982" s="273"/>
      <c r="T3982" s="260"/>
      <c r="U3982" s="261"/>
      <c r="V3982" s="276"/>
      <c r="W3982" s="35"/>
      <c r="X3982" s="35"/>
      <c r="Y3982" s="35"/>
      <c r="Z3982" s="35"/>
      <c r="AA3982" s="35"/>
      <c r="AB3982" s="35"/>
      <c r="AC3982" s="35"/>
      <c r="AD3982" s="35"/>
      <c r="AE3982" s="35"/>
      <c r="AF3982" s="35"/>
      <c r="AG3982" s="35"/>
      <c r="AH3982" s="35"/>
      <c r="AI3982" s="35"/>
    </row>
    <row r="3983">
      <c r="A3983" s="263"/>
      <c r="B3983" s="264"/>
      <c r="C3983" s="265"/>
      <c r="D3983" s="265"/>
      <c r="E3983" s="264"/>
      <c r="F3983" s="265"/>
      <c r="G3983" s="263"/>
      <c r="H3983" s="432"/>
      <c r="I3983" s="282"/>
      <c r="J3983" s="283"/>
      <c r="K3983" s="265"/>
      <c r="L3983" s="265"/>
      <c r="M3983" s="269"/>
      <c r="N3983" s="270"/>
      <c r="O3983" s="271"/>
      <c r="P3983" s="271"/>
      <c r="Q3983" s="272"/>
      <c r="R3983" s="273"/>
      <c r="S3983" s="273"/>
      <c r="T3983" s="273"/>
      <c r="U3983" s="274"/>
      <c r="V3983" s="263"/>
      <c r="W3983" s="35"/>
      <c r="X3983" s="35"/>
      <c r="Y3983" s="35"/>
      <c r="Z3983" s="35"/>
      <c r="AA3983" s="35"/>
      <c r="AB3983" s="35"/>
      <c r="AC3983" s="35"/>
      <c r="AD3983" s="35"/>
      <c r="AE3983" s="35"/>
      <c r="AF3983" s="35"/>
      <c r="AG3983" s="35"/>
      <c r="AH3983" s="35"/>
      <c r="AI3983" s="35"/>
    </row>
    <row r="3984">
      <c r="A3984" s="263"/>
      <c r="B3984" s="264"/>
      <c r="C3984" s="265"/>
      <c r="D3984" s="265"/>
      <c r="E3984" s="264"/>
      <c r="F3984" s="265"/>
      <c r="G3984" s="263"/>
      <c r="H3984" s="432"/>
      <c r="I3984" s="282"/>
      <c r="J3984" s="283"/>
      <c r="K3984" s="265"/>
      <c r="L3984" s="265"/>
      <c r="M3984" s="269"/>
      <c r="N3984" s="270"/>
      <c r="O3984" s="271"/>
      <c r="P3984" s="271"/>
      <c r="Q3984" s="272"/>
      <c r="R3984" s="273"/>
      <c r="S3984" s="273"/>
      <c r="T3984" s="273"/>
      <c r="U3984" s="274"/>
      <c r="V3984" s="263"/>
      <c r="W3984" s="35"/>
      <c r="X3984" s="35"/>
      <c r="Y3984" s="35"/>
      <c r="Z3984" s="35"/>
      <c r="AA3984" s="35"/>
      <c r="AB3984" s="35"/>
      <c r="AC3984" s="35"/>
      <c r="AD3984" s="35"/>
      <c r="AE3984" s="35"/>
      <c r="AF3984" s="35"/>
      <c r="AG3984" s="35"/>
      <c r="AH3984" s="35"/>
      <c r="AI3984" s="35"/>
    </row>
    <row r="3985">
      <c r="A3985" s="263"/>
      <c r="B3985" s="264"/>
      <c r="C3985" s="265"/>
      <c r="D3985" s="265"/>
      <c r="E3985" s="264"/>
      <c r="F3985" s="265"/>
      <c r="G3985" s="263"/>
      <c r="H3985" s="432"/>
      <c r="I3985" s="282"/>
      <c r="J3985" s="283"/>
      <c r="K3985" s="265"/>
      <c r="L3985" s="265"/>
      <c r="M3985" s="269"/>
      <c r="N3985" s="270"/>
      <c r="O3985" s="271"/>
      <c r="P3985" s="271"/>
      <c r="Q3985" s="272"/>
      <c r="R3985" s="273"/>
      <c r="S3985" s="273"/>
      <c r="T3985" s="273"/>
      <c r="U3985" s="274"/>
      <c r="V3985" s="263"/>
      <c r="W3985" s="35"/>
      <c r="X3985" s="35"/>
      <c r="Y3985" s="35"/>
      <c r="Z3985" s="35"/>
      <c r="AA3985" s="35"/>
      <c r="AB3985" s="35"/>
      <c r="AC3985" s="35"/>
      <c r="AD3985" s="35"/>
      <c r="AE3985" s="35"/>
      <c r="AF3985" s="35"/>
      <c r="AG3985" s="35"/>
      <c r="AH3985" s="35"/>
      <c r="AI3985" s="35"/>
    </row>
    <row r="3986">
      <c r="A3986" s="263"/>
      <c r="B3986" s="264"/>
      <c r="C3986" s="265"/>
      <c r="D3986" s="265"/>
      <c r="E3986" s="264"/>
      <c r="F3986" s="265"/>
      <c r="G3986" s="263"/>
      <c r="H3986" s="432"/>
      <c r="I3986" s="282"/>
      <c r="J3986" s="283"/>
      <c r="K3986" s="265"/>
      <c r="L3986" s="265"/>
      <c r="M3986" s="269"/>
      <c r="N3986" s="270"/>
      <c r="O3986" s="271"/>
      <c r="P3986" s="271"/>
      <c r="Q3986" s="272"/>
      <c r="R3986" s="273"/>
      <c r="S3986" s="273"/>
      <c r="T3986" s="273"/>
      <c r="U3986" s="274"/>
      <c r="V3986" s="263"/>
      <c r="W3986" s="35"/>
      <c r="X3986" s="35"/>
      <c r="Y3986" s="35"/>
      <c r="Z3986" s="35"/>
      <c r="AA3986" s="35"/>
      <c r="AB3986" s="35"/>
      <c r="AC3986" s="35"/>
      <c r="AD3986" s="35"/>
      <c r="AE3986" s="35"/>
      <c r="AF3986" s="35"/>
      <c r="AG3986" s="35"/>
      <c r="AH3986" s="35"/>
      <c r="AI3986" s="35"/>
    </row>
    <row r="3987">
      <c r="A3987" s="263"/>
      <c r="B3987" s="264"/>
      <c r="C3987" s="265"/>
      <c r="D3987" s="265"/>
      <c r="E3987" s="264"/>
      <c r="F3987" s="265"/>
      <c r="G3987" s="263"/>
      <c r="H3987" s="432"/>
      <c r="I3987" s="282"/>
      <c r="J3987" s="283"/>
      <c r="K3987" s="265"/>
      <c r="L3987" s="265"/>
      <c r="M3987" s="269"/>
      <c r="N3987" s="270"/>
      <c r="O3987" s="271"/>
      <c r="P3987" s="271"/>
      <c r="Q3987" s="272"/>
      <c r="R3987" s="273"/>
      <c r="S3987" s="273"/>
      <c r="T3987" s="273"/>
      <c r="U3987" s="274"/>
      <c r="V3987" s="263"/>
      <c r="W3987" s="35"/>
      <c r="X3987" s="35"/>
      <c r="Y3987" s="35"/>
      <c r="Z3987" s="35"/>
      <c r="AA3987" s="35"/>
      <c r="AB3987" s="35"/>
      <c r="AC3987" s="35"/>
      <c r="AD3987" s="35"/>
      <c r="AE3987" s="35"/>
      <c r="AF3987" s="35"/>
      <c r="AG3987" s="35"/>
      <c r="AH3987" s="35"/>
      <c r="AI3987" s="35"/>
    </row>
    <row r="3988">
      <c r="A3988" s="263"/>
      <c r="B3988" s="264"/>
      <c r="C3988" s="265"/>
      <c r="D3988" s="265"/>
      <c r="E3988" s="264"/>
      <c r="F3988" s="265"/>
      <c r="G3988" s="263"/>
      <c r="H3988" s="432"/>
      <c r="I3988" s="282"/>
      <c r="J3988" s="283"/>
      <c r="K3988" s="265"/>
      <c r="L3988" s="265"/>
      <c r="M3988" s="269"/>
      <c r="N3988" s="270"/>
      <c r="O3988" s="271"/>
      <c r="P3988" s="271"/>
      <c r="Q3988" s="272"/>
      <c r="R3988" s="273"/>
      <c r="S3988" s="273"/>
      <c r="T3988" s="260"/>
      <c r="U3988" s="261"/>
      <c r="V3988" s="251"/>
      <c r="W3988" s="35"/>
      <c r="X3988" s="35"/>
      <c r="Y3988" s="35"/>
      <c r="Z3988" s="35"/>
      <c r="AA3988" s="35"/>
      <c r="AB3988" s="35"/>
      <c r="AC3988" s="35"/>
      <c r="AD3988" s="35"/>
      <c r="AE3988" s="35"/>
      <c r="AF3988" s="35"/>
      <c r="AG3988" s="35"/>
      <c r="AH3988" s="35"/>
      <c r="AI3988" s="35"/>
    </row>
    <row r="3989">
      <c r="A3989" s="263"/>
      <c r="B3989" s="264"/>
      <c r="C3989" s="265"/>
      <c r="D3989" s="265"/>
      <c r="E3989" s="264"/>
      <c r="F3989" s="265"/>
      <c r="G3989" s="263"/>
      <c r="H3989" s="432"/>
      <c r="I3989" s="282"/>
      <c r="J3989" s="283"/>
      <c r="K3989" s="265"/>
      <c r="L3989" s="265"/>
      <c r="M3989" s="269"/>
      <c r="N3989" s="270"/>
      <c r="O3989" s="271"/>
      <c r="P3989" s="271"/>
      <c r="Q3989" s="272"/>
      <c r="R3989" s="273"/>
      <c r="S3989" s="273"/>
      <c r="T3989" s="273"/>
      <c r="U3989" s="274"/>
      <c r="V3989" s="263"/>
      <c r="W3989" s="35"/>
      <c r="X3989" s="35"/>
      <c r="Y3989" s="35"/>
      <c r="Z3989" s="35"/>
      <c r="AA3989" s="35"/>
      <c r="AB3989" s="35"/>
      <c r="AC3989" s="35"/>
      <c r="AD3989" s="35"/>
      <c r="AE3989" s="35"/>
      <c r="AF3989" s="35"/>
      <c r="AG3989" s="35"/>
      <c r="AH3989" s="35"/>
      <c r="AI3989" s="35"/>
    </row>
    <row r="3990">
      <c r="A3990" s="263"/>
      <c r="B3990" s="264"/>
      <c r="C3990" s="265"/>
      <c r="D3990" s="265"/>
      <c r="E3990" s="264"/>
      <c r="F3990" s="265"/>
      <c r="G3990" s="263"/>
      <c r="H3990" s="432"/>
      <c r="I3990" s="282"/>
      <c r="J3990" s="283"/>
      <c r="K3990" s="265"/>
      <c r="L3990" s="265"/>
      <c r="M3990" s="269"/>
      <c r="N3990" s="270"/>
      <c r="O3990" s="271"/>
      <c r="P3990" s="271"/>
      <c r="Q3990" s="272"/>
      <c r="R3990" s="273"/>
      <c r="S3990" s="273"/>
      <c r="T3990" s="273"/>
      <c r="U3990" s="274"/>
      <c r="V3990" s="263"/>
      <c r="W3990" s="35"/>
      <c r="X3990" s="35"/>
      <c r="Y3990" s="35"/>
      <c r="Z3990" s="35"/>
      <c r="AA3990" s="35"/>
      <c r="AB3990" s="35"/>
      <c r="AC3990" s="35"/>
      <c r="AD3990" s="35"/>
      <c r="AE3990" s="35"/>
      <c r="AF3990" s="35"/>
      <c r="AG3990" s="35"/>
      <c r="AH3990" s="35"/>
      <c r="AI3990" s="35"/>
    </row>
    <row r="3991">
      <c r="A3991" s="263"/>
      <c r="B3991" s="264"/>
      <c r="C3991" s="265"/>
      <c r="D3991" s="265"/>
      <c r="E3991" s="264"/>
      <c r="F3991" s="265"/>
      <c r="G3991" s="263"/>
      <c r="H3991" s="432"/>
      <c r="I3991" s="282"/>
      <c r="J3991" s="283"/>
      <c r="K3991" s="265"/>
      <c r="L3991" s="265"/>
      <c r="M3991" s="269"/>
      <c r="N3991" s="270"/>
      <c r="O3991" s="271"/>
      <c r="P3991" s="271"/>
      <c r="Q3991" s="272"/>
      <c r="R3991" s="273"/>
      <c r="S3991" s="273"/>
      <c r="T3991" s="273"/>
      <c r="U3991" s="274"/>
      <c r="V3991" s="263"/>
      <c r="W3991" s="35"/>
      <c r="X3991" s="35"/>
      <c r="Y3991" s="35"/>
      <c r="Z3991" s="35"/>
      <c r="AA3991" s="35"/>
      <c r="AB3991" s="35"/>
      <c r="AC3991" s="35"/>
      <c r="AD3991" s="35"/>
      <c r="AE3991" s="35"/>
      <c r="AF3991" s="35"/>
      <c r="AG3991" s="35"/>
      <c r="AH3991" s="35"/>
      <c r="AI3991" s="35"/>
    </row>
    <row r="3992">
      <c r="A3992" s="263"/>
      <c r="B3992" s="264"/>
      <c r="C3992" s="265"/>
      <c r="D3992" s="265"/>
      <c r="E3992" s="264"/>
      <c r="F3992" s="265"/>
      <c r="G3992" s="263"/>
      <c r="H3992" s="432"/>
      <c r="I3992" s="282"/>
      <c r="J3992" s="283"/>
      <c r="K3992" s="265"/>
      <c r="L3992" s="265"/>
      <c r="M3992" s="269"/>
      <c r="N3992" s="270"/>
      <c r="O3992" s="271"/>
      <c r="P3992" s="271"/>
      <c r="Q3992" s="272"/>
      <c r="R3992" s="273"/>
      <c r="S3992" s="273"/>
      <c r="T3992" s="273"/>
      <c r="U3992" s="274"/>
      <c r="V3992" s="263"/>
      <c r="W3992" s="35"/>
      <c r="X3992" s="35"/>
      <c r="Y3992" s="35"/>
      <c r="Z3992" s="35"/>
      <c r="AA3992" s="35"/>
      <c r="AB3992" s="35"/>
      <c r="AC3992" s="35"/>
      <c r="AD3992" s="35"/>
      <c r="AE3992" s="35"/>
      <c r="AF3992" s="35"/>
      <c r="AG3992" s="35"/>
      <c r="AH3992" s="35"/>
      <c r="AI3992" s="35"/>
    </row>
    <row r="3993">
      <c r="A3993" s="263"/>
      <c r="B3993" s="264"/>
      <c r="C3993" s="265"/>
      <c r="D3993" s="265"/>
      <c r="E3993" s="264"/>
      <c r="F3993" s="265"/>
      <c r="G3993" s="263"/>
      <c r="H3993" s="432"/>
      <c r="I3993" s="282"/>
      <c r="J3993" s="283"/>
      <c r="K3993" s="265"/>
      <c r="L3993" s="265"/>
      <c r="M3993" s="269"/>
      <c r="N3993" s="270"/>
      <c r="O3993" s="271"/>
      <c r="P3993" s="271"/>
      <c r="Q3993" s="272"/>
      <c r="R3993" s="273"/>
      <c r="S3993" s="273"/>
      <c r="T3993" s="273"/>
      <c r="U3993" s="274"/>
      <c r="V3993" s="263"/>
      <c r="W3993" s="35"/>
      <c r="X3993" s="35"/>
      <c r="Y3993" s="35"/>
      <c r="Z3993" s="35"/>
      <c r="AA3993" s="35"/>
      <c r="AB3993" s="35"/>
      <c r="AC3993" s="35"/>
      <c r="AD3993" s="35"/>
      <c r="AE3993" s="35"/>
      <c r="AF3993" s="35"/>
      <c r="AG3993" s="35"/>
      <c r="AH3993" s="35"/>
      <c r="AI3993" s="35"/>
    </row>
    <row r="3994">
      <c r="A3994" s="263"/>
      <c r="B3994" s="264"/>
      <c r="C3994" s="265"/>
      <c r="D3994" s="265"/>
      <c r="E3994" s="264"/>
      <c r="F3994" s="265"/>
      <c r="G3994" s="263"/>
      <c r="H3994" s="432"/>
      <c r="I3994" s="282"/>
      <c r="J3994" s="283"/>
      <c r="K3994" s="265"/>
      <c r="L3994" s="265"/>
      <c r="M3994" s="269"/>
      <c r="N3994" s="270"/>
      <c r="O3994" s="271"/>
      <c r="P3994" s="271"/>
      <c r="Q3994" s="272"/>
      <c r="R3994" s="273"/>
      <c r="S3994" s="273"/>
      <c r="T3994" s="273"/>
      <c r="U3994" s="274"/>
      <c r="V3994" s="263"/>
      <c r="W3994" s="35"/>
      <c r="X3994" s="35"/>
      <c r="Y3994" s="35"/>
      <c r="Z3994" s="35"/>
      <c r="AA3994" s="35"/>
      <c r="AB3994" s="35"/>
      <c r="AC3994" s="35"/>
      <c r="AD3994" s="35"/>
      <c r="AE3994" s="35"/>
      <c r="AF3994" s="35"/>
      <c r="AG3994" s="35"/>
      <c r="AH3994" s="35"/>
      <c r="AI3994" s="35"/>
    </row>
    <row r="3995">
      <c r="A3995" s="263"/>
      <c r="B3995" s="264"/>
      <c r="C3995" s="265"/>
      <c r="D3995" s="265"/>
      <c r="E3995" s="264"/>
      <c r="F3995" s="265"/>
      <c r="G3995" s="263"/>
      <c r="H3995" s="432"/>
      <c r="I3995" s="282"/>
      <c r="J3995" s="283"/>
      <c r="K3995" s="265"/>
      <c r="L3995" s="265"/>
      <c r="M3995" s="269"/>
      <c r="N3995" s="270"/>
      <c r="O3995" s="271"/>
      <c r="P3995" s="271"/>
      <c r="Q3995" s="272"/>
      <c r="R3995" s="273"/>
      <c r="S3995" s="273"/>
      <c r="T3995" s="273"/>
      <c r="U3995" s="274"/>
      <c r="V3995" s="263"/>
      <c r="W3995" s="35"/>
      <c r="X3995" s="35"/>
      <c r="Y3995" s="35"/>
      <c r="Z3995" s="35"/>
      <c r="AA3995" s="35"/>
      <c r="AB3995" s="35"/>
      <c r="AC3995" s="35"/>
      <c r="AD3995" s="35"/>
      <c r="AE3995" s="35"/>
      <c r="AF3995" s="35"/>
      <c r="AG3995" s="35"/>
      <c r="AH3995" s="35"/>
      <c r="AI3995" s="35"/>
    </row>
    <row r="3996">
      <c r="A3996" s="263"/>
      <c r="B3996" s="264"/>
      <c r="C3996" s="265"/>
      <c r="D3996" s="265"/>
      <c r="E3996" s="264"/>
      <c r="F3996" s="265"/>
      <c r="G3996" s="263"/>
      <c r="H3996" s="432"/>
      <c r="I3996" s="282"/>
      <c r="J3996" s="283"/>
      <c r="K3996" s="265"/>
      <c r="L3996" s="265"/>
      <c r="M3996" s="269"/>
      <c r="N3996" s="270"/>
      <c r="O3996" s="271"/>
      <c r="P3996" s="271"/>
      <c r="Q3996" s="272"/>
      <c r="R3996" s="273"/>
      <c r="S3996" s="273"/>
      <c r="T3996" s="273"/>
      <c r="U3996" s="274"/>
      <c r="V3996" s="263"/>
      <c r="W3996" s="35"/>
      <c r="X3996" s="35"/>
      <c r="Y3996" s="35"/>
      <c r="Z3996" s="35"/>
      <c r="AA3996" s="35"/>
      <c r="AB3996" s="35"/>
      <c r="AC3996" s="35"/>
      <c r="AD3996" s="35"/>
      <c r="AE3996" s="35"/>
      <c r="AF3996" s="35"/>
      <c r="AG3996" s="35"/>
      <c r="AH3996" s="35"/>
      <c r="AI3996" s="35"/>
    </row>
    <row r="3997">
      <c r="A3997" s="263"/>
      <c r="B3997" s="264"/>
      <c r="C3997" s="265"/>
      <c r="D3997" s="265"/>
      <c r="E3997" s="264"/>
      <c r="F3997" s="265"/>
      <c r="G3997" s="263"/>
      <c r="H3997" s="432"/>
      <c r="I3997" s="282"/>
      <c r="J3997" s="283"/>
      <c r="K3997" s="265"/>
      <c r="L3997" s="265"/>
      <c r="M3997" s="269"/>
      <c r="N3997" s="270"/>
      <c r="O3997" s="271"/>
      <c r="P3997" s="271"/>
      <c r="Q3997" s="272"/>
      <c r="R3997" s="273"/>
      <c r="S3997" s="273"/>
      <c r="T3997" s="273"/>
      <c r="U3997" s="274"/>
      <c r="V3997" s="263"/>
      <c r="W3997" s="35"/>
      <c r="X3997" s="35"/>
      <c r="Y3997" s="35"/>
      <c r="Z3997" s="35"/>
      <c r="AA3997" s="35"/>
      <c r="AB3997" s="35"/>
      <c r="AC3997" s="35"/>
      <c r="AD3997" s="35"/>
      <c r="AE3997" s="35"/>
      <c r="AF3997" s="35"/>
      <c r="AG3997" s="35"/>
      <c r="AH3997" s="35"/>
      <c r="AI3997" s="35"/>
    </row>
    <row r="3998">
      <c r="A3998" s="263"/>
      <c r="B3998" s="264"/>
      <c r="C3998" s="265"/>
      <c r="D3998" s="265"/>
      <c r="E3998" s="264"/>
      <c r="F3998" s="265"/>
      <c r="G3998" s="263"/>
      <c r="H3998" s="432"/>
      <c r="I3998" s="282"/>
      <c r="J3998" s="283"/>
      <c r="K3998" s="265"/>
      <c r="L3998" s="265"/>
      <c r="M3998" s="269"/>
      <c r="N3998" s="270"/>
      <c r="O3998" s="271"/>
      <c r="P3998" s="271"/>
      <c r="Q3998" s="272"/>
      <c r="R3998" s="273"/>
      <c r="S3998" s="273"/>
      <c r="T3998" s="273"/>
      <c r="U3998" s="274"/>
      <c r="V3998" s="263"/>
      <c r="W3998" s="35"/>
      <c r="X3998" s="35"/>
      <c r="Y3998" s="35"/>
      <c r="Z3998" s="35"/>
      <c r="AA3998" s="35"/>
      <c r="AB3998" s="35"/>
      <c r="AC3998" s="35"/>
      <c r="AD3998" s="35"/>
      <c r="AE3998" s="35"/>
      <c r="AF3998" s="35"/>
      <c r="AG3998" s="35"/>
      <c r="AH3998" s="35"/>
      <c r="AI3998" s="35"/>
    </row>
    <row r="3999">
      <c r="A3999" s="263"/>
      <c r="B3999" s="264"/>
      <c r="C3999" s="265"/>
      <c r="D3999" s="265"/>
      <c r="E3999" s="264"/>
      <c r="F3999" s="265"/>
      <c r="G3999" s="263"/>
      <c r="H3999" s="432"/>
      <c r="I3999" s="282"/>
      <c r="J3999" s="283"/>
      <c r="K3999" s="265"/>
      <c r="L3999" s="265"/>
      <c r="M3999" s="269"/>
      <c r="N3999" s="270"/>
      <c r="O3999" s="271"/>
      <c r="P3999" s="271"/>
      <c r="Q3999" s="272"/>
      <c r="R3999" s="273"/>
      <c r="S3999" s="273"/>
      <c r="T3999" s="273"/>
      <c r="U3999" s="274"/>
      <c r="V3999" s="263"/>
      <c r="W3999" s="35"/>
      <c r="X3999" s="35"/>
      <c r="Y3999" s="35"/>
      <c r="Z3999" s="35"/>
      <c r="AA3999" s="35"/>
      <c r="AB3999" s="35"/>
      <c r="AC3999" s="35"/>
      <c r="AD3999" s="35"/>
      <c r="AE3999" s="35"/>
      <c r="AF3999" s="35"/>
      <c r="AG3999" s="35"/>
      <c r="AH3999" s="35"/>
      <c r="AI3999" s="35"/>
    </row>
    <row r="4000">
      <c r="A4000" s="263"/>
      <c r="B4000" s="264"/>
      <c r="C4000" s="265"/>
      <c r="D4000" s="265"/>
      <c r="E4000" s="264"/>
      <c r="F4000" s="265"/>
      <c r="G4000" s="263"/>
      <c r="H4000" s="432"/>
      <c r="I4000" s="282"/>
      <c r="J4000" s="283"/>
      <c r="K4000" s="265"/>
      <c r="L4000" s="265"/>
      <c r="M4000" s="269"/>
      <c r="N4000" s="270"/>
      <c r="O4000" s="271"/>
      <c r="P4000" s="271"/>
      <c r="Q4000" s="272"/>
      <c r="R4000" s="273"/>
      <c r="S4000" s="273"/>
      <c r="T4000" s="273"/>
      <c r="U4000" s="274"/>
      <c r="V4000" s="263"/>
      <c r="W4000" s="35"/>
      <c r="X4000" s="35"/>
      <c r="Y4000" s="35"/>
      <c r="Z4000" s="35"/>
      <c r="AA4000" s="35"/>
      <c r="AB4000" s="35"/>
      <c r="AC4000" s="35"/>
      <c r="AD4000" s="35"/>
      <c r="AE4000" s="35"/>
      <c r="AF4000" s="35"/>
      <c r="AG4000" s="35"/>
      <c r="AH4000" s="35"/>
      <c r="AI4000" s="35"/>
    </row>
    <row r="4001">
      <c r="A4001" s="263"/>
      <c r="B4001" s="264"/>
      <c r="C4001" s="265"/>
      <c r="D4001" s="265"/>
      <c r="E4001" s="264"/>
      <c r="F4001" s="265"/>
      <c r="G4001" s="263"/>
      <c r="H4001" s="432"/>
      <c r="I4001" s="282"/>
      <c r="J4001" s="283"/>
      <c r="K4001" s="265"/>
      <c r="L4001" s="265"/>
      <c r="M4001" s="269"/>
      <c r="N4001" s="270"/>
      <c r="O4001" s="271"/>
      <c r="P4001" s="271"/>
      <c r="Q4001" s="272"/>
      <c r="R4001" s="273"/>
      <c r="S4001" s="273"/>
      <c r="T4001" s="260"/>
      <c r="U4001" s="261"/>
      <c r="V4001" s="251"/>
      <c r="W4001" s="35"/>
      <c r="X4001" s="35"/>
      <c r="Y4001" s="35"/>
      <c r="Z4001" s="35"/>
      <c r="AA4001" s="35"/>
      <c r="AB4001" s="35"/>
      <c r="AC4001" s="35"/>
      <c r="AD4001" s="35"/>
      <c r="AE4001" s="35"/>
      <c r="AF4001" s="35"/>
      <c r="AG4001" s="35"/>
      <c r="AH4001" s="35"/>
      <c r="AI4001" s="35"/>
    </row>
    <row r="4002">
      <c r="A4002" s="263"/>
      <c r="B4002" s="264"/>
      <c r="C4002" s="265"/>
      <c r="D4002" s="265"/>
      <c r="E4002" s="264"/>
      <c r="F4002" s="265"/>
      <c r="G4002" s="263"/>
      <c r="H4002" s="432"/>
      <c r="I4002" s="282"/>
      <c r="J4002" s="283"/>
      <c r="K4002" s="265"/>
      <c r="L4002" s="265"/>
      <c r="M4002" s="269"/>
      <c r="N4002" s="270"/>
      <c r="O4002" s="271"/>
      <c r="P4002" s="271"/>
      <c r="Q4002" s="272"/>
      <c r="R4002" s="273"/>
      <c r="S4002" s="273"/>
      <c r="T4002" s="273"/>
      <c r="U4002" s="274"/>
      <c r="V4002" s="263"/>
      <c r="W4002" s="35"/>
      <c r="X4002" s="35"/>
      <c r="Y4002" s="35"/>
      <c r="Z4002" s="35"/>
      <c r="AA4002" s="35"/>
      <c r="AB4002" s="35"/>
      <c r="AC4002" s="35"/>
      <c r="AD4002" s="35"/>
      <c r="AE4002" s="35"/>
      <c r="AF4002" s="35"/>
      <c r="AG4002" s="35"/>
      <c r="AH4002" s="35"/>
      <c r="AI4002" s="35"/>
    </row>
    <row r="4003">
      <c r="A4003" s="263"/>
      <c r="B4003" s="264"/>
      <c r="C4003" s="265"/>
      <c r="D4003" s="265"/>
      <c r="E4003" s="264"/>
      <c r="F4003" s="265"/>
      <c r="G4003" s="263"/>
      <c r="H4003" s="432"/>
      <c r="I4003" s="282"/>
      <c r="J4003" s="283"/>
      <c r="K4003" s="265"/>
      <c r="L4003" s="265"/>
      <c r="M4003" s="269"/>
      <c r="N4003" s="270"/>
      <c r="O4003" s="271"/>
      <c r="P4003" s="271"/>
      <c r="Q4003" s="272"/>
      <c r="R4003" s="273"/>
      <c r="S4003" s="273"/>
      <c r="T4003" s="273"/>
      <c r="U4003" s="274"/>
      <c r="V4003" s="263"/>
      <c r="W4003" s="35"/>
      <c r="X4003" s="35"/>
      <c r="Y4003" s="35"/>
      <c r="Z4003" s="35"/>
      <c r="AA4003" s="35"/>
      <c r="AB4003" s="35"/>
      <c r="AC4003" s="35"/>
      <c r="AD4003" s="35"/>
      <c r="AE4003" s="35"/>
      <c r="AF4003" s="35"/>
      <c r="AG4003" s="35"/>
      <c r="AH4003" s="35"/>
      <c r="AI4003" s="35"/>
    </row>
    <row r="4004">
      <c r="A4004" s="263"/>
      <c r="B4004" s="264"/>
      <c r="C4004" s="265"/>
      <c r="D4004" s="265"/>
      <c r="E4004" s="264"/>
      <c r="F4004" s="265"/>
      <c r="G4004" s="263"/>
      <c r="H4004" s="432"/>
      <c r="I4004" s="282"/>
      <c r="J4004" s="283"/>
      <c r="K4004" s="265"/>
      <c r="L4004" s="265"/>
      <c r="M4004" s="269"/>
      <c r="N4004" s="270"/>
      <c r="O4004" s="271"/>
      <c r="P4004" s="271"/>
      <c r="Q4004" s="272"/>
      <c r="R4004" s="273"/>
      <c r="S4004" s="273"/>
      <c r="T4004" s="273"/>
      <c r="U4004" s="274"/>
      <c r="V4004" s="263"/>
      <c r="W4004" s="35"/>
      <c r="X4004" s="35"/>
      <c r="Y4004" s="35"/>
      <c r="Z4004" s="35"/>
      <c r="AA4004" s="35"/>
      <c r="AB4004" s="35"/>
      <c r="AC4004" s="35"/>
      <c r="AD4004" s="35"/>
      <c r="AE4004" s="35"/>
      <c r="AF4004" s="35"/>
      <c r="AG4004" s="35"/>
      <c r="AH4004" s="35"/>
      <c r="AI4004" s="35"/>
    </row>
    <row r="4005">
      <c r="A4005" s="263"/>
      <c r="B4005" s="264"/>
      <c r="C4005" s="265"/>
      <c r="D4005" s="265"/>
      <c r="E4005" s="264"/>
      <c r="F4005" s="265"/>
      <c r="G4005" s="263"/>
      <c r="H4005" s="432"/>
      <c r="I4005" s="282"/>
      <c r="J4005" s="283"/>
      <c r="K4005" s="265"/>
      <c r="L4005" s="265"/>
      <c r="M4005" s="269"/>
      <c r="N4005" s="270"/>
      <c r="O4005" s="271"/>
      <c r="P4005" s="271"/>
      <c r="Q4005" s="272"/>
      <c r="R4005" s="273"/>
      <c r="S4005" s="273"/>
      <c r="T4005" s="273"/>
      <c r="U4005" s="274"/>
      <c r="V4005" s="263"/>
      <c r="W4005" s="35"/>
      <c r="X4005" s="35"/>
      <c r="Y4005" s="35"/>
      <c r="Z4005" s="35"/>
      <c r="AA4005" s="35"/>
      <c r="AB4005" s="35"/>
      <c r="AC4005" s="35"/>
      <c r="AD4005" s="35"/>
      <c r="AE4005" s="35"/>
      <c r="AF4005" s="35"/>
      <c r="AG4005" s="35"/>
      <c r="AH4005" s="35"/>
      <c r="AI4005" s="35"/>
    </row>
    <row r="4006">
      <c r="A4006" s="263"/>
      <c r="B4006" s="264"/>
      <c r="C4006" s="265"/>
      <c r="D4006" s="265"/>
      <c r="E4006" s="264"/>
      <c r="F4006" s="265"/>
      <c r="G4006" s="263"/>
      <c r="H4006" s="432"/>
      <c r="I4006" s="282"/>
      <c r="J4006" s="283"/>
      <c r="K4006" s="265"/>
      <c r="L4006" s="265"/>
      <c r="M4006" s="269"/>
      <c r="N4006" s="270"/>
      <c r="O4006" s="271"/>
      <c r="P4006" s="271"/>
      <c r="Q4006" s="272"/>
      <c r="R4006" s="273"/>
      <c r="S4006" s="273"/>
      <c r="T4006" s="273"/>
      <c r="U4006" s="274"/>
      <c r="V4006" s="263"/>
      <c r="W4006" s="35"/>
      <c r="X4006" s="35"/>
      <c r="Y4006" s="35"/>
      <c r="Z4006" s="35"/>
      <c r="AA4006" s="35"/>
      <c r="AB4006" s="35"/>
      <c r="AC4006" s="35"/>
      <c r="AD4006" s="35"/>
      <c r="AE4006" s="35"/>
      <c r="AF4006" s="35"/>
      <c r="AG4006" s="35"/>
      <c r="AH4006" s="35"/>
      <c r="AI4006" s="35"/>
    </row>
    <row r="4007">
      <c r="A4007" s="263"/>
      <c r="B4007" s="264"/>
      <c r="C4007" s="265"/>
      <c r="D4007" s="265"/>
      <c r="E4007" s="264"/>
      <c r="F4007" s="265"/>
      <c r="G4007" s="263"/>
      <c r="H4007" s="432"/>
      <c r="I4007" s="282"/>
      <c r="J4007" s="283"/>
      <c r="K4007" s="265"/>
      <c r="L4007" s="265"/>
      <c r="M4007" s="269"/>
      <c r="N4007" s="270"/>
      <c r="O4007" s="271"/>
      <c r="P4007" s="271"/>
      <c r="Q4007" s="272"/>
      <c r="R4007" s="273"/>
      <c r="S4007" s="273"/>
      <c r="T4007" s="273"/>
      <c r="U4007" s="274"/>
      <c r="V4007" s="263"/>
      <c r="W4007" s="35"/>
      <c r="X4007" s="35"/>
      <c r="Y4007" s="35"/>
      <c r="Z4007" s="35"/>
      <c r="AA4007" s="35"/>
      <c r="AB4007" s="35"/>
      <c r="AC4007" s="35"/>
      <c r="AD4007" s="35"/>
      <c r="AE4007" s="35"/>
      <c r="AF4007" s="35"/>
      <c r="AG4007" s="35"/>
      <c r="AH4007" s="35"/>
      <c r="AI4007" s="35"/>
    </row>
    <row r="4008">
      <c r="A4008" s="263"/>
      <c r="B4008" s="264"/>
      <c r="C4008" s="265"/>
      <c r="D4008" s="265"/>
      <c r="E4008" s="264"/>
      <c r="F4008" s="265"/>
      <c r="G4008" s="263"/>
      <c r="H4008" s="432"/>
      <c r="I4008" s="282"/>
      <c r="J4008" s="283"/>
      <c r="K4008" s="265"/>
      <c r="L4008" s="265"/>
      <c r="M4008" s="269"/>
      <c r="N4008" s="270"/>
      <c r="O4008" s="271"/>
      <c r="P4008" s="271"/>
      <c r="Q4008" s="272"/>
      <c r="R4008" s="273"/>
      <c r="S4008" s="273"/>
      <c r="T4008" s="273"/>
      <c r="U4008" s="274"/>
      <c r="V4008" s="263"/>
      <c r="W4008" s="35"/>
      <c r="X4008" s="35"/>
      <c r="Y4008" s="35"/>
      <c r="Z4008" s="35"/>
      <c r="AA4008" s="35"/>
      <c r="AB4008" s="35"/>
      <c r="AC4008" s="35"/>
      <c r="AD4008" s="35"/>
      <c r="AE4008" s="35"/>
      <c r="AF4008" s="35"/>
      <c r="AG4008" s="35"/>
      <c r="AH4008" s="35"/>
      <c r="AI4008" s="35"/>
    </row>
    <row r="4009">
      <c r="A4009" s="263"/>
      <c r="B4009" s="264"/>
      <c r="C4009" s="265"/>
      <c r="D4009" s="265"/>
      <c r="E4009" s="264"/>
      <c r="F4009" s="265"/>
      <c r="G4009" s="263"/>
      <c r="H4009" s="432"/>
      <c r="I4009" s="282"/>
      <c r="J4009" s="283"/>
      <c r="K4009" s="265"/>
      <c r="L4009" s="265"/>
      <c r="M4009" s="269"/>
      <c r="N4009" s="270"/>
      <c r="O4009" s="271"/>
      <c r="P4009" s="271"/>
      <c r="Q4009" s="272"/>
      <c r="R4009" s="273"/>
      <c r="S4009" s="273"/>
      <c r="T4009" s="273"/>
      <c r="U4009" s="274"/>
      <c r="V4009" s="263"/>
      <c r="W4009" s="35"/>
      <c r="X4009" s="35"/>
      <c r="Y4009" s="35"/>
      <c r="Z4009" s="35"/>
      <c r="AA4009" s="35"/>
      <c r="AB4009" s="35"/>
      <c r="AC4009" s="35"/>
      <c r="AD4009" s="35"/>
      <c r="AE4009" s="35"/>
      <c r="AF4009" s="35"/>
      <c r="AG4009" s="35"/>
      <c r="AH4009" s="35"/>
      <c r="AI4009" s="35"/>
    </row>
    <row r="4010">
      <c r="A4010" s="263"/>
      <c r="B4010" s="264"/>
      <c r="C4010" s="265"/>
      <c r="D4010" s="265"/>
      <c r="E4010" s="264"/>
      <c r="F4010" s="265"/>
      <c r="G4010" s="263"/>
      <c r="H4010" s="432"/>
      <c r="I4010" s="282"/>
      <c r="J4010" s="283"/>
      <c r="K4010" s="265"/>
      <c r="L4010" s="265"/>
      <c r="M4010" s="269"/>
      <c r="N4010" s="270"/>
      <c r="O4010" s="271"/>
      <c r="P4010" s="271"/>
      <c r="Q4010" s="272"/>
      <c r="R4010" s="273"/>
      <c r="S4010" s="273"/>
      <c r="T4010" s="273"/>
      <c r="U4010" s="274"/>
      <c r="V4010" s="263"/>
      <c r="W4010" s="35"/>
      <c r="X4010" s="35"/>
      <c r="Y4010" s="35"/>
      <c r="Z4010" s="35"/>
      <c r="AA4010" s="35"/>
      <c r="AB4010" s="35"/>
      <c r="AC4010" s="35"/>
      <c r="AD4010" s="35"/>
      <c r="AE4010" s="35"/>
      <c r="AF4010" s="35"/>
      <c r="AG4010" s="35"/>
      <c r="AH4010" s="35"/>
      <c r="AI4010" s="35"/>
    </row>
    <row r="4011">
      <c r="A4011" s="263"/>
      <c r="B4011" s="264"/>
      <c r="C4011" s="265"/>
      <c r="D4011" s="265"/>
      <c r="E4011" s="264"/>
      <c r="F4011" s="265"/>
      <c r="G4011" s="263"/>
      <c r="H4011" s="432"/>
      <c r="I4011" s="282"/>
      <c r="J4011" s="283"/>
      <c r="K4011" s="265"/>
      <c r="L4011" s="265"/>
      <c r="M4011" s="269"/>
      <c r="N4011" s="270"/>
      <c r="O4011" s="271"/>
      <c r="P4011" s="271"/>
      <c r="Q4011" s="272"/>
      <c r="R4011" s="273"/>
      <c r="S4011" s="273"/>
      <c r="T4011" s="273"/>
      <c r="U4011" s="274"/>
      <c r="V4011" s="263"/>
      <c r="W4011" s="35"/>
      <c r="X4011" s="35"/>
      <c r="Y4011" s="35"/>
      <c r="Z4011" s="35"/>
      <c r="AA4011" s="35"/>
      <c r="AB4011" s="35"/>
      <c r="AC4011" s="35"/>
      <c r="AD4011" s="35"/>
      <c r="AE4011" s="35"/>
      <c r="AF4011" s="35"/>
      <c r="AG4011" s="35"/>
      <c r="AH4011" s="35"/>
      <c r="AI4011" s="35"/>
    </row>
    <row r="4012">
      <c r="A4012" s="263"/>
      <c r="B4012" s="264"/>
      <c r="C4012" s="265"/>
      <c r="D4012" s="265"/>
      <c r="E4012" s="264"/>
      <c r="F4012" s="265"/>
      <c r="G4012" s="263"/>
      <c r="H4012" s="432"/>
      <c r="I4012" s="282"/>
      <c r="J4012" s="283"/>
      <c r="K4012" s="265"/>
      <c r="L4012" s="265"/>
      <c r="M4012" s="269"/>
      <c r="N4012" s="270"/>
      <c r="O4012" s="271"/>
      <c r="P4012" s="271"/>
      <c r="Q4012" s="272"/>
      <c r="R4012" s="273"/>
      <c r="S4012" s="273"/>
      <c r="T4012" s="273"/>
      <c r="U4012" s="274"/>
      <c r="V4012" s="263"/>
      <c r="W4012" s="35"/>
      <c r="X4012" s="35"/>
      <c r="Y4012" s="35"/>
      <c r="Z4012" s="35"/>
      <c r="AA4012" s="35"/>
      <c r="AB4012" s="35"/>
      <c r="AC4012" s="35"/>
      <c r="AD4012" s="35"/>
      <c r="AE4012" s="35"/>
      <c r="AF4012" s="35"/>
      <c r="AG4012" s="35"/>
      <c r="AH4012" s="35"/>
      <c r="AI4012" s="35"/>
    </row>
    <row r="4013">
      <c r="A4013" s="263"/>
      <c r="B4013" s="264"/>
      <c r="C4013" s="265"/>
      <c r="D4013" s="265"/>
      <c r="E4013" s="264"/>
      <c r="F4013" s="265"/>
      <c r="G4013" s="263"/>
      <c r="H4013" s="432"/>
      <c r="I4013" s="282"/>
      <c r="J4013" s="283"/>
      <c r="K4013" s="265"/>
      <c r="L4013" s="265"/>
      <c r="M4013" s="269"/>
      <c r="N4013" s="270"/>
      <c r="O4013" s="271"/>
      <c r="P4013" s="271"/>
      <c r="Q4013" s="272"/>
      <c r="R4013" s="273"/>
      <c r="S4013" s="273"/>
      <c r="T4013" s="273"/>
      <c r="U4013" s="274"/>
      <c r="V4013" s="263"/>
      <c r="W4013" s="35"/>
      <c r="X4013" s="35"/>
      <c r="Y4013" s="35"/>
      <c r="Z4013" s="35"/>
      <c r="AA4013" s="35"/>
      <c r="AB4013" s="35"/>
      <c r="AC4013" s="35"/>
      <c r="AD4013" s="35"/>
      <c r="AE4013" s="35"/>
      <c r="AF4013" s="35"/>
      <c r="AG4013" s="35"/>
      <c r="AH4013" s="35"/>
      <c r="AI4013" s="35"/>
    </row>
    <row r="4014">
      <c r="A4014" s="263"/>
      <c r="B4014" s="264"/>
      <c r="C4014" s="265"/>
      <c r="D4014" s="265"/>
      <c r="E4014" s="264"/>
      <c r="F4014" s="265"/>
      <c r="G4014" s="263"/>
      <c r="H4014" s="432"/>
      <c r="I4014" s="282"/>
      <c r="J4014" s="283"/>
      <c r="K4014" s="265"/>
      <c r="L4014" s="265"/>
      <c r="M4014" s="269"/>
      <c r="N4014" s="270"/>
      <c r="O4014" s="271"/>
      <c r="P4014" s="271"/>
      <c r="Q4014" s="272"/>
      <c r="R4014" s="273"/>
      <c r="S4014" s="273"/>
      <c r="T4014" s="273"/>
      <c r="U4014" s="274"/>
      <c r="V4014" s="263"/>
      <c r="W4014" s="35"/>
      <c r="X4014" s="35"/>
      <c r="Y4014" s="35"/>
      <c r="Z4014" s="35"/>
      <c r="AA4014" s="35"/>
      <c r="AB4014" s="35"/>
      <c r="AC4014" s="35"/>
      <c r="AD4014" s="35"/>
      <c r="AE4014" s="35"/>
      <c r="AF4014" s="35"/>
      <c r="AG4014" s="35"/>
      <c r="AH4014" s="35"/>
      <c r="AI4014" s="35"/>
    </row>
    <row r="4015">
      <c r="A4015" s="263"/>
      <c r="B4015" s="264"/>
      <c r="C4015" s="265"/>
      <c r="D4015" s="265"/>
      <c r="E4015" s="264"/>
      <c r="F4015" s="265"/>
      <c r="G4015" s="263"/>
      <c r="H4015" s="432"/>
      <c r="I4015" s="282"/>
      <c r="J4015" s="283"/>
      <c r="K4015" s="265"/>
      <c r="L4015" s="265"/>
      <c r="M4015" s="269"/>
      <c r="N4015" s="270"/>
      <c r="O4015" s="271"/>
      <c r="P4015" s="271"/>
      <c r="Q4015" s="272"/>
      <c r="R4015" s="273"/>
      <c r="S4015" s="273"/>
      <c r="T4015" s="273"/>
      <c r="U4015" s="274"/>
      <c r="V4015" s="263"/>
      <c r="W4015" s="35"/>
      <c r="X4015" s="35"/>
      <c r="Y4015" s="35"/>
      <c r="Z4015" s="35"/>
      <c r="AA4015" s="35"/>
      <c r="AB4015" s="35"/>
      <c r="AC4015" s="35"/>
      <c r="AD4015" s="35"/>
      <c r="AE4015" s="35"/>
      <c r="AF4015" s="35"/>
      <c r="AG4015" s="35"/>
      <c r="AH4015" s="35"/>
      <c r="AI4015" s="35"/>
    </row>
    <row r="4016">
      <c r="A4016" s="263"/>
      <c r="B4016" s="264"/>
      <c r="C4016" s="265"/>
      <c r="D4016" s="265"/>
      <c r="E4016" s="264"/>
      <c r="F4016" s="265"/>
      <c r="G4016" s="263"/>
      <c r="H4016" s="432"/>
      <c r="I4016" s="282"/>
      <c r="J4016" s="283"/>
      <c r="K4016" s="265"/>
      <c r="L4016" s="265"/>
      <c r="M4016" s="269"/>
      <c r="N4016" s="270"/>
      <c r="O4016" s="271"/>
      <c r="P4016" s="271"/>
      <c r="Q4016" s="272"/>
      <c r="R4016" s="273"/>
      <c r="S4016" s="273"/>
      <c r="T4016" s="273"/>
      <c r="U4016" s="274"/>
      <c r="V4016" s="263"/>
      <c r="W4016" s="35"/>
      <c r="X4016" s="35"/>
      <c r="Y4016" s="35"/>
      <c r="Z4016" s="35"/>
      <c r="AA4016" s="35"/>
      <c r="AB4016" s="35"/>
      <c r="AC4016" s="35"/>
      <c r="AD4016" s="35"/>
      <c r="AE4016" s="35"/>
      <c r="AF4016" s="35"/>
      <c r="AG4016" s="35"/>
      <c r="AH4016" s="35"/>
      <c r="AI4016" s="35"/>
    </row>
    <row r="4017">
      <c r="A4017" s="263"/>
      <c r="B4017" s="264"/>
      <c r="C4017" s="265"/>
      <c r="D4017" s="265"/>
      <c r="E4017" s="264"/>
      <c r="F4017" s="265"/>
      <c r="G4017" s="263"/>
      <c r="H4017" s="432"/>
      <c r="I4017" s="282"/>
      <c r="J4017" s="283"/>
      <c r="K4017" s="265"/>
      <c r="L4017" s="265"/>
      <c r="M4017" s="269"/>
      <c r="N4017" s="270"/>
      <c r="O4017" s="271"/>
      <c r="P4017" s="271"/>
      <c r="Q4017" s="272"/>
      <c r="R4017" s="273"/>
      <c r="S4017" s="273"/>
      <c r="T4017" s="273"/>
      <c r="U4017" s="274"/>
      <c r="V4017" s="263"/>
      <c r="W4017" s="35"/>
      <c r="X4017" s="35"/>
      <c r="Y4017" s="35"/>
      <c r="Z4017" s="35"/>
      <c r="AA4017" s="35"/>
      <c r="AB4017" s="35"/>
      <c r="AC4017" s="35"/>
      <c r="AD4017" s="35"/>
      <c r="AE4017" s="35"/>
      <c r="AF4017" s="35"/>
      <c r="AG4017" s="35"/>
      <c r="AH4017" s="35"/>
      <c r="AI4017" s="35"/>
    </row>
    <row r="4018">
      <c r="A4018" s="263"/>
      <c r="B4018" s="264"/>
      <c r="C4018" s="265"/>
      <c r="D4018" s="265"/>
      <c r="E4018" s="264"/>
      <c r="F4018" s="265"/>
      <c r="G4018" s="263"/>
      <c r="H4018" s="432"/>
      <c r="I4018" s="282"/>
      <c r="J4018" s="283"/>
      <c r="K4018" s="265"/>
      <c r="L4018" s="265"/>
      <c r="M4018" s="269"/>
      <c r="N4018" s="270"/>
      <c r="O4018" s="271"/>
      <c r="P4018" s="271"/>
      <c r="Q4018" s="272"/>
      <c r="R4018" s="273"/>
      <c r="S4018" s="273"/>
      <c r="T4018" s="273"/>
      <c r="U4018" s="274"/>
      <c r="V4018" s="263"/>
      <c r="W4018" s="35"/>
      <c r="X4018" s="35"/>
      <c r="Y4018" s="35"/>
      <c r="Z4018" s="35"/>
      <c r="AA4018" s="35"/>
      <c r="AB4018" s="35"/>
      <c r="AC4018" s="35"/>
      <c r="AD4018" s="35"/>
      <c r="AE4018" s="35"/>
      <c r="AF4018" s="35"/>
      <c r="AG4018" s="35"/>
      <c r="AH4018" s="35"/>
      <c r="AI4018" s="35"/>
    </row>
    <row r="4019">
      <c r="A4019" s="263"/>
      <c r="B4019" s="264"/>
      <c r="C4019" s="265"/>
      <c r="D4019" s="265"/>
      <c r="E4019" s="264"/>
      <c r="F4019" s="265"/>
      <c r="G4019" s="263"/>
      <c r="H4019" s="432"/>
      <c r="I4019" s="282"/>
      <c r="J4019" s="283"/>
      <c r="K4019" s="265"/>
      <c r="L4019" s="265"/>
      <c r="M4019" s="269"/>
      <c r="N4019" s="270"/>
      <c r="O4019" s="271"/>
      <c r="P4019" s="271"/>
      <c r="Q4019" s="272"/>
      <c r="R4019" s="273"/>
      <c r="S4019" s="273"/>
      <c r="T4019" s="273"/>
      <c r="U4019" s="274"/>
      <c r="V4019" s="263"/>
      <c r="W4019" s="35"/>
      <c r="X4019" s="35"/>
      <c r="Y4019" s="35"/>
      <c r="Z4019" s="35"/>
      <c r="AA4019" s="35"/>
      <c r="AB4019" s="35"/>
      <c r="AC4019" s="35"/>
      <c r="AD4019" s="35"/>
      <c r="AE4019" s="35"/>
      <c r="AF4019" s="35"/>
      <c r="AG4019" s="35"/>
      <c r="AH4019" s="35"/>
      <c r="AI4019" s="35"/>
    </row>
    <row r="4020">
      <c r="A4020" s="263"/>
      <c r="B4020" s="264"/>
      <c r="C4020" s="265"/>
      <c r="D4020" s="265"/>
      <c r="E4020" s="264"/>
      <c r="F4020" s="265"/>
      <c r="G4020" s="263"/>
      <c r="H4020" s="432"/>
      <c r="I4020" s="282"/>
      <c r="J4020" s="283"/>
      <c r="K4020" s="265"/>
      <c r="L4020" s="265"/>
      <c r="M4020" s="269"/>
      <c r="N4020" s="270"/>
      <c r="O4020" s="271"/>
      <c r="P4020" s="271"/>
      <c r="Q4020" s="272"/>
      <c r="R4020" s="273"/>
      <c r="S4020" s="273"/>
      <c r="T4020" s="273"/>
      <c r="U4020" s="274"/>
      <c r="V4020" s="263"/>
      <c r="W4020" s="35"/>
      <c r="X4020" s="35"/>
      <c r="Y4020" s="35"/>
      <c r="Z4020" s="35"/>
      <c r="AA4020" s="35"/>
      <c r="AB4020" s="35"/>
      <c r="AC4020" s="35"/>
      <c r="AD4020" s="35"/>
      <c r="AE4020" s="35"/>
      <c r="AF4020" s="35"/>
      <c r="AG4020" s="35"/>
      <c r="AH4020" s="35"/>
      <c r="AI4020" s="35"/>
    </row>
    <row r="4021">
      <c r="A4021" s="263"/>
      <c r="B4021" s="264"/>
      <c r="C4021" s="265"/>
      <c r="D4021" s="265"/>
      <c r="E4021" s="264"/>
      <c r="F4021" s="265"/>
      <c r="G4021" s="263"/>
      <c r="H4021" s="432"/>
      <c r="I4021" s="282"/>
      <c r="J4021" s="283"/>
      <c r="K4021" s="265"/>
      <c r="L4021" s="265"/>
      <c r="M4021" s="269"/>
      <c r="N4021" s="270"/>
      <c r="O4021" s="271"/>
      <c r="P4021" s="271"/>
      <c r="Q4021" s="272"/>
      <c r="R4021" s="273"/>
      <c r="S4021" s="273"/>
      <c r="T4021" s="273"/>
      <c r="U4021" s="274"/>
      <c r="V4021" s="263"/>
      <c r="W4021" s="35"/>
      <c r="X4021" s="35"/>
      <c r="Y4021" s="35"/>
      <c r="Z4021" s="35"/>
      <c r="AA4021" s="35"/>
      <c r="AB4021" s="35"/>
      <c r="AC4021" s="35"/>
      <c r="AD4021" s="35"/>
      <c r="AE4021" s="35"/>
      <c r="AF4021" s="35"/>
      <c r="AG4021" s="35"/>
      <c r="AH4021" s="35"/>
      <c r="AI4021" s="35"/>
    </row>
    <row r="4022">
      <c r="A4022" s="263"/>
      <c r="B4022" s="264"/>
      <c r="C4022" s="265"/>
      <c r="D4022" s="265"/>
      <c r="E4022" s="264"/>
      <c r="F4022" s="265"/>
      <c r="G4022" s="263"/>
      <c r="H4022" s="432"/>
      <c r="I4022" s="282"/>
      <c r="J4022" s="283"/>
      <c r="K4022" s="265"/>
      <c r="L4022" s="265"/>
      <c r="M4022" s="269"/>
      <c r="N4022" s="270"/>
      <c r="O4022" s="271"/>
      <c r="P4022" s="271"/>
      <c r="Q4022" s="272"/>
      <c r="R4022" s="273"/>
      <c r="S4022" s="273"/>
      <c r="T4022" s="273"/>
      <c r="U4022" s="274"/>
      <c r="V4022" s="263"/>
      <c r="W4022" s="35"/>
      <c r="X4022" s="35"/>
      <c r="Y4022" s="35"/>
      <c r="Z4022" s="35"/>
      <c r="AA4022" s="35"/>
      <c r="AB4022" s="35"/>
      <c r="AC4022" s="35"/>
      <c r="AD4022" s="35"/>
      <c r="AE4022" s="35"/>
      <c r="AF4022" s="35"/>
      <c r="AG4022" s="35"/>
      <c r="AH4022" s="35"/>
      <c r="AI4022" s="35"/>
    </row>
    <row r="4023">
      <c r="A4023" s="263"/>
      <c r="B4023" s="264"/>
      <c r="C4023" s="265"/>
      <c r="D4023" s="265"/>
      <c r="E4023" s="264"/>
      <c r="F4023" s="265"/>
      <c r="G4023" s="263"/>
      <c r="H4023" s="432"/>
      <c r="I4023" s="282"/>
      <c r="J4023" s="283"/>
      <c r="K4023" s="265"/>
      <c r="L4023" s="265"/>
      <c r="M4023" s="269"/>
      <c r="N4023" s="270"/>
      <c r="O4023" s="271"/>
      <c r="P4023" s="271"/>
      <c r="Q4023" s="272"/>
      <c r="R4023" s="273"/>
      <c r="S4023" s="273"/>
      <c r="T4023" s="273"/>
      <c r="U4023" s="274"/>
      <c r="V4023" s="263"/>
      <c r="W4023" s="35"/>
      <c r="X4023" s="35"/>
      <c r="Y4023" s="35"/>
      <c r="Z4023" s="35"/>
      <c r="AA4023" s="35"/>
      <c r="AB4023" s="35"/>
      <c r="AC4023" s="35"/>
      <c r="AD4023" s="35"/>
      <c r="AE4023" s="35"/>
      <c r="AF4023" s="35"/>
      <c r="AG4023" s="35"/>
      <c r="AH4023" s="35"/>
      <c r="AI4023" s="35"/>
    </row>
    <row r="4024">
      <c r="A4024" s="263"/>
      <c r="B4024" s="264"/>
      <c r="C4024" s="265"/>
      <c r="D4024" s="265"/>
      <c r="E4024" s="264"/>
      <c r="F4024" s="265"/>
      <c r="G4024" s="263"/>
      <c r="H4024" s="432"/>
      <c r="I4024" s="282"/>
      <c r="J4024" s="283"/>
      <c r="K4024" s="265"/>
      <c r="L4024" s="265"/>
      <c r="M4024" s="269"/>
      <c r="N4024" s="270"/>
      <c r="O4024" s="271"/>
      <c r="P4024" s="271"/>
      <c r="Q4024" s="272"/>
      <c r="R4024" s="273"/>
      <c r="S4024" s="273"/>
      <c r="T4024" s="273"/>
      <c r="U4024" s="274"/>
      <c r="V4024" s="263"/>
      <c r="W4024" s="35"/>
      <c r="X4024" s="35"/>
      <c r="Y4024" s="35"/>
      <c r="Z4024" s="35"/>
      <c r="AA4024" s="35"/>
      <c r="AB4024" s="35"/>
      <c r="AC4024" s="35"/>
      <c r="AD4024" s="35"/>
      <c r="AE4024" s="35"/>
      <c r="AF4024" s="35"/>
      <c r="AG4024" s="35"/>
      <c r="AH4024" s="35"/>
      <c r="AI4024" s="35"/>
    </row>
    <row r="4025">
      <c r="A4025" s="263"/>
      <c r="B4025" s="264"/>
      <c r="C4025" s="265"/>
      <c r="D4025" s="265"/>
      <c r="E4025" s="264"/>
      <c r="F4025" s="265"/>
      <c r="G4025" s="263"/>
      <c r="H4025" s="432"/>
      <c r="I4025" s="282"/>
      <c r="J4025" s="283"/>
      <c r="K4025" s="265"/>
      <c r="L4025" s="265"/>
      <c r="M4025" s="269"/>
      <c r="N4025" s="270"/>
      <c r="O4025" s="271"/>
      <c r="P4025" s="271"/>
      <c r="Q4025" s="272"/>
      <c r="R4025" s="273"/>
      <c r="S4025" s="273"/>
      <c r="T4025" s="273"/>
      <c r="U4025" s="274"/>
      <c r="V4025" s="263"/>
      <c r="W4025" s="35"/>
      <c r="X4025" s="35"/>
      <c r="Y4025" s="35"/>
      <c r="Z4025" s="35"/>
      <c r="AA4025" s="35"/>
      <c r="AB4025" s="35"/>
      <c r="AC4025" s="35"/>
      <c r="AD4025" s="35"/>
      <c r="AE4025" s="35"/>
      <c r="AF4025" s="35"/>
      <c r="AG4025" s="35"/>
      <c r="AH4025" s="35"/>
      <c r="AI4025" s="35"/>
    </row>
    <row r="4026">
      <c r="A4026" s="263"/>
      <c r="B4026" s="264"/>
      <c r="C4026" s="265"/>
      <c r="D4026" s="265"/>
      <c r="E4026" s="264"/>
      <c r="F4026" s="265"/>
      <c r="G4026" s="263"/>
      <c r="H4026" s="432"/>
      <c r="I4026" s="282"/>
      <c r="J4026" s="283"/>
      <c r="K4026" s="265"/>
      <c r="L4026" s="265"/>
      <c r="M4026" s="269"/>
      <c r="N4026" s="270"/>
      <c r="O4026" s="271"/>
      <c r="P4026" s="271"/>
      <c r="Q4026" s="272"/>
      <c r="R4026" s="273"/>
      <c r="S4026" s="273"/>
      <c r="T4026" s="273"/>
      <c r="U4026" s="274"/>
      <c r="V4026" s="263"/>
      <c r="W4026" s="35"/>
      <c r="X4026" s="35"/>
      <c r="Y4026" s="35"/>
      <c r="Z4026" s="35"/>
      <c r="AA4026" s="35"/>
      <c r="AB4026" s="35"/>
      <c r="AC4026" s="35"/>
      <c r="AD4026" s="35"/>
      <c r="AE4026" s="35"/>
      <c r="AF4026" s="35"/>
      <c r="AG4026" s="35"/>
      <c r="AH4026" s="35"/>
      <c r="AI4026" s="35"/>
    </row>
    <row r="4027">
      <c r="A4027" s="263"/>
      <c r="B4027" s="264"/>
      <c r="C4027" s="265"/>
      <c r="D4027" s="265"/>
      <c r="E4027" s="264"/>
      <c r="F4027" s="265"/>
      <c r="G4027" s="263"/>
      <c r="H4027" s="432"/>
      <c r="I4027" s="282"/>
      <c r="J4027" s="283"/>
      <c r="K4027" s="265"/>
      <c r="L4027" s="265"/>
      <c r="M4027" s="269"/>
      <c r="N4027" s="270"/>
      <c r="O4027" s="271"/>
      <c r="P4027" s="271"/>
      <c r="Q4027" s="272"/>
      <c r="R4027" s="273"/>
      <c r="S4027" s="273"/>
      <c r="T4027" s="273"/>
      <c r="U4027" s="274"/>
      <c r="V4027" s="263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</row>
    <row r="4028">
      <c r="A4028" s="263"/>
      <c r="B4028" s="264"/>
      <c r="C4028" s="265"/>
      <c r="D4028" s="265"/>
      <c r="E4028" s="264"/>
      <c r="F4028" s="265"/>
      <c r="G4028" s="263"/>
      <c r="H4028" s="432"/>
      <c r="I4028" s="282"/>
      <c r="J4028" s="283"/>
      <c r="K4028" s="265"/>
      <c r="L4028" s="265"/>
      <c r="M4028" s="269"/>
      <c r="N4028" s="270"/>
      <c r="O4028" s="271"/>
      <c r="P4028" s="271"/>
      <c r="Q4028" s="272"/>
      <c r="R4028" s="273"/>
      <c r="S4028" s="273"/>
      <c r="T4028" s="273"/>
      <c r="U4028" s="274"/>
      <c r="V4028" s="263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</row>
    <row r="4029">
      <c r="A4029" s="263"/>
      <c r="B4029" s="264"/>
      <c r="C4029" s="265"/>
      <c r="D4029" s="265"/>
      <c r="E4029" s="264"/>
      <c r="F4029" s="265"/>
      <c r="G4029" s="263"/>
      <c r="H4029" s="432"/>
      <c r="I4029" s="282"/>
      <c r="J4029" s="283"/>
      <c r="K4029" s="265"/>
      <c r="L4029" s="265"/>
      <c r="M4029" s="269"/>
      <c r="N4029" s="270"/>
      <c r="O4029" s="271"/>
      <c r="P4029" s="271"/>
      <c r="Q4029" s="272"/>
      <c r="R4029" s="273"/>
      <c r="S4029" s="273"/>
      <c r="T4029" s="273"/>
      <c r="U4029" s="274"/>
      <c r="V4029" s="263"/>
      <c r="W4029" s="188"/>
      <c r="X4029" s="188"/>
      <c r="Y4029" s="188"/>
      <c r="Z4029" s="188"/>
      <c r="AA4029" s="188"/>
      <c r="AB4029" s="188"/>
      <c r="AC4029" s="188"/>
      <c r="AD4029" s="188"/>
      <c r="AE4029" s="188"/>
      <c r="AF4029" s="188"/>
      <c r="AG4029" s="188"/>
      <c r="AH4029" s="188"/>
      <c r="AI4029" s="188"/>
    </row>
    <row r="4030">
      <c r="A4030" s="263"/>
      <c r="B4030" s="264"/>
      <c r="C4030" s="265"/>
      <c r="D4030" s="265"/>
      <c r="E4030" s="264"/>
      <c r="F4030" s="265"/>
      <c r="G4030" s="263"/>
      <c r="H4030" s="432"/>
      <c r="I4030" s="282"/>
      <c r="J4030" s="283"/>
      <c r="K4030" s="265"/>
      <c r="L4030" s="265"/>
      <c r="M4030" s="269"/>
      <c r="N4030" s="270"/>
      <c r="O4030" s="271"/>
      <c r="P4030" s="271"/>
      <c r="Q4030" s="272"/>
      <c r="R4030" s="273"/>
      <c r="S4030" s="273"/>
      <c r="T4030" s="273"/>
      <c r="U4030" s="274"/>
      <c r="V4030" s="263"/>
      <c r="W4030" s="188"/>
      <c r="X4030" s="188"/>
      <c r="Y4030" s="188"/>
      <c r="Z4030" s="188"/>
      <c r="AA4030" s="188"/>
      <c r="AB4030" s="188"/>
      <c r="AC4030" s="188"/>
      <c r="AD4030" s="188"/>
      <c r="AE4030" s="188"/>
      <c r="AF4030" s="188"/>
      <c r="AG4030" s="188"/>
      <c r="AH4030" s="188"/>
      <c r="AI4030" s="188"/>
    </row>
    <row r="4031">
      <c r="A4031" s="263"/>
      <c r="B4031" s="264"/>
      <c r="C4031" s="265"/>
      <c r="D4031" s="265"/>
      <c r="E4031" s="264"/>
      <c r="F4031" s="265"/>
      <c r="G4031" s="263"/>
      <c r="H4031" s="432"/>
      <c r="I4031" s="282"/>
      <c r="J4031" s="283"/>
      <c r="K4031" s="265"/>
      <c r="L4031" s="265"/>
      <c r="M4031" s="269"/>
      <c r="N4031" s="270"/>
      <c r="O4031" s="271"/>
      <c r="P4031" s="271"/>
      <c r="Q4031" s="272"/>
      <c r="R4031" s="273"/>
      <c r="S4031" s="273"/>
      <c r="T4031" s="260"/>
      <c r="U4031" s="261"/>
      <c r="V4031" s="251"/>
      <c r="W4031" s="35"/>
      <c r="X4031" s="35"/>
      <c r="Y4031" s="35"/>
      <c r="Z4031" s="35"/>
      <c r="AA4031" s="35"/>
      <c r="AB4031" s="35"/>
      <c r="AC4031" s="35"/>
      <c r="AD4031" s="35"/>
      <c r="AE4031" s="35"/>
      <c r="AF4031" s="35"/>
      <c r="AG4031" s="35"/>
      <c r="AH4031" s="35"/>
      <c r="AI4031" s="35"/>
    </row>
    <row r="4032">
      <c r="A4032" s="263"/>
      <c r="B4032" s="264"/>
      <c r="C4032" s="265"/>
      <c r="D4032" s="265"/>
      <c r="E4032" s="264"/>
      <c r="F4032" s="265"/>
      <c r="G4032" s="263"/>
      <c r="H4032" s="432"/>
      <c r="I4032" s="282"/>
      <c r="J4032" s="283"/>
      <c r="K4032" s="265"/>
      <c r="L4032" s="265"/>
      <c r="M4032" s="269"/>
      <c r="N4032" s="270"/>
      <c r="O4032" s="271"/>
      <c r="P4032" s="271"/>
      <c r="Q4032" s="272"/>
      <c r="R4032" s="273"/>
      <c r="S4032" s="273"/>
      <c r="T4032" s="260"/>
      <c r="U4032" s="261"/>
      <c r="V4032" s="276"/>
      <c r="W4032" s="35"/>
      <c r="X4032" s="35"/>
      <c r="Y4032" s="35"/>
      <c r="Z4032" s="35"/>
      <c r="AA4032" s="35"/>
      <c r="AB4032" s="35"/>
      <c r="AC4032" s="35"/>
      <c r="AD4032" s="35"/>
      <c r="AE4032" s="35"/>
      <c r="AF4032" s="35"/>
      <c r="AG4032" s="35"/>
      <c r="AH4032" s="35"/>
      <c r="AI4032" s="35"/>
    </row>
    <row r="4033">
      <c r="A4033" s="263"/>
      <c r="B4033" s="264"/>
      <c r="C4033" s="265"/>
      <c r="D4033" s="265"/>
      <c r="E4033" s="264"/>
      <c r="F4033" s="265"/>
      <c r="G4033" s="263"/>
      <c r="H4033" s="432"/>
      <c r="I4033" s="282"/>
      <c r="J4033" s="283"/>
      <c r="K4033" s="265"/>
      <c r="L4033" s="265"/>
      <c r="M4033" s="269"/>
      <c r="N4033" s="270"/>
      <c r="O4033" s="271"/>
      <c r="P4033" s="271"/>
      <c r="Q4033" s="272"/>
      <c r="R4033" s="273"/>
      <c r="S4033" s="273"/>
      <c r="T4033" s="273"/>
      <c r="U4033" s="274"/>
      <c r="V4033" s="263"/>
      <c r="W4033" s="35"/>
      <c r="X4033" s="35"/>
      <c r="Y4033" s="35"/>
      <c r="Z4033" s="35"/>
      <c r="AA4033" s="35"/>
      <c r="AB4033" s="35"/>
      <c r="AC4033" s="35"/>
      <c r="AD4033" s="35"/>
      <c r="AE4033" s="35"/>
      <c r="AF4033" s="35"/>
      <c r="AG4033" s="35"/>
      <c r="AH4033" s="35"/>
      <c r="AI4033" s="35"/>
    </row>
    <row r="4034">
      <c r="A4034" s="263"/>
      <c r="B4034" s="264"/>
      <c r="C4034" s="265"/>
      <c r="D4034" s="265"/>
      <c r="E4034" s="264"/>
      <c r="F4034" s="265"/>
      <c r="G4034" s="263"/>
      <c r="H4034" s="432"/>
      <c r="I4034" s="282"/>
      <c r="J4034" s="283"/>
      <c r="K4034" s="265"/>
      <c r="L4034" s="265"/>
      <c r="M4034" s="269"/>
      <c r="N4034" s="270"/>
      <c r="O4034" s="271"/>
      <c r="P4034" s="271"/>
      <c r="Q4034" s="272"/>
      <c r="R4034" s="273"/>
      <c r="S4034" s="273"/>
      <c r="T4034" s="273"/>
      <c r="U4034" s="274"/>
      <c r="V4034" s="263"/>
      <c r="W4034" s="35"/>
      <c r="X4034" s="35"/>
      <c r="Y4034" s="35"/>
      <c r="Z4034" s="35"/>
      <c r="AA4034" s="35"/>
      <c r="AB4034" s="35"/>
      <c r="AC4034" s="35"/>
      <c r="AD4034" s="35"/>
      <c r="AE4034" s="35"/>
      <c r="AF4034" s="35"/>
      <c r="AG4034" s="35"/>
      <c r="AH4034" s="35"/>
      <c r="AI4034" s="35"/>
    </row>
    <row r="4035">
      <c r="A4035" s="263"/>
      <c r="B4035" s="264"/>
      <c r="C4035" s="265"/>
      <c r="D4035" s="265"/>
      <c r="E4035" s="264"/>
      <c r="F4035" s="265"/>
      <c r="G4035" s="263"/>
      <c r="H4035" s="432"/>
      <c r="I4035" s="282"/>
      <c r="J4035" s="283"/>
      <c r="K4035" s="265"/>
      <c r="L4035" s="265"/>
      <c r="M4035" s="269"/>
      <c r="N4035" s="270"/>
      <c r="O4035" s="271"/>
      <c r="P4035" s="271"/>
      <c r="Q4035" s="272"/>
      <c r="R4035" s="273"/>
      <c r="S4035" s="273"/>
      <c r="T4035" s="273"/>
      <c r="U4035" s="274"/>
      <c r="V4035" s="263"/>
      <c r="W4035" s="35"/>
      <c r="X4035" s="35"/>
      <c r="Y4035" s="35"/>
      <c r="Z4035" s="35"/>
      <c r="AA4035" s="35"/>
      <c r="AB4035" s="35"/>
      <c r="AC4035" s="35"/>
      <c r="AD4035" s="35"/>
      <c r="AE4035" s="35"/>
      <c r="AF4035" s="35"/>
      <c r="AG4035" s="35"/>
      <c r="AH4035" s="35"/>
      <c r="AI4035" s="35"/>
    </row>
    <row r="4036">
      <c r="A4036" s="263"/>
      <c r="B4036" s="264"/>
      <c r="C4036" s="265"/>
      <c r="D4036" s="265"/>
      <c r="E4036" s="264"/>
      <c r="F4036" s="265"/>
      <c r="G4036" s="263"/>
      <c r="H4036" s="432"/>
      <c r="I4036" s="282"/>
      <c r="J4036" s="283"/>
      <c r="K4036" s="265"/>
      <c r="L4036" s="265"/>
      <c r="M4036" s="269"/>
      <c r="N4036" s="270"/>
      <c r="O4036" s="271"/>
      <c r="P4036" s="271"/>
      <c r="Q4036" s="272"/>
      <c r="R4036" s="273"/>
      <c r="S4036" s="273"/>
      <c r="T4036" s="273"/>
      <c r="U4036" s="274"/>
      <c r="V4036" s="263"/>
      <c r="W4036" s="35"/>
      <c r="X4036" s="35"/>
      <c r="Y4036" s="35"/>
      <c r="Z4036" s="35"/>
      <c r="AA4036" s="35"/>
      <c r="AB4036" s="35"/>
      <c r="AC4036" s="35"/>
      <c r="AD4036" s="35"/>
      <c r="AE4036" s="35"/>
      <c r="AF4036" s="35"/>
      <c r="AG4036" s="35"/>
      <c r="AH4036" s="35"/>
      <c r="AI4036" s="35"/>
    </row>
    <row r="4037">
      <c r="A4037" s="263"/>
      <c r="B4037" s="264"/>
      <c r="C4037" s="265"/>
      <c r="D4037" s="265"/>
      <c r="E4037" s="264"/>
      <c r="F4037" s="265"/>
      <c r="G4037" s="263"/>
      <c r="H4037" s="432"/>
      <c r="I4037" s="282"/>
      <c r="J4037" s="283"/>
      <c r="K4037" s="265"/>
      <c r="L4037" s="265"/>
      <c r="M4037" s="269"/>
      <c r="N4037" s="270"/>
      <c r="O4037" s="271"/>
      <c r="P4037" s="271"/>
      <c r="Q4037" s="272"/>
      <c r="R4037" s="273"/>
      <c r="S4037" s="273"/>
      <c r="T4037" s="273"/>
      <c r="U4037" s="274"/>
      <c r="V4037" s="263"/>
      <c r="W4037" s="35"/>
      <c r="X4037" s="35"/>
      <c r="Y4037" s="35"/>
      <c r="Z4037" s="35"/>
      <c r="AA4037" s="35"/>
      <c r="AB4037" s="35"/>
      <c r="AC4037" s="35"/>
      <c r="AD4037" s="35"/>
      <c r="AE4037" s="35"/>
      <c r="AF4037" s="35"/>
      <c r="AG4037" s="35"/>
      <c r="AH4037" s="35"/>
      <c r="AI4037" s="35"/>
    </row>
    <row r="4038">
      <c r="A4038" s="263"/>
      <c r="B4038" s="264"/>
      <c r="C4038" s="265"/>
      <c r="D4038" s="265"/>
      <c r="E4038" s="264"/>
      <c r="F4038" s="265"/>
      <c r="G4038" s="263"/>
      <c r="H4038" s="432"/>
      <c r="I4038" s="282"/>
      <c r="J4038" s="283"/>
      <c r="K4038" s="265"/>
      <c r="L4038" s="265"/>
      <c r="M4038" s="269"/>
      <c r="N4038" s="270"/>
      <c r="O4038" s="271"/>
      <c r="P4038" s="271"/>
      <c r="Q4038" s="272"/>
      <c r="R4038" s="273"/>
      <c r="S4038" s="273"/>
      <c r="T4038" s="273"/>
      <c r="U4038" s="274"/>
      <c r="V4038" s="263"/>
      <c r="W4038" s="35"/>
      <c r="X4038" s="35"/>
      <c r="Y4038" s="35"/>
      <c r="Z4038" s="35"/>
      <c r="AA4038" s="35"/>
      <c r="AB4038" s="35"/>
      <c r="AC4038" s="35"/>
      <c r="AD4038" s="35"/>
      <c r="AE4038" s="35"/>
      <c r="AF4038" s="35"/>
      <c r="AG4038" s="35"/>
      <c r="AH4038" s="35"/>
      <c r="AI4038" s="35"/>
    </row>
    <row r="4039">
      <c r="A4039" s="263"/>
      <c r="B4039" s="264"/>
      <c r="C4039" s="265"/>
      <c r="D4039" s="265"/>
      <c r="E4039" s="264"/>
      <c r="F4039" s="265"/>
      <c r="G4039" s="263"/>
      <c r="H4039" s="432"/>
      <c r="I4039" s="282"/>
      <c r="J4039" s="283"/>
      <c r="K4039" s="265"/>
      <c r="L4039" s="265"/>
      <c r="M4039" s="269"/>
      <c r="N4039" s="270"/>
      <c r="O4039" s="271"/>
      <c r="P4039" s="271"/>
      <c r="Q4039" s="272"/>
      <c r="R4039" s="273"/>
      <c r="S4039" s="273"/>
      <c r="T4039" s="273"/>
      <c r="U4039" s="274"/>
      <c r="V4039" s="263"/>
      <c r="W4039" s="35"/>
      <c r="X4039" s="35"/>
      <c r="Y4039" s="35"/>
      <c r="Z4039" s="35"/>
      <c r="AA4039" s="35"/>
      <c r="AB4039" s="35"/>
      <c r="AC4039" s="35"/>
      <c r="AD4039" s="35"/>
      <c r="AE4039" s="35"/>
      <c r="AF4039" s="35"/>
      <c r="AG4039" s="35"/>
      <c r="AH4039" s="35"/>
      <c r="AI4039" s="35"/>
    </row>
    <row r="4040">
      <c r="A4040" s="263"/>
      <c r="B4040" s="264"/>
      <c r="C4040" s="265"/>
      <c r="D4040" s="265"/>
      <c r="E4040" s="264"/>
      <c r="F4040" s="265"/>
      <c r="G4040" s="263"/>
      <c r="H4040" s="432"/>
      <c r="I4040" s="282"/>
      <c r="J4040" s="283"/>
      <c r="K4040" s="265"/>
      <c r="L4040" s="265"/>
      <c r="M4040" s="269"/>
      <c r="N4040" s="270"/>
      <c r="O4040" s="271"/>
      <c r="P4040" s="271"/>
      <c r="Q4040" s="272"/>
      <c r="R4040" s="273"/>
      <c r="S4040" s="273"/>
      <c r="T4040" s="273"/>
      <c r="U4040" s="274"/>
      <c r="V4040" s="263"/>
      <c r="W4040" s="35"/>
      <c r="X4040" s="35"/>
      <c r="Y4040" s="35"/>
      <c r="Z4040" s="35"/>
      <c r="AA4040" s="35"/>
      <c r="AB4040" s="35"/>
      <c r="AC4040" s="35"/>
      <c r="AD4040" s="35"/>
      <c r="AE4040" s="35"/>
      <c r="AF4040" s="35"/>
      <c r="AG4040" s="35"/>
      <c r="AH4040" s="35"/>
      <c r="AI4040" s="35"/>
    </row>
    <row r="4041">
      <c r="A4041" s="263"/>
      <c r="B4041" s="264"/>
      <c r="C4041" s="265"/>
      <c r="D4041" s="265"/>
      <c r="E4041" s="264"/>
      <c r="F4041" s="265"/>
      <c r="G4041" s="263"/>
      <c r="H4041" s="432"/>
      <c r="I4041" s="282"/>
      <c r="J4041" s="283"/>
      <c r="K4041" s="265"/>
      <c r="L4041" s="265"/>
      <c r="M4041" s="269"/>
      <c r="N4041" s="270"/>
      <c r="O4041" s="271"/>
      <c r="P4041" s="271"/>
      <c r="Q4041" s="272"/>
      <c r="R4041" s="273"/>
      <c r="S4041" s="273"/>
      <c r="T4041" s="273"/>
      <c r="U4041" s="274"/>
      <c r="V4041" s="263"/>
      <c r="W4041" s="35"/>
      <c r="X4041" s="35"/>
      <c r="Y4041" s="35"/>
      <c r="Z4041" s="35"/>
      <c r="AA4041" s="35"/>
      <c r="AB4041" s="35"/>
      <c r="AC4041" s="35"/>
      <c r="AD4041" s="35"/>
      <c r="AE4041" s="35"/>
      <c r="AF4041" s="35"/>
      <c r="AG4041" s="35"/>
      <c r="AH4041" s="35"/>
      <c r="AI4041" s="35"/>
    </row>
    <row r="4042">
      <c r="A4042" s="263"/>
      <c r="B4042" s="264"/>
      <c r="C4042" s="265"/>
      <c r="D4042" s="265"/>
      <c r="E4042" s="264"/>
      <c r="F4042" s="265"/>
      <c r="G4042" s="263"/>
      <c r="H4042" s="432"/>
      <c r="I4042" s="282"/>
      <c r="J4042" s="283"/>
      <c r="K4042" s="265"/>
      <c r="L4042" s="265"/>
      <c r="M4042" s="269"/>
      <c r="N4042" s="270"/>
      <c r="O4042" s="271"/>
      <c r="P4042" s="271"/>
      <c r="Q4042" s="272"/>
      <c r="R4042" s="273"/>
      <c r="S4042" s="273"/>
      <c r="T4042" s="273"/>
      <c r="U4042" s="274"/>
      <c r="V4042" s="263"/>
      <c r="W4042" s="35"/>
      <c r="X4042" s="35"/>
      <c r="Y4042" s="35"/>
      <c r="Z4042" s="35"/>
      <c r="AA4042" s="35"/>
      <c r="AB4042" s="35"/>
      <c r="AC4042" s="35"/>
      <c r="AD4042" s="35"/>
      <c r="AE4042" s="35"/>
      <c r="AF4042" s="35"/>
      <c r="AG4042" s="35"/>
      <c r="AH4042" s="35"/>
      <c r="AI4042" s="35"/>
    </row>
    <row r="4043">
      <c r="A4043" s="263"/>
      <c r="B4043" s="264"/>
      <c r="C4043" s="265"/>
      <c r="D4043" s="265"/>
      <c r="E4043" s="264"/>
      <c r="F4043" s="265"/>
      <c r="G4043" s="263"/>
      <c r="H4043" s="432"/>
      <c r="I4043" s="282"/>
      <c r="J4043" s="283"/>
      <c r="K4043" s="265"/>
      <c r="L4043" s="265"/>
      <c r="M4043" s="269"/>
      <c r="N4043" s="270"/>
      <c r="O4043" s="271"/>
      <c r="P4043" s="271"/>
      <c r="Q4043" s="272"/>
      <c r="R4043" s="273"/>
      <c r="S4043" s="273"/>
      <c r="T4043" s="273"/>
      <c r="U4043" s="274"/>
      <c r="V4043" s="263"/>
      <c r="W4043" s="35"/>
      <c r="X4043" s="35"/>
      <c r="Y4043" s="35"/>
      <c r="Z4043" s="35"/>
      <c r="AA4043" s="35"/>
      <c r="AB4043" s="35"/>
      <c r="AC4043" s="35"/>
      <c r="AD4043" s="35"/>
      <c r="AE4043" s="35"/>
      <c r="AF4043" s="35"/>
      <c r="AG4043" s="35"/>
      <c r="AH4043" s="35"/>
      <c r="AI4043" s="35"/>
    </row>
    <row r="4044">
      <c r="A4044" s="263"/>
      <c r="B4044" s="264"/>
      <c r="C4044" s="265"/>
      <c r="D4044" s="265"/>
      <c r="E4044" s="264"/>
      <c r="F4044" s="265"/>
      <c r="G4044" s="263"/>
      <c r="H4044" s="432"/>
      <c r="I4044" s="282"/>
      <c r="J4044" s="283"/>
      <c r="K4044" s="265"/>
      <c r="L4044" s="265"/>
      <c r="M4044" s="269"/>
      <c r="N4044" s="270"/>
      <c r="O4044" s="271"/>
      <c r="P4044" s="271"/>
      <c r="Q4044" s="272"/>
      <c r="R4044" s="273"/>
      <c r="S4044" s="273"/>
      <c r="T4044" s="273"/>
      <c r="U4044" s="274"/>
      <c r="V4044" s="263"/>
      <c r="W4044" s="35"/>
      <c r="X4044" s="35"/>
      <c r="Y4044" s="35"/>
      <c r="Z4044" s="35"/>
      <c r="AA4044" s="35"/>
      <c r="AB4044" s="35"/>
      <c r="AC4044" s="35"/>
      <c r="AD4044" s="35"/>
      <c r="AE4044" s="35"/>
      <c r="AF4044" s="35"/>
      <c r="AG4044" s="35"/>
      <c r="AH4044" s="35"/>
      <c r="AI4044" s="35"/>
    </row>
    <row r="4045">
      <c r="A4045" s="263"/>
      <c r="B4045" s="264"/>
      <c r="C4045" s="265"/>
      <c r="D4045" s="265"/>
      <c r="E4045" s="264"/>
      <c r="F4045" s="265"/>
      <c r="G4045" s="263"/>
      <c r="H4045" s="432"/>
      <c r="I4045" s="282"/>
      <c r="J4045" s="283"/>
      <c r="K4045" s="265"/>
      <c r="L4045" s="265"/>
      <c r="M4045" s="269"/>
      <c r="N4045" s="270"/>
      <c r="O4045" s="271"/>
      <c r="P4045" s="271"/>
      <c r="Q4045" s="272"/>
      <c r="R4045" s="273"/>
      <c r="S4045" s="273"/>
      <c r="T4045" s="273"/>
      <c r="U4045" s="274"/>
      <c r="V4045" s="263"/>
      <c r="W4045" s="35"/>
      <c r="X4045" s="35"/>
      <c r="Y4045" s="35"/>
      <c r="Z4045" s="35"/>
      <c r="AA4045" s="35"/>
      <c r="AB4045" s="35"/>
      <c r="AC4045" s="35"/>
      <c r="AD4045" s="35"/>
      <c r="AE4045" s="35"/>
      <c r="AF4045" s="35"/>
      <c r="AG4045" s="35"/>
      <c r="AH4045" s="35"/>
      <c r="AI4045" s="35"/>
    </row>
    <row r="4046">
      <c r="A4046" s="263"/>
      <c r="B4046" s="264"/>
      <c r="C4046" s="265"/>
      <c r="D4046" s="265"/>
      <c r="E4046" s="264"/>
      <c r="F4046" s="265"/>
      <c r="G4046" s="263"/>
      <c r="H4046" s="432"/>
      <c r="I4046" s="282"/>
      <c r="J4046" s="283"/>
      <c r="K4046" s="265"/>
      <c r="L4046" s="265"/>
      <c r="M4046" s="269"/>
      <c r="N4046" s="270"/>
      <c r="O4046" s="271"/>
      <c r="P4046" s="271"/>
      <c r="Q4046" s="272"/>
      <c r="R4046" s="273"/>
      <c r="S4046" s="273"/>
      <c r="T4046" s="273"/>
      <c r="U4046" s="274"/>
      <c r="V4046" s="263"/>
      <c r="W4046" s="35"/>
      <c r="X4046" s="35"/>
      <c r="Y4046" s="35"/>
      <c r="Z4046" s="35"/>
      <c r="AA4046" s="35"/>
      <c r="AB4046" s="35"/>
      <c r="AC4046" s="35"/>
      <c r="AD4046" s="35"/>
      <c r="AE4046" s="35"/>
      <c r="AF4046" s="35"/>
      <c r="AG4046" s="35"/>
      <c r="AH4046" s="35"/>
      <c r="AI4046" s="35"/>
    </row>
    <row r="4047">
      <c r="A4047" s="263"/>
      <c r="B4047" s="264"/>
      <c r="C4047" s="265"/>
      <c r="D4047" s="265"/>
      <c r="E4047" s="264"/>
      <c r="F4047" s="265"/>
      <c r="G4047" s="263"/>
      <c r="H4047" s="432"/>
      <c r="I4047" s="282"/>
      <c r="J4047" s="283"/>
      <c r="K4047" s="265"/>
      <c r="L4047" s="265"/>
      <c r="M4047" s="269"/>
      <c r="N4047" s="270"/>
      <c r="O4047" s="271"/>
      <c r="P4047" s="271"/>
      <c r="Q4047" s="272"/>
      <c r="R4047" s="273"/>
      <c r="S4047" s="273"/>
      <c r="T4047" s="273"/>
      <c r="U4047" s="274"/>
      <c r="V4047" s="263"/>
      <c r="W4047" s="35"/>
      <c r="X4047" s="35"/>
      <c r="Y4047" s="35"/>
      <c r="Z4047" s="35"/>
      <c r="AA4047" s="35"/>
      <c r="AB4047" s="35"/>
      <c r="AC4047" s="35"/>
      <c r="AD4047" s="35"/>
      <c r="AE4047" s="35"/>
      <c r="AF4047" s="35"/>
      <c r="AG4047" s="35"/>
      <c r="AH4047" s="35"/>
      <c r="AI4047" s="35"/>
    </row>
    <row r="4048">
      <c r="A4048" s="263"/>
      <c r="B4048" s="264"/>
      <c r="C4048" s="265"/>
      <c r="D4048" s="265"/>
      <c r="E4048" s="264"/>
      <c r="F4048" s="265"/>
      <c r="G4048" s="263"/>
      <c r="H4048" s="432"/>
      <c r="I4048" s="282"/>
      <c r="J4048" s="283"/>
      <c r="K4048" s="265"/>
      <c r="L4048" s="265"/>
      <c r="M4048" s="269"/>
      <c r="N4048" s="270"/>
      <c r="O4048" s="271"/>
      <c r="P4048" s="271"/>
      <c r="Q4048" s="272"/>
      <c r="R4048" s="273"/>
      <c r="S4048" s="273"/>
      <c r="T4048" s="273"/>
      <c r="U4048" s="274"/>
      <c r="V4048" s="263"/>
      <c r="W4048" s="35"/>
      <c r="X4048" s="35"/>
      <c r="Y4048" s="35"/>
      <c r="Z4048" s="35"/>
      <c r="AA4048" s="35"/>
      <c r="AB4048" s="35"/>
      <c r="AC4048" s="35"/>
      <c r="AD4048" s="35"/>
      <c r="AE4048" s="35"/>
      <c r="AF4048" s="35"/>
      <c r="AG4048" s="35"/>
      <c r="AH4048" s="35"/>
      <c r="AI4048" s="35"/>
    </row>
    <row r="4049">
      <c r="A4049" s="263"/>
      <c r="B4049" s="264"/>
      <c r="C4049" s="265"/>
      <c r="D4049" s="265"/>
      <c r="E4049" s="264"/>
      <c r="F4049" s="265"/>
      <c r="G4049" s="263"/>
      <c r="H4049" s="432"/>
      <c r="I4049" s="282"/>
      <c r="J4049" s="283"/>
      <c r="K4049" s="265"/>
      <c r="L4049" s="265"/>
      <c r="M4049" s="269"/>
      <c r="N4049" s="270"/>
      <c r="O4049" s="271"/>
      <c r="P4049" s="271"/>
      <c r="Q4049" s="272"/>
      <c r="R4049" s="273"/>
      <c r="S4049" s="273"/>
      <c r="T4049" s="273"/>
      <c r="U4049" s="274"/>
      <c r="V4049" s="263"/>
      <c r="W4049" s="35"/>
      <c r="X4049" s="35"/>
      <c r="Y4049" s="35"/>
      <c r="Z4049" s="35"/>
      <c r="AA4049" s="35"/>
      <c r="AB4049" s="35"/>
      <c r="AC4049" s="35"/>
      <c r="AD4049" s="35"/>
      <c r="AE4049" s="35"/>
      <c r="AF4049" s="35"/>
      <c r="AG4049" s="35"/>
      <c r="AH4049" s="35"/>
      <c r="AI4049" s="35"/>
    </row>
    <row r="4050">
      <c r="A4050" s="263"/>
      <c r="B4050" s="264"/>
      <c r="C4050" s="265"/>
      <c r="D4050" s="265"/>
      <c r="E4050" s="264"/>
      <c r="F4050" s="265"/>
      <c r="G4050" s="263"/>
      <c r="H4050" s="432"/>
      <c r="I4050" s="282"/>
      <c r="J4050" s="283"/>
      <c r="K4050" s="265"/>
      <c r="L4050" s="265"/>
      <c r="M4050" s="269"/>
      <c r="N4050" s="270"/>
      <c r="O4050" s="271"/>
      <c r="P4050" s="271"/>
      <c r="Q4050" s="272"/>
      <c r="R4050" s="273"/>
      <c r="S4050" s="273"/>
      <c r="T4050" s="260"/>
      <c r="U4050" s="261"/>
      <c r="V4050" s="304"/>
      <c r="W4050" s="35"/>
      <c r="X4050" s="35"/>
      <c r="Y4050" s="35"/>
      <c r="Z4050" s="35"/>
      <c r="AA4050" s="35"/>
      <c r="AB4050" s="35"/>
      <c r="AC4050" s="35"/>
      <c r="AD4050" s="35"/>
      <c r="AE4050" s="35"/>
      <c r="AF4050" s="35"/>
      <c r="AG4050" s="35"/>
      <c r="AH4050" s="35"/>
      <c r="AI4050" s="35"/>
    </row>
    <row r="4051">
      <c r="A4051" s="263"/>
      <c r="B4051" s="264"/>
      <c r="C4051" s="265"/>
      <c r="D4051" s="265"/>
      <c r="E4051" s="264"/>
      <c r="F4051" s="265"/>
      <c r="G4051" s="263"/>
      <c r="H4051" s="432"/>
      <c r="I4051" s="282"/>
      <c r="J4051" s="283"/>
      <c r="K4051" s="265"/>
      <c r="L4051" s="265"/>
      <c r="M4051" s="269"/>
      <c r="N4051" s="270"/>
      <c r="O4051" s="271"/>
      <c r="P4051" s="271"/>
      <c r="Q4051" s="272"/>
      <c r="R4051" s="273"/>
      <c r="S4051" s="273"/>
      <c r="T4051" s="273"/>
      <c r="U4051" s="274"/>
      <c r="V4051" s="263"/>
      <c r="W4051" s="35"/>
      <c r="X4051" s="35"/>
      <c r="Y4051" s="35"/>
      <c r="Z4051" s="35"/>
      <c r="AA4051" s="35"/>
      <c r="AB4051" s="35"/>
      <c r="AC4051" s="35"/>
      <c r="AD4051" s="35"/>
      <c r="AE4051" s="35"/>
      <c r="AF4051" s="35"/>
      <c r="AG4051" s="35"/>
      <c r="AH4051" s="35"/>
      <c r="AI4051" s="35"/>
    </row>
    <row r="4052">
      <c r="A4052" s="263"/>
      <c r="B4052" s="264"/>
      <c r="C4052" s="265"/>
      <c r="D4052" s="265"/>
      <c r="E4052" s="264"/>
      <c r="F4052" s="265"/>
      <c r="G4052" s="263"/>
      <c r="H4052" s="432"/>
      <c r="I4052" s="282"/>
      <c r="J4052" s="283"/>
      <c r="K4052" s="265"/>
      <c r="L4052" s="265"/>
      <c r="M4052" s="269"/>
      <c r="N4052" s="270"/>
      <c r="O4052" s="271"/>
      <c r="P4052" s="271"/>
      <c r="Q4052" s="272"/>
      <c r="R4052" s="273"/>
      <c r="S4052" s="273"/>
      <c r="T4052" s="273"/>
      <c r="U4052" s="274"/>
      <c r="V4052" s="263"/>
      <c r="W4052" s="35"/>
      <c r="X4052" s="35"/>
      <c r="Y4052" s="35"/>
      <c r="Z4052" s="35"/>
      <c r="AA4052" s="35"/>
      <c r="AB4052" s="35"/>
      <c r="AC4052" s="35"/>
      <c r="AD4052" s="35"/>
      <c r="AE4052" s="35"/>
      <c r="AF4052" s="35"/>
      <c r="AG4052" s="35"/>
      <c r="AH4052" s="35"/>
      <c r="AI4052" s="35"/>
    </row>
    <row r="4053">
      <c r="A4053" s="263"/>
      <c r="B4053" s="264"/>
      <c r="C4053" s="265"/>
      <c r="D4053" s="265"/>
      <c r="E4053" s="264"/>
      <c r="F4053" s="265"/>
      <c r="G4053" s="263"/>
      <c r="H4053" s="432"/>
      <c r="I4053" s="282"/>
      <c r="J4053" s="283"/>
      <c r="K4053" s="265"/>
      <c r="L4053" s="265"/>
      <c r="M4053" s="269"/>
      <c r="N4053" s="270"/>
      <c r="O4053" s="271"/>
      <c r="P4053" s="271"/>
      <c r="Q4053" s="272"/>
      <c r="R4053" s="273"/>
      <c r="S4053" s="273"/>
      <c r="T4053" s="273"/>
      <c r="U4053" s="274"/>
      <c r="V4053" s="263"/>
      <c r="W4053" s="35"/>
      <c r="X4053" s="35"/>
      <c r="Y4053" s="35"/>
      <c r="Z4053" s="35"/>
      <c r="AA4053" s="35"/>
      <c r="AB4053" s="35"/>
      <c r="AC4053" s="35"/>
      <c r="AD4053" s="35"/>
      <c r="AE4053" s="35"/>
      <c r="AF4053" s="35"/>
      <c r="AG4053" s="35"/>
      <c r="AH4053" s="35"/>
      <c r="AI4053" s="35"/>
    </row>
    <row r="4054">
      <c r="A4054" s="263"/>
      <c r="B4054" s="264"/>
      <c r="C4054" s="265"/>
      <c r="D4054" s="265"/>
      <c r="E4054" s="264"/>
      <c r="F4054" s="265"/>
      <c r="G4054" s="263"/>
      <c r="H4054" s="432"/>
      <c r="I4054" s="282"/>
      <c r="J4054" s="283"/>
      <c r="K4054" s="265"/>
      <c r="L4054" s="265"/>
      <c r="M4054" s="269"/>
      <c r="N4054" s="270"/>
      <c r="O4054" s="271"/>
      <c r="P4054" s="271"/>
      <c r="Q4054" s="272"/>
      <c r="R4054" s="273"/>
      <c r="S4054" s="273"/>
      <c r="T4054" s="273"/>
      <c r="U4054" s="274"/>
      <c r="V4054" s="263"/>
      <c r="W4054" s="35"/>
      <c r="X4054" s="35"/>
      <c r="Y4054" s="35"/>
      <c r="Z4054" s="35"/>
      <c r="AA4054" s="35"/>
      <c r="AB4054" s="35"/>
      <c r="AC4054" s="35"/>
      <c r="AD4054" s="35"/>
      <c r="AE4054" s="35"/>
      <c r="AF4054" s="35"/>
      <c r="AG4054" s="35"/>
      <c r="AH4054" s="35"/>
      <c r="AI4054" s="35"/>
    </row>
    <row r="4055">
      <c r="A4055" s="263"/>
      <c r="B4055" s="264"/>
      <c r="C4055" s="265"/>
      <c r="D4055" s="265"/>
      <c r="E4055" s="264"/>
      <c r="F4055" s="265"/>
      <c r="G4055" s="263"/>
      <c r="H4055" s="432"/>
      <c r="I4055" s="282"/>
      <c r="J4055" s="283"/>
      <c r="K4055" s="265"/>
      <c r="L4055" s="265"/>
      <c r="M4055" s="269"/>
      <c r="N4055" s="270"/>
      <c r="O4055" s="271"/>
      <c r="P4055" s="271"/>
      <c r="Q4055" s="272"/>
      <c r="R4055" s="273"/>
      <c r="S4055" s="273"/>
      <c r="T4055" s="273"/>
      <c r="U4055" s="274"/>
      <c r="V4055" s="263"/>
      <c r="W4055" s="35"/>
      <c r="X4055" s="35"/>
      <c r="Y4055" s="35"/>
      <c r="Z4055" s="35"/>
      <c r="AA4055" s="35"/>
      <c r="AB4055" s="35"/>
      <c r="AC4055" s="35"/>
      <c r="AD4055" s="35"/>
      <c r="AE4055" s="35"/>
      <c r="AF4055" s="35"/>
      <c r="AG4055" s="35"/>
      <c r="AH4055" s="35"/>
      <c r="AI4055" s="35"/>
    </row>
    <row r="4056">
      <c r="A4056" s="263"/>
      <c r="B4056" s="264"/>
      <c r="C4056" s="265"/>
      <c r="D4056" s="265"/>
      <c r="E4056" s="264"/>
      <c r="F4056" s="265"/>
      <c r="G4056" s="263"/>
      <c r="H4056" s="432"/>
      <c r="I4056" s="282"/>
      <c r="J4056" s="283"/>
      <c r="K4056" s="265"/>
      <c r="L4056" s="265"/>
      <c r="M4056" s="269"/>
      <c r="N4056" s="270"/>
      <c r="O4056" s="271"/>
      <c r="P4056" s="271"/>
      <c r="Q4056" s="272"/>
      <c r="R4056" s="273"/>
      <c r="S4056" s="273"/>
      <c r="T4056" s="273"/>
      <c r="U4056" s="274"/>
      <c r="V4056" s="263"/>
      <c r="W4056" s="35"/>
      <c r="X4056" s="35"/>
      <c r="Y4056" s="35"/>
      <c r="Z4056" s="35"/>
      <c r="AA4056" s="35"/>
      <c r="AB4056" s="35"/>
      <c r="AC4056" s="35"/>
      <c r="AD4056" s="35"/>
      <c r="AE4056" s="35"/>
      <c r="AF4056" s="35"/>
      <c r="AG4056" s="35"/>
      <c r="AH4056" s="35"/>
      <c r="AI4056" s="35"/>
    </row>
    <row r="4057">
      <c r="A4057" s="263"/>
      <c r="B4057" s="264"/>
      <c r="C4057" s="265"/>
      <c r="D4057" s="265"/>
      <c r="E4057" s="264"/>
      <c r="F4057" s="265"/>
      <c r="G4057" s="263"/>
      <c r="H4057" s="432"/>
      <c r="I4057" s="282"/>
      <c r="J4057" s="283"/>
      <c r="K4057" s="265"/>
      <c r="L4057" s="265"/>
      <c r="M4057" s="269"/>
      <c r="N4057" s="270"/>
      <c r="O4057" s="271"/>
      <c r="P4057" s="271"/>
      <c r="Q4057" s="272"/>
      <c r="R4057" s="273"/>
      <c r="S4057" s="273"/>
      <c r="T4057" s="273"/>
      <c r="U4057" s="274"/>
      <c r="V4057" s="263"/>
      <c r="W4057" s="35"/>
      <c r="X4057" s="35"/>
      <c r="Y4057" s="35"/>
      <c r="Z4057" s="35"/>
      <c r="AA4057" s="35"/>
      <c r="AB4057" s="35"/>
      <c r="AC4057" s="35"/>
      <c r="AD4057" s="35"/>
      <c r="AE4057" s="35"/>
      <c r="AF4057" s="35"/>
      <c r="AG4057" s="35"/>
      <c r="AH4057" s="35"/>
      <c r="AI4057" s="35"/>
    </row>
    <row r="4058">
      <c r="A4058" s="263"/>
      <c r="B4058" s="264"/>
      <c r="C4058" s="265"/>
      <c r="D4058" s="265"/>
      <c r="E4058" s="264"/>
      <c r="F4058" s="265"/>
      <c r="G4058" s="263"/>
      <c r="H4058" s="432"/>
      <c r="I4058" s="282"/>
      <c r="J4058" s="283"/>
      <c r="K4058" s="265"/>
      <c r="L4058" s="265"/>
      <c r="M4058" s="269"/>
      <c r="N4058" s="270"/>
      <c r="O4058" s="271"/>
      <c r="P4058" s="271"/>
      <c r="Q4058" s="272"/>
      <c r="R4058" s="273"/>
      <c r="S4058" s="273"/>
      <c r="T4058" s="273"/>
      <c r="U4058" s="274"/>
      <c r="V4058" s="263"/>
      <c r="W4058" s="35"/>
      <c r="X4058" s="35"/>
      <c r="Y4058" s="35"/>
      <c r="Z4058" s="35"/>
      <c r="AA4058" s="35"/>
      <c r="AB4058" s="35"/>
      <c r="AC4058" s="35"/>
      <c r="AD4058" s="35"/>
      <c r="AE4058" s="35"/>
      <c r="AF4058" s="35"/>
      <c r="AG4058" s="35"/>
      <c r="AH4058" s="35"/>
      <c r="AI4058" s="35"/>
    </row>
    <row r="4059">
      <c r="A4059" s="263"/>
      <c r="B4059" s="264"/>
      <c r="C4059" s="265"/>
      <c r="D4059" s="265"/>
      <c r="E4059" s="264"/>
      <c r="F4059" s="265"/>
      <c r="G4059" s="263"/>
      <c r="H4059" s="432"/>
      <c r="I4059" s="282"/>
      <c r="J4059" s="283"/>
      <c r="K4059" s="265"/>
      <c r="L4059" s="265"/>
      <c r="M4059" s="269"/>
      <c r="N4059" s="270"/>
      <c r="O4059" s="271"/>
      <c r="P4059" s="271"/>
      <c r="Q4059" s="272"/>
      <c r="R4059" s="273"/>
      <c r="S4059" s="273"/>
      <c r="T4059" s="273"/>
      <c r="U4059" s="274"/>
      <c r="V4059" s="263"/>
      <c r="W4059" s="35"/>
      <c r="X4059" s="35"/>
      <c r="Y4059" s="35"/>
      <c r="Z4059" s="35"/>
      <c r="AA4059" s="35"/>
      <c r="AB4059" s="35"/>
      <c r="AC4059" s="35"/>
      <c r="AD4059" s="35"/>
      <c r="AE4059" s="35"/>
      <c r="AF4059" s="35"/>
      <c r="AG4059" s="35"/>
      <c r="AH4059" s="35"/>
      <c r="AI4059" s="35"/>
    </row>
    <row r="4060">
      <c r="A4060" s="263"/>
      <c r="B4060" s="264"/>
      <c r="C4060" s="265"/>
      <c r="D4060" s="265"/>
      <c r="E4060" s="264"/>
      <c r="F4060" s="265"/>
      <c r="G4060" s="263"/>
      <c r="H4060" s="432"/>
      <c r="I4060" s="282"/>
      <c r="J4060" s="283"/>
      <c r="K4060" s="265"/>
      <c r="L4060" s="265"/>
      <c r="M4060" s="269"/>
      <c r="N4060" s="270"/>
      <c r="O4060" s="271"/>
      <c r="P4060" s="271"/>
      <c r="Q4060" s="272"/>
      <c r="R4060" s="273"/>
      <c r="S4060" s="273"/>
      <c r="T4060" s="273"/>
      <c r="U4060" s="274"/>
      <c r="V4060" s="263"/>
      <c r="W4060" s="35"/>
      <c r="X4060" s="35"/>
      <c r="Y4060" s="35"/>
      <c r="Z4060" s="35"/>
      <c r="AA4060" s="35"/>
      <c r="AB4060" s="35"/>
      <c r="AC4060" s="35"/>
      <c r="AD4060" s="35"/>
      <c r="AE4060" s="35"/>
      <c r="AF4060" s="35"/>
      <c r="AG4060" s="35"/>
      <c r="AH4060" s="35"/>
      <c r="AI4060" s="35"/>
    </row>
    <row r="4061">
      <c r="A4061" s="263"/>
      <c r="B4061" s="264"/>
      <c r="C4061" s="265"/>
      <c r="D4061" s="265"/>
      <c r="E4061" s="264"/>
      <c r="F4061" s="265"/>
      <c r="G4061" s="263"/>
      <c r="H4061" s="432"/>
      <c r="I4061" s="282"/>
      <c r="J4061" s="283"/>
      <c r="K4061" s="265"/>
      <c r="L4061" s="265"/>
      <c r="M4061" s="269"/>
      <c r="N4061" s="270"/>
      <c r="O4061" s="271"/>
      <c r="P4061" s="271"/>
      <c r="Q4061" s="272"/>
      <c r="R4061" s="273"/>
      <c r="S4061" s="273"/>
      <c r="T4061" s="273"/>
      <c r="U4061" s="274"/>
      <c r="V4061" s="263"/>
      <c r="W4061" s="35"/>
      <c r="X4061" s="35"/>
      <c r="Y4061" s="35"/>
      <c r="Z4061" s="35"/>
      <c r="AA4061" s="35"/>
      <c r="AB4061" s="35"/>
      <c r="AC4061" s="35"/>
      <c r="AD4061" s="35"/>
      <c r="AE4061" s="35"/>
      <c r="AF4061" s="35"/>
      <c r="AG4061" s="35"/>
      <c r="AH4061" s="35"/>
      <c r="AI4061" s="35"/>
    </row>
    <row r="4062">
      <c r="A4062" s="263"/>
      <c r="B4062" s="264"/>
      <c r="C4062" s="265"/>
      <c r="D4062" s="265"/>
      <c r="E4062" s="264"/>
      <c r="F4062" s="265"/>
      <c r="G4062" s="263"/>
      <c r="H4062" s="432"/>
      <c r="I4062" s="282"/>
      <c r="J4062" s="283"/>
      <c r="K4062" s="265"/>
      <c r="L4062" s="265"/>
      <c r="M4062" s="269"/>
      <c r="N4062" s="270"/>
      <c r="O4062" s="271"/>
      <c r="P4062" s="271"/>
      <c r="Q4062" s="272"/>
      <c r="R4062" s="273"/>
      <c r="S4062" s="273"/>
      <c r="T4062" s="273"/>
      <c r="U4062" s="274"/>
      <c r="V4062" s="263"/>
      <c r="W4062" s="35"/>
      <c r="X4062" s="35"/>
      <c r="Y4062" s="35"/>
      <c r="Z4062" s="35"/>
      <c r="AA4062" s="35"/>
      <c r="AB4062" s="35"/>
      <c r="AC4062" s="35"/>
      <c r="AD4062" s="35"/>
      <c r="AE4062" s="35"/>
      <c r="AF4062" s="35"/>
      <c r="AG4062" s="35"/>
      <c r="AH4062" s="35"/>
      <c r="AI4062" s="35"/>
    </row>
    <row r="4063">
      <c r="A4063" s="263"/>
      <c r="B4063" s="264"/>
      <c r="C4063" s="265"/>
      <c r="D4063" s="265"/>
      <c r="E4063" s="264"/>
      <c r="F4063" s="265"/>
      <c r="G4063" s="263"/>
      <c r="H4063" s="432"/>
      <c r="I4063" s="282"/>
      <c r="J4063" s="283"/>
      <c r="K4063" s="265"/>
      <c r="L4063" s="265"/>
      <c r="M4063" s="269"/>
      <c r="N4063" s="270"/>
      <c r="O4063" s="271"/>
      <c r="P4063" s="271"/>
      <c r="Q4063" s="272"/>
      <c r="R4063" s="273"/>
      <c r="S4063" s="273"/>
      <c r="T4063" s="273"/>
      <c r="U4063" s="274"/>
      <c r="V4063" s="263"/>
      <c r="W4063" s="35"/>
      <c r="X4063" s="35"/>
      <c r="Y4063" s="35"/>
      <c r="Z4063" s="35"/>
      <c r="AA4063" s="35"/>
      <c r="AB4063" s="35"/>
      <c r="AC4063" s="35"/>
      <c r="AD4063" s="35"/>
      <c r="AE4063" s="35"/>
      <c r="AF4063" s="35"/>
      <c r="AG4063" s="35"/>
      <c r="AH4063" s="35"/>
      <c r="AI4063" s="35"/>
    </row>
    <row r="4064">
      <c r="A4064" s="263"/>
      <c r="B4064" s="264"/>
      <c r="C4064" s="265"/>
      <c r="D4064" s="265"/>
      <c r="E4064" s="264"/>
      <c r="F4064" s="265"/>
      <c r="G4064" s="263"/>
      <c r="H4064" s="432"/>
      <c r="I4064" s="282"/>
      <c r="J4064" s="283"/>
      <c r="K4064" s="265"/>
      <c r="L4064" s="265"/>
      <c r="M4064" s="269"/>
      <c r="N4064" s="270"/>
      <c r="O4064" s="271"/>
      <c r="P4064" s="271"/>
      <c r="Q4064" s="272"/>
      <c r="R4064" s="273"/>
      <c r="S4064" s="273"/>
      <c r="T4064" s="260"/>
      <c r="U4064" s="261"/>
      <c r="V4064" s="251"/>
      <c r="W4064" s="35"/>
      <c r="X4064" s="35"/>
      <c r="Y4064" s="35"/>
      <c r="Z4064" s="35"/>
      <c r="AA4064" s="35"/>
      <c r="AB4064" s="35"/>
      <c r="AC4064" s="35"/>
      <c r="AD4064" s="35"/>
      <c r="AE4064" s="35"/>
      <c r="AF4064" s="35"/>
      <c r="AG4064" s="35"/>
      <c r="AH4064" s="35"/>
      <c r="AI4064" s="35"/>
    </row>
    <row r="4065">
      <c r="A4065" s="263"/>
      <c r="B4065" s="264"/>
      <c r="C4065" s="265"/>
      <c r="D4065" s="265"/>
      <c r="E4065" s="264"/>
      <c r="F4065" s="265"/>
      <c r="G4065" s="263"/>
      <c r="H4065" s="432"/>
      <c r="I4065" s="282"/>
      <c r="J4065" s="283"/>
      <c r="K4065" s="265"/>
      <c r="L4065" s="265"/>
      <c r="M4065" s="269"/>
      <c r="N4065" s="270"/>
      <c r="O4065" s="271"/>
      <c r="P4065" s="271"/>
      <c r="Q4065" s="272"/>
      <c r="R4065" s="273"/>
      <c r="S4065" s="273"/>
      <c r="T4065" s="273"/>
      <c r="U4065" s="274"/>
      <c r="V4065" s="263"/>
      <c r="W4065" s="35"/>
      <c r="X4065" s="35"/>
      <c r="Y4065" s="35"/>
      <c r="Z4065" s="35"/>
      <c r="AA4065" s="35"/>
      <c r="AB4065" s="35"/>
      <c r="AC4065" s="35"/>
      <c r="AD4065" s="35"/>
      <c r="AE4065" s="35"/>
      <c r="AF4065" s="35"/>
      <c r="AG4065" s="35"/>
      <c r="AH4065" s="35"/>
      <c r="AI4065" s="35"/>
    </row>
    <row r="4066">
      <c r="A4066" s="263"/>
      <c r="B4066" s="264"/>
      <c r="C4066" s="265"/>
      <c r="D4066" s="265"/>
      <c r="E4066" s="264"/>
      <c r="F4066" s="265"/>
      <c r="G4066" s="263"/>
      <c r="H4066" s="432"/>
      <c r="I4066" s="282"/>
      <c r="J4066" s="283"/>
      <c r="K4066" s="265"/>
      <c r="L4066" s="265"/>
      <c r="M4066" s="269"/>
      <c r="N4066" s="270"/>
      <c r="O4066" s="271"/>
      <c r="P4066" s="271"/>
      <c r="Q4066" s="272"/>
      <c r="R4066" s="273"/>
      <c r="S4066" s="273"/>
      <c r="T4066" s="273"/>
      <c r="U4066" s="274"/>
      <c r="V4066" s="263"/>
      <c r="W4066" s="35"/>
      <c r="X4066" s="35"/>
      <c r="Y4066" s="35"/>
      <c r="Z4066" s="35"/>
      <c r="AA4066" s="35"/>
      <c r="AB4066" s="35"/>
      <c r="AC4066" s="35"/>
      <c r="AD4066" s="35"/>
      <c r="AE4066" s="35"/>
      <c r="AF4066" s="35"/>
      <c r="AG4066" s="35"/>
      <c r="AH4066" s="35"/>
      <c r="AI4066" s="35"/>
    </row>
    <row r="4067">
      <c r="A4067" s="263"/>
      <c r="B4067" s="264"/>
      <c r="C4067" s="265"/>
      <c r="D4067" s="265"/>
      <c r="E4067" s="264"/>
      <c r="F4067" s="265"/>
      <c r="G4067" s="263"/>
      <c r="H4067" s="432"/>
      <c r="I4067" s="282"/>
      <c r="J4067" s="283"/>
      <c r="K4067" s="265"/>
      <c r="L4067" s="265"/>
      <c r="M4067" s="269"/>
      <c r="N4067" s="270"/>
      <c r="O4067" s="271"/>
      <c r="P4067" s="271"/>
      <c r="Q4067" s="272"/>
      <c r="R4067" s="273"/>
      <c r="S4067" s="273"/>
      <c r="T4067" s="273"/>
      <c r="U4067" s="274"/>
      <c r="V4067" s="263"/>
      <c r="W4067" s="35"/>
      <c r="X4067" s="35"/>
      <c r="Y4067" s="35"/>
      <c r="Z4067" s="35"/>
      <c r="AA4067" s="35"/>
      <c r="AB4067" s="35"/>
      <c r="AC4067" s="35"/>
      <c r="AD4067" s="35"/>
      <c r="AE4067" s="35"/>
      <c r="AF4067" s="35"/>
      <c r="AG4067" s="35"/>
      <c r="AH4067" s="35"/>
      <c r="AI4067" s="35"/>
    </row>
    <row r="4068">
      <c r="A4068" s="263"/>
      <c r="B4068" s="264"/>
      <c r="C4068" s="265"/>
      <c r="D4068" s="265"/>
      <c r="E4068" s="264"/>
      <c r="F4068" s="265"/>
      <c r="G4068" s="263"/>
      <c r="H4068" s="432"/>
      <c r="I4068" s="282"/>
      <c r="J4068" s="283"/>
      <c r="K4068" s="265"/>
      <c r="L4068" s="265"/>
      <c r="M4068" s="269"/>
      <c r="N4068" s="270"/>
      <c r="O4068" s="271"/>
      <c r="P4068" s="271"/>
      <c r="Q4068" s="272"/>
      <c r="R4068" s="273"/>
      <c r="S4068" s="273"/>
      <c r="T4068" s="273"/>
      <c r="U4068" s="274"/>
      <c r="V4068" s="263"/>
      <c r="W4068" s="35"/>
      <c r="X4068" s="35"/>
      <c r="Y4068" s="35"/>
      <c r="Z4068" s="35"/>
      <c r="AA4068" s="35"/>
      <c r="AB4068" s="35"/>
      <c r="AC4068" s="35"/>
      <c r="AD4068" s="35"/>
      <c r="AE4068" s="35"/>
      <c r="AF4068" s="35"/>
      <c r="AG4068" s="35"/>
      <c r="AH4068" s="35"/>
      <c r="AI4068" s="35"/>
    </row>
    <row r="4069">
      <c r="A4069" s="263"/>
      <c r="B4069" s="264"/>
      <c r="C4069" s="265"/>
      <c r="D4069" s="265"/>
      <c r="E4069" s="264"/>
      <c r="F4069" s="265"/>
      <c r="G4069" s="263"/>
      <c r="H4069" s="432"/>
      <c r="I4069" s="282"/>
      <c r="J4069" s="283"/>
      <c r="K4069" s="265"/>
      <c r="L4069" s="265"/>
      <c r="M4069" s="269"/>
      <c r="N4069" s="270"/>
      <c r="O4069" s="271"/>
      <c r="P4069" s="271"/>
      <c r="Q4069" s="272"/>
      <c r="R4069" s="273"/>
      <c r="S4069" s="273"/>
      <c r="T4069" s="273"/>
      <c r="U4069" s="274"/>
      <c r="V4069" s="263"/>
      <c r="W4069" s="35"/>
      <c r="X4069" s="35"/>
      <c r="Y4069" s="35"/>
      <c r="Z4069" s="35"/>
      <c r="AA4069" s="35"/>
      <c r="AB4069" s="35"/>
      <c r="AC4069" s="35"/>
      <c r="AD4069" s="35"/>
      <c r="AE4069" s="35"/>
      <c r="AF4069" s="35"/>
      <c r="AG4069" s="35"/>
      <c r="AH4069" s="35"/>
      <c r="AI4069" s="35"/>
    </row>
    <row r="4070">
      <c r="A4070" s="263"/>
      <c r="B4070" s="264"/>
      <c r="C4070" s="265"/>
      <c r="D4070" s="265"/>
      <c r="E4070" s="264"/>
      <c r="F4070" s="265"/>
      <c r="G4070" s="263"/>
      <c r="H4070" s="432"/>
      <c r="I4070" s="282"/>
      <c r="J4070" s="283"/>
      <c r="K4070" s="265"/>
      <c r="L4070" s="265"/>
      <c r="M4070" s="269"/>
      <c r="N4070" s="270"/>
      <c r="O4070" s="271"/>
      <c r="P4070" s="271"/>
      <c r="Q4070" s="272"/>
      <c r="R4070" s="273"/>
      <c r="S4070" s="273"/>
      <c r="T4070" s="273"/>
      <c r="U4070" s="274"/>
      <c r="V4070" s="263"/>
      <c r="W4070" s="35"/>
      <c r="X4070" s="35"/>
      <c r="Y4070" s="35"/>
      <c r="Z4070" s="35"/>
      <c r="AA4070" s="35"/>
      <c r="AB4070" s="35"/>
      <c r="AC4070" s="35"/>
      <c r="AD4070" s="35"/>
      <c r="AE4070" s="35"/>
      <c r="AF4070" s="35"/>
      <c r="AG4070" s="35"/>
      <c r="AH4070" s="35"/>
      <c r="AI4070" s="35"/>
    </row>
    <row r="4071">
      <c r="A4071" s="263"/>
      <c r="B4071" s="264"/>
      <c r="C4071" s="265"/>
      <c r="D4071" s="265"/>
      <c r="E4071" s="264"/>
      <c r="F4071" s="265"/>
      <c r="G4071" s="263"/>
      <c r="H4071" s="432"/>
      <c r="I4071" s="282"/>
      <c r="J4071" s="283"/>
      <c r="K4071" s="265"/>
      <c r="L4071" s="265"/>
      <c r="M4071" s="269"/>
      <c r="N4071" s="270"/>
      <c r="O4071" s="271"/>
      <c r="P4071" s="271"/>
      <c r="Q4071" s="272"/>
      <c r="R4071" s="273"/>
      <c r="S4071" s="273"/>
      <c r="T4071" s="273"/>
      <c r="U4071" s="274"/>
      <c r="V4071" s="263"/>
      <c r="W4071" s="35"/>
      <c r="X4071" s="35"/>
      <c r="Y4071" s="35"/>
      <c r="Z4071" s="35"/>
      <c r="AA4071" s="35"/>
      <c r="AB4071" s="35"/>
      <c r="AC4071" s="35"/>
      <c r="AD4071" s="35"/>
      <c r="AE4071" s="35"/>
      <c r="AF4071" s="35"/>
      <c r="AG4071" s="35"/>
      <c r="AH4071" s="35"/>
      <c r="AI4071" s="35"/>
    </row>
    <row r="4072">
      <c r="A4072" s="263"/>
      <c r="B4072" s="264"/>
      <c r="C4072" s="265"/>
      <c r="D4072" s="265"/>
      <c r="E4072" s="264"/>
      <c r="F4072" s="265"/>
      <c r="G4072" s="263"/>
      <c r="H4072" s="432"/>
      <c r="I4072" s="282"/>
      <c r="J4072" s="283"/>
      <c r="K4072" s="265"/>
      <c r="L4072" s="265"/>
      <c r="M4072" s="269"/>
      <c r="N4072" s="270"/>
      <c r="O4072" s="271"/>
      <c r="P4072" s="271"/>
      <c r="Q4072" s="272"/>
      <c r="R4072" s="273"/>
      <c r="S4072" s="273"/>
      <c r="T4072" s="273"/>
      <c r="U4072" s="274"/>
      <c r="V4072" s="263"/>
      <c r="W4072" s="35"/>
      <c r="X4072" s="35"/>
      <c r="Y4072" s="35"/>
      <c r="Z4072" s="35"/>
      <c r="AA4072" s="35"/>
      <c r="AB4072" s="35"/>
      <c r="AC4072" s="35"/>
      <c r="AD4072" s="35"/>
      <c r="AE4072" s="35"/>
      <c r="AF4072" s="35"/>
      <c r="AG4072" s="35"/>
      <c r="AH4072" s="35"/>
      <c r="AI4072" s="35"/>
    </row>
    <row r="4073">
      <c r="A4073" s="263"/>
      <c r="B4073" s="264"/>
      <c r="C4073" s="265"/>
      <c r="D4073" s="265"/>
      <c r="E4073" s="264"/>
      <c r="F4073" s="265"/>
      <c r="G4073" s="263"/>
      <c r="H4073" s="432"/>
      <c r="I4073" s="282"/>
      <c r="J4073" s="283"/>
      <c r="K4073" s="265"/>
      <c r="L4073" s="265"/>
      <c r="M4073" s="269"/>
      <c r="N4073" s="270"/>
      <c r="O4073" s="271"/>
      <c r="P4073" s="271"/>
      <c r="Q4073" s="272"/>
      <c r="R4073" s="273"/>
      <c r="S4073" s="273"/>
      <c r="T4073" s="273"/>
      <c r="U4073" s="274"/>
      <c r="V4073" s="263"/>
      <c r="W4073" s="35"/>
      <c r="X4073" s="35"/>
      <c r="Y4073" s="35"/>
      <c r="Z4073" s="35"/>
      <c r="AA4073" s="35"/>
      <c r="AB4073" s="35"/>
      <c r="AC4073" s="35"/>
      <c r="AD4073" s="35"/>
      <c r="AE4073" s="35"/>
      <c r="AF4073" s="35"/>
      <c r="AG4073" s="35"/>
      <c r="AH4073" s="35"/>
      <c r="AI4073" s="35"/>
    </row>
    <row r="4074">
      <c r="A4074" s="263"/>
      <c r="B4074" s="264"/>
      <c r="C4074" s="265"/>
      <c r="D4074" s="265"/>
      <c r="E4074" s="264"/>
      <c r="F4074" s="265"/>
      <c r="G4074" s="263"/>
      <c r="H4074" s="432"/>
      <c r="I4074" s="282"/>
      <c r="J4074" s="283"/>
      <c r="K4074" s="265"/>
      <c r="L4074" s="265"/>
      <c r="M4074" s="269"/>
      <c r="N4074" s="270"/>
      <c r="O4074" s="271"/>
      <c r="P4074" s="271"/>
      <c r="Q4074" s="272"/>
      <c r="R4074" s="273"/>
      <c r="S4074" s="273"/>
      <c r="T4074" s="273"/>
      <c r="U4074" s="274"/>
      <c r="V4074" s="263"/>
      <c r="W4074" s="35"/>
      <c r="X4074" s="35"/>
      <c r="Y4074" s="35"/>
      <c r="Z4074" s="35"/>
      <c r="AA4074" s="35"/>
      <c r="AB4074" s="35"/>
      <c r="AC4074" s="35"/>
      <c r="AD4074" s="35"/>
      <c r="AE4074" s="35"/>
      <c r="AF4074" s="35"/>
      <c r="AG4074" s="35"/>
      <c r="AH4074" s="35"/>
      <c r="AI4074" s="35"/>
    </row>
    <row r="4075">
      <c r="A4075" s="263"/>
      <c r="B4075" s="264"/>
      <c r="C4075" s="265"/>
      <c r="D4075" s="265"/>
      <c r="E4075" s="264"/>
      <c r="F4075" s="265"/>
      <c r="G4075" s="263"/>
      <c r="H4075" s="432"/>
      <c r="I4075" s="282"/>
      <c r="J4075" s="283"/>
      <c r="K4075" s="265"/>
      <c r="L4075" s="265"/>
      <c r="M4075" s="269"/>
      <c r="N4075" s="270"/>
      <c r="O4075" s="271"/>
      <c r="P4075" s="271"/>
      <c r="Q4075" s="272"/>
      <c r="R4075" s="273"/>
      <c r="S4075" s="273"/>
      <c r="T4075" s="273"/>
      <c r="U4075" s="274"/>
      <c r="V4075" s="263"/>
      <c r="W4075" s="35"/>
      <c r="X4075" s="35"/>
      <c r="Y4075" s="35"/>
      <c r="Z4075" s="35"/>
      <c r="AA4075" s="35"/>
      <c r="AB4075" s="35"/>
      <c r="AC4075" s="35"/>
      <c r="AD4075" s="35"/>
      <c r="AE4075" s="35"/>
      <c r="AF4075" s="35"/>
      <c r="AG4075" s="35"/>
      <c r="AH4075" s="35"/>
      <c r="AI4075" s="35"/>
    </row>
    <row r="4076">
      <c r="A4076" s="263"/>
      <c r="B4076" s="264"/>
      <c r="C4076" s="265"/>
      <c r="D4076" s="265"/>
      <c r="E4076" s="264"/>
      <c r="F4076" s="265"/>
      <c r="G4076" s="263"/>
      <c r="H4076" s="432"/>
      <c r="I4076" s="282"/>
      <c r="J4076" s="283"/>
      <c r="K4076" s="265"/>
      <c r="L4076" s="265"/>
      <c r="M4076" s="269"/>
      <c r="N4076" s="270"/>
      <c r="O4076" s="271"/>
      <c r="P4076" s="271"/>
      <c r="Q4076" s="272"/>
      <c r="R4076" s="273"/>
      <c r="S4076" s="273"/>
      <c r="T4076" s="273"/>
      <c r="U4076" s="274"/>
      <c r="V4076" s="263"/>
      <c r="W4076" s="35"/>
      <c r="X4076" s="35"/>
      <c r="Y4076" s="35"/>
      <c r="Z4076" s="35"/>
      <c r="AA4076" s="35"/>
      <c r="AB4076" s="35"/>
      <c r="AC4076" s="35"/>
      <c r="AD4076" s="35"/>
      <c r="AE4076" s="35"/>
      <c r="AF4076" s="35"/>
      <c r="AG4076" s="35"/>
      <c r="AH4076" s="35"/>
      <c r="AI4076" s="35"/>
    </row>
    <row r="4077">
      <c r="A4077" s="263"/>
      <c r="B4077" s="264"/>
      <c r="C4077" s="265"/>
      <c r="D4077" s="265"/>
      <c r="E4077" s="264"/>
      <c r="F4077" s="265"/>
      <c r="G4077" s="263"/>
      <c r="H4077" s="432"/>
      <c r="I4077" s="282"/>
      <c r="J4077" s="283"/>
      <c r="K4077" s="265"/>
      <c r="L4077" s="265"/>
      <c r="M4077" s="269"/>
      <c r="N4077" s="270"/>
      <c r="O4077" s="271"/>
      <c r="P4077" s="271"/>
      <c r="Q4077" s="272"/>
      <c r="R4077" s="273"/>
      <c r="S4077" s="273"/>
      <c r="T4077" s="273"/>
      <c r="U4077" s="274"/>
      <c r="V4077" s="263"/>
      <c r="W4077" s="35"/>
      <c r="X4077" s="35"/>
      <c r="Y4077" s="35"/>
      <c r="Z4077" s="35"/>
      <c r="AA4077" s="35"/>
      <c r="AB4077" s="35"/>
      <c r="AC4077" s="35"/>
      <c r="AD4077" s="35"/>
      <c r="AE4077" s="35"/>
      <c r="AF4077" s="35"/>
      <c r="AG4077" s="35"/>
      <c r="AH4077" s="35"/>
      <c r="AI4077" s="35"/>
    </row>
    <row r="4078">
      <c r="A4078" s="263"/>
      <c r="B4078" s="264"/>
      <c r="C4078" s="265"/>
      <c r="D4078" s="265"/>
      <c r="E4078" s="264"/>
      <c r="F4078" s="265"/>
      <c r="G4078" s="263"/>
      <c r="H4078" s="432"/>
      <c r="I4078" s="282"/>
      <c r="J4078" s="283"/>
      <c r="K4078" s="265"/>
      <c r="L4078" s="265"/>
      <c r="M4078" s="269"/>
      <c r="N4078" s="270"/>
      <c r="O4078" s="271"/>
      <c r="P4078" s="271"/>
      <c r="Q4078" s="272"/>
      <c r="R4078" s="273"/>
      <c r="S4078" s="273"/>
      <c r="T4078" s="273"/>
      <c r="U4078" s="274"/>
      <c r="V4078" s="263"/>
      <c r="W4078" s="35"/>
      <c r="X4078" s="35"/>
      <c r="Y4078" s="35"/>
      <c r="Z4078" s="35"/>
      <c r="AA4078" s="35"/>
      <c r="AB4078" s="35"/>
      <c r="AC4078" s="35"/>
      <c r="AD4078" s="35"/>
      <c r="AE4078" s="35"/>
      <c r="AF4078" s="35"/>
      <c r="AG4078" s="35"/>
      <c r="AH4078" s="35"/>
      <c r="AI4078" s="35"/>
    </row>
    <row r="4079">
      <c r="A4079" s="263"/>
      <c r="B4079" s="264"/>
      <c r="C4079" s="265"/>
      <c r="D4079" s="265"/>
      <c r="E4079" s="264"/>
      <c r="F4079" s="265"/>
      <c r="G4079" s="263"/>
      <c r="H4079" s="432"/>
      <c r="I4079" s="282"/>
      <c r="J4079" s="283"/>
      <c r="K4079" s="265"/>
      <c r="L4079" s="265"/>
      <c r="M4079" s="269"/>
      <c r="N4079" s="270"/>
      <c r="O4079" s="271"/>
      <c r="P4079" s="271"/>
      <c r="Q4079" s="272"/>
      <c r="R4079" s="273"/>
      <c r="S4079" s="273"/>
      <c r="T4079" s="273"/>
      <c r="U4079" s="274"/>
      <c r="V4079" s="263"/>
      <c r="W4079" s="35"/>
      <c r="X4079" s="35"/>
      <c r="Y4079" s="35"/>
      <c r="Z4079" s="35"/>
      <c r="AA4079" s="35"/>
      <c r="AB4079" s="35"/>
      <c r="AC4079" s="35"/>
      <c r="AD4079" s="35"/>
      <c r="AE4079" s="35"/>
      <c r="AF4079" s="35"/>
      <c r="AG4079" s="35"/>
      <c r="AH4079" s="35"/>
      <c r="AI4079" s="35"/>
    </row>
    <row r="4080">
      <c r="A4080" s="263"/>
      <c r="B4080" s="264"/>
      <c r="C4080" s="265"/>
      <c r="D4080" s="265"/>
      <c r="E4080" s="264"/>
      <c r="F4080" s="265"/>
      <c r="G4080" s="263"/>
      <c r="H4080" s="432"/>
      <c r="I4080" s="282"/>
      <c r="J4080" s="283"/>
      <c r="K4080" s="265"/>
      <c r="L4080" s="265"/>
      <c r="M4080" s="269"/>
      <c r="N4080" s="270"/>
      <c r="O4080" s="271"/>
      <c r="P4080" s="271"/>
      <c r="Q4080" s="272"/>
      <c r="R4080" s="273"/>
      <c r="S4080" s="273"/>
      <c r="T4080" s="273"/>
      <c r="U4080" s="274"/>
      <c r="V4080" s="263"/>
      <c r="W4080" s="35"/>
      <c r="X4080" s="35"/>
      <c r="Y4080" s="35"/>
      <c r="Z4080" s="35"/>
      <c r="AA4080" s="35"/>
      <c r="AB4080" s="35"/>
      <c r="AC4080" s="35"/>
      <c r="AD4080" s="35"/>
      <c r="AE4080" s="35"/>
      <c r="AF4080" s="35"/>
      <c r="AG4080" s="35"/>
      <c r="AH4080" s="35"/>
      <c r="AI4080" s="35"/>
    </row>
    <row r="4081">
      <c r="A4081" s="263"/>
      <c r="B4081" s="264"/>
      <c r="C4081" s="265"/>
      <c r="D4081" s="265"/>
      <c r="E4081" s="264"/>
      <c r="F4081" s="265"/>
      <c r="G4081" s="263"/>
      <c r="H4081" s="432"/>
      <c r="I4081" s="282"/>
      <c r="J4081" s="283"/>
      <c r="K4081" s="265"/>
      <c r="L4081" s="265"/>
      <c r="M4081" s="269"/>
      <c r="N4081" s="270"/>
      <c r="O4081" s="271"/>
      <c r="P4081" s="271"/>
      <c r="Q4081" s="272"/>
      <c r="R4081" s="273"/>
      <c r="S4081" s="273"/>
      <c r="T4081" s="273"/>
      <c r="U4081" s="274"/>
      <c r="V4081" s="263"/>
      <c r="W4081" s="35"/>
      <c r="X4081" s="35"/>
      <c r="Y4081" s="35"/>
      <c r="Z4081" s="35"/>
      <c r="AA4081" s="35"/>
      <c r="AB4081" s="35"/>
      <c r="AC4081" s="35"/>
      <c r="AD4081" s="35"/>
      <c r="AE4081" s="35"/>
      <c r="AF4081" s="35"/>
      <c r="AG4081" s="35"/>
      <c r="AH4081" s="35"/>
      <c r="AI4081" s="35"/>
    </row>
    <row r="4082">
      <c r="A4082" s="263"/>
      <c r="B4082" s="264"/>
      <c r="C4082" s="265"/>
      <c r="D4082" s="265"/>
      <c r="E4082" s="264"/>
      <c r="F4082" s="265"/>
      <c r="G4082" s="263"/>
      <c r="H4082" s="432"/>
      <c r="I4082" s="282"/>
      <c r="J4082" s="283"/>
      <c r="K4082" s="265"/>
      <c r="L4082" s="265"/>
      <c r="M4082" s="269"/>
      <c r="N4082" s="270"/>
      <c r="O4082" s="271"/>
      <c r="P4082" s="271"/>
      <c r="Q4082" s="272"/>
      <c r="R4082" s="273"/>
      <c r="S4082" s="273"/>
      <c r="T4082" s="273"/>
      <c r="U4082" s="274"/>
      <c r="V4082" s="263"/>
      <c r="W4082" s="35"/>
      <c r="X4082" s="35"/>
      <c r="Y4082" s="35"/>
      <c r="Z4082" s="35"/>
      <c r="AA4082" s="35"/>
      <c r="AB4082" s="35"/>
      <c r="AC4082" s="35"/>
      <c r="AD4082" s="35"/>
      <c r="AE4082" s="35"/>
      <c r="AF4082" s="35"/>
      <c r="AG4082" s="35"/>
      <c r="AH4082" s="35"/>
      <c r="AI4082" s="35"/>
    </row>
    <row r="4083">
      <c r="A4083" s="263"/>
      <c r="B4083" s="264"/>
      <c r="C4083" s="265"/>
      <c r="D4083" s="265"/>
      <c r="E4083" s="264"/>
      <c r="F4083" s="265"/>
      <c r="G4083" s="263"/>
      <c r="H4083" s="432"/>
      <c r="I4083" s="282"/>
      <c r="J4083" s="283"/>
      <c r="K4083" s="265"/>
      <c r="L4083" s="265"/>
      <c r="M4083" s="269"/>
      <c r="N4083" s="270"/>
      <c r="O4083" s="271"/>
      <c r="P4083" s="271"/>
      <c r="Q4083" s="272"/>
      <c r="R4083" s="273"/>
      <c r="S4083" s="273"/>
      <c r="T4083" s="273"/>
      <c r="U4083" s="274"/>
      <c r="V4083" s="263"/>
      <c r="W4083" s="35"/>
      <c r="X4083" s="35"/>
      <c r="Y4083" s="35"/>
      <c r="Z4083" s="35"/>
      <c r="AA4083" s="35"/>
      <c r="AB4083" s="35"/>
      <c r="AC4083" s="35"/>
      <c r="AD4083" s="35"/>
      <c r="AE4083" s="35"/>
      <c r="AF4083" s="35"/>
      <c r="AG4083" s="35"/>
      <c r="AH4083" s="35"/>
      <c r="AI4083" s="35"/>
    </row>
    <row r="4084">
      <c r="A4084" s="263"/>
      <c r="B4084" s="264"/>
      <c r="C4084" s="265"/>
      <c r="D4084" s="265"/>
      <c r="E4084" s="264"/>
      <c r="F4084" s="265"/>
      <c r="G4084" s="263"/>
      <c r="H4084" s="432"/>
      <c r="I4084" s="282"/>
      <c r="J4084" s="283"/>
      <c r="K4084" s="265"/>
      <c r="L4084" s="265"/>
      <c r="M4084" s="269"/>
      <c r="N4084" s="270"/>
      <c r="O4084" s="271"/>
      <c r="P4084" s="271"/>
      <c r="Q4084" s="272"/>
      <c r="R4084" s="273"/>
      <c r="S4084" s="273"/>
      <c r="T4084" s="273"/>
      <c r="U4084" s="274"/>
      <c r="V4084" s="263"/>
      <c r="W4084" s="35"/>
      <c r="X4084" s="35"/>
      <c r="Y4084" s="35"/>
      <c r="Z4084" s="35"/>
      <c r="AA4084" s="35"/>
      <c r="AB4084" s="35"/>
      <c r="AC4084" s="35"/>
      <c r="AD4084" s="35"/>
      <c r="AE4084" s="35"/>
      <c r="AF4084" s="35"/>
      <c r="AG4084" s="35"/>
      <c r="AH4084" s="35"/>
      <c r="AI4084" s="35"/>
    </row>
    <row r="4085">
      <c r="A4085" s="263"/>
      <c r="B4085" s="264"/>
      <c r="C4085" s="265"/>
      <c r="D4085" s="265"/>
      <c r="E4085" s="264"/>
      <c r="F4085" s="265"/>
      <c r="G4085" s="263"/>
      <c r="H4085" s="432"/>
      <c r="I4085" s="282"/>
      <c r="J4085" s="283"/>
      <c r="K4085" s="265"/>
      <c r="L4085" s="265"/>
      <c r="M4085" s="269"/>
      <c r="N4085" s="270"/>
      <c r="O4085" s="271"/>
      <c r="P4085" s="271"/>
      <c r="Q4085" s="272"/>
      <c r="R4085" s="273"/>
      <c r="S4085" s="273"/>
      <c r="T4085" s="273"/>
      <c r="U4085" s="274"/>
      <c r="V4085" s="263"/>
      <c r="W4085" s="35"/>
      <c r="X4085" s="35"/>
      <c r="Y4085" s="35"/>
      <c r="Z4085" s="35"/>
      <c r="AA4085" s="35"/>
      <c r="AB4085" s="35"/>
      <c r="AC4085" s="35"/>
      <c r="AD4085" s="35"/>
      <c r="AE4085" s="35"/>
      <c r="AF4085" s="35"/>
      <c r="AG4085" s="35"/>
      <c r="AH4085" s="35"/>
      <c r="AI4085" s="35"/>
    </row>
    <row r="4086">
      <c r="A4086" s="263"/>
      <c r="B4086" s="264"/>
      <c r="C4086" s="265"/>
      <c r="D4086" s="265"/>
      <c r="E4086" s="264"/>
      <c r="F4086" s="265"/>
      <c r="G4086" s="263"/>
      <c r="H4086" s="432"/>
      <c r="I4086" s="282"/>
      <c r="J4086" s="283"/>
      <c r="K4086" s="265"/>
      <c r="L4086" s="265"/>
      <c r="M4086" s="269"/>
      <c r="N4086" s="270"/>
      <c r="O4086" s="271"/>
      <c r="P4086" s="271"/>
      <c r="Q4086" s="272"/>
      <c r="R4086" s="273"/>
      <c r="S4086" s="273"/>
      <c r="T4086" s="273"/>
      <c r="U4086" s="274"/>
      <c r="V4086" s="263"/>
      <c r="W4086" s="35"/>
      <c r="X4086" s="35"/>
      <c r="Y4086" s="35"/>
      <c r="Z4086" s="35"/>
      <c r="AA4086" s="35"/>
      <c r="AB4086" s="35"/>
      <c r="AC4086" s="35"/>
      <c r="AD4086" s="35"/>
      <c r="AE4086" s="35"/>
      <c r="AF4086" s="35"/>
      <c r="AG4086" s="35"/>
      <c r="AH4086" s="35"/>
      <c r="AI4086" s="35"/>
    </row>
    <row r="4087">
      <c r="A4087" s="263"/>
      <c r="B4087" s="264"/>
      <c r="C4087" s="265"/>
      <c r="D4087" s="265"/>
      <c r="E4087" s="264"/>
      <c r="F4087" s="265"/>
      <c r="G4087" s="263"/>
      <c r="H4087" s="432"/>
      <c r="I4087" s="282"/>
      <c r="J4087" s="283"/>
      <c r="K4087" s="265"/>
      <c r="L4087" s="265"/>
      <c r="M4087" s="269"/>
      <c r="N4087" s="270"/>
      <c r="O4087" s="271"/>
      <c r="P4087" s="271"/>
      <c r="Q4087" s="272"/>
      <c r="R4087" s="273"/>
      <c r="S4087" s="273"/>
      <c r="T4087" s="273"/>
      <c r="U4087" s="274"/>
      <c r="V4087" s="263"/>
      <c r="W4087" s="35"/>
      <c r="X4087" s="35"/>
      <c r="Y4087" s="35"/>
      <c r="Z4087" s="35"/>
      <c r="AA4087" s="35"/>
      <c r="AB4087" s="35"/>
      <c r="AC4087" s="35"/>
      <c r="AD4087" s="35"/>
      <c r="AE4087" s="35"/>
      <c r="AF4087" s="35"/>
      <c r="AG4087" s="35"/>
      <c r="AH4087" s="35"/>
      <c r="AI4087" s="35"/>
    </row>
    <row r="4088">
      <c r="A4088" s="263"/>
      <c r="B4088" s="264"/>
      <c r="C4088" s="265"/>
      <c r="D4088" s="265"/>
      <c r="E4088" s="264"/>
      <c r="F4088" s="265"/>
      <c r="G4088" s="263"/>
      <c r="H4088" s="432"/>
      <c r="I4088" s="282"/>
      <c r="J4088" s="283"/>
      <c r="K4088" s="265"/>
      <c r="L4088" s="265"/>
      <c r="M4088" s="269"/>
      <c r="N4088" s="270"/>
      <c r="O4088" s="271"/>
      <c r="P4088" s="271"/>
      <c r="Q4088" s="272"/>
      <c r="R4088" s="273"/>
      <c r="S4088" s="273"/>
      <c r="T4088" s="273"/>
      <c r="U4088" s="274"/>
      <c r="V4088" s="263"/>
      <c r="W4088" s="35"/>
      <c r="X4088" s="35"/>
      <c r="Y4088" s="35"/>
      <c r="Z4088" s="35"/>
      <c r="AA4088" s="35"/>
      <c r="AB4088" s="35"/>
      <c r="AC4088" s="35"/>
      <c r="AD4088" s="35"/>
      <c r="AE4088" s="35"/>
      <c r="AF4088" s="35"/>
      <c r="AG4088" s="35"/>
      <c r="AH4088" s="35"/>
      <c r="AI4088" s="35"/>
    </row>
    <row r="4089">
      <c r="A4089" s="263"/>
      <c r="B4089" s="264"/>
      <c r="C4089" s="265"/>
      <c r="D4089" s="265"/>
      <c r="E4089" s="264"/>
      <c r="F4089" s="265"/>
      <c r="G4089" s="263"/>
      <c r="H4089" s="432"/>
      <c r="I4089" s="282"/>
      <c r="J4089" s="283"/>
      <c r="K4089" s="265"/>
      <c r="L4089" s="265"/>
      <c r="M4089" s="269"/>
      <c r="N4089" s="270"/>
      <c r="O4089" s="271"/>
      <c r="P4089" s="271"/>
      <c r="Q4089" s="272"/>
      <c r="R4089" s="273"/>
      <c r="S4089" s="273"/>
      <c r="T4089" s="273"/>
      <c r="U4089" s="274"/>
      <c r="V4089" s="263"/>
      <c r="W4089" s="35"/>
      <c r="X4089" s="35"/>
      <c r="Y4089" s="35"/>
      <c r="Z4089" s="35"/>
      <c r="AA4089" s="35"/>
      <c r="AB4089" s="35"/>
      <c r="AC4089" s="35"/>
      <c r="AD4089" s="35"/>
      <c r="AE4089" s="35"/>
      <c r="AF4089" s="35"/>
      <c r="AG4089" s="35"/>
      <c r="AH4089" s="35"/>
      <c r="AI4089" s="35"/>
    </row>
    <row r="4090">
      <c r="A4090" s="263"/>
      <c r="B4090" s="264"/>
      <c r="C4090" s="265"/>
      <c r="D4090" s="265"/>
      <c r="E4090" s="264"/>
      <c r="F4090" s="265"/>
      <c r="G4090" s="263"/>
      <c r="H4090" s="432"/>
      <c r="I4090" s="282"/>
      <c r="J4090" s="283"/>
      <c r="K4090" s="265"/>
      <c r="L4090" s="265"/>
      <c r="M4090" s="269"/>
      <c r="N4090" s="270"/>
      <c r="O4090" s="271"/>
      <c r="P4090" s="271"/>
      <c r="Q4090" s="272"/>
      <c r="R4090" s="273"/>
      <c r="S4090" s="273"/>
      <c r="T4090" s="273"/>
      <c r="U4090" s="274"/>
      <c r="V4090" s="263"/>
      <c r="W4090" s="35"/>
      <c r="X4090" s="35"/>
      <c r="Y4090" s="35"/>
      <c r="Z4090" s="35"/>
      <c r="AA4090" s="35"/>
      <c r="AB4090" s="35"/>
      <c r="AC4090" s="35"/>
      <c r="AD4090" s="35"/>
      <c r="AE4090" s="35"/>
      <c r="AF4090" s="35"/>
      <c r="AG4090" s="35"/>
      <c r="AH4090" s="35"/>
      <c r="AI4090" s="35"/>
    </row>
    <row r="4091">
      <c r="A4091" s="263"/>
      <c r="B4091" s="264"/>
      <c r="C4091" s="265"/>
      <c r="D4091" s="265"/>
      <c r="E4091" s="264"/>
      <c r="F4091" s="265"/>
      <c r="G4091" s="263"/>
      <c r="H4091" s="432"/>
      <c r="I4091" s="282"/>
      <c r="J4091" s="283"/>
      <c r="K4091" s="265"/>
      <c r="L4091" s="265"/>
      <c r="M4091" s="269"/>
      <c r="N4091" s="270"/>
      <c r="O4091" s="271"/>
      <c r="P4091" s="271"/>
      <c r="Q4091" s="272"/>
      <c r="R4091" s="273"/>
      <c r="S4091" s="273"/>
      <c r="T4091" s="273"/>
      <c r="U4091" s="274"/>
      <c r="V4091" s="263"/>
      <c r="W4091" s="35"/>
      <c r="X4091" s="35"/>
      <c r="Y4091" s="35"/>
      <c r="Z4091" s="35"/>
      <c r="AA4091" s="35"/>
      <c r="AB4091" s="35"/>
      <c r="AC4091" s="35"/>
      <c r="AD4091" s="35"/>
      <c r="AE4091" s="35"/>
      <c r="AF4091" s="35"/>
      <c r="AG4091" s="35"/>
      <c r="AH4091" s="35"/>
      <c r="AI4091" s="35"/>
    </row>
    <row r="4092">
      <c r="A4092" s="263"/>
      <c r="B4092" s="264"/>
      <c r="C4092" s="265"/>
      <c r="D4092" s="265"/>
      <c r="E4092" s="264"/>
      <c r="F4092" s="265"/>
      <c r="G4092" s="263"/>
      <c r="H4092" s="432"/>
      <c r="I4092" s="282"/>
      <c r="J4092" s="283"/>
      <c r="K4092" s="265"/>
      <c r="L4092" s="265"/>
      <c r="M4092" s="269"/>
      <c r="N4092" s="270"/>
      <c r="O4092" s="271"/>
      <c r="P4092" s="271"/>
      <c r="Q4092" s="272"/>
      <c r="R4092" s="273"/>
      <c r="S4092" s="273"/>
      <c r="T4092" s="273"/>
      <c r="U4092" s="274"/>
      <c r="V4092" s="263"/>
      <c r="W4092" s="35"/>
      <c r="X4092" s="35"/>
      <c r="Y4092" s="35"/>
      <c r="Z4092" s="35"/>
      <c r="AA4092" s="35"/>
      <c r="AB4092" s="35"/>
      <c r="AC4092" s="35"/>
      <c r="AD4092" s="35"/>
      <c r="AE4092" s="35"/>
      <c r="AF4092" s="35"/>
      <c r="AG4092" s="35"/>
      <c r="AH4092" s="35"/>
      <c r="AI4092" s="35"/>
    </row>
    <row r="4093">
      <c r="A4093" s="263"/>
      <c r="B4093" s="264"/>
      <c r="C4093" s="265"/>
      <c r="D4093" s="265"/>
      <c r="E4093" s="264"/>
      <c r="F4093" s="265"/>
      <c r="G4093" s="263"/>
      <c r="H4093" s="432"/>
      <c r="I4093" s="282"/>
      <c r="J4093" s="283"/>
      <c r="K4093" s="265"/>
      <c r="L4093" s="265"/>
      <c r="M4093" s="269"/>
      <c r="N4093" s="270"/>
      <c r="O4093" s="271"/>
      <c r="P4093" s="271"/>
      <c r="Q4093" s="272"/>
      <c r="R4093" s="273"/>
      <c r="S4093" s="273"/>
      <c r="T4093" s="273"/>
      <c r="U4093" s="274"/>
      <c r="V4093" s="263"/>
      <c r="W4093" s="35"/>
      <c r="X4093" s="35"/>
      <c r="Y4093" s="35"/>
      <c r="Z4093" s="35"/>
      <c r="AA4093" s="35"/>
      <c r="AB4093" s="35"/>
      <c r="AC4093" s="35"/>
      <c r="AD4093" s="35"/>
      <c r="AE4093" s="35"/>
      <c r="AF4093" s="35"/>
      <c r="AG4093" s="35"/>
      <c r="AH4093" s="35"/>
      <c r="AI4093" s="35"/>
    </row>
    <row r="4094">
      <c r="A4094" s="263"/>
      <c r="B4094" s="264"/>
      <c r="C4094" s="265"/>
      <c r="D4094" s="265"/>
      <c r="E4094" s="264"/>
      <c r="F4094" s="265"/>
      <c r="G4094" s="263"/>
      <c r="H4094" s="432"/>
      <c r="I4094" s="282"/>
      <c r="J4094" s="283"/>
      <c r="K4094" s="265"/>
      <c r="L4094" s="265"/>
      <c r="M4094" s="269"/>
      <c r="N4094" s="270"/>
      <c r="O4094" s="271"/>
      <c r="P4094" s="271"/>
      <c r="Q4094" s="272"/>
      <c r="R4094" s="273"/>
      <c r="S4094" s="273"/>
      <c r="T4094" s="273"/>
      <c r="U4094" s="274"/>
      <c r="V4094" s="263"/>
      <c r="W4094" s="35"/>
      <c r="X4094" s="35"/>
      <c r="Y4094" s="35"/>
      <c r="Z4094" s="35"/>
      <c r="AA4094" s="35"/>
      <c r="AB4094" s="35"/>
      <c r="AC4094" s="35"/>
      <c r="AD4094" s="35"/>
      <c r="AE4094" s="35"/>
      <c r="AF4094" s="35"/>
      <c r="AG4094" s="35"/>
      <c r="AH4094" s="35"/>
      <c r="AI4094" s="35"/>
    </row>
    <row r="4095">
      <c r="A4095" s="263"/>
      <c r="B4095" s="264"/>
      <c r="C4095" s="265"/>
      <c r="D4095" s="265"/>
      <c r="E4095" s="264"/>
      <c r="F4095" s="265"/>
      <c r="G4095" s="263"/>
      <c r="H4095" s="432"/>
      <c r="I4095" s="282"/>
      <c r="J4095" s="283"/>
      <c r="K4095" s="265"/>
      <c r="L4095" s="265"/>
      <c r="M4095" s="269"/>
      <c r="N4095" s="270"/>
      <c r="O4095" s="271"/>
      <c r="P4095" s="271"/>
      <c r="Q4095" s="272"/>
      <c r="R4095" s="273"/>
      <c r="S4095" s="273"/>
      <c r="T4095" s="273"/>
      <c r="U4095" s="274"/>
      <c r="V4095" s="263"/>
      <c r="W4095" s="35"/>
      <c r="X4095" s="35"/>
      <c r="Y4095" s="35"/>
      <c r="Z4095" s="35"/>
      <c r="AA4095" s="35"/>
      <c r="AB4095" s="35"/>
      <c r="AC4095" s="35"/>
      <c r="AD4095" s="35"/>
      <c r="AE4095" s="35"/>
      <c r="AF4095" s="35"/>
      <c r="AG4095" s="35"/>
      <c r="AH4095" s="35"/>
      <c r="AI4095" s="35"/>
    </row>
    <row r="4096">
      <c r="A4096" s="263"/>
      <c r="B4096" s="264"/>
      <c r="C4096" s="265"/>
      <c r="D4096" s="265"/>
      <c r="E4096" s="264"/>
      <c r="F4096" s="265"/>
      <c r="G4096" s="263"/>
      <c r="H4096" s="432"/>
      <c r="I4096" s="282"/>
      <c r="J4096" s="283"/>
      <c r="K4096" s="265"/>
      <c r="L4096" s="265"/>
      <c r="M4096" s="269"/>
      <c r="N4096" s="270"/>
      <c r="O4096" s="271"/>
      <c r="P4096" s="271"/>
      <c r="Q4096" s="272"/>
      <c r="R4096" s="273"/>
      <c r="S4096" s="273"/>
      <c r="T4096" s="273"/>
      <c r="U4096" s="274"/>
      <c r="V4096" s="263"/>
      <c r="W4096" s="35"/>
      <c r="X4096" s="35"/>
      <c r="Y4096" s="35"/>
      <c r="Z4096" s="35"/>
      <c r="AA4096" s="35"/>
      <c r="AB4096" s="35"/>
      <c r="AC4096" s="35"/>
      <c r="AD4096" s="35"/>
      <c r="AE4096" s="35"/>
      <c r="AF4096" s="35"/>
      <c r="AG4096" s="35"/>
      <c r="AH4096" s="35"/>
      <c r="AI4096" s="35"/>
    </row>
    <row r="4097">
      <c r="A4097" s="263"/>
      <c r="B4097" s="264"/>
      <c r="C4097" s="265"/>
      <c r="D4097" s="265"/>
      <c r="E4097" s="264"/>
      <c r="F4097" s="265"/>
      <c r="G4097" s="263"/>
      <c r="H4097" s="432"/>
      <c r="I4097" s="282"/>
      <c r="J4097" s="283"/>
      <c r="K4097" s="265"/>
      <c r="L4097" s="265"/>
      <c r="M4097" s="269"/>
      <c r="N4097" s="270"/>
      <c r="O4097" s="271"/>
      <c r="P4097" s="271"/>
      <c r="Q4097" s="272"/>
      <c r="R4097" s="273"/>
      <c r="S4097" s="273"/>
      <c r="T4097" s="273"/>
      <c r="U4097" s="274"/>
      <c r="V4097" s="263"/>
      <c r="W4097" s="35"/>
      <c r="X4097" s="35"/>
      <c r="Y4097" s="35"/>
      <c r="Z4097" s="35"/>
      <c r="AA4097" s="35"/>
      <c r="AB4097" s="35"/>
      <c r="AC4097" s="35"/>
      <c r="AD4097" s="35"/>
      <c r="AE4097" s="35"/>
      <c r="AF4097" s="35"/>
      <c r="AG4097" s="35"/>
      <c r="AH4097" s="35"/>
      <c r="AI4097" s="35"/>
    </row>
    <row r="4098">
      <c r="A4098" s="263"/>
      <c r="B4098" s="264"/>
      <c r="C4098" s="265"/>
      <c r="D4098" s="265"/>
      <c r="E4098" s="264"/>
      <c r="F4098" s="265"/>
      <c r="G4098" s="263"/>
      <c r="H4098" s="432"/>
      <c r="I4098" s="282"/>
      <c r="J4098" s="283"/>
      <c r="K4098" s="265"/>
      <c r="L4098" s="265"/>
      <c r="M4098" s="269"/>
      <c r="N4098" s="270"/>
      <c r="O4098" s="271"/>
      <c r="P4098" s="271"/>
      <c r="Q4098" s="272"/>
      <c r="R4098" s="273"/>
      <c r="S4098" s="273"/>
      <c r="T4098" s="273"/>
      <c r="U4098" s="274"/>
      <c r="V4098" s="263"/>
      <c r="W4098" s="35"/>
      <c r="X4098" s="35"/>
      <c r="Y4098" s="35"/>
      <c r="Z4098" s="35"/>
      <c r="AA4098" s="35"/>
      <c r="AB4098" s="35"/>
      <c r="AC4098" s="35"/>
      <c r="AD4098" s="35"/>
      <c r="AE4098" s="35"/>
      <c r="AF4098" s="35"/>
      <c r="AG4098" s="35"/>
      <c r="AH4098" s="35"/>
      <c r="AI4098" s="35"/>
    </row>
    <row r="4099">
      <c r="A4099" s="263"/>
      <c r="B4099" s="264"/>
      <c r="C4099" s="265"/>
      <c r="D4099" s="265"/>
      <c r="E4099" s="264"/>
      <c r="F4099" s="265"/>
      <c r="G4099" s="263"/>
      <c r="H4099" s="432"/>
      <c r="I4099" s="282"/>
      <c r="J4099" s="283"/>
      <c r="K4099" s="265"/>
      <c r="L4099" s="265"/>
      <c r="M4099" s="269"/>
      <c r="N4099" s="270"/>
      <c r="O4099" s="271"/>
      <c r="P4099" s="271"/>
      <c r="Q4099" s="272"/>
      <c r="R4099" s="273"/>
      <c r="S4099" s="273"/>
      <c r="T4099" s="273"/>
      <c r="U4099" s="274"/>
      <c r="V4099" s="263"/>
      <c r="W4099" s="35"/>
      <c r="X4099" s="35"/>
      <c r="Y4099" s="35"/>
      <c r="Z4099" s="35"/>
      <c r="AA4099" s="35"/>
      <c r="AB4099" s="35"/>
      <c r="AC4099" s="35"/>
      <c r="AD4099" s="35"/>
      <c r="AE4099" s="35"/>
      <c r="AF4099" s="35"/>
      <c r="AG4099" s="35"/>
      <c r="AH4099" s="35"/>
      <c r="AI4099" s="35"/>
    </row>
    <row r="4100">
      <c r="A4100" s="263"/>
      <c r="B4100" s="264"/>
      <c r="C4100" s="265"/>
      <c r="D4100" s="265"/>
      <c r="E4100" s="264"/>
      <c r="F4100" s="265"/>
      <c r="G4100" s="263"/>
      <c r="H4100" s="432"/>
      <c r="I4100" s="282"/>
      <c r="J4100" s="283"/>
      <c r="K4100" s="265"/>
      <c r="L4100" s="265"/>
      <c r="M4100" s="269"/>
      <c r="N4100" s="270"/>
      <c r="O4100" s="271"/>
      <c r="P4100" s="271"/>
      <c r="Q4100" s="272"/>
      <c r="R4100" s="273"/>
      <c r="S4100" s="273"/>
      <c r="T4100" s="273"/>
      <c r="U4100" s="274"/>
      <c r="V4100" s="263"/>
      <c r="W4100" s="35"/>
      <c r="X4100" s="35"/>
      <c r="Y4100" s="35"/>
      <c r="Z4100" s="35"/>
      <c r="AA4100" s="35"/>
      <c r="AB4100" s="35"/>
      <c r="AC4100" s="35"/>
      <c r="AD4100" s="35"/>
      <c r="AE4100" s="35"/>
      <c r="AF4100" s="35"/>
      <c r="AG4100" s="35"/>
      <c r="AH4100" s="35"/>
      <c r="AI4100" s="35"/>
    </row>
    <row r="4101">
      <c r="A4101" s="263"/>
      <c r="B4101" s="264"/>
      <c r="C4101" s="265"/>
      <c r="D4101" s="265"/>
      <c r="E4101" s="264"/>
      <c r="F4101" s="265"/>
      <c r="G4101" s="263"/>
      <c r="H4101" s="432"/>
      <c r="I4101" s="282"/>
      <c r="J4101" s="283"/>
      <c r="K4101" s="265"/>
      <c r="L4101" s="265"/>
      <c r="M4101" s="269"/>
      <c r="N4101" s="270"/>
      <c r="O4101" s="271"/>
      <c r="P4101" s="271"/>
      <c r="Q4101" s="272"/>
      <c r="R4101" s="273"/>
      <c r="S4101" s="273"/>
      <c r="T4101" s="273"/>
      <c r="U4101" s="274"/>
      <c r="V4101" s="263"/>
      <c r="W4101" s="35"/>
      <c r="X4101" s="35"/>
      <c r="Y4101" s="35"/>
      <c r="Z4101" s="35"/>
      <c r="AA4101" s="35"/>
      <c r="AB4101" s="35"/>
      <c r="AC4101" s="35"/>
      <c r="AD4101" s="35"/>
      <c r="AE4101" s="35"/>
      <c r="AF4101" s="35"/>
      <c r="AG4101" s="35"/>
      <c r="AH4101" s="35"/>
      <c r="AI4101" s="35"/>
    </row>
    <row r="4102">
      <c r="A4102" s="263"/>
      <c r="B4102" s="264"/>
      <c r="C4102" s="265"/>
      <c r="D4102" s="265"/>
      <c r="E4102" s="264"/>
      <c r="F4102" s="265"/>
      <c r="G4102" s="263"/>
      <c r="H4102" s="432"/>
      <c r="I4102" s="282"/>
      <c r="J4102" s="283"/>
      <c r="K4102" s="265"/>
      <c r="L4102" s="265"/>
      <c r="M4102" s="269"/>
      <c r="N4102" s="270"/>
      <c r="O4102" s="271"/>
      <c r="P4102" s="271"/>
      <c r="Q4102" s="272"/>
      <c r="R4102" s="273"/>
      <c r="S4102" s="273"/>
      <c r="T4102" s="273"/>
      <c r="U4102" s="274"/>
      <c r="V4102" s="263"/>
      <c r="W4102" s="35"/>
      <c r="X4102" s="35"/>
      <c r="Y4102" s="35"/>
      <c r="Z4102" s="35"/>
      <c r="AA4102" s="35"/>
      <c r="AB4102" s="35"/>
      <c r="AC4102" s="35"/>
      <c r="AD4102" s="35"/>
      <c r="AE4102" s="35"/>
      <c r="AF4102" s="35"/>
      <c r="AG4102" s="35"/>
      <c r="AH4102" s="35"/>
      <c r="AI4102" s="35"/>
    </row>
    <row r="4103">
      <c r="A4103" s="263"/>
      <c r="B4103" s="264"/>
      <c r="C4103" s="265"/>
      <c r="D4103" s="265"/>
      <c r="E4103" s="264"/>
      <c r="F4103" s="265"/>
      <c r="G4103" s="263"/>
      <c r="H4103" s="432"/>
      <c r="I4103" s="282"/>
      <c r="J4103" s="283"/>
      <c r="K4103" s="265"/>
      <c r="L4103" s="265"/>
      <c r="M4103" s="269"/>
      <c r="N4103" s="270"/>
      <c r="O4103" s="271"/>
      <c r="P4103" s="271"/>
      <c r="Q4103" s="272"/>
      <c r="R4103" s="273"/>
      <c r="S4103" s="273"/>
      <c r="T4103" s="273"/>
      <c r="U4103" s="274"/>
      <c r="V4103" s="263"/>
      <c r="W4103" s="35"/>
      <c r="X4103" s="35"/>
      <c r="Y4103" s="35"/>
      <c r="Z4103" s="35"/>
      <c r="AA4103" s="35"/>
      <c r="AB4103" s="35"/>
      <c r="AC4103" s="35"/>
      <c r="AD4103" s="35"/>
      <c r="AE4103" s="35"/>
      <c r="AF4103" s="35"/>
      <c r="AG4103" s="35"/>
      <c r="AH4103" s="35"/>
      <c r="AI4103" s="35"/>
    </row>
    <row r="4104">
      <c r="A4104" s="263"/>
      <c r="B4104" s="264"/>
      <c r="C4104" s="265"/>
      <c r="D4104" s="265"/>
      <c r="E4104" s="264"/>
      <c r="F4104" s="265"/>
      <c r="G4104" s="263"/>
      <c r="H4104" s="432"/>
      <c r="I4104" s="282"/>
      <c r="J4104" s="283"/>
      <c r="K4104" s="265"/>
      <c r="L4104" s="265"/>
      <c r="M4104" s="269"/>
      <c r="N4104" s="270"/>
      <c r="O4104" s="271"/>
      <c r="P4104" s="271"/>
      <c r="Q4104" s="272"/>
      <c r="R4104" s="273"/>
      <c r="S4104" s="273"/>
      <c r="T4104" s="273"/>
      <c r="U4104" s="274"/>
      <c r="V4104" s="263"/>
      <c r="W4104" s="35"/>
      <c r="X4104" s="35"/>
      <c r="Y4104" s="35"/>
      <c r="Z4104" s="35"/>
      <c r="AA4104" s="35"/>
      <c r="AB4104" s="35"/>
      <c r="AC4104" s="35"/>
      <c r="AD4104" s="35"/>
      <c r="AE4104" s="35"/>
      <c r="AF4104" s="35"/>
      <c r="AG4104" s="35"/>
      <c r="AH4104" s="35"/>
      <c r="AI4104" s="35"/>
    </row>
    <row r="4105">
      <c r="A4105" s="263"/>
      <c r="B4105" s="264"/>
      <c r="C4105" s="265"/>
      <c r="D4105" s="265"/>
      <c r="E4105" s="264"/>
      <c r="F4105" s="265"/>
      <c r="G4105" s="263"/>
      <c r="H4105" s="432"/>
      <c r="I4105" s="282"/>
      <c r="J4105" s="283"/>
      <c r="K4105" s="265"/>
      <c r="L4105" s="265"/>
      <c r="M4105" s="269"/>
      <c r="N4105" s="270"/>
      <c r="O4105" s="271"/>
      <c r="P4105" s="271"/>
      <c r="Q4105" s="272"/>
      <c r="R4105" s="273"/>
      <c r="S4105" s="273"/>
      <c r="T4105" s="273"/>
      <c r="U4105" s="274"/>
      <c r="V4105" s="263"/>
      <c r="W4105" s="35"/>
      <c r="X4105" s="35"/>
      <c r="Y4105" s="35"/>
      <c r="Z4105" s="35"/>
      <c r="AA4105" s="35"/>
      <c r="AB4105" s="35"/>
      <c r="AC4105" s="35"/>
      <c r="AD4105" s="35"/>
      <c r="AE4105" s="35"/>
      <c r="AF4105" s="35"/>
      <c r="AG4105" s="35"/>
      <c r="AH4105" s="35"/>
      <c r="AI4105" s="35"/>
    </row>
    <row r="4106">
      <c r="A4106" s="263"/>
      <c r="B4106" s="264"/>
      <c r="C4106" s="265"/>
      <c r="D4106" s="265"/>
      <c r="E4106" s="264"/>
      <c r="F4106" s="265"/>
      <c r="G4106" s="263"/>
      <c r="H4106" s="432"/>
      <c r="I4106" s="282"/>
      <c r="J4106" s="283"/>
      <c r="K4106" s="265"/>
      <c r="L4106" s="265"/>
      <c r="M4106" s="269"/>
      <c r="N4106" s="270"/>
      <c r="O4106" s="271"/>
      <c r="P4106" s="271"/>
      <c r="Q4106" s="272"/>
      <c r="R4106" s="273"/>
      <c r="S4106" s="273"/>
      <c r="T4106" s="273"/>
      <c r="U4106" s="274"/>
      <c r="V4106" s="263"/>
      <c r="W4106" s="35"/>
      <c r="X4106" s="35"/>
      <c r="Y4106" s="35"/>
      <c r="Z4106" s="35"/>
      <c r="AA4106" s="35"/>
      <c r="AB4106" s="35"/>
      <c r="AC4106" s="35"/>
      <c r="AD4106" s="35"/>
      <c r="AE4106" s="35"/>
      <c r="AF4106" s="35"/>
      <c r="AG4106" s="35"/>
      <c r="AH4106" s="35"/>
      <c r="AI4106" s="35"/>
    </row>
    <row r="4107">
      <c r="A4107" s="263"/>
      <c r="B4107" s="264"/>
      <c r="C4107" s="265"/>
      <c r="D4107" s="265"/>
      <c r="E4107" s="264"/>
      <c r="F4107" s="265"/>
      <c r="G4107" s="263"/>
      <c r="H4107" s="432"/>
      <c r="I4107" s="282"/>
      <c r="J4107" s="283"/>
      <c r="K4107" s="265"/>
      <c r="L4107" s="265"/>
      <c r="M4107" s="269"/>
      <c r="N4107" s="270"/>
      <c r="O4107" s="271"/>
      <c r="P4107" s="271"/>
      <c r="Q4107" s="272"/>
      <c r="R4107" s="273"/>
      <c r="S4107" s="273"/>
      <c r="T4107" s="273"/>
      <c r="U4107" s="274"/>
      <c r="V4107" s="263"/>
      <c r="W4107" s="35"/>
      <c r="X4107" s="35"/>
      <c r="Y4107" s="35"/>
      <c r="Z4107" s="35"/>
      <c r="AA4107" s="35"/>
      <c r="AB4107" s="35"/>
      <c r="AC4107" s="35"/>
      <c r="AD4107" s="35"/>
      <c r="AE4107" s="35"/>
      <c r="AF4107" s="35"/>
      <c r="AG4107" s="35"/>
      <c r="AH4107" s="35"/>
      <c r="AI4107" s="35"/>
    </row>
    <row r="4108">
      <c r="A4108" s="263"/>
      <c r="B4108" s="264"/>
      <c r="C4108" s="265"/>
      <c r="D4108" s="265"/>
      <c r="E4108" s="264"/>
      <c r="F4108" s="265"/>
      <c r="G4108" s="263"/>
      <c r="H4108" s="432"/>
      <c r="I4108" s="282"/>
      <c r="J4108" s="283"/>
      <c r="K4108" s="265"/>
      <c r="L4108" s="265"/>
      <c r="M4108" s="269"/>
      <c r="N4108" s="270"/>
      <c r="O4108" s="271"/>
      <c r="P4108" s="271"/>
      <c r="Q4108" s="272"/>
      <c r="R4108" s="273"/>
      <c r="S4108" s="273"/>
      <c r="T4108" s="273"/>
      <c r="U4108" s="274"/>
      <c r="V4108" s="263"/>
      <c r="W4108" s="35"/>
      <c r="X4108" s="35"/>
      <c r="Y4108" s="35"/>
      <c r="Z4108" s="35"/>
      <c r="AA4108" s="35"/>
      <c r="AB4108" s="35"/>
      <c r="AC4108" s="35"/>
      <c r="AD4108" s="35"/>
      <c r="AE4108" s="35"/>
      <c r="AF4108" s="35"/>
      <c r="AG4108" s="35"/>
      <c r="AH4108" s="35"/>
      <c r="AI4108" s="35"/>
    </row>
    <row r="4109">
      <c r="A4109" s="263"/>
      <c r="B4109" s="264"/>
      <c r="C4109" s="265"/>
      <c r="D4109" s="265"/>
      <c r="E4109" s="264"/>
      <c r="F4109" s="265"/>
      <c r="G4109" s="263"/>
      <c r="H4109" s="432"/>
      <c r="I4109" s="282"/>
      <c r="J4109" s="283"/>
      <c r="K4109" s="265"/>
      <c r="L4109" s="265"/>
      <c r="M4109" s="269"/>
      <c r="N4109" s="270"/>
      <c r="O4109" s="271"/>
      <c r="P4109" s="271"/>
      <c r="Q4109" s="272"/>
      <c r="R4109" s="273"/>
      <c r="S4109" s="273"/>
      <c r="T4109" s="273"/>
      <c r="U4109" s="274"/>
      <c r="V4109" s="263"/>
      <c r="W4109" s="35"/>
      <c r="X4109" s="35"/>
      <c r="Y4109" s="35"/>
      <c r="Z4109" s="35"/>
      <c r="AA4109" s="35"/>
      <c r="AB4109" s="35"/>
      <c r="AC4109" s="35"/>
      <c r="AD4109" s="35"/>
      <c r="AE4109" s="35"/>
      <c r="AF4109" s="35"/>
      <c r="AG4109" s="35"/>
      <c r="AH4109" s="35"/>
      <c r="AI4109" s="35"/>
    </row>
    <row r="4110">
      <c r="A4110" s="263"/>
      <c r="B4110" s="264"/>
      <c r="C4110" s="265"/>
      <c r="D4110" s="265"/>
      <c r="E4110" s="264"/>
      <c r="F4110" s="265"/>
      <c r="G4110" s="263"/>
      <c r="H4110" s="432"/>
      <c r="I4110" s="282"/>
      <c r="J4110" s="283"/>
      <c r="K4110" s="265"/>
      <c r="L4110" s="265"/>
      <c r="M4110" s="269"/>
      <c r="N4110" s="270"/>
      <c r="O4110" s="271"/>
      <c r="P4110" s="271"/>
      <c r="Q4110" s="272"/>
      <c r="R4110" s="273"/>
      <c r="S4110" s="273"/>
      <c r="T4110" s="273"/>
      <c r="U4110" s="274"/>
      <c r="V4110" s="263"/>
      <c r="W4110" s="35"/>
      <c r="X4110" s="35"/>
      <c r="Y4110" s="35"/>
      <c r="Z4110" s="35"/>
      <c r="AA4110" s="35"/>
      <c r="AB4110" s="35"/>
      <c r="AC4110" s="35"/>
      <c r="AD4110" s="35"/>
      <c r="AE4110" s="35"/>
      <c r="AF4110" s="35"/>
      <c r="AG4110" s="35"/>
      <c r="AH4110" s="35"/>
      <c r="AI4110" s="35"/>
    </row>
    <row r="4111">
      <c r="A4111" s="263"/>
      <c r="B4111" s="264"/>
      <c r="C4111" s="265"/>
      <c r="D4111" s="265"/>
      <c r="E4111" s="264"/>
      <c r="F4111" s="265"/>
      <c r="G4111" s="263"/>
      <c r="H4111" s="432"/>
      <c r="I4111" s="282"/>
      <c r="J4111" s="283"/>
      <c r="K4111" s="265"/>
      <c r="L4111" s="265"/>
      <c r="M4111" s="269"/>
      <c r="N4111" s="270"/>
      <c r="O4111" s="271"/>
      <c r="P4111" s="271"/>
      <c r="Q4111" s="272"/>
      <c r="R4111" s="273"/>
      <c r="S4111" s="273"/>
      <c r="T4111" s="273"/>
      <c r="U4111" s="274"/>
      <c r="V4111" s="263"/>
      <c r="W4111" s="35"/>
      <c r="X4111" s="35"/>
      <c r="Y4111" s="35"/>
      <c r="Z4111" s="35"/>
      <c r="AA4111" s="35"/>
      <c r="AB4111" s="35"/>
      <c r="AC4111" s="35"/>
      <c r="AD4111" s="35"/>
      <c r="AE4111" s="35"/>
      <c r="AF4111" s="35"/>
      <c r="AG4111" s="35"/>
      <c r="AH4111" s="35"/>
      <c r="AI4111" s="35"/>
    </row>
    <row r="4112">
      <c r="A4112" s="263"/>
      <c r="B4112" s="264"/>
      <c r="C4112" s="265"/>
      <c r="D4112" s="265"/>
      <c r="E4112" s="264"/>
      <c r="F4112" s="265"/>
      <c r="G4112" s="263"/>
      <c r="H4112" s="432"/>
      <c r="I4112" s="282"/>
      <c r="J4112" s="283"/>
      <c r="K4112" s="265"/>
      <c r="L4112" s="265"/>
      <c r="M4112" s="269"/>
      <c r="N4112" s="270"/>
      <c r="O4112" s="271"/>
      <c r="P4112" s="271"/>
      <c r="Q4112" s="272"/>
      <c r="R4112" s="273"/>
      <c r="S4112" s="273"/>
      <c r="T4112" s="273"/>
      <c r="U4112" s="274"/>
      <c r="V4112" s="263"/>
      <c r="W4112" s="35"/>
      <c r="X4112" s="35"/>
      <c r="Y4112" s="35"/>
      <c r="Z4112" s="35"/>
      <c r="AA4112" s="35"/>
      <c r="AB4112" s="35"/>
      <c r="AC4112" s="35"/>
      <c r="AD4112" s="35"/>
      <c r="AE4112" s="35"/>
      <c r="AF4112" s="35"/>
      <c r="AG4112" s="35"/>
      <c r="AH4112" s="35"/>
      <c r="AI4112" s="35"/>
    </row>
    <row r="4113">
      <c r="A4113" s="263"/>
      <c r="B4113" s="264"/>
      <c r="C4113" s="265"/>
      <c r="D4113" s="265"/>
      <c r="E4113" s="264"/>
      <c r="F4113" s="265"/>
      <c r="G4113" s="263"/>
      <c r="H4113" s="432"/>
      <c r="I4113" s="282"/>
      <c r="J4113" s="283"/>
      <c r="K4113" s="265"/>
      <c r="L4113" s="265"/>
      <c r="M4113" s="269"/>
      <c r="N4113" s="270"/>
      <c r="O4113" s="271"/>
      <c r="P4113" s="271"/>
      <c r="Q4113" s="272"/>
      <c r="R4113" s="273"/>
      <c r="S4113" s="273"/>
      <c r="T4113" s="273"/>
      <c r="U4113" s="274"/>
      <c r="V4113" s="263"/>
      <c r="W4113" s="35"/>
      <c r="X4113" s="35"/>
      <c r="Y4113" s="35"/>
      <c r="Z4113" s="35"/>
      <c r="AA4113" s="35"/>
      <c r="AB4113" s="35"/>
      <c r="AC4113" s="35"/>
      <c r="AD4113" s="35"/>
      <c r="AE4113" s="35"/>
      <c r="AF4113" s="35"/>
      <c r="AG4113" s="35"/>
      <c r="AH4113" s="35"/>
      <c r="AI4113" s="35"/>
    </row>
    <row r="4114">
      <c r="A4114" s="263"/>
      <c r="B4114" s="264"/>
      <c r="C4114" s="265"/>
      <c r="D4114" s="265"/>
      <c r="E4114" s="264"/>
      <c r="F4114" s="265"/>
      <c r="G4114" s="263"/>
      <c r="H4114" s="432"/>
      <c r="I4114" s="282"/>
      <c r="J4114" s="283"/>
      <c r="K4114" s="265"/>
      <c r="L4114" s="265"/>
      <c r="M4114" s="269"/>
      <c r="N4114" s="270"/>
      <c r="O4114" s="271"/>
      <c r="P4114" s="271"/>
      <c r="Q4114" s="272"/>
      <c r="R4114" s="273"/>
      <c r="S4114" s="273"/>
      <c r="T4114" s="273"/>
      <c r="U4114" s="274"/>
      <c r="V4114" s="263"/>
      <c r="W4114" s="35"/>
      <c r="X4114" s="35"/>
      <c r="Y4114" s="35"/>
      <c r="Z4114" s="35"/>
      <c r="AA4114" s="35"/>
      <c r="AB4114" s="35"/>
      <c r="AC4114" s="35"/>
      <c r="AD4114" s="35"/>
      <c r="AE4114" s="35"/>
      <c r="AF4114" s="35"/>
      <c r="AG4114" s="35"/>
      <c r="AH4114" s="35"/>
      <c r="AI4114" s="35"/>
    </row>
    <row r="4115">
      <c r="A4115" s="263"/>
      <c r="B4115" s="264"/>
      <c r="C4115" s="265"/>
      <c r="D4115" s="265"/>
      <c r="E4115" s="264"/>
      <c r="F4115" s="265"/>
      <c r="G4115" s="263"/>
      <c r="H4115" s="432"/>
      <c r="I4115" s="282"/>
      <c r="J4115" s="283"/>
      <c r="K4115" s="265"/>
      <c r="L4115" s="265"/>
      <c r="M4115" s="269"/>
      <c r="N4115" s="270"/>
      <c r="O4115" s="271"/>
      <c r="P4115" s="271"/>
      <c r="Q4115" s="272"/>
      <c r="R4115" s="273"/>
      <c r="S4115" s="273"/>
      <c r="T4115" s="260"/>
      <c r="U4115" s="261"/>
      <c r="V4115" s="251"/>
      <c r="W4115" s="35"/>
      <c r="X4115" s="35"/>
      <c r="Y4115" s="35"/>
      <c r="Z4115" s="35"/>
      <c r="AA4115" s="35"/>
      <c r="AB4115" s="35"/>
      <c r="AC4115" s="35"/>
      <c r="AD4115" s="35"/>
      <c r="AE4115" s="35"/>
      <c r="AF4115" s="35"/>
      <c r="AG4115" s="35"/>
      <c r="AH4115" s="35"/>
      <c r="AI4115" s="35"/>
    </row>
    <row r="4116">
      <c r="A4116" s="263"/>
      <c r="B4116" s="264"/>
      <c r="C4116" s="265"/>
      <c r="D4116" s="265"/>
      <c r="E4116" s="264"/>
      <c r="F4116" s="265"/>
      <c r="G4116" s="263"/>
      <c r="H4116" s="432"/>
      <c r="I4116" s="282"/>
      <c r="J4116" s="283"/>
      <c r="K4116" s="265"/>
      <c r="L4116" s="265"/>
      <c r="M4116" s="269"/>
      <c r="N4116" s="270"/>
      <c r="O4116" s="271"/>
      <c r="P4116" s="271"/>
      <c r="Q4116" s="272"/>
      <c r="R4116" s="273"/>
      <c r="S4116" s="273"/>
      <c r="T4116" s="260"/>
      <c r="U4116" s="261"/>
      <c r="V4116" s="309"/>
      <c r="W4116" s="35"/>
      <c r="X4116" s="35"/>
      <c r="Y4116" s="35"/>
      <c r="Z4116" s="35"/>
      <c r="AA4116" s="35"/>
      <c r="AB4116" s="35"/>
      <c r="AC4116" s="35"/>
      <c r="AD4116" s="35"/>
      <c r="AE4116" s="35"/>
      <c r="AF4116" s="35"/>
      <c r="AG4116" s="35"/>
      <c r="AH4116" s="35"/>
      <c r="AI4116" s="35"/>
    </row>
    <row r="4117">
      <c r="A4117" s="263"/>
      <c r="B4117" s="264"/>
      <c r="C4117" s="265"/>
      <c r="D4117" s="265"/>
      <c r="E4117" s="264"/>
      <c r="F4117" s="265"/>
      <c r="G4117" s="263"/>
      <c r="H4117" s="432"/>
      <c r="I4117" s="282"/>
      <c r="J4117" s="283"/>
      <c r="K4117" s="265"/>
      <c r="L4117" s="265"/>
      <c r="M4117" s="269"/>
      <c r="N4117" s="270"/>
      <c r="O4117" s="271"/>
      <c r="P4117" s="271"/>
      <c r="Q4117" s="272"/>
      <c r="R4117" s="273"/>
      <c r="S4117" s="273"/>
      <c r="T4117" s="260"/>
      <c r="U4117" s="261"/>
      <c r="V4117" s="309"/>
      <c r="W4117" s="35"/>
      <c r="X4117" s="35"/>
      <c r="Y4117" s="35"/>
      <c r="Z4117" s="35"/>
      <c r="AA4117" s="35"/>
      <c r="AB4117" s="35"/>
      <c r="AC4117" s="35"/>
      <c r="AD4117" s="35"/>
      <c r="AE4117" s="35"/>
      <c r="AF4117" s="35"/>
      <c r="AG4117" s="35"/>
      <c r="AH4117" s="35"/>
      <c r="AI4117" s="35"/>
    </row>
    <row r="4118">
      <c r="A4118" s="263"/>
      <c r="B4118" s="264"/>
      <c r="C4118" s="265"/>
      <c r="D4118" s="265"/>
      <c r="E4118" s="264"/>
      <c r="F4118" s="265"/>
      <c r="G4118" s="263"/>
      <c r="H4118" s="432"/>
      <c r="I4118" s="282"/>
      <c r="J4118" s="283"/>
      <c r="K4118" s="265"/>
      <c r="L4118" s="265"/>
      <c r="M4118" s="269"/>
      <c r="N4118" s="270"/>
      <c r="O4118" s="271"/>
      <c r="P4118" s="271"/>
      <c r="Q4118" s="272"/>
      <c r="R4118" s="273"/>
      <c r="S4118" s="273"/>
      <c r="T4118" s="273"/>
      <c r="U4118" s="274"/>
      <c r="V4118" s="263"/>
      <c r="W4118" s="35"/>
      <c r="X4118" s="35"/>
      <c r="Y4118" s="35"/>
      <c r="Z4118" s="35"/>
      <c r="AA4118" s="35"/>
      <c r="AB4118" s="35"/>
      <c r="AC4118" s="35"/>
      <c r="AD4118" s="35"/>
      <c r="AE4118" s="35"/>
      <c r="AF4118" s="35"/>
      <c r="AG4118" s="35"/>
      <c r="AH4118" s="35"/>
      <c r="AI4118" s="35"/>
    </row>
    <row r="4119">
      <c r="A4119" s="263"/>
      <c r="B4119" s="264"/>
      <c r="C4119" s="265"/>
      <c r="D4119" s="265"/>
      <c r="E4119" s="264"/>
      <c r="F4119" s="265"/>
      <c r="G4119" s="263"/>
      <c r="H4119" s="432"/>
      <c r="I4119" s="282"/>
      <c r="J4119" s="283"/>
      <c r="K4119" s="265"/>
      <c r="L4119" s="265"/>
      <c r="M4119" s="269"/>
      <c r="N4119" s="270"/>
      <c r="O4119" s="271"/>
      <c r="P4119" s="271"/>
      <c r="Q4119" s="272"/>
      <c r="R4119" s="273"/>
      <c r="S4119" s="273"/>
      <c r="T4119" s="273"/>
      <c r="U4119" s="274"/>
      <c r="V4119" s="263"/>
      <c r="W4119" s="35"/>
      <c r="X4119" s="35"/>
      <c r="Y4119" s="35"/>
      <c r="Z4119" s="35"/>
      <c r="AA4119" s="35"/>
      <c r="AB4119" s="35"/>
      <c r="AC4119" s="35"/>
      <c r="AD4119" s="35"/>
      <c r="AE4119" s="35"/>
      <c r="AF4119" s="35"/>
      <c r="AG4119" s="35"/>
      <c r="AH4119" s="35"/>
      <c r="AI4119" s="35"/>
    </row>
    <row r="4120">
      <c r="A4120" s="263"/>
      <c r="B4120" s="264"/>
      <c r="C4120" s="265"/>
      <c r="D4120" s="265"/>
      <c r="E4120" s="264"/>
      <c r="F4120" s="265"/>
      <c r="G4120" s="263"/>
      <c r="H4120" s="432"/>
      <c r="I4120" s="282"/>
      <c r="J4120" s="283"/>
      <c r="K4120" s="265"/>
      <c r="L4120" s="265"/>
      <c r="M4120" s="269"/>
      <c r="N4120" s="270"/>
      <c r="O4120" s="271"/>
      <c r="P4120" s="271"/>
      <c r="Q4120" s="272"/>
      <c r="R4120" s="273"/>
      <c r="S4120" s="273"/>
      <c r="T4120" s="273"/>
      <c r="U4120" s="274"/>
      <c r="V4120" s="263"/>
      <c r="W4120" s="35"/>
      <c r="X4120" s="35"/>
      <c r="Y4120" s="35"/>
      <c r="Z4120" s="35"/>
      <c r="AA4120" s="35"/>
      <c r="AB4120" s="35"/>
      <c r="AC4120" s="35"/>
      <c r="AD4120" s="35"/>
      <c r="AE4120" s="35"/>
      <c r="AF4120" s="35"/>
      <c r="AG4120" s="35"/>
      <c r="AH4120" s="35"/>
      <c r="AI4120" s="35"/>
    </row>
    <row r="4121">
      <c r="A4121" s="263"/>
      <c r="B4121" s="264"/>
      <c r="C4121" s="265"/>
      <c r="D4121" s="265"/>
      <c r="E4121" s="264"/>
      <c r="F4121" s="265"/>
      <c r="G4121" s="263"/>
      <c r="H4121" s="432"/>
      <c r="I4121" s="282"/>
      <c r="J4121" s="283"/>
      <c r="K4121" s="265"/>
      <c r="L4121" s="265"/>
      <c r="M4121" s="269"/>
      <c r="N4121" s="270"/>
      <c r="O4121" s="271"/>
      <c r="P4121" s="271"/>
      <c r="Q4121" s="272"/>
      <c r="R4121" s="273"/>
      <c r="S4121" s="273"/>
      <c r="T4121" s="273"/>
      <c r="U4121" s="274"/>
      <c r="V4121" s="263"/>
      <c r="W4121" s="35"/>
      <c r="X4121" s="35"/>
      <c r="Y4121" s="35"/>
      <c r="Z4121" s="35"/>
      <c r="AA4121" s="35"/>
      <c r="AB4121" s="35"/>
      <c r="AC4121" s="35"/>
      <c r="AD4121" s="35"/>
      <c r="AE4121" s="35"/>
      <c r="AF4121" s="35"/>
      <c r="AG4121" s="35"/>
      <c r="AH4121" s="35"/>
      <c r="AI4121" s="35"/>
    </row>
    <row r="4122">
      <c r="A4122" s="263"/>
      <c r="B4122" s="264"/>
      <c r="C4122" s="265"/>
      <c r="D4122" s="265"/>
      <c r="E4122" s="264"/>
      <c r="F4122" s="265"/>
      <c r="G4122" s="263"/>
      <c r="H4122" s="432"/>
      <c r="I4122" s="282"/>
      <c r="J4122" s="283"/>
      <c r="K4122" s="265"/>
      <c r="L4122" s="265"/>
      <c r="M4122" s="269"/>
      <c r="N4122" s="270"/>
      <c r="O4122" s="271"/>
      <c r="P4122" s="271"/>
      <c r="Q4122" s="272"/>
      <c r="R4122" s="273"/>
      <c r="S4122" s="273"/>
      <c r="T4122" s="273"/>
      <c r="U4122" s="274"/>
      <c r="V4122" s="263"/>
      <c r="W4122" s="35"/>
      <c r="X4122" s="35"/>
      <c r="Y4122" s="35"/>
      <c r="Z4122" s="35"/>
      <c r="AA4122" s="35"/>
      <c r="AB4122" s="35"/>
      <c r="AC4122" s="35"/>
      <c r="AD4122" s="35"/>
      <c r="AE4122" s="35"/>
      <c r="AF4122" s="35"/>
      <c r="AG4122" s="35"/>
      <c r="AH4122" s="35"/>
      <c r="AI4122" s="35"/>
    </row>
    <row r="4123">
      <c r="A4123" s="263"/>
      <c r="B4123" s="264"/>
      <c r="C4123" s="265"/>
      <c r="D4123" s="265"/>
      <c r="E4123" s="264"/>
      <c r="F4123" s="265"/>
      <c r="G4123" s="263"/>
      <c r="H4123" s="432"/>
      <c r="I4123" s="282"/>
      <c r="J4123" s="283"/>
      <c r="K4123" s="265"/>
      <c r="L4123" s="265"/>
      <c r="M4123" s="269"/>
      <c r="N4123" s="270"/>
      <c r="O4123" s="271"/>
      <c r="P4123" s="271"/>
      <c r="Q4123" s="272"/>
      <c r="R4123" s="273"/>
      <c r="S4123" s="273"/>
      <c r="T4123" s="273"/>
      <c r="U4123" s="274"/>
      <c r="V4123" s="263"/>
      <c r="W4123" s="35"/>
      <c r="X4123" s="35"/>
      <c r="Y4123" s="35"/>
      <c r="Z4123" s="35"/>
      <c r="AA4123" s="35"/>
      <c r="AB4123" s="35"/>
      <c r="AC4123" s="35"/>
      <c r="AD4123" s="35"/>
      <c r="AE4123" s="35"/>
      <c r="AF4123" s="35"/>
      <c r="AG4123" s="35"/>
      <c r="AH4123" s="35"/>
      <c r="AI4123" s="35"/>
    </row>
    <row r="4124">
      <c r="A4124" s="263"/>
      <c r="B4124" s="264"/>
      <c r="C4124" s="265"/>
      <c r="D4124" s="265"/>
      <c r="E4124" s="264"/>
      <c r="F4124" s="265"/>
      <c r="G4124" s="263"/>
      <c r="H4124" s="432"/>
      <c r="I4124" s="282"/>
      <c r="J4124" s="283"/>
      <c r="K4124" s="265"/>
      <c r="L4124" s="265"/>
      <c r="M4124" s="269"/>
      <c r="N4124" s="270"/>
      <c r="O4124" s="271"/>
      <c r="P4124" s="271"/>
      <c r="Q4124" s="272"/>
      <c r="R4124" s="273"/>
      <c r="S4124" s="273"/>
      <c r="T4124" s="273"/>
      <c r="U4124" s="274"/>
      <c r="V4124" s="263"/>
      <c r="W4124" s="35"/>
      <c r="X4124" s="35"/>
      <c r="Y4124" s="35"/>
      <c r="Z4124" s="35"/>
      <c r="AA4124" s="35"/>
      <c r="AB4124" s="35"/>
      <c r="AC4124" s="35"/>
      <c r="AD4124" s="35"/>
      <c r="AE4124" s="35"/>
      <c r="AF4124" s="35"/>
      <c r="AG4124" s="35"/>
      <c r="AH4124" s="35"/>
      <c r="AI4124" s="35"/>
    </row>
    <row r="4125">
      <c r="A4125" s="263"/>
      <c r="B4125" s="264"/>
      <c r="C4125" s="265"/>
      <c r="D4125" s="265"/>
      <c r="E4125" s="264"/>
      <c r="F4125" s="265"/>
      <c r="G4125" s="263"/>
      <c r="H4125" s="432"/>
      <c r="I4125" s="282"/>
      <c r="J4125" s="283"/>
      <c r="K4125" s="265"/>
      <c r="L4125" s="265"/>
      <c r="M4125" s="269"/>
      <c r="N4125" s="270"/>
      <c r="O4125" s="271"/>
      <c r="P4125" s="271"/>
      <c r="Q4125" s="272"/>
      <c r="R4125" s="273"/>
      <c r="S4125" s="273"/>
      <c r="T4125" s="273"/>
      <c r="U4125" s="274"/>
      <c r="V4125" s="263"/>
      <c r="W4125" s="35"/>
      <c r="X4125" s="35"/>
      <c r="Y4125" s="35"/>
      <c r="Z4125" s="35"/>
      <c r="AA4125" s="35"/>
      <c r="AB4125" s="35"/>
      <c r="AC4125" s="35"/>
      <c r="AD4125" s="35"/>
      <c r="AE4125" s="35"/>
      <c r="AF4125" s="35"/>
      <c r="AG4125" s="35"/>
      <c r="AH4125" s="35"/>
      <c r="AI4125" s="35"/>
    </row>
    <row r="4126">
      <c r="A4126" s="276"/>
      <c r="B4126" s="252"/>
      <c r="C4126" s="253"/>
      <c r="D4126" s="253"/>
      <c r="E4126" s="252"/>
      <c r="F4126" s="253"/>
      <c r="G4126" s="251"/>
      <c r="H4126" s="433"/>
      <c r="I4126" s="278"/>
      <c r="J4126" s="257"/>
      <c r="K4126" s="253"/>
      <c r="L4126" s="253"/>
      <c r="M4126" s="252"/>
      <c r="N4126" s="258"/>
      <c r="O4126" s="259"/>
      <c r="P4126" s="259"/>
      <c r="Q4126" s="262"/>
      <c r="R4126" s="260"/>
      <c r="S4126" s="260"/>
      <c r="T4126" s="260"/>
      <c r="U4126" s="261"/>
      <c r="V4126" s="251"/>
      <c r="W4126" s="35"/>
      <c r="X4126" s="35"/>
      <c r="Y4126" s="35"/>
      <c r="Z4126" s="35"/>
      <c r="AA4126" s="35"/>
      <c r="AB4126" s="35"/>
      <c r="AC4126" s="35"/>
      <c r="AD4126" s="35"/>
      <c r="AE4126" s="35"/>
      <c r="AF4126" s="35"/>
      <c r="AG4126" s="35"/>
      <c r="AH4126" s="35"/>
      <c r="AI4126" s="35"/>
    </row>
    <row r="4127">
      <c r="A4127" s="251"/>
      <c r="B4127" s="252"/>
      <c r="C4127" s="253"/>
      <c r="D4127" s="253"/>
      <c r="E4127" s="252"/>
      <c r="F4127" s="253"/>
      <c r="G4127" s="251"/>
      <c r="H4127" s="433"/>
      <c r="I4127" s="278"/>
      <c r="J4127" s="257"/>
      <c r="K4127" s="253"/>
      <c r="L4127" s="253"/>
      <c r="M4127" s="275"/>
      <c r="N4127" s="258"/>
      <c r="O4127" s="259"/>
      <c r="P4127" s="259"/>
      <c r="Q4127" s="262"/>
      <c r="R4127" s="260"/>
      <c r="S4127" s="260"/>
      <c r="T4127" s="260"/>
      <c r="U4127" s="261"/>
      <c r="V4127" s="309"/>
      <c r="W4127" s="35"/>
      <c r="X4127" s="35"/>
      <c r="Y4127" s="35"/>
      <c r="Z4127" s="35"/>
      <c r="AA4127" s="35"/>
      <c r="AB4127" s="35"/>
      <c r="AC4127" s="35"/>
      <c r="AD4127" s="35"/>
      <c r="AE4127" s="35"/>
      <c r="AF4127" s="35"/>
      <c r="AG4127" s="35"/>
      <c r="AH4127" s="35"/>
      <c r="AI4127" s="35"/>
    </row>
    <row r="4128">
      <c r="A4128" s="263"/>
      <c r="B4128" s="264"/>
      <c r="C4128" s="265"/>
      <c r="D4128" s="265"/>
      <c r="E4128" s="264"/>
      <c r="F4128" s="265"/>
      <c r="G4128" s="263"/>
      <c r="H4128" s="432"/>
      <c r="I4128" s="282"/>
      <c r="J4128" s="283"/>
      <c r="K4128" s="265"/>
      <c r="L4128" s="265"/>
      <c r="M4128" s="269"/>
      <c r="N4128" s="270"/>
      <c r="O4128" s="271"/>
      <c r="P4128" s="271"/>
      <c r="Q4128" s="272"/>
      <c r="R4128" s="273"/>
      <c r="S4128" s="273"/>
      <c r="T4128" s="273"/>
      <c r="U4128" s="274"/>
      <c r="V4128" s="263"/>
      <c r="W4128" s="35"/>
      <c r="X4128" s="35"/>
      <c r="Y4128" s="35"/>
      <c r="Z4128" s="35"/>
      <c r="AA4128" s="35"/>
      <c r="AB4128" s="35"/>
      <c r="AC4128" s="35"/>
      <c r="AD4128" s="35"/>
      <c r="AE4128" s="35"/>
      <c r="AF4128" s="35"/>
      <c r="AG4128" s="35"/>
      <c r="AH4128" s="35"/>
      <c r="AI4128" s="35"/>
    </row>
    <row r="4129">
      <c r="A4129" s="263"/>
      <c r="B4129" s="264"/>
      <c r="C4129" s="265"/>
      <c r="D4129" s="265"/>
      <c r="E4129" s="264"/>
      <c r="F4129" s="265"/>
      <c r="G4129" s="263"/>
      <c r="H4129" s="432"/>
      <c r="I4129" s="282"/>
      <c r="J4129" s="283"/>
      <c r="K4129" s="265"/>
      <c r="L4129" s="265"/>
      <c r="M4129" s="269"/>
      <c r="N4129" s="270"/>
      <c r="O4129" s="271"/>
      <c r="P4129" s="271"/>
      <c r="Q4129" s="272"/>
      <c r="R4129" s="273"/>
      <c r="S4129" s="273"/>
      <c r="T4129" s="273"/>
      <c r="U4129" s="274"/>
      <c r="V4129" s="263"/>
      <c r="W4129" s="35"/>
      <c r="X4129" s="35"/>
      <c r="Y4129" s="35"/>
      <c r="Z4129" s="35"/>
      <c r="AA4129" s="35"/>
      <c r="AB4129" s="35"/>
      <c r="AC4129" s="35"/>
      <c r="AD4129" s="35"/>
      <c r="AE4129" s="35"/>
      <c r="AF4129" s="35"/>
      <c r="AG4129" s="35"/>
      <c r="AH4129" s="35"/>
      <c r="AI4129" s="35"/>
    </row>
    <row r="4130">
      <c r="A4130" s="263"/>
      <c r="B4130" s="264"/>
      <c r="C4130" s="265"/>
      <c r="D4130" s="265"/>
      <c r="E4130" s="264"/>
      <c r="F4130" s="265"/>
      <c r="G4130" s="263"/>
      <c r="H4130" s="432"/>
      <c r="I4130" s="282"/>
      <c r="J4130" s="283"/>
      <c r="K4130" s="265"/>
      <c r="L4130" s="265"/>
      <c r="M4130" s="269"/>
      <c r="N4130" s="270"/>
      <c r="O4130" s="271"/>
      <c r="P4130" s="271"/>
      <c r="Q4130" s="272"/>
      <c r="R4130" s="273"/>
      <c r="S4130" s="273"/>
      <c r="T4130" s="273"/>
      <c r="U4130" s="274"/>
      <c r="V4130" s="263"/>
      <c r="W4130" s="35"/>
      <c r="X4130" s="35"/>
      <c r="Y4130" s="35"/>
      <c r="Z4130" s="35"/>
      <c r="AA4130" s="35"/>
      <c r="AB4130" s="35"/>
      <c r="AC4130" s="35"/>
      <c r="AD4130" s="35"/>
      <c r="AE4130" s="35"/>
      <c r="AF4130" s="35"/>
      <c r="AG4130" s="35"/>
      <c r="AH4130" s="35"/>
      <c r="AI4130" s="35"/>
    </row>
    <row r="4131">
      <c r="A4131" s="251"/>
      <c r="B4131" s="252"/>
      <c r="C4131" s="253"/>
      <c r="D4131" s="253"/>
      <c r="E4131" s="252"/>
      <c r="F4131" s="253"/>
      <c r="G4131" s="251"/>
      <c r="H4131" s="433"/>
      <c r="I4131" s="278"/>
      <c r="J4131" s="257"/>
      <c r="K4131" s="253"/>
      <c r="L4131" s="253"/>
      <c r="M4131" s="275"/>
      <c r="N4131" s="258"/>
      <c r="O4131" s="259"/>
      <c r="P4131" s="259"/>
      <c r="Q4131" s="262"/>
      <c r="R4131" s="260"/>
      <c r="S4131" s="260"/>
      <c r="T4131" s="260"/>
      <c r="U4131" s="261"/>
      <c r="V4131" s="251"/>
      <c r="W4131" s="35"/>
      <c r="X4131" s="35"/>
      <c r="Y4131" s="35"/>
      <c r="Z4131" s="35"/>
      <c r="AA4131" s="35"/>
      <c r="AB4131" s="35"/>
      <c r="AC4131" s="35"/>
      <c r="AD4131" s="35"/>
      <c r="AE4131" s="35"/>
      <c r="AF4131" s="35"/>
      <c r="AG4131" s="35"/>
      <c r="AH4131" s="35"/>
      <c r="AI4131" s="35"/>
    </row>
    <row r="4132">
      <c r="A4132" s="263"/>
      <c r="B4132" s="264"/>
      <c r="C4132" s="265"/>
      <c r="D4132" s="265"/>
      <c r="E4132" s="264"/>
      <c r="F4132" s="265"/>
      <c r="G4132" s="263"/>
      <c r="H4132" s="432"/>
      <c r="I4132" s="282"/>
      <c r="J4132" s="283"/>
      <c r="K4132" s="265"/>
      <c r="L4132" s="265"/>
      <c r="M4132" s="269"/>
      <c r="N4132" s="270"/>
      <c r="O4132" s="271"/>
      <c r="P4132" s="271"/>
      <c r="Q4132" s="272"/>
      <c r="R4132" s="273"/>
      <c r="S4132" s="273"/>
      <c r="T4132" s="273"/>
      <c r="U4132" s="274"/>
      <c r="V4132" s="263"/>
      <c r="W4132" s="35"/>
      <c r="X4132" s="35"/>
      <c r="Y4132" s="35"/>
      <c r="Z4132" s="35"/>
      <c r="AA4132" s="35"/>
      <c r="AB4132" s="35"/>
      <c r="AC4132" s="35"/>
      <c r="AD4132" s="35"/>
      <c r="AE4132" s="35"/>
      <c r="AF4132" s="35"/>
      <c r="AG4132" s="35"/>
      <c r="AH4132" s="35"/>
      <c r="AI4132" s="35"/>
    </row>
    <row r="4133">
      <c r="A4133" s="263"/>
      <c r="B4133" s="264"/>
      <c r="C4133" s="265"/>
      <c r="D4133" s="265"/>
      <c r="E4133" s="264"/>
      <c r="F4133" s="265"/>
      <c r="G4133" s="263"/>
      <c r="H4133" s="432"/>
      <c r="I4133" s="282"/>
      <c r="J4133" s="283"/>
      <c r="K4133" s="265"/>
      <c r="L4133" s="265"/>
      <c r="M4133" s="269"/>
      <c r="N4133" s="270"/>
      <c r="O4133" s="271"/>
      <c r="P4133" s="271"/>
      <c r="Q4133" s="272"/>
      <c r="R4133" s="273"/>
      <c r="S4133" s="273"/>
      <c r="T4133" s="273"/>
      <c r="U4133" s="274"/>
      <c r="V4133" s="263"/>
      <c r="W4133" s="35"/>
      <c r="X4133" s="35"/>
      <c r="Y4133" s="35"/>
      <c r="Z4133" s="35"/>
      <c r="AA4133" s="35"/>
      <c r="AB4133" s="35"/>
      <c r="AC4133" s="35"/>
      <c r="AD4133" s="35"/>
      <c r="AE4133" s="35"/>
      <c r="AF4133" s="35"/>
      <c r="AG4133" s="35"/>
      <c r="AH4133" s="35"/>
      <c r="AI4133" s="35"/>
    </row>
    <row r="4134">
      <c r="A4134" s="251"/>
      <c r="B4134" s="252"/>
      <c r="C4134" s="253"/>
      <c r="D4134" s="253"/>
      <c r="E4134" s="252"/>
      <c r="F4134" s="253"/>
      <c r="G4134" s="251"/>
      <c r="H4134" s="433"/>
      <c r="I4134" s="278"/>
      <c r="J4134" s="257"/>
      <c r="K4134" s="253"/>
      <c r="L4134" s="253"/>
      <c r="M4134" s="275"/>
      <c r="N4134" s="258"/>
      <c r="O4134" s="259"/>
      <c r="P4134" s="259"/>
      <c r="Q4134" s="262"/>
      <c r="R4134" s="260"/>
      <c r="S4134" s="260"/>
      <c r="T4134" s="260"/>
      <c r="U4134" s="261"/>
      <c r="V4134" s="251"/>
      <c r="W4134" s="35"/>
      <c r="X4134" s="35"/>
      <c r="Y4134" s="35"/>
      <c r="Z4134" s="35"/>
      <c r="AA4134" s="35"/>
      <c r="AB4134" s="35"/>
      <c r="AC4134" s="35"/>
      <c r="AD4134" s="35"/>
      <c r="AE4134" s="35"/>
      <c r="AF4134" s="35"/>
      <c r="AG4134" s="35"/>
      <c r="AH4134" s="35"/>
      <c r="AI4134" s="35"/>
    </row>
    <row r="4135">
      <c r="A4135" s="251"/>
      <c r="B4135" s="252"/>
      <c r="C4135" s="253"/>
      <c r="D4135" s="253"/>
      <c r="E4135" s="252"/>
      <c r="F4135" s="253"/>
      <c r="G4135" s="251"/>
      <c r="H4135" s="433"/>
      <c r="I4135" s="278"/>
      <c r="J4135" s="257"/>
      <c r="K4135" s="253"/>
      <c r="L4135" s="253"/>
      <c r="M4135" s="275"/>
      <c r="N4135" s="258"/>
      <c r="O4135" s="259"/>
      <c r="P4135" s="259"/>
      <c r="Q4135" s="262"/>
      <c r="R4135" s="260"/>
      <c r="S4135" s="260"/>
      <c r="T4135" s="260"/>
      <c r="U4135" s="261"/>
      <c r="V4135" s="251"/>
      <c r="W4135" s="35"/>
      <c r="X4135" s="35"/>
      <c r="Y4135" s="35"/>
      <c r="Z4135" s="35"/>
      <c r="AA4135" s="35"/>
      <c r="AB4135" s="35"/>
      <c r="AC4135" s="35"/>
      <c r="AD4135" s="35"/>
      <c r="AE4135" s="35"/>
      <c r="AF4135" s="35"/>
      <c r="AG4135" s="35"/>
      <c r="AH4135" s="35"/>
      <c r="AI4135" s="35"/>
    </row>
    <row r="4136">
      <c r="A4136" s="263"/>
      <c r="B4136" s="264"/>
      <c r="C4136" s="265"/>
      <c r="D4136" s="265"/>
      <c r="E4136" s="264"/>
      <c r="F4136" s="265"/>
      <c r="G4136" s="263"/>
      <c r="H4136" s="432"/>
      <c r="I4136" s="282"/>
      <c r="J4136" s="283"/>
      <c r="K4136" s="265"/>
      <c r="L4136" s="265"/>
      <c r="M4136" s="269"/>
      <c r="N4136" s="270"/>
      <c r="O4136" s="271"/>
      <c r="P4136" s="271"/>
      <c r="Q4136" s="272"/>
      <c r="R4136" s="273"/>
      <c r="S4136" s="273"/>
      <c r="T4136" s="273"/>
      <c r="U4136" s="274"/>
      <c r="V4136" s="263"/>
      <c r="W4136" s="35"/>
      <c r="X4136" s="35"/>
      <c r="Y4136" s="35"/>
      <c r="Z4136" s="35"/>
      <c r="AA4136" s="35"/>
      <c r="AB4136" s="35"/>
      <c r="AC4136" s="35"/>
      <c r="AD4136" s="35"/>
      <c r="AE4136" s="35"/>
      <c r="AF4136" s="35"/>
      <c r="AG4136" s="35"/>
      <c r="AH4136" s="35"/>
      <c r="AI4136" s="35"/>
    </row>
    <row r="4137">
      <c r="A4137" s="263"/>
      <c r="B4137" s="264"/>
      <c r="C4137" s="265"/>
      <c r="D4137" s="265"/>
      <c r="E4137" s="264"/>
      <c r="F4137" s="265"/>
      <c r="G4137" s="263"/>
      <c r="H4137" s="432"/>
      <c r="I4137" s="282"/>
      <c r="J4137" s="283"/>
      <c r="K4137" s="265"/>
      <c r="L4137" s="265"/>
      <c r="M4137" s="269"/>
      <c r="N4137" s="270"/>
      <c r="O4137" s="271"/>
      <c r="P4137" s="271"/>
      <c r="Q4137" s="272"/>
      <c r="R4137" s="273"/>
      <c r="S4137" s="273"/>
      <c r="T4137" s="273"/>
      <c r="U4137" s="274"/>
      <c r="V4137" s="263"/>
      <c r="W4137" s="35"/>
      <c r="X4137" s="35"/>
      <c r="Y4137" s="35"/>
      <c r="Z4137" s="35"/>
      <c r="AA4137" s="35"/>
      <c r="AB4137" s="35"/>
      <c r="AC4137" s="35"/>
      <c r="AD4137" s="35"/>
      <c r="AE4137" s="35"/>
      <c r="AF4137" s="35"/>
      <c r="AG4137" s="35"/>
      <c r="AH4137" s="35"/>
      <c r="AI4137" s="35"/>
    </row>
    <row r="4138">
      <c r="A4138" s="263"/>
      <c r="B4138" s="264"/>
      <c r="C4138" s="265"/>
      <c r="D4138" s="265"/>
      <c r="E4138" s="264"/>
      <c r="F4138" s="265"/>
      <c r="G4138" s="263"/>
      <c r="H4138" s="432"/>
      <c r="I4138" s="282"/>
      <c r="J4138" s="283"/>
      <c r="K4138" s="265"/>
      <c r="L4138" s="265"/>
      <c r="M4138" s="269"/>
      <c r="N4138" s="270"/>
      <c r="O4138" s="271"/>
      <c r="P4138" s="271"/>
      <c r="Q4138" s="272"/>
      <c r="R4138" s="273"/>
      <c r="S4138" s="273"/>
      <c r="T4138" s="273"/>
      <c r="U4138" s="274"/>
      <c r="V4138" s="263"/>
      <c r="W4138" s="35"/>
      <c r="X4138" s="35"/>
      <c r="Y4138" s="35"/>
      <c r="Z4138" s="35"/>
      <c r="AA4138" s="35"/>
      <c r="AB4138" s="35"/>
      <c r="AC4138" s="35"/>
      <c r="AD4138" s="35"/>
      <c r="AE4138" s="35"/>
      <c r="AF4138" s="35"/>
      <c r="AG4138" s="35"/>
      <c r="AH4138" s="35"/>
      <c r="AI4138" s="35"/>
    </row>
    <row r="4139">
      <c r="A4139" s="263"/>
      <c r="B4139" s="264"/>
      <c r="C4139" s="265"/>
      <c r="D4139" s="265"/>
      <c r="E4139" s="264"/>
      <c r="F4139" s="265"/>
      <c r="G4139" s="263"/>
      <c r="H4139" s="432"/>
      <c r="I4139" s="282"/>
      <c r="J4139" s="283"/>
      <c r="K4139" s="265"/>
      <c r="L4139" s="265"/>
      <c r="M4139" s="269"/>
      <c r="N4139" s="270"/>
      <c r="O4139" s="271"/>
      <c r="P4139" s="271"/>
      <c r="Q4139" s="272"/>
      <c r="R4139" s="273"/>
      <c r="S4139" s="273"/>
      <c r="T4139" s="273"/>
      <c r="U4139" s="274"/>
      <c r="V4139" s="263"/>
      <c r="W4139" s="35"/>
      <c r="X4139" s="35"/>
      <c r="Y4139" s="35"/>
      <c r="Z4139" s="35"/>
      <c r="AA4139" s="35"/>
      <c r="AB4139" s="35"/>
      <c r="AC4139" s="35"/>
      <c r="AD4139" s="35"/>
      <c r="AE4139" s="35"/>
      <c r="AF4139" s="35"/>
      <c r="AG4139" s="35"/>
      <c r="AH4139" s="35"/>
      <c r="AI4139" s="35"/>
    </row>
    <row r="4140">
      <c r="A4140" s="263"/>
      <c r="B4140" s="264"/>
      <c r="C4140" s="265"/>
      <c r="D4140" s="265"/>
      <c r="E4140" s="264"/>
      <c r="F4140" s="265"/>
      <c r="G4140" s="263"/>
      <c r="H4140" s="432"/>
      <c r="I4140" s="282"/>
      <c r="J4140" s="283"/>
      <c r="K4140" s="265"/>
      <c r="L4140" s="265"/>
      <c r="M4140" s="269"/>
      <c r="N4140" s="270"/>
      <c r="O4140" s="271"/>
      <c r="P4140" s="271"/>
      <c r="Q4140" s="272"/>
      <c r="R4140" s="273"/>
      <c r="S4140" s="273"/>
      <c r="T4140" s="273"/>
      <c r="U4140" s="274"/>
      <c r="V4140" s="263"/>
      <c r="W4140" s="35"/>
      <c r="X4140" s="35"/>
      <c r="Y4140" s="35"/>
      <c r="Z4140" s="35"/>
      <c r="AA4140" s="35"/>
      <c r="AB4140" s="35"/>
      <c r="AC4140" s="35"/>
      <c r="AD4140" s="35"/>
      <c r="AE4140" s="35"/>
      <c r="AF4140" s="35"/>
      <c r="AG4140" s="35"/>
      <c r="AH4140" s="35"/>
      <c r="AI4140" s="35"/>
    </row>
    <row r="4141">
      <c r="A4141" s="263"/>
      <c r="B4141" s="264"/>
      <c r="C4141" s="265"/>
      <c r="D4141" s="265"/>
      <c r="E4141" s="264"/>
      <c r="F4141" s="265"/>
      <c r="G4141" s="263"/>
      <c r="H4141" s="432"/>
      <c r="I4141" s="282"/>
      <c r="J4141" s="283"/>
      <c r="K4141" s="265"/>
      <c r="L4141" s="265"/>
      <c r="M4141" s="269"/>
      <c r="N4141" s="270"/>
      <c r="O4141" s="271"/>
      <c r="P4141" s="271"/>
      <c r="Q4141" s="272"/>
      <c r="R4141" s="273"/>
      <c r="S4141" s="273"/>
      <c r="T4141" s="273"/>
      <c r="U4141" s="274"/>
      <c r="V4141" s="263"/>
      <c r="W4141" s="35"/>
      <c r="X4141" s="35"/>
      <c r="Y4141" s="35"/>
      <c r="Z4141" s="35"/>
      <c r="AA4141" s="35"/>
      <c r="AB4141" s="35"/>
      <c r="AC4141" s="35"/>
      <c r="AD4141" s="35"/>
      <c r="AE4141" s="35"/>
      <c r="AF4141" s="35"/>
      <c r="AG4141" s="35"/>
      <c r="AH4141" s="35"/>
      <c r="AI4141" s="35"/>
    </row>
    <row r="4142">
      <c r="A4142" s="263"/>
      <c r="B4142" s="264"/>
      <c r="C4142" s="265"/>
      <c r="D4142" s="265"/>
      <c r="E4142" s="264"/>
      <c r="F4142" s="265"/>
      <c r="G4142" s="263"/>
      <c r="H4142" s="432"/>
      <c r="I4142" s="282"/>
      <c r="J4142" s="283"/>
      <c r="K4142" s="265"/>
      <c r="L4142" s="265"/>
      <c r="M4142" s="269"/>
      <c r="N4142" s="270"/>
      <c r="O4142" s="271"/>
      <c r="P4142" s="271"/>
      <c r="Q4142" s="272"/>
      <c r="R4142" s="273"/>
      <c r="S4142" s="273"/>
      <c r="T4142" s="273"/>
      <c r="U4142" s="274"/>
      <c r="V4142" s="263"/>
      <c r="W4142" s="35"/>
      <c r="X4142" s="35"/>
      <c r="Y4142" s="35"/>
      <c r="Z4142" s="35"/>
      <c r="AA4142" s="35"/>
      <c r="AB4142" s="35"/>
      <c r="AC4142" s="35"/>
      <c r="AD4142" s="35"/>
      <c r="AE4142" s="35"/>
      <c r="AF4142" s="35"/>
      <c r="AG4142" s="35"/>
      <c r="AH4142" s="35"/>
      <c r="AI4142" s="35"/>
    </row>
    <row r="4143">
      <c r="A4143" s="263"/>
      <c r="B4143" s="264"/>
      <c r="C4143" s="265"/>
      <c r="D4143" s="265"/>
      <c r="E4143" s="264"/>
      <c r="F4143" s="265"/>
      <c r="G4143" s="263"/>
      <c r="H4143" s="432"/>
      <c r="I4143" s="282"/>
      <c r="J4143" s="283"/>
      <c r="K4143" s="265"/>
      <c r="L4143" s="265"/>
      <c r="M4143" s="269"/>
      <c r="N4143" s="270"/>
      <c r="O4143" s="271"/>
      <c r="P4143" s="271"/>
      <c r="Q4143" s="272"/>
      <c r="R4143" s="273"/>
      <c r="S4143" s="273"/>
      <c r="T4143" s="273"/>
      <c r="U4143" s="274"/>
      <c r="V4143" s="263"/>
      <c r="W4143" s="35"/>
      <c r="X4143" s="35"/>
      <c r="Y4143" s="35"/>
      <c r="Z4143" s="35"/>
      <c r="AA4143" s="35"/>
      <c r="AB4143" s="35"/>
      <c r="AC4143" s="35"/>
      <c r="AD4143" s="35"/>
      <c r="AE4143" s="35"/>
      <c r="AF4143" s="35"/>
      <c r="AG4143" s="35"/>
      <c r="AH4143" s="35"/>
      <c r="AI4143" s="35"/>
    </row>
    <row r="4144">
      <c r="A4144" s="251"/>
      <c r="B4144" s="252"/>
      <c r="C4144" s="253"/>
      <c r="D4144" s="253"/>
      <c r="E4144" s="252"/>
      <c r="F4144" s="253"/>
      <c r="G4144" s="251"/>
      <c r="H4144" s="433"/>
      <c r="I4144" s="278"/>
      <c r="J4144" s="257"/>
      <c r="K4144" s="253"/>
      <c r="L4144" s="253"/>
      <c r="M4144" s="252"/>
      <c r="N4144" s="258"/>
      <c r="O4144" s="259"/>
      <c r="P4144" s="259"/>
      <c r="Q4144" s="257"/>
      <c r="R4144" s="260"/>
      <c r="S4144" s="260"/>
      <c r="T4144" s="260"/>
      <c r="U4144" s="261"/>
      <c r="V4144" s="251"/>
      <c r="W4144" s="35"/>
      <c r="X4144" s="35"/>
      <c r="Y4144" s="35"/>
      <c r="Z4144" s="35"/>
      <c r="AA4144" s="35"/>
      <c r="AB4144" s="35"/>
      <c r="AC4144" s="35"/>
      <c r="AD4144" s="35"/>
      <c r="AE4144" s="35"/>
      <c r="AF4144" s="35"/>
      <c r="AG4144" s="35"/>
      <c r="AH4144" s="35"/>
      <c r="AI4144" s="35"/>
    </row>
    <row r="4145">
      <c r="A4145" s="263"/>
      <c r="B4145" s="264"/>
      <c r="C4145" s="265"/>
      <c r="D4145" s="265"/>
      <c r="E4145" s="264"/>
      <c r="F4145" s="265"/>
      <c r="G4145" s="263"/>
      <c r="H4145" s="432"/>
      <c r="I4145" s="282"/>
      <c r="J4145" s="283"/>
      <c r="K4145" s="265"/>
      <c r="L4145" s="265"/>
      <c r="M4145" s="269"/>
      <c r="N4145" s="270"/>
      <c r="O4145" s="271"/>
      <c r="P4145" s="271"/>
      <c r="Q4145" s="272"/>
      <c r="R4145" s="273"/>
      <c r="S4145" s="273"/>
      <c r="T4145" s="273"/>
      <c r="U4145" s="274"/>
      <c r="V4145" s="263"/>
      <c r="W4145" s="35"/>
      <c r="X4145" s="35"/>
      <c r="Y4145" s="35"/>
      <c r="Z4145" s="35"/>
      <c r="AA4145" s="35"/>
      <c r="AB4145" s="35"/>
      <c r="AC4145" s="35"/>
      <c r="AD4145" s="35"/>
      <c r="AE4145" s="35"/>
      <c r="AF4145" s="35"/>
      <c r="AG4145" s="35"/>
      <c r="AH4145" s="35"/>
      <c r="AI4145" s="35"/>
    </row>
    <row r="4146">
      <c r="A4146" s="263"/>
      <c r="B4146" s="264"/>
      <c r="C4146" s="265"/>
      <c r="D4146" s="265"/>
      <c r="E4146" s="264"/>
      <c r="F4146" s="265"/>
      <c r="G4146" s="263"/>
      <c r="H4146" s="432"/>
      <c r="I4146" s="282"/>
      <c r="J4146" s="283"/>
      <c r="K4146" s="265"/>
      <c r="L4146" s="265"/>
      <c r="M4146" s="269"/>
      <c r="N4146" s="270"/>
      <c r="O4146" s="271"/>
      <c r="P4146" s="271"/>
      <c r="Q4146" s="272"/>
      <c r="R4146" s="273"/>
      <c r="S4146" s="273"/>
      <c r="T4146" s="273"/>
      <c r="U4146" s="274"/>
      <c r="V4146" s="263"/>
      <c r="W4146" s="35"/>
      <c r="X4146" s="35"/>
      <c r="Y4146" s="35"/>
      <c r="Z4146" s="35"/>
      <c r="AA4146" s="35"/>
      <c r="AB4146" s="35"/>
      <c r="AC4146" s="35"/>
      <c r="AD4146" s="35"/>
      <c r="AE4146" s="35"/>
      <c r="AF4146" s="35"/>
      <c r="AG4146" s="35"/>
      <c r="AH4146" s="35"/>
      <c r="AI4146" s="35"/>
    </row>
    <row r="4147">
      <c r="A4147" s="263"/>
      <c r="B4147" s="264"/>
      <c r="C4147" s="265"/>
      <c r="D4147" s="265"/>
      <c r="E4147" s="264"/>
      <c r="F4147" s="265"/>
      <c r="G4147" s="263"/>
      <c r="H4147" s="432"/>
      <c r="I4147" s="282"/>
      <c r="J4147" s="283"/>
      <c r="K4147" s="265"/>
      <c r="L4147" s="265"/>
      <c r="M4147" s="269"/>
      <c r="N4147" s="270"/>
      <c r="O4147" s="271"/>
      <c r="P4147" s="271"/>
      <c r="Q4147" s="272"/>
      <c r="R4147" s="273"/>
      <c r="S4147" s="273"/>
      <c r="T4147" s="273"/>
      <c r="U4147" s="274"/>
      <c r="V4147" s="263"/>
      <c r="W4147" s="35"/>
      <c r="X4147" s="35"/>
      <c r="Y4147" s="35"/>
      <c r="Z4147" s="35"/>
      <c r="AA4147" s="35"/>
      <c r="AB4147" s="35"/>
      <c r="AC4147" s="35"/>
      <c r="AD4147" s="35"/>
      <c r="AE4147" s="35"/>
      <c r="AF4147" s="35"/>
      <c r="AG4147" s="35"/>
      <c r="AH4147" s="35"/>
      <c r="AI4147" s="35"/>
    </row>
    <row r="4148">
      <c r="A4148" s="263"/>
      <c r="B4148" s="264"/>
      <c r="C4148" s="265"/>
      <c r="D4148" s="265"/>
      <c r="E4148" s="264"/>
      <c r="F4148" s="265"/>
      <c r="G4148" s="263"/>
      <c r="H4148" s="432"/>
      <c r="I4148" s="282"/>
      <c r="J4148" s="283"/>
      <c r="K4148" s="265"/>
      <c r="L4148" s="265"/>
      <c r="M4148" s="269"/>
      <c r="N4148" s="270"/>
      <c r="O4148" s="271"/>
      <c r="P4148" s="271"/>
      <c r="Q4148" s="272"/>
      <c r="R4148" s="273"/>
      <c r="S4148" s="273"/>
      <c r="T4148" s="273"/>
      <c r="U4148" s="274"/>
      <c r="V4148" s="263"/>
      <c r="W4148" s="35"/>
      <c r="X4148" s="35"/>
      <c r="Y4148" s="35"/>
      <c r="Z4148" s="35"/>
      <c r="AA4148" s="35"/>
      <c r="AB4148" s="35"/>
      <c r="AC4148" s="35"/>
      <c r="AD4148" s="35"/>
      <c r="AE4148" s="35"/>
      <c r="AF4148" s="35"/>
      <c r="AG4148" s="35"/>
      <c r="AH4148" s="35"/>
      <c r="AI4148" s="35"/>
    </row>
    <row r="4149">
      <c r="A4149" s="263"/>
      <c r="B4149" s="264"/>
      <c r="C4149" s="265"/>
      <c r="D4149" s="265"/>
      <c r="E4149" s="264"/>
      <c r="F4149" s="265"/>
      <c r="G4149" s="263"/>
      <c r="H4149" s="432"/>
      <c r="I4149" s="282"/>
      <c r="J4149" s="283"/>
      <c r="K4149" s="265"/>
      <c r="L4149" s="265"/>
      <c r="M4149" s="269"/>
      <c r="N4149" s="270"/>
      <c r="O4149" s="271"/>
      <c r="P4149" s="271"/>
      <c r="Q4149" s="272"/>
      <c r="R4149" s="273"/>
      <c r="S4149" s="273"/>
      <c r="T4149" s="273"/>
      <c r="U4149" s="274"/>
      <c r="V4149" s="263"/>
      <c r="W4149" s="35"/>
      <c r="X4149" s="35"/>
      <c r="Y4149" s="35"/>
      <c r="Z4149" s="35"/>
      <c r="AA4149" s="35"/>
      <c r="AB4149" s="35"/>
      <c r="AC4149" s="35"/>
      <c r="AD4149" s="35"/>
      <c r="AE4149" s="35"/>
      <c r="AF4149" s="35"/>
      <c r="AG4149" s="35"/>
      <c r="AH4149" s="35"/>
      <c r="AI4149" s="35"/>
    </row>
    <row r="4150">
      <c r="A4150" s="263"/>
      <c r="B4150" s="264"/>
      <c r="C4150" s="265"/>
      <c r="D4150" s="265"/>
      <c r="E4150" s="264"/>
      <c r="F4150" s="265"/>
      <c r="G4150" s="263"/>
      <c r="H4150" s="432"/>
      <c r="I4150" s="282"/>
      <c r="J4150" s="283"/>
      <c r="K4150" s="265"/>
      <c r="L4150" s="265"/>
      <c r="M4150" s="269"/>
      <c r="N4150" s="270"/>
      <c r="O4150" s="271"/>
      <c r="P4150" s="271"/>
      <c r="Q4150" s="272"/>
      <c r="R4150" s="273"/>
      <c r="S4150" s="273"/>
      <c r="T4150" s="273"/>
      <c r="U4150" s="274"/>
      <c r="V4150" s="263"/>
      <c r="W4150" s="35"/>
      <c r="X4150" s="35"/>
      <c r="Y4150" s="35"/>
      <c r="Z4150" s="35"/>
      <c r="AA4150" s="35"/>
      <c r="AB4150" s="35"/>
      <c r="AC4150" s="35"/>
      <c r="AD4150" s="35"/>
      <c r="AE4150" s="35"/>
      <c r="AF4150" s="35"/>
      <c r="AG4150" s="35"/>
      <c r="AH4150" s="35"/>
      <c r="AI4150" s="35"/>
    </row>
    <row r="4151">
      <c r="A4151" s="263"/>
      <c r="B4151" s="264"/>
      <c r="C4151" s="265"/>
      <c r="D4151" s="265"/>
      <c r="E4151" s="264"/>
      <c r="F4151" s="265"/>
      <c r="G4151" s="263"/>
      <c r="H4151" s="432"/>
      <c r="I4151" s="282"/>
      <c r="J4151" s="283"/>
      <c r="K4151" s="265"/>
      <c r="L4151" s="265"/>
      <c r="M4151" s="269"/>
      <c r="N4151" s="270"/>
      <c r="O4151" s="271"/>
      <c r="P4151" s="271"/>
      <c r="Q4151" s="272"/>
      <c r="R4151" s="273"/>
      <c r="S4151" s="273"/>
      <c r="T4151" s="273"/>
      <c r="U4151" s="274"/>
      <c r="V4151" s="263"/>
      <c r="W4151" s="35"/>
      <c r="X4151" s="35"/>
      <c r="Y4151" s="35"/>
      <c r="Z4151" s="35"/>
      <c r="AA4151" s="35"/>
      <c r="AB4151" s="35"/>
      <c r="AC4151" s="35"/>
      <c r="AD4151" s="35"/>
      <c r="AE4151" s="35"/>
      <c r="AF4151" s="35"/>
      <c r="AG4151" s="35"/>
      <c r="AH4151" s="35"/>
      <c r="AI4151" s="35"/>
    </row>
    <row r="4152">
      <c r="A4152" s="251"/>
      <c r="B4152" s="252"/>
      <c r="C4152" s="253"/>
      <c r="D4152" s="253"/>
      <c r="E4152" s="252"/>
      <c r="F4152" s="253"/>
      <c r="G4152" s="251"/>
      <c r="H4152" s="433"/>
      <c r="I4152" s="278"/>
      <c r="J4152" s="257"/>
      <c r="K4152" s="253"/>
      <c r="L4152" s="253"/>
      <c r="M4152" s="275"/>
      <c r="N4152" s="258"/>
      <c r="O4152" s="259"/>
      <c r="P4152" s="259"/>
      <c r="Q4152" s="262"/>
      <c r="R4152" s="260"/>
      <c r="S4152" s="260"/>
      <c r="T4152" s="260"/>
      <c r="U4152" s="261"/>
      <c r="V4152" s="251"/>
      <c r="W4152" s="35"/>
      <c r="X4152" s="35"/>
      <c r="Y4152" s="35"/>
      <c r="Z4152" s="35"/>
      <c r="AA4152" s="35"/>
      <c r="AB4152" s="35"/>
      <c r="AC4152" s="35"/>
      <c r="AD4152" s="35"/>
      <c r="AE4152" s="35"/>
      <c r="AF4152" s="35"/>
      <c r="AG4152" s="35"/>
      <c r="AH4152" s="35"/>
      <c r="AI4152" s="35"/>
    </row>
    <row r="4153">
      <c r="A4153" s="251"/>
      <c r="B4153" s="252"/>
      <c r="C4153" s="253"/>
      <c r="D4153" s="253"/>
      <c r="E4153" s="252"/>
      <c r="F4153" s="253"/>
      <c r="G4153" s="251"/>
      <c r="H4153" s="433"/>
      <c r="I4153" s="278"/>
      <c r="J4153" s="257"/>
      <c r="K4153" s="253"/>
      <c r="L4153" s="253"/>
      <c r="M4153" s="252"/>
      <c r="N4153" s="258"/>
      <c r="O4153" s="259"/>
      <c r="P4153" s="259"/>
      <c r="Q4153" s="257"/>
      <c r="R4153" s="260"/>
      <c r="S4153" s="260"/>
      <c r="T4153" s="260"/>
      <c r="U4153" s="261"/>
      <c r="V4153" s="251"/>
      <c r="W4153" s="35"/>
      <c r="X4153" s="35"/>
      <c r="Y4153" s="35"/>
      <c r="Z4153" s="35"/>
      <c r="AA4153" s="35"/>
      <c r="AB4153" s="35"/>
      <c r="AC4153" s="35"/>
      <c r="AD4153" s="35"/>
      <c r="AE4153" s="35"/>
      <c r="AF4153" s="35"/>
      <c r="AG4153" s="35"/>
      <c r="AH4153" s="35"/>
      <c r="AI4153" s="35"/>
    </row>
    <row r="4154">
      <c r="A4154" s="251"/>
      <c r="B4154" s="252"/>
      <c r="C4154" s="253"/>
      <c r="D4154" s="253"/>
      <c r="E4154" s="252"/>
      <c r="F4154" s="253"/>
      <c r="G4154" s="251"/>
      <c r="H4154" s="433"/>
      <c r="I4154" s="278"/>
      <c r="J4154" s="257"/>
      <c r="K4154" s="253"/>
      <c r="L4154" s="253"/>
      <c r="M4154" s="252"/>
      <c r="N4154" s="258"/>
      <c r="O4154" s="259"/>
      <c r="P4154" s="259"/>
      <c r="Q4154" s="262"/>
      <c r="R4154" s="260"/>
      <c r="S4154" s="260"/>
      <c r="T4154" s="260"/>
      <c r="U4154" s="261"/>
      <c r="V4154" s="251"/>
      <c r="W4154" s="35"/>
      <c r="X4154" s="35"/>
      <c r="Y4154" s="35"/>
      <c r="Z4154" s="35"/>
      <c r="AA4154" s="35"/>
      <c r="AB4154" s="35"/>
      <c r="AC4154" s="35"/>
      <c r="AD4154" s="35"/>
      <c r="AE4154" s="35"/>
      <c r="AF4154" s="35"/>
      <c r="AG4154" s="35"/>
      <c r="AH4154" s="35"/>
      <c r="AI4154" s="35"/>
    </row>
    <row r="4155">
      <c r="A4155" s="165"/>
      <c r="B4155" s="166"/>
      <c r="C4155" s="166"/>
      <c r="D4155" s="166"/>
      <c r="E4155" s="166"/>
      <c r="F4155" s="166"/>
      <c r="G4155" s="165"/>
      <c r="H4155" s="167"/>
      <c r="I4155" s="168"/>
      <c r="J4155" s="169"/>
      <c r="K4155" s="166"/>
      <c r="L4155" s="166"/>
      <c r="M4155" s="166"/>
      <c r="N4155" s="169"/>
      <c r="O4155" s="171"/>
      <c r="P4155" s="171"/>
      <c r="Q4155" s="169"/>
      <c r="R4155" s="173"/>
      <c r="S4155" s="173"/>
      <c r="T4155" s="173"/>
      <c r="U4155" s="201"/>
      <c r="V4155" s="165"/>
      <c r="W4155" s="35"/>
      <c r="X4155" s="35"/>
      <c r="Y4155" s="35"/>
      <c r="Z4155" s="35"/>
      <c r="AA4155" s="35"/>
      <c r="AB4155" s="35"/>
      <c r="AC4155" s="35"/>
      <c r="AD4155" s="35"/>
      <c r="AE4155" s="35"/>
      <c r="AF4155" s="35"/>
      <c r="AG4155" s="35"/>
      <c r="AH4155" s="35"/>
      <c r="AI4155" s="35"/>
    </row>
    <row r="4156">
      <c r="A4156" s="263"/>
      <c r="B4156" s="264"/>
      <c r="C4156" s="265"/>
      <c r="D4156" s="265"/>
      <c r="E4156" s="264"/>
      <c r="F4156" s="265"/>
      <c r="G4156" s="263"/>
      <c r="H4156" s="432"/>
      <c r="I4156" s="282"/>
      <c r="J4156" s="283"/>
      <c r="K4156" s="265"/>
      <c r="L4156" s="265"/>
      <c r="M4156" s="269"/>
      <c r="N4156" s="270"/>
      <c r="O4156" s="271"/>
      <c r="P4156" s="271"/>
      <c r="Q4156" s="272"/>
      <c r="R4156" s="273"/>
      <c r="S4156" s="273"/>
      <c r="T4156" s="273"/>
      <c r="U4156" s="274"/>
      <c r="V4156" s="263"/>
      <c r="W4156" s="35"/>
      <c r="X4156" s="35"/>
      <c r="Y4156" s="35"/>
      <c r="Z4156" s="35"/>
      <c r="AA4156" s="35"/>
      <c r="AB4156" s="35"/>
      <c r="AC4156" s="35"/>
      <c r="AD4156" s="35"/>
      <c r="AE4156" s="35"/>
      <c r="AF4156" s="35"/>
      <c r="AG4156" s="35"/>
      <c r="AH4156" s="35"/>
      <c r="AI4156" s="35"/>
    </row>
    <row r="4157">
      <c r="A4157" s="263"/>
      <c r="B4157" s="264"/>
      <c r="C4157" s="265"/>
      <c r="D4157" s="265"/>
      <c r="E4157" s="264"/>
      <c r="F4157" s="265"/>
      <c r="G4157" s="263"/>
      <c r="H4157" s="432"/>
      <c r="I4157" s="282"/>
      <c r="J4157" s="283"/>
      <c r="K4157" s="265"/>
      <c r="L4157" s="265"/>
      <c r="M4157" s="269"/>
      <c r="N4157" s="270"/>
      <c r="O4157" s="271"/>
      <c r="P4157" s="271"/>
      <c r="Q4157" s="272"/>
      <c r="R4157" s="273"/>
      <c r="S4157" s="273"/>
      <c r="T4157" s="273"/>
      <c r="U4157" s="274"/>
      <c r="V4157" s="263"/>
      <c r="W4157" s="35"/>
      <c r="X4157" s="35"/>
      <c r="Y4157" s="35"/>
      <c r="Z4157" s="35"/>
      <c r="AA4157" s="35"/>
      <c r="AB4157" s="35"/>
      <c r="AC4157" s="35"/>
      <c r="AD4157" s="35"/>
      <c r="AE4157" s="35"/>
      <c r="AF4157" s="35"/>
      <c r="AG4157" s="35"/>
      <c r="AH4157" s="35"/>
      <c r="AI4157" s="35"/>
    </row>
    <row r="4158">
      <c r="A4158" s="263"/>
      <c r="B4158" s="264"/>
      <c r="C4158" s="265"/>
      <c r="D4158" s="265"/>
      <c r="E4158" s="264"/>
      <c r="F4158" s="265"/>
      <c r="G4158" s="263"/>
      <c r="H4158" s="432"/>
      <c r="I4158" s="282"/>
      <c r="J4158" s="283"/>
      <c r="K4158" s="265"/>
      <c r="L4158" s="265"/>
      <c r="M4158" s="269"/>
      <c r="N4158" s="270"/>
      <c r="O4158" s="271"/>
      <c r="P4158" s="271"/>
      <c r="Q4158" s="272"/>
      <c r="R4158" s="273"/>
      <c r="S4158" s="273"/>
      <c r="T4158" s="273"/>
      <c r="U4158" s="274"/>
      <c r="V4158" s="263"/>
      <c r="W4158" s="35"/>
      <c r="X4158" s="35"/>
      <c r="Y4158" s="35"/>
      <c r="Z4158" s="35"/>
      <c r="AA4158" s="35"/>
      <c r="AB4158" s="35"/>
      <c r="AC4158" s="35"/>
      <c r="AD4158" s="35"/>
      <c r="AE4158" s="35"/>
      <c r="AF4158" s="35"/>
      <c r="AG4158" s="35"/>
      <c r="AH4158" s="35"/>
      <c r="AI4158" s="35"/>
    </row>
    <row r="4159">
      <c r="A4159" s="263"/>
      <c r="B4159" s="264"/>
      <c r="C4159" s="265"/>
      <c r="D4159" s="265"/>
      <c r="E4159" s="264"/>
      <c r="F4159" s="265"/>
      <c r="G4159" s="263"/>
      <c r="H4159" s="432"/>
      <c r="I4159" s="282"/>
      <c r="J4159" s="283"/>
      <c r="K4159" s="265"/>
      <c r="L4159" s="265"/>
      <c r="M4159" s="269"/>
      <c r="N4159" s="270"/>
      <c r="O4159" s="271"/>
      <c r="P4159" s="271"/>
      <c r="Q4159" s="272"/>
      <c r="R4159" s="273"/>
      <c r="S4159" s="273"/>
      <c r="T4159" s="273"/>
      <c r="U4159" s="274"/>
      <c r="V4159" s="263"/>
      <c r="W4159" s="35"/>
      <c r="X4159" s="35"/>
      <c r="Y4159" s="35"/>
      <c r="Z4159" s="35"/>
      <c r="AA4159" s="35"/>
      <c r="AB4159" s="35"/>
      <c r="AC4159" s="35"/>
      <c r="AD4159" s="35"/>
      <c r="AE4159" s="35"/>
      <c r="AF4159" s="35"/>
      <c r="AG4159" s="35"/>
      <c r="AH4159" s="35"/>
      <c r="AI4159" s="35"/>
    </row>
    <row r="4160">
      <c r="A4160" s="263"/>
      <c r="B4160" s="264"/>
      <c r="C4160" s="265"/>
      <c r="D4160" s="265"/>
      <c r="E4160" s="264"/>
      <c r="F4160" s="265"/>
      <c r="G4160" s="263"/>
      <c r="H4160" s="432"/>
      <c r="I4160" s="282"/>
      <c r="J4160" s="283"/>
      <c r="K4160" s="265"/>
      <c r="L4160" s="265"/>
      <c r="M4160" s="269"/>
      <c r="N4160" s="283"/>
      <c r="O4160" s="271"/>
      <c r="P4160" s="271"/>
      <c r="Q4160" s="283"/>
      <c r="R4160" s="273"/>
      <c r="S4160" s="273"/>
      <c r="T4160" s="273"/>
      <c r="U4160" s="274"/>
      <c r="V4160" s="263"/>
      <c r="W4160" s="35"/>
      <c r="X4160" s="35"/>
      <c r="Y4160" s="35"/>
      <c r="Z4160" s="35"/>
      <c r="AA4160" s="35"/>
      <c r="AB4160" s="35"/>
      <c r="AC4160" s="35"/>
      <c r="AD4160" s="35"/>
      <c r="AE4160" s="35"/>
      <c r="AF4160" s="35"/>
      <c r="AG4160" s="35"/>
      <c r="AH4160" s="35"/>
      <c r="AI4160" s="35"/>
    </row>
    <row r="4161">
      <c r="A4161" s="263"/>
      <c r="B4161" s="264"/>
      <c r="C4161" s="265"/>
      <c r="D4161" s="265"/>
      <c r="E4161" s="264"/>
      <c r="F4161" s="265"/>
      <c r="G4161" s="263"/>
      <c r="H4161" s="432"/>
      <c r="I4161" s="282"/>
      <c r="J4161" s="283"/>
      <c r="K4161" s="265"/>
      <c r="L4161" s="265"/>
      <c r="M4161" s="269"/>
      <c r="N4161" s="270"/>
      <c r="O4161" s="271"/>
      <c r="P4161" s="271"/>
      <c r="Q4161" s="272"/>
      <c r="R4161" s="273"/>
      <c r="S4161" s="273"/>
      <c r="T4161" s="273"/>
      <c r="U4161" s="274"/>
      <c r="V4161" s="263"/>
      <c r="W4161" s="35"/>
      <c r="X4161" s="35"/>
      <c r="Y4161" s="35"/>
      <c r="Z4161" s="35"/>
      <c r="AA4161" s="35"/>
      <c r="AB4161" s="35"/>
      <c r="AC4161" s="35"/>
      <c r="AD4161" s="35"/>
      <c r="AE4161" s="35"/>
      <c r="AF4161" s="35"/>
      <c r="AG4161" s="35"/>
      <c r="AH4161" s="35"/>
      <c r="AI4161" s="35"/>
    </row>
    <row r="4162">
      <c r="A4162" s="263"/>
      <c r="B4162" s="264"/>
      <c r="C4162" s="265"/>
      <c r="D4162" s="265"/>
      <c r="E4162" s="264"/>
      <c r="F4162" s="265"/>
      <c r="G4162" s="263"/>
      <c r="H4162" s="432"/>
      <c r="I4162" s="282"/>
      <c r="J4162" s="283"/>
      <c r="K4162" s="265"/>
      <c r="L4162" s="265"/>
      <c r="M4162" s="269"/>
      <c r="N4162" s="270"/>
      <c r="O4162" s="271"/>
      <c r="P4162" s="271"/>
      <c r="Q4162" s="272"/>
      <c r="R4162" s="273"/>
      <c r="S4162" s="273"/>
      <c r="T4162" s="273"/>
      <c r="U4162" s="274"/>
      <c r="V4162" s="263"/>
      <c r="W4162" s="35"/>
      <c r="X4162" s="35"/>
      <c r="Y4162" s="35"/>
      <c r="Z4162" s="35"/>
      <c r="AA4162" s="35"/>
      <c r="AB4162" s="35"/>
      <c r="AC4162" s="35"/>
      <c r="AD4162" s="35"/>
      <c r="AE4162" s="35"/>
      <c r="AF4162" s="35"/>
      <c r="AG4162" s="35"/>
      <c r="AH4162" s="35"/>
      <c r="AI4162" s="35"/>
    </row>
    <row r="4163">
      <c r="A4163" s="251"/>
      <c r="B4163" s="252"/>
      <c r="C4163" s="253"/>
      <c r="D4163" s="253"/>
      <c r="E4163" s="252"/>
      <c r="F4163" s="253"/>
      <c r="G4163" s="251"/>
      <c r="H4163" s="433"/>
      <c r="I4163" s="278"/>
      <c r="J4163" s="257"/>
      <c r="K4163" s="253"/>
      <c r="L4163" s="253"/>
      <c r="M4163" s="252"/>
      <c r="N4163" s="258"/>
      <c r="O4163" s="259"/>
      <c r="P4163" s="259"/>
      <c r="Q4163" s="262"/>
      <c r="R4163" s="260"/>
      <c r="S4163" s="260"/>
      <c r="T4163" s="260"/>
      <c r="U4163" s="261"/>
      <c r="V4163" s="251"/>
      <c r="W4163" s="35"/>
      <c r="X4163" s="35"/>
      <c r="Y4163" s="35"/>
      <c r="Z4163" s="35"/>
      <c r="AA4163" s="35"/>
      <c r="AB4163" s="35"/>
      <c r="AC4163" s="35"/>
      <c r="AD4163" s="35"/>
      <c r="AE4163" s="35"/>
      <c r="AF4163" s="35"/>
      <c r="AG4163" s="35"/>
      <c r="AH4163" s="35"/>
      <c r="AI4163" s="35"/>
    </row>
    <row r="4164">
      <c r="A4164" s="251"/>
      <c r="B4164" s="252"/>
      <c r="C4164" s="253"/>
      <c r="D4164" s="253"/>
      <c r="E4164" s="252"/>
      <c r="F4164" s="253"/>
      <c r="G4164" s="251"/>
      <c r="H4164" s="433"/>
      <c r="I4164" s="278"/>
      <c r="J4164" s="257"/>
      <c r="K4164" s="253"/>
      <c r="L4164" s="253"/>
      <c r="M4164" s="252"/>
      <c r="N4164" s="258"/>
      <c r="O4164" s="259"/>
      <c r="P4164" s="259"/>
      <c r="Q4164" s="262"/>
      <c r="R4164" s="260"/>
      <c r="S4164" s="260"/>
      <c r="T4164" s="260"/>
      <c r="U4164" s="261"/>
      <c r="V4164" s="251"/>
      <c r="W4164" s="35"/>
      <c r="X4164" s="35"/>
      <c r="Y4164" s="35"/>
      <c r="Z4164" s="35"/>
      <c r="AA4164" s="35"/>
      <c r="AB4164" s="35"/>
      <c r="AC4164" s="35"/>
      <c r="AD4164" s="35"/>
      <c r="AE4164" s="35"/>
      <c r="AF4164" s="35"/>
      <c r="AG4164" s="35"/>
      <c r="AH4164" s="35"/>
      <c r="AI4164" s="35"/>
    </row>
    <row r="4165">
      <c r="A4165" s="263"/>
      <c r="B4165" s="264"/>
      <c r="C4165" s="265"/>
      <c r="D4165" s="265"/>
      <c r="E4165" s="264"/>
      <c r="F4165" s="265"/>
      <c r="G4165" s="263"/>
      <c r="H4165" s="432"/>
      <c r="I4165" s="282"/>
      <c r="J4165" s="283"/>
      <c r="K4165" s="265"/>
      <c r="L4165" s="265"/>
      <c r="M4165" s="269"/>
      <c r="N4165" s="270"/>
      <c r="O4165" s="271"/>
      <c r="P4165" s="271"/>
      <c r="Q4165" s="272"/>
      <c r="R4165" s="273"/>
      <c r="S4165" s="273"/>
      <c r="T4165" s="273"/>
      <c r="U4165" s="274"/>
      <c r="V4165" s="263"/>
      <c r="W4165" s="35"/>
      <c r="X4165" s="35"/>
      <c r="Y4165" s="35"/>
      <c r="Z4165" s="35"/>
      <c r="AA4165" s="35"/>
      <c r="AB4165" s="35"/>
      <c r="AC4165" s="35"/>
      <c r="AD4165" s="35"/>
      <c r="AE4165" s="35"/>
      <c r="AF4165" s="35"/>
      <c r="AG4165" s="35"/>
      <c r="AH4165" s="35"/>
      <c r="AI4165" s="35"/>
    </row>
    <row r="4166">
      <c r="A4166" s="263"/>
      <c r="B4166" s="264"/>
      <c r="C4166" s="265"/>
      <c r="D4166" s="265"/>
      <c r="E4166" s="264"/>
      <c r="F4166" s="265"/>
      <c r="G4166" s="263"/>
      <c r="H4166" s="432"/>
      <c r="I4166" s="282"/>
      <c r="J4166" s="283"/>
      <c r="K4166" s="265"/>
      <c r="L4166" s="265"/>
      <c r="M4166" s="269"/>
      <c r="N4166" s="270"/>
      <c r="O4166" s="271"/>
      <c r="P4166" s="271"/>
      <c r="Q4166" s="272"/>
      <c r="R4166" s="273"/>
      <c r="S4166" s="273"/>
      <c r="T4166" s="273"/>
      <c r="U4166" s="274"/>
      <c r="V4166" s="263"/>
      <c r="W4166" s="35"/>
      <c r="X4166" s="35"/>
      <c r="Y4166" s="35"/>
      <c r="Z4166" s="35"/>
      <c r="AA4166" s="35"/>
      <c r="AB4166" s="35"/>
      <c r="AC4166" s="35"/>
      <c r="AD4166" s="35"/>
      <c r="AE4166" s="35"/>
      <c r="AF4166" s="35"/>
      <c r="AG4166" s="35"/>
      <c r="AH4166" s="35"/>
      <c r="AI4166" s="35"/>
    </row>
    <row r="4167">
      <c r="A4167" s="251"/>
      <c r="B4167" s="252"/>
      <c r="C4167" s="253"/>
      <c r="D4167" s="253"/>
      <c r="E4167" s="252"/>
      <c r="F4167" s="253"/>
      <c r="G4167" s="251"/>
      <c r="H4167" s="433"/>
      <c r="I4167" s="278"/>
      <c r="J4167" s="257"/>
      <c r="K4167" s="253"/>
      <c r="L4167" s="253"/>
      <c r="M4167" s="252"/>
      <c r="N4167" s="258"/>
      <c r="O4167" s="259"/>
      <c r="P4167" s="259"/>
      <c r="Q4167" s="262"/>
      <c r="R4167" s="260"/>
      <c r="S4167" s="260"/>
      <c r="T4167" s="260"/>
      <c r="U4167" s="261"/>
      <c r="V4167" s="251"/>
      <c r="W4167" s="35"/>
      <c r="X4167" s="35"/>
      <c r="Y4167" s="35"/>
      <c r="Z4167" s="35"/>
      <c r="AA4167" s="35"/>
      <c r="AB4167" s="35"/>
      <c r="AC4167" s="35"/>
      <c r="AD4167" s="35"/>
      <c r="AE4167" s="35"/>
      <c r="AF4167" s="35"/>
      <c r="AG4167" s="35"/>
      <c r="AH4167" s="35"/>
      <c r="AI4167" s="35"/>
    </row>
    <row r="4168">
      <c r="A4168" s="263"/>
      <c r="B4168" s="264"/>
      <c r="C4168" s="265"/>
      <c r="D4168" s="265"/>
      <c r="E4168" s="264"/>
      <c r="F4168" s="265"/>
      <c r="G4168" s="263"/>
      <c r="H4168" s="432"/>
      <c r="I4168" s="282"/>
      <c r="J4168" s="283"/>
      <c r="K4168" s="265"/>
      <c r="L4168" s="265"/>
      <c r="M4168" s="269"/>
      <c r="N4168" s="270"/>
      <c r="O4168" s="271"/>
      <c r="P4168" s="271"/>
      <c r="Q4168" s="272"/>
      <c r="R4168" s="273"/>
      <c r="S4168" s="273"/>
      <c r="T4168" s="273"/>
      <c r="U4168" s="274"/>
      <c r="V4168" s="263"/>
      <c r="W4168" s="35"/>
      <c r="X4168" s="35"/>
      <c r="Y4168" s="35"/>
      <c r="Z4168" s="35"/>
      <c r="AA4168" s="35"/>
      <c r="AB4168" s="35"/>
      <c r="AC4168" s="35"/>
      <c r="AD4168" s="35"/>
      <c r="AE4168" s="35"/>
      <c r="AF4168" s="35"/>
      <c r="AG4168" s="35"/>
      <c r="AH4168" s="35"/>
      <c r="AI4168" s="35"/>
    </row>
    <row r="4169">
      <c r="A4169" s="251"/>
      <c r="B4169" s="252"/>
      <c r="C4169" s="253"/>
      <c r="D4169" s="253"/>
      <c r="E4169" s="252"/>
      <c r="F4169" s="253"/>
      <c r="G4169" s="251"/>
      <c r="H4169" s="433"/>
      <c r="I4169" s="278"/>
      <c r="J4169" s="257"/>
      <c r="K4169" s="253"/>
      <c r="L4169" s="253"/>
      <c r="M4169" s="252"/>
      <c r="N4169" s="258"/>
      <c r="O4169" s="259"/>
      <c r="P4169" s="259"/>
      <c r="Q4169" s="262"/>
      <c r="R4169" s="260"/>
      <c r="S4169" s="260"/>
      <c r="T4169" s="260"/>
      <c r="U4169" s="261"/>
      <c r="V4169" s="251"/>
      <c r="W4169" s="35"/>
      <c r="X4169" s="35"/>
      <c r="Y4169" s="35"/>
      <c r="Z4169" s="35"/>
      <c r="AA4169" s="35"/>
      <c r="AB4169" s="35"/>
      <c r="AC4169" s="35"/>
      <c r="AD4169" s="35"/>
      <c r="AE4169" s="35"/>
      <c r="AF4169" s="35"/>
      <c r="AG4169" s="35"/>
      <c r="AH4169" s="35"/>
      <c r="AI4169" s="35"/>
    </row>
    <row r="4170">
      <c r="A4170" s="251"/>
      <c r="B4170" s="252"/>
      <c r="C4170" s="253"/>
      <c r="D4170" s="253"/>
      <c r="E4170" s="252"/>
      <c r="F4170" s="253"/>
      <c r="G4170" s="251"/>
      <c r="H4170" s="433"/>
      <c r="I4170" s="278"/>
      <c r="J4170" s="257"/>
      <c r="K4170" s="253"/>
      <c r="L4170" s="253"/>
      <c r="M4170" s="252"/>
      <c r="N4170" s="258"/>
      <c r="O4170" s="259"/>
      <c r="P4170" s="259"/>
      <c r="Q4170" s="262"/>
      <c r="R4170" s="260"/>
      <c r="S4170" s="260"/>
      <c r="T4170" s="260"/>
      <c r="U4170" s="261"/>
      <c r="V4170" s="251"/>
      <c r="W4170" s="35"/>
      <c r="X4170" s="35"/>
      <c r="Y4170" s="35"/>
      <c r="Z4170" s="35"/>
      <c r="AA4170" s="35"/>
      <c r="AB4170" s="35"/>
      <c r="AC4170" s="35"/>
      <c r="AD4170" s="35"/>
      <c r="AE4170" s="35"/>
      <c r="AF4170" s="35"/>
      <c r="AG4170" s="35"/>
      <c r="AH4170" s="35"/>
      <c r="AI4170" s="35"/>
    </row>
    <row r="4171">
      <c r="A4171" s="251"/>
      <c r="B4171" s="252"/>
      <c r="C4171" s="253"/>
      <c r="D4171" s="253"/>
      <c r="E4171" s="252"/>
      <c r="F4171" s="253"/>
      <c r="G4171" s="251"/>
      <c r="H4171" s="433"/>
      <c r="I4171" s="278"/>
      <c r="J4171" s="257"/>
      <c r="K4171" s="253"/>
      <c r="L4171" s="253"/>
      <c r="M4171" s="275"/>
      <c r="N4171" s="258"/>
      <c r="O4171" s="259"/>
      <c r="P4171" s="259"/>
      <c r="Q4171" s="262"/>
      <c r="R4171" s="260"/>
      <c r="S4171" s="260"/>
      <c r="T4171" s="260"/>
      <c r="U4171" s="261"/>
      <c r="V4171" s="251"/>
      <c r="W4171" s="35"/>
      <c r="X4171" s="35"/>
      <c r="Y4171" s="35"/>
      <c r="Z4171" s="35"/>
      <c r="AA4171" s="35"/>
      <c r="AB4171" s="35"/>
      <c r="AC4171" s="35"/>
      <c r="AD4171" s="35"/>
      <c r="AE4171" s="35"/>
      <c r="AF4171" s="35"/>
      <c r="AG4171" s="35"/>
      <c r="AH4171" s="35"/>
      <c r="AI4171" s="35"/>
    </row>
    <row r="4172">
      <c r="A4172" s="251"/>
      <c r="B4172" s="252"/>
      <c r="C4172" s="253"/>
      <c r="D4172" s="253"/>
      <c r="E4172" s="252"/>
      <c r="F4172" s="253"/>
      <c r="G4172" s="251"/>
      <c r="H4172" s="433"/>
      <c r="I4172" s="278"/>
      <c r="J4172" s="257"/>
      <c r="K4172" s="253"/>
      <c r="L4172" s="253"/>
      <c r="M4172" s="252"/>
      <c r="N4172" s="258"/>
      <c r="O4172" s="259"/>
      <c r="P4172" s="259"/>
      <c r="Q4172" s="262"/>
      <c r="R4172" s="260"/>
      <c r="S4172" s="260"/>
      <c r="T4172" s="260"/>
      <c r="U4172" s="261"/>
      <c r="V4172" s="251"/>
      <c r="W4172" s="35"/>
      <c r="X4172" s="35"/>
      <c r="Y4172" s="35"/>
      <c r="Z4172" s="35"/>
      <c r="AA4172" s="35"/>
      <c r="AB4172" s="35"/>
      <c r="AC4172" s="35"/>
      <c r="AD4172" s="35"/>
      <c r="AE4172" s="35"/>
      <c r="AF4172" s="35"/>
      <c r="AG4172" s="35"/>
      <c r="AH4172" s="35"/>
      <c r="AI4172" s="35"/>
    </row>
    <row r="4173">
      <c r="A4173" s="251"/>
      <c r="B4173" s="252"/>
      <c r="C4173" s="253"/>
      <c r="D4173" s="253"/>
      <c r="E4173" s="252"/>
      <c r="F4173" s="253"/>
      <c r="G4173" s="251"/>
      <c r="H4173" s="433"/>
      <c r="I4173" s="278"/>
      <c r="J4173" s="257"/>
      <c r="K4173" s="253"/>
      <c r="L4173" s="253"/>
      <c r="M4173" s="275"/>
      <c r="N4173" s="258"/>
      <c r="O4173" s="259"/>
      <c r="P4173" s="259"/>
      <c r="Q4173" s="262"/>
      <c r="R4173" s="260"/>
      <c r="S4173" s="260"/>
      <c r="T4173" s="260"/>
      <c r="U4173" s="261"/>
      <c r="V4173" s="251"/>
      <c r="W4173" s="35"/>
      <c r="X4173" s="35"/>
      <c r="Y4173" s="35"/>
      <c r="Z4173" s="35"/>
      <c r="AA4173" s="35"/>
      <c r="AB4173" s="35"/>
      <c r="AC4173" s="35"/>
      <c r="AD4173" s="35"/>
      <c r="AE4173" s="35"/>
      <c r="AF4173" s="35"/>
      <c r="AG4173" s="35"/>
      <c r="AH4173" s="35"/>
      <c r="AI4173" s="35"/>
    </row>
    <row r="4174">
      <c r="A4174" s="251"/>
      <c r="B4174" s="252"/>
      <c r="C4174" s="253"/>
      <c r="D4174" s="253"/>
      <c r="E4174" s="252"/>
      <c r="F4174" s="253"/>
      <c r="G4174" s="251"/>
      <c r="H4174" s="433"/>
      <c r="I4174" s="278"/>
      <c r="J4174" s="257"/>
      <c r="K4174" s="253"/>
      <c r="L4174" s="253"/>
      <c r="M4174" s="252"/>
      <c r="N4174" s="258"/>
      <c r="O4174" s="259"/>
      <c r="P4174" s="259"/>
      <c r="Q4174" s="257"/>
      <c r="R4174" s="260"/>
      <c r="S4174" s="260"/>
      <c r="T4174" s="260"/>
      <c r="U4174" s="261"/>
      <c r="V4174" s="251"/>
      <c r="W4174" s="35"/>
      <c r="X4174" s="35"/>
      <c r="Y4174" s="35"/>
      <c r="Z4174" s="35"/>
      <c r="AA4174" s="35"/>
      <c r="AB4174" s="35"/>
      <c r="AC4174" s="35"/>
      <c r="AD4174" s="35"/>
      <c r="AE4174" s="35"/>
      <c r="AF4174" s="35"/>
      <c r="AG4174" s="35"/>
      <c r="AH4174" s="35"/>
      <c r="AI4174" s="35"/>
    </row>
    <row r="4175">
      <c r="A4175" s="251"/>
      <c r="B4175" s="252"/>
      <c r="C4175" s="253"/>
      <c r="D4175" s="253"/>
      <c r="E4175" s="252"/>
      <c r="F4175" s="253"/>
      <c r="G4175" s="251"/>
      <c r="H4175" s="433"/>
      <c r="I4175" s="278"/>
      <c r="J4175" s="257"/>
      <c r="K4175" s="253"/>
      <c r="L4175" s="253"/>
      <c r="M4175" s="252"/>
      <c r="N4175" s="258"/>
      <c r="O4175" s="259"/>
      <c r="P4175" s="259"/>
      <c r="Q4175" s="262"/>
      <c r="R4175" s="260"/>
      <c r="S4175" s="260"/>
      <c r="T4175" s="260"/>
      <c r="U4175" s="261"/>
      <c r="V4175" s="251"/>
      <c r="W4175" s="35"/>
      <c r="X4175" s="35"/>
      <c r="Y4175" s="35"/>
      <c r="Z4175" s="35"/>
      <c r="AA4175" s="35"/>
      <c r="AB4175" s="35"/>
      <c r="AC4175" s="35"/>
      <c r="AD4175" s="35"/>
      <c r="AE4175" s="35"/>
      <c r="AF4175" s="35"/>
      <c r="AG4175" s="35"/>
      <c r="AH4175" s="35"/>
      <c r="AI4175" s="35"/>
    </row>
    <row r="4176">
      <c r="A4176" s="251"/>
      <c r="B4176" s="252"/>
      <c r="C4176" s="253"/>
      <c r="D4176" s="253"/>
      <c r="E4176" s="252"/>
      <c r="F4176" s="253"/>
      <c r="G4176" s="251"/>
      <c r="H4176" s="433"/>
      <c r="I4176" s="278"/>
      <c r="J4176" s="257"/>
      <c r="K4176" s="253"/>
      <c r="L4176" s="253"/>
      <c r="M4176" s="252"/>
      <c r="N4176" s="258"/>
      <c r="O4176" s="259"/>
      <c r="P4176" s="259"/>
      <c r="Q4176" s="262"/>
      <c r="R4176" s="260"/>
      <c r="S4176" s="260"/>
      <c r="T4176" s="260"/>
      <c r="U4176" s="261"/>
      <c r="V4176" s="251"/>
      <c r="W4176" s="35"/>
      <c r="X4176" s="35"/>
      <c r="Y4176" s="35"/>
      <c r="Z4176" s="35"/>
      <c r="AA4176" s="35"/>
      <c r="AB4176" s="35"/>
      <c r="AC4176" s="35"/>
      <c r="AD4176" s="35"/>
      <c r="AE4176" s="35"/>
      <c r="AF4176" s="35"/>
      <c r="AG4176" s="35"/>
      <c r="AH4176" s="35"/>
      <c r="AI4176" s="35"/>
    </row>
    <row r="4177">
      <c r="A4177" s="251"/>
      <c r="B4177" s="252"/>
      <c r="C4177" s="253"/>
      <c r="D4177" s="253"/>
      <c r="E4177" s="252"/>
      <c r="F4177" s="253"/>
      <c r="G4177" s="251"/>
      <c r="H4177" s="433"/>
      <c r="I4177" s="278"/>
      <c r="J4177" s="257"/>
      <c r="K4177" s="253"/>
      <c r="L4177" s="253"/>
      <c r="M4177" s="252"/>
      <c r="N4177" s="258"/>
      <c r="O4177" s="259"/>
      <c r="P4177" s="259"/>
      <c r="Q4177" s="262"/>
      <c r="R4177" s="260"/>
      <c r="S4177" s="260"/>
      <c r="T4177" s="260"/>
      <c r="U4177" s="261"/>
      <c r="V4177" s="251"/>
      <c r="W4177" s="35"/>
      <c r="X4177" s="35"/>
      <c r="Y4177" s="35"/>
      <c r="Z4177" s="35"/>
      <c r="AA4177" s="35"/>
      <c r="AB4177" s="35"/>
      <c r="AC4177" s="35"/>
      <c r="AD4177" s="35"/>
      <c r="AE4177" s="35"/>
      <c r="AF4177" s="35"/>
      <c r="AG4177" s="35"/>
      <c r="AH4177" s="35"/>
      <c r="AI4177" s="35"/>
    </row>
    <row r="4178">
      <c r="A4178" s="251"/>
      <c r="B4178" s="252"/>
      <c r="C4178" s="253"/>
      <c r="D4178" s="253"/>
      <c r="E4178" s="252"/>
      <c r="F4178" s="253"/>
      <c r="G4178" s="251"/>
      <c r="H4178" s="433"/>
      <c r="I4178" s="278"/>
      <c r="J4178" s="257"/>
      <c r="K4178" s="253"/>
      <c r="L4178" s="253"/>
      <c r="M4178" s="275"/>
      <c r="N4178" s="258"/>
      <c r="O4178" s="259"/>
      <c r="P4178" s="259"/>
      <c r="Q4178" s="262"/>
      <c r="R4178" s="260"/>
      <c r="S4178" s="260"/>
      <c r="T4178" s="260"/>
      <c r="U4178" s="261"/>
      <c r="V4178" s="251"/>
      <c r="W4178" s="35"/>
      <c r="X4178" s="35"/>
      <c r="Y4178" s="35"/>
      <c r="Z4178" s="35"/>
      <c r="AA4178" s="35"/>
      <c r="AB4178" s="35"/>
      <c r="AC4178" s="35"/>
      <c r="AD4178" s="35"/>
      <c r="AE4178" s="35"/>
      <c r="AF4178" s="35"/>
      <c r="AG4178" s="35"/>
      <c r="AH4178" s="35"/>
      <c r="AI4178" s="35"/>
    </row>
    <row r="4179">
      <c r="A4179" s="251"/>
      <c r="B4179" s="252"/>
      <c r="C4179" s="253"/>
      <c r="D4179" s="253"/>
      <c r="E4179" s="252"/>
      <c r="F4179" s="253"/>
      <c r="G4179" s="251"/>
      <c r="H4179" s="433"/>
      <c r="I4179" s="278"/>
      <c r="J4179" s="257"/>
      <c r="K4179" s="253"/>
      <c r="L4179" s="253"/>
      <c r="M4179" s="252"/>
      <c r="N4179" s="258"/>
      <c r="O4179" s="259"/>
      <c r="P4179" s="259"/>
      <c r="Q4179" s="262"/>
      <c r="R4179" s="260"/>
      <c r="S4179" s="260"/>
      <c r="T4179" s="260"/>
      <c r="U4179" s="261"/>
      <c r="V4179" s="251"/>
      <c r="W4179" s="35"/>
      <c r="X4179" s="35"/>
      <c r="Y4179" s="35"/>
      <c r="Z4179" s="35"/>
      <c r="AA4179" s="35"/>
      <c r="AB4179" s="35"/>
      <c r="AC4179" s="35"/>
      <c r="AD4179" s="35"/>
      <c r="AE4179" s="35"/>
      <c r="AF4179" s="35"/>
      <c r="AG4179" s="35"/>
      <c r="AH4179" s="35"/>
      <c r="AI4179" s="35"/>
    </row>
    <row r="4180">
      <c r="A4180" s="251"/>
      <c r="B4180" s="252"/>
      <c r="C4180" s="253"/>
      <c r="D4180" s="253"/>
      <c r="E4180" s="252"/>
      <c r="F4180" s="253"/>
      <c r="G4180" s="251"/>
      <c r="H4180" s="433"/>
      <c r="I4180" s="278"/>
      <c r="J4180" s="257"/>
      <c r="K4180" s="253"/>
      <c r="L4180" s="253"/>
      <c r="M4180" s="252"/>
      <c r="N4180" s="258"/>
      <c r="O4180" s="259"/>
      <c r="P4180" s="259"/>
      <c r="Q4180" s="262"/>
      <c r="R4180" s="260"/>
      <c r="S4180" s="260"/>
      <c r="T4180" s="260"/>
      <c r="U4180" s="261"/>
      <c r="V4180" s="251"/>
      <c r="W4180" s="35"/>
      <c r="X4180" s="35"/>
      <c r="Y4180" s="35"/>
      <c r="Z4180" s="35"/>
      <c r="AA4180" s="35"/>
      <c r="AB4180" s="35"/>
      <c r="AC4180" s="35"/>
      <c r="AD4180" s="35"/>
      <c r="AE4180" s="35"/>
      <c r="AF4180" s="35"/>
      <c r="AG4180" s="35"/>
      <c r="AH4180" s="35"/>
      <c r="AI4180" s="35"/>
    </row>
    <row r="4181">
      <c r="A4181" s="251"/>
      <c r="B4181" s="252"/>
      <c r="C4181" s="253"/>
      <c r="D4181" s="253"/>
      <c r="E4181" s="252"/>
      <c r="F4181" s="253"/>
      <c r="G4181" s="251"/>
      <c r="H4181" s="433"/>
      <c r="I4181" s="278"/>
      <c r="J4181" s="257"/>
      <c r="K4181" s="253"/>
      <c r="L4181" s="253"/>
      <c r="M4181" s="252"/>
      <c r="N4181" s="258"/>
      <c r="O4181" s="259"/>
      <c r="P4181" s="259"/>
      <c r="Q4181" s="257"/>
      <c r="R4181" s="260"/>
      <c r="S4181" s="260"/>
      <c r="T4181" s="260"/>
      <c r="U4181" s="261"/>
      <c r="V4181" s="251"/>
      <c r="W4181" s="35"/>
      <c r="X4181" s="35"/>
      <c r="Y4181" s="35"/>
      <c r="Z4181" s="35"/>
      <c r="AA4181" s="35"/>
      <c r="AB4181" s="35"/>
      <c r="AC4181" s="35"/>
      <c r="AD4181" s="35"/>
      <c r="AE4181" s="35"/>
      <c r="AF4181" s="35"/>
      <c r="AG4181" s="35"/>
      <c r="AH4181" s="35"/>
      <c r="AI4181" s="35"/>
    </row>
    <row r="4182">
      <c r="A4182" s="251"/>
      <c r="B4182" s="252"/>
      <c r="C4182" s="253"/>
      <c r="D4182" s="253"/>
      <c r="E4182" s="252"/>
      <c r="F4182" s="253"/>
      <c r="G4182" s="251"/>
      <c r="H4182" s="433"/>
      <c r="I4182" s="278"/>
      <c r="J4182" s="257"/>
      <c r="K4182" s="253"/>
      <c r="L4182" s="253"/>
      <c r="M4182" s="252"/>
      <c r="N4182" s="258"/>
      <c r="O4182" s="259"/>
      <c r="P4182" s="259"/>
      <c r="Q4182" s="262"/>
      <c r="R4182" s="260"/>
      <c r="S4182" s="260"/>
      <c r="T4182" s="260"/>
      <c r="U4182" s="261"/>
      <c r="V4182" s="251"/>
      <c r="W4182" s="35"/>
      <c r="X4182" s="35"/>
      <c r="Y4182" s="35"/>
      <c r="Z4182" s="35"/>
      <c r="AA4182" s="35"/>
      <c r="AB4182" s="35"/>
      <c r="AC4182" s="35"/>
      <c r="AD4182" s="35"/>
      <c r="AE4182" s="35"/>
      <c r="AF4182" s="35"/>
      <c r="AG4182" s="35"/>
      <c r="AH4182" s="35"/>
      <c r="AI4182" s="35"/>
    </row>
    <row r="4183">
      <c r="A4183" s="251"/>
      <c r="B4183" s="252"/>
      <c r="C4183" s="253"/>
      <c r="D4183" s="253"/>
      <c r="E4183" s="252"/>
      <c r="F4183" s="253"/>
      <c r="G4183" s="251"/>
      <c r="H4183" s="433"/>
      <c r="I4183" s="278"/>
      <c r="J4183" s="257"/>
      <c r="K4183" s="253"/>
      <c r="L4183" s="253"/>
      <c r="M4183" s="252"/>
      <c r="N4183" s="258"/>
      <c r="O4183" s="259"/>
      <c r="P4183" s="259"/>
      <c r="Q4183" s="262"/>
      <c r="R4183" s="260"/>
      <c r="S4183" s="260"/>
      <c r="T4183" s="260"/>
      <c r="U4183" s="261"/>
      <c r="V4183" s="251"/>
      <c r="W4183" s="35"/>
      <c r="X4183" s="35"/>
      <c r="Y4183" s="35"/>
      <c r="Z4183" s="35"/>
      <c r="AA4183" s="35"/>
      <c r="AB4183" s="35"/>
      <c r="AC4183" s="35"/>
      <c r="AD4183" s="35"/>
      <c r="AE4183" s="35"/>
      <c r="AF4183" s="35"/>
      <c r="AG4183" s="35"/>
      <c r="AH4183" s="35"/>
      <c r="AI4183" s="35"/>
    </row>
    <row r="4184">
      <c r="A4184" s="251"/>
      <c r="B4184" s="252"/>
      <c r="C4184" s="253"/>
      <c r="D4184" s="253"/>
      <c r="E4184" s="252"/>
      <c r="F4184" s="253"/>
      <c r="G4184" s="251"/>
      <c r="H4184" s="433"/>
      <c r="I4184" s="278"/>
      <c r="J4184" s="257"/>
      <c r="K4184" s="253"/>
      <c r="L4184" s="253"/>
      <c r="M4184" s="252"/>
      <c r="N4184" s="258"/>
      <c r="O4184" s="259"/>
      <c r="P4184" s="259"/>
      <c r="Q4184" s="262"/>
      <c r="R4184" s="260"/>
      <c r="S4184" s="260"/>
      <c r="T4184" s="260"/>
      <c r="U4184" s="261"/>
      <c r="V4184" s="251"/>
      <c r="W4184" s="35"/>
      <c r="X4184" s="35"/>
      <c r="Y4184" s="35"/>
      <c r="Z4184" s="35"/>
      <c r="AA4184" s="35"/>
      <c r="AB4184" s="35"/>
      <c r="AC4184" s="35"/>
      <c r="AD4184" s="35"/>
      <c r="AE4184" s="35"/>
      <c r="AF4184" s="35"/>
      <c r="AG4184" s="35"/>
      <c r="AH4184" s="35"/>
      <c r="AI4184" s="35"/>
    </row>
    <row r="4185">
      <c r="A4185" s="251"/>
      <c r="B4185" s="252"/>
      <c r="C4185" s="253"/>
      <c r="D4185" s="253"/>
      <c r="E4185" s="252"/>
      <c r="F4185" s="253"/>
      <c r="G4185" s="251"/>
      <c r="H4185" s="433"/>
      <c r="I4185" s="278"/>
      <c r="J4185" s="257"/>
      <c r="K4185" s="253"/>
      <c r="L4185" s="253"/>
      <c r="M4185" s="252"/>
      <c r="N4185" s="258"/>
      <c r="O4185" s="259"/>
      <c r="P4185" s="259"/>
      <c r="Q4185" s="262"/>
      <c r="R4185" s="260"/>
      <c r="S4185" s="260"/>
      <c r="T4185" s="260"/>
      <c r="U4185" s="261"/>
      <c r="V4185" s="251"/>
      <c r="W4185" s="35"/>
      <c r="X4185" s="35"/>
      <c r="Y4185" s="35"/>
      <c r="Z4185" s="35"/>
      <c r="AA4185" s="35"/>
      <c r="AB4185" s="35"/>
      <c r="AC4185" s="35"/>
      <c r="AD4185" s="35"/>
      <c r="AE4185" s="35"/>
      <c r="AF4185" s="35"/>
      <c r="AG4185" s="35"/>
      <c r="AH4185" s="35"/>
      <c r="AI4185" s="35"/>
    </row>
    <row r="4186">
      <c r="A4186" s="251"/>
      <c r="B4186" s="252"/>
      <c r="C4186" s="253"/>
      <c r="D4186" s="253"/>
      <c r="E4186" s="252"/>
      <c r="F4186" s="253"/>
      <c r="G4186" s="251"/>
      <c r="H4186" s="433"/>
      <c r="I4186" s="278"/>
      <c r="J4186" s="257"/>
      <c r="K4186" s="253"/>
      <c r="L4186" s="253"/>
      <c r="M4186" s="275"/>
      <c r="N4186" s="258"/>
      <c r="O4186" s="259"/>
      <c r="P4186" s="259"/>
      <c r="Q4186" s="262"/>
      <c r="R4186" s="260"/>
      <c r="S4186" s="260"/>
      <c r="T4186" s="260"/>
      <c r="U4186" s="261"/>
      <c r="V4186" s="251"/>
      <c r="W4186" s="35"/>
      <c r="X4186" s="35"/>
      <c r="Y4186" s="35"/>
      <c r="Z4186" s="35"/>
      <c r="AA4186" s="35"/>
      <c r="AB4186" s="35"/>
      <c r="AC4186" s="35"/>
      <c r="AD4186" s="35"/>
      <c r="AE4186" s="35"/>
      <c r="AF4186" s="35"/>
      <c r="AG4186" s="35"/>
      <c r="AH4186" s="35"/>
      <c r="AI4186" s="35"/>
    </row>
    <row r="4187">
      <c r="A4187" s="251"/>
      <c r="B4187" s="252"/>
      <c r="C4187" s="253"/>
      <c r="D4187" s="253"/>
      <c r="E4187" s="252"/>
      <c r="F4187" s="253"/>
      <c r="G4187" s="251"/>
      <c r="H4187" s="433"/>
      <c r="I4187" s="278"/>
      <c r="J4187" s="257"/>
      <c r="K4187" s="253"/>
      <c r="L4187" s="253"/>
      <c r="M4187" s="252"/>
      <c r="N4187" s="258"/>
      <c r="O4187" s="259"/>
      <c r="P4187" s="259"/>
      <c r="Q4187" s="257"/>
      <c r="R4187" s="260"/>
      <c r="S4187" s="260"/>
      <c r="T4187" s="260"/>
      <c r="U4187" s="261"/>
      <c r="V4187" s="251"/>
      <c r="W4187" s="35"/>
      <c r="X4187" s="35"/>
      <c r="Y4187" s="35"/>
      <c r="Z4187" s="35"/>
      <c r="AA4187" s="35"/>
      <c r="AB4187" s="35"/>
      <c r="AC4187" s="35"/>
      <c r="AD4187" s="35"/>
      <c r="AE4187" s="35"/>
      <c r="AF4187" s="35"/>
      <c r="AG4187" s="35"/>
      <c r="AH4187" s="35"/>
      <c r="AI4187" s="35"/>
    </row>
    <row r="4188">
      <c r="A4188" s="251"/>
      <c r="B4188" s="252"/>
      <c r="C4188" s="253"/>
      <c r="D4188" s="253"/>
      <c r="E4188" s="252"/>
      <c r="F4188" s="253"/>
      <c r="G4188" s="251"/>
      <c r="H4188" s="433"/>
      <c r="I4188" s="278"/>
      <c r="J4188" s="257"/>
      <c r="K4188" s="253"/>
      <c r="L4188" s="253"/>
      <c r="M4188" s="252"/>
      <c r="N4188" s="258"/>
      <c r="O4188" s="259"/>
      <c r="P4188" s="259"/>
      <c r="Q4188" s="257"/>
      <c r="R4188" s="260"/>
      <c r="S4188" s="260"/>
      <c r="T4188" s="260"/>
      <c r="U4188" s="261"/>
      <c r="V4188" s="251"/>
      <c r="W4188" s="35"/>
      <c r="X4188" s="35"/>
      <c r="Y4188" s="35"/>
      <c r="Z4188" s="35"/>
      <c r="AA4188" s="35"/>
      <c r="AB4188" s="35"/>
      <c r="AC4188" s="35"/>
      <c r="AD4188" s="35"/>
      <c r="AE4188" s="35"/>
      <c r="AF4188" s="35"/>
      <c r="AG4188" s="35"/>
      <c r="AH4188" s="35"/>
      <c r="AI4188" s="35"/>
    </row>
    <row r="4189">
      <c r="A4189" s="251"/>
      <c r="B4189" s="252"/>
      <c r="C4189" s="253"/>
      <c r="D4189" s="253"/>
      <c r="E4189" s="252"/>
      <c r="F4189" s="253"/>
      <c r="G4189" s="251"/>
      <c r="H4189" s="433"/>
      <c r="I4189" s="278"/>
      <c r="J4189" s="257"/>
      <c r="K4189" s="253"/>
      <c r="L4189" s="253"/>
      <c r="M4189" s="252"/>
      <c r="N4189" s="258"/>
      <c r="O4189" s="259"/>
      <c r="P4189" s="259"/>
      <c r="Q4189" s="262"/>
      <c r="R4189" s="260"/>
      <c r="S4189" s="260"/>
      <c r="T4189" s="260"/>
      <c r="U4189" s="261"/>
      <c r="V4189" s="251"/>
      <c r="W4189" s="35"/>
      <c r="X4189" s="35"/>
      <c r="Y4189" s="35"/>
      <c r="Z4189" s="35"/>
      <c r="AA4189" s="35"/>
      <c r="AB4189" s="35"/>
      <c r="AC4189" s="35"/>
      <c r="AD4189" s="35"/>
      <c r="AE4189" s="35"/>
      <c r="AF4189" s="35"/>
      <c r="AG4189" s="35"/>
      <c r="AH4189" s="35"/>
      <c r="AI4189" s="35"/>
    </row>
    <row r="4190">
      <c r="A4190" s="251"/>
      <c r="B4190" s="252"/>
      <c r="C4190" s="253"/>
      <c r="D4190" s="253"/>
      <c r="E4190" s="252"/>
      <c r="F4190" s="253"/>
      <c r="G4190" s="251"/>
      <c r="H4190" s="433"/>
      <c r="I4190" s="278"/>
      <c r="J4190" s="257"/>
      <c r="K4190" s="253"/>
      <c r="L4190" s="253"/>
      <c r="M4190" s="252"/>
      <c r="N4190" s="258"/>
      <c r="O4190" s="259"/>
      <c r="P4190" s="259"/>
      <c r="Q4190" s="257"/>
      <c r="R4190" s="260"/>
      <c r="S4190" s="260"/>
      <c r="T4190" s="260"/>
      <c r="U4190" s="261"/>
      <c r="V4190" s="251"/>
      <c r="W4190" s="35"/>
      <c r="X4190" s="35"/>
      <c r="Y4190" s="35"/>
      <c r="Z4190" s="35"/>
      <c r="AA4190" s="35"/>
      <c r="AB4190" s="35"/>
      <c r="AC4190" s="35"/>
      <c r="AD4190" s="35"/>
      <c r="AE4190" s="35"/>
      <c r="AF4190" s="35"/>
      <c r="AG4190" s="35"/>
      <c r="AH4190" s="35"/>
      <c r="AI4190" s="35"/>
    </row>
    <row r="4191">
      <c r="A4191" s="251"/>
      <c r="B4191" s="252"/>
      <c r="C4191" s="253"/>
      <c r="D4191" s="253"/>
      <c r="E4191" s="252"/>
      <c r="F4191" s="253"/>
      <c r="G4191" s="251"/>
      <c r="H4191" s="433"/>
      <c r="I4191" s="278"/>
      <c r="J4191" s="257"/>
      <c r="K4191" s="253"/>
      <c r="L4191" s="253"/>
      <c r="M4191" s="252"/>
      <c r="N4191" s="258"/>
      <c r="O4191" s="259"/>
      <c r="P4191" s="259"/>
      <c r="Q4191" s="262"/>
      <c r="R4191" s="260"/>
      <c r="S4191" s="260"/>
      <c r="T4191" s="260"/>
      <c r="U4191" s="261"/>
      <c r="V4191" s="251"/>
      <c r="W4191" s="35"/>
      <c r="X4191" s="35"/>
      <c r="Y4191" s="35"/>
      <c r="Z4191" s="35"/>
      <c r="AA4191" s="35"/>
      <c r="AB4191" s="35"/>
      <c r="AC4191" s="35"/>
      <c r="AD4191" s="35"/>
      <c r="AE4191" s="35"/>
      <c r="AF4191" s="35"/>
      <c r="AG4191" s="35"/>
      <c r="AH4191" s="35"/>
      <c r="AI4191" s="35"/>
    </row>
    <row r="4192">
      <c r="A4192" s="251"/>
      <c r="B4192" s="252"/>
      <c r="C4192" s="253"/>
      <c r="D4192" s="253"/>
      <c r="E4192" s="252"/>
      <c r="F4192" s="253"/>
      <c r="G4192" s="251"/>
      <c r="H4192" s="433"/>
      <c r="I4192" s="278"/>
      <c r="J4192" s="257"/>
      <c r="K4192" s="253"/>
      <c r="L4192" s="253"/>
      <c r="M4192" s="252"/>
      <c r="N4192" s="258"/>
      <c r="O4192" s="259"/>
      <c r="P4192" s="259"/>
      <c r="Q4192" s="262"/>
      <c r="R4192" s="260"/>
      <c r="S4192" s="260"/>
      <c r="T4192" s="260"/>
      <c r="U4192" s="261"/>
      <c r="V4192" s="251"/>
      <c r="W4192" s="35"/>
      <c r="X4192" s="35"/>
      <c r="Y4192" s="35"/>
      <c r="Z4192" s="35"/>
      <c r="AA4192" s="35"/>
      <c r="AB4192" s="35"/>
      <c r="AC4192" s="35"/>
      <c r="AD4192" s="35"/>
      <c r="AE4192" s="35"/>
      <c r="AF4192" s="35"/>
      <c r="AG4192" s="35"/>
      <c r="AH4192" s="35"/>
      <c r="AI4192" s="35"/>
    </row>
    <row r="4193">
      <c r="A4193" s="251"/>
      <c r="B4193" s="252"/>
      <c r="C4193" s="253"/>
      <c r="D4193" s="253"/>
      <c r="E4193" s="252"/>
      <c r="F4193" s="253"/>
      <c r="G4193" s="251"/>
      <c r="H4193" s="433"/>
      <c r="I4193" s="278"/>
      <c r="J4193" s="257"/>
      <c r="K4193" s="253"/>
      <c r="L4193" s="253"/>
      <c r="M4193" s="252"/>
      <c r="N4193" s="258"/>
      <c r="O4193" s="259"/>
      <c r="P4193" s="259"/>
      <c r="Q4193" s="262"/>
      <c r="R4193" s="260"/>
      <c r="S4193" s="260"/>
      <c r="T4193" s="260"/>
      <c r="U4193" s="261"/>
      <c r="V4193" s="251"/>
      <c r="W4193" s="35"/>
      <c r="X4193" s="35"/>
      <c r="Y4193" s="35"/>
      <c r="Z4193" s="35"/>
      <c r="AA4193" s="35"/>
      <c r="AB4193" s="35"/>
      <c r="AC4193" s="35"/>
      <c r="AD4193" s="35"/>
      <c r="AE4193" s="35"/>
      <c r="AF4193" s="35"/>
      <c r="AG4193" s="35"/>
      <c r="AH4193" s="35"/>
      <c r="AI4193" s="35"/>
    </row>
    <row r="4194">
      <c r="A4194" s="251"/>
      <c r="B4194" s="252"/>
      <c r="C4194" s="253"/>
      <c r="D4194" s="253"/>
      <c r="E4194" s="252"/>
      <c r="F4194" s="253"/>
      <c r="G4194" s="251"/>
      <c r="H4194" s="433"/>
      <c r="I4194" s="278"/>
      <c r="J4194" s="257"/>
      <c r="K4194" s="253"/>
      <c r="L4194" s="253"/>
      <c r="M4194" s="252"/>
      <c r="N4194" s="258"/>
      <c r="O4194" s="259"/>
      <c r="P4194" s="259"/>
      <c r="Q4194" s="262"/>
      <c r="R4194" s="260"/>
      <c r="S4194" s="260"/>
      <c r="T4194" s="260"/>
      <c r="U4194" s="261"/>
      <c r="V4194" s="251"/>
      <c r="W4194" s="35"/>
      <c r="X4194" s="35"/>
      <c r="Y4194" s="35"/>
      <c r="Z4194" s="35"/>
      <c r="AA4194" s="35"/>
      <c r="AB4194" s="35"/>
      <c r="AC4194" s="35"/>
      <c r="AD4194" s="35"/>
      <c r="AE4194" s="35"/>
      <c r="AF4194" s="35"/>
      <c r="AG4194" s="35"/>
      <c r="AH4194" s="35"/>
      <c r="AI4194" s="35"/>
    </row>
    <row r="4195">
      <c r="A4195" s="251"/>
      <c r="B4195" s="252"/>
      <c r="C4195" s="253"/>
      <c r="D4195" s="253"/>
      <c r="E4195" s="252"/>
      <c r="F4195" s="253"/>
      <c r="G4195" s="251"/>
      <c r="H4195" s="433"/>
      <c r="I4195" s="278"/>
      <c r="J4195" s="257"/>
      <c r="K4195" s="253"/>
      <c r="L4195" s="253"/>
      <c r="M4195" s="252"/>
      <c r="N4195" s="258"/>
      <c r="O4195" s="259"/>
      <c r="P4195" s="259"/>
      <c r="Q4195" s="257"/>
      <c r="R4195" s="260"/>
      <c r="S4195" s="260"/>
      <c r="T4195" s="260"/>
      <c r="U4195" s="261"/>
      <c r="V4195" s="251"/>
      <c r="W4195" s="35"/>
      <c r="X4195" s="35"/>
      <c r="Y4195" s="35"/>
      <c r="Z4195" s="35"/>
      <c r="AA4195" s="35"/>
      <c r="AB4195" s="35"/>
      <c r="AC4195" s="35"/>
      <c r="AD4195" s="35"/>
      <c r="AE4195" s="35"/>
      <c r="AF4195" s="35"/>
      <c r="AG4195" s="35"/>
      <c r="AH4195" s="35"/>
      <c r="AI4195" s="35"/>
    </row>
    <row r="4196">
      <c r="A4196" s="251"/>
      <c r="B4196" s="252"/>
      <c r="C4196" s="253"/>
      <c r="D4196" s="253"/>
      <c r="E4196" s="252"/>
      <c r="F4196" s="253"/>
      <c r="G4196" s="251"/>
      <c r="H4196" s="433"/>
      <c r="I4196" s="278"/>
      <c r="J4196" s="257"/>
      <c r="K4196" s="253"/>
      <c r="L4196" s="253"/>
      <c r="M4196" s="252"/>
      <c r="N4196" s="258"/>
      <c r="O4196" s="259"/>
      <c r="P4196" s="259"/>
      <c r="Q4196" s="262"/>
      <c r="R4196" s="260"/>
      <c r="S4196" s="260"/>
      <c r="T4196" s="260"/>
      <c r="U4196" s="261"/>
      <c r="V4196" s="251"/>
      <c r="W4196" s="35"/>
      <c r="X4196" s="35"/>
      <c r="Y4196" s="35"/>
      <c r="Z4196" s="35"/>
      <c r="AA4196" s="35"/>
      <c r="AB4196" s="35"/>
      <c r="AC4196" s="35"/>
      <c r="AD4196" s="35"/>
      <c r="AE4196" s="35"/>
      <c r="AF4196" s="35"/>
      <c r="AG4196" s="35"/>
      <c r="AH4196" s="35"/>
      <c r="AI4196" s="35"/>
    </row>
    <row r="4197">
      <c r="A4197" s="251"/>
      <c r="B4197" s="252"/>
      <c r="C4197" s="253"/>
      <c r="D4197" s="253"/>
      <c r="E4197" s="252"/>
      <c r="F4197" s="253"/>
      <c r="G4197" s="251"/>
      <c r="H4197" s="433"/>
      <c r="I4197" s="278"/>
      <c r="J4197" s="257"/>
      <c r="K4197" s="253"/>
      <c r="L4197" s="253"/>
      <c r="M4197" s="252"/>
      <c r="N4197" s="258"/>
      <c r="O4197" s="259"/>
      <c r="P4197" s="259"/>
      <c r="Q4197" s="262"/>
      <c r="R4197" s="260"/>
      <c r="S4197" s="260"/>
      <c r="T4197" s="260"/>
      <c r="U4197" s="261"/>
      <c r="V4197" s="251"/>
      <c r="W4197" s="35"/>
      <c r="X4197" s="35"/>
      <c r="Y4197" s="35"/>
      <c r="Z4197" s="35"/>
      <c r="AA4197" s="35"/>
      <c r="AB4197" s="35"/>
      <c r="AC4197" s="35"/>
      <c r="AD4197" s="35"/>
      <c r="AE4197" s="35"/>
      <c r="AF4197" s="35"/>
      <c r="AG4197" s="35"/>
      <c r="AH4197" s="35"/>
      <c r="AI4197" s="35"/>
    </row>
    <row r="4198">
      <c r="A4198" s="251"/>
      <c r="B4198" s="252"/>
      <c r="C4198" s="253"/>
      <c r="D4198" s="253"/>
      <c r="E4198" s="252"/>
      <c r="F4198" s="253"/>
      <c r="G4198" s="251"/>
      <c r="H4198" s="433"/>
      <c r="I4198" s="278"/>
      <c r="J4198" s="257"/>
      <c r="K4198" s="253"/>
      <c r="L4198" s="253"/>
      <c r="M4198" s="275"/>
      <c r="N4198" s="258"/>
      <c r="O4198" s="259"/>
      <c r="P4198" s="259"/>
      <c r="Q4198" s="262"/>
      <c r="R4198" s="260"/>
      <c r="S4198" s="260"/>
      <c r="T4198" s="260"/>
      <c r="U4198" s="261"/>
      <c r="V4198" s="251"/>
      <c r="W4198" s="35"/>
      <c r="X4198" s="35"/>
      <c r="Y4198" s="35"/>
      <c r="Z4198" s="35"/>
      <c r="AA4198" s="35"/>
      <c r="AB4198" s="35"/>
      <c r="AC4198" s="35"/>
      <c r="AD4198" s="35"/>
      <c r="AE4198" s="35"/>
      <c r="AF4198" s="35"/>
      <c r="AG4198" s="35"/>
      <c r="AH4198" s="35"/>
      <c r="AI4198" s="35"/>
    </row>
    <row r="4199">
      <c r="A4199" s="251"/>
      <c r="B4199" s="252"/>
      <c r="C4199" s="253"/>
      <c r="D4199" s="253"/>
      <c r="E4199" s="252"/>
      <c r="F4199" s="253"/>
      <c r="G4199" s="251"/>
      <c r="H4199" s="433"/>
      <c r="I4199" s="278"/>
      <c r="J4199" s="257"/>
      <c r="K4199" s="253"/>
      <c r="L4199" s="253"/>
      <c r="M4199" s="275"/>
      <c r="N4199" s="258"/>
      <c r="O4199" s="259"/>
      <c r="P4199" s="259"/>
      <c r="Q4199" s="257"/>
      <c r="R4199" s="260"/>
      <c r="S4199" s="260"/>
      <c r="T4199" s="260"/>
      <c r="U4199" s="261"/>
      <c r="V4199" s="251"/>
      <c r="W4199" s="35"/>
      <c r="X4199" s="35"/>
      <c r="Y4199" s="35"/>
      <c r="Z4199" s="35"/>
      <c r="AA4199" s="35"/>
      <c r="AB4199" s="35"/>
      <c r="AC4199" s="35"/>
      <c r="AD4199" s="35"/>
      <c r="AE4199" s="35"/>
      <c r="AF4199" s="35"/>
      <c r="AG4199" s="35"/>
      <c r="AH4199" s="35"/>
      <c r="AI4199" s="35"/>
    </row>
    <row r="4200">
      <c r="A4200" s="251"/>
      <c r="B4200" s="252"/>
      <c r="C4200" s="253"/>
      <c r="D4200" s="253"/>
      <c r="E4200" s="252"/>
      <c r="F4200" s="253"/>
      <c r="G4200" s="251"/>
      <c r="H4200" s="433"/>
      <c r="I4200" s="278"/>
      <c r="J4200" s="257"/>
      <c r="K4200" s="253"/>
      <c r="L4200" s="253"/>
      <c r="M4200" s="252"/>
      <c r="N4200" s="258"/>
      <c r="O4200" s="259"/>
      <c r="P4200" s="259"/>
      <c r="Q4200" s="257"/>
      <c r="R4200" s="260"/>
      <c r="S4200" s="260"/>
      <c r="T4200" s="260"/>
      <c r="U4200" s="261"/>
      <c r="V4200" s="251"/>
      <c r="W4200" s="35"/>
      <c r="X4200" s="35"/>
      <c r="Y4200" s="35"/>
      <c r="Z4200" s="35"/>
      <c r="AA4200" s="35"/>
      <c r="AB4200" s="35"/>
      <c r="AC4200" s="35"/>
      <c r="AD4200" s="35"/>
      <c r="AE4200" s="35"/>
      <c r="AF4200" s="35"/>
      <c r="AG4200" s="35"/>
      <c r="AH4200" s="35"/>
      <c r="AI4200" s="35"/>
    </row>
    <row r="4201">
      <c r="A4201" s="251"/>
      <c r="B4201" s="252"/>
      <c r="C4201" s="253"/>
      <c r="D4201" s="253"/>
      <c r="E4201" s="252"/>
      <c r="F4201" s="253"/>
      <c r="G4201" s="251"/>
      <c r="H4201" s="433"/>
      <c r="I4201" s="278"/>
      <c r="J4201" s="257"/>
      <c r="K4201" s="253"/>
      <c r="L4201" s="253"/>
      <c r="M4201" s="252"/>
      <c r="N4201" s="258"/>
      <c r="O4201" s="259"/>
      <c r="P4201" s="259"/>
      <c r="Q4201" s="262"/>
      <c r="R4201" s="260"/>
      <c r="S4201" s="260"/>
      <c r="T4201" s="260"/>
      <c r="U4201" s="261"/>
      <c r="V4201" s="251"/>
      <c r="W4201" s="35"/>
      <c r="X4201" s="35"/>
      <c r="Y4201" s="35"/>
      <c r="Z4201" s="35"/>
      <c r="AA4201" s="35"/>
      <c r="AB4201" s="35"/>
      <c r="AC4201" s="35"/>
      <c r="AD4201" s="35"/>
      <c r="AE4201" s="35"/>
      <c r="AF4201" s="35"/>
      <c r="AG4201" s="35"/>
      <c r="AH4201" s="35"/>
      <c r="AI4201" s="35"/>
    </row>
    <row r="4202">
      <c r="A4202" s="251"/>
      <c r="B4202" s="252"/>
      <c r="C4202" s="253"/>
      <c r="D4202" s="253"/>
      <c r="E4202" s="252"/>
      <c r="F4202" s="253"/>
      <c r="G4202" s="251"/>
      <c r="H4202" s="433"/>
      <c r="I4202" s="278"/>
      <c r="J4202" s="257"/>
      <c r="K4202" s="253"/>
      <c r="L4202" s="253"/>
      <c r="M4202" s="252"/>
      <c r="N4202" s="258"/>
      <c r="O4202" s="259"/>
      <c r="P4202" s="259"/>
      <c r="Q4202" s="262"/>
      <c r="R4202" s="260"/>
      <c r="S4202" s="260"/>
      <c r="T4202" s="260"/>
      <c r="U4202" s="261"/>
      <c r="V4202" s="251"/>
      <c r="W4202" s="35"/>
      <c r="X4202" s="35"/>
      <c r="Y4202" s="35"/>
      <c r="Z4202" s="35"/>
      <c r="AA4202" s="35"/>
      <c r="AB4202" s="35"/>
      <c r="AC4202" s="35"/>
      <c r="AD4202" s="35"/>
      <c r="AE4202" s="35"/>
      <c r="AF4202" s="35"/>
      <c r="AG4202" s="35"/>
      <c r="AH4202" s="35"/>
      <c r="AI4202" s="35"/>
    </row>
    <row r="4203">
      <c r="A4203" s="251"/>
      <c r="B4203" s="252"/>
      <c r="C4203" s="253"/>
      <c r="D4203" s="253"/>
      <c r="E4203" s="252"/>
      <c r="F4203" s="253"/>
      <c r="G4203" s="251"/>
      <c r="H4203" s="433"/>
      <c r="I4203" s="278"/>
      <c r="J4203" s="257"/>
      <c r="K4203" s="253"/>
      <c r="L4203" s="253"/>
      <c r="M4203" s="252"/>
      <c r="N4203" s="258"/>
      <c r="O4203" s="259"/>
      <c r="P4203" s="259"/>
      <c r="Q4203" s="257"/>
      <c r="R4203" s="260"/>
      <c r="S4203" s="260"/>
      <c r="T4203" s="260"/>
      <c r="U4203" s="261"/>
      <c r="V4203" s="251"/>
      <c r="W4203" s="35"/>
      <c r="X4203" s="35"/>
      <c r="Y4203" s="35"/>
      <c r="Z4203" s="35"/>
      <c r="AA4203" s="35"/>
      <c r="AB4203" s="35"/>
      <c r="AC4203" s="35"/>
      <c r="AD4203" s="35"/>
      <c r="AE4203" s="35"/>
      <c r="AF4203" s="35"/>
      <c r="AG4203" s="35"/>
      <c r="AH4203" s="35"/>
      <c r="AI4203" s="35"/>
    </row>
    <row r="4204">
      <c r="A4204" s="251"/>
      <c r="B4204" s="252"/>
      <c r="C4204" s="253"/>
      <c r="D4204" s="253"/>
      <c r="E4204" s="252"/>
      <c r="F4204" s="253"/>
      <c r="G4204" s="251"/>
      <c r="H4204" s="433"/>
      <c r="I4204" s="278"/>
      <c r="J4204" s="257"/>
      <c r="K4204" s="253"/>
      <c r="L4204" s="253"/>
      <c r="M4204" s="252"/>
      <c r="N4204" s="258"/>
      <c r="O4204" s="259"/>
      <c r="P4204" s="259"/>
      <c r="Q4204" s="262"/>
      <c r="R4204" s="260"/>
      <c r="S4204" s="260"/>
      <c r="T4204" s="260"/>
      <c r="U4204" s="261"/>
      <c r="V4204" s="251"/>
      <c r="W4204" s="35"/>
      <c r="X4204" s="35"/>
      <c r="Y4204" s="35"/>
      <c r="Z4204" s="35"/>
      <c r="AA4204" s="35"/>
      <c r="AB4204" s="35"/>
      <c r="AC4204" s="35"/>
      <c r="AD4204" s="35"/>
      <c r="AE4204" s="35"/>
      <c r="AF4204" s="35"/>
      <c r="AG4204" s="35"/>
      <c r="AH4204" s="35"/>
      <c r="AI4204" s="35"/>
    </row>
    <row r="4205">
      <c r="A4205" s="251"/>
      <c r="B4205" s="252"/>
      <c r="C4205" s="253"/>
      <c r="D4205" s="253"/>
      <c r="E4205" s="252"/>
      <c r="F4205" s="253"/>
      <c r="G4205" s="251"/>
      <c r="H4205" s="433"/>
      <c r="I4205" s="278"/>
      <c r="J4205" s="257"/>
      <c r="K4205" s="253"/>
      <c r="L4205" s="253"/>
      <c r="M4205" s="252"/>
      <c r="N4205" s="258"/>
      <c r="O4205" s="259"/>
      <c r="P4205" s="259"/>
      <c r="Q4205" s="262"/>
      <c r="R4205" s="260"/>
      <c r="S4205" s="260"/>
      <c r="T4205" s="260"/>
      <c r="U4205" s="261"/>
      <c r="V4205" s="251"/>
      <c r="W4205" s="35"/>
      <c r="X4205" s="35"/>
      <c r="Y4205" s="35"/>
      <c r="Z4205" s="35"/>
      <c r="AA4205" s="35"/>
      <c r="AB4205" s="35"/>
      <c r="AC4205" s="35"/>
      <c r="AD4205" s="35"/>
      <c r="AE4205" s="35"/>
      <c r="AF4205" s="35"/>
      <c r="AG4205" s="35"/>
      <c r="AH4205" s="35"/>
      <c r="AI4205" s="35"/>
    </row>
    <row r="4206">
      <c r="A4206" s="251"/>
      <c r="B4206" s="252"/>
      <c r="C4206" s="253"/>
      <c r="D4206" s="253"/>
      <c r="E4206" s="252"/>
      <c r="F4206" s="253"/>
      <c r="G4206" s="251"/>
      <c r="H4206" s="433"/>
      <c r="I4206" s="278"/>
      <c r="J4206" s="257"/>
      <c r="K4206" s="253"/>
      <c r="L4206" s="253"/>
      <c r="M4206" s="252"/>
      <c r="N4206" s="258"/>
      <c r="O4206" s="259"/>
      <c r="P4206" s="259"/>
      <c r="Q4206" s="262"/>
      <c r="R4206" s="260"/>
      <c r="S4206" s="260"/>
      <c r="T4206" s="260"/>
      <c r="U4206" s="261"/>
      <c r="V4206" s="251"/>
      <c r="W4206" s="35"/>
      <c r="X4206" s="35"/>
      <c r="Y4206" s="35"/>
      <c r="Z4206" s="35"/>
      <c r="AA4206" s="35"/>
      <c r="AB4206" s="35"/>
      <c r="AC4206" s="35"/>
      <c r="AD4206" s="35"/>
      <c r="AE4206" s="35"/>
      <c r="AF4206" s="35"/>
      <c r="AG4206" s="35"/>
      <c r="AH4206" s="35"/>
      <c r="AI4206" s="35"/>
    </row>
    <row r="4207">
      <c r="A4207" s="251"/>
      <c r="B4207" s="252"/>
      <c r="C4207" s="253"/>
      <c r="D4207" s="253"/>
      <c r="E4207" s="252"/>
      <c r="F4207" s="253"/>
      <c r="G4207" s="251"/>
      <c r="H4207" s="433"/>
      <c r="I4207" s="278"/>
      <c r="J4207" s="257"/>
      <c r="K4207" s="253"/>
      <c r="L4207" s="253"/>
      <c r="M4207" s="252"/>
      <c r="N4207" s="258"/>
      <c r="O4207" s="259"/>
      <c r="P4207" s="259"/>
      <c r="Q4207" s="262"/>
      <c r="R4207" s="260"/>
      <c r="S4207" s="260"/>
      <c r="T4207" s="260"/>
      <c r="U4207" s="261"/>
      <c r="V4207" s="251"/>
      <c r="W4207" s="35"/>
      <c r="X4207" s="35"/>
      <c r="Y4207" s="35"/>
      <c r="Z4207" s="35"/>
      <c r="AA4207" s="35"/>
      <c r="AB4207" s="35"/>
      <c r="AC4207" s="35"/>
      <c r="AD4207" s="35"/>
      <c r="AE4207" s="35"/>
      <c r="AF4207" s="35"/>
      <c r="AG4207" s="35"/>
      <c r="AH4207" s="35"/>
      <c r="AI4207" s="35"/>
    </row>
    <row r="4208">
      <c r="A4208" s="251"/>
      <c r="B4208" s="252"/>
      <c r="C4208" s="253"/>
      <c r="D4208" s="253"/>
      <c r="E4208" s="252"/>
      <c r="F4208" s="253"/>
      <c r="G4208" s="251"/>
      <c r="H4208" s="433"/>
      <c r="I4208" s="278"/>
      <c r="J4208" s="257"/>
      <c r="K4208" s="253"/>
      <c r="L4208" s="253"/>
      <c r="M4208" s="252"/>
      <c r="N4208" s="258"/>
      <c r="O4208" s="259"/>
      <c r="P4208" s="259"/>
      <c r="Q4208" s="262"/>
      <c r="R4208" s="260"/>
      <c r="S4208" s="260"/>
      <c r="T4208" s="260"/>
      <c r="U4208" s="261"/>
      <c r="V4208" s="251"/>
      <c r="W4208" s="35"/>
      <c r="X4208" s="35"/>
      <c r="Y4208" s="35"/>
      <c r="Z4208" s="35"/>
      <c r="AA4208" s="35"/>
      <c r="AB4208" s="35"/>
      <c r="AC4208" s="35"/>
      <c r="AD4208" s="35"/>
      <c r="AE4208" s="35"/>
      <c r="AF4208" s="35"/>
      <c r="AG4208" s="35"/>
      <c r="AH4208" s="35"/>
      <c r="AI4208" s="35"/>
    </row>
    <row r="4209">
      <c r="A4209" s="251"/>
      <c r="B4209" s="252"/>
      <c r="C4209" s="253"/>
      <c r="D4209" s="253"/>
      <c r="E4209" s="252"/>
      <c r="F4209" s="253"/>
      <c r="G4209" s="251"/>
      <c r="H4209" s="433"/>
      <c r="I4209" s="278"/>
      <c r="J4209" s="257"/>
      <c r="K4209" s="253"/>
      <c r="L4209" s="253"/>
      <c r="M4209" s="252"/>
      <c r="N4209" s="258"/>
      <c r="O4209" s="259"/>
      <c r="P4209" s="259"/>
      <c r="Q4209" s="262"/>
      <c r="R4209" s="260"/>
      <c r="S4209" s="260"/>
      <c r="T4209" s="260"/>
      <c r="U4209" s="261"/>
      <c r="V4209" s="251"/>
      <c r="W4209" s="35"/>
      <c r="X4209" s="35"/>
      <c r="Y4209" s="35"/>
      <c r="Z4209" s="35"/>
      <c r="AA4209" s="35"/>
      <c r="AB4209" s="35"/>
      <c r="AC4209" s="35"/>
      <c r="AD4209" s="35"/>
      <c r="AE4209" s="35"/>
      <c r="AF4209" s="35"/>
      <c r="AG4209" s="35"/>
      <c r="AH4209" s="35"/>
      <c r="AI4209" s="35"/>
    </row>
    <row r="4210">
      <c r="A4210" s="251"/>
      <c r="B4210" s="252"/>
      <c r="C4210" s="253"/>
      <c r="D4210" s="253"/>
      <c r="E4210" s="252"/>
      <c r="F4210" s="253"/>
      <c r="G4210" s="251"/>
      <c r="H4210" s="433"/>
      <c r="I4210" s="278"/>
      <c r="J4210" s="257"/>
      <c r="K4210" s="253"/>
      <c r="L4210" s="253"/>
      <c r="M4210" s="252"/>
      <c r="N4210" s="258"/>
      <c r="O4210" s="259"/>
      <c r="P4210" s="259"/>
      <c r="Q4210" s="262"/>
      <c r="R4210" s="260"/>
      <c r="S4210" s="260"/>
      <c r="T4210" s="260"/>
      <c r="U4210" s="261"/>
      <c r="V4210" s="251"/>
      <c r="W4210" s="35"/>
      <c r="X4210" s="35"/>
      <c r="Y4210" s="35"/>
      <c r="Z4210" s="35"/>
      <c r="AA4210" s="35"/>
      <c r="AB4210" s="35"/>
      <c r="AC4210" s="35"/>
      <c r="AD4210" s="35"/>
      <c r="AE4210" s="35"/>
      <c r="AF4210" s="35"/>
      <c r="AG4210" s="35"/>
      <c r="AH4210" s="35"/>
      <c r="AI4210" s="35"/>
    </row>
    <row r="4211">
      <c r="A4211" s="251"/>
      <c r="B4211" s="252"/>
      <c r="C4211" s="253"/>
      <c r="D4211" s="253"/>
      <c r="E4211" s="252"/>
      <c r="F4211" s="253"/>
      <c r="G4211" s="251"/>
      <c r="H4211" s="433"/>
      <c r="I4211" s="278"/>
      <c r="J4211" s="257"/>
      <c r="K4211" s="253"/>
      <c r="L4211" s="253"/>
      <c r="M4211" s="275"/>
      <c r="N4211" s="258"/>
      <c r="O4211" s="259"/>
      <c r="P4211" s="259"/>
      <c r="Q4211" s="262"/>
      <c r="R4211" s="260"/>
      <c r="S4211" s="260"/>
      <c r="T4211" s="260"/>
      <c r="U4211" s="261"/>
      <c r="V4211" s="251"/>
      <c r="W4211" s="35"/>
      <c r="X4211" s="35"/>
      <c r="Y4211" s="35"/>
      <c r="Z4211" s="35"/>
      <c r="AA4211" s="35"/>
      <c r="AB4211" s="35"/>
      <c r="AC4211" s="35"/>
      <c r="AD4211" s="35"/>
      <c r="AE4211" s="35"/>
      <c r="AF4211" s="35"/>
      <c r="AG4211" s="35"/>
      <c r="AH4211" s="35"/>
      <c r="AI4211" s="35"/>
    </row>
    <row r="4212">
      <c r="A4212" s="263"/>
      <c r="B4212" s="264"/>
      <c r="C4212" s="265"/>
      <c r="D4212" s="265"/>
      <c r="E4212" s="264"/>
      <c r="F4212" s="265"/>
      <c r="G4212" s="263"/>
      <c r="H4212" s="432"/>
      <c r="I4212" s="282"/>
      <c r="J4212" s="283"/>
      <c r="K4212" s="265"/>
      <c r="L4212" s="265"/>
      <c r="M4212" s="269"/>
      <c r="N4212" s="270"/>
      <c r="O4212" s="271"/>
      <c r="P4212" s="271"/>
      <c r="Q4212" s="272"/>
      <c r="R4212" s="273"/>
      <c r="S4212" s="273"/>
      <c r="T4212" s="273"/>
      <c r="U4212" s="274"/>
      <c r="V4212" s="263"/>
      <c r="W4212" s="35"/>
      <c r="X4212" s="35"/>
      <c r="Y4212" s="35"/>
      <c r="Z4212" s="35"/>
      <c r="AA4212" s="35"/>
      <c r="AB4212" s="35"/>
      <c r="AC4212" s="35"/>
      <c r="AD4212" s="35"/>
      <c r="AE4212" s="35"/>
      <c r="AF4212" s="35"/>
      <c r="AG4212" s="35"/>
      <c r="AH4212" s="35"/>
      <c r="AI4212" s="35"/>
    </row>
    <row r="4213">
      <c r="A4213" s="251"/>
      <c r="B4213" s="252"/>
      <c r="C4213" s="253"/>
      <c r="D4213" s="253"/>
      <c r="E4213" s="252"/>
      <c r="F4213" s="253"/>
      <c r="G4213" s="251"/>
      <c r="H4213" s="433"/>
      <c r="I4213" s="278"/>
      <c r="J4213" s="257"/>
      <c r="K4213" s="253"/>
      <c r="L4213" s="253"/>
      <c r="M4213" s="252"/>
      <c r="N4213" s="258"/>
      <c r="O4213" s="259"/>
      <c r="P4213" s="259"/>
      <c r="Q4213" s="257"/>
      <c r="R4213" s="260"/>
      <c r="S4213" s="260"/>
      <c r="T4213" s="260"/>
      <c r="U4213" s="261"/>
      <c r="V4213" s="251"/>
      <c r="W4213" s="35"/>
      <c r="X4213" s="35"/>
      <c r="Y4213" s="35"/>
      <c r="Z4213" s="35"/>
      <c r="AA4213" s="35"/>
      <c r="AB4213" s="35"/>
      <c r="AC4213" s="35"/>
      <c r="AD4213" s="35"/>
      <c r="AE4213" s="35"/>
      <c r="AF4213" s="35"/>
      <c r="AG4213" s="35"/>
      <c r="AH4213" s="35"/>
      <c r="AI4213" s="35"/>
    </row>
    <row r="4214">
      <c r="A4214" s="251"/>
      <c r="B4214" s="252"/>
      <c r="C4214" s="253"/>
      <c r="D4214" s="253"/>
      <c r="E4214" s="252"/>
      <c r="F4214" s="253"/>
      <c r="G4214" s="251"/>
      <c r="H4214" s="433"/>
      <c r="I4214" s="278"/>
      <c r="J4214" s="257"/>
      <c r="K4214" s="253"/>
      <c r="L4214" s="253"/>
      <c r="M4214" s="252"/>
      <c r="N4214" s="258"/>
      <c r="O4214" s="259"/>
      <c r="P4214" s="259"/>
      <c r="Q4214" s="257"/>
      <c r="R4214" s="260"/>
      <c r="S4214" s="260"/>
      <c r="T4214" s="260"/>
      <c r="U4214" s="261"/>
      <c r="V4214" s="251"/>
      <c r="W4214" s="35"/>
      <c r="X4214" s="35"/>
      <c r="Y4214" s="35"/>
      <c r="Z4214" s="35"/>
      <c r="AA4214" s="35"/>
      <c r="AB4214" s="35"/>
      <c r="AC4214" s="35"/>
      <c r="AD4214" s="35"/>
      <c r="AE4214" s="35"/>
      <c r="AF4214" s="35"/>
      <c r="AG4214" s="35"/>
      <c r="AH4214" s="35"/>
      <c r="AI4214" s="35"/>
    </row>
    <row r="4215">
      <c r="A4215" s="251"/>
      <c r="B4215" s="252"/>
      <c r="C4215" s="253"/>
      <c r="D4215" s="253"/>
      <c r="E4215" s="252"/>
      <c r="F4215" s="253"/>
      <c r="G4215" s="251"/>
      <c r="H4215" s="433"/>
      <c r="I4215" s="278"/>
      <c r="J4215" s="257"/>
      <c r="K4215" s="253"/>
      <c r="L4215" s="253"/>
      <c r="M4215" s="252"/>
      <c r="N4215" s="258"/>
      <c r="O4215" s="259"/>
      <c r="P4215" s="259"/>
      <c r="Q4215" s="262"/>
      <c r="R4215" s="260"/>
      <c r="S4215" s="260"/>
      <c r="T4215" s="260"/>
      <c r="U4215" s="261"/>
      <c r="V4215" s="251"/>
      <c r="W4215" s="35"/>
      <c r="X4215" s="35"/>
      <c r="Y4215" s="35"/>
      <c r="Z4215" s="35"/>
      <c r="AA4215" s="35"/>
      <c r="AB4215" s="35"/>
      <c r="AC4215" s="35"/>
      <c r="AD4215" s="35"/>
      <c r="AE4215" s="35"/>
      <c r="AF4215" s="35"/>
      <c r="AG4215" s="35"/>
      <c r="AH4215" s="35"/>
      <c r="AI4215" s="35"/>
    </row>
    <row r="4216">
      <c r="A4216" s="251"/>
      <c r="B4216" s="252"/>
      <c r="C4216" s="253"/>
      <c r="D4216" s="253"/>
      <c r="E4216" s="252"/>
      <c r="F4216" s="253"/>
      <c r="G4216" s="251"/>
      <c r="H4216" s="433"/>
      <c r="I4216" s="278"/>
      <c r="J4216" s="257"/>
      <c r="K4216" s="253"/>
      <c r="L4216" s="253"/>
      <c r="M4216" s="275"/>
      <c r="N4216" s="258"/>
      <c r="O4216" s="259"/>
      <c r="P4216" s="259"/>
      <c r="Q4216" s="262"/>
      <c r="R4216" s="260"/>
      <c r="S4216" s="260"/>
      <c r="T4216" s="260"/>
      <c r="U4216" s="261"/>
      <c r="V4216" s="251"/>
      <c r="W4216" s="35"/>
      <c r="X4216" s="35"/>
      <c r="Y4216" s="35"/>
      <c r="Z4216" s="35"/>
      <c r="AA4216" s="35"/>
      <c r="AB4216" s="35"/>
      <c r="AC4216" s="35"/>
      <c r="AD4216" s="35"/>
      <c r="AE4216" s="35"/>
      <c r="AF4216" s="35"/>
      <c r="AG4216" s="35"/>
      <c r="AH4216" s="35"/>
      <c r="AI4216" s="35"/>
    </row>
    <row r="4217">
      <c r="A4217" s="251"/>
      <c r="B4217" s="252"/>
      <c r="C4217" s="253"/>
      <c r="D4217" s="253"/>
      <c r="E4217" s="252"/>
      <c r="F4217" s="253"/>
      <c r="G4217" s="251"/>
      <c r="H4217" s="433"/>
      <c r="I4217" s="278"/>
      <c r="J4217" s="257"/>
      <c r="K4217" s="253"/>
      <c r="L4217" s="253"/>
      <c r="M4217" s="275"/>
      <c r="N4217" s="258"/>
      <c r="O4217" s="259"/>
      <c r="P4217" s="259"/>
      <c r="Q4217" s="262"/>
      <c r="R4217" s="260"/>
      <c r="S4217" s="260"/>
      <c r="T4217" s="260"/>
      <c r="U4217" s="261"/>
      <c r="V4217" s="251"/>
      <c r="W4217" s="35"/>
      <c r="X4217" s="35"/>
      <c r="Y4217" s="35"/>
      <c r="Z4217" s="35"/>
      <c r="AA4217" s="35"/>
      <c r="AB4217" s="35"/>
      <c r="AC4217" s="35"/>
      <c r="AD4217" s="35"/>
      <c r="AE4217" s="35"/>
      <c r="AF4217" s="35"/>
      <c r="AG4217" s="35"/>
      <c r="AH4217" s="35"/>
      <c r="AI4217" s="35"/>
    </row>
    <row r="4218">
      <c r="A4218" s="251"/>
      <c r="B4218" s="252"/>
      <c r="C4218" s="253"/>
      <c r="D4218" s="253"/>
      <c r="E4218" s="252"/>
      <c r="F4218" s="253"/>
      <c r="G4218" s="251"/>
      <c r="H4218" s="433"/>
      <c r="I4218" s="278"/>
      <c r="J4218" s="257"/>
      <c r="K4218" s="253"/>
      <c r="L4218" s="253"/>
      <c r="M4218" s="252"/>
      <c r="N4218" s="258"/>
      <c r="O4218" s="259"/>
      <c r="P4218" s="259"/>
      <c r="Q4218" s="262"/>
      <c r="R4218" s="260"/>
      <c r="S4218" s="260"/>
      <c r="T4218" s="260"/>
      <c r="U4218" s="261"/>
      <c r="V4218" s="251"/>
      <c r="W4218" s="35"/>
      <c r="X4218" s="35"/>
      <c r="Y4218" s="35"/>
      <c r="Z4218" s="35"/>
      <c r="AA4218" s="35"/>
      <c r="AB4218" s="35"/>
      <c r="AC4218" s="35"/>
      <c r="AD4218" s="35"/>
      <c r="AE4218" s="35"/>
      <c r="AF4218" s="35"/>
      <c r="AG4218" s="35"/>
      <c r="AH4218" s="35"/>
      <c r="AI4218" s="35"/>
    </row>
    <row r="4219">
      <c r="A4219" s="251"/>
      <c r="B4219" s="252"/>
      <c r="C4219" s="253"/>
      <c r="D4219" s="253"/>
      <c r="E4219" s="252"/>
      <c r="F4219" s="253"/>
      <c r="G4219" s="251"/>
      <c r="H4219" s="433"/>
      <c r="I4219" s="278"/>
      <c r="J4219" s="257"/>
      <c r="K4219" s="253"/>
      <c r="L4219" s="253"/>
      <c r="M4219" s="252"/>
      <c r="N4219" s="258"/>
      <c r="O4219" s="259"/>
      <c r="P4219" s="259"/>
      <c r="Q4219" s="257"/>
      <c r="R4219" s="260"/>
      <c r="S4219" s="260"/>
      <c r="T4219" s="260"/>
      <c r="U4219" s="261"/>
      <c r="V4219" s="251"/>
      <c r="W4219" s="35"/>
      <c r="X4219" s="35"/>
      <c r="Y4219" s="35"/>
      <c r="Z4219" s="35"/>
      <c r="AA4219" s="35"/>
      <c r="AB4219" s="35"/>
      <c r="AC4219" s="35"/>
      <c r="AD4219" s="35"/>
      <c r="AE4219" s="35"/>
      <c r="AF4219" s="35"/>
      <c r="AG4219" s="35"/>
      <c r="AH4219" s="35"/>
      <c r="AI4219" s="35"/>
    </row>
    <row r="4220">
      <c r="A4220" s="251"/>
      <c r="B4220" s="252"/>
      <c r="C4220" s="253"/>
      <c r="D4220" s="253"/>
      <c r="E4220" s="252"/>
      <c r="F4220" s="253"/>
      <c r="G4220" s="251"/>
      <c r="H4220" s="433"/>
      <c r="I4220" s="278"/>
      <c r="J4220" s="257"/>
      <c r="K4220" s="253"/>
      <c r="L4220" s="253"/>
      <c r="M4220" s="252"/>
      <c r="N4220" s="258"/>
      <c r="O4220" s="259"/>
      <c r="P4220" s="259"/>
      <c r="Q4220" s="257"/>
      <c r="R4220" s="260"/>
      <c r="S4220" s="260"/>
      <c r="T4220" s="260"/>
      <c r="U4220" s="261"/>
      <c r="V4220" s="251"/>
      <c r="W4220" s="35"/>
      <c r="X4220" s="35"/>
      <c r="Y4220" s="35"/>
      <c r="Z4220" s="35"/>
      <c r="AA4220" s="35"/>
      <c r="AB4220" s="35"/>
      <c r="AC4220" s="35"/>
      <c r="AD4220" s="35"/>
      <c r="AE4220" s="35"/>
      <c r="AF4220" s="35"/>
      <c r="AG4220" s="35"/>
      <c r="AH4220" s="35"/>
      <c r="AI4220" s="35"/>
    </row>
    <row r="4221">
      <c r="A4221" s="251"/>
      <c r="B4221" s="252"/>
      <c r="C4221" s="253"/>
      <c r="D4221" s="253"/>
      <c r="E4221" s="252"/>
      <c r="F4221" s="253"/>
      <c r="G4221" s="251"/>
      <c r="H4221" s="433"/>
      <c r="I4221" s="278"/>
      <c r="J4221" s="257"/>
      <c r="K4221" s="253"/>
      <c r="L4221" s="253"/>
      <c r="M4221" s="252"/>
      <c r="N4221" s="258"/>
      <c r="O4221" s="259"/>
      <c r="P4221" s="259"/>
      <c r="Q4221" s="257"/>
      <c r="R4221" s="260"/>
      <c r="S4221" s="260"/>
      <c r="T4221" s="260"/>
      <c r="U4221" s="261"/>
      <c r="V4221" s="251"/>
      <c r="W4221" s="35"/>
      <c r="X4221" s="35"/>
      <c r="Y4221" s="35"/>
      <c r="Z4221" s="35"/>
      <c r="AA4221" s="35"/>
      <c r="AB4221" s="35"/>
      <c r="AC4221" s="35"/>
      <c r="AD4221" s="35"/>
      <c r="AE4221" s="35"/>
      <c r="AF4221" s="35"/>
      <c r="AG4221" s="35"/>
      <c r="AH4221" s="35"/>
      <c r="AI4221" s="35"/>
    </row>
    <row r="4222">
      <c r="A4222" s="251"/>
      <c r="B4222" s="252"/>
      <c r="C4222" s="253"/>
      <c r="D4222" s="253"/>
      <c r="E4222" s="252"/>
      <c r="F4222" s="253"/>
      <c r="G4222" s="251"/>
      <c r="H4222" s="433"/>
      <c r="I4222" s="278"/>
      <c r="J4222" s="257"/>
      <c r="K4222" s="253"/>
      <c r="L4222" s="253"/>
      <c r="M4222" s="275"/>
      <c r="N4222" s="258"/>
      <c r="O4222" s="259"/>
      <c r="P4222" s="259"/>
      <c r="Q4222" s="262"/>
      <c r="R4222" s="260"/>
      <c r="S4222" s="260"/>
      <c r="T4222" s="260"/>
      <c r="U4222" s="261"/>
      <c r="V4222" s="251"/>
      <c r="W4222" s="35"/>
      <c r="X4222" s="35"/>
      <c r="Y4222" s="35"/>
      <c r="Z4222" s="35"/>
      <c r="AA4222" s="35"/>
      <c r="AB4222" s="35"/>
      <c r="AC4222" s="35"/>
      <c r="AD4222" s="35"/>
      <c r="AE4222" s="35"/>
      <c r="AF4222" s="35"/>
      <c r="AG4222" s="35"/>
      <c r="AH4222" s="35"/>
      <c r="AI4222" s="35"/>
    </row>
    <row r="4223">
      <c r="A4223" s="251"/>
      <c r="B4223" s="252"/>
      <c r="C4223" s="253"/>
      <c r="D4223" s="253"/>
      <c r="E4223" s="252"/>
      <c r="F4223" s="253"/>
      <c r="G4223" s="251"/>
      <c r="H4223" s="433"/>
      <c r="I4223" s="278"/>
      <c r="J4223" s="257"/>
      <c r="K4223" s="253"/>
      <c r="L4223" s="253"/>
      <c r="M4223" s="252"/>
      <c r="N4223" s="258"/>
      <c r="O4223" s="259"/>
      <c r="P4223" s="259"/>
      <c r="Q4223" s="262"/>
      <c r="R4223" s="260"/>
      <c r="S4223" s="260"/>
      <c r="T4223" s="260"/>
      <c r="U4223" s="261"/>
      <c r="V4223" s="251"/>
      <c r="W4223" s="35"/>
      <c r="X4223" s="35"/>
      <c r="Y4223" s="35"/>
      <c r="Z4223" s="35"/>
      <c r="AA4223" s="35"/>
      <c r="AB4223" s="35"/>
      <c r="AC4223" s="35"/>
      <c r="AD4223" s="35"/>
      <c r="AE4223" s="35"/>
      <c r="AF4223" s="35"/>
      <c r="AG4223" s="35"/>
      <c r="AH4223" s="35"/>
      <c r="AI4223" s="35"/>
    </row>
    <row r="4224">
      <c r="A4224" s="251"/>
      <c r="B4224" s="252"/>
      <c r="C4224" s="253"/>
      <c r="D4224" s="253"/>
      <c r="E4224" s="252"/>
      <c r="F4224" s="253"/>
      <c r="G4224" s="251"/>
      <c r="H4224" s="433"/>
      <c r="I4224" s="278"/>
      <c r="J4224" s="257"/>
      <c r="K4224" s="253"/>
      <c r="L4224" s="253"/>
      <c r="M4224" s="252"/>
      <c r="N4224" s="258"/>
      <c r="O4224" s="259"/>
      <c r="P4224" s="259"/>
      <c r="Q4224" s="262"/>
      <c r="R4224" s="260"/>
      <c r="S4224" s="260"/>
      <c r="T4224" s="260"/>
      <c r="U4224" s="261"/>
      <c r="V4224" s="251"/>
      <c r="W4224" s="35"/>
      <c r="X4224" s="35"/>
      <c r="Y4224" s="35"/>
      <c r="Z4224" s="35"/>
      <c r="AA4224" s="35"/>
      <c r="AB4224" s="35"/>
      <c r="AC4224" s="35"/>
      <c r="AD4224" s="35"/>
      <c r="AE4224" s="35"/>
      <c r="AF4224" s="35"/>
      <c r="AG4224" s="35"/>
      <c r="AH4224" s="35"/>
      <c r="AI4224" s="35"/>
    </row>
    <row r="4225">
      <c r="A4225" s="251"/>
      <c r="B4225" s="252"/>
      <c r="C4225" s="253"/>
      <c r="D4225" s="253"/>
      <c r="E4225" s="252"/>
      <c r="F4225" s="253"/>
      <c r="G4225" s="251"/>
      <c r="H4225" s="433"/>
      <c r="I4225" s="278"/>
      <c r="J4225" s="257"/>
      <c r="K4225" s="253"/>
      <c r="L4225" s="253"/>
      <c r="M4225" s="252"/>
      <c r="N4225" s="258"/>
      <c r="O4225" s="259"/>
      <c r="P4225" s="259"/>
      <c r="Q4225" s="262"/>
      <c r="R4225" s="260"/>
      <c r="S4225" s="260"/>
      <c r="T4225" s="260"/>
      <c r="U4225" s="261"/>
      <c r="V4225" s="251"/>
      <c r="W4225" s="35"/>
      <c r="X4225" s="35"/>
      <c r="Y4225" s="35"/>
      <c r="Z4225" s="35"/>
      <c r="AA4225" s="35"/>
      <c r="AB4225" s="35"/>
      <c r="AC4225" s="35"/>
      <c r="AD4225" s="35"/>
      <c r="AE4225" s="35"/>
      <c r="AF4225" s="35"/>
      <c r="AG4225" s="35"/>
      <c r="AH4225" s="35"/>
      <c r="AI4225" s="35"/>
    </row>
    <row r="4226">
      <c r="A4226" s="251"/>
      <c r="B4226" s="252"/>
      <c r="C4226" s="253"/>
      <c r="D4226" s="253"/>
      <c r="E4226" s="252"/>
      <c r="F4226" s="253"/>
      <c r="G4226" s="251"/>
      <c r="H4226" s="433"/>
      <c r="I4226" s="278"/>
      <c r="J4226" s="257"/>
      <c r="K4226" s="253"/>
      <c r="L4226" s="253"/>
      <c r="M4226" s="252"/>
      <c r="N4226" s="258"/>
      <c r="O4226" s="259"/>
      <c r="P4226" s="259"/>
      <c r="Q4226" s="262"/>
      <c r="R4226" s="260"/>
      <c r="S4226" s="260"/>
      <c r="T4226" s="260"/>
      <c r="U4226" s="261"/>
      <c r="V4226" s="251"/>
      <c r="W4226" s="35"/>
      <c r="X4226" s="35"/>
      <c r="Y4226" s="35"/>
      <c r="Z4226" s="35"/>
      <c r="AA4226" s="35"/>
      <c r="AB4226" s="35"/>
      <c r="AC4226" s="35"/>
      <c r="AD4226" s="35"/>
      <c r="AE4226" s="35"/>
      <c r="AF4226" s="35"/>
      <c r="AG4226" s="35"/>
      <c r="AH4226" s="35"/>
      <c r="AI4226" s="35"/>
    </row>
    <row r="4227">
      <c r="A4227" s="251"/>
      <c r="B4227" s="252"/>
      <c r="C4227" s="253"/>
      <c r="D4227" s="253"/>
      <c r="E4227" s="252"/>
      <c r="F4227" s="253"/>
      <c r="G4227" s="251"/>
      <c r="H4227" s="433"/>
      <c r="I4227" s="278"/>
      <c r="J4227" s="257"/>
      <c r="K4227" s="253"/>
      <c r="L4227" s="253"/>
      <c r="M4227" s="252"/>
      <c r="N4227" s="258"/>
      <c r="O4227" s="259"/>
      <c r="P4227" s="259"/>
      <c r="Q4227" s="262"/>
      <c r="R4227" s="260"/>
      <c r="S4227" s="260"/>
      <c r="T4227" s="260"/>
      <c r="U4227" s="261"/>
      <c r="V4227" s="251"/>
      <c r="W4227" s="35"/>
      <c r="X4227" s="35"/>
      <c r="Y4227" s="35"/>
      <c r="Z4227" s="35"/>
      <c r="AA4227" s="35"/>
      <c r="AB4227" s="35"/>
      <c r="AC4227" s="35"/>
      <c r="AD4227" s="35"/>
      <c r="AE4227" s="35"/>
      <c r="AF4227" s="35"/>
      <c r="AG4227" s="35"/>
      <c r="AH4227" s="35"/>
      <c r="AI4227" s="35"/>
    </row>
    <row r="4228">
      <c r="A4228" s="251"/>
      <c r="B4228" s="252"/>
      <c r="C4228" s="253"/>
      <c r="D4228" s="253"/>
      <c r="E4228" s="252"/>
      <c r="F4228" s="253"/>
      <c r="G4228" s="251"/>
      <c r="H4228" s="433"/>
      <c r="I4228" s="278"/>
      <c r="J4228" s="257"/>
      <c r="K4228" s="253"/>
      <c r="L4228" s="253"/>
      <c r="M4228" s="252"/>
      <c r="N4228" s="258"/>
      <c r="O4228" s="259"/>
      <c r="P4228" s="259"/>
      <c r="Q4228" s="262"/>
      <c r="R4228" s="260"/>
      <c r="S4228" s="260"/>
      <c r="T4228" s="260"/>
      <c r="U4228" s="261"/>
      <c r="V4228" s="251"/>
      <c r="W4228" s="35"/>
      <c r="X4228" s="35"/>
      <c r="Y4228" s="35"/>
      <c r="Z4228" s="35"/>
      <c r="AA4228" s="35"/>
      <c r="AB4228" s="35"/>
      <c r="AC4228" s="35"/>
      <c r="AD4228" s="35"/>
      <c r="AE4228" s="35"/>
      <c r="AF4228" s="35"/>
      <c r="AG4228" s="35"/>
      <c r="AH4228" s="35"/>
      <c r="AI4228" s="35"/>
    </row>
    <row r="4229">
      <c r="A4229" s="251"/>
      <c r="B4229" s="252"/>
      <c r="C4229" s="253"/>
      <c r="D4229" s="253"/>
      <c r="E4229" s="252"/>
      <c r="F4229" s="253"/>
      <c r="G4229" s="251"/>
      <c r="H4229" s="433"/>
      <c r="I4229" s="278"/>
      <c r="J4229" s="257"/>
      <c r="K4229" s="253"/>
      <c r="L4229" s="253"/>
      <c r="M4229" s="252"/>
      <c r="N4229" s="258"/>
      <c r="O4229" s="259"/>
      <c r="P4229" s="259"/>
      <c r="Q4229" s="262"/>
      <c r="R4229" s="260"/>
      <c r="S4229" s="260"/>
      <c r="T4229" s="260"/>
      <c r="U4229" s="261"/>
      <c r="V4229" s="251"/>
      <c r="W4229" s="35"/>
      <c r="X4229" s="35"/>
      <c r="Y4229" s="35"/>
      <c r="Z4229" s="35"/>
      <c r="AA4229" s="35"/>
      <c r="AB4229" s="35"/>
      <c r="AC4229" s="35"/>
      <c r="AD4229" s="35"/>
      <c r="AE4229" s="35"/>
      <c r="AF4229" s="35"/>
      <c r="AG4229" s="35"/>
      <c r="AH4229" s="35"/>
      <c r="AI4229" s="35"/>
    </row>
    <row r="4230">
      <c r="A4230" s="263"/>
      <c r="B4230" s="264"/>
      <c r="C4230" s="265"/>
      <c r="D4230" s="265"/>
      <c r="E4230" s="264"/>
      <c r="F4230" s="265"/>
      <c r="G4230" s="263"/>
      <c r="H4230" s="432"/>
      <c r="I4230" s="282"/>
      <c r="J4230" s="283"/>
      <c r="K4230" s="265"/>
      <c r="L4230" s="265"/>
      <c r="M4230" s="269"/>
      <c r="N4230" s="270"/>
      <c r="O4230" s="271"/>
      <c r="P4230" s="271"/>
      <c r="Q4230" s="272"/>
      <c r="R4230" s="273"/>
      <c r="S4230" s="273"/>
      <c r="T4230" s="273"/>
      <c r="U4230" s="274"/>
      <c r="V4230" s="263"/>
      <c r="W4230" s="35"/>
      <c r="X4230" s="35"/>
      <c r="Y4230" s="35"/>
      <c r="Z4230" s="35"/>
      <c r="AA4230" s="35"/>
      <c r="AB4230" s="35"/>
      <c r="AC4230" s="35"/>
      <c r="AD4230" s="35"/>
      <c r="AE4230" s="35"/>
      <c r="AF4230" s="35"/>
      <c r="AG4230" s="35"/>
      <c r="AH4230" s="35"/>
      <c r="AI4230" s="35"/>
    </row>
    <row r="4231">
      <c r="A4231" s="251"/>
      <c r="B4231" s="252"/>
      <c r="C4231" s="253"/>
      <c r="D4231" s="253"/>
      <c r="E4231" s="252"/>
      <c r="F4231" s="253"/>
      <c r="G4231" s="251"/>
      <c r="H4231" s="433"/>
      <c r="I4231" s="278"/>
      <c r="J4231" s="257"/>
      <c r="K4231" s="253"/>
      <c r="L4231" s="253"/>
      <c r="M4231" s="252"/>
      <c r="N4231" s="258"/>
      <c r="O4231" s="259"/>
      <c r="P4231" s="259"/>
      <c r="Q4231" s="262"/>
      <c r="R4231" s="260"/>
      <c r="S4231" s="260"/>
      <c r="T4231" s="260"/>
      <c r="U4231" s="261"/>
      <c r="V4231" s="251"/>
      <c r="W4231" s="35"/>
      <c r="X4231" s="35"/>
      <c r="Y4231" s="35"/>
      <c r="Z4231" s="35"/>
      <c r="AA4231" s="35"/>
      <c r="AB4231" s="35"/>
      <c r="AC4231" s="35"/>
      <c r="AD4231" s="35"/>
      <c r="AE4231" s="35"/>
      <c r="AF4231" s="35"/>
      <c r="AG4231" s="35"/>
      <c r="AH4231" s="35"/>
      <c r="AI4231" s="35"/>
    </row>
    <row r="4232">
      <c r="A4232" s="251"/>
      <c r="B4232" s="252"/>
      <c r="C4232" s="253"/>
      <c r="D4232" s="253"/>
      <c r="E4232" s="252"/>
      <c r="F4232" s="253"/>
      <c r="G4232" s="251"/>
      <c r="H4232" s="433"/>
      <c r="I4232" s="278"/>
      <c r="J4232" s="257"/>
      <c r="K4232" s="253"/>
      <c r="L4232" s="253"/>
      <c r="M4232" s="252"/>
      <c r="N4232" s="258"/>
      <c r="O4232" s="259"/>
      <c r="P4232" s="259"/>
      <c r="Q4232" s="262"/>
      <c r="R4232" s="260"/>
      <c r="S4232" s="260"/>
      <c r="T4232" s="260"/>
      <c r="U4232" s="261"/>
      <c r="V4232" s="251"/>
      <c r="W4232" s="35"/>
      <c r="X4232" s="35"/>
      <c r="Y4232" s="35"/>
      <c r="Z4232" s="35"/>
      <c r="AA4232" s="35"/>
      <c r="AB4232" s="35"/>
      <c r="AC4232" s="35"/>
      <c r="AD4232" s="35"/>
      <c r="AE4232" s="35"/>
      <c r="AF4232" s="35"/>
      <c r="AG4232" s="35"/>
      <c r="AH4232" s="35"/>
      <c r="AI4232" s="35"/>
    </row>
    <row r="4233">
      <c r="A4233" s="251"/>
      <c r="B4233" s="252"/>
      <c r="C4233" s="253"/>
      <c r="D4233" s="253"/>
      <c r="E4233" s="252"/>
      <c r="F4233" s="253"/>
      <c r="G4233" s="251"/>
      <c r="H4233" s="433"/>
      <c r="I4233" s="278"/>
      <c r="J4233" s="257"/>
      <c r="K4233" s="253"/>
      <c r="L4233" s="253"/>
      <c r="M4233" s="252"/>
      <c r="N4233" s="258"/>
      <c r="O4233" s="259"/>
      <c r="P4233" s="259"/>
      <c r="Q4233" s="262"/>
      <c r="R4233" s="260"/>
      <c r="S4233" s="260"/>
      <c r="T4233" s="260"/>
      <c r="U4233" s="261"/>
      <c r="V4233" s="251"/>
      <c r="W4233" s="35"/>
      <c r="X4233" s="35"/>
      <c r="Y4233" s="35"/>
      <c r="Z4233" s="35"/>
      <c r="AA4233" s="35"/>
      <c r="AB4233" s="35"/>
      <c r="AC4233" s="35"/>
      <c r="AD4233" s="35"/>
      <c r="AE4233" s="35"/>
      <c r="AF4233" s="35"/>
      <c r="AG4233" s="35"/>
      <c r="AH4233" s="35"/>
      <c r="AI4233" s="35"/>
    </row>
    <row r="4234">
      <c r="A4234" s="251"/>
      <c r="B4234" s="252"/>
      <c r="C4234" s="253"/>
      <c r="D4234" s="253"/>
      <c r="E4234" s="252"/>
      <c r="F4234" s="253"/>
      <c r="G4234" s="251"/>
      <c r="H4234" s="433"/>
      <c r="I4234" s="278"/>
      <c r="J4234" s="257"/>
      <c r="K4234" s="253"/>
      <c r="L4234" s="253"/>
      <c r="M4234" s="252"/>
      <c r="N4234" s="258"/>
      <c r="O4234" s="259"/>
      <c r="P4234" s="259"/>
      <c r="Q4234" s="262"/>
      <c r="R4234" s="260"/>
      <c r="S4234" s="260"/>
      <c r="T4234" s="260"/>
      <c r="U4234" s="253"/>
      <c r="V4234" s="251"/>
      <c r="W4234" s="35"/>
      <c r="X4234" s="35"/>
      <c r="Y4234" s="35"/>
      <c r="Z4234" s="35"/>
      <c r="AA4234" s="35"/>
      <c r="AB4234" s="35"/>
      <c r="AC4234" s="35"/>
      <c r="AD4234" s="35"/>
      <c r="AE4234" s="35"/>
      <c r="AF4234" s="35"/>
      <c r="AG4234" s="35"/>
      <c r="AH4234" s="35"/>
      <c r="AI4234" s="35"/>
    </row>
    <row r="4235">
      <c r="A4235" s="251"/>
      <c r="B4235" s="252"/>
      <c r="C4235" s="253"/>
      <c r="D4235" s="253"/>
      <c r="E4235" s="252"/>
      <c r="F4235" s="253"/>
      <c r="G4235" s="251"/>
      <c r="H4235" s="433"/>
      <c r="I4235" s="278"/>
      <c r="J4235" s="257"/>
      <c r="K4235" s="253"/>
      <c r="L4235" s="253"/>
      <c r="M4235" s="252"/>
      <c r="N4235" s="258"/>
      <c r="O4235" s="259"/>
      <c r="P4235" s="259"/>
      <c r="Q4235" s="262"/>
      <c r="R4235" s="260"/>
      <c r="S4235" s="260"/>
      <c r="T4235" s="260"/>
      <c r="U4235" s="261"/>
      <c r="V4235" s="251"/>
      <c r="W4235" s="35"/>
      <c r="X4235" s="35"/>
      <c r="Y4235" s="35"/>
      <c r="Z4235" s="35"/>
      <c r="AA4235" s="35"/>
      <c r="AB4235" s="35"/>
      <c r="AC4235" s="35"/>
      <c r="AD4235" s="35"/>
      <c r="AE4235" s="35"/>
      <c r="AF4235" s="35"/>
      <c r="AG4235" s="35"/>
      <c r="AH4235" s="35"/>
      <c r="AI4235" s="35"/>
    </row>
    <row r="4236">
      <c r="A4236" s="251"/>
      <c r="B4236" s="252"/>
      <c r="C4236" s="253"/>
      <c r="D4236" s="253"/>
      <c r="E4236" s="252"/>
      <c r="F4236" s="253"/>
      <c r="G4236" s="251"/>
      <c r="H4236" s="433"/>
      <c r="I4236" s="278"/>
      <c r="J4236" s="257"/>
      <c r="K4236" s="253"/>
      <c r="L4236" s="253"/>
      <c r="M4236" s="252"/>
      <c r="N4236" s="258"/>
      <c r="O4236" s="259"/>
      <c r="P4236" s="259"/>
      <c r="Q4236" s="262"/>
      <c r="R4236" s="260"/>
      <c r="S4236" s="260"/>
      <c r="T4236" s="260"/>
      <c r="U4236" s="261"/>
      <c r="V4236" s="251"/>
      <c r="W4236" s="35"/>
      <c r="X4236" s="35"/>
      <c r="Y4236" s="35"/>
      <c r="Z4236" s="35"/>
      <c r="AA4236" s="35"/>
      <c r="AB4236" s="35"/>
      <c r="AC4236" s="35"/>
      <c r="AD4236" s="35"/>
      <c r="AE4236" s="35"/>
      <c r="AF4236" s="35"/>
      <c r="AG4236" s="35"/>
      <c r="AH4236" s="35"/>
      <c r="AI4236" s="35"/>
    </row>
    <row r="4237">
      <c r="A4237" s="251"/>
      <c r="B4237" s="252"/>
      <c r="C4237" s="253"/>
      <c r="D4237" s="253"/>
      <c r="E4237" s="252"/>
      <c r="F4237" s="253"/>
      <c r="G4237" s="251"/>
      <c r="H4237" s="433"/>
      <c r="I4237" s="278"/>
      <c r="J4237" s="257"/>
      <c r="K4237" s="253"/>
      <c r="L4237" s="253"/>
      <c r="M4237" s="252"/>
      <c r="N4237" s="258"/>
      <c r="O4237" s="259"/>
      <c r="P4237" s="259"/>
      <c r="Q4237" s="262"/>
      <c r="R4237" s="260"/>
      <c r="S4237" s="260"/>
      <c r="T4237" s="260"/>
      <c r="U4237" s="261"/>
      <c r="V4237" s="251"/>
      <c r="W4237" s="35"/>
      <c r="X4237" s="35"/>
      <c r="Y4237" s="35"/>
      <c r="Z4237" s="35"/>
      <c r="AA4237" s="35"/>
      <c r="AB4237" s="35"/>
      <c r="AC4237" s="35"/>
      <c r="AD4237" s="35"/>
      <c r="AE4237" s="35"/>
      <c r="AF4237" s="35"/>
      <c r="AG4237" s="35"/>
      <c r="AH4237" s="35"/>
      <c r="AI4237" s="35"/>
    </row>
    <row r="4238">
      <c r="A4238" s="251"/>
      <c r="B4238" s="252"/>
      <c r="C4238" s="253"/>
      <c r="D4238" s="253"/>
      <c r="E4238" s="252"/>
      <c r="F4238" s="253"/>
      <c r="G4238" s="251"/>
      <c r="H4238" s="433"/>
      <c r="I4238" s="278"/>
      <c r="J4238" s="257"/>
      <c r="K4238" s="253"/>
      <c r="L4238" s="253"/>
      <c r="M4238" s="252"/>
      <c r="N4238" s="258"/>
      <c r="O4238" s="259"/>
      <c r="P4238" s="259"/>
      <c r="Q4238" s="262"/>
      <c r="R4238" s="260"/>
      <c r="S4238" s="260"/>
      <c r="T4238" s="260"/>
      <c r="U4238" s="261"/>
      <c r="V4238" s="251"/>
      <c r="W4238" s="35"/>
      <c r="X4238" s="35"/>
      <c r="Y4238" s="35"/>
      <c r="Z4238" s="35"/>
      <c r="AA4238" s="35"/>
      <c r="AB4238" s="35"/>
      <c r="AC4238" s="35"/>
      <c r="AD4238" s="35"/>
      <c r="AE4238" s="35"/>
      <c r="AF4238" s="35"/>
      <c r="AG4238" s="35"/>
      <c r="AH4238" s="35"/>
      <c r="AI4238" s="35"/>
    </row>
    <row r="4239">
      <c r="A4239" s="251"/>
      <c r="B4239" s="252"/>
      <c r="C4239" s="253"/>
      <c r="D4239" s="253"/>
      <c r="E4239" s="252"/>
      <c r="F4239" s="253"/>
      <c r="G4239" s="251"/>
      <c r="H4239" s="433"/>
      <c r="I4239" s="278"/>
      <c r="J4239" s="257"/>
      <c r="K4239" s="253"/>
      <c r="L4239" s="253"/>
      <c r="M4239" s="252"/>
      <c r="N4239" s="258"/>
      <c r="O4239" s="259"/>
      <c r="P4239" s="259"/>
      <c r="Q4239" s="262"/>
      <c r="R4239" s="260"/>
      <c r="S4239" s="260"/>
      <c r="T4239" s="260"/>
      <c r="U4239" s="261"/>
      <c r="V4239" s="251"/>
      <c r="W4239" s="35"/>
      <c r="X4239" s="35"/>
      <c r="Y4239" s="35"/>
      <c r="Z4239" s="35"/>
      <c r="AA4239" s="35"/>
      <c r="AB4239" s="35"/>
      <c r="AC4239" s="35"/>
      <c r="AD4239" s="35"/>
      <c r="AE4239" s="35"/>
      <c r="AF4239" s="35"/>
      <c r="AG4239" s="35"/>
      <c r="AH4239" s="35"/>
      <c r="AI4239" s="35"/>
    </row>
    <row r="4240">
      <c r="A4240" s="263"/>
      <c r="B4240" s="264"/>
      <c r="C4240" s="265"/>
      <c r="D4240" s="265"/>
      <c r="E4240" s="264"/>
      <c r="F4240" s="265"/>
      <c r="G4240" s="263"/>
      <c r="H4240" s="432"/>
      <c r="I4240" s="282"/>
      <c r="J4240" s="283"/>
      <c r="K4240" s="265"/>
      <c r="L4240" s="265"/>
      <c r="M4240" s="269"/>
      <c r="N4240" s="270"/>
      <c r="O4240" s="271"/>
      <c r="P4240" s="271"/>
      <c r="Q4240" s="272"/>
      <c r="R4240" s="273"/>
      <c r="S4240" s="273"/>
      <c r="T4240" s="273"/>
      <c r="U4240" s="274"/>
      <c r="V4240" s="263"/>
      <c r="W4240" s="35"/>
      <c r="X4240" s="35"/>
      <c r="Y4240" s="35"/>
      <c r="Z4240" s="35"/>
      <c r="AA4240" s="35"/>
      <c r="AB4240" s="35"/>
      <c r="AC4240" s="35"/>
      <c r="AD4240" s="35"/>
      <c r="AE4240" s="35"/>
      <c r="AF4240" s="35"/>
      <c r="AG4240" s="35"/>
      <c r="AH4240" s="35"/>
      <c r="AI4240" s="35"/>
    </row>
    <row r="4241">
      <c r="A4241" s="251"/>
      <c r="B4241" s="252"/>
      <c r="C4241" s="253"/>
      <c r="D4241" s="253"/>
      <c r="E4241" s="252"/>
      <c r="F4241" s="253"/>
      <c r="G4241" s="251"/>
      <c r="H4241" s="433"/>
      <c r="I4241" s="278"/>
      <c r="J4241" s="257"/>
      <c r="K4241" s="253"/>
      <c r="L4241" s="253"/>
      <c r="M4241" s="252"/>
      <c r="N4241" s="258"/>
      <c r="O4241" s="259"/>
      <c r="P4241" s="259"/>
      <c r="Q4241" s="262"/>
      <c r="R4241" s="260"/>
      <c r="S4241" s="260"/>
      <c r="T4241" s="260"/>
      <c r="U4241" s="261"/>
      <c r="V4241" s="251"/>
      <c r="W4241" s="35"/>
      <c r="X4241" s="35"/>
      <c r="Y4241" s="35"/>
      <c r="Z4241" s="35"/>
      <c r="AA4241" s="35"/>
      <c r="AB4241" s="35"/>
      <c r="AC4241" s="35"/>
      <c r="AD4241" s="35"/>
      <c r="AE4241" s="35"/>
      <c r="AF4241" s="35"/>
      <c r="AG4241" s="35"/>
      <c r="AH4241" s="35"/>
      <c r="AI4241" s="35"/>
    </row>
    <row r="4242">
      <c r="A4242" s="251"/>
      <c r="B4242" s="252"/>
      <c r="C4242" s="253"/>
      <c r="D4242" s="253"/>
      <c r="E4242" s="252"/>
      <c r="F4242" s="253"/>
      <c r="G4242" s="251"/>
      <c r="H4242" s="433"/>
      <c r="I4242" s="278"/>
      <c r="J4242" s="257"/>
      <c r="K4242" s="253"/>
      <c r="L4242" s="253"/>
      <c r="M4242" s="252"/>
      <c r="N4242" s="258"/>
      <c r="O4242" s="259"/>
      <c r="P4242" s="259"/>
      <c r="Q4242" s="262"/>
      <c r="R4242" s="260"/>
      <c r="S4242" s="260"/>
      <c r="T4242" s="260"/>
      <c r="U4242" s="261"/>
      <c r="V4242" s="251"/>
      <c r="W4242" s="35"/>
      <c r="X4242" s="35"/>
      <c r="Y4242" s="35"/>
      <c r="Z4242" s="35"/>
      <c r="AA4242" s="35"/>
      <c r="AB4242" s="35"/>
      <c r="AC4242" s="35"/>
      <c r="AD4242" s="35"/>
      <c r="AE4242" s="35"/>
      <c r="AF4242" s="35"/>
      <c r="AG4242" s="35"/>
      <c r="AH4242" s="35"/>
      <c r="AI4242" s="35"/>
    </row>
    <row r="4243">
      <c r="A4243" s="251"/>
      <c r="B4243" s="252"/>
      <c r="C4243" s="253"/>
      <c r="D4243" s="253"/>
      <c r="E4243" s="252"/>
      <c r="F4243" s="253"/>
      <c r="G4243" s="251"/>
      <c r="H4243" s="433"/>
      <c r="I4243" s="278"/>
      <c r="J4243" s="257"/>
      <c r="K4243" s="253"/>
      <c r="L4243" s="253"/>
      <c r="M4243" s="275"/>
      <c r="N4243" s="258"/>
      <c r="O4243" s="259"/>
      <c r="P4243" s="259"/>
      <c r="Q4243" s="262"/>
      <c r="R4243" s="260"/>
      <c r="S4243" s="260"/>
      <c r="T4243" s="260"/>
      <c r="U4243" s="261"/>
      <c r="V4243" s="251"/>
      <c r="W4243" s="35"/>
      <c r="X4243" s="35"/>
      <c r="Y4243" s="35"/>
      <c r="Z4243" s="35"/>
      <c r="AA4243" s="35"/>
      <c r="AB4243" s="35"/>
      <c r="AC4243" s="35"/>
      <c r="AD4243" s="35"/>
      <c r="AE4243" s="35"/>
      <c r="AF4243" s="35"/>
      <c r="AG4243" s="35"/>
      <c r="AH4243" s="35"/>
      <c r="AI4243" s="35"/>
    </row>
    <row r="4244">
      <c r="A4244" s="251"/>
      <c r="B4244" s="252"/>
      <c r="C4244" s="253"/>
      <c r="D4244" s="253"/>
      <c r="E4244" s="252"/>
      <c r="F4244" s="253"/>
      <c r="G4244" s="251"/>
      <c r="H4244" s="433"/>
      <c r="I4244" s="278"/>
      <c r="J4244" s="257"/>
      <c r="K4244" s="253"/>
      <c r="L4244" s="253"/>
      <c r="M4244" s="252"/>
      <c r="N4244" s="258"/>
      <c r="O4244" s="259"/>
      <c r="P4244" s="259"/>
      <c r="Q4244" s="262"/>
      <c r="R4244" s="260"/>
      <c r="S4244" s="260"/>
      <c r="T4244" s="260"/>
      <c r="U4244" s="261"/>
      <c r="V4244" s="251"/>
      <c r="W4244" s="35"/>
      <c r="X4244" s="35"/>
      <c r="Y4244" s="35"/>
      <c r="Z4244" s="35"/>
      <c r="AA4244" s="35"/>
      <c r="AB4244" s="35"/>
      <c r="AC4244" s="35"/>
      <c r="AD4244" s="35"/>
      <c r="AE4244" s="35"/>
      <c r="AF4244" s="35"/>
      <c r="AG4244" s="35"/>
      <c r="AH4244" s="35"/>
      <c r="AI4244" s="35"/>
    </row>
    <row r="4245">
      <c r="A4245" s="251"/>
      <c r="B4245" s="252"/>
      <c r="C4245" s="253"/>
      <c r="D4245" s="253"/>
      <c r="E4245" s="252"/>
      <c r="F4245" s="253"/>
      <c r="G4245" s="251"/>
      <c r="H4245" s="433"/>
      <c r="I4245" s="278"/>
      <c r="J4245" s="257"/>
      <c r="K4245" s="253"/>
      <c r="L4245" s="253"/>
      <c r="M4245" s="275"/>
      <c r="N4245" s="258"/>
      <c r="O4245" s="259"/>
      <c r="P4245" s="259"/>
      <c r="Q4245" s="262"/>
      <c r="R4245" s="260"/>
      <c r="S4245" s="260"/>
      <c r="T4245" s="260"/>
      <c r="U4245" s="261"/>
      <c r="V4245" s="251"/>
      <c r="W4245" s="35"/>
      <c r="X4245" s="35"/>
      <c r="Y4245" s="35"/>
      <c r="Z4245" s="35"/>
      <c r="AA4245" s="35"/>
      <c r="AB4245" s="35"/>
      <c r="AC4245" s="35"/>
      <c r="AD4245" s="35"/>
      <c r="AE4245" s="35"/>
      <c r="AF4245" s="35"/>
      <c r="AG4245" s="35"/>
      <c r="AH4245" s="35"/>
      <c r="AI4245" s="35"/>
    </row>
    <row r="4246">
      <c r="A4246" s="251"/>
      <c r="B4246" s="252"/>
      <c r="C4246" s="253"/>
      <c r="D4246" s="253"/>
      <c r="E4246" s="252"/>
      <c r="F4246" s="253"/>
      <c r="G4246" s="251"/>
      <c r="H4246" s="433"/>
      <c r="I4246" s="278"/>
      <c r="J4246" s="257"/>
      <c r="K4246" s="253"/>
      <c r="L4246" s="253"/>
      <c r="M4246" s="252"/>
      <c r="N4246" s="258"/>
      <c r="O4246" s="259"/>
      <c r="P4246" s="259"/>
      <c r="Q4246" s="262"/>
      <c r="R4246" s="260"/>
      <c r="S4246" s="260"/>
      <c r="T4246" s="260"/>
      <c r="U4246" s="261"/>
      <c r="V4246" s="251"/>
      <c r="W4246" s="35"/>
      <c r="X4246" s="35"/>
      <c r="Y4246" s="35"/>
      <c r="Z4246" s="35"/>
      <c r="AA4246" s="35"/>
      <c r="AB4246" s="35"/>
      <c r="AC4246" s="35"/>
      <c r="AD4246" s="35"/>
      <c r="AE4246" s="35"/>
      <c r="AF4246" s="35"/>
      <c r="AG4246" s="35"/>
      <c r="AH4246" s="35"/>
      <c r="AI4246" s="35"/>
    </row>
    <row r="4247">
      <c r="A4247" s="251"/>
      <c r="B4247" s="252"/>
      <c r="C4247" s="253"/>
      <c r="D4247" s="253"/>
      <c r="E4247" s="252"/>
      <c r="F4247" s="253"/>
      <c r="G4247" s="251"/>
      <c r="H4247" s="433"/>
      <c r="I4247" s="278"/>
      <c r="J4247" s="257"/>
      <c r="K4247" s="253"/>
      <c r="L4247" s="253"/>
      <c r="M4247" s="252"/>
      <c r="N4247" s="258"/>
      <c r="O4247" s="259"/>
      <c r="P4247" s="259"/>
      <c r="Q4247" s="262"/>
      <c r="R4247" s="260"/>
      <c r="S4247" s="260"/>
      <c r="T4247" s="260"/>
      <c r="U4247" s="261"/>
      <c r="V4247" s="251"/>
      <c r="W4247" s="35"/>
      <c r="X4247" s="35"/>
      <c r="Y4247" s="35"/>
      <c r="Z4247" s="35"/>
      <c r="AA4247" s="35"/>
      <c r="AB4247" s="35"/>
      <c r="AC4247" s="35"/>
      <c r="AD4247" s="35"/>
      <c r="AE4247" s="35"/>
      <c r="AF4247" s="35"/>
      <c r="AG4247" s="35"/>
      <c r="AH4247" s="35"/>
      <c r="AI4247" s="35"/>
    </row>
    <row r="4248">
      <c r="A4248" s="251"/>
      <c r="B4248" s="252"/>
      <c r="C4248" s="253"/>
      <c r="D4248" s="253"/>
      <c r="E4248" s="252"/>
      <c r="F4248" s="253"/>
      <c r="G4248" s="251"/>
      <c r="H4248" s="433"/>
      <c r="I4248" s="278"/>
      <c r="J4248" s="257"/>
      <c r="K4248" s="253"/>
      <c r="L4248" s="253"/>
      <c r="M4248" s="252"/>
      <c r="N4248" s="258"/>
      <c r="O4248" s="259"/>
      <c r="P4248" s="259"/>
      <c r="Q4248" s="262"/>
      <c r="R4248" s="260"/>
      <c r="S4248" s="260"/>
      <c r="T4248" s="260"/>
      <c r="U4248" s="261"/>
      <c r="V4248" s="251"/>
      <c r="W4248" s="35"/>
      <c r="X4248" s="35"/>
      <c r="Y4248" s="35"/>
      <c r="Z4248" s="35"/>
      <c r="AA4248" s="35"/>
      <c r="AB4248" s="35"/>
      <c r="AC4248" s="35"/>
      <c r="AD4248" s="35"/>
      <c r="AE4248" s="35"/>
      <c r="AF4248" s="35"/>
      <c r="AG4248" s="35"/>
      <c r="AH4248" s="35"/>
      <c r="AI4248" s="35"/>
    </row>
    <row r="4249">
      <c r="A4249" s="251"/>
      <c r="B4249" s="252"/>
      <c r="C4249" s="253"/>
      <c r="D4249" s="253"/>
      <c r="E4249" s="252"/>
      <c r="F4249" s="253"/>
      <c r="G4249" s="251"/>
      <c r="H4249" s="433"/>
      <c r="I4249" s="278"/>
      <c r="J4249" s="257"/>
      <c r="K4249" s="253"/>
      <c r="L4249" s="253"/>
      <c r="M4249" s="252"/>
      <c r="N4249" s="258"/>
      <c r="O4249" s="259"/>
      <c r="P4249" s="259"/>
      <c r="Q4249" s="262"/>
      <c r="R4249" s="260"/>
      <c r="S4249" s="260"/>
      <c r="T4249" s="260"/>
      <c r="U4249" s="261"/>
      <c r="V4249" s="251"/>
      <c r="W4249" s="35"/>
      <c r="X4249" s="35"/>
      <c r="Y4249" s="35"/>
      <c r="Z4249" s="35"/>
      <c r="AA4249" s="35"/>
      <c r="AB4249" s="35"/>
      <c r="AC4249" s="35"/>
      <c r="AD4249" s="35"/>
      <c r="AE4249" s="35"/>
      <c r="AF4249" s="35"/>
      <c r="AG4249" s="35"/>
      <c r="AH4249" s="35"/>
      <c r="AI4249" s="35"/>
    </row>
    <row r="4250">
      <c r="A4250" s="251"/>
      <c r="B4250" s="252"/>
      <c r="C4250" s="253"/>
      <c r="D4250" s="253"/>
      <c r="E4250" s="252"/>
      <c r="F4250" s="253"/>
      <c r="G4250" s="251"/>
      <c r="H4250" s="433"/>
      <c r="I4250" s="278"/>
      <c r="J4250" s="257"/>
      <c r="K4250" s="253"/>
      <c r="L4250" s="253"/>
      <c r="M4250" s="275"/>
      <c r="N4250" s="258"/>
      <c r="O4250" s="259"/>
      <c r="P4250" s="259"/>
      <c r="Q4250" s="262"/>
      <c r="R4250" s="260"/>
      <c r="S4250" s="260"/>
      <c r="T4250" s="260"/>
      <c r="U4250" s="261"/>
      <c r="V4250" s="251"/>
      <c r="W4250" s="35"/>
      <c r="X4250" s="35"/>
      <c r="Y4250" s="35"/>
      <c r="Z4250" s="35"/>
      <c r="AA4250" s="35"/>
      <c r="AB4250" s="35"/>
      <c r="AC4250" s="35"/>
      <c r="AD4250" s="35"/>
      <c r="AE4250" s="35"/>
      <c r="AF4250" s="35"/>
      <c r="AG4250" s="35"/>
      <c r="AH4250" s="35"/>
      <c r="AI4250" s="35"/>
    </row>
    <row r="4251">
      <c r="A4251" s="251"/>
      <c r="B4251" s="252"/>
      <c r="C4251" s="253"/>
      <c r="D4251" s="253"/>
      <c r="E4251" s="252"/>
      <c r="F4251" s="253"/>
      <c r="G4251" s="251"/>
      <c r="H4251" s="433"/>
      <c r="I4251" s="278"/>
      <c r="J4251" s="257"/>
      <c r="K4251" s="253"/>
      <c r="L4251" s="253"/>
      <c r="M4251" s="252"/>
      <c r="N4251" s="258"/>
      <c r="O4251" s="259"/>
      <c r="P4251" s="259"/>
      <c r="Q4251" s="257"/>
      <c r="R4251" s="260"/>
      <c r="S4251" s="260"/>
      <c r="T4251" s="260"/>
      <c r="U4251" s="261"/>
      <c r="V4251" s="251"/>
      <c r="W4251" s="35"/>
      <c r="X4251" s="35"/>
      <c r="Y4251" s="35"/>
      <c r="Z4251" s="35"/>
      <c r="AA4251" s="35"/>
      <c r="AB4251" s="35"/>
      <c r="AC4251" s="35"/>
      <c r="AD4251" s="35"/>
      <c r="AE4251" s="35"/>
      <c r="AF4251" s="35"/>
      <c r="AG4251" s="35"/>
      <c r="AH4251" s="35"/>
      <c r="AI4251" s="35"/>
    </row>
    <row r="4252">
      <c r="A4252" s="251"/>
      <c r="B4252" s="252"/>
      <c r="C4252" s="253"/>
      <c r="D4252" s="253"/>
      <c r="E4252" s="252"/>
      <c r="F4252" s="253"/>
      <c r="G4252" s="251"/>
      <c r="H4252" s="433"/>
      <c r="I4252" s="278"/>
      <c r="J4252" s="257"/>
      <c r="K4252" s="253"/>
      <c r="L4252" s="253"/>
      <c r="M4252" s="252"/>
      <c r="N4252" s="258"/>
      <c r="O4252" s="259"/>
      <c r="P4252" s="259"/>
      <c r="Q4252" s="262"/>
      <c r="R4252" s="260"/>
      <c r="S4252" s="260"/>
      <c r="T4252" s="260"/>
      <c r="U4252" s="261"/>
      <c r="V4252" s="251"/>
      <c r="W4252" s="35"/>
      <c r="X4252" s="35"/>
      <c r="Y4252" s="35"/>
      <c r="Z4252" s="35"/>
      <c r="AA4252" s="35"/>
      <c r="AB4252" s="35"/>
      <c r="AC4252" s="35"/>
      <c r="AD4252" s="35"/>
      <c r="AE4252" s="35"/>
      <c r="AF4252" s="35"/>
      <c r="AG4252" s="35"/>
      <c r="AH4252" s="35"/>
      <c r="AI4252" s="35"/>
    </row>
    <row r="4253">
      <c r="A4253" s="251"/>
      <c r="B4253" s="252"/>
      <c r="C4253" s="253"/>
      <c r="D4253" s="253"/>
      <c r="E4253" s="252"/>
      <c r="F4253" s="253"/>
      <c r="G4253" s="251"/>
      <c r="H4253" s="433"/>
      <c r="I4253" s="278"/>
      <c r="J4253" s="257"/>
      <c r="K4253" s="253"/>
      <c r="L4253" s="253"/>
      <c r="M4253" s="275"/>
      <c r="N4253" s="258"/>
      <c r="O4253" s="259"/>
      <c r="P4253" s="259"/>
      <c r="Q4253" s="262"/>
      <c r="R4253" s="260"/>
      <c r="S4253" s="260"/>
      <c r="T4253" s="260"/>
      <c r="U4253" s="261"/>
      <c r="V4253" s="251"/>
      <c r="W4253" s="35"/>
      <c r="X4253" s="35"/>
      <c r="Y4253" s="35"/>
      <c r="Z4253" s="35"/>
      <c r="AA4253" s="35"/>
      <c r="AB4253" s="35"/>
      <c r="AC4253" s="35"/>
      <c r="AD4253" s="35"/>
      <c r="AE4253" s="35"/>
      <c r="AF4253" s="35"/>
      <c r="AG4253" s="35"/>
      <c r="AH4253" s="35"/>
      <c r="AI4253" s="35"/>
    </row>
    <row r="4254">
      <c r="A4254" s="251"/>
      <c r="B4254" s="252"/>
      <c r="C4254" s="253"/>
      <c r="D4254" s="253"/>
      <c r="E4254" s="252"/>
      <c r="F4254" s="253"/>
      <c r="G4254" s="251"/>
      <c r="H4254" s="433"/>
      <c r="I4254" s="278"/>
      <c r="J4254" s="257"/>
      <c r="K4254" s="253"/>
      <c r="L4254" s="253"/>
      <c r="M4254" s="252"/>
      <c r="N4254" s="258"/>
      <c r="O4254" s="259"/>
      <c r="P4254" s="259"/>
      <c r="Q4254" s="262"/>
      <c r="R4254" s="260"/>
      <c r="S4254" s="260"/>
      <c r="T4254" s="260"/>
      <c r="U4254" s="261"/>
      <c r="V4254" s="251"/>
      <c r="W4254" s="35"/>
      <c r="X4254" s="35"/>
      <c r="Y4254" s="35"/>
      <c r="Z4254" s="35"/>
      <c r="AA4254" s="35"/>
      <c r="AB4254" s="35"/>
      <c r="AC4254" s="35"/>
      <c r="AD4254" s="35"/>
      <c r="AE4254" s="35"/>
      <c r="AF4254" s="35"/>
      <c r="AG4254" s="35"/>
      <c r="AH4254" s="35"/>
      <c r="AI4254" s="35"/>
    </row>
    <row r="4255">
      <c r="A4255" s="251"/>
      <c r="B4255" s="252"/>
      <c r="C4255" s="253"/>
      <c r="D4255" s="253"/>
      <c r="E4255" s="252"/>
      <c r="F4255" s="253"/>
      <c r="G4255" s="251"/>
      <c r="H4255" s="433"/>
      <c r="I4255" s="278"/>
      <c r="J4255" s="257"/>
      <c r="K4255" s="253"/>
      <c r="L4255" s="253"/>
      <c r="M4255" s="275"/>
      <c r="N4255" s="258"/>
      <c r="O4255" s="259"/>
      <c r="P4255" s="259"/>
      <c r="Q4255" s="262"/>
      <c r="R4255" s="260"/>
      <c r="S4255" s="260"/>
      <c r="T4255" s="260"/>
      <c r="U4255" s="261"/>
      <c r="V4255" s="251"/>
      <c r="W4255" s="35"/>
      <c r="X4255" s="35"/>
      <c r="Y4255" s="35"/>
      <c r="Z4255" s="35"/>
      <c r="AA4255" s="35"/>
      <c r="AB4255" s="35"/>
      <c r="AC4255" s="35"/>
      <c r="AD4255" s="35"/>
      <c r="AE4255" s="35"/>
      <c r="AF4255" s="35"/>
      <c r="AG4255" s="35"/>
      <c r="AH4255" s="35"/>
      <c r="AI4255" s="35"/>
    </row>
    <row r="4256">
      <c r="A4256" s="251"/>
      <c r="B4256" s="252"/>
      <c r="C4256" s="253"/>
      <c r="D4256" s="253"/>
      <c r="E4256" s="252"/>
      <c r="F4256" s="253"/>
      <c r="G4256" s="251"/>
      <c r="H4256" s="433"/>
      <c r="I4256" s="278"/>
      <c r="J4256" s="257"/>
      <c r="K4256" s="253"/>
      <c r="L4256" s="253"/>
      <c r="M4256" s="252"/>
      <c r="N4256" s="258"/>
      <c r="O4256" s="259"/>
      <c r="P4256" s="259"/>
      <c r="Q4256" s="262"/>
      <c r="R4256" s="260"/>
      <c r="S4256" s="260"/>
      <c r="T4256" s="260"/>
      <c r="U4256" s="261"/>
      <c r="V4256" s="251"/>
      <c r="W4256" s="35"/>
      <c r="X4256" s="35"/>
      <c r="Y4256" s="35"/>
      <c r="Z4256" s="35"/>
      <c r="AA4256" s="35"/>
      <c r="AB4256" s="35"/>
      <c r="AC4256" s="35"/>
      <c r="AD4256" s="35"/>
      <c r="AE4256" s="35"/>
      <c r="AF4256" s="35"/>
      <c r="AG4256" s="35"/>
      <c r="AH4256" s="35"/>
      <c r="AI4256" s="35"/>
    </row>
    <row r="4257">
      <c r="A4257" s="251"/>
      <c r="B4257" s="252"/>
      <c r="C4257" s="253"/>
      <c r="D4257" s="253"/>
      <c r="E4257" s="252"/>
      <c r="F4257" s="253"/>
      <c r="G4257" s="251"/>
      <c r="H4257" s="433"/>
      <c r="I4257" s="278"/>
      <c r="J4257" s="257"/>
      <c r="K4257" s="253"/>
      <c r="L4257" s="253"/>
      <c r="M4257" s="252"/>
      <c r="N4257" s="258"/>
      <c r="O4257" s="259"/>
      <c r="P4257" s="259"/>
      <c r="Q4257" s="262"/>
      <c r="R4257" s="260"/>
      <c r="S4257" s="260"/>
      <c r="T4257" s="260"/>
      <c r="U4257" s="261"/>
      <c r="V4257" s="251"/>
      <c r="W4257" s="35"/>
      <c r="X4257" s="35"/>
      <c r="Y4257" s="35"/>
      <c r="Z4257" s="35"/>
      <c r="AA4257" s="35"/>
      <c r="AB4257" s="35"/>
      <c r="AC4257" s="35"/>
      <c r="AD4257" s="35"/>
      <c r="AE4257" s="35"/>
      <c r="AF4257" s="35"/>
      <c r="AG4257" s="35"/>
      <c r="AH4257" s="35"/>
      <c r="AI4257" s="35"/>
    </row>
    <row r="4258">
      <c r="A4258" s="251"/>
      <c r="B4258" s="252"/>
      <c r="C4258" s="253"/>
      <c r="D4258" s="253"/>
      <c r="E4258" s="252"/>
      <c r="F4258" s="253"/>
      <c r="G4258" s="251"/>
      <c r="H4258" s="433"/>
      <c r="I4258" s="278"/>
      <c r="J4258" s="257"/>
      <c r="K4258" s="253"/>
      <c r="L4258" s="253"/>
      <c r="M4258" s="275"/>
      <c r="N4258" s="258"/>
      <c r="O4258" s="259"/>
      <c r="P4258" s="259"/>
      <c r="Q4258" s="262"/>
      <c r="R4258" s="260"/>
      <c r="S4258" s="260"/>
      <c r="T4258" s="260"/>
      <c r="U4258" s="261"/>
      <c r="V4258" s="251"/>
      <c r="W4258" s="35"/>
      <c r="X4258" s="35"/>
      <c r="Y4258" s="35"/>
      <c r="Z4258" s="35"/>
      <c r="AA4258" s="35"/>
      <c r="AB4258" s="35"/>
      <c r="AC4258" s="35"/>
      <c r="AD4258" s="35"/>
      <c r="AE4258" s="35"/>
      <c r="AF4258" s="35"/>
      <c r="AG4258" s="35"/>
      <c r="AH4258" s="35"/>
      <c r="AI4258" s="35"/>
    </row>
    <row r="4259">
      <c r="A4259" s="251"/>
      <c r="B4259" s="252"/>
      <c r="C4259" s="253"/>
      <c r="D4259" s="253"/>
      <c r="E4259" s="252"/>
      <c r="F4259" s="253"/>
      <c r="G4259" s="251"/>
      <c r="H4259" s="433"/>
      <c r="I4259" s="278"/>
      <c r="J4259" s="257"/>
      <c r="K4259" s="253"/>
      <c r="L4259" s="253"/>
      <c r="M4259" s="252"/>
      <c r="N4259" s="258"/>
      <c r="O4259" s="259"/>
      <c r="P4259" s="259"/>
      <c r="Q4259" s="257"/>
      <c r="R4259" s="260"/>
      <c r="S4259" s="260"/>
      <c r="T4259" s="260"/>
      <c r="U4259" s="261"/>
      <c r="V4259" s="251"/>
      <c r="W4259" s="35"/>
      <c r="X4259" s="35"/>
      <c r="Y4259" s="35"/>
      <c r="Z4259" s="35"/>
      <c r="AA4259" s="35"/>
      <c r="AB4259" s="35"/>
      <c r="AC4259" s="35"/>
      <c r="AD4259" s="35"/>
      <c r="AE4259" s="35"/>
      <c r="AF4259" s="35"/>
      <c r="AG4259" s="35"/>
      <c r="AH4259" s="35"/>
      <c r="AI4259" s="35"/>
    </row>
    <row r="4260">
      <c r="A4260" s="251"/>
      <c r="B4260" s="252"/>
      <c r="C4260" s="253"/>
      <c r="D4260" s="253"/>
      <c r="E4260" s="252"/>
      <c r="F4260" s="253"/>
      <c r="G4260" s="251"/>
      <c r="H4260" s="433"/>
      <c r="I4260" s="278"/>
      <c r="J4260" s="257"/>
      <c r="K4260" s="253"/>
      <c r="L4260" s="253"/>
      <c r="M4260" s="252"/>
      <c r="N4260" s="258"/>
      <c r="O4260" s="259"/>
      <c r="P4260" s="259"/>
      <c r="Q4260" s="262"/>
      <c r="R4260" s="260"/>
      <c r="S4260" s="260"/>
      <c r="T4260" s="260"/>
      <c r="U4260" s="261"/>
      <c r="V4260" s="251"/>
      <c r="W4260" s="35"/>
      <c r="X4260" s="35"/>
      <c r="Y4260" s="35"/>
      <c r="Z4260" s="35"/>
      <c r="AA4260" s="35"/>
      <c r="AB4260" s="35"/>
      <c r="AC4260" s="35"/>
      <c r="AD4260" s="35"/>
      <c r="AE4260" s="35"/>
      <c r="AF4260" s="35"/>
      <c r="AG4260" s="35"/>
      <c r="AH4260" s="35"/>
      <c r="AI4260" s="35"/>
    </row>
    <row r="4261">
      <c r="A4261" s="251"/>
      <c r="B4261" s="252"/>
      <c r="C4261" s="253"/>
      <c r="D4261" s="253"/>
      <c r="E4261" s="252"/>
      <c r="F4261" s="253"/>
      <c r="G4261" s="251"/>
      <c r="H4261" s="433"/>
      <c r="I4261" s="278"/>
      <c r="J4261" s="257"/>
      <c r="K4261" s="253"/>
      <c r="L4261" s="253"/>
      <c r="M4261" s="252"/>
      <c r="N4261" s="258"/>
      <c r="O4261" s="259"/>
      <c r="P4261" s="259"/>
      <c r="Q4261" s="262"/>
      <c r="R4261" s="260"/>
      <c r="S4261" s="260"/>
      <c r="T4261" s="260"/>
      <c r="U4261" s="261"/>
      <c r="V4261" s="251"/>
      <c r="W4261" s="35"/>
      <c r="X4261" s="35"/>
      <c r="Y4261" s="35"/>
      <c r="Z4261" s="35"/>
      <c r="AA4261" s="35"/>
      <c r="AB4261" s="35"/>
      <c r="AC4261" s="35"/>
      <c r="AD4261" s="35"/>
      <c r="AE4261" s="35"/>
      <c r="AF4261" s="35"/>
      <c r="AG4261" s="35"/>
      <c r="AH4261" s="35"/>
      <c r="AI4261" s="35"/>
    </row>
    <row r="4262">
      <c r="A4262" s="251"/>
      <c r="B4262" s="252"/>
      <c r="C4262" s="253"/>
      <c r="D4262" s="253"/>
      <c r="E4262" s="252"/>
      <c r="F4262" s="253"/>
      <c r="G4262" s="251"/>
      <c r="H4262" s="433"/>
      <c r="I4262" s="278"/>
      <c r="J4262" s="257"/>
      <c r="K4262" s="253"/>
      <c r="L4262" s="253"/>
      <c r="M4262" s="275"/>
      <c r="N4262" s="258"/>
      <c r="O4262" s="259"/>
      <c r="P4262" s="259"/>
      <c r="Q4262" s="262"/>
      <c r="R4262" s="260"/>
      <c r="S4262" s="260"/>
      <c r="T4262" s="260"/>
      <c r="U4262" s="261"/>
      <c r="V4262" s="251"/>
      <c r="W4262" s="35"/>
      <c r="X4262" s="35"/>
      <c r="Y4262" s="35"/>
      <c r="Z4262" s="35"/>
      <c r="AA4262" s="35"/>
      <c r="AB4262" s="35"/>
      <c r="AC4262" s="35"/>
      <c r="AD4262" s="35"/>
      <c r="AE4262" s="35"/>
      <c r="AF4262" s="35"/>
      <c r="AG4262" s="35"/>
      <c r="AH4262" s="35"/>
      <c r="AI4262" s="35"/>
    </row>
    <row r="4263">
      <c r="A4263" s="251"/>
      <c r="B4263" s="252"/>
      <c r="C4263" s="253"/>
      <c r="D4263" s="253"/>
      <c r="E4263" s="252"/>
      <c r="F4263" s="253"/>
      <c r="G4263" s="251"/>
      <c r="H4263" s="433"/>
      <c r="I4263" s="278"/>
      <c r="J4263" s="257"/>
      <c r="K4263" s="253"/>
      <c r="L4263" s="253"/>
      <c r="M4263" s="275"/>
      <c r="N4263" s="258"/>
      <c r="O4263" s="259"/>
      <c r="P4263" s="259"/>
      <c r="Q4263" s="262"/>
      <c r="R4263" s="260"/>
      <c r="S4263" s="260"/>
      <c r="T4263" s="260"/>
      <c r="U4263" s="261"/>
      <c r="V4263" s="251"/>
      <c r="W4263" s="35"/>
      <c r="X4263" s="35"/>
      <c r="Y4263" s="35"/>
      <c r="Z4263" s="35"/>
      <c r="AA4263" s="35"/>
      <c r="AB4263" s="35"/>
      <c r="AC4263" s="35"/>
      <c r="AD4263" s="35"/>
      <c r="AE4263" s="35"/>
      <c r="AF4263" s="35"/>
      <c r="AG4263" s="35"/>
      <c r="AH4263" s="35"/>
      <c r="AI4263" s="35"/>
    </row>
    <row r="4264">
      <c r="A4264" s="251"/>
      <c r="B4264" s="252"/>
      <c r="C4264" s="253"/>
      <c r="D4264" s="253"/>
      <c r="E4264" s="252"/>
      <c r="F4264" s="253"/>
      <c r="G4264" s="251"/>
      <c r="H4264" s="433"/>
      <c r="I4264" s="278"/>
      <c r="J4264" s="257"/>
      <c r="K4264" s="253"/>
      <c r="L4264" s="253"/>
      <c r="M4264" s="275"/>
      <c r="N4264" s="258"/>
      <c r="O4264" s="259"/>
      <c r="P4264" s="259"/>
      <c r="Q4264" s="262"/>
      <c r="R4264" s="260"/>
      <c r="S4264" s="260"/>
      <c r="T4264" s="260"/>
      <c r="U4264" s="261"/>
      <c r="V4264" s="251"/>
      <c r="W4264" s="35"/>
      <c r="X4264" s="35"/>
      <c r="Y4264" s="35"/>
      <c r="Z4264" s="35"/>
      <c r="AA4264" s="35"/>
      <c r="AB4264" s="35"/>
      <c r="AC4264" s="35"/>
      <c r="AD4264" s="35"/>
      <c r="AE4264" s="35"/>
      <c r="AF4264" s="35"/>
      <c r="AG4264" s="35"/>
      <c r="AH4264" s="35"/>
      <c r="AI4264" s="35"/>
    </row>
    <row r="4265">
      <c r="A4265" s="251"/>
      <c r="B4265" s="252"/>
      <c r="C4265" s="253"/>
      <c r="D4265" s="253"/>
      <c r="E4265" s="252"/>
      <c r="F4265" s="253"/>
      <c r="G4265" s="251"/>
      <c r="H4265" s="433"/>
      <c r="I4265" s="278"/>
      <c r="J4265" s="257"/>
      <c r="K4265" s="253"/>
      <c r="L4265" s="253"/>
      <c r="M4265" s="252"/>
      <c r="N4265" s="258"/>
      <c r="O4265" s="259"/>
      <c r="P4265" s="259"/>
      <c r="Q4265" s="262"/>
      <c r="R4265" s="260"/>
      <c r="S4265" s="260"/>
      <c r="T4265" s="260"/>
      <c r="U4265" s="261"/>
      <c r="V4265" s="251"/>
      <c r="W4265" s="35"/>
      <c r="X4265" s="35"/>
      <c r="Y4265" s="35"/>
      <c r="Z4265" s="35"/>
      <c r="AA4265" s="35"/>
      <c r="AB4265" s="35"/>
      <c r="AC4265" s="35"/>
      <c r="AD4265" s="35"/>
      <c r="AE4265" s="35"/>
      <c r="AF4265" s="35"/>
      <c r="AG4265" s="35"/>
      <c r="AH4265" s="35"/>
      <c r="AI4265" s="35"/>
    </row>
    <row r="4266">
      <c r="A4266" s="251"/>
      <c r="B4266" s="252"/>
      <c r="C4266" s="253"/>
      <c r="D4266" s="253"/>
      <c r="E4266" s="252"/>
      <c r="F4266" s="253"/>
      <c r="G4266" s="251"/>
      <c r="H4266" s="433"/>
      <c r="I4266" s="278"/>
      <c r="J4266" s="257"/>
      <c r="K4266" s="253"/>
      <c r="L4266" s="253"/>
      <c r="M4266" s="275"/>
      <c r="N4266" s="258"/>
      <c r="O4266" s="259"/>
      <c r="P4266" s="259"/>
      <c r="Q4266" s="262"/>
      <c r="R4266" s="260"/>
      <c r="S4266" s="260"/>
      <c r="T4266" s="260"/>
      <c r="U4266" s="261"/>
      <c r="V4266" s="251"/>
      <c r="W4266" s="35"/>
      <c r="X4266" s="35"/>
      <c r="Y4266" s="35"/>
      <c r="Z4266" s="35"/>
      <c r="AA4266" s="35"/>
      <c r="AB4266" s="35"/>
      <c r="AC4266" s="35"/>
      <c r="AD4266" s="35"/>
      <c r="AE4266" s="35"/>
      <c r="AF4266" s="35"/>
      <c r="AG4266" s="35"/>
      <c r="AH4266" s="35"/>
      <c r="AI4266" s="35"/>
    </row>
    <row r="4267">
      <c r="A4267" s="251"/>
      <c r="B4267" s="252"/>
      <c r="C4267" s="253"/>
      <c r="D4267" s="253"/>
      <c r="E4267" s="252"/>
      <c r="F4267" s="253"/>
      <c r="G4267" s="251"/>
      <c r="H4267" s="433"/>
      <c r="I4267" s="278"/>
      <c r="J4267" s="257"/>
      <c r="K4267" s="253"/>
      <c r="L4267" s="253"/>
      <c r="M4267" s="275"/>
      <c r="N4267" s="258"/>
      <c r="O4267" s="259"/>
      <c r="P4267" s="259"/>
      <c r="Q4267" s="262"/>
      <c r="R4267" s="260"/>
      <c r="S4267" s="260"/>
      <c r="T4267" s="260"/>
      <c r="U4267" s="261"/>
      <c r="V4267" s="251"/>
      <c r="W4267" s="35"/>
      <c r="X4267" s="35"/>
      <c r="Y4267" s="35"/>
      <c r="Z4267" s="35"/>
      <c r="AA4267" s="35"/>
      <c r="AB4267" s="35"/>
      <c r="AC4267" s="35"/>
      <c r="AD4267" s="35"/>
      <c r="AE4267" s="35"/>
      <c r="AF4267" s="35"/>
      <c r="AG4267" s="35"/>
      <c r="AH4267" s="35"/>
      <c r="AI4267" s="35"/>
    </row>
    <row r="4268">
      <c r="A4268" s="251"/>
      <c r="B4268" s="252"/>
      <c r="C4268" s="253"/>
      <c r="D4268" s="253"/>
      <c r="E4268" s="252"/>
      <c r="F4268" s="253"/>
      <c r="G4268" s="251"/>
      <c r="H4268" s="433"/>
      <c r="I4268" s="278"/>
      <c r="J4268" s="257"/>
      <c r="K4268" s="253"/>
      <c r="L4268" s="253"/>
      <c r="M4268" s="252"/>
      <c r="N4268" s="258"/>
      <c r="O4268" s="259"/>
      <c r="P4268" s="259"/>
      <c r="Q4268" s="262"/>
      <c r="R4268" s="260"/>
      <c r="S4268" s="260"/>
      <c r="T4268" s="260"/>
      <c r="U4268" s="261"/>
      <c r="V4268" s="251"/>
      <c r="W4268" s="35"/>
      <c r="X4268" s="35"/>
      <c r="Y4268" s="35"/>
      <c r="Z4268" s="35"/>
      <c r="AA4268" s="35"/>
      <c r="AB4268" s="35"/>
      <c r="AC4268" s="35"/>
      <c r="AD4268" s="35"/>
      <c r="AE4268" s="35"/>
      <c r="AF4268" s="35"/>
      <c r="AG4268" s="35"/>
      <c r="AH4268" s="35"/>
      <c r="AI4268" s="35"/>
    </row>
    <row r="4269">
      <c r="A4269" s="251"/>
      <c r="B4269" s="252"/>
      <c r="C4269" s="253"/>
      <c r="D4269" s="253"/>
      <c r="E4269" s="252"/>
      <c r="F4269" s="253"/>
      <c r="G4269" s="251"/>
      <c r="H4269" s="433"/>
      <c r="I4269" s="278"/>
      <c r="J4269" s="257"/>
      <c r="K4269" s="253"/>
      <c r="L4269" s="253"/>
      <c r="M4269" s="252"/>
      <c r="N4269" s="258"/>
      <c r="O4269" s="259"/>
      <c r="P4269" s="259"/>
      <c r="Q4269" s="262"/>
      <c r="R4269" s="260"/>
      <c r="S4269" s="260"/>
      <c r="T4269" s="260"/>
      <c r="U4269" s="261"/>
      <c r="V4269" s="251"/>
      <c r="W4269" s="35"/>
      <c r="X4269" s="35"/>
      <c r="Y4269" s="35"/>
      <c r="Z4269" s="35"/>
      <c r="AA4269" s="35"/>
      <c r="AB4269" s="35"/>
      <c r="AC4269" s="35"/>
      <c r="AD4269" s="35"/>
      <c r="AE4269" s="35"/>
      <c r="AF4269" s="35"/>
      <c r="AG4269" s="35"/>
      <c r="AH4269" s="35"/>
      <c r="AI4269" s="35"/>
    </row>
    <row r="4270">
      <c r="A4270" s="251"/>
      <c r="B4270" s="252"/>
      <c r="C4270" s="253"/>
      <c r="D4270" s="253"/>
      <c r="E4270" s="252"/>
      <c r="F4270" s="253"/>
      <c r="G4270" s="251"/>
      <c r="H4270" s="433"/>
      <c r="I4270" s="278"/>
      <c r="J4270" s="257"/>
      <c r="K4270" s="253"/>
      <c r="L4270" s="253"/>
      <c r="M4270" s="252"/>
      <c r="N4270" s="258"/>
      <c r="O4270" s="259"/>
      <c r="P4270" s="259"/>
      <c r="Q4270" s="262"/>
      <c r="R4270" s="260"/>
      <c r="S4270" s="260"/>
      <c r="T4270" s="260"/>
      <c r="U4270" s="261"/>
      <c r="V4270" s="251"/>
      <c r="W4270" s="35"/>
      <c r="X4270" s="35"/>
      <c r="Y4270" s="35"/>
      <c r="Z4270" s="35"/>
      <c r="AA4270" s="35"/>
      <c r="AB4270" s="35"/>
      <c r="AC4270" s="35"/>
      <c r="AD4270" s="35"/>
      <c r="AE4270" s="35"/>
      <c r="AF4270" s="35"/>
      <c r="AG4270" s="35"/>
      <c r="AH4270" s="35"/>
      <c r="AI4270" s="35"/>
    </row>
    <row r="4271">
      <c r="A4271" s="251"/>
      <c r="B4271" s="252"/>
      <c r="C4271" s="253"/>
      <c r="D4271" s="253"/>
      <c r="E4271" s="252"/>
      <c r="F4271" s="253"/>
      <c r="G4271" s="251"/>
      <c r="H4271" s="433"/>
      <c r="I4271" s="278"/>
      <c r="J4271" s="257"/>
      <c r="K4271" s="253"/>
      <c r="L4271" s="253"/>
      <c r="M4271" s="275"/>
      <c r="N4271" s="258"/>
      <c r="O4271" s="259"/>
      <c r="P4271" s="259"/>
      <c r="Q4271" s="262"/>
      <c r="R4271" s="260"/>
      <c r="S4271" s="260"/>
      <c r="T4271" s="260"/>
      <c r="U4271" s="261"/>
      <c r="V4271" s="251"/>
      <c r="W4271" s="35"/>
      <c r="X4271" s="35"/>
      <c r="Y4271" s="35"/>
      <c r="Z4271" s="35"/>
      <c r="AA4271" s="35"/>
      <c r="AB4271" s="35"/>
      <c r="AC4271" s="35"/>
      <c r="AD4271" s="35"/>
      <c r="AE4271" s="35"/>
      <c r="AF4271" s="35"/>
      <c r="AG4271" s="35"/>
      <c r="AH4271" s="35"/>
      <c r="AI4271" s="35"/>
    </row>
    <row r="4272">
      <c r="A4272" s="251"/>
      <c r="B4272" s="252"/>
      <c r="C4272" s="253"/>
      <c r="D4272" s="253"/>
      <c r="E4272" s="252"/>
      <c r="F4272" s="253"/>
      <c r="G4272" s="251"/>
      <c r="H4272" s="433"/>
      <c r="I4272" s="278"/>
      <c r="J4272" s="257"/>
      <c r="K4272" s="253"/>
      <c r="L4272" s="253"/>
      <c r="M4272" s="252"/>
      <c r="N4272" s="258"/>
      <c r="O4272" s="259"/>
      <c r="P4272" s="259"/>
      <c r="Q4272" s="262"/>
      <c r="R4272" s="260"/>
      <c r="S4272" s="260"/>
      <c r="T4272" s="260"/>
      <c r="U4272" s="261"/>
      <c r="V4272" s="251"/>
      <c r="W4272" s="35"/>
      <c r="X4272" s="35"/>
      <c r="Y4272" s="35"/>
      <c r="Z4272" s="35"/>
      <c r="AA4272" s="35"/>
      <c r="AB4272" s="35"/>
      <c r="AC4272" s="35"/>
      <c r="AD4272" s="35"/>
      <c r="AE4272" s="35"/>
      <c r="AF4272" s="35"/>
      <c r="AG4272" s="35"/>
      <c r="AH4272" s="35"/>
      <c r="AI4272" s="35"/>
    </row>
    <row r="4273">
      <c r="A4273" s="251"/>
      <c r="B4273" s="252"/>
      <c r="C4273" s="253"/>
      <c r="D4273" s="253"/>
      <c r="E4273" s="252"/>
      <c r="F4273" s="253"/>
      <c r="G4273" s="251"/>
      <c r="H4273" s="433"/>
      <c r="I4273" s="278"/>
      <c r="J4273" s="257"/>
      <c r="K4273" s="253"/>
      <c r="L4273" s="253"/>
      <c r="M4273" s="252"/>
      <c r="N4273" s="258"/>
      <c r="O4273" s="259"/>
      <c r="P4273" s="259"/>
      <c r="Q4273" s="262"/>
      <c r="R4273" s="260"/>
      <c r="S4273" s="260"/>
      <c r="T4273" s="260"/>
      <c r="U4273" s="261"/>
      <c r="V4273" s="251"/>
      <c r="W4273" s="35"/>
      <c r="X4273" s="35"/>
      <c r="Y4273" s="35"/>
      <c r="Z4273" s="35"/>
      <c r="AA4273" s="35"/>
      <c r="AB4273" s="35"/>
      <c r="AC4273" s="35"/>
      <c r="AD4273" s="35"/>
      <c r="AE4273" s="35"/>
      <c r="AF4273" s="35"/>
      <c r="AG4273" s="35"/>
      <c r="AH4273" s="35"/>
      <c r="AI4273" s="35"/>
    </row>
    <row r="4274">
      <c r="A4274" s="251"/>
      <c r="B4274" s="252"/>
      <c r="C4274" s="253"/>
      <c r="D4274" s="253"/>
      <c r="E4274" s="252"/>
      <c r="F4274" s="253"/>
      <c r="G4274" s="251"/>
      <c r="H4274" s="433"/>
      <c r="I4274" s="278"/>
      <c r="J4274" s="257"/>
      <c r="K4274" s="253"/>
      <c r="L4274" s="253"/>
      <c r="M4274" s="252"/>
      <c r="N4274" s="258"/>
      <c r="O4274" s="259"/>
      <c r="P4274" s="259"/>
      <c r="Q4274" s="262"/>
      <c r="R4274" s="260"/>
      <c r="S4274" s="260"/>
      <c r="T4274" s="260"/>
      <c r="U4274" s="261"/>
      <c r="V4274" s="251"/>
      <c r="W4274" s="35"/>
      <c r="X4274" s="35"/>
      <c r="Y4274" s="35"/>
      <c r="Z4274" s="35"/>
      <c r="AA4274" s="35"/>
      <c r="AB4274" s="35"/>
      <c r="AC4274" s="35"/>
      <c r="AD4274" s="35"/>
      <c r="AE4274" s="35"/>
      <c r="AF4274" s="35"/>
      <c r="AG4274" s="35"/>
      <c r="AH4274" s="35"/>
      <c r="AI4274" s="35"/>
    </row>
    <row r="4275">
      <c r="A4275" s="251"/>
      <c r="B4275" s="252"/>
      <c r="C4275" s="253"/>
      <c r="D4275" s="253"/>
      <c r="E4275" s="252"/>
      <c r="F4275" s="253"/>
      <c r="G4275" s="251"/>
      <c r="H4275" s="433"/>
      <c r="I4275" s="278"/>
      <c r="J4275" s="257"/>
      <c r="K4275" s="253"/>
      <c r="L4275" s="253"/>
      <c r="M4275" s="252"/>
      <c r="N4275" s="258"/>
      <c r="O4275" s="259"/>
      <c r="P4275" s="259"/>
      <c r="Q4275" s="262"/>
      <c r="R4275" s="260"/>
      <c r="S4275" s="260"/>
      <c r="T4275" s="260"/>
      <c r="U4275" s="261"/>
      <c r="V4275" s="251"/>
      <c r="W4275" s="35"/>
      <c r="X4275" s="35"/>
      <c r="Y4275" s="35"/>
      <c r="Z4275" s="35"/>
      <c r="AA4275" s="35"/>
      <c r="AB4275" s="35"/>
      <c r="AC4275" s="35"/>
      <c r="AD4275" s="35"/>
      <c r="AE4275" s="35"/>
      <c r="AF4275" s="35"/>
      <c r="AG4275" s="35"/>
      <c r="AH4275" s="35"/>
      <c r="AI4275" s="35"/>
    </row>
    <row r="4276">
      <c r="A4276" s="251"/>
      <c r="B4276" s="252"/>
      <c r="C4276" s="253"/>
      <c r="D4276" s="253"/>
      <c r="E4276" s="252"/>
      <c r="F4276" s="253"/>
      <c r="G4276" s="251"/>
      <c r="H4276" s="433"/>
      <c r="I4276" s="278"/>
      <c r="J4276" s="257"/>
      <c r="K4276" s="253"/>
      <c r="L4276" s="253"/>
      <c r="M4276" s="275"/>
      <c r="N4276" s="258"/>
      <c r="O4276" s="259"/>
      <c r="P4276" s="259"/>
      <c r="Q4276" s="262"/>
      <c r="R4276" s="260"/>
      <c r="S4276" s="260"/>
      <c r="T4276" s="260"/>
      <c r="U4276" s="261"/>
      <c r="V4276" s="251"/>
      <c r="W4276" s="35"/>
      <c r="X4276" s="35"/>
      <c r="Y4276" s="35"/>
      <c r="Z4276" s="35"/>
      <c r="AA4276" s="35"/>
      <c r="AB4276" s="35"/>
      <c r="AC4276" s="35"/>
      <c r="AD4276" s="35"/>
      <c r="AE4276" s="35"/>
      <c r="AF4276" s="35"/>
      <c r="AG4276" s="35"/>
      <c r="AH4276" s="35"/>
      <c r="AI4276" s="35"/>
    </row>
    <row r="4277">
      <c r="A4277" s="251"/>
      <c r="B4277" s="252"/>
      <c r="C4277" s="253"/>
      <c r="D4277" s="253"/>
      <c r="E4277" s="252"/>
      <c r="F4277" s="253"/>
      <c r="G4277" s="251"/>
      <c r="H4277" s="433"/>
      <c r="I4277" s="278"/>
      <c r="J4277" s="257"/>
      <c r="K4277" s="253"/>
      <c r="L4277" s="253"/>
      <c r="M4277" s="252"/>
      <c r="N4277" s="258"/>
      <c r="O4277" s="259"/>
      <c r="P4277" s="259"/>
      <c r="Q4277" s="257"/>
      <c r="R4277" s="260"/>
      <c r="S4277" s="260"/>
      <c r="T4277" s="260"/>
      <c r="U4277" s="261"/>
      <c r="V4277" s="251"/>
      <c r="W4277" s="35"/>
      <c r="X4277" s="35"/>
      <c r="Y4277" s="35"/>
      <c r="Z4277" s="35"/>
      <c r="AA4277" s="35"/>
      <c r="AB4277" s="35"/>
      <c r="AC4277" s="35"/>
      <c r="AD4277" s="35"/>
      <c r="AE4277" s="35"/>
      <c r="AF4277" s="35"/>
      <c r="AG4277" s="35"/>
      <c r="AH4277" s="35"/>
      <c r="AI4277" s="35"/>
    </row>
    <row r="4278">
      <c r="A4278" s="251"/>
      <c r="B4278" s="252"/>
      <c r="C4278" s="253"/>
      <c r="D4278" s="253"/>
      <c r="E4278" s="252"/>
      <c r="F4278" s="253"/>
      <c r="G4278" s="251"/>
      <c r="H4278" s="433"/>
      <c r="I4278" s="278"/>
      <c r="J4278" s="257"/>
      <c r="K4278" s="253"/>
      <c r="L4278" s="253"/>
      <c r="M4278" s="252"/>
      <c r="N4278" s="258"/>
      <c r="O4278" s="259"/>
      <c r="P4278" s="259"/>
      <c r="Q4278" s="257"/>
      <c r="R4278" s="260"/>
      <c r="S4278" s="260"/>
      <c r="T4278" s="260"/>
      <c r="U4278" s="261"/>
      <c r="V4278" s="251"/>
      <c r="W4278" s="35"/>
      <c r="X4278" s="35"/>
      <c r="Y4278" s="35"/>
      <c r="Z4278" s="35"/>
      <c r="AA4278" s="35"/>
      <c r="AB4278" s="35"/>
      <c r="AC4278" s="35"/>
      <c r="AD4278" s="35"/>
      <c r="AE4278" s="35"/>
      <c r="AF4278" s="35"/>
      <c r="AG4278" s="35"/>
      <c r="AH4278" s="35"/>
      <c r="AI4278" s="35"/>
    </row>
    <row r="4279">
      <c r="A4279" s="251"/>
      <c r="B4279" s="252"/>
      <c r="C4279" s="253"/>
      <c r="D4279" s="253"/>
      <c r="E4279" s="252"/>
      <c r="F4279" s="253"/>
      <c r="G4279" s="251"/>
      <c r="H4279" s="433"/>
      <c r="I4279" s="278"/>
      <c r="J4279" s="257"/>
      <c r="K4279" s="253"/>
      <c r="L4279" s="253"/>
      <c r="M4279" s="252"/>
      <c r="N4279" s="258"/>
      <c r="O4279" s="259"/>
      <c r="P4279" s="259"/>
      <c r="Q4279" s="262"/>
      <c r="R4279" s="260"/>
      <c r="S4279" s="260"/>
      <c r="T4279" s="260"/>
      <c r="U4279" s="261"/>
      <c r="V4279" s="251"/>
      <c r="W4279" s="35"/>
      <c r="X4279" s="35"/>
      <c r="Y4279" s="35"/>
      <c r="Z4279" s="35"/>
      <c r="AA4279" s="35"/>
      <c r="AB4279" s="35"/>
      <c r="AC4279" s="35"/>
      <c r="AD4279" s="35"/>
      <c r="AE4279" s="35"/>
      <c r="AF4279" s="35"/>
      <c r="AG4279" s="35"/>
      <c r="AH4279" s="35"/>
      <c r="AI4279" s="35"/>
    </row>
    <row r="4280">
      <c r="A4280" s="251"/>
      <c r="B4280" s="252"/>
      <c r="C4280" s="253"/>
      <c r="D4280" s="253"/>
      <c r="E4280" s="252"/>
      <c r="F4280" s="253"/>
      <c r="G4280" s="251"/>
      <c r="H4280" s="433"/>
      <c r="I4280" s="278"/>
      <c r="J4280" s="257"/>
      <c r="K4280" s="253"/>
      <c r="L4280" s="253"/>
      <c r="M4280" s="252"/>
      <c r="N4280" s="258"/>
      <c r="O4280" s="259"/>
      <c r="P4280" s="259"/>
      <c r="Q4280" s="257"/>
      <c r="R4280" s="260"/>
      <c r="S4280" s="260"/>
      <c r="T4280" s="260"/>
      <c r="U4280" s="261"/>
      <c r="V4280" s="251"/>
      <c r="W4280" s="35"/>
      <c r="X4280" s="35"/>
      <c r="Y4280" s="35"/>
      <c r="Z4280" s="35"/>
      <c r="AA4280" s="35"/>
      <c r="AB4280" s="35"/>
      <c r="AC4280" s="35"/>
      <c r="AD4280" s="35"/>
      <c r="AE4280" s="35"/>
      <c r="AF4280" s="35"/>
      <c r="AG4280" s="35"/>
      <c r="AH4280" s="35"/>
      <c r="AI4280" s="35"/>
    </row>
    <row r="4281">
      <c r="A4281" s="251"/>
      <c r="B4281" s="252"/>
      <c r="C4281" s="253"/>
      <c r="D4281" s="253"/>
      <c r="E4281" s="252"/>
      <c r="F4281" s="253"/>
      <c r="G4281" s="251"/>
      <c r="H4281" s="433"/>
      <c r="I4281" s="278"/>
      <c r="J4281" s="257"/>
      <c r="K4281" s="253"/>
      <c r="L4281" s="253"/>
      <c r="M4281" s="252"/>
      <c r="N4281" s="258"/>
      <c r="O4281" s="259"/>
      <c r="P4281" s="259"/>
      <c r="Q4281" s="262"/>
      <c r="R4281" s="260"/>
      <c r="S4281" s="260"/>
      <c r="T4281" s="260"/>
      <c r="U4281" s="261"/>
      <c r="V4281" s="251"/>
      <c r="W4281" s="35"/>
      <c r="X4281" s="35"/>
      <c r="Y4281" s="35"/>
      <c r="Z4281" s="35"/>
      <c r="AA4281" s="35"/>
      <c r="AB4281" s="35"/>
      <c r="AC4281" s="35"/>
      <c r="AD4281" s="35"/>
      <c r="AE4281" s="35"/>
      <c r="AF4281" s="35"/>
      <c r="AG4281" s="35"/>
      <c r="AH4281" s="35"/>
      <c r="AI4281" s="35"/>
    </row>
    <row r="4282">
      <c r="A4282" s="251"/>
      <c r="B4282" s="252"/>
      <c r="C4282" s="253"/>
      <c r="D4282" s="253"/>
      <c r="E4282" s="252"/>
      <c r="F4282" s="253"/>
      <c r="G4282" s="251"/>
      <c r="H4282" s="433"/>
      <c r="I4282" s="278"/>
      <c r="J4282" s="257"/>
      <c r="K4282" s="253"/>
      <c r="L4282" s="253"/>
      <c r="M4282" s="252"/>
      <c r="N4282" s="258"/>
      <c r="O4282" s="259"/>
      <c r="P4282" s="259"/>
      <c r="Q4282" s="262"/>
      <c r="R4282" s="260"/>
      <c r="S4282" s="260"/>
      <c r="T4282" s="260"/>
      <c r="U4282" s="261"/>
      <c r="V4282" s="251"/>
      <c r="W4282" s="35"/>
      <c r="X4282" s="35"/>
      <c r="Y4282" s="35"/>
      <c r="Z4282" s="35"/>
      <c r="AA4282" s="35"/>
      <c r="AB4282" s="35"/>
      <c r="AC4282" s="35"/>
      <c r="AD4282" s="35"/>
      <c r="AE4282" s="35"/>
      <c r="AF4282" s="35"/>
      <c r="AG4282" s="35"/>
      <c r="AH4282" s="35"/>
      <c r="AI4282" s="35"/>
    </row>
    <row r="4283">
      <c r="A4283" s="251"/>
      <c r="B4283" s="252"/>
      <c r="C4283" s="253"/>
      <c r="D4283" s="253"/>
      <c r="E4283" s="252"/>
      <c r="F4283" s="253"/>
      <c r="G4283" s="251"/>
      <c r="H4283" s="433"/>
      <c r="I4283" s="278"/>
      <c r="J4283" s="257"/>
      <c r="K4283" s="253"/>
      <c r="L4283" s="253"/>
      <c r="M4283" s="252"/>
      <c r="N4283" s="258"/>
      <c r="O4283" s="259"/>
      <c r="P4283" s="259"/>
      <c r="Q4283" s="262"/>
      <c r="R4283" s="260"/>
      <c r="S4283" s="260"/>
      <c r="T4283" s="260"/>
      <c r="U4283" s="261"/>
      <c r="V4283" s="251"/>
      <c r="W4283" s="35"/>
      <c r="X4283" s="35"/>
      <c r="Y4283" s="35"/>
      <c r="Z4283" s="35"/>
      <c r="AA4283" s="35"/>
      <c r="AB4283" s="35"/>
      <c r="AC4283" s="35"/>
      <c r="AD4283" s="35"/>
      <c r="AE4283" s="35"/>
      <c r="AF4283" s="35"/>
      <c r="AG4283" s="35"/>
      <c r="AH4283" s="35"/>
      <c r="AI4283" s="35"/>
    </row>
    <row r="4284">
      <c r="A4284" s="251"/>
      <c r="B4284" s="252"/>
      <c r="C4284" s="253"/>
      <c r="D4284" s="253"/>
      <c r="E4284" s="252"/>
      <c r="F4284" s="253"/>
      <c r="G4284" s="251"/>
      <c r="H4284" s="433"/>
      <c r="I4284" s="278"/>
      <c r="J4284" s="257"/>
      <c r="K4284" s="253"/>
      <c r="L4284" s="253"/>
      <c r="M4284" s="275"/>
      <c r="N4284" s="258"/>
      <c r="O4284" s="259"/>
      <c r="P4284" s="259"/>
      <c r="Q4284" s="262"/>
      <c r="R4284" s="260"/>
      <c r="S4284" s="260"/>
      <c r="T4284" s="260"/>
      <c r="U4284" s="261"/>
      <c r="V4284" s="251"/>
      <c r="W4284" s="35"/>
      <c r="X4284" s="35"/>
      <c r="Y4284" s="35"/>
      <c r="Z4284" s="35"/>
      <c r="AA4284" s="35"/>
      <c r="AB4284" s="35"/>
      <c r="AC4284" s="35"/>
      <c r="AD4284" s="35"/>
      <c r="AE4284" s="35"/>
      <c r="AF4284" s="35"/>
      <c r="AG4284" s="35"/>
      <c r="AH4284" s="35"/>
      <c r="AI4284" s="35"/>
    </row>
    <row r="4285">
      <c r="A4285" s="251"/>
      <c r="B4285" s="252"/>
      <c r="C4285" s="253"/>
      <c r="D4285" s="253"/>
      <c r="E4285" s="252"/>
      <c r="F4285" s="253"/>
      <c r="G4285" s="251"/>
      <c r="H4285" s="433"/>
      <c r="I4285" s="278"/>
      <c r="J4285" s="257"/>
      <c r="K4285" s="253"/>
      <c r="L4285" s="253"/>
      <c r="M4285" s="252"/>
      <c r="N4285" s="258"/>
      <c r="O4285" s="259"/>
      <c r="P4285" s="259"/>
      <c r="Q4285" s="262"/>
      <c r="R4285" s="260"/>
      <c r="S4285" s="260"/>
      <c r="T4285" s="260"/>
      <c r="U4285" s="261"/>
      <c r="V4285" s="251"/>
      <c r="W4285" s="35"/>
      <c r="X4285" s="35"/>
      <c r="Y4285" s="35"/>
      <c r="Z4285" s="35"/>
      <c r="AA4285" s="35"/>
      <c r="AB4285" s="35"/>
      <c r="AC4285" s="35"/>
      <c r="AD4285" s="35"/>
      <c r="AE4285" s="35"/>
      <c r="AF4285" s="35"/>
      <c r="AG4285" s="35"/>
      <c r="AH4285" s="35"/>
      <c r="AI4285" s="35"/>
    </row>
    <row r="4286">
      <c r="A4286" s="251"/>
      <c r="B4286" s="252"/>
      <c r="C4286" s="253"/>
      <c r="D4286" s="253"/>
      <c r="E4286" s="252"/>
      <c r="F4286" s="253"/>
      <c r="G4286" s="251"/>
      <c r="H4286" s="433"/>
      <c r="I4286" s="278"/>
      <c r="J4286" s="257"/>
      <c r="K4286" s="253"/>
      <c r="L4286" s="253"/>
      <c r="M4286" s="252"/>
      <c r="N4286" s="258"/>
      <c r="O4286" s="259"/>
      <c r="P4286" s="259"/>
      <c r="Q4286" s="262"/>
      <c r="R4286" s="260"/>
      <c r="S4286" s="260"/>
      <c r="T4286" s="260"/>
      <c r="U4286" s="261"/>
      <c r="V4286" s="251"/>
      <c r="W4286" s="35"/>
      <c r="X4286" s="35"/>
      <c r="Y4286" s="35"/>
      <c r="Z4286" s="35"/>
      <c r="AA4286" s="35"/>
      <c r="AB4286" s="35"/>
      <c r="AC4286" s="35"/>
      <c r="AD4286" s="35"/>
      <c r="AE4286" s="35"/>
      <c r="AF4286" s="35"/>
      <c r="AG4286" s="35"/>
      <c r="AH4286" s="35"/>
      <c r="AI4286" s="35"/>
    </row>
    <row r="4287">
      <c r="A4287" s="251"/>
      <c r="B4287" s="252"/>
      <c r="C4287" s="253"/>
      <c r="D4287" s="253"/>
      <c r="E4287" s="252"/>
      <c r="F4287" s="253"/>
      <c r="G4287" s="251"/>
      <c r="H4287" s="433"/>
      <c r="I4287" s="278"/>
      <c r="J4287" s="257"/>
      <c r="K4287" s="253"/>
      <c r="L4287" s="253"/>
      <c r="M4287" s="275"/>
      <c r="N4287" s="258"/>
      <c r="O4287" s="259"/>
      <c r="P4287" s="259"/>
      <c r="Q4287" s="262"/>
      <c r="R4287" s="260"/>
      <c r="S4287" s="260"/>
      <c r="T4287" s="260"/>
      <c r="U4287" s="261"/>
      <c r="V4287" s="251"/>
      <c r="W4287" s="35"/>
      <c r="X4287" s="35"/>
      <c r="Y4287" s="35"/>
      <c r="Z4287" s="35"/>
      <c r="AA4287" s="35"/>
      <c r="AB4287" s="35"/>
      <c r="AC4287" s="35"/>
      <c r="AD4287" s="35"/>
      <c r="AE4287" s="35"/>
      <c r="AF4287" s="35"/>
      <c r="AG4287" s="35"/>
      <c r="AH4287" s="35"/>
      <c r="AI4287" s="35"/>
    </row>
    <row r="4288">
      <c r="A4288" s="251"/>
      <c r="B4288" s="252"/>
      <c r="C4288" s="253"/>
      <c r="D4288" s="253"/>
      <c r="E4288" s="252"/>
      <c r="F4288" s="253"/>
      <c r="G4288" s="251"/>
      <c r="H4288" s="433"/>
      <c r="I4288" s="278"/>
      <c r="J4288" s="257"/>
      <c r="K4288" s="253"/>
      <c r="L4288" s="253"/>
      <c r="M4288" s="252"/>
      <c r="N4288" s="258"/>
      <c r="O4288" s="259"/>
      <c r="P4288" s="259"/>
      <c r="Q4288" s="262"/>
      <c r="R4288" s="260"/>
      <c r="S4288" s="260"/>
      <c r="T4288" s="260"/>
      <c r="U4288" s="261"/>
      <c r="V4288" s="251"/>
      <c r="W4288" s="35"/>
      <c r="X4288" s="35"/>
      <c r="Y4288" s="35"/>
      <c r="Z4288" s="35"/>
      <c r="AA4288" s="35"/>
      <c r="AB4288" s="35"/>
      <c r="AC4288" s="35"/>
      <c r="AD4288" s="35"/>
      <c r="AE4288" s="35"/>
      <c r="AF4288" s="35"/>
      <c r="AG4288" s="35"/>
      <c r="AH4288" s="35"/>
      <c r="AI4288" s="35"/>
    </row>
    <row r="4289">
      <c r="A4289" s="251"/>
      <c r="B4289" s="252"/>
      <c r="C4289" s="253"/>
      <c r="D4289" s="253"/>
      <c r="E4289" s="252"/>
      <c r="F4289" s="253"/>
      <c r="G4289" s="251"/>
      <c r="H4289" s="433"/>
      <c r="I4289" s="278"/>
      <c r="J4289" s="257"/>
      <c r="K4289" s="253"/>
      <c r="L4289" s="253"/>
      <c r="M4289" s="252"/>
      <c r="N4289" s="258"/>
      <c r="O4289" s="259"/>
      <c r="P4289" s="259"/>
      <c r="Q4289" s="262"/>
      <c r="R4289" s="260"/>
      <c r="S4289" s="260"/>
      <c r="T4289" s="260"/>
      <c r="U4289" s="261"/>
      <c r="V4289" s="251"/>
      <c r="W4289" s="35"/>
      <c r="X4289" s="35"/>
      <c r="Y4289" s="35"/>
      <c r="Z4289" s="35"/>
      <c r="AA4289" s="35"/>
      <c r="AB4289" s="35"/>
      <c r="AC4289" s="35"/>
      <c r="AD4289" s="35"/>
      <c r="AE4289" s="35"/>
      <c r="AF4289" s="35"/>
      <c r="AG4289" s="35"/>
      <c r="AH4289" s="35"/>
      <c r="AI4289" s="35"/>
    </row>
    <row r="4290">
      <c r="A4290" s="251"/>
      <c r="B4290" s="252"/>
      <c r="C4290" s="253"/>
      <c r="D4290" s="253"/>
      <c r="E4290" s="252"/>
      <c r="F4290" s="253"/>
      <c r="G4290" s="251"/>
      <c r="H4290" s="433"/>
      <c r="I4290" s="278"/>
      <c r="J4290" s="257"/>
      <c r="K4290" s="253"/>
      <c r="L4290" s="253"/>
      <c r="M4290" s="252"/>
      <c r="N4290" s="258"/>
      <c r="O4290" s="259"/>
      <c r="P4290" s="259"/>
      <c r="Q4290" s="262"/>
      <c r="R4290" s="260"/>
      <c r="S4290" s="260"/>
      <c r="T4290" s="260"/>
      <c r="U4290" s="261"/>
      <c r="V4290" s="251"/>
      <c r="W4290" s="35"/>
      <c r="X4290" s="35"/>
      <c r="Y4290" s="35"/>
      <c r="Z4290" s="35"/>
      <c r="AA4290" s="35"/>
      <c r="AB4290" s="35"/>
      <c r="AC4290" s="35"/>
      <c r="AD4290" s="35"/>
      <c r="AE4290" s="35"/>
      <c r="AF4290" s="35"/>
      <c r="AG4290" s="35"/>
      <c r="AH4290" s="35"/>
      <c r="AI4290" s="35"/>
    </row>
    <row r="4291">
      <c r="A4291" s="251"/>
      <c r="B4291" s="252"/>
      <c r="C4291" s="253"/>
      <c r="D4291" s="253"/>
      <c r="E4291" s="252"/>
      <c r="F4291" s="253"/>
      <c r="G4291" s="251"/>
      <c r="H4291" s="433"/>
      <c r="I4291" s="278"/>
      <c r="J4291" s="257"/>
      <c r="K4291" s="253"/>
      <c r="L4291" s="253"/>
      <c r="M4291" s="275"/>
      <c r="N4291" s="258"/>
      <c r="O4291" s="259"/>
      <c r="P4291" s="259"/>
      <c r="Q4291" s="262"/>
      <c r="R4291" s="260"/>
      <c r="S4291" s="260"/>
      <c r="T4291" s="260"/>
      <c r="U4291" s="261"/>
      <c r="V4291" s="251"/>
      <c r="W4291" s="35"/>
      <c r="X4291" s="35"/>
      <c r="Y4291" s="35"/>
      <c r="Z4291" s="35"/>
      <c r="AA4291" s="35"/>
      <c r="AB4291" s="35"/>
      <c r="AC4291" s="35"/>
      <c r="AD4291" s="35"/>
      <c r="AE4291" s="35"/>
      <c r="AF4291" s="35"/>
      <c r="AG4291" s="35"/>
      <c r="AH4291" s="35"/>
      <c r="AI4291" s="35"/>
    </row>
    <row r="4292">
      <c r="A4292" s="251"/>
      <c r="B4292" s="252"/>
      <c r="C4292" s="253"/>
      <c r="D4292" s="253"/>
      <c r="E4292" s="252"/>
      <c r="F4292" s="253"/>
      <c r="G4292" s="251"/>
      <c r="H4292" s="433"/>
      <c r="I4292" s="278"/>
      <c r="J4292" s="257"/>
      <c r="K4292" s="253"/>
      <c r="L4292" s="253"/>
      <c r="M4292" s="252"/>
      <c r="N4292" s="258"/>
      <c r="O4292" s="259"/>
      <c r="P4292" s="259"/>
      <c r="Q4292" s="262"/>
      <c r="R4292" s="260"/>
      <c r="S4292" s="260"/>
      <c r="T4292" s="260"/>
      <c r="U4292" s="261"/>
      <c r="V4292" s="251"/>
      <c r="W4292" s="35"/>
      <c r="X4292" s="35"/>
      <c r="Y4292" s="35"/>
      <c r="Z4292" s="35"/>
      <c r="AA4292" s="35"/>
      <c r="AB4292" s="35"/>
      <c r="AC4292" s="35"/>
      <c r="AD4292" s="35"/>
      <c r="AE4292" s="35"/>
      <c r="AF4292" s="35"/>
      <c r="AG4292" s="35"/>
      <c r="AH4292" s="35"/>
      <c r="AI4292" s="35"/>
    </row>
    <row r="4293">
      <c r="A4293" s="251"/>
      <c r="B4293" s="252"/>
      <c r="C4293" s="253"/>
      <c r="D4293" s="253"/>
      <c r="E4293" s="252"/>
      <c r="F4293" s="253"/>
      <c r="G4293" s="251"/>
      <c r="H4293" s="433"/>
      <c r="I4293" s="278"/>
      <c r="J4293" s="257"/>
      <c r="K4293" s="253"/>
      <c r="L4293" s="253"/>
      <c r="M4293" s="275"/>
      <c r="N4293" s="258"/>
      <c r="O4293" s="259"/>
      <c r="P4293" s="259"/>
      <c r="Q4293" s="262"/>
      <c r="R4293" s="260"/>
      <c r="S4293" s="260"/>
      <c r="T4293" s="260"/>
      <c r="U4293" s="261"/>
      <c r="V4293" s="251"/>
      <c r="W4293" s="35"/>
      <c r="X4293" s="35"/>
      <c r="Y4293" s="35"/>
      <c r="Z4293" s="35"/>
      <c r="AA4293" s="35"/>
      <c r="AB4293" s="35"/>
      <c r="AC4293" s="35"/>
      <c r="AD4293" s="35"/>
      <c r="AE4293" s="35"/>
      <c r="AF4293" s="35"/>
      <c r="AG4293" s="35"/>
      <c r="AH4293" s="35"/>
      <c r="AI4293" s="35"/>
    </row>
    <row r="4294">
      <c r="A4294" s="251"/>
      <c r="B4294" s="252"/>
      <c r="C4294" s="253"/>
      <c r="D4294" s="253"/>
      <c r="E4294" s="252"/>
      <c r="F4294" s="253"/>
      <c r="G4294" s="251"/>
      <c r="H4294" s="433"/>
      <c r="I4294" s="278"/>
      <c r="J4294" s="257"/>
      <c r="K4294" s="253"/>
      <c r="L4294" s="253"/>
      <c r="M4294" s="252"/>
      <c r="N4294" s="258"/>
      <c r="O4294" s="259"/>
      <c r="P4294" s="259"/>
      <c r="Q4294" s="257"/>
      <c r="R4294" s="260"/>
      <c r="S4294" s="260"/>
      <c r="T4294" s="260"/>
      <c r="U4294" s="261"/>
      <c r="V4294" s="251"/>
      <c r="W4294" s="35"/>
      <c r="X4294" s="35"/>
      <c r="Y4294" s="35"/>
      <c r="Z4294" s="35"/>
      <c r="AA4294" s="35"/>
      <c r="AB4294" s="35"/>
      <c r="AC4294" s="35"/>
      <c r="AD4294" s="35"/>
      <c r="AE4294" s="35"/>
      <c r="AF4294" s="35"/>
      <c r="AG4294" s="35"/>
      <c r="AH4294" s="35"/>
      <c r="AI4294" s="35"/>
    </row>
    <row r="4295">
      <c r="A4295" s="251"/>
      <c r="B4295" s="252"/>
      <c r="C4295" s="253"/>
      <c r="D4295" s="253"/>
      <c r="E4295" s="252"/>
      <c r="F4295" s="253"/>
      <c r="G4295" s="251"/>
      <c r="H4295" s="433"/>
      <c r="I4295" s="278"/>
      <c r="J4295" s="257"/>
      <c r="K4295" s="253"/>
      <c r="L4295" s="253"/>
      <c r="M4295" s="252"/>
      <c r="N4295" s="258"/>
      <c r="O4295" s="259"/>
      <c r="P4295" s="259"/>
      <c r="Q4295" s="262"/>
      <c r="R4295" s="260"/>
      <c r="S4295" s="260"/>
      <c r="T4295" s="260"/>
      <c r="U4295" s="261"/>
      <c r="V4295" s="251"/>
      <c r="W4295" s="35"/>
      <c r="X4295" s="35"/>
      <c r="Y4295" s="35"/>
      <c r="Z4295" s="35"/>
      <c r="AA4295" s="35"/>
      <c r="AB4295" s="35"/>
      <c r="AC4295" s="35"/>
      <c r="AD4295" s="35"/>
      <c r="AE4295" s="35"/>
      <c r="AF4295" s="35"/>
      <c r="AG4295" s="35"/>
      <c r="AH4295" s="35"/>
      <c r="AI4295" s="35"/>
    </row>
    <row r="4296">
      <c r="A4296" s="251"/>
      <c r="B4296" s="252"/>
      <c r="C4296" s="253"/>
      <c r="D4296" s="253"/>
      <c r="E4296" s="252"/>
      <c r="F4296" s="253"/>
      <c r="G4296" s="251"/>
      <c r="H4296" s="433"/>
      <c r="I4296" s="278"/>
      <c r="J4296" s="257"/>
      <c r="K4296" s="253"/>
      <c r="L4296" s="253"/>
      <c r="M4296" s="252"/>
      <c r="N4296" s="258"/>
      <c r="O4296" s="259"/>
      <c r="P4296" s="259"/>
      <c r="Q4296" s="262"/>
      <c r="R4296" s="260"/>
      <c r="S4296" s="260"/>
      <c r="T4296" s="260"/>
      <c r="U4296" s="261"/>
      <c r="V4296" s="251"/>
      <c r="W4296" s="35"/>
      <c r="X4296" s="35"/>
      <c r="Y4296" s="35"/>
      <c r="Z4296" s="35"/>
      <c r="AA4296" s="35"/>
      <c r="AB4296" s="35"/>
      <c r="AC4296" s="35"/>
      <c r="AD4296" s="35"/>
      <c r="AE4296" s="35"/>
      <c r="AF4296" s="35"/>
      <c r="AG4296" s="35"/>
      <c r="AH4296" s="35"/>
      <c r="AI4296" s="35"/>
    </row>
    <row r="4297">
      <c r="A4297" s="251"/>
      <c r="B4297" s="252"/>
      <c r="C4297" s="253"/>
      <c r="D4297" s="253"/>
      <c r="E4297" s="252"/>
      <c r="F4297" s="253"/>
      <c r="G4297" s="251"/>
      <c r="H4297" s="433"/>
      <c r="I4297" s="278"/>
      <c r="J4297" s="257"/>
      <c r="K4297" s="253"/>
      <c r="L4297" s="253"/>
      <c r="M4297" s="252"/>
      <c r="N4297" s="258"/>
      <c r="O4297" s="259"/>
      <c r="P4297" s="259"/>
      <c r="Q4297" s="262"/>
      <c r="R4297" s="260"/>
      <c r="S4297" s="260"/>
      <c r="T4297" s="260"/>
      <c r="U4297" s="261"/>
      <c r="V4297" s="251"/>
      <c r="W4297" s="35"/>
      <c r="X4297" s="35"/>
      <c r="Y4297" s="35"/>
      <c r="Z4297" s="35"/>
      <c r="AA4297" s="35"/>
      <c r="AB4297" s="35"/>
      <c r="AC4297" s="35"/>
      <c r="AD4297" s="35"/>
      <c r="AE4297" s="35"/>
      <c r="AF4297" s="35"/>
      <c r="AG4297" s="35"/>
      <c r="AH4297" s="35"/>
      <c r="AI4297" s="35"/>
    </row>
    <row r="4298">
      <c r="A4298" s="263"/>
      <c r="B4298" s="264"/>
      <c r="C4298" s="265"/>
      <c r="D4298" s="265"/>
      <c r="E4298" s="264"/>
      <c r="F4298" s="265"/>
      <c r="G4298" s="263"/>
      <c r="H4298" s="432"/>
      <c r="I4298" s="282"/>
      <c r="J4298" s="283"/>
      <c r="K4298" s="265"/>
      <c r="L4298" s="265"/>
      <c r="M4298" s="269"/>
      <c r="N4298" s="270"/>
      <c r="O4298" s="271"/>
      <c r="P4298" s="271"/>
      <c r="Q4298" s="272"/>
      <c r="R4298" s="273"/>
      <c r="S4298" s="273"/>
      <c r="T4298" s="273"/>
      <c r="U4298" s="274"/>
      <c r="V4298" s="263"/>
      <c r="W4298" s="35"/>
      <c r="X4298" s="35"/>
      <c r="Y4298" s="35"/>
      <c r="Z4298" s="35"/>
      <c r="AA4298" s="35"/>
      <c r="AB4298" s="35"/>
      <c r="AC4298" s="35"/>
      <c r="AD4298" s="35"/>
      <c r="AE4298" s="35"/>
      <c r="AF4298" s="35"/>
      <c r="AG4298" s="35"/>
      <c r="AH4298" s="35"/>
      <c r="AI4298" s="35"/>
    </row>
    <row r="4299">
      <c r="A4299" s="251"/>
      <c r="B4299" s="252"/>
      <c r="C4299" s="253"/>
      <c r="D4299" s="253"/>
      <c r="E4299" s="252"/>
      <c r="F4299" s="253"/>
      <c r="G4299" s="251"/>
      <c r="H4299" s="433"/>
      <c r="I4299" s="278"/>
      <c r="J4299" s="257"/>
      <c r="K4299" s="253"/>
      <c r="L4299" s="253"/>
      <c r="M4299" s="275"/>
      <c r="N4299" s="258"/>
      <c r="O4299" s="259"/>
      <c r="P4299" s="259"/>
      <c r="Q4299" s="262"/>
      <c r="R4299" s="260"/>
      <c r="S4299" s="260"/>
      <c r="T4299" s="260"/>
      <c r="U4299" s="261"/>
      <c r="V4299" s="251"/>
      <c r="W4299" s="35"/>
      <c r="X4299" s="35"/>
      <c r="Y4299" s="35"/>
      <c r="Z4299" s="35"/>
      <c r="AA4299" s="35"/>
      <c r="AB4299" s="35"/>
      <c r="AC4299" s="35"/>
      <c r="AD4299" s="35"/>
      <c r="AE4299" s="35"/>
      <c r="AF4299" s="35"/>
      <c r="AG4299" s="35"/>
      <c r="AH4299" s="35"/>
      <c r="AI4299" s="35"/>
    </row>
    <row r="4300">
      <c r="A4300" s="251"/>
      <c r="B4300" s="252"/>
      <c r="C4300" s="253"/>
      <c r="D4300" s="253"/>
      <c r="E4300" s="252"/>
      <c r="F4300" s="253"/>
      <c r="G4300" s="251"/>
      <c r="H4300" s="433"/>
      <c r="I4300" s="278"/>
      <c r="J4300" s="257"/>
      <c r="K4300" s="253"/>
      <c r="L4300" s="253"/>
      <c r="M4300" s="252"/>
      <c r="N4300" s="258"/>
      <c r="O4300" s="259"/>
      <c r="P4300" s="259"/>
      <c r="Q4300" s="262"/>
      <c r="R4300" s="260"/>
      <c r="S4300" s="260"/>
      <c r="T4300" s="260"/>
      <c r="U4300" s="261"/>
      <c r="V4300" s="251"/>
      <c r="W4300" s="35"/>
      <c r="X4300" s="35"/>
      <c r="Y4300" s="35"/>
      <c r="Z4300" s="35"/>
      <c r="AA4300" s="35"/>
      <c r="AB4300" s="35"/>
      <c r="AC4300" s="35"/>
      <c r="AD4300" s="35"/>
      <c r="AE4300" s="35"/>
      <c r="AF4300" s="35"/>
      <c r="AG4300" s="35"/>
      <c r="AH4300" s="35"/>
      <c r="AI4300" s="35"/>
    </row>
    <row r="4301">
      <c r="A4301" s="251"/>
      <c r="B4301" s="252"/>
      <c r="C4301" s="253"/>
      <c r="D4301" s="253"/>
      <c r="E4301" s="252"/>
      <c r="F4301" s="253"/>
      <c r="G4301" s="251"/>
      <c r="H4301" s="433"/>
      <c r="I4301" s="278"/>
      <c r="J4301" s="257"/>
      <c r="K4301" s="253"/>
      <c r="L4301" s="253"/>
      <c r="M4301" s="252"/>
      <c r="N4301" s="258"/>
      <c r="O4301" s="259"/>
      <c r="P4301" s="259"/>
      <c r="Q4301" s="262"/>
      <c r="R4301" s="260"/>
      <c r="S4301" s="260"/>
      <c r="T4301" s="260"/>
      <c r="U4301" s="261"/>
      <c r="V4301" s="251"/>
      <c r="W4301" s="35"/>
      <c r="X4301" s="35"/>
      <c r="Y4301" s="35"/>
      <c r="Z4301" s="35"/>
      <c r="AA4301" s="35"/>
      <c r="AB4301" s="35"/>
      <c r="AC4301" s="35"/>
      <c r="AD4301" s="35"/>
      <c r="AE4301" s="35"/>
      <c r="AF4301" s="35"/>
      <c r="AG4301" s="35"/>
      <c r="AH4301" s="35"/>
      <c r="AI4301" s="35"/>
    </row>
    <row r="4302">
      <c r="A4302" s="251"/>
      <c r="B4302" s="252"/>
      <c r="C4302" s="253"/>
      <c r="D4302" s="253"/>
      <c r="E4302" s="252"/>
      <c r="F4302" s="253"/>
      <c r="G4302" s="251"/>
      <c r="H4302" s="433"/>
      <c r="I4302" s="278"/>
      <c r="J4302" s="257"/>
      <c r="K4302" s="253"/>
      <c r="L4302" s="253"/>
      <c r="M4302" s="275"/>
      <c r="N4302" s="258"/>
      <c r="O4302" s="259"/>
      <c r="P4302" s="259"/>
      <c r="Q4302" s="262"/>
      <c r="R4302" s="260"/>
      <c r="S4302" s="260"/>
      <c r="T4302" s="260"/>
      <c r="U4302" s="261"/>
      <c r="V4302" s="251"/>
      <c r="W4302" s="35"/>
      <c r="X4302" s="35"/>
      <c r="Y4302" s="35"/>
      <c r="Z4302" s="35"/>
      <c r="AA4302" s="35"/>
      <c r="AB4302" s="35"/>
      <c r="AC4302" s="35"/>
      <c r="AD4302" s="35"/>
      <c r="AE4302" s="35"/>
      <c r="AF4302" s="35"/>
      <c r="AG4302" s="35"/>
      <c r="AH4302" s="35"/>
      <c r="AI4302" s="35"/>
    </row>
    <row r="4303">
      <c r="A4303" s="251"/>
      <c r="B4303" s="252"/>
      <c r="C4303" s="253"/>
      <c r="D4303" s="253"/>
      <c r="E4303" s="252"/>
      <c r="F4303" s="253"/>
      <c r="G4303" s="251"/>
      <c r="H4303" s="433"/>
      <c r="I4303" s="278"/>
      <c r="J4303" s="257"/>
      <c r="K4303" s="253"/>
      <c r="L4303" s="253"/>
      <c r="M4303" s="252"/>
      <c r="N4303" s="258"/>
      <c r="O4303" s="259"/>
      <c r="P4303" s="259"/>
      <c r="Q4303" s="262"/>
      <c r="R4303" s="260"/>
      <c r="S4303" s="260"/>
      <c r="T4303" s="260"/>
      <c r="U4303" s="261"/>
      <c r="V4303" s="251"/>
      <c r="W4303" s="35"/>
      <c r="X4303" s="35"/>
      <c r="Y4303" s="35"/>
      <c r="Z4303" s="35"/>
      <c r="AA4303" s="35"/>
      <c r="AB4303" s="35"/>
      <c r="AC4303" s="35"/>
      <c r="AD4303" s="35"/>
      <c r="AE4303" s="35"/>
      <c r="AF4303" s="35"/>
      <c r="AG4303" s="35"/>
      <c r="AH4303" s="35"/>
      <c r="AI4303" s="35"/>
    </row>
    <row r="4304">
      <c r="A4304" s="251"/>
      <c r="B4304" s="252"/>
      <c r="C4304" s="253"/>
      <c r="D4304" s="253"/>
      <c r="E4304" s="252"/>
      <c r="F4304" s="253"/>
      <c r="G4304" s="251"/>
      <c r="H4304" s="433"/>
      <c r="I4304" s="278"/>
      <c r="J4304" s="257"/>
      <c r="K4304" s="253"/>
      <c r="L4304" s="253"/>
      <c r="M4304" s="252"/>
      <c r="N4304" s="258"/>
      <c r="O4304" s="259"/>
      <c r="P4304" s="259"/>
      <c r="Q4304" s="262"/>
      <c r="R4304" s="260"/>
      <c r="S4304" s="260"/>
      <c r="T4304" s="260"/>
      <c r="U4304" s="261"/>
      <c r="V4304" s="251"/>
      <c r="W4304" s="35"/>
      <c r="X4304" s="35"/>
      <c r="Y4304" s="35"/>
      <c r="Z4304" s="35"/>
      <c r="AA4304" s="35"/>
      <c r="AB4304" s="35"/>
      <c r="AC4304" s="35"/>
      <c r="AD4304" s="35"/>
      <c r="AE4304" s="35"/>
      <c r="AF4304" s="35"/>
      <c r="AG4304" s="35"/>
      <c r="AH4304" s="35"/>
      <c r="AI4304" s="35"/>
    </row>
    <row r="4305">
      <c r="A4305" s="251"/>
      <c r="B4305" s="252"/>
      <c r="C4305" s="253"/>
      <c r="D4305" s="253"/>
      <c r="E4305" s="252"/>
      <c r="F4305" s="253"/>
      <c r="G4305" s="251"/>
      <c r="H4305" s="433"/>
      <c r="I4305" s="278"/>
      <c r="J4305" s="257"/>
      <c r="K4305" s="253"/>
      <c r="L4305" s="253"/>
      <c r="M4305" s="252"/>
      <c r="N4305" s="258"/>
      <c r="O4305" s="259"/>
      <c r="P4305" s="259"/>
      <c r="Q4305" s="262"/>
      <c r="R4305" s="260"/>
      <c r="S4305" s="260"/>
      <c r="T4305" s="260"/>
      <c r="U4305" s="261"/>
      <c r="V4305" s="251"/>
      <c r="W4305" s="35"/>
      <c r="X4305" s="35"/>
      <c r="Y4305" s="35"/>
      <c r="Z4305" s="35"/>
      <c r="AA4305" s="35"/>
      <c r="AB4305" s="35"/>
      <c r="AC4305" s="35"/>
      <c r="AD4305" s="35"/>
      <c r="AE4305" s="35"/>
      <c r="AF4305" s="35"/>
      <c r="AG4305" s="35"/>
      <c r="AH4305" s="35"/>
      <c r="AI4305" s="35"/>
    </row>
    <row r="4306">
      <c r="A4306" s="251"/>
      <c r="B4306" s="252"/>
      <c r="C4306" s="253"/>
      <c r="D4306" s="253"/>
      <c r="E4306" s="252"/>
      <c r="F4306" s="253"/>
      <c r="G4306" s="251"/>
      <c r="H4306" s="433"/>
      <c r="I4306" s="278"/>
      <c r="J4306" s="257"/>
      <c r="K4306" s="253"/>
      <c r="L4306" s="253"/>
      <c r="M4306" s="252"/>
      <c r="N4306" s="258"/>
      <c r="O4306" s="259"/>
      <c r="P4306" s="259"/>
      <c r="Q4306" s="262"/>
      <c r="R4306" s="260"/>
      <c r="S4306" s="260"/>
      <c r="T4306" s="260"/>
      <c r="U4306" s="261"/>
      <c r="V4306" s="251"/>
      <c r="W4306" s="35"/>
      <c r="X4306" s="35"/>
      <c r="Y4306" s="35"/>
      <c r="Z4306" s="35"/>
      <c r="AA4306" s="35"/>
      <c r="AB4306" s="35"/>
      <c r="AC4306" s="35"/>
      <c r="AD4306" s="35"/>
      <c r="AE4306" s="35"/>
      <c r="AF4306" s="35"/>
      <c r="AG4306" s="35"/>
      <c r="AH4306" s="35"/>
      <c r="AI4306" s="35"/>
    </row>
    <row r="4307">
      <c r="A4307" s="251"/>
      <c r="B4307" s="252"/>
      <c r="C4307" s="253"/>
      <c r="D4307" s="253"/>
      <c r="E4307" s="252"/>
      <c r="F4307" s="253"/>
      <c r="G4307" s="251"/>
      <c r="H4307" s="433"/>
      <c r="I4307" s="278"/>
      <c r="J4307" s="257"/>
      <c r="K4307" s="253"/>
      <c r="L4307" s="253"/>
      <c r="M4307" s="275"/>
      <c r="N4307" s="258"/>
      <c r="O4307" s="259"/>
      <c r="P4307" s="259"/>
      <c r="Q4307" s="262"/>
      <c r="R4307" s="260"/>
      <c r="S4307" s="260"/>
      <c r="T4307" s="260"/>
      <c r="U4307" s="261"/>
      <c r="V4307" s="251"/>
      <c r="W4307" s="35"/>
      <c r="X4307" s="35"/>
      <c r="Y4307" s="35"/>
      <c r="Z4307" s="35"/>
      <c r="AA4307" s="35"/>
      <c r="AB4307" s="35"/>
      <c r="AC4307" s="35"/>
      <c r="AD4307" s="35"/>
      <c r="AE4307" s="35"/>
      <c r="AF4307" s="35"/>
      <c r="AG4307" s="35"/>
      <c r="AH4307" s="35"/>
      <c r="AI4307" s="35"/>
    </row>
    <row r="4308">
      <c r="A4308" s="251"/>
      <c r="B4308" s="252"/>
      <c r="C4308" s="253"/>
      <c r="D4308" s="253"/>
      <c r="E4308" s="252"/>
      <c r="F4308" s="253"/>
      <c r="G4308" s="251"/>
      <c r="H4308" s="433"/>
      <c r="I4308" s="278"/>
      <c r="J4308" s="257"/>
      <c r="K4308" s="253"/>
      <c r="L4308" s="253"/>
      <c r="M4308" s="252"/>
      <c r="N4308" s="258"/>
      <c r="O4308" s="259"/>
      <c r="P4308" s="259"/>
      <c r="Q4308" s="262"/>
      <c r="R4308" s="260"/>
      <c r="S4308" s="260"/>
      <c r="T4308" s="260"/>
      <c r="U4308" s="261"/>
      <c r="V4308" s="251"/>
      <c r="W4308" s="35"/>
      <c r="X4308" s="35"/>
      <c r="Y4308" s="35"/>
      <c r="Z4308" s="35"/>
      <c r="AA4308" s="35"/>
      <c r="AB4308" s="35"/>
      <c r="AC4308" s="35"/>
      <c r="AD4308" s="35"/>
      <c r="AE4308" s="35"/>
      <c r="AF4308" s="35"/>
      <c r="AG4308" s="35"/>
      <c r="AH4308" s="35"/>
      <c r="AI4308" s="35"/>
    </row>
    <row r="4309">
      <c r="A4309" s="263"/>
      <c r="B4309" s="264"/>
      <c r="C4309" s="265"/>
      <c r="D4309" s="265"/>
      <c r="E4309" s="264"/>
      <c r="F4309" s="265"/>
      <c r="G4309" s="263"/>
      <c r="H4309" s="432"/>
      <c r="I4309" s="282"/>
      <c r="J4309" s="283"/>
      <c r="K4309" s="265"/>
      <c r="L4309" s="265"/>
      <c r="M4309" s="269"/>
      <c r="N4309" s="270"/>
      <c r="O4309" s="271"/>
      <c r="P4309" s="271"/>
      <c r="Q4309" s="272"/>
      <c r="R4309" s="273"/>
      <c r="S4309" s="273"/>
      <c r="T4309" s="273"/>
      <c r="U4309" s="274"/>
      <c r="V4309" s="263"/>
      <c r="W4309" s="35"/>
      <c r="X4309" s="35"/>
      <c r="Y4309" s="35"/>
      <c r="Z4309" s="35"/>
      <c r="AA4309" s="35"/>
      <c r="AB4309" s="35"/>
      <c r="AC4309" s="35"/>
      <c r="AD4309" s="35"/>
      <c r="AE4309" s="35"/>
      <c r="AF4309" s="35"/>
      <c r="AG4309" s="35"/>
      <c r="AH4309" s="35"/>
      <c r="AI4309" s="35"/>
    </row>
    <row r="4310">
      <c r="A4310" s="251"/>
      <c r="B4310" s="252"/>
      <c r="C4310" s="253"/>
      <c r="D4310" s="253"/>
      <c r="E4310" s="252"/>
      <c r="F4310" s="253"/>
      <c r="G4310" s="251"/>
      <c r="H4310" s="433"/>
      <c r="I4310" s="278"/>
      <c r="J4310" s="257"/>
      <c r="K4310" s="253"/>
      <c r="L4310" s="253"/>
      <c r="M4310" s="252"/>
      <c r="N4310" s="258"/>
      <c r="O4310" s="259"/>
      <c r="P4310" s="259"/>
      <c r="Q4310" s="257"/>
      <c r="R4310" s="260"/>
      <c r="S4310" s="260"/>
      <c r="T4310" s="260"/>
      <c r="U4310" s="261"/>
      <c r="V4310" s="251"/>
      <c r="W4310" s="35"/>
      <c r="X4310" s="35"/>
      <c r="Y4310" s="35"/>
      <c r="Z4310" s="35"/>
      <c r="AA4310" s="35"/>
      <c r="AB4310" s="35"/>
      <c r="AC4310" s="35"/>
      <c r="AD4310" s="35"/>
      <c r="AE4310" s="35"/>
      <c r="AF4310" s="35"/>
      <c r="AG4310" s="35"/>
      <c r="AH4310" s="35"/>
      <c r="AI4310" s="35"/>
    </row>
    <row r="4311">
      <c r="A4311" s="251"/>
      <c r="B4311" s="252"/>
      <c r="C4311" s="253"/>
      <c r="D4311" s="253"/>
      <c r="E4311" s="252"/>
      <c r="F4311" s="253"/>
      <c r="G4311" s="251"/>
      <c r="H4311" s="433"/>
      <c r="I4311" s="278"/>
      <c r="J4311" s="257"/>
      <c r="K4311" s="253"/>
      <c r="L4311" s="253"/>
      <c r="M4311" s="252"/>
      <c r="N4311" s="258"/>
      <c r="O4311" s="259"/>
      <c r="P4311" s="259"/>
      <c r="Q4311" s="262"/>
      <c r="R4311" s="260"/>
      <c r="S4311" s="260"/>
      <c r="T4311" s="260"/>
      <c r="U4311" s="261"/>
      <c r="V4311" s="251"/>
      <c r="W4311" s="35"/>
      <c r="X4311" s="35"/>
      <c r="Y4311" s="35"/>
      <c r="Z4311" s="35"/>
      <c r="AA4311" s="35"/>
      <c r="AB4311" s="35"/>
      <c r="AC4311" s="35"/>
      <c r="AD4311" s="35"/>
      <c r="AE4311" s="35"/>
      <c r="AF4311" s="35"/>
      <c r="AG4311" s="35"/>
      <c r="AH4311" s="35"/>
      <c r="AI4311" s="35"/>
    </row>
    <row r="4312">
      <c r="A4312" s="251"/>
      <c r="B4312" s="252"/>
      <c r="C4312" s="253"/>
      <c r="D4312" s="253"/>
      <c r="E4312" s="252"/>
      <c r="F4312" s="253"/>
      <c r="G4312" s="251"/>
      <c r="H4312" s="433"/>
      <c r="I4312" s="278"/>
      <c r="J4312" s="257"/>
      <c r="K4312" s="253"/>
      <c r="L4312" s="253"/>
      <c r="M4312" s="252"/>
      <c r="N4312" s="258"/>
      <c r="O4312" s="259"/>
      <c r="P4312" s="259"/>
      <c r="Q4312" s="262"/>
      <c r="R4312" s="260"/>
      <c r="S4312" s="260"/>
      <c r="T4312" s="260"/>
      <c r="U4312" s="261"/>
      <c r="V4312" s="251"/>
      <c r="W4312" s="35"/>
      <c r="X4312" s="35"/>
      <c r="Y4312" s="35"/>
      <c r="Z4312" s="35"/>
      <c r="AA4312" s="35"/>
      <c r="AB4312" s="35"/>
      <c r="AC4312" s="35"/>
      <c r="AD4312" s="35"/>
      <c r="AE4312" s="35"/>
      <c r="AF4312" s="35"/>
      <c r="AG4312" s="35"/>
      <c r="AH4312" s="35"/>
      <c r="AI4312" s="35"/>
    </row>
    <row r="4313">
      <c r="A4313" s="251"/>
      <c r="B4313" s="252"/>
      <c r="C4313" s="253"/>
      <c r="D4313" s="253"/>
      <c r="E4313" s="252"/>
      <c r="F4313" s="253"/>
      <c r="G4313" s="251"/>
      <c r="H4313" s="433"/>
      <c r="I4313" s="278"/>
      <c r="J4313" s="257"/>
      <c r="K4313" s="253"/>
      <c r="L4313" s="253"/>
      <c r="M4313" s="275"/>
      <c r="N4313" s="258"/>
      <c r="O4313" s="259"/>
      <c r="P4313" s="259"/>
      <c r="Q4313" s="262"/>
      <c r="R4313" s="260"/>
      <c r="S4313" s="260"/>
      <c r="T4313" s="260"/>
      <c r="U4313" s="261"/>
      <c r="V4313" s="251"/>
      <c r="W4313" s="35"/>
      <c r="X4313" s="35"/>
      <c r="Y4313" s="35"/>
      <c r="Z4313" s="35"/>
      <c r="AA4313" s="35"/>
      <c r="AB4313" s="35"/>
      <c r="AC4313" s="35"/>
      <c r="AD4313" s="35"/>
      <c r="AE4313" s="35"/>
      <c r="AF4313" s="35"/>
      <c r="AG4313" s="35"/>
      <c r="AH4313" s="35"/>
      <c r="AI4313" s="35"/>
    </row>
    <row r="4314">
      <c r="A4314" s="251"/>
      <c r="B4314" s="252"/>
      <c r="C4314" s="253"/>
      <c r="D4314" s="253"/>
      <c r="E4314" s="252"/>
      <c r="F4314" s="253"/>
      <c r="G4314" s="251"/>
      <c r="H4314" s="433"/>
      <c r="I4314" s="278"/>
      <c r="J4314" s="257"/>
      <c r="K4314" s="253"/>
      <c r="L4314" s="253"/>
      <c r="M4314" s="275"/>
      <c r="N4314" s="258"/>
      <c r="O4314" s="259"/>
      <c r="P4314" s="259"/>
      <c r="Q4314" s="262"/>
      <c r="R4314" s="260"/>
      <c r="S4314" s="260"/>
      <c r="T4314" s="260"/>
      <c r="U4314" s="261"/>
      <c r="V4314" s="251"/>
      <c r="W4314" s="35"/>
      <c r="X4314" s="35"/>
      <c r="Y4314" s="35"/>
      <c r="Z4314" s="35"/>
      <c r="AA4314" s="35"/>
      <c r="AB4314" s="35"/>
      <c r="AC4314" s="35"/>
      <c r="AD4314" s="35"/>
      <c r="AE4314" s="35"/>
      <c r="AF4314" s="35"/>
      <c r="AG4314" s="35"/>
      <c r="AH4314" s="35"/>
      <c r="AI4314" s="35"/>
    </row>
    <row r="4315">
      <c r="A4315" s="251"/>
      <c r="B4315" s="252"/>
      <c r="C4315" s="253"/>
      <c r="D4315" s="253"/>
      <c r="E4315" s="252"/>
      <c r="F4315" s="253"/>
      <c r="G4315" s="251"/>
      <c r="H4315" s="433"/>
      <c r="I4315" s="278"/>
      <c r="J4315" s="257"/>
      <c r="K4315" s="253"/>
      <c r="L4315" s="253"/>
      <c r="M4315" s="252"/>
      <c r="N4315" s="258"/>
      <c r="O4315" s="259"/>
      <c r="P4315" s="259"/>
      <c r="Q4315" s="262"/>
      <c r="R4315" s="260"/>
      <c r="S4315" s="260"/>
      <c r="T4315" s="260"/>
      <c r="U4315" s="261"/>
      <c r="V4315" s="251"/>
      <c r="W4315" s="35"/>
      <c r="X4315" s="35"/>
      <c r="Y4315" s="35"/>
      <c r="Z4315" s="35"/>
      <c r="AA4315" s="35"/>
      <c r="AB4315" s="35"/>
      <c r="AC4315" s="35"/>
      <c r="AD4315" s="35"/>
      <c r="AE4315" s="35"/>
      <c r="AF4315" s="35"/>
      <c r="AG4315" s="35"/>
      <c r="AH4315" s="35"/>
      <c r="AI4315" s="35"/>
    </row>
    <row r="4316">
      <c r="A4316" s="251"/>
      <c r="B4316" s="252"/>
      <c r="C4316" s="253"/>
      <c r="D4316" s="253"/>
      <c r="E4316" s="252"/>
      <c r="F4316" s="253"/>
      <c r="G4316" s="251"/>
      <c r="H4316" s="433"/>
      <c r="I4316" s="278"/>
      <c r="J4316" s="257"/>
      <c r="K4316" s="253"/>
      <c r="L4316" s="253"/>
      <c r="M4316" s="275"/>
      <c r="N4316" s="258"/>
      <c r="O4316" s="259"/>
      <c r="P4316" s="259"/>
      <c r="Q4316" s="262"/>
      <c r="R4316" s="260"/>
      <c r="S4316" s="260"/>
      <c r="T4316" s="260"/>
      <c r="U4316" s="261"/>
      <c r="V4316" s="251"/>
      <c r="W4316" s="35"/>
      <c r="X4316" s="35"/>
      <c r="Y4316" s="35"/>
      <c r="Z4316" s="35"/>
      <c r="AA4316" s="35"/>
      <c r="AB4316" s="35"/>
      <c r="AC4316" s="35"/>
      <c r="AD4316" s="35"/>
      <c r="AE4316" s="35"/>
      <c r="AF4316" s="35"/>
      <c r="AG4316" s="35"/>
      <c r="AH4316" s="35"/>
      <c r="AI4316" s="35"/>
    </row>
    <row r="4317">
      <c r="A4317" s="251"/>
      <c r="B4317" s="252"/>
      <c r="C4317" s="253"/>
      <c r="D4317" s="253"/>
      <c r="E4317" s="252"/>
      <c r="F4317" s="253"/>
      <c r="G4317" s="251"/>
      <c r="H4317" s="433"/>
      <c r="I4317" s="278"/>
      <c r="J4317" s="257"/>
      <c r="K4317" s="253"/>
      <c r="L4317" s="253"/>
      <c r="M4317" s="252"/>
      <c r="N4317" s="258"/>
      <c r="O4317" s="259"/>
      <c r="P4317" s="259"/>
      <c r="Q4317" s="262"/>
      <c r="R4317" s="260"/>
      <c r="S4317" s="260"/>
      <c r="T4317" s="260"/>
      <c r="U4317" s="261"/>
      <c r="V4317" s="251"/>
      <c r="W4317" s="35"/>
      <c r="X4317" s="35"/>
      <c r="Y4317" s="35"/>
      <c r="Z4317" s="35"/>
      <c r="AA4317" s="35"/>
      <c r="AB4317" s="35"/>
      <c r="AC4317" s="35"/>
      <c r="AD4317" s="35"/>
      <c r="AE4317" s="35"/>
      <c r="AF4317" s="35"/>
      <c r="AG4317" s="35"/>
      <c r="AH4317" s="35"/>
      <c r="AI4317" s="35"/>
    </row>
    <row r="4318">
      <c r="A4318" s="251"/>
      <c r="B4318" s="252"/>
      <c r="C4318" s="253"/>
      <c r="D4318" s="253"/>
      <c r="E4318" s="252"/>
      <c r="F4318" s="253"/>
      <c r="G4318" s="251"/>
      <c r="H4318" s="433"/>
      <c r="I4318" s="278"/>
      <c r="J4318" s="257"/>
      <c r="K4318" s="253"/>
      <c r="L4318" s="253"/>
      <c r="M4318" s="252"/>
      <c r="N4318" s="258"/>
      <c r="O4318" s="259"/>
      <c r="P4318" s="259"/>
      <c r="Q4318" s="262"/>
      <c r="R4318" s="260"/>
      <c r="S4318" s="260"/>
      <c r="T4318" s="260"/>
      <c r="U4318" s="261"/>
      <c r="V4318" s="251"/>
      <c r="W4318" s="35"/>
      <c r="X4318" s="35"/>
      <c r="Y4318" s="35"/>
      <c r="Z4318" s="35"/>
      <c r="AA4318" s="35"/>
      <c r="AB4318" s="35"/>
      <c r="AC4318" s="35"/>
      <c r="AD4318" s="35"/>
      <c r="AE4318" s="35"/>
      <c r="AF4318" s="35"/>
      <c r="AG4318" s="35"/>
      <c r="AH4318" s="35"/>
      <c r="AI4318" s="35"/>
    </row>
    <row r="4319">
      <c r="A4319" s="251"/>
      <c r="B4319" s="252"/>
      <c r="C4319" s="253"/>
      <c r="D4319" s="253"/>
      <c r="E4319" s="252"/>
      <c r="F4319" s="253"/>
      <c r="G4319" s="251"/>
      <c r="H4319" s="433"/>
      <c r="I4319" s="278"/>
      <c r="J4319" s="257"/>
      <c r="K4319" s="253"/>
      <c r="L4319" s="253"/>
      <c r="M4319" s="275"/>
      <c r="N4319" s="258"/>
      <c r="O4319" s="259"/>
      <c r="P4319" s="259"/>
      <c r="Q4319" s="262"/>
      <c r="R4319" s="260"/>
      <c r="S4319" s="260"/>
      <c r="T4319" s="260"/>
      <c r="U4319" s="261"/>
      <c r="V4319" s="251"/>
      <c r="W4319" s="35"/>
      <c r="X4319" s="35"/>
      <c r="Y4319" s="35"/>
      <c r="Z4319" s="35"/>
      <c r="AA4319" s="35"/>
      <c r="AB4319" s="35"/>
      <c r="AC4319" s="35"/>
      <c r="AD4319" s="35"/>
      <c r="AE4319" s="35"/>
      <c r="AF4319" s="35"/>
      <c r="AG4319" s="35"/>
      <c r="AH4319" s="35"/>
      <c r="AI4319" s="35"/>
    </row>
    <row r="4320">
      <c r="A4320" s="251"/>
      <c r="B4320" s="252"/>
      <c r="C4320" s="253"/>
      <c r="D4320" s="253"/>
      <c r="E4320" s="252"/>
      <c r="F4320" s="253"/>
      <c r="G4320" s="251"/>
      <c r="H4320" s="433"/>
      <c r="I4320" s="278"/>
      <c r="J4320" s="257"/>
      <c r="K4320" s="253"/>
      <c r="L4320" s="253"/>
      <c r="M4320" s="252"/>
      <c r="N4320" s="258"/>
      <c r="O4320" s="259"/>
      <c r="P4320" s="259"/>
      <c r="Q4320" s="262"/>
      <c r="R4320" s="260"/>
      <c r="S4320" s="260"/>
      <c r="T4320" s="260"/>
      <c r="U4320" s="261"/>
      <c r="V4320" s="251"/>
      <c r="W4320" s="35"/>
      <c r="X4320" s="35"/>
      <c r="Y4320" s="35"/>
      <c r="Z4320" s="35"/>
      <c r="AA4320" s="35"/>
      <c r="AB4320" s="35"/>
      <c r="AC4320" s="35"/>
      <c r="AD4320" s="35"/>
      <c r="AE4320" s="35"/>
      <c r="AF4320" s="35"/>
      <c r="AG4320" s="35"/>
      <c r="AH4320" s="35"/>
      <c r="AI4320" s="35"/>
    </row>
    <row r="4321">
      <c r="A4321" s="251"/>
      <c r="B4321" s="252"/>
      <c r="C4321" s="253"/>
      <c r="D4321" s="253"/>
      <c r="E4321" s="252"/>
      <c r="F4321" s="253"/>
      <c r="G4321" s="251"/>
      <c r="H4321" s="433"/>
      <c r="I4321" s="278"/>
      <c r="J4321" s="257"/>
      <c r="K4321" s="253"/>
      <c r="L4321" s="253"/>
      <c r="M4321" s="252"/>
      <c r="N4321" s="258"/>
      <c r="O4321" s="259"/>
      <c r="P4321" s="259"/>
      <c r="Q4321" s="257"/>
      <c r="R4321" s="260"/>
      <c r="S4321" s="260"/>
      <c r="T4321" s="260"/>
      <c r="U4321" s="261"/>
      <c r="V4321" s="251"/>
      <c r="W4321" s="35"/>
      <c r="X4321" s="35"/>
      <c r="Y4321" s="35"/>
      <c r="Z4321" s="35"/>
      <c r="AA4321" s="35"/>
      <c r="AB4321" s="35"/>
      <c r="AC4321" s="35"/>
      <c r="AD4321" s="35"/>
      <c r="AE4321" s="35"/>
      <c r="AF4321" s="35"/>
      <c r="AG4321" s="35"/>
      <c r="AH4321" s="35"/>
      <c r="AI4321" s="35"/>
    </row>
    <row r="4322">
      <c r="A4322" s="251"/>
      <c r="B4322" s="252"/>
      <c r="C4322" s="253"/>
      <c r="D4322" s="253"/>
      <c r="E4322" s="252"/>
      <c r="F4322" s="253"/>
      <c r="G4322" s="251"/>
      <c r="H4322" s="433"/>
      <c r="I4322" s="278"/>
      <c r="J4322" s="257"/>
      <c r="K4322" s="253"/>
      <c r="L4322" s="253"/>
      <c r="M4322" s="275"/>
      <c r="N4322" s="258"/>
      <c r="O4322" s="259"/>
      <c r="P4322" s="259"/>
      <c r="Q4322" s="262"/>
      <c r="R4322" s="260"/>
      <c r="S4322" s="260"/>
      <c r="T4322" s="260"/>
      <c r="U4322" s="261"/>
      <c r="V4322" s="251"/>
      <c r="W4322" s="35"/>
      <c r="X4322" s="35"/>
      <c r="Y4322" s="35"/>
      <c r="Z4322" s="35"/>
      <c r="AA4322" s="35"/>
      <c r="AB4322" s="35"/>
      <c r="AC4322" s="35"/>
      <c r="AD4322" s="35"/>
      <c r="AE4322" s="35"/>
      <c r="AF4322" s="35"/>
      <c r="AG4322" s="35"/>
      <c r="AH4322" s="35"/>
      <c r="AI4322" s="35"/>
    </row>
    <row r="4323">
      <c r="A4323" s="251"/>
      <c r="B4323" s="252"/>
      <c r="C4323" s="253"/>
      <c r="D4323" s="253"/>
      <c r="E4323" s="252"/>
      <c r="F4323" s="253"/>
      <c r="G4323" s="251"/>
      <c r="H4323" s="433"/>
      <c r="I4323" s="278"/>
      <c r="J4323" s="257"/>
      <c r="K4323" s="253"/>
      <c r="L4323" s="253"/>
      <c r="M4323" s="252"/>
      <c r="N4323" s="258"/>
      <c r="O4323" s="259"/>
      <c r="P4323" s="259"/>
      <c r="Q4323" s="262"/>
      <c r="R4323" s="260"/>
      <c r="S4323" s="260"/>
      <c r="T4323" s="260"/>
      <c r="U4323" s="261"/>
      <c r="V4323" s="251"/>
      <c r="W4323" s="35"/>
      <c r="X4323" s="35"/>
      <c r="Y4323" s="35"/>
      <c r="Z4323" s="35"/>
      <c r="AA4323" s="35"/>
      <c r="AB4323" s="35"/>
      <c r="AC4323" s="35"/>
      <c r="AD4323" s="35"/>
      <c r="AE4323" s="35"/>
      <c r="AF4323" s="35"/>
      <c r="AG4323" s="35"/>
      <c r="AH4323" s="35"/>
      <c r="AI4323" s="35"/>
    </row>
    <row r="4324">
      <c r="A4324" s="251"/>
      <c r="B4324" s="252"/>
      <c r="C4324" s="253"/>
      <c r="D4324" s="253"/>
      <c r="E4324" s="252"/>
      <c r="F4324" s="253"/>
      <c r="G4324" s="251"/>
      <c r="H4324" s="433"/>
      <c r="I4324" s="278"/>
      <c r="J4324" s="257"/>
      <c r="K4324" s="253"/>
      <c r="L4324" s="253"/>
      <c r="M4324" s="252"/>
      <c r="N4324" s="258"/>
      <c r="O4324" s="259"/>
      <c r="P4324" s="259"/>
      <c r="Q4324" s="262"/>
      <c r="R4324" s="260"/>
      <c r="S4324" s="260"/>
      <c r="T4324" s="260"/>
      <c r="U4324" s="261"/>
      <c r="V4324" s="251"/>
      <c r="W4324" s="35"/>
      <c r="X4324" s="35"/>
      <c r="Y4324" s="35"/>
      <c r="Z4324" s="35"/>
      <c r="AA4324" s="35"/>
      <c r="AB4324" s="35"/>
      <c r="AC4324" s="35"/>
      <c r="AD4324" s="35"/>
      <c r="AE4324" s="35"/>
      <c r="AF4324" s="35"/>
      <c r="AG4324" s="35"/>
      <c r="AH4324" s="35"/>
      <c r="AI4324" s="35"/>
    </row>
    <row r="4325">
      <c r="A4325" s="251"/>
      <c r="B4325" s="252"/>
      <c r="C4325" s="253"/>
      <c r="D4325" s="253"/>
      <c r="E4325" s="252"/>
      <c r="F4325" s="253"/>
      <c r="G4325" s="251"/>
      <c r="H4325" s="433"/>
      <c r="I4325" s="278"/>
      <c r="J4325" s="257"/>
      <c r="K4325" s="253"/>
      <c r="L4325" s="253"/>
      <c r="M4325" s="252"/>
      <c r="N4325" s="258"/>
      <c r="O4325" s="259"/>
      <c r="P4325" s="259"/>
      <c r="Q4325" s="262"/>
      <c r="R4325" s="260"/>
      <c r="S4325" s="260"/>
      <c r="T4325" s="260"/>
      <c r="U4325" s="261"/>
      <c r="V4325" s="251"/>
      <c r="W4325" s="35"/>
      <c r="X4325" s="35"/>
      <c r="Y4325" s="35"/>
      <c r="Z4325" s="35"/>
      <c r="AA4325" s="35"/>
      <c r="AB4325" s="35"/>
      <c r="AC4325" s="35"/>
      <c r="AD4325" s="35"/>
      <c r="AE4325" s="35"/>
      <c r="AF4325" s="35"/>
      <c r="AG4325" s="35"/>
      <c r="AH4325" s="35"/>
      <c r="AI4325" s="35"/>
    </row>
    <row r="4326">
      <c r="A4326" s="251"/>
      <c r="B4326" s="252"/>
      <c r="C4326" s="253"/>
      <c r="D4326" s="253"/>
      <c r="E4326" s="252"/>
      <c r="F4326" s="253"/>
      <c r="G4326" s="251"/>
      <c r="H4326" s="433"/>
      <c r="I4326" s="278"/>
      <c r="J4326" s="257"/>
      <c r="K4326" s="253"/>
      <c r="L4326" s="253"/>
      <c r="M4326" s="252"/>
      <c r="N4326" s="258"/>
      <c r="O4326" s="259"/>
      <c r="P4326" s="259"/>
      <c r="Q4326" s="262"/>
      <c r="R4326" s="260"/>
      <c r="S4326" s="260"/>
      <c r="T4326" s="260"/>
      <c r="U4326" s="261"/>
      <c r="V4326" s="251"/>
      <c r="W4326" s="35"/>
      <c r="X4326" s="35"/>
      <c r="Y4326" s="35"/>
      <c r="Z4326" s="35"/>
      <c r="AA4326" s="35"/>
      <c r="AB4326" s="35"/>
      <c r="AC4326" s="35"/>
      <c r="AD4326" s="35"/>
      <c r="AE4326" s="35"/>
      <c r="AF4326" s="35"/>
      <c r="AG4326" s="35"/>
      <c r="AH4326" s="35"/>
      <c r="AI4326" s="35"/>
    </row>
    <row r="4327">
      <c r="A4327" s="251"/>
      <c r="B4327" s="252"/>
      <c r="C4327" s="253"/>
      <c r="D4327" s="253"/>
      <c r="E4327" s="252"/>
      <c r="F4327" s="253"/>
      <c r="G4327" s="251"/>
      <c r="H4327" s="433"/>
      <c r="I4327" s="278"/>
      <c r="J4327" s="257"/>
      <c r="K4327" s="253"/>
      <c r="L4327" s="253"/>
      <c r="M4327" s="252"/>
      <c r="N4327" s="258"/>
      <c r="O4327" s="259"/>
      <c r="P4327" s="259"/>
      <c r="Q4327" s="262"/>
      <c r="R4327" s="260"/>
      <c r="S4327" s="260"/>
      <c r="T4327" s="260"/>
      <c r="U4327" s="261"/>
      <c r="V4327" s="251"/>
      <c r="W4327" s="35"/>
      <c r="X4327" s="35"/>
      <c r="Y4327" s="35"/>
      <c r="Z4327" s="35"/>
      <c r="AA4327" s="35"/>
      <c r="AB4327" s="35"/>
      <c r="AC4327" s="35"/>
      <c r="AD4327" s="35"/>
      <c r="AE4327" s="35"/>
      <c r="AF4327" s="35"/>
      <c r="AG4327" s="35"/>
      <c r="AH4327" s="35"/>
      <c r="AI4327" s="35"/>
    </row>
    <row r="4328">
      <c r="A4328" s="251"/>
      <c r="B4328" s="252"/>
      <c r="C4328" s="253"/>
      <c r="D4328" s="253"/>
      <c r="E4328" s="252"/>
      <c r="F4328" s="253"/>
      <c r="G4328" s="251"/>
      <c r="H4328" s="433"/>
      <c r="I4328" s="278"/>
      <c r="J4328" s="257"/>
      <c r="K4328" s="253"/>
      <c r="L4328" s="253"/>
      <c r="M4328" s="252"/>
      <c r="N4328" s="258"/>
      <c r="O4328" s="259"/>
      <c r="P4328" s="259"/>
      <c r="Q4328" s="262"/>
      <c r="R4328" s="260"/>
      <c r="S4328" s="260"/>
      <c r="T4328" s="260"/>
      <c r="U4328" s="261"/>
      <c r="V4328" s="251"/>
      <c r="W4328" s="35"/>
      <c r="X4328" s="35"/>
      <c r="Y4328" s="35"/>
      <c r="Z4328" s="35"/>
      <c r="AA4328" s="35"/>
      <c r="AB4328" s="35"/>
      <c r="AC4328" s="35"/>
      <c r="AD4328" s="35"/>
      <c r="AE4328" s="35"/>
      <c r="AF4328" s="35"/>
      <c r="AG4328" s="35"/>
      <c r="AH4328" s="35"/>
      <c r="AI4328" s="35"/>
    </row>
    <row r="4329">
      <c r="A4329" s="251"/>
      <c r="B4329" s="252"/>
      <c r="C4329" s="253"/>
      <c r="D4329" s="253"/>
      <c r="E4329" s="252"/>
      <c r="F4329" s="253"/>
      <c r="G4329" s="251"/>
      <c r="H4329" s="433"/>
      <c r="I4329" s="278"/>
      <c r="J4329" s="257"/>
      <c r="K4329" s="253"/>
      <c r="L4329" s="253"/>
      <c r="M4329" s="252"/>
      <c r="N4329" s="258"/>
      <c r="O4329" s="259"/>
      <c r="P4329" s="259"/>
      <c r="Q4329" s="262"/>
      <c r="R4329" s="260"/>
      <c r="S4329" s="260"/>
      <c r="T4329" s="260"/>
      <c r="U4329" s="261"/>
      <c r="V4329" s="251"/>
      <c r="W4329" s="35"/>
      <c r="X4329" s="35"/>
      <c r="Y4329" s="35"/>
      <c r="Z4329" s="35"/>
      <c r="AA4329" s="35"/>
      <c r="AB4329" s="35"/>
      <c r="AC4329" s="35"/>
      <c r="AD4329" s="35"/>
      <c r="AE4329" s="35"/>
      <c r="AF4329" s="35"/>
      <c r="AG4329" s="35"/>
      <c r="AH4329" s="35"/>
      <c r="AI4329" s="35"/>
    </row>
    <row r="4330">
      <c r="A4330" s="251"/>
      <c r="B4330" s="252"/>
      <c r="C4330" s="253"/>
      <c r="D4330" s="253"/>
      <c r="E4330" s="252"/>
      <c r="F4330" s="253"/>
      <c r="G4330" s="251"/>
      <c r="H4330" s="433"/>
      <c r="I4330" s="278"/>
      <c r="J4330" s="257"/>
      <c r="K4330" s="253"/>
      <c r="L4330" s="253"/>
      <c r="M4330" s="252"/>
      <c r="N4330" s="258"/>
      <c r="O4330" s="259"/>
      <c r="P4330" s="259"/>
      <c r="Q4330" s="257"/>
      <c r="R4330" s="260"/>
      <c r="S4330" s="260"/>
      <c r="T4330" s="260"/>
      <c r="U4330" s="261"/>
      <c r="V4330" s="251"/>
      <c r="W4330" s="35"/>
      <c r="X4330" s="35"/>
      <c r="Y4330" s="35"/>
      <c r="Z4330" s="35"/>
      <c r="AA4330" s="35"/>
      <c r="AB4330" s="35"/>
      <c r="AC4330" s="35"/>
      <c r="AD4330" s="35"/>
      <c r="AE4330" s="35"/>
      <c r="AF4330" s="35"/>
      <c r="AG4330" s="35"/>
      <c r="AH4330" s="35"/>
      <c r="AI4330" s="35"/>
    </row>
    <row r="4331">
      <c r="A4331" s="251"/>
      <c r="B4331" s="252"/>
      <c r="C4331" s="253"/>
      <c r="D4331" s="253"/>
      <c r="E4331" s="252"/>
      <c r="F4331" s="253"/>
      <c r="G4331" s="251"/>
      <c r="H4331" s="433"/>
      <c r="I4331" s="278"/>
      <c r="J4331" s="257"/>
      <c r="K4331" s="253"/>
      <c r="L4331" s="253"/>
      <c r="M4331" s="252"/>
      <c r="N4331" s="258"/>
      <c r="O4331" s="259"/>
      <c r="P4331" s="259"/>
      <c r="Q4331" s="262"/>
      <c r="R4331" s="260"/>
      <c r="S4331" s="260"/>
      <c r="T4331" s="260"/>
      <c r="U4331" s="261"/>
      <c r="V4331" s="251"/>
      <c r="W4331" s="35"/>
      <c r="X4331" s="35"/>
      <c r="Y4331" s="35"/>
      <c r="Z4331" s="35"/>
      <c r="AA4331" s="35"/>
      <c r="AB4331" s="35"/>
      <c r="AC4331" s="35"/>
      <c r="AD4331" s="35"/>
      <c r="AE4331" s="35"/>
      <c r="AF4331" s="35"/>
      <c r="AG4331" s="35"/>
      <c r="AH4331" s="35"/>
      <c r="AI4331" s="35"/>
    </row>
    <row r="4332">
      <c r="A4332" s="251"/>
      <c r="B4332" s="252"/>
      <c r="C4332" s="253"/>
      <c r="D4332" s="253"/>
      <c r="E4332" s="252"/>
      <c r="F4332" s="253"/>
      <c r="G4332" s="251"/>
      <c r="H4332" s="433"/>
      <c r="I4332" s="278"/>
      <c r="J4332" s="257"/>
      <c r="K4332" s="253"/>
      <c r="L4332" s="253"/>
      <c r="M4332" s="275"/>
      <c r="N4332" s="258"/>
      <c r="O4332" s="259"/>
      <c r="P4332" s="259"/>
      <c r="Q4332" s="262"/>
      <c r="R4332" s="260"/>
      <c r="S4332" s="260"/>
      <c r="T4332" s="260"/>
      <c r="U4332" s="261"/>
      <c r="V4332" s="251"/>
      <c r="W4332" s="35"/>
      <c r="X4332" s="35"/>
      <c r="Y4332" s="35"/>
      <c r="Z4332" s="35"/>
      <c r="AA4332" s="35"/>
      <c r="AB4332" s="35"/>
      <c r="AC4332" s="35"/>
      <c r="AD4332" s="35"/>
      <c r="AE4332" s="35"/>
      <c r="AF4332" s="35"/>
      <c r="AG4332" s="35"/>
      <c r="AH4332" s="35"/>
      <c r="AI4332" s="35"/>
    </row>
    <row r="4333">
      <c r="A4333" s="251"/>
      <c r="B4333" s="252"/>
      <c r="C4333" s="253"/>
      <c r="D4333" s="253"/>
      <c r="E4333" s="252"/>
      <c r="F4333" s="253"/>
      <c r="G4333" s="251"/>
      <c r="H4333" s="433"/>
      <c r="I4333" s="278"/>
      <c r="J4333" s="257"/>
      <c r="K4333" s="253"/>
      <c r="L4333" s="253"/>
      <c r="M4333" s="252"/>
      <c r="N4333" s="258"/>
      <c r="O4333" s="259"/>
      <c r="P4333" s="259"/>
      <c r="Q4333" s="262"/>
      <c r="R4333" s="260"/>
      <c r="S4333" s="260"/>
      <c r="T4333" s="260"/>
      <c r="U4333" s="261"/>
      <c r="V4333" s="251"/>
      <c r="W4333" s="35"/>
      <c r="X4333" s="35"/>
      <c r="Y4333" s="35"/>
      <c r="Z4333" s="35"/>
      <c r="AA4333" s="35"/>
      <c r="AB4333" s="35"/>
      <c r="AC4333" s="35"/>
      <c r="AD4333" s="35"/>
      <c r="AE4333" s="35"/>
      <c r="AF4333" s="35"/>
      <c r="AG4333" s="35"/>
      <c r="AH4333" s="35"/>
      <c r="AI4333" s="35"/>
    </row>
    <row r="4334">
      <c r="A4334" s="251"/>
      <c r="B4334" s="252"/>
      <c r="C4334" s="253"/>
      <c r="D4334" s="253"/>
      <c r="E4334" s="252"/>
      <c r="F4334" s="253"/>
      <c r="G4334" s="251"/>
      <c r="H4334" s="433"/>
      <c r="I4334" s="278"/>
      <c r="J4334" s="257"/>
      <c r="K4334" s="253"/>
      <c r="L4334" s="253"/>
      <c r="M4334" s="252"/>
      <c r="N4334" s="258"/>
      <c r="O4334" s="259"/>
      <c r="P4334" s="259"/>
      <c r="Q4334" s="257"/>
      <c r="R4334" s="260"/>
      <c r="S4334" s="260"/>
      <c r="T4334" s="260"/>
      <c r="U4334" s="261"/>
      <c r="V4334" s="251"/>
      <c r="W4334" s="35"/>
      <c r="X4334" s="35"/>
      <c r="Y4334" s="35"/>
      <c r="Z4334" s="35"/>
      <c r="AA4334" s="35"/>
      <c r="AB4334" s="35"/>
      <c r="AC4334" s="35"/>
      <c r="AD4334" s="35"/>
      <c r="AE4334" s="35"/>
      <c r="AF4334" s="35"/>
      <c r="AG4334" s="35"/>
      <c r="AH4334" s="35"/>
      <c r="AI4334" s="35"/>
    </row>
    <row r="4335">
      <c r="A4335" s="251"/>
      <c r="B4335" s="252"/>
      <c r="C4335" s="253"/>
      <c r="D4335" s="253"/>
      <c r="E4335" s="252"/>
      <c r="F4335" s="253"/>
      <c r="G4335" s="251"/>
      <c r="H4335" s="433"/>
      <c r="I4335" s="278"/>
      <c r="J4335" s="257"/>
      <c r="K4335" s="253"/>
      <c r="L4335" s="253"/>
      <c r="M4335" s="252"/>
      <c r="N4335" s="258"/>
      <c r="O4335" s="259"/>
      <c r="P4335" s="259"/>
      <c r="Q4335" s="257"/>
      <c r="R4335" s="260"/>
      <c r="S4335" s="260"/>
      <c r="T4335" s="260"/>
      <c r="U4335" s="261"/>
      <c r="V4335" s="251"/>
      <c r="W4335" s="35"/>
      <c r="X4335" s="35"/>
      <c r="Y4335" s="35"/>
      <c r="Z4335" s="35"/>
      <c r="AA4335" s="35"/>
      <c r="AB4335" s="35"/>
      <c r="AC4335" s="35"/>
      <c r="AD4335" s="35"/>
      <c r="AE4335" s="35"/>
      <c r="AF4335" s="35"/>
      <c r="AG4335" s="35"/>
      <c r="AH4335" s="35"/>
      <c r="AI4335" s="35"/>
    </row>
    <row r="4336">
      <c r="A4336" s="251"/>
      <c r="B4336" s="252"/>
      <c r="C4336" s="253"/>
      <c r="D4336" s="253"/>
      <c r="E4336" s="252"/>
      <c r="F4336" s="253"/>
      <c r="G4336" s="251"/>
      <c r="H4336" s="433"/>
      <c r="I4336" s="278"/>
      <c r="J4336" s="257"/>
      <c r="K4336" s="253"/>
      <c r="L4336" s="253"/>
      <c r="M4336" s="252"/>
      <c r="N4336" s="258"/>
      <c r="O4336" s="259"/>
      <c r="P4336" s="259"/>
      <c r="Q4336" s="262"/>
      <c r="R4336" s="260"/>
      <c r="S4336" s="260"/>
      <c r="T4336" s="260"/>
      <c r="U4336" s="261"/>
      <c r="V4336" s="251"/>
      <c r="W4336" s="35"/>
      <c r="X4336" s="35"/>
      <c r="Y4336" s="35"/>
      <c r="Z4336" s="35"/>
      <c r="AA4336" s="35"/>
      <c r="AB4336" s="35"/>
      <c r="AC4336" s="35"/>
      <c r="AD4336" s="35"/>
      <c r="AE4336" s="35"/>
      <c r="AF4336" s="35"/>
      <c r="AG4336" s="35"/>
      <c r="AH4336" s="35"/>
      <c r="AI4336" s="35"/>
    </row>
    <row r="4337">
      <c r="A4337" s="251"/>
      <c r="B4337" s="252"/>
      <c r="C4337" s="253"/>
      <c r="D4337" s="253"/>
      <c r="E4337" s="252"/>
      <c r="F4337" s="253"/>
      <c r="G4337" s="251"/>
      <c r="H4337" s="433"/>
      <c r="I4337" s="278"/>
      <c r="J4337" s="257"/>
      <c r="K4337" s="253"/>
      <c r="L4337" s="253"/>
      <c r="M4337" s="252"/>
      <c r="N4337" s="258"/>
      <c r="O4337" s="259"/>
      <c r="P4337" s="259"/>
      <c r="Q4337" s="262"/>
      <c r="R4337" s="260"/>
      <c r="S4337" s="260"/>
      <c r="T4337" s="260"/>
      <c r="U4337" s="261"/>
      <c r="V4337" s="251"/>
      <c r="W4337" s="35"/>
      <c r="X4337" s="35"/>
      <c r="Y4337" s="35"/>
      <c r="Z4337" s="35"/>
      <c r="AA4337" s="35"/>
      <c r="AB4337" s="35"/>
      <c r="AC4337" s="35"/>
      <c r="AD4337" s="35"/>
      <c r="AE4337" s="35"/>
      <c r="AF4337" s="35"/>
      <c r="AG4337" s="35"/>
      <c r="AH4337" s="35"/>
      <c r="AI4337" s="35"/>
    </row>
    <row r="4338">
      <c r="A4338" s="251"/>
      <c r="B4338" s="252"/>
      <c r="C4338" s="253"/>
      <c r="D4338" s="253"/>
      <c r="E4338" s="252"/>
      <c r="F4338" s="253"/>
      <c r="G4338" s="251"/>
      <c r="H4338" s="433"/>
      <c r="I4338" s="278"/>
      <c r="J4338" s="257"/>
      <c r="K4338" s="253"/>
      <c r="L4338" s="253"/>
      <c r="M4338" s="252"/>
      <c r="N4338" s="258"/>
      <c r="O4338" s="259"/>
      <c r="P4338" s="259"/>
      <c r="Q4338" s="262"/>
      <c r="R4338" s="260"/>
      <c r="S4338" s="260"/>
      <c r="T4338" s="260"/>
      <c r="U4338" s="261"/>
      <c r="V4338" s="251"/>
      <c r="W4338" s="35"/>
      <c r="X4338" s="35"/>
      <c r="Y4338" s="35"/>
      <c r="Z4338" s="35"/>
      <c r="AA4338" s="35"/>
      <c r="AB4338" s="35"/>
      <c r="AC4338" s="35"/>
      <c r="AD4338" s="35"/>
      <c r="AE4338" s="35"/>
      <c r="AF4338" s="35"/>
      <c r="AG4338" s="35"/>
      <c r="AH4338" s="35"/>
      <c r="AI4338" s="35"/>
    </row>
    <row r="4339">
      <c r="A4339" s="251"/>
      <c r="B4339" s="252"/>
      <c r="C4339" s="253"/>
      <c r="D4339" s="253"/>
      <c r="E4339" s="252"/>
      <c r="F4339" s="253"/>
      <c r="G4339" s="251"/>
      <c r="H4339" s="433"/>
      <c r="I4339" s="278"/>
      <c r="J4339" s="257"/>
      <c r="K4339" s="253"/>
      <c r="L4339" s="253"/>
      <c r="M4339" s="252"/>
      <c r="N4339" s="258"/>
      <c r="O4339" s="259"/>
      <c r="P4339" s="259"/>
      <c r="Q4339" s="257"/>
      <c r="R4339" s="260"/>
      <c r="S4339" s="260"/>
      <c r="T4339" s="260"/>
      <c r="U4339" s="261"/>
      <c r="V4339" s="251"/>
      <c r="W4339" s="35"/>
      <c r="X4339" s="35"/>
      <c r="Y4339" s="35"/>
      <c r="Z4339" s="35"/>
      <c r="AA4339" s="35"/>
      <c r="AB4339" s="35"/>
      <c r="AC4339" s="35"/>
      <c r="AD4339" s="35"/>
      <c r="AE4339" s="35"/>
      <c r="AF4339" s="35"/>
      <c r="AG4339" s="35"/>
      <c r="AH4339" s="35"/>
      <c r="AI4339" s="35"/>
    </row>
    <row r="4340">
      <c r="A4340" s="251"/>
      <c r="B4340" s="252"/>
      <c r="C4340" s="253"/>
      <c r="D4340" s="253"/>
      <c r="E4340" s="252"/>
      <c r="F4340" s="253"/>
      <c r="G4340" s="251"/>
      <c r="H4340" s="433"/>
      <c r="I4340" s="278"/>
      <c r="J4340" s="257"/>
      <c r="K4340" s="253"/>
      <c r="L4340" s="253"/>
      <c r="M4340" s="252"/>
      <c r="N4340" s="258"/>
      <c r="O4340" s="259"/>
      <c r="P4340" s="259"/>
      <c r="Q4340" s="262"/>
      <c r="R4340" s="260"/>
      <c r="S4340" s="260"/>
      <c r="T4340" s="260"/>
      <c r="U4340" s="261"/>
      <c r="V4340" s="251"/>
      <c r="W4340" s="35"/>
      <c r="X4340" s="35"/>
      <c r="Y4340" s="35"/>
      <c r="Z4340" s="35"/>
      <c r="AA4340" s="35"/>
      <c r="AB4340" s="35"/>
      <c r="AC4340" s="35"/>
      <c r="AD4340" s="35"/>
      <c r="AE4340" s="35"/>
      <c r="AF4340" s="35"/>
      <c r="AG4340" s="35"/>
      <c r="AH4340" s="35"/>
      <c r="AI4340" s="35"/>
    </row>
    <row r="4341">
      <c r="A4341" s="251"/>
      <c r="B4341" s="252"/>
      <c r="C4341" s="253"/>
      <c r="D4341" s="253"/>
      <c r="E4341" s="252"/>
      <c r="F4341" s="253"/>
      <c r="G4341" s="251"/>
      <c r="H4341" s="433"/>
      <c r="I4341" s="278"/>
      <c r="J4341" s="257"/>
      <c r="K4341" s="253"/>
      <c r="L4341" s="253"/>
      <c r="M4341" s="252"/>
      <c r="N4341" s="258"/>
      <c r="O4341" s="259"/>
      <c r="P4341" s="259"/>
      <c r="Q4341" s="262"/>
      <c r="R4341" s="260"/>
      <c r="S4341" s="260"/>
      <c r="T4341" s="260"/>
      <c r="U4341" s="261"/>
      <c r="V4341" s="251"/>
      <c r="W4341" s="35"/>
      <c r="X4341" s="35"/>
      <c r="Y4341" s="35"/>
      <c r="Z4341" s="35"/>
      <c r="AA4341" s="35"/>
      <c r="AB4341" s="35"/>
      <c r="AC4341" s="35"/>
      <c r="AD4341" s="35"/>
      <c r="AE4341" s="35"/>
      <c r="AF4341" s="35"/>
      <c r="AG4341" s="35"/>
      <c r="AH4341" s="35"/>
      <c r="AI4341" s="35"/>
    </row>
    <row r="4342">
      <c r="A4342" s="251"/>
      <c r="B4342" s="252"/>
      <c r="C4342" s="253"/>
      <c r="D4342" s="253"/>
      <c r="E4342" s="252"/>
      <c r="F4342" s="253"/>
      <c r="G4342" s="251"/>
      <c r="H4342" s="433"/>
      <c r="I4342" s="278"/>
      <c r="J4342" s="257"/>
      <c r="K4342" s="253"/>
      <c r="L4342" s="253"/>
      <c r="M4342" s="252"/>
      <c r="N4342" s="258"/>
      <c r="O4342" s="259"/>
      <c r="P4342" s="259"/>
      <c r="Q4342" s="262"/>
      <c r="R4342" s="260"/>
      <c r="S4342" s="260"/>
      <c r="T4342" s="260"/>
      <c r="U4342" s="261"/>
      <c r="V4342" s="251"/>
      <c r="W4342" s="35"/>
      <c r="X4342" s="35"/>
      <c r="Y4342" s="35"/>
      <c r="Z4342" s="35"/>
      <c r="AA4342" s="35"/>
      <c r="AB4342" s="35"/>
      <c r="AC4342" s="35"/>
      <c r="AD4342" s="35"/>
      <c r="AE4342" s="35"/>
      <c r="AF4342" s="35"/>
      <c r="AG4342" s="35"/>
      <c r="AH4342" s="35"/>
      <c r="AI4342" s="35"/>
    </row>
    <row r="4343">
      <c r="A4343" s="251"/>
      <c r="B4343" s="252"/>
      <c r="C4343" s="253"/>
      <c r="D4343" s="253"/>
      <c r="E4343" s="252"/>
      <c r="F4343" s="253"/>
      <c r="G4343" s="251"/>
      <c r="H4343" s="433"/>
      <c r="I4343" s="278"/>
      <c r="J4343" s="257"/>
      <c r="K4343" s="253"/>
      <c r="L4343" s="253"/>
      <c r="M4343" s="252"/>
      <c r="N4343" s="258"/>
      <c r="O4343" s="259"/>
      <c r="P4343" s="259"/>
      <c r="Q4343" s="262"/>
      <c r="R4343" s="260"/>
      <c r="S4343" s="260"/>
      <c r="T4343" s="260"/>
      <c r="U4343" s="261"/>
      <c r="V4343" s="251"/>
      <c r="W4343" s="35"/>
      <c r="X4343" s="35"/>
      <c r="Y4343" s="35"/>
      <c r="Z4343" s="35"/>
      <c r="AA4343" s="35"/>
      <c r="AB4343" s="35"/>
      <c r="AC4343" s="35"/>
      <c r="AD4343" s="35"/>
      <c r="AE4343" s="35"/>
      <c r="AF4343" s="35"/>
      <c r="AG4343" s="35"/>
      <c r="AH4343" s="35"/>
      <c r="AI4343" s="35"/>
    </row>
    <row r="4344">
      <c r="A4344" s="165"/>
      <c r="B4344" s="166"/>
      <c r="C4344" s="166"/>
      <c r="D4344" s="166"/>
      <c r="E4344" s="166"/>
      <c r="F4344" s="166"/>
      <c r="G4344" s="165"/>
      <c r="H4344" s="167"/>
      <c r="I4344" s="168"/>
      <c r="J4344" s="169"/>
      <c r="K4344" s="166"/>
      <c r="L4344" s="166"/>
      <c r="M4344" s="205"/>
      <c r="N4344" s="170"/>
      <c r="O4344" s="171"/>
      <c r="P4344" s="171"/>
      <c r="Q4344" s="172"/>
      <c r="R4344" s="173"/>
      <c r="S4344" s="173"/>
      <c r="T4344" s="173"/>
      <c r="U4344" s="201"/>
      <c r="V4344" s="165"/>
      <c r="W4344" s="35"/>
      <c r="X4344" s="35"/>
      <c r="Y4344" s="35"/>
      <c r="Z4344" s="35"/>
      <c r="AA4344" s="35"/>
      <c r="AB4344" s="35"/>
      <c r="AC4344" s="35"/>
      <c r="AD4344" s="35"/>
      <c r="AE4344" s="35"/>
      <c r="AF4344" s="35"/>
      <c r="AG4344" s="35"/>
      <c r="AH4344" s="35"/>
      <c r="AI4344" s="35"/>
    </row>
    <row r="4345">
      <c r="A4345" s="251"/>
      <c r="B4345" s="252"/>
      <c r="C4345" s="253"/>
      <c r="D4345" s="253"/>
      <c r="E4345" s="252"/>
      <c r="F4345" s="253"/>
      <c r="G4345" s="251"/>
      <c r="H4345" s="433"/>
      <c r="I4345" s="278"/>
      <c r="J4345" s="257"/>
      <c r="K4345" s="253"/>
      <c r="L4345" s="253"/>
      <c r="M4345" s="252"/>
      <c r="N4345" s="258"/>
      <c r="O4345" s="259"/>
      <c r="P4345" s="259"/>
      <c r="Q4345" s="257"/>
      <c r="R4345" s="260"/>
      <c r="S4345" s="260"/>
      <c r="T4345" s="260"/>
      <c r="U4345" s="261"/>
      <c r="V4345" s="251"/>
      <c r="W4345" s="35"/>
      <c r="X4345" s="35"/>
      <c r="Y4345" s="35"/>
      <c r="Z4345" s="35"/>
      <c r="AA4345" s="35"/>
      <c r="AB4345" s="35"/>
      <c r="AC4345" s="35"/>
      <c r="AD4345" s="35"/>
      <c r="AE4345" s="35"/>
      <c r="AF4345" s="35"/>
      <c r="AG4345" s="35"/>
      <c r="AH4345" s="35"/>
      <c r="AI4345" s="35"/>
    </row>
    <row r="4346">
      <c r="A4346" s="251"/>
      <c r="B4346" s="252"/>
      <c r="C4346" s="253"/>
      <c r="D4346" s="253"/>
      <c r="E4346" s="252"/>
      <c r="F4346" s="253"/>
      <c r="G4346" s="251"/>
      <c r="H4346" s="433"/>
      <c r="I4346" s="278"/>
      <c r="J4346" s="257"/>
      <c r="K4346" s="253"/>
      <c r="L4346" s="253"/>
      <c r="M4346" s="252"/>
      <c r="N4346" s="258"/>
      <c r="O4346" s="259"/>
      <c r="P4346" s="259"/>
      <c r="Q4346" s="257"/>
      <c r="R4346" s="260"/>
      <c r="S4346" s="260"/>
      <c r="T4346" s="260"/>
      <c r="U4346" s="261"/>
      <c r="V4346" s="251"/>
      <c r="W4346" s="35"/>
      <c r="X4346" s="35"/>
      <c r="Y4346" s="35"/>
      <c r="Z4346" s="35"/>
      <c r="AA4346" s="35"/>
      <c r="AB4346" s="35"/>
      <c r="AC4346" s="35"/>
      <c r="AD4346" s="35"/>
      <c r="AE4346" s="35"/>
      <c r="AF4346" s="35"/>
      <c r="AG4346" s="35"/>
      <c r="AH4346" s="35"/>
      <c r="AI4346" s="35"/>
    </row>
    <row r="4347">
      <c r="A4347" s="251"/>
      <c r="B4347" s="252"/>
      <c r="C4347" s="253"/>
      <c r="D4347" s="253"/>
      <c r="E4347" s="252"/>
      <c r="F4347" s="253"/>
      <c r="G4347" s="251"/>
      <c r="H4347" s="433"/>
      <c r="I4347" s="278"/>
      <c r="J4347" s="257"/>
      <c r="K4347" s="253"/>
      <c r="L4347" s="253"/>
      <c r="M4347" s="252"/>
      <c r="N4347" s="258"/>
      <c r="O4347" s="259"/>
      <c r="P4347" s="259"/>
      <c r="Q4347" s="262"/>
      <c r="R4347" s="260"/>
      <c r="S4347" s="260"/>
      <c r="T4347" s="260"/>
      <c r="U4347" s="261"/>
      <c r="V4347" s="251"/>
      <c r="W4347" s="35"/>
      <c r="X4347" s="35"/>
      <c r="Y4347" s="35"/>
      <c r="Z4347" s="35"/>
      <c r="AA4347" s="35"/>
      <c r="AB4347" s="35"/>
      <c r="AC4347" s="35"/>
      <c r="AD4347" s="35"/>
      <c r="AE4347" s="35"/>
      <c r="AF4347" s="35"/>
      <c r="AG4347" s="35"/>
      <c r="AH4347" s="35"/>
      <c r="AI4347" s="35"/>
    </row>
    <row r="4348">
      <c r="A4348" s="251"/>
      <c r="B4348" s="252"/>
      <c r="C4348" s="253"/>
      <c r="D4348" s="253"/>
      <c r="E4348" s="252"/>
      <c r="F4348" s="253"/>
      <c r="G4348" s="251"/>
      <c r="H4348" s="433"/>
      <c r="I4348" s="278"/>
      <c r="J4348" s="257"/>
      <c r="K4348" s="253"/>
      <c r="L4348" s="253"/>
      <c r="M4348" s="275"/>
      <c r="N4348" s="258"/>
      <c r="O4348" s="259"/>
      <c r="P4348" s="259"/>
      <c r="Q4348" s="262"/>
      <c r="R4348" s="260"/>
      <c r="S4348" s="260"/>
      <c r="T4348" s="260"/>
      <c r="U4348" s="261"/>
      <c r="V4348" s="251"/>
      <c r="W4348" s="35"/>
      <c r="X4348" s="35"/>
      <c r="Y4348" s="35"/>
      <c r="Z4348" s="35"/>
      <c r="AA4348" s="35"/>
      <c r="AB4348" s="35"/>
      <c r="AC4348" s="35"/>
      <c r="AD4348" s="35"/>
      <c r="AE4348" s="35"/>
      <c r="AF4348" s="35"/>
      <c r="AG4348" s="35"/>
      <c r="AH4348" s="35"/>
      <c r="AI4348" s="35"/>
    </row>
    <row r="4349">
      <c r="A4349" s="251"/>
      <c r="B4349" s="252"/>
      <c r="C4349" s="253"/>
      <c r="D4349" s="253"/>
      <c r="E4349" s="252"/>
      <c r="F4349" s="253"/>
      <c r="G4349" s="251"/>
      <c r="H4349" s="433"/>
      <c r="I4349" s="278"/>
      <c r="J4349" s="257"/>
      <c r="K4349" s="253"/>
      <c r="L4349" s="253"/>
      <c r="M4349" s="252"/>
      <c r="N4349" s="258"/>
      <c r="O4349" s="259"/>
      <c r="P4349" s="259"/>
      <c r="Q4349" s="257"/>
      <c r="R4349" s="260"/>
      <c r="S4349" s="260"/>
      <c r="T4349" s="260"/>
      <c r="U4349" s="261"/>
      <c r="V4349" s="251"/>
      <c r="W4349" s="35"/>
      <c r="X4349" s="35"/>
      <c r="Y4349" s="35"/>
      <c r="Z4349" s="35"/>
      <c r="AA4349" s="35"/>
      <c r="AB4349" s="35"/>
      <c r="AC4349" s="35"/>
      <c r="AD4349" s="35"/>
      <c r="AE4349" s="35"/>
      <c r="AF4349" s="35"/>
      <c r="AG4349" s="35"/>
      <c r="AH4349" s="35"/>
      <c r="AI4349" s="35"/>
    </row>
    <row r="4350">
      <c r="A4350" s="251"/>
      <c r="B4350" s="252"/>
      <c r="C4350" s="253"/>
      <c r="D4350" s="253"/>
      <c r="E4350" s="252"/>
      <c r="F4350" s="253"/>
      <c r="G4350" s="251"/>
      <c r="H4350" s="433"/>
      <c r="I4350" s="278"/>
      <c r="J4350" s="257"/>
      <c r="K4350" s="253"/>
      <c r="L4350" s="253"/>
      <c r="M4350" s="252"/>
      <c r="N4350" s="258"/>
      <c r="O4350" s="259"/>
      <c r="P4350" s="259"/>
      <c r="Q4350" s="262"/>
      <c r="R4350" s="260"/>
      <c r="S4350" s="260"/>
      <c r="T4350" s="260"/>
      <c r="U4350" s="261"/>
      <c r="V4350" s="251"/>
      <c r="W4350" s="35"/>
      <c r="X4350" s="35"/>
      <c r="Y4350" s="35"/>
      <c r="Z4350" s="35"/>
      <c r="AA4350" s="35"/>
      <c r="AB4350" s="35"/>
      <c r="AC4350" s="35"/>
      <c r="AD4350" s="35"/>
      <c r="AE4350" s="35"/>
      <c r="AF4350" s="35"/>
      <c r="AG4350" s="35"/>
      <c r="AH4350" s="35"/>
      <c r="AI4350" s="35"/>
    </row>
    <row r="4351">
      <c r="A4351" s="251"/>
      <c r="B4351" s="252"/>
      <c r="C4351" s="253"/>
      <c r="D4351" s="253"/>
      <c r="E4351" s="252"/>
      <c r="F4351" s="253"/>
      <c r="G4351" s="251"/>
      <c r="H4351" s="433"/>
      <c r="I4351" s="278"/>
      <c r="J4351" s="257"/>
      <c r="K4351" s="253"/>
      <c r="L4351" s="253"/>
      <c r="M4351" s="252"/>
      <c r="N4351" s="258"/>
      <c r="O4351" s="259"/>
      <c r="P4351" s="259"/>
      <c r="Q4351" s="262"/>
      <c r="R4351" s="260"/>
      <c r="S4351" s="260"/>
      <c r="T4351" s="260"/>
      <c r="U4351" s="261"/>
      <c r="V4351" s="251"/>
      <c r="W4351" s="35"/>
      <c r="X4351" s="35"/>
      <c r="Y4351" s="35"/>
      <c r="Z4351" s="35"/>
      <c r="AA4351" s="35"/>
      <c r="AB4351" s="35"/>
      <c r="AC4351" s="35"/>
      <c r="AD4351" s="35"/>
      <c r="AE4351" s="35"/>
      <c r="AF4351" s="35"/>
      <c r="AG4351" s="35"/>
      <c r="AH4351" s="35"/>
      <c r="AI4351" s="35"/>
    </row>
    <row r="4352">
      <c r="A4352" s="263"/>
      <c r="B4352" s="264"/>
      <c r="C4352" s="265"/>
      <c r="D4352" s="265"/>
      <c r="E4352" s="264"/>
      <c r="F4352" s="265"/>
      <c r="G4352" s="263"/>
      <c r="H4352" s="432"/>
      <c r="I4352" s="282"/>
      <c r="J4352" s="283"/>
      <c r="K4352" s="265"/>
      <c r="L4352" s="265"/>
      <c r="M4352" s="269"/>
      <c r="N4352" s="270"/>
      <c r="O4352" s="271"/>
      <c r="P4352" s="271"/>
      <c r="Q4352" s="272"/>
      <c r="R4352" s="273"/>
      <c r="S4352" s="273"/>
      <c r="T4352" s="273"/>
      <c r="U4352" s="274"/>
      <c r="V4352" s="263"/>
      <c r="W4352" s="35"/>
      <c r="X4352" s="35"/>
      <c r="Y4352" s="35"/>
      <c r="Z4352" s="35"/>
      <c r="AA4352" s="35"/>
      <c r="AB4352" s="35"/>
      <c r="AC4352" s="35"/>
      <c r="AD4352" s="35"/>
      <c r="AE4352" s="35"/>
      <c r="AF4352" s="35"/>
      <c r="AG4352" s="35"/>
      <c r="AH4352" s="35"/>
      <c r="AI4352" s="35"/>
    </row>
    <row r="4353">
      <c r="A4353" s="251"/>
      <c r="B4353" s="252"/>
      <c r="C4353" s="253"/>
      <c r="D4353" s="253"/>
      <c r="E4353" s="252"/>
      <c r="F4353" s="253"/>
      <c r="G4353" s="251"/>
      <c r="H4353" s="433"/>
      <c r="I4353" s="278"/>
      <c r="J4353" s="257"/>
      <c r="K4353" s="253"/>
      <c r="L4353" s="253"/>
      <c r="M4353" s="275"/>
      <c r="N4353" s="258"/>
      <c r="O4353" s="259"/>
      <c r="P4353" s="259"/>
      <c r="Q4353" s="262"/>
      <c r="R4353" s="260"/>
      <c r="S4353" s="260"/>
      <c r="T4353" s="260"/>
      <c r="U4353" s="261"/>
      <c r="V4353" s="251"/>
      <c r="W4353" s="35"/>
      <c r="X4353" s="35"/>
      <c r="Y4353" s="35"/>
      <c r="Z4353" s="35"/>
      <c r="AA4353" s="35"/>
      <c r="AB4353" s="35"/>
      <c r="AC4353" s="35"/>
      <c r="AD4353" s="35"/>
      <c r="AE4353" s="35"/>
      <c r="AF4353" s="35"/>
      <c r="AG4353" s="35"/>
      <c r="AH4353" s="35"/>
      <c r="AI4353" s="35"/>
    </row>
    <row r="4354">
      <c r="A4354" s="251"/>
      <c r="B4354" s="252"/>
      <c r="C4354" s="253"/>
      <c r="D4354" s="253"/>
      <c r="E4354" s="252"/>
      <c r="F4354" s="253"/>
      <c r="G4354" s="251"/>
      <c r="H4354" s="433"/>
      <c r="I4354" s="278"/>
      <c r="J4354" s="257"/>
      <c r="K4354" s="253"/>
      <c r="L4354" s="253"/>
      <c r="M4354" s="275"/>
      <c r="N4354" s="258"/>
      <c r="O4354" s="259"/>
      <c r="P4354" s="259"/>
      <c r="Q4354" s="262"/>
      <c r="R4354" s="260"/>
      <c r="S4354" s="260"/>
      <c r="T4354" s="260"/>
      <c r="U4354" s="261"/>
      <c r="V4354" s="251"/>
      <c r="W4354" s="35"/>
      <c r="X4354" s="35"/>
      <c r="Y4354" s="35"/>
      <c r="Z4354" s="35"/>
      <c r="AA4354" s="35"/>
      <c r="AB4354" s="35"/>
      <c r="AC4354" s="35"/>
      <c r="AD4354" s="35"/>
      <c r="AE4354" s="35"/>
      <c r="AF4354" s="35"/>
      <c r="AG4354" s="35"/>
      <c r="AH4354" s="35"/>
      <c r="AI4354" s="35"/>
    </row>
    <row r="4355">
      <c r="A4355" s="251"/>
      <c r="B4355" s="252"/>
      <c r="C4355" s="253"/>
      <c r="D4355" s="253"/>
      <c r="E4355" s="252"/>
      <c r="F4355" s="253"/>
      <c r="G4355" s="251"/>
      <c r="H4355" s="433"/>
      <c r="I4355" s="278"/>
      <c r="J4355" s="257"/>
      <c r="K4355" s="253"/>
      <c r="L4355" s="253"/>
      <c r="M4355" s="252"/>
      <c r="N4355" s="258"/>
      <c r="O4355" s="259"/>
      <c r="P4355" s="259"/>
      <c r="Q4355" s="262"/>
      <c r="R4355" s="260"/>
      <c r="S4355" s="260"/>
      <c r="T4355" s="260"/>
      <c r="U4355" s="261"/>
      <c r="V4355" s="251"/>
      <c r="W4355" s="35"/>
      <c r="X4355" s="35"/>
      <c r="Y4355" s="35"/>
      <c r="Z4355" s="35"/>
      <c r="AA4355" s="35"/>
      <c r="AB4355" s="35"/>
      <c r="AC4355" s="35"/>
      <c r="AD4355" s="35"/>
      <c r="AE4355" s="35"/>
      <c r="AF4355" s="35"/>
      <c r="AG4355" s="35"/>
      <c r="AH4355" s="35"/>
      <c r="AI4355" s="35"/>
    </row>
    <row r="4356">
      <c r="A4356" s="251"/>
      <c r="B4356" s="252"/>
      <c r="C4356" s="253"/>
      <c r="D4356" s="253"/>
      <c r="E4356" s="252"/>
      <c r="F4356" s="253"/>
      <c r="G4356" s="251"/>
      <c r="H4356" s="433"/>
      <c r="I4356" s="278"/>
      <c r="J4356" s="257"/>
      <c r="K4356" s="253"/>
      <c r="L4356" s="253"/>
      <c r="M4356" s="275"/>
      <c r="N4356" s="258"/>
      <c r="O4356" s="259"/>
      <c r="P4356" s="259"/>
      <c r="Q4356" s="262"/>
      <c r="R4356" s="260"/>
      <c r="S4356" s="260"/>
      <c r="T4356" s="260"/>
      <c r="U4356" s="261"/>
      <c r="V4356" s="251"/>
      <c r="W4356" s="35"/>
      <c r="X4356" s="35"/>
      <c r="Y4356" s="35"/>
      <c r="Z4356" s="35"/>
      <c r="AA4356" s="35"/>
      <c r="AB4356" s="35"/>
      <c r="AC4356" s="35"/>
      <c r="AD4356" s="35"/>
      <c r="AE4356" s="35"/>
      <c r="AF4356" s="35"/>
      <c r="AG4356" s="35"/>
      <c r="AH4356" s="35"/>
      <c r="AI4356" s="35"/>
    </row>
    <row r="4357">
      <c r="A4357" s="251"/>
      <c r="B4357" s="252"/>
      <c r="C4357" s="253"/>
      <c r="D4357" s="253"/>
      <c r="E4357" s="252"/>
      <c r="F4357" s="253"/>
      <c r="G4357" s="251"/>
      <c r="H4357" s="433"/>
      <c r="I4357" s="278"/>
      <c r="J4357" s="257"/>
      <c r="K4357" s="253"/>
      <c r="L4357" s="253"/>
      <c r="M4357" s="275"/>
      <c r="N4357" s="258"/>
      <c r="O4357" s="259"/>
      <c r="P4357" s="259"/>
      <c r="Q4357" s="262"/>
      <c r="R4357" s="260"/>
      <c r="S4357" s="260"/>
      <c r="T4357" s="260"/>
      <c r="U4357" s="261"/>
      <c r="V4357" s="251"/>
      <c r="W4357" s="35"/>
      <c r="X4357" s="35"/>
      <c r="Y4357" s="35"/>
      <c r="Z4357" s="35"/>
      <c r="AA4357" s="35"/>
      <c r="AB4357" s="35"/>
      <c r="AC4357" s="35"/>
      <c r="AD4357" s="35"/>
      <c r="AE4357" s="35"/>
      <c r="AF4357" s="35"/>
      <c r="AG4357" s="35"/>
      <c r="AH4357" s="35"/>
      <c r="AI4357" s="35"/>
    </row>
    <row r="4358">
      <c r="A4358" s="251"/>
      <c r="B4358" s="252"/>
      <c r="C4358" s="253"/>
      <c r="D4358" s="253"/>
      <c r="E4358" s="252"/>
      <c r="F4358" s="253"/>
      <c r="G4358" s="251"/>
      <c r="H4358" s="433"/>
      <c r="I4358" s="278"/>
      <c r="J4358" s="257"/>
      <c r="K4358" s="253"/>
      <c r="L4358" s="253"/>
      <c r="M4358" s="252"/>
      <c r="N4358" s="258"/>
      <c r="O4358" s="259"/>
      <c r="P4358" s="259"/>
      <c r="Q4358" s="257"/>
      <c r="R4358" s="260"/>
      <c r="S4358" s="260"/>
      <c r="T4358" s="260"/>
      <c r="U4358" s="261"/>
      <c r="V4358" s="251"/>
      <c r="W4358" s="35"/>
      <c r="X4358" s="35"/>
      <c r="Y4358" s="35"/>
      <c r="Z4358" s="35"/>
      <c r="AA4358" s="35"/>
      <c r="AB4358" s="35"/>
      <c r="AC4358" s="35"/>
      <c r="AD4358" s="35"/>
      <c r="AE4358" s="35"/>
      <c r="AF4358" s="35"/>
      <c r="AG4358" s="35"/>
      <c r="AH4358" s="35"/>
      <c r="AI4358" s="35"/>
    </row>
    <row r="4359">
      <c r="A4359" s="251"/>
      <c r="B4359" s="252"/>
      <c r="C4359" s="253"/>
      <c r="D4359" s="253"/>
      <c r="E4359" s="252"/>
      <c r="F4359" s="253"/>
      <c r="G4359" s="251"/>
      <c r="H4359" s="433"/>
      <c r="I4359" s="278"/>
      <c r="J4359" s="257"/>
      <c r="K4359" s="253"/>
      <c r="L4359" s="253"/>
      <c r="M4359" s="275"/>
      <c r="N4359" s="258"/>
      <c r="O4359" s="259"/>
      <c r="P4359" s="259"/>
      <c r="Q4359" s="262"/>
      <c r="R4359" s="260"/>
      <c r="S4359" s="260"/>
      <c r="T4359" s="260"/>
      <c r="U4359" s="261"/>
      <c r="V4359" s="251"/>
      <c r="W4359" s="35"/>
      <c r="X4359" s="35"/>
      <c r="Y4359" s="35"/>
      <c r="Z4359" s="35"/>
      <c r="AA4359" s="35"/>
      <c r="AB4359" s="35"/>
      <c r="AC4359" s="35"/>
      <c r="AD4359" s="35"/>
      <c r="AE4359" s="35"/>
      <c r="AF4359" s="35"/>
      <c r="AG4359" s="35"/>
      <c r="AH4359" s="35"/>
      <c r="AI4359" s="35"/>
    </row>
    <row r="4360">
      <c r="A4360" s="251"/>
      <c r="B4360" s="252"/>
      <c r="C4360" s="253"/>
      <c r="D4360" s="253"/>
      <c r="E4360" s="252"/>
      <c r="F4360" s="253"/>
      <c r="G4360" s="251"/>
      <c r="H4360" s="433"/>
      <c r="I4360" s="278"/>
      <c r="J4360" s="257"/>
      <c r="K4360" s="253"/>
      <c r="L4360" s="253"/>
      <c r="M4360" s="275"/>
      <c r="N4360" s="258"/>
      <c r="O4360" s="259"/>
      <c r="P4360" s="259"/>
      <c r="Q4360" s="262"/>
      <c r="R4360" s="260"/>
      <c r="S4360" s="260"/>
      <c r="T4360" s="260"/>
      <c r="U4360" s="261"/>
      <c r="V4360" s="251"/>
      <c r="W4360" s="35"/>
      <c r="X4360" s="35"/>
      <c r="Y4360" s="35"/>
      <c r="Z4360" s="35"/>
      <c r="AA4360" s="35"/>
      <c r="AB4360" s="35"/>
      <c r="AC4360" s="35"/>
      <c r="AD4360" s="35"/>
      <c r="AE4360" s="35"/>
      <c r="AF4360" s="35"/>
      <c r="AG4360" s="35"/>
      <c r="AH4360" s="35"/>
      <c r="AI4360" s="35"/>
    </row>
    <row r="4361">
      <c r="A4361" s="251"/>
      <c r="B4361" s="252"/>
      <c r="C4361" s="253"/>
      <c r="D4361" s="253"/>
      <c r="E4361" s="252"/>
      <c r="F4361" s="253"/>
      <c r="G4361" s="251"/>
      <c r="H4361" s="433"/>
      <c r="I4361" s="278"/>
      <c r="J4361" s="257"/>
      <c r="K4361" s="253"/>
      <c r="L4361" s="253"/>
      <c r="M4361" s="275"/>
      <c r="N4361" s="258"/>
      <c r="O4361" s="259"/>
      <c r="P4361" s="259"/>
      <c r="Q4361" s="262"/>
      <c r="R4361" s="260"/>
      <c r="S4361" s="260"/>
      <c r="T4361" s="260"/>
      <c r="U4361" s="261"/>
      <c r="V4361" s="251"/>
      <c r="W4361" s="35"/>
      <c r="X4361" s="35"/>
      <c r="Y4361" s="35"/>
      <c r="Z4361" s="35"/>
      <c r="AA4361" s="35"/>
      <c r="AB4361" s="35"/>
      <c r="AC4361" s="35"/>
      <c r="AD4361" s="35"/>
      <c r="AE4361" s="35"/>
      <c r="AF4361" s="35"/>
      <c r="AG4361" s="35"/>
      <c r="AH4361" s="35"/>
      <c r="AI4361" s="35"/>
    </row>
    <row r="4362">
      <c r="A4362" s="251"/>
      <c r="B4362" s="252"/>
      <c r="C4362" s="253"/>
      <c r="D4362" s="253"/>
      <c r="E4362" s="252"/>
      <c r="F4362" s="253"/>
      <c r="G4362" s="251"/>
      <c r="H4362" s="433"/>
      <c r="I4362" s="278"/>
      <c r="J4362" s="257"/>
      <c r="K4362" s="253"/>
      <c r="L4362" s="253"/>
      <c r="M4362" s="275"/>
      <c r="N4362" s="258"/>
      <c r="O4362" s="259"/>
      <c r="P4362" s="259"/>
      <c r="Q4362" s="262"/>
      <c r="R4362" s="260"/>
      <c r="S4362" s="260"/>
      <c r="T4362" s="260"/>
      <c r="U4362" s="261"/>
      <c r="V4362" s="251"/>
      <c r="W4362" s="35"/>
      <c r="X4362" s="35"/>
      <c r="Y4362" s="35"/>
      <c r="Z4362" s="35"/>
      <c r="AA4362" s="35"/>
      <c r="AB4362" s="35"/>
      <c r="AC4362" s="35"/>
      <c r="AD4362" s="35"/>
      <c r="AE4362" s="35"/>
      <c r="AF4362" s="35"/>
      <c r="AG4362" s="35"/>
      <c r="AH4362" s="35"/>
      <c r="AI4362" s="35"/>
    </row>
    <row r="4363">
      <c r="A4363" s="251"/>
      <c r="B4363" s="252"/>
      <c r="C4363" s="253"/>
      <c r="D4363" s="253"/>
      <c r="E4363" s="252"/>
      <c r="F4363" s="253"/>
      <c r="G4363" s="251"/>
      <c r="H4363" s="433"/>
      <c r="I4363" s="278"/>
      <c r="J4363" s="257"/>
      <c r="K4363" s="253"/>
      <c r="L4363" s="253"/>
      <c r="M4363" s="275"/>
      <c r="N4363" s="258"/>
      <c r="O4363" s="259"/>
      <c r="P4363" s="259"/>
      <c r="Q4363" s="262"/>
      <c r="R4363" s="260"/>
      <c r="S4363" s="260"/>
      <c r="T4363" s="273"/>
      <c r="U4363" s="274"/>
      <c r="V4363" s="266"/>
      <c r="W4363" s="35"/>
      <c r="X4363" s="35"/>
      <c r="Y4363" s="35"/>
      <c r="Z4363" s="35"/>
      <c r="AA4363" s="35"/>
      <c r="AB4363" s="35"/>
      <c r="AC4363" s="35"/>
      <c r="AD4363" s="35"/>
      <c r="AE4363" s="35"/>
      <c r="AF4363" s="35"/>
      <c r="AG4363" s="35"/>
      <c r="AH4363" s="35"/>
      <c r="AI4363" s="35"/>
    </row>
    <row r="4364">
      <c r="A4364" s="251"/>
      <c r="B4364" s="252"/>
      <c r="C4364" s="253"/>
      <c r="D4364" s="253"/>
      <c r="E4364" s="252"/>
      <c r="F4364" s="253"/>
      <c r="G4364" s="251"/>
      <c r="H4364" s="433"/>
      <c r="I4364" s="278"/>
      <c r="J4364" s="257"/>
      <c r="K4364" s="253"/>
      <c r="L4364" s="253"/>
      <c r="M4364" s="275"/>
      <c r="N4364" s="258"/>
      <c r="O4364" s="259"/>
      <c r="P4364" s="259"/>
      <c r="Q4364" s="262"/>
      <c r="R4364" s="260"/>
      <c r="S4364" s="260"/>
      <c r="T4364" s="260"/>
      <c r="U4364" s="261"/>
      <c r="V4364" s="251"/>
      <c r="W4364" s="35"/>
      <c r="X4364" s="35"/>
      <c r="Y4364" s="35"/>
      <c r="Z4364" s="35"/>
      <c r="AA4364" s="35"/>
      <c r="AB4364" s="35"/>
      <c r="AC4364" s="35"/>
      <c r="AD4364" s="35"/>
      <c r="AE4364" s="35"/>
      <c r="AF4364" s="35"/>
      <c r="AG4364" s="35"/>
      <c r="AH4364" s="35"/>
      <c r="AI4364" s="35"/>
    </row>
    <row r="4365">
      <c r="A4365" s="251"/>
      <c r="B4365" s="252"/>
      <c r="C4365" s="253"/>
      <c r="D4365" s="253"/>
      <c r="E4365" s="252"/>
      <c r="F4365" s="253"/>
      <c r="G4365" s="251"/>
      <c r="H4365" s="433"/>
      <c r="I4365" s="278"/>
      <c r="J4365" s="257"/>
      <c r="K4365" s="253"/>
      <c r="L4365" s="253"/>
      <c r="M4365" s="275"/>
      <c r="N4365" s="258"/>
      <c r="O4365" s="259"/>
      <c r="P4365" s="259"/>
      <c r="Q4365" s="262"/>
      <c r="R4365" s="260"/>
      <c r="S4365" s="260"/>
      <c r="T4365" s="260"/>
      <c r="U4365" s="261"/>
      <c r="V4365" s="251"/>
      <c r="W4365" s="35"/>
      <c r="X4365" s="35"/>
      <c r="Y4365" s="35"/>
      <c r="Z4365" s="35"/>
      <c r="AA4365" s="35"/>
      <c r="AB4365" s="35"/>
      <c r="AC4365" s="35"/>
      <c r="AD4365" s="35"/>
      <c r="AE4365" s="35"/>
      <c r="AF4365" s="35"/>
      <c r="AG4365" s="35"/>
      <c r="AH4365" s="35"/>
      <c r="AI4365" s="35"/>
    </row>
    <row r="4366">
      <c r="A4366" s="251"/>
      <c r="B4366" s="252"/>
      <c r="C4366" s="253"/>
      <c r="D4366" s="253"/>
      <c r="E4366" s="252"/>
      <c r="F4366" s="253"/>
      <c r="G4366" s="251"/>
      <c r="H4366" s="433"/>
      <c r="I4366" s="278"/>
      <c r="J4366" s="257"/>
      <c r="K4366" s="253"/>
      <c r="L4366" s="253"/>
      <c r="M4366" s="275"/>
      <c r="N4366" s="258"/>
      <c r="O4366" s="259"/>
      <c r="P4366" s="259"/>
      <c r="Q4366" s="262"/>
      <c r="R4366" s="260"/>
      <c r="S4366" s="260"/>
      <c r="T4366" s="260"/>
      <c r="U4366" s="261"/>
      <c r="V4366" s="251"/>
      <c r="W4366" s="35"/>
      <c r="X4366" s="35"/>
      <c r="Y4366" s="35"/>
      <c r="Z4366" s="35"/>
      <c r="AA4366" s="35"/>
      <c r="AB4366" s="35"/>
      <c r="AC4366" s="35"/>
      <c r="AD4366" s="35"/>
      <c r="AE4366" s="35"/>
      <c r="AF4366" s="35"/>
      <c r="AG4366" s="35"/>
      <c r="AH4366" s="35"/>
      <c r="AI4366" s="35"/>
    </row>
    <row r="4367">
      <c r="A4367" s="251"/>
      <c r="B4367" s="252"/>
      <c r="C4367" s="253"/>
      <c r="D4367" s="253"/>
      <c r="E4367" s="252"/>
      <c r="F4367" s="253"/>
      <c r="G4367" s="251"/>
      <c r="H4367" s="433"/>
      <c r="I4367" s="278"/>
      <c r="J4367" s="257"/>
      <c r="K4367" s="253"/>
      <c r="L4367" s="253"/>
      <c r="M4367" s="252"/>
      <c r="N4367" s="258"/>
      <c r="O4367" s="259"/>
      <c r="P4367" s="259"/>
      <c r="Q4367" s="262"/>
      <c r="R4367" s="260"/>
      <c r="S4367" s="260"/>
      <c r="T4367" s="260"/>
      <c r="U4367" s="261"/>
      <c r="V4367" s="251"/>
      <c r="W4367" s="35"/>
      <c r="X4367" s="35"/>
      <c r="Y4367" s="35"/>
      <c r="Z4367" s="35"/>
      <c r="AA4367" s="35"/>
      <c r="AB4367" s="35"/>
      <c r="AC4367" s="35"/>
      <c r="AD4367" s="35"/>
      <c r="AE4367" s="35"/>
      <c r="AF4367" s="35"/>
      <c r="AG4367" s="35"/>
      <c r="AH4367" s="35"/>
      <c r="AI4367" s="35"/>
    </row>
    <row r="4368">
      <c r="A4368" s="251"/>
      <c r="B4368" s="252"/>
      <c r="C4368" s="253"/>
      <c r="D4368" s="253"/>
      <c r="E4368" s="252"/>
      <c r="F4368" s="253"/>
      <c r="G4368" s="251"/>
      <c r="H4368" s="433"/>
      <c r="I4368" s="278"/>
      <c r="J4368" s="257"/>
      <c r="K4368" s="253"/>
      <c r="L4368" s="253"/>
      <c r="M4368" s="252"/>
      <c r="N4368" s="258"/>
      <c r="O4368" s="259"/>
      <c r="P4368" s="259"/>
      <c r="Q4368" s="262"/>
      <c r="R4368" s="260"/>
      <c r="S4368" s="260"/>
      <c r="T4368" s="260"/>
      <c r="U4368" s="261"/>
      <c r="V4368" s="251"/>
      <c r="W4368" s="35"/>
      <c r="X4368" s="35"/>
      <c r="Y4368" s="35"/>
      <c r="Z4368" s="35"/>
      <c r="AA4368" s="35"/>
      <c r="AB4368" s="35"/>
      <c r="AC4368" s="35"/>
      <c r="AD4368" s="35"/>
      <c r="AE4368" s="35"/>
      <c r="AF4368" s="35"/>
      <c r="AG4368" s="35"/>
      <c r="AH4368" s="35"/>
      <c r="AI4368" s="35"/>
    </row>
    <row r="4369">
      <c r="A4369" s="251"/>
      <c r="B4369" s="252"/>
      <c r="C4369" s="253"/>
      <c r="D4369" s="253"/>
      <c r="E4369" s="252"/>
      <c r="F4369" s="253"/>
      <c r="G4369" s="251"/>
      <c r="H4369" s="433"/>
      <c r="I4369" s="278"/>
      <c r="J4369" s="257"/>
      <c r="K4369" s="253"/>
      <c r="L4369" s="253"/>
      <c r="M4369" s="275"/>
      <c r="N4369" s="258"/>
      <c r="O4369" s="259"/>
      <c r="P4369" s="259"/>
      <c r="Q4369" s="262"/>
      <c r="R4369" s="260"/>
      <c r="S4369" s="260"/>
      <c r="T4369" s="260"/>
      <c r="U4369" s="261"/>
      <c r="V4369" s="251"/>
      <c r="W4369" s="35"/>
      <c r="X4369" s="35"/>
      <c r="Y4369" s="35"/>
      <c r="Z4369" s="35"/>
      <c r="AA4369" s="35"/>
      <c r="AB4369" s="35"/>
      <c r="AC4369" s="35"/>
      <c r="AD4369" s="35"/>
      <c r="AE4369" s="35"/>
      <c r="AF4369" s="35"/>
      <c r="AG4369" s="35"/>
      <c r="AH4369" s="35"/>
      <c r="AI4369" s="35"/>
    </row>
    <row r="4370">
      <c r="A4370" s="251"/>
      <c r="B4370" s="252"/>
      <c r="C4370" s="253"/>
      <c r="D4370" s="253"/>
      <c r="E4370" s="252"/>
      <c r="F4370" s="253"/>
      <c r="G4370" s="251"/>
      <c r="H4370" s="433"/>
      <c r="I4370" s="278"/>
      <c r="J4370" s="257"/>
      <c r="K4370" s="253"/>
      <c r="L4370" s="253"/>
      <c r="M4370" s="275"/>
      <c r="N4370" s="258"/>
      <c r="O4370" s="259"/>
      <c r="P4370" s="259"/>
      <c r="Q4370" s="262"/>
      <c r="R4370" s="260"/>
      <c r="S4370" s="260"/>
      <c r="T4370" s="260"/>
      <c r="U4370" s="261"/>
      <c r="V4370" s="251"/>
      <c r="W4370" s="35"/>
      <c r="X4370" s="35"/>
      <c r="Y4370" s="35"/>
      <c r="Z4370" s="35"/>
      <c r="AA4370" s="35"/>
      <c r="AB4370" s="35"/>
      <c r="AC4370" s="35"/>
      <c r="AD4370" s="35"/>
      <c r="AE4370" s="35"/>
      <c r="AF4370" s="35"/>
      <c r="AG4370" s="35"/>
      <c r="AH4370" s="35"/>
      <c r="AI4370" s="35"/>
    </row>
    <row r="4371">
      <c r="A4371" s="251"/>
      <c r="B4371" s="252"/>
      <c r="C4371" s="253"/>
      <c r="D4371" s="253"/>
      <c r="E4371" s="252"/>
      <c r="F4371" s="253"/>
      <c r="G4371" s="251"/>
      <c r="H4371" s="433"/>
      <c r="I4371" s="278"/>
      <c r="J4371" s="257"/>
      <c r="K4371" s="253"/>
      <c r="L4371" s="253"/>
      <c r="M4371" s="275"/>
      <c r="N4371" s="258"/>
      <c r="O4371" s="259"/>
      <c r="P4371" s="259"/>
      <c r="Q4371" s="262"/>
      <c r="R4371" s="260"/>
      <c r="S4371" s="260"/>
      <c r="T4371" s="260"/>
      <c r="U4371" s="261"/>
      <c r="V4371" s="251"/>
      <c r="W4371" s="35"/>
      <c r="X4371" s="35"/>
      <c r="Y4371" s="35"/>
      <c r="Z4371" s="35"/>
      <c r="AA4371" s="35"/>
      <c r="AB4371" s="35"/>
      <c r="AC4371" s="35"/>
      <c r="AD4371" s="35"/>
      <c r="AE4371" s="35"/>
      <c r="AF4371" s="35"/>
      <c r="AG4371" s="35"/>
      <c r="AH4371" s="35"/>
      <c r="AI4371" s="35"/>
    </row>
    <row r="4372">
      <c r="A4372" s="251"/>
      <c r="B4372" s="252"/>
      <c r="C4372" s="253"/>
      <c r="D4372" s="253"/>
      <c r="E4372" s="252"/>
      <c r="F4372" s="253"/>
      <c r="G4372" s="251"/>
      <c r="H4372" s="433"/>
      <c r="I4372" s="278"/>
      <c r="J4372" s="257"/>
      <c r="K4372" s="253"/>
      <c r="L4372" s="253"/>
      <c r="M4372" s="275"/>
      <c r="N4372" s="258"/>
      <c r="O4372" s="259"/>
      <c r="P4372" s="259"/>
      <c r="Q4372" s="262"/>
      <c r="R4372" s="260"/>
      <c r="S4372" s="260"/>
      <c r="T4372" s="260"/>
      <c r="U4372" s="261"/>
      <c r="V4372" s="251"/>
      <c r="W4372" s="35"/>
      <c r="X4372" s="35"/>
      <c r="Y4372" s="35"/>
      <c r="Z4372" s="35"/>
      <c r="AA4372" s="35"/>
      <c r="AB4372" s="35"/>
      <c r="AC4372" s="35"/>
      <c r="AD4372" s="35"/>
      <c r="AE4372" s="35"/>
      <c r="AF4372" s="35"/>
      <c r="AG4372" s="35"/>
      <c r="AH4372" s="35"/>
      <c r="AI4372" s="35"/>
    </row>
    <row r="4373">
      <c r="A4373" s="251"/>
      <c r="B4373" s="252"/>
      <c r="C4373" s="253"/>
      <c r="D4373" s="253"/>
      <c r="E4373" s="252"/>
      <c r="F4373" s="253"/>
      <c r="G4373" s="251"/>
      <c r="H4373" s="433"/>
      <c r="I4373" s="278"/>
      <c r="J4373" s="257"/>
      <c r="K4373" s="253"/>
      <c r="L4373" s="253"/>
      <c r="M4373" s="275"/>
      <c r="N4373" s="258"/>
      <c r="O4373" s="259"/>
      <c r="P4373" s="259"/>
      <c r="Q4373" s="262"/>
      <c r="R4373" s="260"/>
      <c r="S4373" s="260"/>
      <c r="T4373" s="260"/>
      <c r="U4373" s="261"/>
      <c r="V4373" s="251"/>
      <c r="W4373" s="35"/>
      <c r="X4373" s="35"/>
      <c r="Y4373" s="35"/>
      <c r="Z4373" s="35"/>
      <c r="AA4373" s="35"/>
      <c r="AB4373" s="35"/>
      <c r="AC4373" s="35"/>
      <c r="AD4373" s="35"/>
      <c r="AE4373" s="35"/>
      <c r="AF4373" s="35"/>
      <c r="AG4373" s="35"/>
      <c r="AH4373" s="35"/>
      <c r="AI4373" s="35"/>
    </row>
    <row r="4374">
      <c r="A4374" s="251"/>
      <c r="B4374" s="252"/>
      <c r="C4374" s="253"/>
      <c r="D4374" s="253"/>
      <c r="E4374" s="252"/>
      <c r="F4374" s="253"/>
      <c r="G4374" s="251"/>
      <c r="H4374" s="433"/>
      <c r="I4374" s="278"/>
      <c r="J4374" s="257"/>
      <c r="K4374" s="253"/>
      <c r="L4374" s="253"/>
      <c r="M4374" s="275"/>
      <c r="N4374" s="258"/>
      <c r="O4374" s="259"/>
      <c r="P4374" s="259"/>
      <c r="Q4374" s="262"/>
      <c r="R4374" s="260"/>
      <c r="S4374" s="260"/>
      <c r="T4374" s="260"/>
      <c r="U4374" s="261"/>
      <c r="V4374" s="251"/>
      <c r="W4374" s="35"/>
      <c r="X4374" s="35"/>
      <c r="Y4374" s="35"/>
      <c r="Z4374" s="35"/>
      <c r="AA4374" s="35"/>
      <c r="AB4374" s="35"/>
      <c r="AC4374" s="35"/>
      <c r="AD4374" s="35"/>
      <c r="AE4374" s="35"/>
      <c r="AF4374" s="35"/>
      <c r="AG4374" s="35"/>
      <c r="AH4374" s="35"/>
      <c r="AI4374" s="35"/>
    </row>
    <row r="4375">
      <c r="A4375" s="251"/>
      <c r="B4375" s="252"/>
      <c r="C4375" s="253"/>
      <c r="D4375" s="253"/>
      <c r="E4375" s="252"/>
      <c r="F4375" s="253"/>
      <c r="G4375" s="251"/>
      <c r="H4375" s="433"/>
      <c r="I4375" s="278"/>
      <c r="J4375" s="257"/>
      <c r="K4375" s="253"/>
      <c r="L4375" s="253"/>
      <c r="M4375" s="275"/>
      <c r="N4375" s="258"/>
      <c r="O4375" s="259"/>
      <c r="P4375" s="259"/>
      <c r="Q4375" s="262"/>
      <c r="R4375" s="260"/>
      <c r="S4375" s="260"/>
      <c r="T4375" s="260"/>
      <c r="U4375" s="261"/>
      <c r="V4375" s="251"/>
      <c r="W4375" s="35"/>
      <c r="X4375" s="35"/>
      <c r="Y4375" s="35"/>
      <c r="Z4375" s="35"/>
      <c r="AA4375" s="35"/>
      <c r="AB4375" s="35"/>
      <c r="AC4375" s="35"/>
      <c r="AD4375" s="35"/>
      <c r="AE4375" s="35"/>
      <c r="AF4375" s="35"/>
      <c r="AG4375" s="35"/>
      <c r="AH4375" s="35"/>
      <c r="AI4375" s="35"/>
    </row>
    <row r="4376">
      <c r="A4376" s="251"/>
      <c r="B4376" s="252"/>
      <c r="C4376" s="253"/>
      <c r="D4376" s="253"/>
      <c r="E4376" s="252"/>
      <c r="F4376" s="253"/>
      <c r="G4376" s="251"/>
      <c r="H4376" s="433"/>
      <c r="I4376" s="278"/>
      <c r="J4376" s="257"/>
      <c r="K4376" s="253"/>
      <c r="L4376" s="253"/>
      <c r="M4376" s="275"/>
      <c r="N4376" s="258"/>
      <c r="O4376" s="259"/>
      <c r="P4376" s="259"/>
      <c r="Q4376" s="262"/>
      <c r="R4376" s="260"/>
      <c r="S4376" s="260"/>
      <c r="T4376" s="260"/>
      <c r="U4376" s="261"/>
      <c r="V4376" s="251"/>
      <c r="W4376" s="35"/>
      <c r="X4376" s="35"/>
      <c r="Y4376" s="35"/>
      <c r="Z4376" s="35"/>
      <c r="AA4376" s="35"/>
      <c r="AB4376" s="35"/>
      <c r="AC4376" s="35"/>
      <c r="AD4376" s="35"/>
      <c r="AE4376" s="35"/>
      <c r="AF4376" s="35"/>
      <c r="AG4376" s="35"/>
      <c r="AH4376" s="35"/>
      <c r="AI4376" s="35"/>
    </row>
    <row r="4377">
      <c r="A4377" s="251"/>
      <c r="B4377" s="252"/>
      <c r="C4377" s="253"/>
      <c r="D4377" s="253"/>
      <c r="E4377" s="252"/>
      <c r="F4377" s="253"/>
      <c r="G4377" s="251"/>
      <c r="H4377" s="433"/>
      <c r="I4377" s="278"/>
      <c r="J4377" s="257"/>
      <c r="K4377" s="253"/>
      <c r="L4377" s="253"/>
      <c r="M4377" s="275"/>
      <c r="N4377" s="258"/>
      <c r="O4377" s="259"/>
      <c r="P4377" s="259"/>
      <c r="Q4377" s="262"/>
      <c r="R4377" s="260"/>
      <c r="S4377" s="260"/>
      <c r="T4377" s="260"/>
      <c r="U4377" s="261"/>
      <c r="V4377" s="251"/>
      <c r="W4377" s="35"/>
      <c r="X4377" s="35"/>
      <c r="Y4377" s="35"/>
      <c r="Z4377" s="35"/>
      <c r="AA4377" s="35"/>
      <c r="AB4377" s="35"/>
      <c r="AC4377" s="35"/>
      <c r="AD4377" s="35"/>
      <c r="AE4377" s="35"/>
      <c r="AF4377" s="35"/>
      <c r="AG4377" s="35"/>
      <c r="AH4377" s="35"/>
      <c r="AI4377" s="35"/>
    </row>
    <row r="4378">
      <c r="A4378" s="251"/>
      <c r="B4378" s="252"/>
      <c r="C4378" s="253"/>
      <c r="D4378" s="253"/>
      <c r="E4378" s="252"/>
      <c r="F4378" s="253"/>
      <c r="G4378" s="251"/>
      <c r="H4378" s="433"/>
      <c r="I4378" s="278"/>
      <c r="J4378" s="257"/>
      <c r="K4378" s="253"/>
      <c r="L4378" s="253"/>
      <c r="M4378" s="275"/>
      <c r="N4378" s="258"/>
      <c r="O4378" s="259"/>
      <c r="P4378" s="259"/>
      <c r="Q4378" s="262"/>
      <c r="R4378" s="260"/>
      <c r="S4378" s="260"/>
      <c r="T4378" s="260"/>
      <c r="U4378" s="261"/>
      <c r="V4378" s="251"/>
      <c r="W4378" s="35"/>
      <c r="X4378" s="35"/>
      <c r="Y4378" s="35"/>
      <c r="Z4378" s="35"/>
      <c r="AA4378" s="35"/>
      <c r="AB4378" s="35"/>
      <c r="AC4378" s="35"/>
      <c r="AD4378" s="35"/>
      <c r="AE4378" s="35"/>
      <c r="AF4378" s="35"/>
      <c r="AG4378" s="35"/>
      <c r="AH4378" s="35"/>
      <c r="AI4378" s="35"/>
    </row>
    <row r="4379">
      <c r="A4379" s="251"/>
      <c r="B4379" s="252"/>
      <c r="C4379" s="253"/>
      <c r="D4379" s="253"/>
      <c r="E4379" s="252"/>
      <c r="F4379" s="253"/>
      <c r="G4379" s="251"/>
      <c r="H4379" s="433"/>
      <c r="I4379" s="278"/>
      <c r="J4379" s="257"/>
      <c r="K4379" s="253"/>
      <c r="L4379" s="253"/>
      <c r="M4379" s="275"/>
      <c r="N4379" s="258"/>
      <c r="O4379" s="259"/>
      <c r="P4379" s="259"/>
      <c r="Q4379" s="262"/>
      <c r="R4379" s="260"/>
      <c r="S4379" s="260"/>
      <c r="T4379" s="260"/>
      <c r="U4379" s="261"/>
      <c r="V4379" s="251"/>
      <c r="W4379" s="35"/>
      <c r="X4379" s="35"/>
      <c r="Y4379" s="35"/>
      <c r="Z4379" s="35"/>
      <c r="AA4379" s="35"/>
      <c r="AB4379" s="35"/>
      <c r="AC4379" s="35"/>
      <c r="AD4379" s="35"/>
      <c r="AE4379" s="35"/>
      <c r="AF4379" s="35"/>
      <c r="AG4379" s="35"/>
      <c r="AH4379" s="35"/>
      <c r="AI4379" s="35"/>
    </row>
    <row r="4380">
      <c r="A4380" s="251"/>
      <c r="B4380" s="252"/>
      <c r="C4380" s="253"/>
      <c r="D4380" s="253"/>
      <c r="E4380" s="252"/>
      <c r="F4380" s="253"/>
      <c r="G4380" s="251"/>
      <c r="H4380" s="433"/>
      <c r="I4380" s="278"/>
      <c r="J4380" s="257"/>
      <c r="K4380" s="253"/>
      <c r="L4380" s="253"/>
      <c r="M4380" s="275"/>
      <c r="N4380" s="258"/>
      <c r="O4380" s="259"/>
      <c r="P4380" s="259"/>
      <c r="Q4380" s="262"/>
      <c r="R4380" s="260"/>
      <c r="S4380" s="260"/>
      <c r="T4380" s="260"/>
      <c r="U4380" s="261"/>
      <c r="V4380" s="251"/>
      <c r="W4380" s="35"/>
      <c r="X4380" s="35"/>
      <c r="Y4380" s="35"/>
      <c r="Z4380" s="35"/>
      <c r="AA4380" s="35"/>
      <c r="AB4380" s="35"/>
      <c r="AC4380" s="35"/>
      <c r="AD4380" s="35"/>
      <c r="AE4380" s="35"/>
      <c r="AF4380" s="35"/>
      <c r="AG4380" s="35"/>
      <c r="AH4380" s="35"/>
      <c r="AI4380" s="35"/>
    </row>
    <row r="4381">
      <c r="A4381" s="251"/>
      <c r="B4381" s="252"/>
      <c r="C4381" s="253"/>
      <c r="D4381" s="253"/>
      <c r="E4381" s="252"/>
      <c r="F4381" s="253"/>
      <c r="G4381" s="251"/>
      <c r="H4381" s="433"/>
      <c r="I4381" s="278"/>
      <c r="J4381" s="257"/>
      <c r="K4381" s="253"/>
      <c r="L4381" s="253"/>
      <c r="M4381" s="275"/>
      <c r="N4381" s="258"/>
      <c r="O4381" s="259"/>
      <c r="P4381" s="259"/>
      <c r="Q4381" s="262"/>
      <c r="R4381" s="260"/>
      <c r="S4381" s="260"/>
      <c r="T4381" s="260"/>
      <c r="U4381" s="261"/>
      <c r="V4381" s="251"/>
      <c r="W4381" s="35"/>
      <c r="X4381" s="35"/>
      <c r="Y4381" s="35"/>
      <c r="Z4381" s="35"/>
      <c r="AA4381" s="35"/>
      <c r="AB4381" s="35"/>
      <c r="AC4381" s="35"/>
      <c r="AD4381" s="35"/>
      <c r="AE4381" s="35"/>
      <c r="AF4381" s="35"/>
      <c r="AG4381" s="35"/>
      <c r="AH4381" s="35"/>
      <c r="AI4381" s="35"/>
    </row>
    <row r="4382">
      <c r="A4382" s="251"/>
      <c r="B4382" s="252"/>
      <c r="C4382" s="253"/>
      <c r="D4382" s="253"/>
      <c r="E4382" s="252"/>
      <c r="F4382" s="253"/>
      <c r="G4382" s="251"/>
      <c r="H4382" s="433"/>
      <c r="I4382" s="278"/>
      <c r="J4382" s="257"/>
      <c r="K4382" s="253"/>
      <c r="L4382" s="253"/>
      <c r="M4382" s="275"/>
      <c r="N4382" s="258"/>
      <c r="O4382" s="259"/>
      <c r="P4382" s="259"/>
      <c r="Q4382" s="262"/>
      <c r="R4382" s="260"/>
      <c r="S4382" s="260"/>
      <c r="T4382" s="260"/>
      <c r="U4382" s="261"/>
      <c r="V4382" s="251"/>
      <c r="W4382" s="35"/>
      <c r="X4382" s="35"/>
      <c r="Y4382" s="35"/>
      <c r="Z4382" s="35"/>
      <c r="AA4382" s="35"/>
      <c r="AB4382" s="35"/>
      <c r="AC4382" s="35"/>
      <c r="AD4382" s="35"/>
      <c r="AE4382" s="35"/>
      <c r="AF4382" s="35"/>
      <c r="AG4382" s="35"/>
      <c r="AH4382" s="35"/>
      <c r="AI4382" s="35"/>
    </row>
    <row r="4383">
      <c r="A4383" s="251"/>
      <c r="B4383" s="252"/>
      <c r="C4383" s="253"/>
      <c r="D4383" s="253"/>
      <c r="E4383" s="252"/>
      <c r="F4383" s="253"/>
      <c r="G4383" s="251"/>
      <c r="H4383" s="433"/>
      <c r="I4383" s="278"/>
      <c r="J4383" s="257"/>
      <c r="K4383" s="253"/>
      <c r="L4383" s="253"/>
      <c r="M4383" s="275"/>
      <c r="N4383" s="258"/>
      <c r="O4383" s="259"/>
      <c r="P4383" s="259"/>
      <c r="Q4383" s="262"/>
      <c r="R4383" s="260"/>
      <c r="S4383" s="260"/>
      <c r="T4383" s="260"/>
      <c r="U4383" s="261"/>
      <c r="V4383" s="251"/>
      <c r="W4383" s="35"/>
      <c r="X4383" s="35"/>
      <c r="Y4383" s="35"/>
      <c r="Z4383" s="35"/>
      <c r="AA4383" s="35"/>
      <c r="AB4383" s="35"/>
      <c r="AC4383" s="35"/>
      <c r="AD4383" s="35"/>
      <c r="AE4383" s="35"/>
      <c r="AF4383" s="35"/>
      <c r="AG4383" s="35"/>
      <c r="AH4383" s="35"/>
      <c r="AI4383" s="35"/>
    </row>
    <row r="4384">
      <c r="A4384" s="251"/>
      <c r="B4384" s="252"/>
      <c r="C4384" s="253"/>
      <c r="D4384" s="253"/>
      <c r="E4384" s="252"/>
      <c r="F4384" s="253"/>
      <c r="G4384" s="251"/>
      <c r="H4384" s="433"/>
      <c r="I4384" s="278"/>
      <c r="J4384" s="257"/>
      <c r="K4384" s="253"/>
      <c r="L4384" s="253"/>
      <c r="M4384" s="275"/>
      <c r="N4384" s="258"/>
      <c r="O4384" s="259"/>
      <c r="P4384" s="259"/>
      <c r="Q4384" s="262"/>
      <c r="R4384" s="260"/>
      <c r="S4384" s="260"/>
      <c r="T4384" s="260"/>
      <c r="U4384" s="261"/>
      <c r="V4384" s="251"/>
      <c r="W4384" s="35"/>
      <c r="X4384" s="35"/>
      <c r="Y4384" s="35"/>
      <c r="Z4384" s="35"/>
      <c r="AA4384" s="35"/>
      <c r="AB4384" s="35"/>
      <c r="AC4384" s="35"/>
      <c r="AD4384" s="35"/>
      <c r="AE4384" s="35"/>
      <c r="AF4384" s="35"/>
      <c r="AG4384" s="35"/>
      <c r="AH4384" s="35"/>
      <c r="AI4384" s="35"/>
    </row>
    <row r="4385">
      <c r="A4385" s="251"/>
      <c r="B4385" s="252"/>
      <c r="C4385" s="253"/>
      <c r="D4385" s="253"/>
      <c r="E4385" s="252"/>
      <c r="F4385" s="253"/>
      <c r="G4385" s="251"/>
      <c r="H4385" s="433"/>
      <c r="I4385" s="278"/>
      <c r="J4385" s="257"/>
      <c r="K4385" s="253"/>
      <c r="L4385" s="253"/>
      <c r="M4385" s="275"/>
      <c r="N4385" s="258"/>
      <c r="O4385" s="259"/>
      <c r="P4385" s="259"/>
      <c r="Q4385" s="262"/>
      <c r="R4385" s="260"/>
      <c r="S4385" s="260"/>
      <c r="T4385" s="260"/>
      <c r="U4385" s="261"/>
      <c r="V4385" s="251"/>
      <c r="W4385" s="35"/>
      <c r="X4385" s="35"/>
      <c r="Y4385" s="35"/>
      <c r="Z4385" s="35"/>
      <c r="AA4385" s="35"/>
      <c r="AB4385" s="35"/>
      <c r="AC4385" s="35"/>
      <c r="AD4385" s="35"/>
      <c r="AE4385" s="35"/>
      <c r="AF4385" s="35"/>
      <c r="AG4385" s="35"/>
      <c r="AH4385" s="35"/>
      <c r="AI4385" s="35"/>
    </row>
    <row r="4386">
      <c r="A4386" s="251"/>
      <c r="B4386" s="252"/>
      <c r="C4386" s="253"/>
      <c r="D4386" s="253"/>
      <c r="E4386" s="252"/>
      <c r="F4386" s="253"/>
      <c r="G4386" s="251"/>
      <c r="H4386" s="433"/>
      <c r="I4386" s="278"/>
      <c r="J4386" s="257"/>
      <c r="K4386" s="253"/>
      <c r="L4386" s="253"/>
      <c r="M4386" s="252"/>
      <c r="N4386" s="258"/>
      <c r="O4386" s="259"/>
      <c r="P4386" s="259"/>
      <c r="Q4386" s="262"/>
      <c r="R4386" s="260"/>
      <c r="S4386" s="260"/>
      <c r="T4386" s="260"/>
      <c r="U4386" s="261"/>
      <c r="V4386" s="251"/>
      <c r="W4386" s="35"/>
      <c r="X4386" s="35"/>
      <c r="Y4386" s="35"/>
      <c r="Z4386" s="35"/>
      <c r="AA4386" s="35"/>
      <c r="AB4386" s="35"/>
      <c r="AC4386" s="35"/>
      <c r="AD4386" s="35"/>
      <c r="AE4386" s="35"/>
      <c r="AF4386" s="35"/>
      <c r="AG4386" s="35"/>
      <c r="AH4386" s="35"/>
      <c r="AI4386" s="35"/>
    </row>
    <row r="4387">
      <c r="A4387" s="251"/>
      <c r="B4387" s="252"/>
      <c r="C4387" s="253"/>
      <c r="D4387" s="253"/>
      <c r="E4387" s="252"/>
      <c r="F4387" s="253"/>
      <c r="G4387" s="251"/>
      <c r="H4387" s="433"/>
      <c r="I4387" s="278"/>
      <c r="J4387" s="257"/>
      <c r="K4387" s="253"/>
      <c r="L4387" s="253"/>
      <c r="M4387" s="275"/>
      <c r="N4387" s="258"/>
      <c r="O4387" s="259"/>
      <c r="P4387" s="259"/>
      <c r="Q4387" s="262"/>
      <c r="R4387" s="260"/>
      <c r="S4387" s="260"/>
      <c r="T4387" s="260"/>
      <c r="U4387" s="261"/>
      <c r="V4387" s="251"/>
      <c r="W4387" s="35"/>
      <c r="X4387" s="35"/>
      <c r="Y4387" s="35"/>
      <c r="Z4387" s="35"/>
      <c r="AA4387" s="35"/>
      <c r="AB4387" s="35"/>
      <c r="AC4387" s="35"/>
      <c r="AD4387" s="35"/>
      <c r="AE4387" s="35"/>
      <c r="AF4387" s="35"/>
      <c r="AG4387" s="35"/>
      <c r="AH4387" s="35"/>
      <c r="AI4387" s="35"/>
    </row>
    <row r="4388">
      <c r="A4388" s="251"/>
      <c r="B4388" s="252"/>
      <c r="C4388" s="253"/>
      <c r="D4388" s="253"/>
      <c r="E4388" s="252"/>
      <c r="F4388" s="253"/>
      <c r="G4388" s="251"/>
      <c r="H4388" s="433"/>
      <c r="I4388" s="278"/>
      <c r="J4388" s="257"/>
      <c r="K4388" s="253"/>
      <c r="L4388" s="253"/>
      <c r="M4388" s="275"/>
      <c r="N4388" s="258"/>
      <c r="O4388" s="259"/>
      <c r="P4388" s="259"/>
      <c r="Q4388" s="262"/>
      <c r="R4388" s="260"/>
      <c r="S4388" s="260"/>
      <c r="T4388" s="260"/>
      <c r="U4388" s="261"/>
      <c r="V4388" s="251"/>
      <c r="W4388" s="35"/>
      <c r="X4388" s="35"/>
      <c r="Y4388" s="35"/>
      <c r="Z4388" s="35"/>
      <c r="AA4388" s="35"/>
      <c r="AB4388" s="35"/>
      <c r="AC4388" s="35"/>
      <c r="AD4388" s="35"/>
      <c r="AE4388" s="35"/>
      <c r="AF4388" s="35"/>
      <c r="AG4388" s="35"/>
      <c r="AH4388" s="35"/>
      <c r="AI4388" s="35"/>
    </row>
    <row r="4389">
      <c r="A4389" s="251"/>
      <c r="B4389" s="252"/>
      <c r="C4389" s="253"/>
      <c r="D4389" s="253"/>
      <c r="E4389" s="252"/>
      <c r="F4389" s="253"/>
      <c r="G4389" s="251"/>
      <c r="H4389" s="433"/>
      <c r="I4389" s="278"/>
      <c r="J4389" s="257"/>
      <c r="K4389" s="253"/>
      <c r="L4389" s="253"/>
      <c r="M4389" s="275"/>
      <c r="N4389" s="258"/>
      <c r="O4389" s="259"/>
      <c r="P4389" s="259"/>
      <c r="Q4389" s="262"/>
      <c r="R4389" s="260"/>
      <c r="S4389" s="260"/>
      <c r="T4389" s="260"/>
      <c r="U4389" s="261"/>
      <c r="V4389" s="251"/>
      <c r="W4389" s="35"/>
      <c r="X4389" s="35"/>
      <c r="Y4389" s="35"/>
      <c r="Z4389" s="35"/>
      <c r="AA4389" s="35"/>
      <c r="AB4389" s="35"/>
      <c r="AC4389" s="35"/>
      <c r="AD4389" s="35"/>
      <c r="AE4389" s="35"/>
      <c r="AF4389" s="35"/>
      <c r="AG4389" s="35"/>
      <c r="AH4389" s="35"/>
      <c r="AI4389" s="35"/>
    </row>
    <row r="4390">
      <c r="A4390" s="251"/>
      <c r="B4390" s="252"/>
      <c r="C4390" s="253"/>
      <c r="D4390" s="253"/>
      <c r="E4390" s="252"/>
      <c r="F4390" s="253"/>
      <c r="G4390" s="251"/>
      <c r="H4390" s="433"/>
      <c r="I4390" s="278"/>
      <c r="J4390" s="257"/>
      <c r="K4390" s="253"/>
      <c r="L4390" s="253"/>
      <c r="M4390" s="275"/>
      <c r="N4390" s="258"/>
      <c r="O4390" s="259"/>
      <c r="P4390" s="259"/>
      <c r="Q4390" s="262"/>
      <c r="R4390" s="260"/>
      <c r="S4390" s="260"/>
      <c r="T4390" s="260"/>
      <c r="U4390" s="261"/>
      <c r="V4390" s="251"/>
      <c r="W4390" s="35"/>
      <c r="X4390" s="35"/>
      <c r="Y4390" s="35"/>
      <c r="Z4390" s="35"/>
      <c r="AA4390" s="35"/>
      <c r="AB4390" s="35"/>
      <c r="AC4390" s="35"/>
      <c r="AD4390" s="35"/>
      <c r="AE4390" s="35"/>
      <c r="AF4390" s="35"/>
      <c r="AG4390" s="35"/>
      <c r="AH4390" s="35"/>
      <c r="AI4390" s="35"/>
    </row>
    <row r="4391">
      <c r="A4391" s="251"/>
      <c r="B4391" s="252"/>
      <c r="C4391" s="253"/>
      <c r="D4391" s="253"/>
      <c r="E4391" s="252"/>
      <c r="F4391" s="253"/>
      <c r="G4391" s="251"/>
      <c r="H4391" s="433"/>
      <c r="I4391" s="278"/>
      <c r="J4391" s="257"/>
      <c r="K4391" s="253"/>
      <c r="L4391" s="253"/>
      <c r="M4391" s="275"/>
      <c r="N4391" s="258"/>
      <c r="O4391" s="259"/>
      <c r="P4391" s="259"/>
      <c r="Q4391" s="262"/>
      <c r="R4391" s="260"/>
      <c r="S4391" s="260"/>
      <c r="T4391" s="260"/>
      <c r="U4391" s="261"/>
      <c r="V4391" s="251"/>
      <c r="W4391" s="35"/>
      <c r="X4391" s="35"/>
      <c r="Y4391" s="35"/>
      <c r="Z4391" s="35"/>
      <c r="AA4391" s="35"/>
      <c r="AB4391" s="35"/>
      <c r="AC4391" s="35"/>
      <c r="AD4391" s="35"/>
      <c r="AE4391" s="35"/>
      <c r="AF4391" s="35"/>
      <c r="AG4391" s="35"/>
      <c r="AH4391" s="35"/>
      <c r="AI4391" s="35"/>
    </row>
    <row r="4392">
      <c r="A4392" s="251"/>
      <c r="B4392" s="252"/>
      <c r="C4392" s="253"/>
      <c r="D4392" s="253"/>
      <c r="E4392" s="252"/>
      <c r="F4392" s="253"/>
      <c r="G4392" s="251"/>
      <c r="H4392" s="433"/>
      <c r="I4392" s="278"/>
      <c r="J4392" s="257"/>
      <c r="K4392" s="253"/>
      <c r="L4392" s="253"/>
      <c r="M4392" s="275"/>
      <c r="N4392" s="258"/>
      <c r="O4392" s="259"/>
      <c r="P4392" s="259"/>
      <c r="Q4392" s="262"/>
      <c r="R4392" s="260"/>
      <c r="S4392" s="260"/>
      <c r="T4392" s="260"/>
      <c r="U4392" s="261"/>
      <c r="V4392" s="251"/>
      <c r="W4392" s="35"/>
      <c r="X4392" s="35"/>
      <c r="Y4392" s="35"/>
      <c r="Z4392" s="35"/>
      <c r="AA4392" s="35"/>
      <c r="AB4392" s="35"/>
      <c r="AC4392" s="35"/>
      <c r="AD4392" s="35"/>
      <c r="AE4392" s="35"/>
      <c r="AF4392" s="35"/>
      <c r="AG4392" s="35"/>
      <c r="AH4392" s="35"/>
      <c r="AI4392" s="35"/>
    </row>
    <row r="4393">
      <c r="A4393" s="251"/>
      <c r="B4393" s="252"/>
      <c r="C4393" s="253"/>
      <c r="D4393" s="253"/>
      <c r="E4393" s="252"/>
      <c r="F4393" s="253"/>
      <c r="G4393" s="251"/>
      <c r="H4393" s="433"/>
      <c r="I4393" s="278"/>
      <c r="J4393" s="257"/>
      <c r="K4393" s="253"/>
      <c r="L4393" s="253"/>
      <c r="M4393" s="275"/>
      <c r="N4393" s="258"/>
      <c r="O4393" s="259"/>
      <c r="P4393" s="259"/>
      <c r="Q4393" s="262"/>
      <c r="R4393" s="260"/>
      <c r="S4393" s="260"/>
      <c r="T4393" s="260"/>
      <c r="U4393" s="261"/>
      <c r="V4393" s="251"/>
      <c r="W4393" s="35"/>
      <c r="X4393" s="35"/>
      <c r="Y4393" s="35"/>
      <c r="Z4393" s="35"/>
      <c r="AA4393" s="35"/>
      <c r="AB4393" s="35"/>
      <c r="AC4393" s="35"/>
      <c r="AD4393" s="35"/>
      <c r="AE4393" s="35"/>
      <c r="AF4393" s="35"/>
      <c r="AG4393" s="35"/>
      <c r="AH4393" s="35"/>
      <c r="AI4393" s="35"/>
    </row>
    <row r="4394">
      <c r="A4394" s="251"/>
      <c r="B4394" s="252"/>
      <c r="C4394" s="253"/>
      <c r="D4394" s="253"/>
      <c r="E4394" s="252"/>
      <c r="F4394" s="253"/>
      <c r="G4394" s="251"/>
      <c r="H4394" s="433"/>
      <c r="I4394" s="278"/>
      <c r="J4394" s="257"/>
      <c r="K4394" s="253"/>
      <c r="L4394" s="253"/>
      <c r="M4394" s="275"/>
      <c r="N4394" s="258"/>
      <c r="O4394" s="259"/>
      <c r="P4394" s="259"/>
      <c r="Q4394" s="262"/>
      <c r="R4394" s="260"/>
      <c r="S4394" s="260"/>
      <c r="T4394" s="260"/>
      <c r="U4394" s="261"/>
      <c r="V4394" s="251"/>
      <c r="W4394" s="35"/>
      <c r="X4394" s="35"/>
      <c r="Y4394" s="35"/>
      <c r="Z4394" s="35"/>
      <c r="AA4394" s="35"/>
      <c r="AB4394" s="35"/>
      <c r="AC4394" s="35"/>
      <c r="AD4394" s="35"/>
      <c r="AE4394" s="35"/>
      <c r="AF4394" s="35"/>
      <c r="AG4394" s="35"/>
      <c r="AH4394" s="35"/>
      <c r="AI4394" s="35"/>
    </row>
    <row r="4395">
      <c r="A4395" s="251"/>
      <c r="B4395" s="252"/>
      <c r="C4395" s="253"/>
      <c r="D4395" s="253"/>
      <c r="E4395" s="252"/>
      <c r="F4395" s="253"/>
      <c r="G4395" s="251"/>
      <c r="H4395" s="433"/>
      <c r="I4395" s="278"/>
      <c r="J4395" s="257"/>
      <c r="K4395" s="253"/>
      <c r="L4395" s="253"/>
      <c r="M4395" s="275"/>
      <c r="N4395" s="258"/>
      <c r="O4395" s="259"/>
      <c r="P4395" s="259"/>
      <c r="Q4395" s="262"/>
      <c r="R4395" s="260"/>
      <c r="S4395" s="260"/>
      <c r="T4395" s="260"/>
      <c r="U4395" s="261"/>
      <c r="V4395" s="251"/>
      <c r="W4395" s="35"/>
      <c r="X4395" s="35"/>
      <c r="Y4395" s="35"/>
      <c r="Z4395" s="35"/>
      <c r="AA4395" s="35"/>
      <c r="AB4395" s="35"/>
      <c r="AC4395" s="35"/>
      <c r="AD4395" s="35"/>
      <c r="AE4395" s="35"/>
      <c r="AF4395" s="35"/>
      <c r="AG4395" s="35"/>
      <c r="AH4395" s="35"/>
      <c r="AI4395" s="35"/>
    </row>
    <row r="4396">
      <c r="A4396" s="251"/>
      <c r="B4396" s="252"/>
      <c r="C4396" s="253"/>
      <c r="D4396" s="253"/>
      <c r="E4396" s="252"/>
      <c r="F4396" s="253"/>
      <c r="G4396" s="251"/>
      <c r="H4396" s="433"/>
      <c r="I4396" s="278"/>
      <c r="J4396" s="257"/>
      <c r="K4396" s="253"/>
      <c r="L4396" s="253"/>
      <c r="M4396" s="275"/>
      <c r="N4396" s="258"/>
      <c r="O4396" s="259"/>
      <c r="P4396" s="259"/>
      <c r="Q4396" s="262"/>
      <c r="R4396" s="260"/>
      <c r="S4396" s="260"/>
      <c r="T4396" s="260"/>
      <c r="U4396" s="261"/>
      <c r="V4396" s="251"/>
      <c r="W4396" s="35"/>
      <c r="X4396" s="35"/>
      <c r="Y4396" s="35"/>
      <c r="Z4396" s="35"/>
      <c r="AA4396" s="35"/>
      <c r="AB4396" s="35"/>
      <c r="AC4396" s="35"/>
      <c r="AD4396" s="35"/>
      <c r="AE4396" s="35"/>
      <c r="AF4396" s="35"/>
      <c r="AG4396" s="35"/>
      <c r="AH4396" s="35"/>
      <c r="AI4396" s="35"/>
    </row>
    <row r="4397">
      <c r="A4397" s="251"/>
      <c r="B4397" s="252"/>
      <c r="C4397" s="253"/>
      <c r="D4397" s="253"/>
      <c r="E4397" s="252"/>
      <c r="F4397" s="253"/>
      <c r="G4397" s="251"/>
      <c r="H4397" s="433"/>
      <c r="I4397" s="278"/>
      <c r="J4397" s="257"/>
      <c r="K4397" s="253"/>
      <c r="L4397" s="253"/>
      <c r="M4397" s="252"/>
      <c r="N4397" s="258"/>
      <c r="O4397" s="259"/>
      <c r="P4397" s="259"/>
      <c r="Q4397" s="257"/>
      <c r="R4397" s="260"/>
      <c r="S4397" s="260"/>
      <c r="T4397" s="260"/>
      <c r="U4397" s="261"/>
      <c r="V4397" s="251"/>
      <c r="W4397" s="35"/>
      <c r="X4397" s="35"/>
      <c r="Y4397" s="35"/>
      <c r="Z4397" s="35"/>
      <c r="AA4397" s="35"/>
      <c r="AB4397" s="35"/>
      <c r="AC4397" s="35"/>
      <c r="AD4397" s="35"/>
      <c r="AE4397" s="35"/>
      <c r="AF4397" s="35"/>
      <c r="AG4397" s="35"/>
      <c r="AH4397" s="35"/>
      <c r="AI4397" s="35"/>
    </row>
    <row r="4398">
      <c r="A4398" s="251"/>
      <c r="B4398" s="252"/>
      <c r="C4398" s="253"/>
      <c r="D4398" s="253"/>
      <c r="E4398" s="252"/>
      <c r="F4398" s="253"/>
      <c r="G4398" s="251"/>
      <c r="H4398" s="433"/>
      <c r="I4398" s="278"/>
      <c r="J4398" s="257"/>
      <c r="K4398" s="253"/>
      <c r="L4398" s="253"/>
      <c r="M4398" s="252"/>
      <c r="N4398" s="258"/>
      <c r="O4398" s="259"/>
      <c r="P4398" s="259"/>
      <c r="Q4398" s="262"/>
      <c r="R4398" s="260"/>
      <c r="S4398" s="260"/>
      <c r="T4398" s="260"/>
      <c r="U4398" s="261"/>
      <c r="V4398" s="251"/>
      <c r="W4398" s="35"/>
      <c r="X4398" s="35"/>
      <c r="Y4398" s="35"/>
      <c r="Z4398" s="35"/>
      <c r="AA4398" s="35"/>
      <c r="AB4398" s="35"/>
      <c r="AC4398" s="35"/>
      <c r="AD4398" s="35"/>
      <c r="AE4398" s="35"/>
      <c r="AF4398" s="35"/>
      <c r="AG4398" s="35"/>
      <c r="AH4398" s="35"/>
      <c r="AI4398" s="35"/>
    </row>
    <row r="4399">
      <c r="A4399" s="251"/>
      <c r="B4399" s="252"/>
      <c r="C4399" s="253"/>
      <c r="D4399" s="253"/>
      <c r="E4399" s="252"/>
      <c r="F4399" s="253"/>
      <c r="G4399" s="251"/>
      <c r="H4399" s="433"/>
      <c r="I4399" s="278"/>
      <c r="J4399" s="257"/>
      <c r="K4399" s="253"/>
      <c r="L4399" s="253"/>
      <c r="M4399" s="275"/>
      <c r="N4399" s="258"/>
      <c r="O4399" s="259"/>
      <c r="P4399" s="259"/>
      <c r="Q4399" s="262"/>
      <c r="R4399" s="260"/>
      <c r="S4399" s="260"/>
      <c r="T4399" s="260"/>
      <c r="U4399" s="261"/>
      <c r="V4399" s="251"/>
      <c r="W4399" s="35"/>
      <c r="X4399" s="35"/>
      <c r="Y4399" s="35"/>
      <c r="Z4399" s="35"/>
      <c r="AA4399" s="35"/>
      <c r="AB4399" s="35"/>
      <c r="AC4399" s="35"/>
      <c r="AD4399" s="35"/>
      <c r="AE4399" s="35"/>
      <c r="AF4399" s="35"/>
      <c r="AG4399" s="35"/>
      <c r="AH4399" s="35"/>
      <c r="AI4399" s="35"/>
    </row>
    <row r="4400">
      <c r="A4400" s="251"/>
      <c r="B4400" s="252"/>
      <c r="C4400" s="253"/>
      <c r="D4400" s="253"/>
      <c r="E4400" s="252"/>
      <c r="F4400" s="253"/>
      <c r="G4400" s="251"/>
      <c r="H4400" s="433"/>
      <c r="I4400" s="278"/>
      <c r="J4400" s="257"/>
      <c r="K4400" s="253"/>
      <c r="L4400" s="253"/>
      <c r="M4400" s="275"/>
      <c r="N4400" s="258"/>
      <c r="O4400" s="259"/>
      <c r="P4400" s="259"/>
      <c r="Q4400" s="262"/>
      <c r="R4400" s="260"/>
      <c r="S4400" s="260"/>
      <c r="T4400" s="260"/>
      <c r="U4400" s="253"/>
      <c r="V4400" s="251"/>
      <c r="W4400" s="35"/>
      <c r="X4400" s="35"/>
      <c r="Y4400" s="35"/>
      <c r="Z4400" s="35"/>
      <c r="AA4400" s="35"/>
      <c r="AB4400" s="35"/>
      <c r="AC4400" s="35"/>
      <c r="AD4400" s="35"/>
      <c r="AE4400" s="35"/>
      <c r="AF4400" s="35"/>
      <c r="AG4400" s="35"/>
      <c r="AH4400" s="35"/>
      <c r="AI4400" s="35"/>
    </row>
    <row r="4401">
      <c r="A4401" s="251"/>
      <c r="B4401" s="252"/>
      <c r="C4401" s="253"/>
      <c r="D4401" s="253"/>
      <c r="E4401" s="252"/>
      <c r="F4401" s="253"/>
      <c r="G4401" s="251"/>
      <c r="H4401" s="433"/>
      <c r="I4401" s="278"/>
      <c r="J4401" s="257"/>
      <c r="K4401" s="253"/>
      <c r="L4401" s="253"/>
      <c r="M4401" s="275"/>
      <c r="N4401" s="258"/>
      <c r="O4401" s="259"/>
      <c r="P4401" s="259"/>
      <c r="Q4401" s="262"/>
      <c r="R4401" s="260"/>
      <c r="S4401" s="260"/>
      <c r="T4401" s="260"/>
      <c r="U4401" s="261"/>
      <c r="V4401" s="251"/>
      <c r="W4401" s="35"/>
      <c r="X4401" s="35"/>
      <c r="Y4401" s="35"/>
      <c r="Z4401" s="35"/>
      <c r="AA4401" s="35"/>
      <c r="AB4401" s="35"/>
      <c r="AC4401" s="35"/>
      <c r="AD4401" s="35"/>
      <c r="AE4401" s="35"/>
      <c r="AF4401" s="35"/>
      <c r="AG4401" s="35"/>
      <c r="AH4401" s="35"/>
      <c r="AI4401" s="35"/>
    </row>
    <row r="4402">
      <c r="A4402" s="251"/>
      <c r="B4402" s="252"/>
      <c r="C4402" s="253"/>
      <c r="D4402" s="253"/>
      <c r="E4402" s="252"/>
      <c r="F4402" s="253"/>
      <c r="G4402" s="251"/>
      <c r="H4402" s="433"/>
      <c r="I4402" s="278"/>
      <c r="J4402" s="257"/>
      <c r="K4402" s="253"/>
      <c r="L4402" s="253"/>
      <c r="M4402" s="275"/>
      <c r="N4402" s="258"/>
      <c r="O4402" s="259"/>
      <c r="P4402" s="259"/>
      <c r="Q4402" s="262"/>
      <c r="R4402" s="260"/>
      <c r="S4402" s="260"/>
      <c r="T4402" s="260"/>
      <c r="U4402" s="261"/>
      <c r="V4402" s="251"/>
      <c r="W4402" s="35"/>
      <c r="X4402" s="35"/>
      <c r="Y4402" s="35"/>
      <c r="Z4402" s="35"/>
      <c r="AA4402" s="35"/>
      <c r="AB4402" s="35"/>
      <c r="AC4402" s="35"/>
      <c r="AD4402" s="35"/>
      <c r="AE4402" s="35"/>
      <c r="AF4402" s="35"/>
      <c r="AG4402" s="35"/>
      <c r="AH4402" s="35"/>
      <c r="AI4402" s="35"/>
    </row>
    <row r="4403">
      <c r="A4403" s="251"/>
      <c r="B4403" s="252"/>
      <c r="C4403" s="253"/>
      <c r="D4403" s="253"/>
      <c r="E4403" s="252"/>
      <c r="F4403" s="253"/>
      <c r="G4403" s="251"/>
      <c r="H4403" s="433"/>
      <c r="I4403" s="278"/>
      <c r="J4403" s="257"/>
      <c r="K4403" s="253"/>
      <c r="L4403" s="253"/>
      <c r="M4403" s="275"/>
      <c r="N4403" s="258"/>
      <c r="O4403" s="259"/>
      <c r="P4403" s="259"/>
      <c r="Q4403" s="262"/>
      <c r="R4403" s="260"/>
      <c r="S4403" s="260"/>
      <c r="T4403" s="260"/>
      <c r="U4403" s="261"/>
      <c r="V4403" s="251"/>
      <c r="W4403" s="35"/>
      <c r="X4403" s="35"/>
      <c r="Y4403" s="35"/>
      <c r="Z4403" s="35"/>
      <c r="AA4403" s="35"/>
      <c r="AB4403" s="35"/>
      <c r="AC4403" s="35"/>
      <c r="AD4403" s="35"/>
      <c r="AE4403" s="35"/>
      <c r="AF4403" s="35"/>
      <c r="AG4403" s="35"/>
      <c r="AH4403" s="35"/>
      <c r="AI4403" s="35"/>
    </row>
    <row r="4404">
      <c r="A4404" s="251"/>
      <c r="B4404" s="252"/>
      <c r="C4404" s="253"/>
      <c r="D4404" s="253"/>
      <c r="E4404" s="252"/>
      <c r="F4404" s="253"/>
      <c r="G4404" s="251"/>
      <c r="H4404" s="433"/>
      <c r="I4404" s="278"/>
      <c r="J4404" s="257"/>
      <c r="K4404" s="253"/>
      <c r="L4404" s="253"/>
      <c r="M4404" s="252"/>
      <c r="N4404" s="258"/>
      <c r="O4404" s="259"/>
      <c r="P4404" s="259"/>
      <c r="Q4404" s="257"/>
      <c r="R4404" s="260"/>
      <c r="S4404" s="260"/>
      <c r="T4404" s="260"/>
      <c r="U4404" s="261"/>
      <c r="V4404" s="251"/>
      <c r="W4404" s="35"/>
      <c r="X4404" s="35"/>
      <c r="Y4404" s="35"/>
      <c r="Z4404" s="35"/>
      <c r="AA4404" s="35"/>
      <c r="AB4404" s="35"/>
      <c r="AC4404" s="35"/>
      <c r="AD4404" s="35"/>
      <c r="AE4404" s="35"/>
      <c r="AF4404" s="35"/>
      <c r="AG4404" s="35"/>
      <c r="AH4404" s="35"/>
      <c r="AI4404" s="35"/>
    </row>
    <row r="4405">
      <c r="A4405" s="251"/>
      <c r="B4405" s="252"/>
      <c r="C4405" s="253"/>
      <c r="D4405" s="253"/>
      <c r="E4405" s="252"/>
      <c r="F4405" s="253"/>
      <c r="G4405" s="251"/>
      <c r="H4405" s="433"/>
      <c r="I4405" s="278"/>
      <c r="J4405" s="257"/>
      <c r="K4405" s="253"/>
      <c r="L4405" s="253"/>
      <c r="M4405" s="275"/>
      <c r="N4405" s="258"/>
      <c r="O4405" s="259"/>
      <c r="P4405" s="259"/>
      <c r="Q4405" s="262"/>
      <c r="R4405" s="260"/>
      <c r="S4405" s="260"/>
      <c r="T4405" s="260"/>
      <c r="U4405" s="261"/>
      <c r="V4405" s="251"/>
      <c r="W4405" s="35"/>
      <c r="X4405" s="35"/>
      <c r="Y4405" s="35"/>
      <c r="Z4405" s="35"/>
      <c r="AA4405" s="35"/>
      <c r="AB4405" s="35"/>
      <c r="AC4405" s="35"/>
      <c r="AD4405" s="35"/>
      <c r="AE4405" s="35"/>
      <c r="AF4405" s="35"/>
      <c r="AG4405" s="35"/>
      <c r="AH4405" s="35"/>
      <c r="AI4405" s="35"/>
    </row>
    <row r="4406">
      <c r="A4406" s="251"/>
      <c r="B4406" s="252"/>
      <c r="C4406" s="253"/>
      <c r="D4406" s="253"/>
      <c r="E4406" s="252"/>
      <c r="F4406" s="253"/>
      <c r="G4406" s="251"/>
      <c r="H4406" s="433"/>
      <c r="I4406" s="278"/>
      <c r="J4406" s="257"/>
      <c r="K4406" s="253"/>
      <c r="L4406" s="253"/>
      <c r="M4406" s="275"/>
      <c r="N4406" s="258"/>
      <c r="O4406" s="259"/>
      <c r="P4406" s="259"/>
      <c r="Q4406" s="262"/>
      <c r="R4406" s="260"/>
      <c r="S4406" s="260"/>
      <c r="T4406" s="260"/>
      <c r="U4406" s="253"/>
      <c r="V4406" s="251"/>
      <c r="W4406" s="35"/>
      <c r="X4406" s="35"/>
      <c r="Y4406" s="35"/>
      <c r="Z4406" s="35"/>
      <c r="AA4406" s="35"/>
      <c r="AB4406" s="35"/>
      <c r="AC4406" s="35"/>
      <c r="AD4406" s="35"/>
      <c r="AE4406" s="35"/>
      <c r="AF4406" s="35"/>
      <c r="AG4406" s="35"/>
      <c r="AH4406" s="35"/>
      <c r="AI4406" s="35"/>
    </row>
    <row r="4407">
      <c r="A4407" s="251"/>
      <c r="B4407" s="252"/>
      <c r="C4407" s="253"/>
      <c r="D4407" s="253"/>
      <c r="E4407" s="252"/>
      <c r="F4407" s="253"/>
      <c r="G4407" s="251"/>
      <c r="H4407" s="433"/>
      <c r="I4407" s="278"/>
      <c r="J4407" s="257"/>
      <c r="K4407" s="253"/>
      <c r="L4407" s="253"/>
      <c r="M4407" s="275"/>
      <c r="N4407" s="258"/>
      <c r="O4407" s="259"/>
      <c r="P4407" s="259"/>
      <c r="Q4407" s="262"/>
      <c r="R4407" s="260"/>
      <c r="S4407" s="260"/>
      <c r="T4407" s="260"/>
      <c r="U4407" s="261"/>
      <c r="V4407" s="251"/>
      <c r="W4407" s="35"/>
      <c r="X4407" s="35"/>
      <c r="Y4407" s="35"/>
      <c r="Z4407" s="35"/>
      <c r="AA4407" s="35"/>
      <c r="AB4407" s="35"/>
      <c r="AC4407" s="35"/>
      <c r="AD4407" s="35"/>
      <c r="AE4407" s="35"/>
      <c r="AF4407" s="35"/>
      <c r="AG4407" s="35"/>
      <c r="AH4407" s="35"/>
      <c r="AI4407" s="35"/>
    </row>
    <row r="4408">
      <c r="A4408" s="251"/>
      <c r="B4408" s="252"/>
      <c r="C4408" s="253"/>
      <c r="D4408" s="253"/>
      <c r="E4408" s="252"/>
      <c r="F4408" s="253"/>
      <c r="G4408" s="251"/>
      <c r="H4408" s="433"/>
      <c r="I4408" s="278"/>
      <c r="J4408" s="257"/>
      <c r="K4408" s="253"/>
      <c r="L4408" s="253"/>
      <c r="M4408" s="275"/>
      <c r="N4408" s="258"/>
      <c r="O4408" s="259"/>
      <c r="P4408" s="259"/>
      <c r="Q4408" s="262"/>
      <c r="R4408" s="260"/>
      <c r="S4408" s="260"/>
      <c r="T4408" s="260"/>
      <c r="U4408" s="261"/>
      <c r="V4408" s="251"/>
      <c r="W4408" s="35"/>
      <c r="X4408" s="35"/>
      <c r="Y4408" s="35"/>
      <c r="Z4408" s="35"/>
      <c r="AA4408" s="35"/>
      <c r="AB4408" s="35"/>
      <c r="AC4408" s="35"/>
      <c r="AD4408" s="35"/>
      <c r="AE4408" s="35"/>
      <c r="AF4408" s="35"/>
      <c r="AG4408" s="35"/>
      <c r="AH4408" s="35"/>
      <c r="AI4408" s="35"/>
    </row>
    <row r="4409">
      <c r="A4409" s="251"/>
      <c r="B4409" s="252"/>
      <c r="C4409" s="253"/>
      <c r="D4409" s="253"/>
      <c r="E4409" s="252"/>
      <c r="F4409" s="253"/>
      <c r="G4409" s="251"/>
      <c r="H4409" s="433"/>
      <c r="I4409" s="278"/>
      <c r="J4409" s="257"/>
      <c r="K4409" s="253"/>
      <c r="L4409" s="253"/>
      <c r="M4409" s="252"/>
      <c r="N4409" s="258"/>
      <c r="O4409" s="259"/>
      <c r="P4409" s="259"/>
      <c r="Q4409" s="257"/>
      <c r="R4409" s="260"/>
      <c r="S4409" s="260"/>
      <c r="T4409" s="260"/>
      <c r="U4409" s="261"/>
      <c r="V4409" s="251"/>
      <c r="W4409" s="35"/>
      <c r="X4409" s="35"/>
      <c r="Y4409" s="35"/>
      <c r="Z4409" s="35"/>
      <c r="AA4409" s="35"/>
      <c r="AB4409" s="35"/>
      <c r="AC4409" s="35"/>
      <c r="AD4409" s="35"/>
      <c r="AE4409" s="35"/>
      <c r="AF4409" s="35"/>
      <c r="AG4409" s="35"/>
      <c r="AH4409" s="35"/>
      <c r="AI4409" s="35"/>
    </row>
    <row r="4410">
      <c r="A4410" s="165"/>
      <c r="B4410" s="166"/>
      <c r="C4410" s="166"/>
      <c r="D4410" s="166"/>
      <c r="E4410" s="166"/>
      <c r="F4410" s="166"/>
      <c r="G4410" s="165"/>
      <c r="H4410" s="167"/>
      <c r="I4410" s="168"/>
      <c r="J4410" s="169"/>
      <c r="K4410" s="166"/>
      <c r="L4410" s="166"/>
      <c r="M4410" s="166"/>
      <c r="N4410" s="170"/>
      <c r="O4410" s="171"/>
      <c r="P4410" s="171"/>
      <c r="Q4410" s="172"/>
      <c r="R4410" s="173"/>
      <c r="S4410" s="173"/>
      <c r="T4410" s="173"/>
      <c r="U4410" s="174"/>
      <c r="V4410" s="165"/>
      <c r="W4410" s="35"/>
      <c r="X4410" s="35"/>
      <c r="Y4410" s="35"/>
      <c r="Z4410" s="35"/>
      <c r="AA4410" s="35"/>
      <c r="AB4410" s="35"/>
      <c r="AC4410" s="35"/>
      <c r="AD4410" s="35"/>
      <c r="AE4410" s="35"/>
      <c r="AF4410" s="35"/>
      <c r="AG4410" s="35"/>
      <c r="AH4410" s="35"/>
      <c r="AI4410" s="35"/>
    </row>
    <row r="4411">
      <c r="A4411" s="251"/>
      <c r="B4411" s="252"/>
      <c r="C4411" s="253"/>
      <c r="D4411" s="253"/>
      <c r="E4411" s="252"/>
      <c r="F4411" s="253"/>
      <c r="G4411" s="251"/>
      <c r="H4411" s="433"/>
      <c r="I4411" s="278"/>
      <c r="J4411" s="257"/>
      <c r="K4411" s="253"/>
      <c r="L4411" s="253"/>
      <c r="M4411" s="275"/>
      <c r="N4411" s="258"/>
      <c r="O4411" s="259"/>
      <c r="P4411" s="259"/>
      <c r="Q4411" s="262"/>
      <c r="R4411" s="260"/>
      <c r="S4411" s="260"/>
      <c r="T4411" s="260"/>
      <c r="U4411" s="261"/>
      <c r="V4411" s="251"/>
      <c r="W4411" s="35"/>
      <c r="X4411" s="35"/>
      <c r="Y4411" s="35"/>
      <c r="Z4411" s="35"/>
      <c r="AA4411" s="35"/>
      <c r="AB4411" s="35"/>
      <c r="AC4411" s="35"/>
      <c r="AD4411" s="35"/>
      <c r="AE4411" s="35"/>
      <c r="AF4411" s="35"/>
      <c r="AG4411" s="35"/>
      <c r="AH4411" s="35"/>
      <c r="AI4411" s="35"/>
    </row>
    <row r="4412">
      <c r="A4412" s="251"/>
      <c r="B4412" s="252"/>
      <c r="C4412" s="253"/>
      <c r="D4412" s="253"/>
      <c r="E4412" s="252"/>
      <c r="F4412" s="253"/>
      <c r="G4412" s="251"/>
      <c r="H4412" s="433"/>
      <c r="I4412" s="278"/>
      <c r="J4412" s="257"/>
      <c r="K4412" s="253"/>
      <c r="L4412" s="253"/>
      <c r="M4412" s="275"/>
      <c r="N4412" s="258"/>
      <c r="O4412" s="259"/>
      <c r="P4412" s="259"/>
      <c r="Q4412" s="262"/>
      <c r="R4412" s="260"/>
      <c r="S4412" s="260"/>
      <c r="T4412" s="260"/>
      <c r="U4412" s="261"/>
      <c r="V4412" s="251"/>
      <c r="W4412" s="35"/>
      <c r="X4412" s="35"/>
      <c r="Y4412" s="35"/>
      <c r="Z4412" s="35"/>
      <c r="AA4412" s="35"/>
      <c r="AB4412" s="35"/>
      <c r="AC4412" s="35"/>
      <c r="AD4412" s="35"/>
      <c r="AE4412" s="35"/>
      <c r="AF4412" s="35"/>
      <c r="AG4412" s="35"/>
      <c r="AH4412" s="35"/>
      <c r="AI4412" s="35"/>
    </row>
    <row r="4413">
      <c r="A4413" s="251"/>
      <c r="B4413" s="252"/>
      <c r="C4413" s="253"/>
      <c r="D4413" s="253"/>
      <c r="E4413" s="252"/>
      <c r="F4413" s="253"/>
      <c r="G4413" s="251"/>
      <c r="H4413" s="433"/>
      <c r="I4413" s="278"/>
      <c r="J4413" s="257"/>
      <c r="K4413" s="253"/>
      <c r="L4413" s="253"/>
      <c r="M4413" s="275"/>
      <c r="N4413" s="258"/>
      <c r="O4413" s="259"/>
      <c r="P4413" s="259"/>
      <c r="Q4413" s="262"/>
      <c r="R4413" s="260"/>
      <c r="S4413" s="260"/>
      <c r="T4413" s="260"/>
      <c r="U4413" s="261"/>
      <c r="V4413" s="251"/>
      <c r="W4413" s="35"/>
      <c r="X4413" s="35"/>
      <c r="Y4413" s="35"/>
      <c r="Z4413" s="35"/>
      <c r="AA4413" s="35"/>
      <c r="AB4413" s="35"/>
      <c r="AC4413" s="35"/>
      <c r="AD4413" s="35"/>
      <c r="AE4413" s="35"/>
      <c r="AF4413" s="35"/>
      <c r="AG4413" s="35"/>
      <c r="AH4413" s="35"/>
      <c r="AI4413" s="35"/>
    </row>
    <row r="4414">
      <c r="A4414" s="251"/>
      <c r="B4414" s="252"/>
      <c r="C4414" s="253"/>
      <c r="D4414" s="253"/>
      <c r="E4414" s="252"/>
      <c r="F4414" s="253"/>
      <c r="G4414" s="251"/>
      <c r="H4414" s="433"/>
      <c r="I4414" s="278"/>
      <c r="J4414" s="257"/>
      <c r="K4414" s="253"/>
      <c r="L4414" s="253"/>
      <c r="M4414" s="275"/>
      <c r="N4414" s="258"/>
      <c r="O4414" s="259"/>
      <c r="P4414" s="259"/>
      <c r="Q4414" s="262"/>
      <c r="R4414" s="260"/>
      <c r="S4414" s="260"/>
      <c r="T4414" s="260"/>
      <c r="U4414" s="261"/>
      <c r="V4414" s="251"/>
      <c r="W4414" s="35"/>
      <c r="X4414" s="35"/>
      <c r="Y4414" s="35"/>
      <c r="Z4414" s="35"/>
      <c r="AA4414" s="35"/>
      <c r="AB4414" s="35"/>
      <c r="AC4414" s="35"/>
      <c r="AD4414" s="35"/>
      <c r="AE4414" s="35"/>
      <c r="AF4414" s="35"/>
      <c r="AG4414" s="35"/>
      <c r="AH4414" s="35"/>
      <c r="AI4414" s="35"/>
    </row>
    <row r="4415">
      <c r="A4415" s="251"/>
      <c r="B4415" s="252"/>
      <c r="C4415" s="253"/>
      <c r="D4415" s="253"/>
      <c r="E4415" s="252"/>
      <c r="F4415" s="253"/>
      <c r="G4415" s="251"/>
      <c r="H4415" s="433"/>
      <c r="I4415" s="278"/>
      <c r="J4415" s="257"/>
      <c r="K4415" s="253"/>
      <c r="L4415" s="253"/>
      <c r="M4415" s="275"/>
      <c r="N4415" s="258"/>
      <c r="O4415" s="259"/>
      <c r="P4415" s="259"/>
      <c r="Q4415" s="262"/>
      <c r="R4415" s="260"/>
      <c r="S4415" s="260"/>
      <c r="T4415" s="260"/>
      <c r="U4415" s="261"/>
      <c r="V4415" s="251"/>
      <c r="W4415" s="35"/>
      <c r="X4415" s="35"/>
      <c r="Y4415" s="35"/>
      <c r="Z4415" s="35"/>
      <c r="AA4415" s="35"/>
      <c r="AB4415" s="35"/>
      <c r="AC4415" s="35"/>
      <c r="AD4415" s="35"/>
      <c r="AE4415" s="35"/>
      <c r="AF4415" s="35"/>
      <c r="AG4415" s="35"/>
      <c r="AH4415" s="35"/>
      <c r="AI4415" s="35"/>
    </row>
    <row r="4416">
      <c r="A4416" s="251"/>
      <c r="B4416" s="252"/>
      <c r="C4416" s="253"/>
      <c r="D4416" s="253"/>
      <c r="E4416" s="252"/>
      <c r="F4416" s="253"/>
      <c r="G4416" s="251"/>
      <c r="H4416" s="433"/>
      <c r="I4416" s="278"/>
      <c r="J4416" s="257"/>
      <c r="K4416" s="253"/>
      <c r="L4416" s="253"/>
      <c r="M4416" s="275"/>
      <c r="N4416" s="258"/>
      <c r="O4416" s="259"/>
      <c r="P4416" s="259"/>
      <c r="Q4416" s="262"/>
      <c r="R4416" s="260"/>
      <c r="S4416" s="260"/>
      <c r="T4416" s="260"/>
      <c r="U4416" s="261"/>
      <c r="V4416" s="251"/>
      <c r="W4416" s="35"/>
      <c r="X4416" s="35"/>
      <c r="Y4416" s="35"/>
      <c r="Z4416" s="35"/>
      <c r="AA4416" s="35"/>
      <c r="AB4416" s="35"/>
      <c r="AC4416" s="35"/>
      <c r="AD4416" s="35"/>
      <c r="AE4416" s="35"/>
      <c r="AF4416" s="35"/>
      <c r="AG4416" s="35"/>
      <c r="AH4416" s="35"/>
      <c r="AI4416" s="35"/>
    </row>
    <row r="4417">
      <c r="A4417" s="251"/>
      <c r="B4417" s="252"/>
      <c r="C4417" s="253"/>
      <c r="D4417" s="253"/>
      <c r="E4417" s="252"/>
      <c r="F4417" s="253"/>
      <c r="G4417" s="251"/>
      <c r="H4417" s="433"/>
      <c r="I4417" s="278"/>
      <c r="J4417" s="257"/>
      <c r="K4417" s="253"/>
      <c r="L4417" s="253"/>
      <c r="M4417" s="275"/>
      <c r="N4417" s="258"/>
      <c r="O4417" s="259"/>
      <c r="P4417" s="259"/>
      <c r="Q4417" s="262"/>
      <c r="R4417" s="260"/>
      <c r="S4417" s="260"/>
      <c r="T4417" s="260"/>
      <c r="U4417" s="261"/>
      <c r="V4417" s="251"/>
      <c r="W4417" s="35"/>
      <c r="X4417" s="35"/>
      <c r="Y4417" s="35"/>
      <c r="Z4417" s="35"/>
      <c r="AA4417" s="35"/>
      <c r="AB4417" s="35"/>
      <c r="AC4417" s="35"/>
      <c r="AD4417" s="35"/>
      <c r="AE4417" s="35"/>
      <c r="AF4417" s="35"/>
      <c r="AG4417" s="35"/>
      <c r="AH4417" s="35"/>
      <c r="AI4417" s="35"/>
    </row>
    <row r="4418">
      <c r="A4418" s="251"/>
      <c r="B4418" s="252"/>
      <c r="C4418" s="253"/>
      <c r="D4418" s="253"/>
      <c r="E4418" s="252"/>
      <c r="F4418" s="253"/>
      <c r="G4418" s="251"/>
      <c r="H4418" s="433"/>
      <c r="I4418" s="278"/>
      <c r="J4418" s="257"/>
      <c r="K4418" s="253"/>
      <c r="L4418" s="253"/>
      <c r="M4418" s="275"/>
      <c r="N4418" s="258"/>
      <c r="O4418" s="259"/>
      <c r="P4418" s="259"/>
      <c r="Q4418" s="262"/>
      <c r="R4418" s="260"/>
      <c r="S4418" s="260"/>
      <c r="T4418" s="260"/>
      <c r="U4418" s="261"/>
      <c r="V4418" s="251"/>
      <c r="W4418" s="35"/>
      <c r="X4418" s="35"/>
      <c r="Y4418" s="35"/>
      <c r="Z4418" s="35"/>
      <c r="AA4418" s="35"/>
      <c r="AB4418" s="35"/>
      <c r="AC4418" s="35"/>
      <c r="AD4418" s="35"/>
      <c r="AE4418" s="35"/>
      <c r="AF4418" s="35"/>
      <c r="AG4418" s="35"/>
      <c r="AH4418" s="35"/>
      <c r="AI4418" s="35"/>
    </row>
    <row r="4419">
      <c r="A4419" s="251"/>
      <c r="B4419" s="252"/>
      <c r="C4419" s="253"/>
      <c r="D4419" s="253"/>
      <c r="E4419" s="252"/>
      <c r="F4419" s="253"/>
      <c r="G4419" s="251"/>
      <c r="H4419" s="433"/>
      <c r="I4419" s="278"/>
      <c r="J4419" s="257"/>
      <c r="K4419" s="253"/>
      <c r="L4419" s="253"/>
      <c r="M4419" s="275"/>
      <c r="N4419" s="258"/>
      <c r="O4419" s="259"/>
      <c r="P4419" s="259"/>
      <c r="Q4419" s="262"/>
      <c r="R4419" s="260"/>
      <c r="S4419" s="260"/>
      <c r="T4419" s="260"/>
      <c r="U4419" s="261"/>
      <c r="V4419" s="251"/>
      <c r="W4419" s="35"/>
      <c r="X4419" s="35"/>
      <c r="Y4419" s="35"/>
      <c r="Z4419" s="35"/>
      <c r="AA4419" s="35"/>
      <c r="AB4419" s="35"/>
      <c r="AC4419" s="35"/>
      <c r="AD4419" s="35"/>
      <c r="AE4419" s="35"/>
      <c r="AF4419" s="35"/>
      <c r="AG4419" s="35"/>
      <c r="AH4419" s="35"/>
      <c r="AI4419" s="35"/>
    </row>
    <row r="4420">
      <c r="A4420" s="251"/>
      <c r="B4420" s="252"/>
      <c r="C4420" s="253"/>
      <c r="D4420" s="253"/>
      <c r="E4420" s="252"/>
      <c r="F4420" s="253"/>
      <c r="G4420" s="251"/>
      <c r="H4420" s="433"/>
      <c r="I4420" s="278"/>
      <c r="J4420" s="257"/>
      <c r="K4420" s="253"/>
      <c r="L4420" s="253"/>
      <c r="M4420" s="275"/>
      <c r="N4420" s="258"/>
      <c r="O4420" s="259"/>
      <c r="P4420" s="259"/>
      <c r="Q4420" s="262"/>
      <c r="R4420" s="260"/>
      <c r="S4420" s="260"/>
      <c r="T4420" s="260"/>
      <c r="U4420" s="261"/>
      <c r="V4420" s="251"/>
      <c r="W4420" s="35"/>
      <c r="X4420" s="35"/>
      <c r="Y4420" s="35"/>
      <c r="Z4420" s="35"/>
      <c r="AA4420" s="35"/>
      <c r="AB4420" s="35"/>
      <c r="AC4420" s="35"/>
      <c r="AD4420" s="35"/>
      <c r="AE4420" s="35"/>
      <c r="AF4420" s="35"/>
      <c r="AG4420" s="35"/>
      <c r="AH4420" s="35"/>
      <c r="AI4420" s="35"/>
    </row>
    <row r="4421">
      <c r="A4421" s="251"/>
      <c r="B4421" s="252"/>
      <c r="C4421" s="253"/>
      <c r="D4421" s="253"/>
      <c r="E4421" s="252"/>
      <c r="F4421" s="253"/>
      <c r="G4421" s="251"/>
      <c r="H4421" s="433"/>
      <c r="I4421" s="278"/>
      <c r="J4421" s="257"/>
      <c r="K4421" s="253"/>
      <c r="L4421" s="253"/>
      <c r="M4421" s="275"/>
      <c r="N4421" s="258"/>
      <c r="O4421" s="259"/>
      <c r="P4421" s="259"/>
      <c r="Q4421" s="262"/>
      <c r="R4421" s="260"/>
      <c r="S4421" s="260"/>
      <c r="T4421" s="260"/>
      <c r="U4421" s="261"/>
      <c r="V4421" s="251"/>
      <c r="W4421" s="35"/>
      <c r="X4421" s="35"/>
      <c r="Y4421" s="35"/>
      <c r="Z4421" s="35"/>
      <c r="AA4421" s="35"/>
      <c r="AB4421" s="35"/>
      <c r="AC4421" s="35"/>
      <c r="AD4421" s="35"/>
      <c r="AE4421" s="35"/>
      <c r="AF4421" s="35"/>
      <c r="AG4421" s="35"/>
      <c r="AH4421" s="35"/>
      <c r="AI4421" s="35"/>
    </row>
    <row r="4422">
      <c r="A4422" s="251"/>
      <c r="B4422" s="252"/>
      <c r="C4422" s="253"/>
      <c r="D4422" s="253"/>
      <c r="E4422" s="252"/>
      <c r="F4422" s="253"/>
      <c r="G4422" s="251"/>
      <c r="H4422" s="433"/>
      <c r="I4422" s="278"/>
      <c r="J4422" s="257"/>
      <c r="K4422" s="253"/>
      <c r="L4422" s="253"/>
      <c r="M4422" s="252"/>
      <c r="N4422" s="258"/>
      <c r="O4422" s="259"/>
      <c r="P4422" s="259"/>
      <c r="Q4422" s="257"/>
      <c r="R4422" s="260"/>
      <c r="S4422" s="260"/>
      <c r="T4422" s="260"/>
      <c r="U4422" s="261"/>
      <c r="V4422" s="251"/>
      <c r="W4422" s="35"/>
      <c r="X4422" s="35"/>
      <c r="Y4422" s="35"/>
      <c r="Z4422" s="35"/>
      <c r="AA4422" s="35"/>
      <c r="AB4422" s="35"/>
      <c r="AC4422" s="35"/>
      <c r="AD4422" s="35"/>
      <c r="AE4422" s="35"/>
      <c r="AF4422" s="35"/>
      <c r="AG4422" s="35"/>
      <c r="AH4422" s="35"/>
      <c r="AI4422" s="35"/>
    </row>
    <row r="4423">
      <c r="A4423" s="251"/>
      <c r="B4423" s="252"/>
      <c r="C4423" s="253"/>
      <c r="D4423" s="253"/>
      <c r="E4423" s="252"/>
      <c r="F4423" s="253"/>
      <c r="G4423" s="251"/>
      <c r="H4423" s="433"/>
      <c r="I4423" s="278"/>
      <c r="J4423" s="257"/>
      <c r="K4423" s="253"/>
      <c r="L4423" s="253"/>
      <c r="M4423" s="252"/>
      <c r="N4423" s="258"/>
      <c r="O4423" s="259"/>
      <c r="P4423" s="259"/>
      <c r="Q4423" s="262"/>
      <c r="R4423" s="260"/>
      <c r="S4423" s="260"/>
      <c r="T4423" s="260"/>
      <c r="U4423" s="261"/>
      <c r="V4423" s="251"/>
      <c r="W4423" s="35"/>
      <c r="X4423" s="35"/>
      <c r="Y4423" s="35"/>
      <c r="Z4423" s="35"/>
      <c r="AA4423" s="35"/>
      <c r="AB4423" s="35"/>
      <c r="AC4423" s="35"/>
      <c r="AD4423" s="35"/>
      <c r="AE4423" s="35"/>
      <c r="AF4423" s="35"/>
      <c r="AG4423" s="35"/>
      <c r="AH4423" s="35"/>
      <c r="AI4423" s="35"/>
    </row>
    <row r="4424">
      <c r="A4424" s="251"/>
      <c r="B4424" s="252"/>
      <c r="C4424" s="253"/>
      <c r="D4424" s="253"/>
      <c r="E4424" s="252"/>
      <c r="F4424" s="253"/>
      <c r="G4424" s="251"/>
      <c r="H4424" s="433"/>
      <c r="I4424" s="278"/>
      <c r="J4424" s="257"/>
      <c r="K4424" s="253"/>
      <c r="L4424" s="253"/>
      <c r="M4424" s="252"/>
      <c r="N4424" s="258"/>
      <c r="O4424" s="259"/>
      <c r="P4424" s="259"/>
      <c r="Q4424" s="262"/>
      <c r="R4424" s="260"/>
      <c r="S4424" s="260"/>
      <c r="T4424" s="260"/>
      <c r="U4424" s="261"/>
      <c r="V4424" s="309"/>
      <c r="W4424" s="35"/>
      <c r="X4424" s="35"/>
      <c r="Y4424" s="35"/>
      <c r="Z4424" s="35"/>
      <c r="AA4424" s="35"/>
      <c r="AB4424" s="35"/>
      <c r="AC4424" s="35"/>
      <c r="AD4424" s="35"/>
      <c r="AE4424" s="35"/>
      <c r="AF4424" s="35"/>
      <c r="AG4424" s="35"/>
      <c r="AH4424" s="35"/>
      <c r="AI4424" s="35"/>
    </row>
    <row r="4425">
      <c r="A4425" s="251"/>
      <c r="B4425" s="252"/>
      <c r="C4425" s="253"/>
      <c r="D4425" s="253"/>
      <c r="E4425" s="252"/>
      <c r="F4425" s="253"/>
      <c r="G4425" s="251"/>
      <c r="H4425" s="433"/>
      <c r="I4425" s="278"/>
      <c r="J4425" s="257"/>
      <c r="K4425" s="253"/>
      <c r="L4425" s="253"/>
      <c r="M4425" s="275"/>
      <c r="N4425" s="258"/>
      <c r="O4425" s="259"/>
      <c r="P4425" s="259"/>
      <c r="Q4425" s="262"/>
      <c r="R4425" s="260"/>
      <c r="S4425" s="260"/>
      <c r="T4425" s="260"/>
      <c r="U4425" s="261"/>
      <c r="V4425" s="251"/>
      <c r="W4425" s="35"/>
      <c r="X4425" s="35"/>
      <c r="Y4425" s="35"/>
      <c r="Z4425" s="35"/>
      <c r="AA4425" s="35"/>
      <c r="AB4425" s="35"/>
      <c r="AC4425" s="35"/>
      <c r="AD4425" s="35"/>
      <c r="AE4425" s="35"/>
      <c r="AF4425" s="35"/>
      <c r="AG4425" s="35"/>
      <c r="AH4425" s="35"/>
      <c r="AI4425" s="35"/>
    </row>
    <row r="4426">
      <c r="A4426" s="251"/>
      <c r="B4426" s="252"/>
      <c r="C4426" s="253"/>
      <c r="D4426" s="253"/>
      <c r="E4426" s="252"/>
      <c r="F4426" s="253"/>
      <c r="G4426" s="251"/>
      <c r="H4426" s="433"/>
      <c r="I4426" s="278"/>
      <c r="J4426" s="257"/>
      <c r="K4426" s="253"/>
      <c r="L4426" s="253"/>
      <c r="M4426" s="275"/>
      <c r="N4426" s="258"/>
      <c r="O4426" s="259"/>
      <c r="P4426" s="259"/>
      <c r="Q4426" s="262"/>
      <c r="R4426" s="260"/>
      <c r="S4426" s="260"/>
      <c r="T4426" s="260"/>
      <c r="U4426" s="261"/>
      <c r="V4426" s="251"/>
      <c r="W4426" s="35"/>
      <c r="X4426" s="35"/>
      <c r="Y4426" s="35"/>
      <c r="Z4426" s="35"/>
      <c r="AA4426" s="35"/>
      <c r="AB4426" s="35"/>
      <c r="AC4426" s="35"/>
      <c r="AD4426" s="35"/>
      <c r="AE4426" s="35"/>
      <c r="AF4426" s="35"/>
      <c r="AG4426" s="35"/>
      <c r="AH4426" s="35"/>
      <c r="AI4426" s="35"/>
    </row>
    <row r="4427">
      <c r="A4427" s="251"/>
      <c r="B4427" s="252"/>
      <c r="C4427" s="253"/>
      <c r="D4427" s="253"/>
      <c r="E4427" s="252"/>
      <c r="F4427" s="253"/>
      <c r="G4427" s="251"/>
      <c r="H4427" s="433"/>
      <c r="I4427" s="278"/>
      <c r="J4427" s="257"/>
      <c r="K4427" s="253"/>
      <c r="L4427" s="253"/>
      <c r="M4427" s="275"/>
      <c r="N4427" s="258"/>
      <c r="O4427" s="259"/>
      <c r="P4427" s="259"/>
      <c r="Q4427" s="262"/>
      <c r="R4427" s="260"/>
      <c r="S4427" s="260"/>
      <c r="T4427" s="260"/>
      <c r="U4427" s="261"/>
      <c r="V4427" s="251"/>
      <c r="W4427" s="35"/>
      <c r="X4427" s="35"/>
      <c r="Y4427" s="35"/>
      <c r="Z4427" s="35"/>
      <c r="AA4427" s="35"/>
      <c r="AB4427" s="35"/>
      <c r="AC4427" s="35"/>
      <c r="AD4427" s="35"/>
      <c r="AE4427" s="35"/>
      <c r="AF4427" s="35"/>
      <c r="AG4427" s="35"/>
      <c r="AH4427" s="35"/>
      <c r="AI4427" s="35"/>
    </row>
    <row r="4428">
      <c r="A4428" s="251"/>
      <c r="B4428" s="252"/>
      <c r="C4428" s="253"/>
      <c r="D4428" s="253"/>
      <c r="E4428" s="252"/>
      <c r="F4428" s="253"/>
      <c r="G4428" s="251"/>
      <c r="H4428" s="433"/>
      <c r="I4428" s="278"/>
      <c r="J4428" s="257"/>
      <c r="K4428" s="253"/>
      <c r="L4428" s="253"/>
      <c r="M4428" s="275"/>
      <c r="N4428" s="258"/>
      <c r="O4428" s="259"/>
      <c r="P4428" s="259"/>
      <c r="Q4428" s="262"/>
      <c r="R4428" s="260"/>
      <c r="S4428" s="260"/>
      <c r="T4428" s="260"/>
      <c r="U4428" s="261"/>
      <c r="V4428" s="251"/>
      <c r="W4428" s="35"/>
      <c r="X4428" s="35"/>
      <c r="Y4428" s="35"/>
      <c r="Z4428" s="35"/>
      <c r="AA4428" s="35"/>
      <c r="AB4428" s="35"/>
      <c r="AC4428" s="35"/>
      <c r="AD4428" s="35"/>
      <c r="AE4428" s="35"/>
      <c r="AF4428" s="35"/>
      <c r="AG4428" s="35"/>
      <c r="AH4428" s="35"/>
      <c r="AI4428" s="35"/>
    </row>
    <row r="4429">
      <c r="A4429" s="251"/>
      <c r="B4429" s="252"/>
      <c r="C4429" s="253"/>
      <c r="D4429" s="253"/>
      <c r="E4429" s="252"/>
      <c r="F4429" s="253"/>
      <c r="G4429" s="251"/>
      <c r="H4429" s="433"/>
      <c r="I4429" s="278"/>
      <c r="J4429" s="257"/>
      <c r="K4429" s="253"/>
      <c r="L4429" s="253"/>
      <c r="M4429" s="275"/>
      <c r="N4429" s="258"/>
      <c r="O4429" s="259"/>
      <c r="P4429" s="259"/>
      <c r="Q4429" s="262"/>
      <c r="R4429" s="260"/>
      <c r="S4429" s="260"/>
      <c r="T4429" s="260"/>
      <c r="U4429" s="261"/>
      <c r="V4429" s="251"/>
      <c r="W4429" s="35"/>
      <c r="X4429" s="35"/>
      <c r="Y4429" s="35"/>
      <c r="Z4429" s="35"/>
      <c r="AA4429" s="35"/>
      <c r="AB4429" s="35"/>
      <c r="AC4429" s="35"/>
      <c r="AD4429" s="35"/>
      <c r="AE4429" s="35"/>
      <c r="AF4429" s="35"/>
      <c r="AG4429" s="35"/>
      <c r="AH4429" s="35"/>
      <c r="AI4429" s="35"/>
    </row>
    <row r="4430">
      <c r="A4430" s="251"/>
      <c r="B4430" s="252"/>
      <c r="C4430" s="253"/>
      <c r="D4430" s="253"/>
      <c r="E4430" s="252"/>
      <c r="F4430" s="253"/>
      <c r="G4430" s="251"/>
      <c r="H4430" s="433"/>
      <c r="I4430" s="278"/>
      <c r="J4430" s="257"/>
      <c r="K4430" s="253"/>
      <c r="L4430" s="253"/>
      <c r="M4430" s="252"/>
      <c r="N4430" s="258"/>
      <c r="O4430" s="259"/>
      <c r="P4430" s="259"/>
      <c r="Q4430" s="262"/>
      <c r="R4430" s="260"/>
      <c r="S4430" s="260"/>
      <c r="T4430" s="260"/>
      <c r="U4430" s="261"/>
      <c r="V4430" s="251"/>
      <c r="W4430" s="35"/>
      <c r="X4430" s="35"/>
      <c r="Y4430" s="35"/>
      <c r="Z4430" s="35"/>
      <c r="AA4430" s="35"/>
      <c r="AB4430" s="35"/>
      <c r="AC4430" s="35"/>
      <c r="AD4430" s="35"/>
      <c r="AE4430" s="35"/>
      <c r="AF4430" s="35"/>
      <c r="AG4430" s="35"/>
      <c r="AH4430" s="35"/>
      <c r="AI4430" s="35"/>
    </row>
    <row r="4431">
      <c r="A4431" s="251"/>
      <c r="B4431" s="252"/>
      <c r="C4431" s="253"/>
      <c r="D4431" s="253"/>
      <c r="E4431" s="252"/>
      <c r="F4431" s="253"/>
      <c r="G4431" s="251"/>
      <c r="H4431" s="433"/>
      <c r="I4431" s="278"/>
      <c r="J4431" s="257"/>
      <c r="K4431" s="253"/>
      <c r="L4431" s="253"/>
      <c r="M4431" s="275"/>
      <c r="N4431" s="258"/>
      <c r="O4431" s="259"/>
      <c r="P4431" s="259"/>
      <c r="Q4431" s="262"/>
      <c r="R4431" s="260"/>
      <c r="S4431" s="260"/>
      <c r="T4431" s="260"/>
      <c r="U4431" s="261"/>
      <c r="V4431" s="251"/>
      <c r="W4431" s="35"/>
      <c r="X4431" s="35"/>
      <c r="Y4431" s="35"/>
      <c r="Z4431" s="35"/>
      <c r="AA4431" s="35"/>
      <c r="AB4431" s="35"/>
      <c r="AC4431" s="35"/>
      <c r="AD4431" s="35"/>
      <c r="AE4431" s="35"/>
      <c r="AF4431" s="35"/>
      <c r="AG4431" s="35"/>
      <c r="AH4431" s="35"/>
      <c r="AI4431" s="35"/>
    </row>
    <row r="4432">
      <c r="A4432" s="251"/>
      <c r="B4432" s="252"/>
      <c r="C4432" s="253"/>
      <c r="D4432" s="253"/>
      <c r="E4432" s="252"/>
      <c r="F4432" s="253"/>
      <c r="G4432" s="251"/>
      <c r="H4432" s="433"/>
      <c r="I4432" s="278"/>
      <c r="J4432" s="257"/>
      <c r="K4432" s="253"/>
      <c r="L4432" s="253"/>
      <c r="M4432" s="275"/>
      <c r="N4432" s="258"/>
      <c r="O4432" s="259"/>
      <c r="P4432" s="259"/>
      <c r="Q4432" s="262"/>
      <c r="R4432" s="260"/>
      <c r="S4432" s="260"/>
      <c r="T4432" s="260"/>
      <c r="U4432" s="261"/>
      <c r="V4432" s="251"/>
      <c r="W4432" s="35"/>
      <c r="X4432" s="35"/>
      <c r="Y4432" s="35"/>
      <c r="Z4432" s="35"/>
      <c r="AA4432" s="35"/>
      <c r="AB4432" s="35"/>
      <c r="AC4432" s="35"/>
      <c r="AD4432" s="35"/>
      <c r="AE4432" s="35"/>
      <c r="AF4432" s="35"/>
      <c r="AG4432" s="35"/>
      <c r="AH4432" s="35"/>
      <c r="AI4432" s="35"/>
    </row>
    <row r="4433">
      <c r="A4433" s="251"/>
      <c r="B4433" s="252"/>
      <c r="C4433" s="253"/>
      <c r="D4433" s="253"/>
      <c r="E4433" s="252"/>
      <c r="F4433" s="253"/>
      <c r="G4433" s="251"/>
      <c r="H4433" s="433"/>
      <c r="I4433" s="278"/>
      <c r="J4433" s="257"/>
      <c r="K4433" s="253"/>
      <c r="L4433" s="253"/>
      <c r="M4433" s="252"/>
      <c r="N4433" s="258"/>
      <c r="O4433" s="259"/>
      <c r="P4433" s="259"/>
      <c r="Q4433" s="262"/>
      <c r="R4433" s="260"/>
      <c r="S4433" s="260"/>
      <c r="T4433" s="260"/>
      <c r="U4433" s="261"/>
      <c r="V4433" s="251"/>
      <c r="W4433" s="35"/>
      <c r="X4433" s="35"/>
      <c r="Y4433" s="35"/>
      <c r="Z4433" s="35"/>
      <c r="AA4433" s="35"/>
      <c r="AB4433" s="35"/>
      <c r="AC4433" s="35"/>
      <c r="AD4433" s="35"/>
      <c r="AE4433" s="35"/>
      <c r="AF4433" s="35"/>
      <c r="AG4433" s="35"/>
      <c r="AH4433" s="35"/>
      <c r="AI4433" s="35"/>
    </row>
    <row r="4434">
      <c r="A4434" s="251"/>
      <c r="B4434" s="252"/>
      <c r="C4434" s="253"/>
      <c r="D4434" s="253"/>
      <c r="E4434" s="252"/>
      <c r="F4434" s="253"/>
      <c r="G4434" s="251"/>
      <c r="H4434" s="433"/>
      <c r="I4434" s="278"/>
      <c r="J4434" s="257"/>
      <c r="K4434" s="253"/>
      <c r="L4434" s="253"/>
      <c r="M4434" s="275"/>
      <c r="N4434" s="258"/>
      <c r="O4434" s="259"/>
      <c r="P4434" s="259"/>
      <c r="Q4434" s="262"/>
      <c r="R4434" s="260"/>
      <c r="S4434" s="260"/>
      <c r="T4434" s="260"/>
      <c r="U4434" s="261"/>
      <c r="V4434" s="251"/>
      <c r="W4434" s="35"/>
      <c r="X4434" s="35"/>
      <c r="Y4434" s="35"/>
      <c r="Z4434" s="35"/>
      <c r="AA4434" s="35"/>
      <c r="AB4434" s="35"/>
      <c r="AC4434" s="35"/>
      <c r="AD4434" s="35"/>
      <c r="AE4434" s="35"/>
      <c r="AF4434" s="35"/>
      <c r="AG4434" s="35"/>
      <c r="AH4434" s="35"/>
      <c r="AI4434" s="35"/>
    </row>
    <row r="4435">
      <c r="A4435" s="251"/>
      <c r="B4435" s="252"/>
      <c r="C4435" s="253"/>
      <c r="D4435" s="253"/>
      <c r="E4435" s="252"/>
      <c r="F4435" s="253"/>
      <c r="G4435" s="251"/>
      <c r="H4435" s="433"/>
      <c r="I4435" s="278"/>
      <c r="J4435" s="257"/>
      <c r="K4435" s="253"/>
      <c r="L4435" s="253"/>
      <c r="M4435" s="275"/>
      <c r="N4435" s="258"/>
      <c r="O4435" s="259"/>
      <c r="P4435" s="259"/>
      <c r="Q4435" s="262"/>
      <c r="R4435" s="260"/>
      <c r="S4435" s="260"/>
      <c r="T4435" s="260"/>
      <c r="U4435" s="261"/>
      <c r="V4435" s="251"/>
      <c r="W4435" s="35"/>
      <c r="X4435" s="35"/>
      <c r="Y4435" s="35"/>
      <c r="Z4435" s="35"/>
      <c r="AA4435" s="35"/>
      <c r="AB4435" s="35"/>
      <c r="AC4435" s="35"/>
      <c r="AD4435" s="35"/>
      <c r="AE4435" s="35"/>
      <c r="AF4435" s="35"/>
      <c r="AG4435" s="35"/>
      <c r="AH4435" s="35"/>
      <c r="AI4435" s="35"/>
    </row>
    <row r="4436">
      <c r="A4436" s="251"/>
      <c r="B4436" s="252"/>
      <c r="C4436" s="253"/>
      <c r="D4436" s="253"/>
      <c r="E4436" s="252"/>
      <c r="F4436" s="253"/>
      <c r="G4436" s="251"/>
      <c r="H4436" s="433"/>
      <c r="I4436" s="278"/>
      <c r="J4436" s="257"/>
      <c r="K4436" s="253"/>
      <c r="L4436" s="253"/>
      <c r="M4436" s="275"/>
      <c r="N4436" s="258"/>
      <c r="O4436" s="259"/>
      <c r="P4436" s="259"/>
      <c r="Q4436" s="262"/>
      <c r="R4436" s="260"/>
      <c r="S4436" s="260"/>
      <c r="T4436" s="260"/>
      <c r="U4436" s="261"/>
      <c r="V4436" s="251"/>
      <c r="W4436" s="35"/>
      <c r="X4436" s="35"/>
      <c r="Y4436" s="35"/>
      <c r="Z4436" s="35"/>
      <c r="AA4436" s="35"/>
      <c r="AB4436" s="35"/>
      <c r="AC4436" s="35"/>
      <c r="AD4436" s="35"/>
      <c r="AE4436" s="35"/>
      <c r="AF4436" s="35"/>
      <c r="AG4436" s="35"/>
      <c r="AH4436" s="35"/>
      <c r="AI4436" s="35"/>
    </row>
    <row r="4437">
      <c r="A4437" s="251"/>
      <c r="B4437" s="252"/>
      <c r="C4437" s="253"/>
      <c r="D4437" s="253"/>
      <c r="E4437" s="252"/>
      <c r="F4437" s="253"/>
      <c r="G4437" s="251"/>
      <c r="H4437" s="433"/>
      <c r="I4437" s="278"/>
      <c r="J4437" s="257"/>
      <c r="K4437" s="253"/>
      <c r="L4437" s="253"/>
      <c r="M4437" s="275"/>
      <c r="N4437" s="258"/>
      <c r="O4437" s="259"/>
      <c r="P4437" s="259"/>
      <c r="Q4437" s="262"/>
      <c r="R4437" s="260"/>
      <c r="S4437" s="260"/>
      <c r="T4437" s="260"/>
      <c r="U4437" s="261"/>
      <c r="V4437" s="251"/>
      <c r="W4437" s="35"/>
      <c r="X4437" s="35"/>
      <c r="Y4437" s="35"/>
      <c r="Z4437" s="35"/>
      <c r="AA4437" s="35"/>
      <c r="AB4437" s="35"/>
      <c r="AC4437" s="35"/>
      <c r="AD4437" s="35"/>
      <c r="AE4437" s="35"/>
      <c r="AF4437" s="35"/>
      <c r="AG4437" s="35"/>
      <c r="AH4437" s="35"/>
      <c r="AI4437" s="35"/>
    </row>
    <row r="4438">
      <c r="A4438" s="251"/>
      <c r="B4438" s="252"/>
      <c r="C4438" s="253"/>
      <c r="D4438" s="253"/>
      <c r="E4438" s="252"/>
      <c r="F4438" s="253"/>
      <c r="G4438" s="251"/>
      <c r="H4438" s="433"/>
      <c r="I4438" s="278"/>
      <c r="J4438" s="257"/>
      <c r="K4438" s="253"/>
      <c r="L4438" s="253"/>
      <c r="M4438" s="275"/>
      <c r="N4438" s="258"/>
      <c r="O4438" s="259"/>
      <c r="P4438" s="259"/>
      <c r="Q4438" s="262"/>
      <c r="R4438" s="260"/>
      <c r="S4438" s="260"/>
      <c r="T4438" s="260"/>
      <c r="U4438" s="261"/>
      <c r="V4438" s="251"/>
      <c r="W4438" s="35"/>
      <c r="X4438" s="35"/>
      <c r="Y4438" s="35"/>
      <c r="Z4438" s="35"/>
      <c r="AA4438" s="35"/>
      <c r="AB4438" s="35"/>
      <c r="AC4438" s="35"/>
      <c r="AD4438" s="35"/>
      <c r="AE4438" s="35"/>
      <c r="AF4438" s="35"/>
      <c r="AG4438" s="35"/>
      <c r="AH4438" s="35"/>
      <c r="AI4438" s="35"/>
    </row>
    <row r="4439">
      <c r="A4439" s="251"/>
      <c r="B4439" s="252"/>
      <c r="C4439" s="253"/>
      <c r="D4439" s="253"/>
      <c r="E4439" s="252"/>
      <c r="F4439" s="253"/>
      <c r="G4439" s="251"/>
      <c r="H4439" s="433"/>
      <c r="I4439" s="278"/>
      <c r="J4439" s="257"/>
      <c r="K4439" s="253"/>
      <c r="L4439" s="253"/>
      <c r="M4439" s="252"/>
      <c r="N4439" s="258"/>
      <c r="O4439" s="259"/>
      <c r="P4439" s="259"/>
      <c r="Q4439" s="262"/>
      <c r="R4439" s="260"/>
      <c r="S4439" s="260"/>
      <c r="T4439" s="260"/>
      <c r="U4439" s="261"/>
      <c r="V4439" s="251"/>
      <c r="W4439" s="35"/>
      <c r="X4439" s="35"/>
      <c r="Y4439" s="35"/>
      <c r="Z4439" s="35"/>
      <c r="AA4439" s="35"/>
      <c r="AB4439" s="35"/>
      <c r="AC4439" s="35"/>
      <c r="AD4439" s="35"/>
      <c r="AE4439" s="35"/>
      <c r="AF4439" s="35"/>
      <c r="AG4439" s="35"/>
      <c r="AH4439" s="35"/>
      <c r="AI4439" s="35"/>
    </row>
    <row r="4440">
      <c r="A4440" s="251"/>
      <c r="B4440" s="252"/>
      <c r="C4440" s="253"/>
      <c r="D4440" s="253"/>
      <c r="E4440" s="252"/>
      <c r="F4440" s="253"/>
      <c r="G4440" s="251"/>
      <c r="H4440" s="433"/>
      <c r="I4440" s="278"/>
      <c r="J4440" s="257"/>
      <c r="K4440" s="253"/>
      <c r="L4440" s="253"/>
      <c r="M4440" s="252"/>
      <c r="N4440" s="258"/>
      <c r="O4440" s="259"/>
      <c r="P4440" s="259"/>
      <c r="Q4440" s="262"/>
      <c r="R4440" s="260"/>
      <c r="S4440" s="260"/>
      <c r="T4440" s="260"/>
      <c r="U4440" s="261"/>
      <c r="V4440" s="251"/>
      <c r="W4440" s="35"/>
      <c r="X4440" s="35"/>
      <c r="Y4440" s="35"/>
      <c r="Z4440" s="35"/>
      <c r="AA4440" s="35"/>
      <c r="AB4440" s="35"/>
      <c r="AC4440" s="35"/>
      <c r="AD4440" s="35"/>
      <c r="AE4440" s="35"/>
      <c r="AF4440" s="35"/>
      <c r="AG4440" s="35"/>
      <c r="AH4440" s="35"/>
      <c r="AI4440" s="35"/>
    </row>
    <row r="4441">
      <c r="A4441" s="251"/>
      <c r="B4441" s="252"/>
      <c r="C4441" s="253"/>
      <c r="D4441" s="253"/>
      <c r="E4441" s="252"/>
      <c r="F4441" s="253"/>
      <c r="G4441" s="251"/>
      <c r="H4441" s="433"/>
      <c r="I4441" s="278"/>
      <c r="J4441" s="257"/>
      <c r="K4441" s="253"/>
      <c r="L4441" s="253"/>
      <c r="M4441" s="252"/>
      <c r="N4441" s="258"/>
      <c r="O4441" s="259"/>
      <c r="P4441" s="259"/>
      <c r="Q4441" s="262"/>
      <c r="R4441" s="260"/>
      <c r="S4441" s="260"/>
      <c r="T4441" s="260"/>
      <c r="U4441" s="261"/>
      <c r="V4441" s="251"/>
      <c r="W4441" s="35"/>
      <c r="X4441" s="35"/>
      <c r="Y4441" s="35"/>
      <c r="Z4441" s="35"/>
      <c r="AA4441" s="35"/>
      <c r="AB4441" s="35"/>
      <c r="AC4441" s="35"/>
      <c r="AD4441" s="35"/>
      <c r="AE4441" s="35"/>
      <c r="AF4441" s="35"/>
      <c r="AG4441" s="35"/>
      <c r="AH4441" s="35"/>
      <c r="AI4441" s="35"/>
    </row>
    <row r="4442">
      <c r="A4442" s="263"/>
      <c r="B4442" s="264"/>
      <c r="C4442" s="265"/>
      <c r="D4442" s="265"/>
      <c r="E4442" s="264"/>
      <c r="F4442" s="265"/>
      <c r="G4442" s="263"/>
      <c r="H4442" s="432"/>
      <c r="I4442" s="282"/>
      <c r="J4442" s="283"/>
      <c r="K4442" s="265"/>
      <c r="L4442" s="265"/>
      <c r="M4442" s="269"/>
      <c r="N4442" s="270"/>
      <c r="O4442" s="271"/>
      <c r="P4442" s="271"/>
      <c r="Q4442" s="272"/>
      <c r="R4442" s="273"/>
      <c r="S4442" s="273"/>
      <c r="T4442" s="273"/>
      <c r="U4442" s="274"/>
      <c r="V4442" s="263"/>
      <c r="W4442" s="35"/>
      <c r="X4442" s="35"/>
      <c r="Y4442" s="35"/>
      <c r="Z4442" s="35"/>
      <c r="AA4442" s="35"/>
      <c r="AB4442" s="35"/>
      <c r="AC4442" s="35"/>
      <c r="AD4442" s="35"/>
      <c r="AE4442" s="35"/>
      <c r="AF4442" s="35"/>
      <c r="AG4442" s="35"/>
      <c r="AH4442" s="35"/>
      <c r="AI4442" s="35"/>
    </row>
    <row r="4443">
      <c r="A4443" s="251"/>
      <c r="B4443" s="252"/>
      <c r="C4443" s="253"/>
      <c r="D4443" s="253"/>
      <c r="E4443" s="252"/>
      <c r="F4443" s="253"/>
      <c r="G4443" s="251"/>
      <c r="H4443" s="433"/>
      <c r="I4443" s="278"/>
      <c r="J4443" s="257"/>
      <c r="K4443" s="253"/>
      <c r="L4443" s="253"/>
      <c r="M4443" s="275"/>
      <c r="N4443" s="258"/>
      <c r="O4443" s="259"/>
      <c r="P4443" s="259"/>
      <c r="Q4443" s="262"/>
      <c r="R4443" s="260"/>
      <c r="S4443" s="260"/>
      <c r="T4443" s="260"/>
      <c r="U4443" s="261"/>
      <c r="V4443" s="251"/>
      <c r="W4443" s="35"/>
      <c r="X4443" s="35"/>
      <c r="Y4443" s="35"/>
      <c r="Z4443" s="35"/>
      <c r="AA4443" s="35"/>
      <c r="AB4443" s="35"/>
      <c r="AC4443" s="35"/>
      <c r="AD4443" s="35"/>
      <c r="AE4443" s="35"/>
      <c r="AF4443" s="35"/>
      <c r="AG4443" s="35"/>
      <c r="AH4443" s="35"/>
      <c r="AI4443" s="35"/>
    </row>
    <row r="4444">
      <c r="A4444" s="251"/>
      <c r="B4444" s="252"/>
      <c r="C4444" s="253"/>
      <c r="D4444" s="253"/>
      <c r="E4444" s="252"/>
      <c r="F4444" s="253"/>
      <c r="G4444" s="251"/>
      <c r="H4444" s="433"/>
      <c r="I4444" s="278"/>
      <c r="J4444" s="257"/>
      <c r="K4444" s="253"/>
      <c r="L4444" s="253"/>
      <c r="M4444" s="252"/>
      <c r="N4444" s="258"/>
      <c r="O4444" s="259"/>
      <c r="P4444" s="259"/>
      <c r="Q4444" s="262"/>
      <c r="R4444" s="260"/>
      <c r="S4444" s="260"/>
      <c r="T4444" s="260"/>
      <c r="U4444" s="261"/>
      <c r="V4444" s="251"/>
      <c r="W4444" s="35"/>
      <c r="X4444" s="35"/>
      <c r="Y4444" s="35"/>
      <c r="Z4444" s="35"/>
      <c r="AA4444" s="35"/>
      <c r="AB4444" s="35"/>
      <c r="AC4444" s="35"/>
      <c r="AD4444" s="35"/>
      <c r="AE4444" s="35"/>
      <c r="AF4444" s="35"/>
      <c r="AG4444" s="35"/>
      <c r="AH4444" s="35"/>
      <c r="AI4444" s="35"/>
    </row>
    <row r="4445">
      <c r="A4445" s="251"/>
      <c r="B4445" s="252"/>
      <c r="C4445" s="253"/>
      <c r="D4445" s="253"/>
      <c r="E4445" s="252"/>
      <c r="F4445" s="253"/>
      <c r="G4445" s="251"/>
      <c r="H4445" s="433"/>
      <c r="I4445" s="278"/>
      <c r="J4445" s="257"/>
      <c r="K4445" s="253"/>
      <c r="L4445" s="253"/>
      <c r="M4445" s="252"/>
      <c r="N4445" s="258"/>
      <c r="O4445" s="259"/>
      <c r="P4445" s="259"/>
      <c r="Q4445" s="262"/>
      <c r="R4445" s="260"/>
      <c r="S4445" s="260"/>
      <c r="T4445" s="260"/>
      <c r="U4445" s="261"/>
      <c r="V4445" s="251"/>
      <c r="W4445" s="35"/>
      <c r="X4445" s="35"/>
      <c r="Y4445" s="35"/>
      <c r="Z4445" s="35"/>
      <c r="AA4445" s="35"/>
      <c r="AB4445" s="35"/>
      <c r="AC4445" s="35"/>
      <c r="AD4445" s="35"/>
      <c r="AE4445" s="35"/>
      <c r="AF4445" s="35"/>
      <c r="AG4445" s="35"/>
      <c r="AH4445" s="35"/>
      <c r="AI4445" s="35"/>
    </row>
    <row r="4446">
      <c r="A4446" s="251"/>
      <c r="B4446" s="252"/>
      <c r="C4446" s="253"/>
      <c r="D4446" s="253"/>
      <c r="E4446" s="252"/>
      <c r="F4446" s="253"/>
      <c r="G4446" s="251"/>
      <c r="H4446" s="433"/>
      <c r="I4446" s="278"/>
      <c r="J4446" s="257"/>
      <c r="K4446" s="253"/>
      <c r="L4446" s="253"/>
      <c r="M4446" s="252"/>
      <c r="N4446" s="258"/>
      <c r="O4446" s="259"/>
      <c r="P4446" s="259"/>
      <c r="Q4446" s="257"/>
      <c r="R4446" s="260"/>
      <c r="S4446" s="260"/>
      <c r="T4446" s="260"/>
      <c r="U4446" s="261"/>
      <c r="V4446" s="251"/>
      <c r="W4446" s="35"/>
      <c r="X4446" s="35"/>
      <c r="Y4446" s="35"/>
      <c r="Z4446" s="35"/>
      <c r="AA4446" s="35"/>
      <c r="AB4446" s="35"/>
      <c r="AC4446" s="35"/>
      <c r="AD4446" s="35"/>
      <c r="AE4446" s="35"/>
      <c r="AF4446" s="35"/>
      <c r="AG4446" s="35"/>
      <c r="AH4446" s="35"/>
      <c r="AI4446" s="35"/>
    </row>
    <row r="4447">
      <c r="A4447" s="251"/>
      <c r="B4447" s="252"/>
      <c r="C4447" s="253"/>
      <c r="D4447" s="253"/>
      <c r="E4447" s="252"/>
      <c r="F4447" s="253"/>
      <c r="G4447" s="251"/>
      <c r="H4447" s="433"/>
      <c r="I4447" s="278"/>
      <c r="J4447" s="257"/>
      <c r="K4447" s="253"/>
      <c r="L4447" s="253"/>
      <c r="M4447" s="252"/>
      <c r="N4447" s="258"/>
      <c r="O4447" s="259"/>
      <c r="P4447" s="259"/>
      <c r="Q4447" s="262"/>
      <c r="R4447" s="260"/>
      <c r="S4447" s="260"/>
      <c r="T4447" s="260"/>
      <c r="U4447" s="261"/>
      <c r="V4447" s="251"/>
      <c r="W4447" s="35"/>
      <c r="X4447" s="35"/>
      <c r="Y4447" s="35"/>
      <c r="Z4447" s="35"/>
      <c r="AA4447" s="35"/>
      <c r="AB4447" s="35"/>
      <c r="AC4447" s="35"/>
      <c r="AD4447" s="35"/>
      <c r="AE4447" s="35"/>
      <c r="AF4447" s="35"/>
      <c r="AG4447" s="35"/>
      <c r="AH4447" s="35"/>
      <c r="AI4447" s="35"/>
    </row>
    <row r="4448">
      <c r="A4448" s="251"/>
      <c r="B4448" s="252"/>
      <c r="C4448" s="253"/>
      <c r="D4448" s="253"/>
      <c r="E4448" s="252"/>
      <c r="F4448" s="253"/>
      <c r="G4448" s="251"/>
      <c r="H4448" s="433"/>
      <c r="I4448" s="278"/>
      <c r="J4448" s="257"/>
      <c r="K4448" s="253"/>
      <c r="L4448" s="253"/>
      <c r="M4448" s="275"/>
      <c r="N4448" s="258"/>
      <c r="O4448" s="259"/>
      <c r="P4448" s="259"/>
      <c r="Q4448" s="262"/>
      <c r="R4448" s="260"/>
      <c r="S4448" s="260"/>
      <c r="T4448" s="260"/>
      <c r="U4448" s="261"/>
      <c r="V4448" s="251"/>
      <c r="W4448" s="35"/>
      <c r="X4448" s="35"/>
      <c r="Y4448" s="35"/>
      <c r="Z4448" s="35"/>
      <c r="AA4448" s="35"/>
      <c r="AB4448" s="35"/>
      <c r="AC4448" s="35"/>
      <c r="AD4448" s="35"/>
      <c r="AE4448" s="35"/>
      <c r="AF4448" s="35"/>
      <c r="AG4448" s="35"/>
      <c r="AH4448" s="35"/>
      <c r="AI4448" s="35"/>
    </row>
    <row r="4449">
      <c r="A4449" s="251"/>
      <c r="B4449" s="252"/>
      <c r="C4449" s="253"/>
      <c r="D4449" s="253"/>
      <c r="E4449" s="252"/>
      <c r="F4449" s="253"/>
      <c r="G4449" s="251"/>
      <c r="H4449" s="433"/>
      <c r="I4449" s="278"/>
      <c r="J4449" s="257"/>
      <c r="K4449" s="253"/>
      <c r="L4449" s="253"/>
      <c r="M4449" s="252"/>
      <c r="N4449" s="258"/>
      <c r="O4449" s="259"/>
      <c r="P4449" s="259"/>
      <c r="Q4449" s="262"/>
      <c r="R4449" s="260"/>
      <c r="S4449" s="260"/>
      <c r="T4449" s="260"/>
      <c r="U4449" s="261"/>
      <c r="V4449" s="251"/>
      <c r="W4449" s="35"/>
      <c r="X4449" s="35"/>
      <c r="Y4449" s="35"/>
      <c r="Z4449" s="35"/>
      <c r="AA4449" s="35"/>
      <c r="AB4449" s="35"/>
      <c r="AC4449" s="35"/>
      <c r="AD4449" s="35"/>
      <c r="AE4449" s="35"/>
      <c r="AF4449" s="35"/>
      <c r="AG4449" s="35"/>
      <c r="AH4449" s="35"/>
      <c r="AI4449" s="35"/>
    </row>
    <row r="4450">
      <c r="A4450" s="251"/>
      <c r="B4450" s="252"/>
      <c r="C4450" s="253"/>
      <c r="D4450" s="253"/>
      <c r="E4450" s="252"/>
      <c r="F4450" s="253"/>
      <c r="G4450" s="251"/>
      <c r="H4450" s="433"/>
      <c r="I4450" s="278"/>
      <c r="J4450" s="257"/>
      <c r="K4450" s="253"/>
      <c r="L4450" s="253"/>
      <c r="M4450" s="252"/>
      <c r="N4450" s="258"/>
      <c r="O4450" s="259"/>
      <c r="P4450" s="259"/>
      <c r="Q4450" s="262"/>
      <c r="R4450" s="260"/>
      <c r="S4450" s="260"/>
      <c r="T4450" s="260"/>
      <c r="U4450" s="261"/>
      <c r="V4450" s="251"/>
      <c r="W4450" s="35"/>
      <c r="X4450" s="35"/>
      <c r="Y4450" s="35"/>
      <c r="Z4450" s="35"/>
      <c r="AA4450" s="35"/>
      <c r="AB4450" s="35"/>
      <c r="AC4450" s="35"/>
      <c r="AD4450" s="35"/>
      <c r="AE4450" s="35"/>
      <c r="AF4450" s="35"/>
      <c r="AG4450" s="35"/>
      <c r="AH4450" s="35"/>
      <c r="AI4450" s="35"/>
    </row>
    <row r="4451">
      <c r="A4451" s="251"/>
      <c r="B4451" s="252"/>
      <c r="C4451" s="253"/>
      <c r="D4451" s="253"/>
      <c r="E4451" s="252"/>
      <c r="F4451" s="253"/>
      <c r="G4451" s="251"/>
      <c r="H4451" s="433"/>
      <c r="I4451" s="278"/>
      <c r="J4451" s="257"/>
      <c r="K4451" s="253"/>
      <c r="L4451" s="253"/>
      <c r="M4451" s="275"/>
      <c r="N4451" s="258"/>
      <c r="O4451" s="259"/>
      <c r="P4451" s="259"/>
      <c r="Q4451" s="262"/>
      <c r="R4451" s="260"/>
      <c r="S4451" s="260"/>
      <c r="T4451" s="260"/>
      <c r="U4451" s="261"/>
      <c r="V4451" s="251"/>
      <c r="W4451" s="35"/>
      <c r="X4451" s="35"/>
      <c r="Y4451" s="35"/>
      <c r="Z4451" s="35"/>
      <c r="AA4451" s="35"/>
      <c r="AB4451" s="35"/>
      <c r="AC4451" s="35"/>
      <c r="AD4451" s="35"/>
      <c r="AE4451" s="35"/>
      <c r="AF4451" s="35"/>
      <c r="AG4451" s="35"/>
      <c r="AH4451" s="35"/>
      <c r="AI4451" s="35"/>
    </row>
    <row r="4452">
      <c r="A4452" s="251"/>
      <c r="B4452" s="252"/>
      <c r="C4452" s="253"/>
      <c r="D4452" s="253"/>
      <c r="E4452" s="252"/>
      <c r="F4452" s="253"/>
      <c r="G4452" s="251"/>
      <c r="H4452" s="433"/>
      <c r="I4452" s="278"/>
      <c r="J4452" s="257"/>
      <c r="K4452" s="253"/>
      <c r="L4452" s="253"/>
      <c r="M4452" s="252"/>
      <c r="N4452" s="258"/>
      <c r="O4452" s="259"/>
      <c r="P4452" s="259"/>
      <c r="Q4452" s="262"/>
      <c r="R4452" s="260"/>
      <c r="S4452" s="260"/>
      <c r="T4452" s="260"/>
      <c r="U4452" s="261"/>
      <c r="V4452" s="251"/>
      <c r="W4452" s="35"/>
      <c r="X4452" s="35"/>
      <c r="Y4452" s="35"/>
      <c r="Z4452" s="35"/>
      <c r="AA4452" s="35"/>
      <c r="AB4452" s="35"/>
      <c r="AC4452" s="35"/>
      <c r="AD4452" s="35"/>
      <c r="AE4452" s="35"/>
      <c r="AF4452" s="35"/>
      <c r="AG4452" s="35"/>
      <c r="AH4452" s="35"/>
      <c r="AI4452" s="35"/>
    </row>
    <row r="4453">
      <c r="A4453" s="251"/>
      <c r="B4453" s="252"/>
      <c r="C4453" s="253"/>
      <c r="D4453" s="253"/>
      <c r="E4453" s="252"/>
      <c r="F4453" s="253"/>
      <c r="G4453" s="251"/>
      <c r="H4453" s="433"/>
      <c r="I4453" s="278"/>
      <c r="J4453" s="257"/>
      <c r="K4453" s="253"/>
      <c r="L4453" s="253"/>
      <c r="M4453" s="252"/>
      <c r="N4453" s="258"/>
      <c r="O4453" s="259"/>
      <c r="P4453" s="259"/>
      <c r="Q4453" s="257"/>
      <c r="R4453" s="260"/>
      <c r="S4453" s="260"/>
      <c r="T4453" s="260"/>
      <c r="U4453" s="261"/>
      <c r="V4453" s="251"/>
      <c r="W4453" s="35"/>
      <c r="X4453" s="35"/>
      <c r="Y4453" s="35"/>
      <c r="Z4453" s="35"/>
      <c r="AA4453" s="35"/>
      <c r="AB4453" s="35"/>
      <c r="AC4453" s="35"/>
      <c r="AD4453" s="35"/>
      <c r="AE4453" s="35"/>
      <c r="AF4453" s="35"/>
      <c r="AG4453" s="35"/>
      <c r="AH4453" s="35"/>
      <c r="AI4453" s="35"/>
    </row>
    <row r="4454">
      <c r="A4454" s="251"/>
      <c r="B4454" s="252"/>
      <c r="C4454" s="253"/>
      <c r="D4454" s="253"/>
      <c r="E4454" s="252"/>
      <c r="F4454" s="253"/>
      <c r="G4454" s="251"/>
      <c r="H4454" s="433"/>
      <c r="I4454" s="278"/>
      <c r="J4454" s="257"/>
      <c r="K4454" s="253"/>
      <c r="L4454" s="253"/>
      <c r="M4454" s="252"/>
      <c r="N4454" s="258"/>
      <c r="O4454" s="259"/>
      <c r="P4454" s="259"/>
      <c r="Q4454" s="262"/>
      <c r="R4454" s="260"/>
      <c r="S4454" s="260"/>
      <c r="T4454" s="260"/>
      <c r="U4454" s="261"/>
      <c r="V4454" s="251"/>
      <c r="W4454" s="35"/>
      <c r="X4454" s="35"/>
      <c r="Y4454" s="35"/>
      <c r="Z4454" s="35"/>
      <c r="AA4454" s="35"/>
      <c r="AB4454" s="35"/>
      <c r="AC4454" s="35"/>
      <c r="AD4454" s="35"/>
      <c r="AE4454" s="35"/>
      <c r="AF4454" s="35"/>
      <c r="AG4454" s="35"/>
      <c r="AH4454" s="35"/>
      <c r="AI4454" s="35"/>
    </row>
    <row r="4455">
      <c r="A4455" s="251"/>
      <c r="B4455" s="252"/>
      <c r="C4455" s="253"/>
      <c r="D4455" s="253"/>
      <c r="E4455" s="252"/>
      <c r="F4455" s="253"/>
      <c r="G4455" s="251"/>
      <c r="H4455" s="433"/>
      <c r="I4455" s="278"/>
      <c r="J4455" s="257"/>
      <c r="K4455" s="253"/>
      <c r="L4455" s="253"/>
      <c r="M4455" s="252"/>
      <c r="N4455" s="258"/>
      <c r="O4455" s="259"/>
      <c r="P4455" s="259"/>
      <c r="Q4455" s="262"/>
      <c r="R4455" s="260"/>
      <c r="S4455" s="260"/>
      <c r="T4455" s="260"/>
      <c r="U4455" s="261"/>
      <c r="V4455" s="251"/>
      <c r="W4455" s="35"/>
      <c r="X4455" s="35"/>
      <c r="Y4455" s="35"/>
      <c r="Z4455" s="35"/>
      <c r="AA4455" s="35"/>
      <c r="AB4455" s="35"/>
      <c r="AC4455" s="35"/>
      <c r="AD4455" s="35"/>
      <c r="AE4455" s="35"/>
      <c r="AF4455" s="35"/>
      <c r="AG4455" s="35"/>
      <c r="AH4455" s="35"/>
      <c r="AI4455" s="35"/>
    </row>
    <row r="4456">
      <c r="A4456" s="251"/>
      <c r="B4456" s="252"/>
      <c r="C4456" s="253"/>
      <c r="D4456" s="253"/>
      <c r="E4456" s="252"/>
      <c r="F4456" s="253"/>
      <c r="G4456" s="251"/>
      <c r="H4456" s="433"/>
      <c r="I4456" s="278"/>
      <c r="J4456" s="257"/>
      <c r="K4456" s="253"/>
      <c r="L4456" s="253"/>
      <c r="M4456" s="275"/>
      <c r="N4456" s="258"/>
      <c r="O4456" s="259"/>
      <c r="P4456" s="259"/>
      <c r="Q4456" s="262"/>
      <c r="R4456" s="260"/>
      <c r="S4456" s="260"/>
      <c r="T4456" s="260"/>
      <c r="U4456" s="261"/>
      <c r="V4456" s="251"/>
      <c r="W4456" s="35"/>
      <c r="X4456" s="35"/>
      <c r="Y4456" s="35"/>
      <c r="Z4456" s="35"/>
      <c r="AA4456" s="35"/>
      <c r="AB4456" s="35"/>
      <c r="AC4456" s="35"/>
      <c r="AD4456" s="35"/>
      <c r="AE4456" s="35"/>
      <c r="AF4456" s="35"/>
      <c r="AG4456" s="35"/>
      <c r="AH4456" s="35"/>
      <c r="AI4456" s="35"/>
    </row>
    <row r="4457">
      <c r="A4457" s="251"/>
      <c r="B4457" s="252"/>
      <c r="C4457" s="253"/>
      <c r="D4457" s="253"/>
      <c r="E4457" s="252"/>
      <c r="F4457" s="253"/>
      <c r="G4457" s="251"/>
      <c r="H4457" s="433"/>
      <c r="I4457" s="278"/>
      <c r="J4457" s="257"/>
      <c r="K4457" s="253"/>
      <c r="L4457" s="253"/>
      <c r="M4457" s="252"/>
      <c r="N4457" s="258"/>
      <c r="O4457" s="259"/>
      <c r="P4457" s="259"/>
      <c r="Q4457" s="262"/>
      <c r="R4457" s="260"/>
      <c r="S4457" s="260"/>
      <c r="T4457" s="260"/>
      <c r="U4457" s="261"/>
      <c r="V4457" s="251"/>
      <c r="W4457" s="35"/>
      <c r="X4457" s="35"/>
      <c r="Y4457" s="35"/>
      <c r="Z4457" s="35"/>
      <c r="AA4457" s="35"/>
      <c r="AB4457" s="35"/>
      <c r="AC4457" s="35"/>
      <c r="AD4457" s="35"/>
      <c r="AE4457" s="35"/>
      <c r="AF4457" s="35"/>
      <c r="AG4457" s="35"/>
      <c r="AH4457" s="35"/>
      <c r="AI4457" s="35"/>
    </row>
    <row r="4458">
      <c r="A4458" s="251"/>
      <c r="B4458" s="252"/>
      <c r="C4458" s="253"/>
      <c r="D4458" s="253"/>
      <c r="E4458" s="252"/>
      <c r="F4458" s="253"/>
      <c r="G4458" s="251"/>
      <c r="H4458" s="433"/>
      <c r="I4458" s="278"/>
      <c r="J4458" s="257"/>
      <c r="K4458" s="253"/>
      <c r="L4458" s="253"/>
      <c r="M4458" s="252"/>
      <c r="N4458" s="258"/>
      <c r="O4458" s="259"/>
      <c r="P4458" s="259"/>
      <c r="Q4458" s="262"/>
      <c r="R4458" s="260"/>
      <c r="S4458" s="260"/>
      <c r="T4458" s="260"/>
      <c r="U4458" s="261"/>
      <c r="V4458" s="251"/>
      <c r="W4458" s="35"/>
      <c r="X4458" s="35"/>
      <c r="Y4458" s="35"/>
      <c r="Z4458" s="35"/>
      <c r="AA4458" s="35"/>
      <c r="AB4458" s="35"/>
      <c r="AC4458" s="35"/>
      <c r="AD4458" s="35"/>
      <c r="AE4458" s="35"/>
      <c r="AF4458" s="35"/>
      <c r="AG4458" s="35"/>
      <c r="AH4458" s="35"/>
      <c r="AI4458" s="35"/>
    </row>
    <row r="4459">
      <c r="A4459" s="251"/>
      <c r="B4459" s="252"/>
      <c r="C4459" s="253"/>
      <c r="D4459" s="253"/>
      <c r="E4459" s="252"/>
      <c r="F4459" s="253"/>
      <c r="G4459" s="251"/>
      <c r="H4459" s="433"/>
      <c r="I4459" s="278"/>
      <c r="J4459" s="257"/>
      <c r="K4459" s="253"/>
      <c r="L4459" s="253"/>
      <c r="M4459" s="252"/>
      <c r="N4459" s="258"/>
      <c r="O4459" s="259"/>
      <c r="P4459" s="259"/>
      <c r="Q4459" s="262"/>
      <c r="R4459" s="260"/>
      <c r="S4459" s="260"/>
      <c r="T4459" s="260"/>
      <c r="U4459" s="261"/>
      <c r="V4459" s="251"/>
      <c r="W4459" s="35"/>
      <c r="X4459" s="35"/>
      <c r="Y4459" s="35"/>
      <c r="Z4459" s="35"/>
      <c r="AA4459" s="35"/>
      <c r="AB4459" s="35"/>
      <c r="AC4459" s="35"/>
      <c r="AD4459" s="35"/>
      <c r="AE4459" s="35"/>
      <c r="AF4459" s="35"/>
      <c r="AG4459" s="35"/>
      <c r="AH4459" s="35"/>
      <c r="AI4459" s="35"/>
    </row>
    <row r="4460">
      <c r="A4460" s="263"/>
      <c r="B4460" s="264"/>
      <c r="C4460" s="265"/>
      <c r="D4460" s="265"/>
      <c r="E4460" s="264"/>
      <c r="F4460" s="265"/>
      <c r="G4460" s="263"/>
      <c r="H4460" s="432"/>
      <c r="I4460" s="282"/>
      <c r="J4460" s="283"/>
      <c r="K4460" s="265"/>
      <c r="L4460" s="265"/>
      <c r="M4460" s="269"/>
      <c r="N4460" s="270"/>
      <c r="O4460" s="271"/>
      <c r="P4460" s="271"/>
      <c r="Q4460" s="272"/>
      <c r="R4460" s="273"/>
      <c r="S4460" s="273"/>
      <c r="T4460" s="273"/>
      <c r="U4460" s="274"/>
      <c r="V4460" s="266"/>
      <c r="W4460" s="35"/>
      <c r="X4460" s="35"/>
      <c r="Y4460" s="35"/>
      <c r="Z4460" s="35"/>
      <c r="AA4460" s="35"/>
      <c r="AB4460" s="35"/>
      <c r="AC4460" s="35"/>
      <c r="AD4460" s="35"/>
      <c r="AE4460" s="35"/>
      <c r="AF4460" s="35"/>
      <c r="AG4460" s="35"/>
      <c r="AH4460" s="35"/>
      <c r="AI4460" s="35"/>
    </row>
    <row r="4461">
      <c r="A4461" s="251"/>
      <c r="B4461" s="252"/>
      <c r="C4461" s="253"/>
      <c r="D4461" s="253"/>
      <c r="E4461" s="252"/>
      <c r="F4461" s="253"/>
      <c r="G4461" s="251"/>
      <c r="H4461" s="433"/>
      <c r="I4461" s="278"/>
      <c r="J4461" s="257"/>
      <c r="K4461" s="253"/>
      <c r="L4461" s="253"/>
      <c r="M4461" s="252"/>
      <c r="N4461" s="258"/>
      <c r="O4461" s="259"/>
      <c r="P4461" s="259"/>
      <c r="Q4461" s="257"/>
      <c r="R4461" s="260"/>
      <c r="S4461" s="260"/>
      <c r="T4461" s="260"/>
      <c r="U4461" s="261"/>
      <c r="V4461" s="251"/>
      <c r="W4461" s="35"/>
      <c r="X4461" s="35"/>
      <c r="Y4461" s="35"/>
      <c r="Z4461" s="35"/>
      <c r="AA4461" s="35"/>
      <c r="AB4461" s="35"/>
      <c r="AC4461" s="35"/>
      <c r="AD4461" s="35"/>
      <c r="AE4461" s="35"/>
      <c r="AF4461" s="35"/>
      <c r="AG4461" s="35"/>
      <c r="AH4461" s="35"/>
      <c r="AI4461" s="35"/>
    </row>
    <row r="4462">
      <c r="A4462" s="251"/>
      <c r="B4462" s="252"/>
      <c r="C4462" s="253"/>
      <c r="D4462" s="253"/>
      <c r="E4462" s="252"/>
      <c r="F4462" s="253"/>
      <c r="G4462" s="251"/>
      <c r="H4462" s="433"/>
      <c r="I4462" s="278"/>
      <c r="J4462" s="257"/>
      <c r="K4462" s="253"/>
      <c r="L4462" s="253"/>
      <c r="M4462" s="275"/>
      <c r="N4462" s="258"/>
      <c r="O4462" s="259"/>
      <c r="P4462" s="259"/>
      <c r="Q4462" s="262"/>
      <c r="R4462" s="260"/>
      <c r="S4462" s="260"/>
      <c r="T4462" s="260"/>
      <c r="U4462" s="261"/>
      <c r="V4462" s="251"/>
      <c r="W4462" s="35"/>
      <c r="X4462" s="35"/>
      <c r="Y4462" s="35"/>
      <c r="Z4462" s="35"/>
      <c r="AA4462" s="35"/>
      <c r="AB4462" s="35"/>
      <c r="AC4462" s="35"/>
      <c r="AD4462" s="35"/>
      <c r="AE4462" s="35"/>
      <c r="AF4462" s="35"/>
      <c r="AG4462" s="35"/>
      <c r="AH4462" s="35"/>
      <c r="AI4462" s="35"/>
    </row>
    <row r="4463">
      <c r="A4463" s="251"/>
      <c r="B4463" s="252"/>
      <c r="C4463" s="253"/>
      <c r="D4463" s="253"/>
      <c r="E4463" s="252"/>
      <c r="F4463" s="253"/>
      <c r="G4463" s="251"/>
      <c r="H4463" s="433"/>
      <c r="I4463" s="278"/>
      <c r="J4463" s="257"/>
      <c r="K4463" s="253"/>
      <c r="L4463" s="253"/>
      <c r="M4463" s="275"/>
      <c r="N4463" s="258"/>
      <c r="O4463" s="259"/>
      <c r="P4463" s="259"/>
      <c r="Q4463" s="262"/>
      <c r="R4463" s="260"/>
      <c r="S4463" s="260"/>
      <c r="T4463" s="260"/>
      <c r="U4463" s="261"/>
      <c r="V4463" s="251"/>
      <c r="W4463" s="35"/>
      <c r="X4463" s="35"/>
      <c r="Y4463" s="35"/>
      <c r="Z4463" s="35"/>
      <c r="AA4463" s="35"/>
      <c r="AB4463" s="35"/>
      <c r="AC4463" s="35"/>
      <c r="AD4463" s="35"/>
      <c r="AE4463" s="35"/>
      <c r="AF4463" s="35"/>
      <c r="AG4463" s="35"/>
      <c r="AH4463" s="35"/>
      <c r="AI4463" s="35"/>
    </row>
    <row r="4464">
      <c r="A4464" s="251"/>
      <c r="B4464" s="252"/>
      <c r="C4464" s="253"/>
      <c r="D4464" s="253"/>
      <c r="E4464" s="252"/>
      <c r="F4464" s="253"/>
      <c r="G4464" s="251"/>
      <c r="H4464" s="433"/>
      <c r="I4464" s="278"/>
      <c r="J4464" s="257"/>
      <c r="K4464" s="253"/>
      <c r="L4464" s="253"/>
      <c r="M4464" s="275"/>
      <c r="N4464" s="258"/>
      <c r="O4464" s="259"/>
      <c r="P4464" s="259"/>
      <c r="Q4464" s="262"/>
      <c r="R4464" s="260"/>
      <c r="S4464" s="260"/>
      <c r="T4464" s="260"/>
      <c r="U4464" s="261"/>
      <c r="V4464" s="251"/>
      <c r="W4464" s="35"/>
      <c r="X4464" s="35"/>
      <c r="Y4464" s="35"/>
      <c r="Z4464" s="35"/>
      <c r="AA4464" s="35"/>
      <c r="AB4464" s="35"/>
      <c r="AC4464" s="35"/>
      <c r="AD4464" s="35"/>
      <c r="AE4464" s="35"/>
      <c r="AF4464" s="35"/>
      <c r="AG4464" s="35"/>
      <c r="AH4464" s="35"/>
      <c r="AI4464" s="35"/>
    </row>
    <row r="4465">
      <c r="A4465" s="251"/>
      <c r="B4465" s="252"/>
      <c r="C4465" s="253"/>
      <c r="D4465" s="253"/>
      <c r="E4465" s="252"/>
      <c r="F4465" s="253"/>
      <c r="G4465" s="251"/>
      <c r="H4465" s="433"/>
      <c r="I4465" s="278"/>
      <c r="J4465" s="257"/>
      <c r="K4465" s="253"/>
      <c r="L4465" s="253"/>
      <c r="M4465" s="252"/>
      <c r="N4465" s="258"/>
      <c r="O4465" s="259"/>
      <c r="P4465" s="259"/>
      <c r="Q4465" s="257"/>
      <c r="R4465" s="260"/>
      <c r="S4465" s="260"/>
      <c r="T4465" s="260"/>
      <c r="U4465" s="261"/>
      <c r="V4465" s="251"/>
      <c r="W4465" s="35"/>
      <c r="X4465" s="35"/>
      <c r="Y4465" s="35"/>
      <c r="Z4465" s="35"/>
      <c r="AA4465" s="35"/>
      <c r="AB4465" s="35"/>
      <c r="AC4465" s="35"/>
      <c r="AD4465" s="35"/>
      <c r="AE4465" s="35"/>
      <c r="AF4465" s="35"/>
      <c r="AG4465" s="35"/>
      <c r="AH4465" s="35"/>
      <c r="AI4465" s="35"/>
    </row>
    <row r="4466">
      <c r="A4466" s="251"/>
      <c r="B4466" s="252"/>
      <c r="C4466" s="253"/>
      <c r="D4466" s="253"/>
      <c r="E4466" s="252"/>
      <c r="F4466" s="253"/>
      <c r="G4466" s="251"/>
      <c r="H4466" s="433"/>
      <c r="I4466" s="278"/>
      <c r="J4466" s="257"/>
      <c r="K4466" s="253"/>
      <c r="L4466" s="253"/>
      <c r="M4466" s="275"/>
      <c r="N4466" s="258"/>
      <c r="O4466" s="259"/>
      <c r="P4466" s="259"/>
      <c r="Q4466" s="262"/>
      <c r="R4466" s="260"/>
      <c r="S4466" s="260"/>
      <c r="T4466" s="260"/>
      <c r="U4466" s="261"/>
      <c r="V4466" s="251"/>
      <c r="W4466" s="35"/>
      <c r="X4466" s="35"/>
      <c r="Y4466" s="35"/>
      <c r="Z4466" s="35"/>
      <c r="AA4466" s="35"/>
      <c r="AB4466" s="35"/>
      <c r="AC4466" s="35"/>
      <c r="AD4466" s="35"/>
      <c r="AE4466" s="35"/>
      <c r="AF4466" s="35"/>
      <c r="AG4466" s="35"/>
      <c r="AH4466" s="35"/>
      <c r="AI4466" s="35"/>
    </row>
    <row r="4467">
      <c r="A4467" s="251"/>
      <c r="B4467" s="252"/>
      <c r="C4467" s="253"/>
      <c r="D4467" s="253"/>
      <c r="E4467" s="252"/>
      <c r="F4467" s="253"/>
      <c r="G4467" s="251"/>
      <c r="H4467" s="433"/>
      <c r="I4467" s="278"/>
      <c r="J4467" s="257"/>
      <c r="K4467" s="253"/>
      <c r="L4467" s="253"/>
      <c r="M4467" s="252"/>
      <c r="N4467" s="258"/>
      <c r="O4467" s="259"/>
      <c r="P4467" s="259"/>
      <c r="Q4467" s="257"/>
      <c r="R4467" s="260"/>
      <c r="S4467" s="260"/>
      <c r="T4467" s="260"/>
      <c r="U4467" s="261"/>
      <c r="V4467" s="251"/>
      <c r="W4467" s="35"/>
      <c r="X4467" s="35"/>
      <c r="Y4467" s="35"/>
      <c r="Z4467" s="35"/>
      <c r="AA4467" s="35"/>
      <c r="AB4467" s="35"/>
      <c r="AC4467" s="35"/>
      <c r="AD4467" s="35"/>
      <c r="AE4467" s="35"/>
      <c r="AF4467" s="35"/>
      <c r="AG4467" s="35"/>
      <c r="AH4467" s="35"/>
      <c r="AI4467" s="35"/>
    </row>
    <row r="4468">
      <c r="A4468" s="251"/>
      <c r="B4468" s="252"/>
      <c r="C4468" s="253"/>
      <c r="D4468" s="253"/>
      <c r="E4468" s="252"/>
      <c r="F4468" s="253"/>
      <c r="G4468" s="251"/>
      <c r="H4468" s="433"/>
      <c r="I4468" s="278"/>
      <c r="J4468" s="257"/>
      <c r="K4468" s="253"/>
      <c r="L4468" s="253"/>
      <c r="M4468" s="252"/>
      <c r="N4468" s="258"/>
      <c r="O4468" s="259"/>
      <c r="P4468" s="259"/>
      <c r="Q4468" s="257"/>
      <c r="R4468" s="260"/>
      <c r="S4468" s="260"/>
      <c r="T4468" s="260"/>
      <c r="U4468" s="261"/>
      <c r="V4468" s="251"/>
      <c r="W4468" s="35"/>
      <c r="X4468" s="35"/>
      <c r="Y4468" s="35"/>
      <c r="Z4468" s="35"/>
      <c r="AA4468" s="35"/>
      <c r="AB4468" s="35"/>
      <c r="AC4468" s="35"/>
      <c r="AD4468" s="35"/>
      <c r="AE4468" s="35"/>
      <c r="AF4468" s="35"/>
      <c r="AG4468" s="35"/>
      <c r="AH4468" s="35"/>
      <c r="AI4468" s="35"/>
    </row>
    <row r="4469">
      <c r="A4469" s="263"/>
      <c r="B4469" s="264"/>
      <c r="C4469" s="265"/>
      <c r="D4469" s="265"/>
      <c r="E4469" s="264"/>
      <c r="F4469" s="265"/>
      <c r="G4469" s="263"/>
      <c r="H4469" s="432"/>
      <c r="I4469" s="282"/>
      <c r="J4469" s="283"/>
      <c r="K4469" s="265"/>
      <c r="L4469" s="265"/>
      <c r="M4469" s="269"/>
      <c r="N4469" s="270"/>
      <c r="O4469" s="271"/>
      <c r="P4469" s="271"/>
      <c r="Q4469" s="272"/>
      <c r="R4469" s="273"/>
      <c r="S4469" s="273"/>
      <c r="T4469" s="273"/>
      <c r="U4469" s="274"/>
      <c r="V4469" s="263"/>
      <c r="W4469" s="35"/>
      <c r="X4469" s="35"/>
      <c r="Y4469" s="35"/>
      <c r="Z4469" s="35"/>
      <c r="AA4469" s="35"/>
      <c r="AB4469" s="35"/>
      <c r="AC4469" s="35"/>
      <c r="AD4469" s="35"/>
      <c r="AE4469" s="35"/>
      <c r="AF4469" s="35"/>
      <c r="AG4469" s="35"/>
      <c r="AH4469" s="35"/>
      <c r="AI4469" s="35"/>
    </row>
    <row r="4470">
      <c r="A4470" s="251"/>
      <c r="B4470" s="252"/>
      <c r="C4470" s="253"/>
      <c r="D4470" s="253"/>
      <c r="E4470" s="252"/>
      <c r="F4470" s="253"/>
      <c r="G4470" s="251"/>
      <c r="H4470" s="433"/>
      <c r="I4470" s="278"/>
      <c r="J4470" s="257"/>
      <c r="K4470" s="253"/>
      <c r="L4470" s="253"/>
      <c r="M4470" s="275"/>
      <c r="N4470" s="258"/>
      <c r="O4470" s="259"/>
      <c r="P4470" s="259"/>
      <c r="Q4470" s="262"/>
      <c r="R4470" s="260"/>
      <c r="S4470" s="260"/>
      <c r="T4470" s="260"/>
      <c r="U4470" s="261"/>
      <c r="V4470" s="251"/>
      <c r="W4470" s="35"/>
      <c r="X4470" s="35"/>
      <c r="Y4470" s="35"/>
      <c r="Z4470" s="35"/>
      <c r="AA4470" s="35"/>
      <c r="AB4470" s="35"/>
      <c r="AC4470" s="35"/>
      <c r="AD4470" s="35"/>
      <c r="AE4470" s="35"/>
      <c r="AF4470" s="35"/>
      <c r="AG4470" s="35"/>
      <c r="AH4470" s="35"/>
      <c r="AI4470" s="35"/>
    </row>
    <row r="4471">
      <c r="A4471" s="251"/>
      <c r="B4471" s="252"/>
      <c r="C4471" s="253"/>
      <c r="D4471" s="253"/>
      <c r="E4471" s="252"/>
      <c r="F4471" s="253"/>
      <c r="G4471" s="251"/>
      <c r="H4471" s="433"/>
      <c r="I4471" s="278"/>
      <c r="J4471" s="257"/>
      <c r="K4471" s="253"/>
      <c r="L4471" s="253"/>
      <c r="M4471" s="252"/>
      <c r="N4471" s="258"/>
      <c r="O4471" s="259"/>
      <c r="P4471" s="259"/>
      <c r="Q4471" s="262"/>
      <c r="R4471" s="260"/>
      <c r="S4471" s="260"/>
      <c r="T4471" s="260"/>
      <c r="U4471" s="261"/>
      <c r="V4471" s="251"/>
      <c r="W4471" s="35"/>
      <c r="X4471" s="35"/>
      <c r="Y4471" s="35"/>
      <c r="Z4471" s="35"/>
      <c r="AA4471" s="35"/>
      <c r="AB4471" s="35"/>
      <c r="AC4471" s="35"/>
      <c r="AD4471" s="35"/>
      <c r="AE4471" s="35"/>
      <c r="AF4471" s="35"/>
      <c r="AG4471" s="35"/>
      <c r="AH4471" s="35"/>
      <c r="AI4471" s="35"/>
    </row>
    <row r="4472">
      <c r="A4472" s="251"/>
      <c r="B4472" s="252"/>
      <c r="C4472" s="253"/>
      <c r="D4472" s="253"/>
      <c r="E4472" s="252"/>
      <c r="F4472" s="253"/>
      <c r="G4472" s="251"/>
      <c r="H4472" s="433"/>
      <c r="I4472" s="278"/>
      <c r="J4472" s="257"/>
      <c r="K4472" s="253"/>
      <c r="L4472" s="253"/>
      <c r="M4472" s="275"/>
      <c r="N4472" s="258"/>
      <c r="O4472" s="259"/>
      <c r="P4472" s="259"/>
      <c r="Q4472" s="262"/>
      <c r="R4472" s="260"/>
      <c r="S4472" s="260"/>
      <c r="T4472" s="260"/>
      <c r="U4472" s="261"/>
      <c r="V4472" s="251"/>
      <c r="W4472" s="35"/>
      <c r="X4472" s="35"/>
      <c r="Y4472" s="35"/>
      <c r="Z4472" s="35"/>
      <c r="AA4472" s="35"/>
      <c r="AB4472" s="35"/>
      <c r="AC4472" s="35"/>
      <c r="AD4472" s="35"/>
      <c r="AE4472" s="35"/>
      <c r="AF4472" s="35"/>
      <c r="AG4472" s="35"/>
      <c r="AH4472" s="35"/>
      <c r="AI4472" s="35"/>
    </row>
    <row r="4473">
      <c r="A4473" s="251"/>
      <c r="B4473" s="252"/>
      <c r="C4473" s="253"/>
      <c r="D4473" s="253"/>
      <c r="E4473" s="252"/>
      <c r="F4473" s="253"/>
      <c r="G4473" s="251"/>
      <c r="H4473" s="433"/>
      <c r="I4473" s="278"/>
      <c r="J4473" s="257"/>
      <c r="K4473" s="253"/>
      <c r="L4473" s="253"/>
      <c r="M4473" s="275"/>
      <c r="N4473" s="258"/>
      <c r="O4473" s="259"/>
      <c r="P4473" s="259"/>
      <c r="Q4473" s="262"/>
      <c r="R4473" s="260"/>
      <c r="S4473" s="260"/>
      <c r="T4473" s="260"/>
      <c r="U4473" s="261"/>
      <c r="V4473" s="251"/>
      <c r="W4473" s="35"/>
      <c r="X4473" s="35"/>
      <c r="Y4473" s="35"/>
      <c r="Z4473" s="35"/>
      <c r="AA4473" s="35"/>
      <c r="AB4473" s="35"/>
      <c r="AC4473" s="35"/>
      <c r="AD4473" s="35"/>
      <c r="AE4473" s="35"/>
      <c r="AF4473" s="35"/>
      <c r="AG4473" s="35"/>
      <c r="AH4473" s="35"/>
      <c r="AI4473" s="35"/>
    </row>
    <row r="4474">
      <c r="A4474" s="251"/>
      <c r="B4474" s="252"/>
      <c r="C4474" s="253"/>
      <c r="D4474" s="253"/>
      <c r="E4474" s="252"/>
      <c r="F4474" s="253"/>
      <c r="G4474" s="251"/>
      <c r="H4474" s="433"/>
      <c r="I4474" s="278"/>
      <c r="J4474" s="257"/>
      <c r="K4474" s="253"/>
      <c r="L4474" s="253"/>
      <c r="M4474" s="252"/>
      <c r="N4474" s="258"/>
      <c r="O4474" s="259"/>
      <c r="P4474" s="259"/>
      <c r="Q4474" s="262"/>
      <c r="R4474" s="260"/>
      <c r="S4474" s="260"/>
      <c r="T4474" s="260"/>
      <c r="U4474" s="261"/>
      <c r="V4474" s="251"/>
      <c r="W4474" s="35"/>
      <c r="X4474" s="35"/>
      <c r="Y4474" s="35"/>
      <c r="Z4474" s="35"/>
      <c r="AA4474" s="35"/>
      <c r="AB4474" s="35"/>
      <c r="AC4474" s="35"/>
      <c r="AD4474" s="35"/>
      <c r="AE4474" s="35"/>
      <c r="AF4474" s="35"/>
      <c r="AG4474" s="35"/>
      <c r="AH4474" s="35"/>
      <c r="AI4474" s="35"/>
    </row>
    <row r="4475">
      <c r="A4475" s="251"/>
      <c r="B4475" s="252"/>
      <c r="C4475" s="253"/>
      <c r="D4475" s="253"/>
      <c r="E4475" s="252"/>
      <c r="F4475" s="253"/>
      <c r="G4475" s="251"/>
      <c r="H4475" s="433"/>
      <c r="I4475" s="278"/>
      <c r="J4475" s="257"/>
      <c r="K4475" s="253"/>
      <c r="L4475" s="253"/>
      <c r="M4475" s="252"/>
      <c r="N4475" s="258"/>
      <c r="O4475" s="259"/>
      <c r="P4475" s="259"/>
      <c r="Q4475" s="262"/>
      <c r="R4475" s="260"/>
      <c r="S4475" s="260"/>
      <c r="T4475" s="260"/>
      <c r="U4475" s="261"/>
      <c r="V4475" s="251"/>
      <c r="W4475" s="35"/>
      <c r="X4475" s="35"/>
      <c r="Y4475" s="35"/>
      <c r="Z4475" s="35"/>
      <c r="AA4475" s="35"/>
      <c r="AB4475" s="35"/>
      <c r="AC4475" s="35"/>
      <c r="AD4475" s="35"/>
      <c r="AE4475" s="35"/>
      <c r="AF4475" s="35"/>
      <c r="AG4475" s="35"/>
      <c r="AH4475" s="35"/>
      <c r="AI4475" s="35"/>
    </row>
    <row r="4476">
      <c r="A4476" s="251"/>
      <c r="B4476" s="252"/>
      <c r="C4476" s="253"/>
      <c r="D4476" s="253"/>
      <c r="E4476" s="252"/>
      <c r="F4476" s="253"/>
      <c r="G4476" s="251"/>
      <c r="H4476" s="433"/>
      <c r="I4476" s="278"/>
      <c r="J4476" s="257"/>
      <c r="K4476" s="253"/>
      <c r="L4476" s="253"/>
      <c r="M4476" s="252"/>
      <c r="N4476" s="258"/>
      <c r="O4476" s="259"/>
      <c r="P4476" s="259"/>
      <c r="Q4476" s="257"/>
      <c r="R4476" s="260"/>
      <c r="S4476" s="260"/>
      <c r="T4476" s="260"/>
      <c r="U4476" s="261"/>
      <c r="V4476" s="251"/>
      <c r="W4476" s="35"/>
      <c r="X4476" s="35"/>
      <c r="Y4476" s="35"/>
      <c r="Z4476" s="35"/>
      <c r="AA4476" s="35"/>
      <c r="AB4476" s="35"/>
      <c r="AC4476" s="35"/>
      <c r="AD4476" s="35"/>
      <c r="AE4476" s="35"/>
      <c r="AF4476" s="35"/>
      <c r="AG4476" s="35"/>
      <c r="AH4476" s="35"/>
      <c r="AI4476" s="35"/>
    </row>
    <row r="4477">
      <c r="A4477" s="251"/>
      <c r="B4477" s="252"/>
      <c r="C4477" s="253"/>
      <c r="D4477" s="253"/>
      <c r="E4477" s="252"/>
      <c r="F4477" s="253"/>
      <c r="G4477" s="251"/>
      <c r="H4477" s="433"/>
      <c r="I4477" s="278"/>
      <c r="J4477" s="257"/>
      <c r="K4477" s="253"/>
      <c r="L4477" s="253"/>
      <c r="M4477" s="252"/>
      <c r="N4477" s="258"/>
      <c r="O4477" s="259"/>
      <c r="P4477" s="259"/>
      <c r="Q4477" s="262"/>
      <c r="R4477" s="260"/>
      <c r="S4477" s="260"/>
      <c r="T4477" s="260"/>
      <c r="U4477" s="261"/>
      <c r="V4477" s="251"/>
      <c r="W4477" s="35"/>
      <c r="X4477" s="35"/>
      <c r="Y4477" s="35"/>
      <c r="Z4477" s="35"/>
      <c r="AA4477" s="35"/>
      <c r="AB4477" s="35"/>
      <c r="AC4477" s="35"/>
      <c r="AD4477" s="35"/>
      <c r="AE4477" s="35"/>
      <c r="AF4477" s="35"/>
      <c r="AG4477" s="35"/>
      <c r="AH4477" s="35"/>
      <c r="AI4477" s="35"/>
    </row>
    <row r="4478">
      <c r="A4478" s="251"/>
      <c r="B4478" s="252"/>
      <c r="C4478" s="253"/>
      <c r="D4478" s="253"/>
      <c r="E4478" s="252"/>
      <c r="F4478" s="253"/>
      <c r="G4478" s="251"/>
      <c r="H4478" s="433"/>
      <c r="I4478" s="278"/>
      <c r="J4478" s="257"/>
      <c r="K4478" s="253"/>
      <c r="L4478" s="253"/>
      <c r="M4478" s="252"/>
      <c r="N4478" s="258"/>
      <c r="O4478" s="259"/>
      <c r="P4478" s="259"/>
      <c r="Q4478" s="262"/>
      <c r="R4478" s="260"/>
      <c r="S4478" s="260"/>
      <c r="T4478" s="260"/>
      <c r="U4478" s="261"/>
      <c r="V4478" s="251"/>
      <c r="W4478" s="35"/>
      <c r="X4478" s="35"/>
      <c r="Y4478" s="35"/>
      <c r="Z4478" s="35"/>
      <c r="AA4478" s="35"/>
      <c r="AB4478" s="35"/>
      <c r="AC4478" s="35"/>
      <c r="AD4478" s="35"/>
      <c r="AE4478" s="35"/>
      <c r="AF4478" s="35"/>
      <c r="AG4478" s="35"/>
      <c r="AH4478" s="35"/>
      <c r="AI4478" s="35"/>
    </row>
    <row r="4479">
      <c r="A4479" s="251"/>
      <c r="B4479" s="252"/>
      <c r="C4479" s="253"/>
      <c r="D4479" s="253"/>
      <c r="E4479" s="252"/>
      <c r="F4479" s="253"/>
      <c r="G4479" s="251"/>
      <c r="H4479" s="433"/>
      <c r="I4479" s="278"/>
      <c r="J4479" s="257"/>
      <c r="K4479" s="253"/>
      <c r="L4479" s="253"/>
      <c r="M4479" s="252"/>
      <c r="N4479" s="258"/>
      <c r="O4479" s="259"/>
      <c r="P4479" s="259"/>
      <c r="Q4479" s="257"/>
      <c r="R4479" s="260"/>
      <c r="S4479" s="260"/>
      <c r="T4479" s="260"/>
      <c r="U4479" s="261"/>
      <c r="V4479" s="251"/>
      <c r="W4479" s="35"/>
      <c r="X4479" s="35"/>
      <c r="Y4479" s="35"/>
      <c r="Z4479" s="35"/>
      <c r="AA4479" s="35"/>
      <c r="AB4479" s="35"/>
      <c r="AC4479" s="35"/>
      <c r="AD4479" s="35"/>
      <c r="AE4479" s="35"/>
      <c r="AF4479" s="35"/>
      <c r="AG4479" s="35"/>
      <c r="AH4479" s="35"/>
      <c r="AI4479" s="35"/>
    </row>
    <row r="4480">
      <c r="A4480" s="251"/>
      <c r="B4480" s="252"/>
      <c r="C4480" s="253"/>
      <c r="D4480" s="253"/>
      <c r="E4480" s="252"/>
      <c r="F4480" s="253"/>
      <c r="G4480" s="251"/>
      <c r="H4480" s="433"/>
      <c r="I4480" s="278"/>
      <c r="J4480" s="257"/>
      <c r="K4480" s="253"/>
      <c r="L4480" s="253"/>
      <c r="M4480" s="252"/>
      <c r="N4480" s="258"/>
      <c r="O4480" s="259"/>
      <c r="P4480" s="259"/>
      <c r="Q4480" s="262"/>
      <c r="R4480" s="260"/>
      <c r="S4480" s="260"/>
      <c r="T4480" s="260"/>
      <c r="U4480" s="261"/>
      <c r="V4480" s="251"/>
      <c r="W4480" s="35"/>
      <c r="X4480" s="35"/>
      <c r="Y4480" s="35"/>
      <c r="Z4480" s="35"/>
      <c r="AA4480" s="35"/>
      <c r="AB4480" s="35"/>
      <c r="AC4480" s="35"/>
      <c r="AD4480" s="35"/>
      <c r="AE4480" s="35"/>
      <c r="AF4480" s="35"/>
      <c r="AG4480" s="35"/>
      <c r="AH4480" s="35"/>
      <c r="AI4480" s="35"/>
    </row>
    <row r="4481">
      <c r="A4481" s="251"/>
      <c r="B4481" s="252"/>
      <c r="C4481" s="253"/>
      <c r="D4481" s="253"/>
      <c r="E4481" s="252"/>
      <c r="F4481" s="253"/>
      <c r="G4481" s="251"/>
      <c r="H4481" s="433"/>
      <c r="I4481" s="278"/>
      <c r="J4481" s="257"/>
      <c r="K4481" s="253"/>
      <c r="L4481" s="253"/>
      <c r="M4481" s="252"/>
      <c r="N4481" s="258"/>
      <c r="O4481" s="259"/>
      <c r="P4481" s="259"/>
      <c r="Q4481" s="257"/>
      <c r="R4481" s="260"/>
      <c r="S4481" s="260"/>
      <c r="T4481" s="260"/>
      <c r="U4481" s="261"/>
      <c r="V4481" s="251"/>
      <c r="W4481" s="35"/>
      <c r="X4481" s="35"/>
      <c r="Y4481" s="35"/>
      <c r="Z4481" s="35"/>
      <c r="AA4481" s="35"/>
      <c r="AB4481" s="35"/>
      <c r="AC4481" s="35"/>
      <c r="AD4481" s="35"/>
      <c r="AE4481" s="35"/>
      <c r="AF4481" s="35"/>
      <c r="AG4481" s="35"/>
      <c r="AH4481" s="35"/>
      <c r="AI4481" s="35"/>
    </row>
    <row r="4482">
      <c r="A4482" s="251"/>
      <c r="B4482" s="252"/>
      <c r="C4482" s="253"/>
      <c r="D4482" s="253"/>
      <c r="E4482" s="252"/>
      <c r="F4482" s="253"/>
      <c r="G4482" s="251"/>
      <c r="H4482" s="433"/>
      <c r="I4482" s="278"/>
      <c r="J4482" s="257"/>
      <c r="K4482" s="253"/>
      <c r="L4482" s="253"/>
      <c r="M4482" s="252"/>
      <c r="N4482" s="258"/>
      <c r="O4482" s="259"/>
      <c r="P4482" s="259"/>
      <c r="Q4482" s="257"/>
      <c r="R4482" s="260"/>
      <c r="S4482" s="260"/>
      <c r="T4482" s="260"/>
      <c r="U4482" s="261"/>
      <c r="V4482" s="251"/>
      <c r="W4482" s="35"/>
      <c r="X4482" s="35"/>
      <c r="Y4482" s="35"/>
      <c r="Z4482" s="35"/>
      <c r="AA4482" s="35"/>
      <c r="AB4482" s="35"/>
      <c r="AC4482" s="35"/>
      <c r="AD4482" s="35"/>
      <c r="AE4482" s="35"/>
      <c r="AF4482" s="35"/>
      <c r="AG4482" s="35"/>
      <c r="AH4482" s="35"/>
      <c r="AI4482" s="35"/>
    </row>
    <row r="4483">
      <c r="A4483" s="251"/>
      <c r="B4483" s="252"/>
      <c r="C4483" s="253"/>
      <c r="D4483" s="253"/>
      <c r="E4483" s="252"/>
      <c r="F4483" s="253"/>
      <c r="G4483" s="251"/>
      <c r="H4483" s="433"/>
      <c r="I4483" s="278"/>
      <c r="J4483" s="257"/>
      <c r="K4483" s="253"/>
      <c r="L4483" s="253"/>
      <c r="M4483" s="275"/>
      <c r="N4483" s="258"/>
      <c r="O4483" s="259"/>
      <c r="P4483" s="259"/>
      <c r="Q4483" s="262"/>
      <c r="R4483" s="260"/>
      <c r="S4483" s="260"/>
      <c r="T4483" s="260"/>
      <c r="U4483" s="261"/>
      <c r="V4483" s="251"/>
      <c r="W4483" s="35"/>
      <c r="X4483" s="35"/>
      <c r="Y4483" s="35"/>
      <c r="Z4483" s="35"/>
      <c r="AA4483" s="35"/>
      <c r="AB4483" s="35"/>
      <c r="AC4483" s="35"/>
      <c r="AD4483" s="35"/>
      <c r="AE4483" s="35"/>
      <c r="AF4483" s="35"/>
      <c r="AG4483" s="35"/>
      <c r="AH4483" s="35"/>
      <c r="AI4483" s="35"/>
    </row>
    <row r="4484">
      <c r="A4484" s="251"/>
      <c r="B4484" s="252"/>
      <c r="C4484" s="253"/>
      <c r="D4484" s="253"/>
      <c r="E4484" s="252"/>
      <c r="F4484" s="253"/>
      <c r="G4484" s="251"/>
      <c r="H4484" s="433"/>
      <c r="I4484" s="278"/>
      <c r="J4484" s="257"/>
      <c r="K4484" s="253"/>
      <c r="L4484" s="253"/>
      <c r="M4484" s="275"/>
      <c r="N4484" s="258"/>
      <c r="O4484" s="259"/>
      <c r="P4484" s="259"/>
      <c r="Q4484" s="262"/>
      <c r="R4484" s="260"/>
      <c r="S4484" s="260"/>
      <c r="T4484" s="260"/>
      <c r="U4484" s="261"/>
      <c r="V4484" s="251"/>
      <c r="W4484" s="35"/>
      <c r="X4484" s="35"/>
      <c r="Y4484" s="35"/>
      <c r="Z4484" s="35"/>
      <c r="AA4484" s="35"/>
      <c r="AB4484" s="35"/>
      <c r="AC4484" s="35"/>
      <c r="AD4484" s="35"/>
      <c r="AE4484" s="35"/>
      <c r="AF4484" s="35"/>
      <c r="AG4484" s="35"/>
      <c r="AH4484" s="35"/>
      <c r="AI4484" s="35"/>
    </row>
    <row r="4485">
      <c r="A4485" s="251"/>
      <c r="B4485" s="252"/>
      <c r="C4485" s="253"/>
      <c r="D4485" s="253"/>
      <c r="E4485" s="252"/>
      <c r="F4485" s="253"/>
      <c r="G4485" s="251"/>
      <c r="H4485" s="433"/>
      <c r="I4485" s="278"/>
      <c r="J4485" s="257"/>
      <c r="K4485" s="253"/>
      <c r="L4485" s="253"/>
      <c r="M4485" s="252"/>
      <c r="N4485" s="258"/>
      <c r="O4485" s="259"/>
      <c r="P4485" s="259"/>
      <c r="Q4485" s="262"/>
      <c r="R4485" s="260"/>
      <c r="S4485" s="260"/>
      <c r="T4485" s="260"/>
      <c r="U4485" s="261"/>
      <c r="V4485" s="251"/>
      <c r="W4485" s="35"/>
      <c r="X4485" s="35"/>
      <c r="Y4485" s="35"/>
      <c r="Z4485" s="35"/>
      <c r="AA4485" s="35"/>
      <c r="AB4485" s="35"/>
      <c r="AC4485" s="35"/>
      <c r="AD4485" s="35"/>
      <c r="AE4485" s="35"/>
      <c r="AF4485" s="35"/>
      <c r="AG4485" s="35"/>
      <c r="AH4485" s="35"/>
      <c r="AI4485" s="35"/>
    </row>
    <row r="4486">
      <c r="A4486" s="251"/>
      <c r="B4486" s="252"/>
      <c r="C4486" s="253"/>
      <c r="D4486" s="253"/>
      <c r="E4486" s="252"/>
      <c r="F4486" s="253"/>
      <c r="G4486" s="251"/>
      <c r="H4486" s="433"/>
      <c r="I4486" s="278"/>
      <c r="J4486" s="257"/>
      <c r="K4486" s="253"/>
      <c r="L4486" s="253"/>
      <c r="M4486" s="252"/>
      <c r="N4486" s="258"/>
      <c r="O4486" s="259"/>
      <c r="P4486" s="259"/>
      <c r="Q4486" s="262"/>
      <c r="R4486" s="260"/>
      <c r="S4486" s="260"/>
      <c r="T4486" s="260"/>
      <c r="U4486" s="261"/>
      <c r="V4486" s="251"/>
      <c r="W4486" s="35"/>
      <c r="X4486" s="35"/>
      <c r="Y4486" s="35"/>
      <c r="Z4486" s="35"/>
      <c r="AA4486" s="35"/>
      <c r="AB4486" s="35"/>
      <c r="AC4486" s="35"/>
      <c r="AD4486" s="35"/>
      <c r="AE4486" s="35"/>
      <c r="AF4486" s="35"/>
      <c r="AG4486" s="35"/>
      <c r="AH4486" s="35"/>
      <c r="AI4486" s="35"/>
    </row>
    <row r="4487">
      <c r="A4487" s="251"/>
      <c r="B4487" s="252"/>
      <c r="C4487" s="253"/>
      <c r="D4487" s="253"/>
      <c r="E4487" s="252"/>
      <c r="F4487" s="253"/>
      <c r="G4487" s="251"/>
      <c r="H4487" s="433"/>
      <c r="I4487" s="278"/>
      <c r="J4487" s="257"/>
      <c r="K4487" s="253"/>
      <c r="L4487" s="253"/>
      <c r="M4487" s="252"/>
      <c r="N4487" s="258"/>
      <c r="O4487" s="259"/>
      <c r="P4487" s="259"/>
      <c r="Q4487" s="262"/>
      <c r="R4487" s="260"/>
      <c r="S4487" s="260"/>
      <c r="T4487" s="260"/>
      <c r="U4487" s="261"/>
      <c r="V4487" s="251"/>
      <c r="W4487" s="35"/>
      <c r="X4487" s="35"/>
      <c r="Y4487" s="35"/>
      <c r="Z4487" s="35"/>
      <c r="AA4487" s="35"/>
      <c r="AB4487" s="35"/>
      <c r="AC4487" s="35"/>
      <c r="AD4487" s="35"/>
      <c r="AE4487" s="35"/>
      <c r="AF4487" s="35"/>
      <c r="AG4487" s="35"/>
      <c r="AH4487" s="35"/>
      <c r="AI4487" s="35"/>
    </row>
    <row r="4488">
      <c r="A4488" s="251"/>
      <c r="B4488" s="252"/>
      <c r="C4488" s="253"/>
      <c r="D4488" s="253"/>
      <c r="E4488" s="252"/>
      <c r="F4488" s="253"/>
      <c r="G4488" s="251"/>
      <c r="H4488" s="433"/>
      <c r="I4488" s="278"/>
      <c r="J4488" s="257"/>
      <c r="K4488" s="253"/>
      <c r="L4488" s="253"/>
      <c r="M4488" s="252"/>
      <c r="N4488" s="258"/>
      <c r="O4488" s="259"/>
      <c r="P4488" s="259"/>
      <c r="Q4488" s="262"/>
      <c r="R4488" s="260"/>
      <c r="S4488" s="260"/>
      <c r="T4488" s="260"/>
      <c r="U4488" s="261"/>
      <c r="V4488" s="251"/>
      <c r="W4488" s="35"/>
      <c r="X4488" s="35"/>
      <c r="Y4488" s="35"/>
      <c r="Z4488" s="35"/>
      <c r="AA4488" s="35"/>
      <c r="AB4488" s="35"/>
      <c r="AC4488" s="35"/>
      <c r="AD4488" s="35"/>
      <c r="AE4488" s="35"/>
      <c r="AF4488" s="35"/>
      <c r="AG4488" s="35"/>
      <c r="AH4488" s="35"/>
      <c r="AI4488" s="35"/>
    </row>
    <row r="4489">
      <c r="A4489" s="251"/>
      <c r="B4489" s="252"/>
      <c r="C4489" s="253"/>
      <c r="D4489" s="253"/>
      <c r="E4489" s="252"/>
      <c r="F4489" s="253"/>
      <c r="G4489" s="251"/>
      <c r="H4489" s="433"/>
      <c r="I4489" s="278"/>
      <c r="J4489" s="257"/>
      <c r="K4489" s="253"/>
      <c r="L4489" s="253"/>
      <c r="M4489" s="252"/>
      <c r="N4489" s="258"/>
      <c r="O4489" s="259"/>
      <c r="P4489" s="259"/>
      <c r="Q4489" s="257"/>
      <c r="R4489" s="260"/>
      <c r="S4489" s="260"/>
      <c r="T4489" s="260"/>
      <c r="U4489" s="261"/>
      <c r="V4489" s="251"/>
      <c r="W4489" s="35"/>
      <c r="X4489" s="35"/>
      <c r="Y4489" s="35"/>
      <c r="Z4489" s="35"/>
      <c r="AA4489" s="35"/>
      <c r="AB4489" s="35"/>
      <c r="AC4489" s="35"/>
      <c r="AD4489" s="35"/>
      <c r="AE4489" s="35"/>
      <c r="AF4489" s="35"/>
      <c r="AG4489" s="35"/>
      <c r="AH4489" s="35"/>
      <c r="AI4489" s="35"/>
    </row>
    <row r="4490">
      <c r="A4490" s="251"/>
      <c r="B4490" s="252"/>
      <c r="C4490" s="253"/>
      <c r="D4490" s="253"/>
      <c r="E4490" s="252"/>
      <c r="F4490" s="253"/>
      <c r="G4490" s="251"/>
      <c r="H4490" s="433"/>
      <c r="I4490" s="278"/>
      <c r="J4490" s="257"/>
      <c r="K4490" s="253"/>
      <c r="L4490" s="253"/>
      <c r="M4490" s="252"/>
      <c r="N4490" s="258"/>
      <c r="O4490" s="259"/>
      <c r="P4490" s="259"/>
      <c r="Q4490" s="262"/>
      <c r="R4490" s="260"/>
      <c r="S4490" s="260"/>
      <c r="T4490" s="260"/>
      <c r="U4490" s="261"/>
      <c r="V4490" s="251"/>
      <c r="W4490" s="35"/>
      <c r="X4490" s="35"/>
      <c r="Y4490" s="35"/>
      <c r="Z4490" s="35"/>
      <c r="AA4490" s="35"/>
      <c r="AB4490" s="35"/>
      <c r="AC4490" s="35"/>
      <c r="AD4490" s="35"/>
      <c r="AE4490" s="35"/>
      <c r="AF4490" s="35"/>
      <c r="AG4490" s="35"/>
      <c r="AH4490" s="35"/>
      <c r="AI4490" s="35"/>
    </row>
    <row r="4491">
      <c r="A4491" s="251"/>
      <c r="B4491" s="252"/>
      <c r="C4491" s="253"/>
      <c r="D4491" s="253"/>
      <c r="E4491" s="252"/>
      <c r="F4491" s="253"/>
      <c r="G4491" s="251"/>
      <c r="H4491" s="433"/>
      <c r="I4491" s="278"/>
      <c r="J4491" s="257"/>
      <c r="K4491" s="253"/>
      <c r="L4491" s="253"/>
      <c r="M4491" s="252"/>
      <c r="N4491" s="258"/>
      <c r="O4491" s="259"/>
      <c r="P4491" s="259"/>
      <c r="Q4491" s="262"/>
      <c r="R4491" s="260"/>
      <c r="S4491" s="260"/>
      <c r="T4491" s="260"/>
      <c r="U4491" s="261"/>
      <c r="V4491" s="251"/>
      <c r="W4491" s="35"/>
      <c r="X4491" s="35"/>
      <c r="Y4491" s="35"/>
      <c r="Z4491" s="35"/>
      <c r="AA4491" s="35"/>
      <c r="AB4491" s="35"/>
      <c r="AC4491" s="35"/>
      <c r="AD4491" s="35"/>
      <c r="AE4491" s="35"/>
      <c r="AF4491" s="35"/>
      <c r="AG4491" s="35"/>
      <c r="AH4491" s="35"/>
      <c r="AI4491" s="35"/>
    </row>
    <row r="4492">
      <c r="A4492" s="251"/>
      <c r="B4492" s="252"/>
      <c r="C4492" s="253"/>
      <c r="D4492" s="253"/>
      <c r="E4492" s="252"/>
      <c r="F4492" s="253"/>
      <c r="G4492" s="251"/>
      <c r="H4492" s="433"/>
      <c r="I4492" s="278"/>
      <c r="J4492" s="257"/>
      <c r="K4492" s="253"/>
      <c r="L4492" s="253"/>
      <c r="M4492" s="275"/>
      <c r="N4492" s="258"/>
      <c r="O4492" s="259"/>
      <c r="P4492" s="259"/>
      <c r="Q4492" s="262"/>
      <c r="R4492" s="260"/>
      <c r="S4492" s="260"/>
      <c r="T4492" s="260"/>
      <c r="U4492" s="261"/>
      <c r="V4492" s="251"/>
      <c r="W4492" s="35"/>
      <c r="X4492" s="35"/>
      <c r="Y4492" s="35"/>
      <c r="Z4492" s="35"/>
      <c r="AA4492" s="35"/>
      <c r="AB4492" s="35"/>
      <c r="AC4492" s="35"/>
      <c r="AD4492" s="35"/>
      <c r="AE4492" s="35"/>
      <c r="AF4492" s="35"/>
      <c r="AG4492" s="35"/>
      <c r="AH4492" s="35"/>
      <c r="AI4492" s="35"/>
    </row>
    <row r="4493">
      <c r="A4493" s="251"/>
      <c r="B4493" s="252"/>
      <c r="C4493" s="253"/>
      <c r="D4493" s="253"/>
      <c r="E4493" s="252"/>
      <c r="F4493" s="253"/>
      <c r="G4493" s="251"/>
      <c r="H4493" s="433"/>
      <c r="I4493" s="278"/>
      <c r="J4493" s="257"/>
      <c r="K4493" s="253"/>
      <c r="L4493" s="253"/>
      <c r="M4493" s="275"/>
      <c r="N4493" s="258"/>
      <c r="O4493" s="259"/>
      <c r="P4493" s="259"/>
      <c r="Q4493" s="262"/>
      <c r="R4493" s="260"/>
      <c r="S4493" s="260"/>
      <c r="T4493" s="260"/>
      <c r="U4493" s="261"/>
      <c r="V4493" s="251"/>
      <c r="W4493" s="35"/>
      <c r="X4493" s="35"/>
      <c r="Y4493" s="35"/>
      <c r="Z4493" s="35"/>
      <c r="AA4493" s="35"/>
      <c r="AB4493" s="35"/>
      <c r="AC4493" s="35"/>
      <c r="AD4493" s="35"/>
      <c r="AE4493" s="35"/>
      <c r="AF4493" s="35"/>
      <c r="AG4493" s="35"/>
      <c r="AH4493" s="35"/>
      <c r="AI4493" s="35"/>
    </row>
    <row r="4494">
      <c r="A4494" s="251"/>
      <c r="B4494" s="252"/>
      <c r="C4494" s="253"/>
      <c r="D4494" s="253"/>
      <c r="E4494" s="252"/>
      <c r="F4494" s="253"/>
      <c r="G4494" s="251"/>
      <c r="H4494" s="433"/>
      <c r="I4494" s="278"/>
      <c r="J4494" s="257"/>
      <c r="K4494" s="253"/>
      <c r="L4494" s="253"/>
      <c r="M4494" s="252"/>
      <c r="N4494" s="258"/>
      <c r="O4494" s="259"/>
      <c r="P4494" s="259"/>
      <c r="Q4494" s="262"/>
      <c r="R4494" s="260"/>
      <c r="S4494" s="260"/>
      <c r="T4494" s="260"/>
      <c r="U4494" s="261"/>
      <c r="V4494" s="251"/>
      <c r="W4494" s="35"/>
      <c r="X4494" s="35"/>
      <c r="Y4494" s="35"/>
      <c r="Z4494" s="35"/>
      <c r="AA4494" s="35"/>
      <c r="AB4494" s="35"/>
      <c r="AC4494" s="35"/>
      <c r="AD4494" s="35"/>
      <c r="AE4494" s="35"/>
      <c r="AF4494" s="35"/>
      <c r="AG4494" s="35"/>
      <c r="AH4494" s="35"/>
      <c r="AI4494" s="35"/>
    </row>
    <row r="4495">
      <c r="A4495" s="251"/>
      <c r="B4495" s="252"/>
      <c r="C4495" s="253"/>
      <c r="D4495" s="253"/>
      <c r="E4495" s="252"/>
      <c r="F4495" s="253"/>
      <c r="G4495" s="251"/>
      <c r="H4495" s="433"/>
      <c r="I4495" s="278"/>
      <c r="J4495" s="257"/>
      <c r="K4495" s="253"/>
      <c r="L4495" s="253"/>
      <c r="M4495" s="252"/>
      <c r="N4495" s="258"/>
      <c r="O4495" s="259"/>
      <c r="P4495" s="259"/>
      <c r="Q4495" s="257"/>
      <c r="R4495" s="260"/>
      <c r="S4495" s="260"/>
      <c r="T4495" s="260"/>
      <c r="U4495" s="261"/>
      <c r="V4495" s="251"/>
      <c r="W4495" s="35"/>
      <c r="X4495" s="35"/>
      <c r="Y4495" s="35"/>
      <c r="Z4495" s="35"/>
      <c r="AA4495" s="35"/>
      <c r="AB4495" s="35"/>
      <c r="AC4495" s="35"/>
      <c r="AD4495" s="35"/>
      <c r="AE4495" s="35"/>
      <c r="AF4495" s="35"/>
      <c r="AG4495" s="35"/>
      <c r="AH4495" s="35"/>
      <c r="AI4495" s="35"/>
    </row>
    <row r="4496">
      <c r="A4496" s="251"/>
      <c r="B4496" s="252"/>
      <c r="C4496" s="253"/>
      <c r="D4496" s="253"/>
      <c r="E4496" s="252"/>
      <c r="F4496" s="253"/>
      <c r="G4496" s="251"/>
      <c r="H4496" s="433"/>
      <c r="I4496" s="278"/>
      <c r="J4496" s="257"/>
      <c r="K4496" s="253"/>
      <c r="L4496" s="253"/>
      <c r="M4496" s="252"/>
      <c r="N4496" s="258"/>
      <c r="O4496" s="259"/>
      <c r="P4496" s="259"/>
      <c r="Q4496" s="262"/>
      <c r="R4496" s="260"/>
      <c r="S4496" s="260"/>
      <c r="T4496" s="260"/>
      <c r="U4496" s="261"/>
      <c r="V4496" s="251"/>
      <c r="W4496" s="35"/>
      <c r="X4496" s="35"/>
      <c r="Y4496" s="35"/>
      <c r="Z4496" s="35"/>
      <c r="AA4496" s="35"/>
      <c r="AB4496" s="35"/>
      <c r="AC4496" s="35"/>
      <c r="AD4496" s="35"/>
      <c r="AE4496" s="35"/>
      <c r="AF4496" s="35"/>
      <c r="AG4496" s="35"/>
      <c r="AH4496" s="35"/>
      <c r="AI4496" s="35"/>
    </row>
    <row r="4497">
      <c r="A4497" s="251"/>
      <c r="B4497" s="252"/>
      <c r="C4497" s="253"/>
      <c r="D4497" s="253"/>
      <c r="E4497" s="252"/>
      <c r="F4497" s="253"/>
      <c r="G4497" s="251"/>
      <c r="H4497" s="433"/>
      <c r="I4497" s="278"/>
      <c r="J4497" s="257"/>
      <c r="K4497" s="253"/>
      <c r="L4497" s="253"/>
      <c r="M4497" s="252"/>
      <c r="N4497" s="258"/>
      <c r="O4497" s="259"/>
      <c r="P4497" s="259"/>
      <c r="Q4497" s="262"/>
      <c r="R4497" s="260"/>
      <c r="S4497" s="260"/>
      <c r="T4497" s="260"/>
      <c r="U4497" s="261"/>
      <c r="V4497" s="251"/>
      <c r="W4497" s="35"/>
      <c r="X4497" s="35"/>
      <c r="Y4497" s="35"/>
      <c r="Z4497" s="35"/>
      <c r="AA4497" s="35"/>
      <c r="AB4497" s="35"/>
      <c r="AC4497" s="35"/>
      <c r="AD4497" s="35"/>
      <c r="AE4497" s="35"/>
      <c r="AF4497" s="35"/>
      <c r="AG4497" s="35"/>
      <c r="AH4497" s="35"/>
      <c r="AI4497" s="35"/>
    </row>
    <row r="4498">
      <c r="A4498" s="251"/>
      <c r="B4498" s="252"/>
      <c r="C4498" s="253"/>
      <c r="D4498" s="253"/>
      <c r="E4498" s="252"/>
      <c r="F4498" s="253"/>
      <c r="G4498" s="251"/>
      <c r="H4498" s="433"/>
      <c r="I4498" s="278"/>
      <c r="J4498" s="257"/>
      <c r="K4498" s="253"/>
      <c r="L4498" s="253"/>
      <c r="M4498" s="252"/>
      <c r="N4498" s="258"/>
      <c r="O4498" s="259"/>
      <c r="P4498" s="259"/>
      <c r="Q4498" s="262"/>
      <c r="R4498" s="260"/>
      <c r="S4498" s="260"/>
      <c r="T4498" s="260"/>
      <c r="U4498" s="261"/>
      <c r="V4498" s="251"/>
      <c r="W4498" s="35"/>
      <c r="X4498" s="35"/>
      <c r="Y4498" s="35"/>
      <c r="Z4498" s="35"/>
      <c r="AA4498" s="35"/>
      <c r="AB4498" s="35"/>
      <c r="AC4498" s="35"/>
      <c r="AD4498" s="35"/>
      <c r="AE4498" s="35"/>
      <c r="AF4498" s="35"/>
      <c r="AG4498" s="35"/>
      <c r="AH4498" s="35"/>
      <c r="AI4498" s="35"/>
    </row>
    <row r="4499">
      <c r="A4499" s="251"/>
      <c r="B4499" s="252"/>
      <c r="C4499" s="253"/>
      <c r="D4499" s="253"/>
      <c r="E4499" s="252"/>
      <c r="F4499" s="253"/>
      <c r="G4499" s="251"/>
      <c r="H4499" s="433"/>
      <c r="I4499" s="278"/>
      <c r="J4499" s="257"/>
      <c r="K4499" s="253"/>
      <c r="L4499" s="253"/>
      <c r="M4499" s="252"/>
      <c r="N4499" s="258"/>
      <c r="O4499" s="259"/>
      <c r="P4499" s="259"/>
      <c r="Q4499" s="262"/>
      <c r="R4499" s="260"/>
      <c r="S4499" s="260"/>
      <c r="T4499" s="260"/>
      <c r="U4499" s="261"/>
      <c r="V4499" s="251"/>
      <c r="W4499" s="35"/>
      <c r="X4499" s="35"/>
      <c r="Y4499" s="35"/>
      <c r="Z4499" s="35"/>
      <c r="AA4499" s="35"/>
      <c r="AB4499" s="35"/>
      <c r="AC4499" s="35"/>
      <c r="AD4499" s="35"/>
      <c r="AE4499" s="35"/>
      <c r="AF4499" s="35"/>
      <c r="AG4499" s="35"/>
      <c r="AH4499" s="35"/>
      <c r="AI4499" s="35"/>
    </row>
    <row r="4500">
      <c r="A4500" s="251"/>
      <c r="B4500" s="252"/>
      <c r="C4500" s="253"/>
      <c r="D4500" s="253"/>
      <c r="E4500" s="252"/>
      <c r="F4500" s="253"/>
      <c r="G4500" s="251"/>
      <c r="H4500" s="433"/>
      <c r="I4500" s="278"/>
      <c r="J4500" s="257"/>
      <c r="K4500" s="253"/>
      <c r="L4500" s="253"/>
      <c r="M4500" s="275"/>
      <c r="N4500" s="258"/>
      <c r="O4500" s="259"/>
      <c r="P4500" s="259"/>
      <c r="Q4500" s="262"/>
      <c r="R4500" s="260"/>
      <c r="S4500" s="260"/>
      <c r="T4500" s="260"/>
      <c r="U4500" s="261"/>
      <c r="V4500" s="276"/>
      <c r="W4500" s="35"/>
      <c r="X4500" s="35"/>
      <c r="Y4500" s="35"/>
      <c r="Z4500" s="35"/>
      <c r="AA4500" s="35"/>
      <c r="AB4500" s="35"/>
      <c r="AC4500" s="35"/>
      <c r="AD4500" s="35"/>
      <c r="AE4500" s="35"/>
      <c r="AF4500" s="35"/>
      <c r="AG4500" s="35"/>
      <c r="AH4500" s="35"/>
      <c r="AI4500" s="35"/>
    </row>
    <row r="4501">
      <c r="A4501" s="251"/>
      <c r="B4501" s="252"/>
      <c r="C4501" s="253"/>
      <c r="D4501" s="253"/>
      <c r="E4501" s="252"/>
      <c r="F4501" s="253"/>
      <c r="G4501" s="251"/>
      <c r="H4501" s="433"/>
      <c r="I4501" s="278"/>
      <c r="J4501" s="257"/>
      <c r="K4501" s="253"/>
      <c r="L4501" s="253"/>
      <c r="M4501" s="275"/>
      <c r="N4501" s="258"/>
      <c r="O4501" s="259"/>
      <c r="P4501" s="259"/>
      <c r="Q4501" s="262"/>
      <c r="R4501" s="260"/>
      <c r="S4501" s="260"/>
      <c r="T4501" s="260"/>
      <c r="U4501" s="261"/>
      <c r="V4501" s="251"/>
      <c r="W4501" s="35"/>
      <c r="X4501" s="35"/>
      <c r="Y4501" s="35"/>
      <c r="Z4501" s="35"/>
      <c r="AA4501" s="35"/>
      <c r="AB4501" s="35"/>
      <c r="AC4501" s="35"/>
      <c r="AD4501" s="35"/>
      <c r="AE4501" s="35"/>
      <c r="AF4501" s="35"/>
      <c r="AG4501" s="35"/>
      <c r="AH4501" s="35"/>
      <c r="AI4501" s="35"/>
    </row>
    <row r="4502">
      <c r="A4502" s="251"/>
      <c r="B4502" s="252"/>
      <c r="C4502" s="253"/>
      <c r="D4502" s="253"/>
      <c r="E4502" s="252"/>
      <c r="F4502" s="253"/>
      <c r="G4502" s="251"/>
      <c r="H4502" s="433"/>
      <c r="I4502" s="278"/>
      <c r="J4502" s="257"/>
      <c r="K4502" s="253"/>
      <c r="L4502" s="253"/>
      <c r="M4502" s="252"/>
      <c r="N4502" s="258"/>
      <c r="O4502" s="259"/>
      <c r="P4502" s="259"/>
      <c r="Q4502" s="262"/>
      <c r="R4502" s="260"/>
      <c r="S4502" s="260"/>
      <c r="T4502" s="260"/>
      <c r="U4502" s="261"/>
      <c r="V4502" s="251"/>
      <c r="W4502" s="35"/>
      <c r="X4502" s="35"/>
      <c r="Y4502" s="35"/>
      <c r="Z4502" s="35"/>
      <c r="AA4502" s="35"/>
      <c r="AB4502" s="35"/>
      <c r="AC4502" s="35"/>
      <c r="AD4502" s="35"/>
      <c r="AE4502" s="35"/>
      <c r="AF4502" s="35"/>
      <c r="AG4502" s="35"/>
      <c r="AH4502" s="35"/>
      <c r="AI4502" s="35"/>
    </row>
    <row r="4503">
      <c r="A4503" s="251"/>
      <c r="B4503" s="252"/>
      <c r="C4503" s="253"/>
      <c r="D4503" s="253"/>
      <c r="E4503" s="252"/>
      <c r="F4503" s="253"/>
      <c r="G4503" s="251"/>
      <c r="H4503" s="433"/>
      <c r="I4503" s="278"/>
      <c r="J4503" s="257"/>
      <c r="K4503" s="253"/>
      <c r="L4503" s="253"/>
      <c r="M4503" s="275"/>
      <c r="N4503" s="258"/>
      <c r="O4503" s="259"/>
      <c r="P4503" s="259"/>
      <c r="Q4503" s="262"/>
      <c r="R4503" s="260"/>
      <c r="S4503" s="260"/>
      <c r="T4503" s="260"/>
      <c r="U4503" s="261"/>
      <c r="V4503" s="251"/>
      <c r="W4503" s="35"/>
      <c r="X4503" s="35"/>
      <c r="Y4503" s="35"/>
      <c r="Z4503" s="35"/>
      <c r="AA4503" s="35"/>
      <c r="AB4503" s="35"/>
      <c r="AC4503" s="35"/>
      <c r="AD4503" s="35"/>
      <c r="AE4503" s="35"/>
      <c r="AF4503" s="35"/>
      <c r="AG4503" s="35"/>
      <c r="AH4503" s="35"/>
      <c r="AI4503" s="35"/>
    </row>
    <row r="4504">
      <c r="A4504" s="251"/>
      <c r="B4504" s="252"/>
      <c r="C4504" s="253"/>
      <c r="D4504" s="253"/>
      <c r="E4504" s="252"/>
      <c r="F4504" s="253"/>
      <c r="G4504" s="251"/>
      <c r="H4504" s="433"/>
      <c r="I4504" s="278"/>
      <c r="J4504" s="257"/>
      <c r="K4504" s="253"/>
      <c r="L4504" s="253"/>
      <c r="M4504" s="252"/>
      <c r="N4504" s="258"/>
      <c r="O4504" s="259"/>
      <c r="P4504" s="259"/>
      <c r="Q4504" s="262"/>
      <c r="R4504" s="260"/>
      <c r="S4504" s="260"/>
      <c r="T4504" s="260"/>
      <c r="U4504" s="261"/>
      <c r="V4504" s="251"/>
      <c r="W4504" s="35"/>
      <c r="X4504" s="35"/>
      <c r="Y4504" s="35"/>
      <c r="Z4504" s="35"/>
      <c r="AA4504" s="35"/>
      <c r="AB4504" s="35"/>
      <c r="AC4504" s="35"/>
      <c r="AD4504" s="35"/>
      <c r="AE4504" s="35"/>
      <c r="AF4504" s="35"/>
      <c r="AG4504" s="35"/>
      <c r="AH4504" s="35"/>
      <c r="AI4504" s="35"/>
    </row>
    <row r="4505">
      <c r="A4505" s="251"/>
      <c r="B4505" s="252"/>
      <c r="C4505" s="253"/>
      <c r="D4505" s="253"/>
      <c r="E4505" s="252"/>
      <c r="F4505" s="253"/>
      <c r="G4505" s="251"/>
      <c r="H4505" s="433"/>
      <c r="I4505" s="278"/>
      <c r="J4505" s="257"/>
      <c r="K4505" s="253"/>
      <c r="L4505" s="253"/>
      <c r="M4505" s="275"/>
      <c r="N4505" s="258"/>
      <c r="O4505" s="259"/>
      <c r="P4505" s="259"/>
      <c r="Q4505" s="262"/>
      <c r="R4505" s="260"/>
      <c r="S4505" s="260"/>
      <c r="T4505" s="260"/>
      <c r="U4505" s="261"/>
      <c r="V4505" s="251"/>
      <c r="W4505" s="35"/>
      <c r="X4505" s="35"/>
      <c r="Y4505" s="35"/>
      <c r="Z4505" s="35"/>
      <c r="AA4505" s="35"/>
      <c r="AB4505" s="35"/>
      <c r="AC4505" s="35"/>
      <c r="AD4505" s="35"/>
      <c r="AE4505" s="35"/>
      <c r="AF4505" s="35"/>
      <c r="AG4505" s="35"/>
      <c r="AH4505" s="35"/>
      <c r="AI4505" s="35"/>
    </row>
    <row r="4506">
      <c r="A4506" s="251"/>
      <c r="B4506" s="252"/>
      <c r="C4506" s="253"/>
      <c r="D4506" s="253"/>
      <c r="E4506" s="252"/>
      <c r="F4506" s="253"/>
      <c r="G4506" s="251"/>
      <c r="H4506" s="433"/>
      <c r="I4506" s="278"/>
      <c r="J4506" s="257"/>
      <c r="K4506" s="253"/>
      <c r="L4506" s="253"/>
      <c r="M4506" s="252"/>
      <c r="N4506" s="258"/>
      <c r="O4506" s="259"/>
      <c r="P4506" s="259"/>
      <c r="Q4506" s="262"/>
      <c r="R4506" s="260"/>
      <c r="S4506" s="260"/>
      <c r="T4506" s="260"/>
      <c r="U4506" s="261"/>
      <c r="V4506" s="251"/>
      <c r="W4506" s="35"/>
      <c r="X4506" s="35"/>
      <c r="Y4506" s="35"/>
      <c r="Z4506" s="35"/>
      <c r="AA4506" s="35"/>
      <c r="AB4506" s="35"/>
      <c r="AC4506" s="35"/>
      <c r="AD4506" s="35"/>
      <c r="AE4506" s="35"/>
      <c r="AF4506" s="35"/>
      <c r="AG4506" s="35"/>
      <c r="AH4506" s="35"/>
      <c r="AI4506" s="35"/>
    </row>
    <row r="4507">
      <c r="A4507" s="251"/>
      <c r="B4507" s="252"/>
      <c r="C4507" s="253"/>
      <c r="D4507" s="253"/>
      <c r="E4507" s="252"/>
      <c r="F4507" s="253"/>
      <c r="G4507" s="251"/>
      <c r="H4507" s="433"/>
      <c r="I4507" s="278"/>
      <c r="J4507" s="257"/>
      <c r="K4507" s="253"/>
      <c r="L4507" s="253"/>
      <c r="M4507" s="275"/>
      <c r="N4507" s="258"/>
      <c r="O4507" s="259"/>
      <c r="P4507" s="259"/>
      <c r="Q4507" s="262"/>
      <c r="R4507" s="260"/>
      <c r="S4507" s="260"/>
      <c r="T4507" s="260"/>
      <c r="U4507" s="261"/>
      <c r="V4507" s="251"/>
      <c r="W4507" s="35"/>
      <c r="X4507" s="35"/>
      <c r="Y4507" s="35"/>
      <c r="Z4507" s="35"/>
      <c r="AA4507" s="35"/>
      <c r="AB4507" s="35"/>
      <c r="AC4507" s="35"/>
      <c r="AD4507" s="35"/>
      <c r="AE4507" s="35"/>
      <c r="AF4507" s="35"/>
      <c r="AG4507" s="35"/>
      <c r="AH4507" s="35"/>
      <c r="AI4507" s="35"/>
    </row>
    <row r="4508">
      <c r="A4508" s="276"/>
      <c r="B4508" s="252"/>
      <c r="C4508" s="253"/>
      <c r="D4508" s="253"/>
      <c r="E4508" s="252"/>
      <c r="F4508" s="253"/>
      <c r="G4508" s="251"/>
      <c r="H4508" s="433"/>
      <c r="I4508" s="278"/>
      <c r="J4508" s="257"/>
      <c r="K4508" s="253"/>
      <c r="L4508" s="253"/>
      <c r="M4508" s="252"/>
      <c r="N4508" s="258"/>
      <c r="O4508" s="259"/>
      <c r="P4508" s="259"/>
      <c r="Q4508" s="262"/>
      <c r="R4508" s="260"/>
      <c r="S4508" s="260"/>
      <c r="T4508" s="260"/>
      <c r="U4508" s="261"/>
      <c r="V4508" s="251"/>
      <c r="W4508" s="35"/>
      <c r="X4508" s="35"/>
      <c r="Y4508" s="35"/>
      <c r="Z4508" s="35"/>
      <c r="AA4508" s="35"/>
      <c r="AB4508" s="35"/>
      <c r="AC4508" s="35"/>
      <c r="AD4508" s="35"/>
      <c r="AE4508" s="35"/>
      <c r="AF4508" s="35"/>
      <c r="AG4508" s="35"/>
      <c r="AH4508" s="35"/>
      <c r="AI4508" s="35"/>
    </row>
    <row r="4509">
      <c r="A4509" s="276"/>
      <c r="B4509" s="252"/>
      <c r="C4509" s="253"/>
      <c r="D4509" s="253"/>
      <c r="E4509" s="252"/>
      <c r="F4509" s="253"/>
      <c r="G4509" s="251"/>
      <c r="H4509" s="433"/>
      <c r="I4509" s="278"/>
      <c r="J4509" s="257"/>
      <c r="K4509" s="253"/>
      <c r="L4509" s="253"/>
      <c r="M4509" s="252"/>
      <c r="N4509" s="258"/>
      <c r="O4509" s="259"/>
      <c r="P4509" s="259"/>
      <c r="Q4509" s="257"/>
      <c r="R4509" s="260"/>
      <c r="S4509" s="260"/>
      <c r="T4509" s="260"/>
      <c r="U4509" s="261"/>
      <c r="V4509" s="251"/>
      <c r="W4509" s="35"/>
      <c r="X4509" s="35"/>
      <c r="Y4509" s="35"/>
      <c r="Z4509" s="35"/>
      <c r="AA4509" s="35"/>
      <c r="AB4509" s="35"/>
      <c r="AC4509" s="35"/>
      <c r="AD4509" s="35"/>
      <c r="AE4509" s="35"/>
      <c r="AF4509" s="35"/>
      <c r="AG4509" s="35"/>
      <c r="AH4509" s="35"/>
      <c r="AI4509" s="35"/>
    </row>
    <row r="4510">
      <c r="A4510" s="251"/>
      <c r="B4510" s="252"/>
      <c r="C4510" s="253"/>
      <c r="D4510" s="253"/>
      <c r="E4510" s="252"/>
      <c r="F4510" s="253"/>
      <c r="G4510" s="251"/>
      <c r="H4510" s="433"/>
      <c r="I4510" s="278"/>
      <c r="J4510" s="257"/>
      <c r="K4510" s="253"/>
      <c r="L4510" s="253"/>
      <c r="M4510" s="252"/>
      <c r="N4510" s="258"/>
      <c r="O4510" s="259"/>
      <c r="P4510" s="259"/>
      <c r="Q4510" s="262"/>
      <c r="R4510" s="260"/>
      <c r="S4510" s="260"/>
      <c r="T4510" s="260"/>
      <c r="U4510" s="261"/>
      <c r="V4510" s="251"/>
      <c r="W4510" s="35"/>
      <c r="X4510" s="35"/>
      <c r="Y4510" s="35"/>
      <c r="Z4510" s="35"/>
      <c r="AA4510" s="35"/>
      <c r="AB4510" s="35"/>
      <c r="AC4510" s="35"/>
      <c r="AD4510" s="35"/>
      <c r="AE4510" s="35"/>
      <c r="AF4510" s="35"/>
      <c r="AG4510" s="35"/>
      <c r="AH4510" s="35"/>
      <c r="AI4510" s="35"/>
    </row>
    <row r="4511">
      <c r="A4511" s="276"/>
      <c r="B4511" s="252"/>
      <c r="C4511" s="253"/>
      <c r="D4511" s="253"/>
      <c r="E4511" s="252"/>
      <c r="F4511" s="253"/>
      <c r="G4511" s="251"/>
      <c r="H4511" s="433"/>
      <c r="I4511" s="278"/>
      <c r="J4511" s="257"/>
      <c r="K4511" s="253"/>
      <c r="L4511" s="253"/>
      <c r="M4511" s="275"/>
      <c r="N4511" s="258"/>
      <c r="O4511" s="259"/>
      <c r="P4511" s="259"/>
      <c r="Q4511" s="262"/>
      <c r="R4511" s="260"/>
      <c r="S4511" s="260"/>
      <c r="T4511" s="260"/>
      <c r="U4511" s="261"/>
      <c r="V4511" s="251"/>
      <c r="W4511" s="35"/>
      <c r="X4511" s="35"/>
      <c r="Y4511" s="35"/>
      <c r="Z4511" s="35"/>
      <c r="AA4511" s="35"/>
      <c r="AB4511" s="35"/>
      <c r="AC4511" s="35"/>
      <c r="AD4511" s="35"/>
      <c r="AE4511" s="35"/>
      <c r="AF4511" s="35"/>
      <c r="AG4511" s="35"/>
      <c r="AH4511" s="35"/>
      <c r="AI4511" s="35"/>
    </row>
    <row r="4512">
      <c r="A4512" s="276"/>
      <c r="B4512" s="252"/>
      <c r="C4512" s="253"/>
      <c r="D4512" s="253"/>
      <c r="E4512" s="252"/>
      <c r="F4512" s="253"/>
      <c r="G4512" s="251"/>
      <c r="H4512" s="433"/>
      <c r="I4512" s="278"/>
      <c r="J4512" s="257"/>
      <c r="K4512" s="253"/>
      <c r="L4512" s="253"/>
      <c r="M4512" s="252"/>
      <c r="N4512" s="258"/>
      <c r="O4512" s="259"/>
      <c r="P4512" s="259"/>
      <c r="Q4512" s="257"/>
      <c r="R4512" s="260"/>
      <c r="S4512" s="260"/>
      <c r="T4512" s="260"/>
      <c r="U4512" s="261"/>
      <c r="V4512" s="251"/>
      <c r="W4512" s="35"/>
      <c r="X4512" s="35"/>
      <c r="Y4512" s="35"/>
      <c r="Z4512" s="35"/>
      <c r="AA4512" s="35"/>
      <c r="AB4512" s="35"/>
      <c r="AC4512" s="35"/>
      <c r="AD4512" s="35"/>
      <c r="AE4512" s="35"/>
      <c r="AF4512" s="35"/>
      <c r="AG4512" s="35"/>
      <c r="AH4512" s="35"/>
      <c r="AI4512" s="35"/>
    </row>
    <row r="4513">
      <c r="A4513" s="276"/>
      <c r="B4513" s="252"/>
      <c r="C4513" s="253"/>
      <c r="D4513" s="253"/>
      <c r="E4513" s="252"/>
      <c r="F4513" s="253"/>
      <c r="G4513" s="251"/>
      <c r="H4513" s="433"/>
      <c r="I4513" s="278"/>
      <c r="J4513" s="257"/>
      <c r="K4513" s="253"/>
      <c r="L4513" s="253"/>
      <c r="M4513" s="252"/>
      <c r="N4513" s="258"/>
      <c r="O4513" s="259"/>
      <c r="P4513" s="259"/>
      <c r="Q4513" s="262"/>
      <c r="R4513" s="260"/>
      <c r="S4513" s="260"/>
      <c r="T4513" s="260"/>
      <c r="U4513" s="261"/>
      <c r="V4513" s="309"/>
      <c r="W4513" s="35"/>
      <c r="X4513" s="35"/>
      <c r="Y4513" s="35"/>
      <c r="Z4513" s="35"/>
      <c r="AA4513" s="35"/>
      <c r="AB4513" s="35"/>
      <c r="AC4513" s="35"/>
      <c r="AD4513" s="35"/>
      <c r="AE4513" s="35"/>
      <c r="AF4513" s="35"/>
      <c r="AG4513" s="35"/>
      <c r="AH4513" s="35"/>
      <c r="AI4513" s="35"/>
    </row>
    <row r="4514">
      <c r="A4514" s="251"/>
      <c r="B4514" s="252"/>
      <c r="C4514" s="253"/>
      <c r="D4514" s="253"/>
      <c r="E4514" s="252"/>
      <c r="F4514" s="253"/>
      <c r="G4514" s="251"/>
      <c r="H4514" s="433"/>
      <c r="I4514" s="278"/>
      <c r="J4514" s="257"/>
      <c r="K4514" s="253"/>
      <c r="L4514" s="253"/>
      <c r="M4514" s="252"/>
      <c r="N4514" s="258"/>
      <c r="O4514" s="259"/>
      <c r="P4514" s="259"/>
      <c r="Q4514" s="262"/>
      <c r="R4514" s="260"/>
      <c r="S4514" s="260"/>
      <c r="T4514" s="260"/>
      <c r="U4514" s="261"/>
      <c r="V4514" s="251"/>
      <c r="W4514" s="35"/>
      <c r="X4514" s="35"/>
      <c r="Y4514" s="35"/>
      <c r="Z4514" s="35"/>
      <c r="AA4514" s="35"/>
      <c r="AB4514" s="35"/>
      <c r="AC4514" s="35"/>
      <c r="AD4514" s="35"/>
      <c r="AE4514" s="35"/>
      <c r="AF4514" s="35"/>
      <c r="AG4514" s="35"/>
      <c r="AH4514" s="35"/>
      <c r="AI4514" s="35"/>
    </row>
    <row r="4515">
      <c r="A4515" s="251"/>
      <c r="B4515" s="252"/>
      <c r="C4515" s="253"/>
      <c r="D4515" s="253"/>
      <c r="E4515" s="252"/>
      <c r="F4515" s="253"/>
      <c r="G4515" s="251"/>
      <c r="H4515" s="433"/>
      <c r="I4515" s="278"/>
      <c r="J4515" s="257"/>
      <c r="K4515" s="253"/>
      <c r="L4515" s="253"/>
      <c r="M4515" s="275"/>
      <c r="N4515" s="258"/>
      <c r="O4515" s="259"/>
      <c r="P4515" s="259"/>
      <c r="Q4515" s="262"/>
      <c r="R4515" s="260"/>
      <c r="S4515" s="260"/>
      <c r="T4515" s="260"/>
      <c r="U4515" s="261"/>
      <c r="V4515" s="251"/>
      <c r="W4515" s="35"/>
      <c r="X4515" s="35"/>
      <c r="Y4515" s="35"/>
      <c r="Z4515" s="35"/>
      <c r="AA4515" s="35"/>
      <c r="AB4515" s="35"/>
      <c r="AC4515" s="35"/>
      <c r="AD4515" s="35"/>
      <c r="AE4515" s="35"/>
      <c r="AF4515" s="35"/>
      <c r="AG4515" s="35"/>
      <c r="AH4515" s="35"/>
      <c r="AI4515" s="35"/>
    </row>
    <row r="4516">
      <c r="A4516" s="276"/>
      <c r="B4516" s="252"/>
      <c r="C4516" s="253"/>
      <c r="D4516" s="253"/>
      <c r="E4516" s="252"/>
      <c r="F4516" s="253"/>
      <c r="G4516" s="251"/>
      <c r="H4516" s="433"/>
      <c r="I4516" s="278"/>
      <c r="J4516" s="257"/>
      <c r="K4516" s="253"/>
      <c r="L4516" s="253"/>
      <c r="M4516" s="252"/>
      <c r="N4516" s="258"/>
      <c r="O4516" s="259"/>
      <c r="P4516" s="259"/>
      <c r="Q4516" s="262"/>
      <c r="R4516" s="260"/>
      <c r="S4516" s="260"/>
      <c r="T4516" s="260"/>
      <c r="U4516" s="261"/>
      <c r="V4516" s="251"/>
      <c r="W4516" s="35"/>
      <c r="X4516" s="35"/>
      <c r="Y4516" s="35"/>
      <c r="Z4516" s="35"/>
      <c r="AA4516" s="35"/>
      <c r="AB4516" s="35"/>
      <c r="AC4516" s="35"/>
      <c r="AD4516" s="35"/>
      <c r="AE4516" s="35"/>
      <c r="AF4516" s="35"/>
      <c r="AG4516" s="35"/>
      <c r="AH4516" s="35"/>
      <c r="AI4516" s="35"/>
    </row>
    <row r="4517">
      <c r="A4517" s="276"/>
      <c r="B4517" s="252"/>
      <c r="C4517" s="253"/>
      <c r="D4517" s="253"/>
      <c r="E4517" s="252"/>
      <c r="F4517" s="253"/>
      <c r="G4517" s="251"/>
      <c r="H4517" s="433"/>
      <c r="I4517" s="278"/>
      <c r="J4517" s="257"/>
      <c r="K4517" s="253"/>
      <c r="L4517" s="253"/>
      <c r="M4517" s="252"/>
      <c r="N4517" s="258"/>
      <c r="O4517" s="259"/>
      <c r="P4517" s="259"/>
      <c r="Q4517" s="257"/>
      <c r="R4517" s="260"/>
      <c r="S4517" s="260"/>
      <c r="T4517" s="260"/>
      <c r="U4517" s="261"/>
      <c r="V4517" s="251"/>
      <c r="W4517" s="35"/>
      <c r="X4517" s="35"/>
      <c r="Y4517" s="35"/>
      <c r="Z4517" s="35"/>
      <c r="AA4517" s="35"/>
      <c r="AB4517" s="35"/>
      <c r="AC4517" s="35"/>
      <c r="AD4517" s="35"/>
      <c r="AE4517" s="35"/>
      <c r="AF4517" s="35"/>
      <c r="AG4517" s="35"/>
      <c r="AH4517" s="35"/>
      <c r="AI4517" s="35"/>
    </row>
    <row r="4518">
      <c r="A4518" s="276"/>
      <c r="B4518" s="252"/>
      <c r="C4518" s="253"/>
      <c r="D4518" s="253"/>
      <c r="E4518" s="252"/>
      <c r="F4518" s="253"/>
      <c r="G4518" s="251"/>
      <c r="H4518" s="433"/>
      <c r="I4518" s="278"/>
      <c r="J4518" s="257"/>
      <c r="K4518" s="253"/>
      <c r="L4518" s="253"/>
      <c r="M4518" s="252"/>
      <c r="N4518" s="258"/>
      <c r="O4518" s="259"/>
      <c r="P4518" s="259"/>
      <c r="Q4518" s="262"/>
      <c r="R4518" s="260"/>
      <c r="S4518" s="260"/>
      <c r="T4518" s="260"/>
      <c r="U4518" s="261"/>
      <c r="V4518" s="251"/>
      <c r="W4518" s="35"/>
      <c r="X4518" s="35"/>
      <c r="Y4518" s="35"/>
      <c r="Z4518" s="35"/>
      <c r="AA4518" s="35"/>
      <c r="AB4518" s="35"/>
      <c r="AC4518" s="35"/>
      <c r="AD4518" s="35"/>
      <c r="AE4518" s="35"/>
      <c r="AF4518" s="35"/>
      <c r="AG4518" s="35"/>
      <c r="AH4518" s="35"/>
      <c r="AI4518" s="35"/>
    </row>
    <row r="4519">
      <c r="A4519" s="251"/>
      <c r="B4519" s="252"/>
      <c r="C4519" s="253"/>
      <c r="D4519" s="253"/>
      <c r="E4519" s="252"/>
      <c r="F4519" s="253"/>
      <c r="G4519" s="251"/>
      <c r="H4519" s="433"/>
      <c r="I4519" s="278"/>
      <c r="J4519" s="257"/>
      <c r="K4519" s="253"/>
      <c r="L4519" s="253"/>
      <c r="M4519" s="252"/>
      <c r="N4519" s="258"/>
      <c r="O4519" s="259"/>
      <c r="P4519" s="259"/>
      <c r="Q4519" s="262"/>
      <c r="R4519" s="260"/>
      <c r="S4519" s="260"/>
      <c r="T4519" s="173"/>
      <c r="U4519" s="174"/>
      <c r="V4519" s="165"/>
      <c r="W4519" s="35"/>
      <c r="X4519" s="35"/>
      <c r="Y4519" s="35"/>
      <c r="Z4519" s="35"/>
      <c r="AA4519" s="35"/>
      <c r="AB4519" s="35"/>
      <c r="AC4519" s="35"/>
      <c r="AD4519" s="35"/>
      <c r="AE4519" s="35"/>
      <c r="AF4519" s="35"/>
      <c r="AG4519" s="35"/>
      <c r="AH4519" s="35"/>
      <c r="AI4519" s="35"/>
    </row>
    <row r="4520">
      <c r="A4520" s="276"/>
      <c r="B4520" s="252"/>
      <c r="C4520" s="253"/>
      <c r="D4520" s="253"/>
      <c r="E4520" s="252"/>
      <c r="F4520" s="253"/>
      <c r="G4520" s="251"/>
      <c r="H4520" s="433"/>
      <c r="I4520" s="278"/>
      <c r="J4520" s="257"/>
      <c r="K4520" s="253"/>
      <c r="L4520" s="253"/>
      <c r="M4520" s="275"/>
      <c r="N4520" s="258"/>
      <c r="O4520" s="259"/>
      <c r="P4520" s="259"/>
      <c r="Q4520" s="262"/>
      <c r="R4520" s="260"/>
      <c r="S4520" s="260"/>
      <c r="T4520" s="260"/>
      <c r="U4520" s="261"/>
      <c r="V4520" s="251"/>
      <c r="W4520" s="35"/>
      <c r="X4520" s="35"/>
      <c r="Y4520" s="35"/>
      <c r="Z4520" s="35"/>
      <c r="AA4520" s="35"/>
      <c r="AB4520" s="35"/>
      <c r="AC4520" s="35"/>
      <c r="AD4520" s="35"/>
      <c r="AE4520" s="35"/>
      <c r="AF4520" s="35"/>
      <c r="AG4520" s="35"/>
      <c r="AH4520" s="35"/>
      <c r="AI4520" s="35"/>
    </row>
    <row r="4521">
      <c r="A4521" s="276"/>
      <c r="B4521" s="252"/>
      <c r="C4521" s="253"/>
      <c r="D4521" s="253"/>
      <c r="E4521" s="252"/>
      <c r="F4521" s="253"/>
      <c r="G4521" s="251"/>
      <c r="H4521" s="433"/>
      <c r="I4521" s="278"/>
      <c r="J4521" s="257"/>
      <c r="K4521" s="253"/>
      <c r="L4521" s="253"/>
      <c r="M4521" s="252"/>
      <c r="N4521" s="258"/>
      <c r="O4521" s="259"/>
      <c r="P4521" s="259"/>
      <c r="Q4521" s="257"/>
      <c r="R4521" s="260"/>
      <c r="S4521" s="260"/>
      <c r="T4521" s="260"/>
      <c r="U4521" s="261"/>
      <c r="V4521" s="251"/>
      <c r="W4521" s="35"/>
      <c r="X4521" s="35"/>
      <c r="Y4521" s="35"/>
      <c r="Z4521" s="35"/>
      <c r="AA4521" s="35"/>
      <c r="AB4521" s="35"/>
      <c r="AC4521" s="35"/>
      <c r="AD4521" s="35"/>
      <c r="AE4521" s="35"/>
      <c r="AF4521" s="35"/>
      <c r="AG4521" s="35"/>
      <c r="AH4521" s="35"/>
      <c r="AI4521" s="35"/>
    </row>
    <row r="4522">
      <c r="A4522" s="276"/>
      <c r="B4522" s="252"/>
      <c r="C4522" s="253"/>
      <c r="D4522" s="253"/>
      <c r="E4522" s="252"/>
      <c r="F4522" s="253"/>
      <c r="G4522" s="251"/>
      <c r="H4522" s="433"/>
      <c r="I4522" s="278"/>
      <c r="J4522" s="257"/>
      <c r="K4522" s="253"/>
      <c r="L4522" s="253"/>
      <c r="M4522" s="252"/>
      <c r="N4522" s="258"/>
      <c r="O4522" s="259"/>
      <c r="P4522" s="259"/>
      <c r="Q4522" s="262"/>
      <c r="R4522" s="260"/>
      <c r="S4522" s="260"/>
      <c r="T4522" s="260"/>
      <c r="U4522" s="261"/>
      <c r="V4522" s="251"/>
      <c r="W4522" s="35"/>
      <c r="X4522" s="35"/>
      <c r="Y4522" s="35"/>
      <c r="Z4522" s="35"/>
      <c r="AA4522" s="35"/>
      <c r="AB4522" s="35"/>
      <c r="AC4522" s="35"/>
      <c r="AD4522" s="35"/>
      <c r="AE4522" s="35"/>
      <c r="AF4522" s="35"/>
      <c r="AG4522" s="35"/>
      <c r="AH4522" s="35"/>
      <c r="AI4522" s="35"/>
    </row>
    <row r="4523">
      <c r="A4523" s="251"/>
      <c r="B4523" s="252"/>
      <c r="C4523" s="253"/>
      <c r="D4523" s="253"/>
      <c r="E4523" s="252"/>
      <c r="F4523" s="253"/>
      <c r="G4523" s="251"/>
      <c r="H4523" s="433"/>
      <c r="I4523" s="278"/>
      <c r="J4523" s="257"/>
      <c r="K4523" s="253"/>
      <c r="L4523" s="253"/>
      <c r="M4523" s="252"/>
      <c r="N4523" s="258"/>
      <c r="O4523" s="259"/>
      <c r="P4523" s="259"/>
      <c r="Q4523" s="257"/>
      <c r="R4523" s="260"/>
      <c r="S4523" s="260"/>
      <c r="T4523" s="260"/>
      <c r="U4523" s="261"/>
      <c r="V4523" s="251"/>
      <c r="W4523" s="35"/>
      <c r="X4523" s="35"/>
      <c r="Y4523" s="35"/>
      <c r="Z4523" s="35"/>
      <c r="AA4523" s="35"/>
      <c r="AB4523" s="35"/>
      <c r="AC4523" s="35"/>
      <c r="AD4523" s="35"/>
      <c r="AE4523" s="35"/>
      <c r="AF4523" s="35"/>
      <c r="AG4523" s="35"/>
      <c r="AH4523" s="35"/>
      <c r="AI4523" s="35"/>
    </row>
    <row r="4524">
      <c r="A4524" s="276"/>
      <c r="B4524" s="252"/>
      <c r="C4524" s="253"/>
      <c r="D4524" s="253"/>
      <c r="E4524" s="252"/>
      <c r="F4524" s="253"/>
      <c r="G4524" s="251"/>
      <c r="H4524" s="433"/>
      <c r="I4524" s="278"/>
      <c r="J4524" s="257"/>
      <c r="K4524" s="253"/>
      <c r="L4524" s="253"/>
      <c r="M4524" s="252"/>
      <c r="N4524" s="258"/>
      <c r="O4524" s="259"/>
      <c r="P4524" s="259"/>
      <c r="Q4524" s="262"/>
      <c r="R4524" s="260"/>
      <c r="S4524" s="260"/>
      <c r="T4524" s="260"/>
      <c r="U4524" s="261"/>
      <c r="V4524" s="309"/>
      <c r="W4524" s="35"/>
      <c r="X4524" s="35"/>
      <c r="Y4524" s="35"/>
      <c r="Z4524" s="35"/>
      <c r="AA4524" s="35"/>
      <c r="AB4524" s="35"/>
      <c r="AC4524" s="35"/>
      <c r="AD4524" s="35"/>
      <c r="AE4524" s="35"/>
      <c r="AF4524" s="35"/>
      <c r="AG4524" s="35"/>
      <c r="AH4524" s="35"/>
      <c r="AI4524" s="35"/>
    </row>
    <row r="4525">
      <c r="A4525" s="276"/>
      <c r="B4525" s="252"/>
      <c r="C4525" s="253"/>
      <c r="D4525" s="253"/>
      <c r="E4525" s="252"/>
      <c r="F4525" s="253"/>
      <c r="G4525" s="251"/>
      <c r="H4525" s="433"/>
      <c r="I4525" s="278"/>
      <c r="J4525" s="257"/>
      <c r="K4525" s="253"/>
      <c r="L4525" s="253"/>
      <c r="M4525" s="252"/>
      <c r="N4525" s="258"/>
      <c r="O4525" s="259"/>
      <c r="P4525" s="259"/>
      <c r="Q4525" s="262"/>
      <c r="R4525" s="260"/>
      <c r="S4525" s="260"/>
      <c r="T4525" s="260"/>
      <c r="U4525" s="261"/>
      <c r="V4525" s="251"/>
      <c r="W4525" s="35"/>
      <c r="X4525" s="35"/>
      <c r="Y4525" s="35"/>
      <c r="Z4525" s="35"/>
      <c r="AA4525" s="35"/>
      <c r="AB4525" s="35"/>
      <c r="AC4525" s="35"/>
      <c r="AD4525" s="35"/>
      <c r="AE4525" s="35"/>
      <c r="AF4525" s="35"/>
      <c r="AG4525" s="35"/>
      <c r="AH4525" s="35"/>
      <c r="AI4525" s="35"/>
    </row>
    <row r="4526">
      <c r="A4526" s="276"/>
      <c r="B4526" s="252"/>
      <c r="C4526" s="253"/>
      <c r="D4526" s="253"/>
      <c r="E4526" s="252"/>
      <c r="F4526" s="253"/>
      <c r="G4526" s="251"/>
      <c r="H4526" s="433"/>
      <c r="I4526" s="278"/>
      <c r="J4526" s="257"/>
      <c r="K4526" s="253"/>
      <c r="L4526" s="253"/>
      <c r="M4526" s="252"/>
      <c r="N4526" s="258"/>
      <c r="O4526" s="259"/>
      <c r="P4526" s="259"/>
      <c r="Q4526" s="262"/>
      <c r="R4526" s="260"/>
      <c r="S4526" s="260"/>
      <c r="T4526" s="260"/>
      <c r="U4526" s="261"/>
      <c r="V4526" s="251"/>
      <c r="W4526" s="35"/>
      <c r="X4526" s="35"/>
      <c r="Y4526" s="35"/>
      <c r="Z4526" s="35"/>
      <c r="AA4526" s="35"/>
      <c r="AB4526" s="35"/>
      <c r="AC4526" s="35"/>
      <c r="AD4526" s="35"/>
      <c r="AE4526" s="35"/>
      <c r="AF4526" s="35"/>
      <c r="AG4526" s="35"/>
      <c r="AH4526" s="35"/>
      <c r="AI4526" s="35"/>
    </row>
    <row r="4527">
      <c r="A4527" s="276"/>
      <c r="B4527" s="252"/>
      <c r="C4527" s="253"/>
      <c r="D4527" s="253"/>
      <c r="E4527" s="252"/>
      <c r="F4527" s="253"/>
      <c r="G4527" s="251"/>
      <c r="H4527" s="433"/>
      <c r="I4527" s="278"/>
      <c r="J4527" s="257"/>
      <c r="K4527" s="253"/>
      <c r="L4527" s="253"/>
      <c r="M4527" s="252"/>
      <c r="N4527" s="258"/>
      <c r="O4527" s="259"/>
      <c r="P4527" s="259"/>
      <c r="Q4527" s="257"/>
      <c r="R4527" s="260"/>
      <c r="S4527" s="260"/>
      <c r="T4527" s="260"/>
      <c r="U4527" s="261"/>
      <c r="V4527" s="251"/>
      <c r="W4527" s="35"/>
      <c r="X4527" s="35"/>
      <c r="Y4527" s="35"/>
      <c r="Z4527" s="35"/>
      <c r="AA4527" s="35"/>
      <c r="AB4527" s="35"/>
      <c r="AC4527" s="35"/>
      <c r="AD4527" s="35"/>
      <c r="AE4527" s="35"/>
      <c r="AF4527" s="35"/>
      <c r="AG4527" s="35"/>
      <c r="AH4527" s="35"/>
      <c r="AI4527" s="35"/>
    </row>
    <row r="4528">
      <c r="A4528" s="276"/>
      <c r="B4528" s="252"/>
      <c r="C4528" s="253"/>
      <c r="D4528" s="253"/>
      <c r="E4528" s="252"/>
      <c r="F4528" s="253"/>
      <c r="G4528" s="251"/>
      <c r="H4528" s="433"/>
      <c r="I4528" s="278"/>
      <c r="J4528" s="257"/>
      <c r="K4528" s="253"/>
      <c r="L4528" s="253"/>
      <c r="M4528" s="252"/>
      <c r="N4528" s="258"/>
      <c r="O4528" s="259"/>
      <c r="P4528" s="259"/>
      <c r="Q4528" s="262"/>
      <c r="R4528" s="260"/>
      <c r="S4528" s="260"/>
      <c r="T4528" s="260"/>
      <c r="U4528" s="261"/>
      <c r="V4528" s="251"/>
      <c r="W4528" s="35"/>
      <c r="X4528" s="35"/>
      <c r="Y4528" s="35"/>
      <c r="Z4528" s="35"/>
      <c r="AA4528" s="35"/>
      <c r="AB4528" s="35"/>
      <c r="AC4528" s="35"/>
      <c r="AD4528" s="35"/>
      <c r="AE4528" s="35"/>
      <c r="AF4528" s="35"/>
      <c r="AG4528" s="35"/>
      <c r="AH4528" s="35"/>
      <c r="AI4528" s="35"/>
    </row>
    <row r="4529">
      <c r="A4529" s="276"/>
      <c r="B4529" s="252"/>
      <c r="C4529" s="253"/>
      <c r="D4529" s="253"/>
      <c r="E4529" s="252"/>
      <c r="F4529" s="253"/>
      <c r="G4529" s="251"/>
      <c r="H4529" s="433"/>
      <c r="I4529" s="278"/>
      <c r="J4529" s="257"/>
      <c r="K4529" s="253"/>
      <c r="L4529" s="253"/>
      <c r="M4529" s="275"/>
      <c r="N4529" s="258"/>
      <c r="O4529" s="259"/>
      <c r="P4529" s="259"/>
      <c r="Q4529" s="262"/>
      <c r="R4529" s="260"/>
      <c r="S4529" s="260"/>
      <c r="T4529" s="260"/>
      <c r="U4529" s="261"/>
      <c r="V4529" s="251"/>
      <c r="W4529" s="35"/>
      <c r="X4529" s="35"/>
      <c r="Y4529" s="35"/>
      <c r="Z4529" s="35"/>
      <c r="AA4529" s="35"/>
      <c r="AB4529" s="35"/>
      <c r="AC4529" s="35"/>
      <c r="AD4529" s="35"/>
      <c r="AE4529" s="35"/>
      <c r="AF4529" s="35"/>
      <c r="AG4529" s="35"/>
      <c r="AH4529" s="35"/>
      <c r="AI4529" s="35"/>
    </row>
    <row r="4530">
      <c r="A4530" s="276"/>
      <c r="B4530" s="252"/>
      <c r="C4530" s="253"/>
      <c r="D4530" s="253"/>
      <c r="E4530" s="252"/>
      <c r="F4530" s="253"/>
      <c r="G4530" s="251"/>
      <c r="H4530" s="433"/>
      <c r="I4530" s="278"/>
      <c r="J4530" s="257"/>
      <c r="K4530" s="253"/>
      <c r="L4530" s="253"/>
      <c r="M4530" s="252"/>
      <c r="N4530" s="258"/>
      <c r="O4530" s="259"/>
      <c r="P4530" s="259"/>
      <c r="Q4530" s="257"/>
      <c r="R4530" s="260"/>
      <c r="S4530" s="260"/>
      <c r="T4530" s="260"/>
      <c r="U4530" s="261"/>
      <c r="V4530" s="276"/>
      <c r="W4530" s="35"/>
      <c r="X4530" s="35"/>
      <c r="Y4530" s="35"/>
      <c r="Z4530" s="35"/>
      <c r="AA4530" s="35"/>
      <c r="AB4530" s="35"/>
      <c r="AC4530" s="35"/>
      <c r="AD4530" s="35"/>
      <c r="AE4530" s="35"/>
      <c r="AF4530" s="35"/>
      <c r="AG4530" s="35"/>
      <c r="AH4530" s="35"/>
      <c r="AI4530" s="35"/>
    </row>
    <row r="4531">
      <c r="A4531" s="276"/>
      <c r="B4531" s="252"/>
      <c r="C4531" s="253"/>
      <c r="D4531" s="253"/>
      <c r="E4531" s="252"/>
      <c r="F4531" s="253"/>
      <c r="G4531" s="251"/>
      <c r="H4531" s="433"/>
      <c r="I4531" s="278"/>
      <c r="J4531" s="257"/>
      <c r="K4531" s="253"/>
      <c r="L4531" s="253"/>
      <c r="M4531" s="252"/>
      <c r="N4531" s="258"/>
      <c r="O4531" s="259"/>
      <c r="P4531" s="259"/>
      <c r="Q4531" s="262"/>
      <c r="R4531" s="260"/>
      <c r="S4531" s="260"/>
      <c r="T4531" s="260"/>
      <c r="U4531" s="261"/>
      <c r="V4531" s="251"/>
      <c r="W4531" s="35"/>
      <c r="X4531" s="35"/>
      <c r="Y4531" s="35"/>
      <c r="Z4531" s="35"/>
      <c r="AA4531" s="35"/>
      <c r="AB4531" s="35"/>
      <c r="AC4531" s="35"/>
      <c r="AD4531" s="35"/>
      <c r="AE4531" s="35"/>
      <c r="AF4531" s="35"/>
      <c r="AG4531" s="35"/>
      <c r="AH4531" s="35"/>
      <c r="AI4531" s="35"/>
    </row>
    <row r="4532">
      <c r="A4532" s="276"/>
      <c r="B4532" s="252"/>
      <c r="C4532" s="253"/>
      <c r="D4532" s="253"/>
      <c r="E4532" s="252"/>
      <c r="F4532" s="253"/>
      <c r="G4532" s="251"/>
      <c r="H4532" s="433"/>
      <c r="I4532" s="278"/>
      <c r="J4532" s="257"/>
      <c r="K4532" s="253"/>
      <c r="L4532" s="253"/>
      <c r="M4532" s="252"/>
      <c r="N4532" s="258"/>
      <c r="O4532" s="259"/>
      <c r="P4532" s="259"/>
      <c r="Q4532" s="262"/>
      <c r="R4532" s="260"/>
      <c r="S4532" s="260"/>
      <c r="T4532" s="260"/>
      <c r="U4532" s="261"/>
      <c r="V4532" s="251"/>
      <c r="W4532" s="35"/>
      <c r="X4532" s="35"/>
      <c r="Y4532" s="35"/>
      <c r="Z4532" s="35"/>
      <c r="AA4532" s="35"/>
      <c r="AB4532" s="35"/>
      <c r="AC4532" s="35"/>
      <c r="AD4532" s="35"/>
      <c r="AE4532" s="35"/>
      <c r="AF4532" s="35"/>
      <c r="AG4532" s="35"/>
      <c r="AH4532" s="35"/>
      <c r="AI4532" s="35"/>
    </row>
    <row r="4533">
      <c r="A4533" s="276"/>
      <c r="B4533" s="252"/>
      <c r="C4533" s="253"/>
      <c r="D4533" s="253"/>
      <c r="E4533" s="252"/>
      <c r="F4533" s="253"/>
      <c r="G4533" s="251"/>
      <c r="H4533" s="433"/>
      <c r="I4533" s="278"/>
      <c r="J4533" s="257"/>
      <c r="K4533" s="253"/>
      <c r="L4533" s="253"/>
      <c r="M4533" s="252"/>
      <c r="N4533" s="258"/>
      <c r="O4533" s="259"/>
      <c r="P4533" s="259"/>
      <c r="Q4533" s="257"/>
      <c r="R4533" s="260"/>
      <c r="S4533" s="260"/>
      <c r="T4533" s="260"/>
      <c r="U4533" s="261"/>
      <c r="V4533" s="251"/>
      <c r="W4533" s="35"/>
      <c r="X4533" s="35"/>
      <c r="Y4533" s="35"/>
      <c r="Z4533" s="35"/>
      <c r="AA4533" s="35"/>
      <c r="AB4533" s="35"/>
      <c r="AC4533" s="35"/>
      <c r="AD4533" s="35"/>
      <c r="AE4533" s="35"/>
      <c r="AF4533" s="35"/>
      <c r="AG4533" s="35"/>
      <c r="AH4533" s="35"/>
      <c r="AI4533" s="35"/>
    </row>
    <row r="4534">
      <c r="A4534" s="276"/>
      <c r="B4534" s="252"/>
      <c r="C4534" s="253"/>
      <c r="D4534" s="253"/>
      <c r="E4534" s="252"/>
      <c r="F4534" s="253"/>
      <c r="G4534" s="251"/>
      <c r="H4534" s="433"/>
      <c r="I4534" s="278"/>
      <c r="J4534" s="257"/>
      <c r="K4534" s="253"/>
      <c r="L4534" s="253"/>
      <c r="M4534" s="252"/>
      <c r="N4534" s="258"/>
      <c r="O4534" s="259"/>
      <c r="P4534" s="259"/>
      <c r="Q4534" s="257"/>
      <c r="R4534" s="260"/>
      <c r="S4534" s="260"/>
      <c r="T4534" s="260"/>
      <c r="U4534" s="261"/>
      <c r="V4534" s="251"/>
      <c r="W4534" s="35"/>
      <c r="X4534" s="35"/>
      <c r="Y4534" s="35"/>
      <c r="Z4534" s="35"/>
      <c r="AA4534" s="35"/>
      <c r="AB4534" s="35"/>
      <c r="AC4534" s="35"/>
      <c r="AD4534" s="35"/>
      <c r="AE4534" s="35"/>
      <c r="AF4534" s="35"/>
      <c r="AG4534" s="35"/>
      <c r="AH4534" s="35"/>
      <c r="AI4534" s="35"/>
    </row>
    <row r="4535">
      <c r="A4535" s="276"/>
      <c r="B4535" s="252"/>
      <c r="C4535" s="253"/>
      <c r="D4535" s="253"/>
      <c r="E4535" s="252"/>
      <c r="F4535" s="253"/>
      <c r="G4535" s="251"/>
      <c r="H4535" s="433"/>
      <c r="I4535" s="278"/>
      <c r="J4535" s="257"/>
      <c r="K4535" s="253"/>
      <c r="L4535" s="253"/>
      <c r="M4535" s="252"/>
      <c r="N4535" s="258"/>
      <c r="O4535" s="259"/>
      <c r="P4535" s="259"/>
      <c r="Q4535" s="262"/>
      <c r="R4535" s="260"/>
      <c r="S4535" s="260"/>
      <c r="T4535" s="260"/>
      <c r="U4535" s="261"/>
      <c r="V4535" s="251"/>
      <c r="W4535" s="35"/>
      <c r="X4535" s="35"/>
      <c r="Y4535" s="35"/>
      <c r="Z4535" s="35"/>
      <c r="AA4535" s="35"/>
      <c r="AB4535" s="35"/>
      <c r="AC4535" s="35"/>
      <c r="AD4535" s="35"/>
      <c r="AE4535" s="35"/>
      <c r="AF4535" s="35"/>
      <c r="AG4535" s="35"/>
      <c r="AH4535" s="35"/>
      <c r="AI4535" s="35"/>
    </row>
    <row r="4536">
      <c r="A4536" s="276"/>
      <c r="B4536" s="252"/>
      <c r="C4536" s="253"/>
      <c r="D4536" s="253"/>
      <c r="E4536" s="252"/>
      <c r="F4536" s="253"/>
      <c r="G4536" s="251"/>
      <c r="H4536" s="433"/>
      <c r="I4536" s="278"/>
      <c r="J4536" s="257"/>
      <c r="K4536" s="253"/>
      <c r="L4536" s="253"/>
      <c r="M4536" s="252"/>
      <c r="N4536" s="258"/>
      <c r="O4536" s="259"/>
      <c r="P4536" s="259"/>
      <c r="Q4536" s="262"/>
      <c r="R4536" s="260"/>
      <c r="S4536" s="260"/>
      <c r="T4536" s="260"/>
      <c r="U4536" s="261"/>
      <c r="V4536" s="251"/>
      <c r="W4536" s="35"/>
      <c r="X4536" s="35"/>
      <c r="Y4536" s="35"/>
      <c r="Z4536" s="35"/>
      <c r="AA4536" s="35"/>
      <c r="AB4536" s="35"/>
      <c r="AC4536" s="35"/>
      <c r="AD4536" s="35"/>
      <c r="AE4536" s="35"/>
      <c r="AF4536" s="35"/>
      <c r="AG4536" s="35"/>
      <c r="AH4536" s="35"/>
      <c r="AI4536" s="35"/>
    </row>
    <row r="4537">
      <c r="A4537" s="251"/>
      <c r="B4537" s="252"/>
      <c r="C4537" s="253"/>
      <c r="D4537" s="253"/>
      <c r="E4537" s="252"/>
      <c r="F4537" s="253"/>
      <c r="G4537" s="251"/>
      <c r="H4537" s="433"/>
      <c r="I4537" s="278"/>
      <c r="J4537" s="257"/>
      <c r="K4537" s="253"/>
      <c r="L4537" s="253"/>
      <c r="M4537" s="275"/>
      <c r="N4537" s="258"/>
      <c r="O4537" s="259"/>
      <c r="P4537" s="259"/>
      <c r="Q4537" s="262"/>
      <c r="R4537" s="260"/>
      <c r="S4537" s="260"/>
      <c r="T4537" s="260"/>
      <c r="U4537" s="261"/>
      <c r="V4537" s="251"/>
      <c r="W4537" s="35"/>
      <c r="X4537" s="35"/>
      <c r="Y4537" s="35"/>
      <c r="Z4537" s="35"/>
      <c r="AA4537" s="35"/>
      <c r="AB4537" s="35"/>
      <c r="AC4537" s="35"/>
      <c r="AD4537" s="35"/>
      <c r="AE4537" s="35"/>
      <c r="AF4537" s="35"/>
      <c r="AG4537" s="35"/>
      <c r="AH4537" s="35"/>
      <c r="AI4537" s="35"/>
    </row>
    <row r="4538">
      <c r="A4538" s="276"/>
      <c r="B4538" s="252"/>
      <c r="C4538" s="253"/>
      <c r="D4538" s="253"/>
      <c r="E4538" s="252"/>
      <c r="F4538" s="253"/>
      <c r="G4538" s="251"/>
      <c r="H4538" s="433"/>
      <c r="I4538" s="278"/>
      <c r="J4538" s="257"/>
      <c r="K4538" s="253"/>
      <c r="L4538" s="253"/>
      <c r="M4538" s="275"/>
      <c r="N4538" s="258"/>
      <c r="O4538" s="259"/>
      <c r="P4538" s="259"/>
      <c r="Q4538" s="262"/>
      <c r="R4538" s="260"/>
      <c r="S4538" s="260"/>
      <c r="T4538" s="260"/>
      <c r="U4538" s="261"/>
      <c r="V4538" s="251"/>
      <c r="W4538" s="35"/>
      <c r="X4538" s="35"/>
      <c r="Y4538" s="35"/>
      <c r="Z4538" s="35"/>
      <c r="AA4538" s="35"/>
      <c r="AB4538" s="35"/>
      <c r="AC4538" s="35"/>
      <c r="AD4538" s="35"/>
      <c r="AE4538" s="35"/>
      <c r="AF4538" s="35"/>
      <c r="AG4538" s="35"/>
      <c r="AH4538" s="35"/>
      <c r="AI4538" s="35"/>
    </row>
    <row r="4539">
      <c r="A4539" s="276"/>
      <c r="B4539" s="252"/>
      <c r="C4539" s="253"/>
      <c r="D4539" s="253"/>
      <c r="E4539" s="252"/>
      <c r="F4539" s="253"/>
      <c r="G4539" s="251"/>
      <c r="H4539" s="433"/>
      <c r="I4539" s="278"/>
      <c r="J4539" s="257"/>
      <c r="K4539" s="253"/>
      <c r="L4539" s="253"/>
      <c r="M4539" s="252"/>
      <c r="N4539" s="258"/>
      <c r="O4539" s="259"/>
      <c r="P4539" s="259"/>
      <c r="Q4539" s="262"/>
      <c r="R4539" s="260"/>
      <c r="S4539" s="260"/>
      <c r="T4539" s="260"/>
      <c r="U4539" s="261"/>
      <c r="V4539" s="251"/>
      <c r="W4539" s="35"/>
      <c r="X4539" s="35"/>
      <c r="Y4539" s="35"/>
      <c r="Z4539" s="35"/>
      <c r="AA4539" s="35"/>
      <c r="AB4539" s="35"/>
      <c r="AC4539" s="35"/>
      <c r="AD4539" s="35"/>
      <c r="AE4539" s="35"/>
      <c r="AF4539" s="35"/>
      <c r="AG4539" s="35"/>
      <c r="AH4539" s="35"/>
      <c r="AI4539" s="35"/>
    </row>
    <row r="4540">
      <c r="A4540" s="276"/>
      <c r="B4540" s="252"/>
      <c r="C4540" s="253"/>
      <c r="D4540" s="253"/>
      <c r="E4540" s="252"/>
      <c r="F4540" s="253"/>
      <c r="G4540" s="251"/>
      <c r="H4540" s="433"/>
      <c r="I4540" s="278"/>
      <c r="J4540" s="257"/>
      <c r="K4540" s="253"/>
      <c r="L4540" s="253"/>
      <c r="M4540" s="275"/>
      <c r="N4540" s="258"/>
      <c r="O4540" s="259"/>
      <c r="P4540" s="259"/>
      <c r="Q4540" s="262"/>
      <c r="R4540" s="260"/>
      <c r="S4540" s="260"/>
      <c r="T4540" s="260"/>
      <c r="U4540" s="261"/>
      <c r="V4540" s="251"/>
      <c r="W4540" s="35"/>
      <c r="X4540" s="35"/>
      <c r="Y4540" s="35"/>
      <c r="Z4540" s="35"/>
      <c r="AA4540" s="35"/>
      <c r="AB4540" s="35"/>
      <c r="AC4540" s="35"/>
      <c r="AD4540" s="35"/>
      <c r="AE4540" s="35"/>
      <c r="AF4540" s="35"/>
      <c r="AG4540" s="35"/>
      <c r="AH4540" s="35"/>
      <c r="AI4540" s="35"/>
    </row>
    <row r="4541">
      <c r="A4541" s="276"/>
      <c r="B4541" s="252"/>
      <c r="C4541" s="253"/>
      <c r="D4541" s="253"/>
      <c r="E4541" s="252"/>
      <c r="F4541" s="253"/>
      <c r="G4541" s="251"/>
      <c r="H4541" s="433"/>
      <c r="I4541" s="278"/>
      <c r="J4541" s="257"/>
      <c r="K4541" s="253"/>
      <c r="L4541" s="253"/>
      <c r="M4541" s="252"/>
      <c r="N4541" s="258"/>
      <c r="O4541" s="259"/>
      <c r="P4541" s="259"/>
      <c r="Q4541" s="257"/>
      <c r="R4541" s="260"/>
      <c r="S4541" s="260"/>
      <c r="T4541" s="260"/>
      <c r="U4541" s="261"/>
      <c r="V4541" s="251"/>
      <c r="W4541" s="35"/>
      <c r="X4541" s="35"/>
      <c r="Y4541" s="35"/>
      <c r="Z4541" s="35"/>
      <c r="AA4541" s="35"/>
      <c r="AB4541" s="35"/>
      <c r="AC4541" s="35"/>
      <c r="AD4541" s="35"/>
      <c r="AE4541" s="35"/>
      <c r="AF4541" s="35"/>
      <c r="AG4541" s="35"/>
      <c r="AH4541" s="35"/>
      <c r="AI4541" s="35"/>
    </row>
    <row r="4542">
      <c r="A4542" s="276"/>
      <c r="B4542" s="252"/>
      <c r="C4542" s="253"/>
      <c r="D4542" s="253"/>
      <c r="E4542" s="252"/>
      <c r="F4542" s="253"/>
      <c r="G4542" s="251"/>
      <c r="H4542" s="433"/>
      <c r="I4542" s="278"/>
      <c r="J4542" s="257"/>
      <c r="K4542" s="253"/>
      <c r="L4542" s="253"/>
      <c r="M4542" s="275"/>
      <c r="N4542" s="258"/>
      <c r="O4542" s="259"/>
      <c r="P4542" s="259"/>
      <c r="Q4542" s="262"/>
      <c r="R4542" s="260"/>
      <c r="S4542" s="260"/>
      <c r="T4542" s="260"/>
      <c r="U4542" s="261"/>
      <c r="V4542" s="251"/>
      <c r="W4542" s="35"/>
      <c r="X4542" s="35"/>
      <c r="Y4542" s="35"/>
      <c r="Z4542" s="35"/>
      <c r="AA4542" s="35"/>
      <c r="AB4542" s="35"/>
      <c r="AC4542" s="35"/>
      <c r="AD4542" s="35"/>
      <c r="AE4542" s="35"/>
      <c r="AF4542" s="35"/>
      <c r="AG4542" s="35"/>
      <c r="AH4542" s="35"/>
      <c r="AI4542" s="35"/>
    </row>
    <row r="4543">
      <c r="A4543" s="276"/>
      <c r="B4543" s="252"/>
      <c r="C4543" s="253"/>
      <c r="D4543" s="253"/>
      <c r="E4543" s="252"/>
      <c r="F4543" s="253"/>
      <c r="G4543" s="251"/>
      <c r="H4543" s="433"/>
      <c r="I4543" s="278"/>
      <c r="J4543" s="257"/>
      <c r="K4543" s="253"/>
      <c r="L4543" s="253"/>
      <c r="M4543" s="252"/>
      <c r="N4543" s="258"/>
      <c r="O4543" s="259"/>
      <c r="P4543" s="259"/>
      <c r="Q4543" s="262"/>
      <c r="R4543" s="260"/>
      <c r="S4543" s="260"/>
      <c r="T4543" s="260"/>
      <c r="U4543" s="261"/>
      <c r="V4543" s="251"/>
      <c r="W4543" s="35"/>
      <c r="X4543" s="35"/>
      <c r="Y4543" s="35"/>
      <c r="Z4543" s="35"/>
      <c r="AA4543" s="35"/>
      <c r="AB4543" s="35"/>
      <c r="AC4543" s="35"/>
      <c r="AD4543" s="35"/>
      <c r="AE4543" s="35"/>
      <c r="AF4543" s="35"/>
      <c r="AG4543" s="35"/>
      <c r="AH4543" s="35"/>
      <c r="AI4543" s="35"/>
    </row>
    <row r="4544">
      <c r="A4544" s="276"/>
      <c r="B4544" s="252"/>
      <c r="C4544" s="253"/>
      <c r="D4544" s="253"/>
      <c r="E4544" s="252"/>
      <c r="F4544" s="253"/>
      <c r="G4544" s="251"/>
      <c r="H4544" s="433"/>
      <c r="I4544" s="278"/>
      <c r="J4544" s="257"/>
      <c r="K4544" s="253"/>
      <c r="L4544" s="253"/>
      <c r="M4544" s="252"/>
      <c r="N4544" s="258"/>
      <c r="O4544" s="259"/>
      <c r="P4544" s="259"/>
      <c r="Q4544" s="262"/>
      <c r="R4544" s="260"/>
      <c r="S4544" s="260"/>
      <c r="T4544" s="260"/>
      <c r="U4544" s="261"/>
      <c r="V4544" s="251"/>
      <c r="W4544" s="35"/>
      <c r="X4544" s="35"/>
      <c r="Y4544" s="35"/>
      <c r="Z4544" s="35"/>
      <c r="AA4544" s="35"/>
      <c r="AB4544" s="35"/>
      <c r="AC4544" s="35"/>
      <c r="AD4544" s="35"/>
      <c r="AE4544" s="35"/>
      <c r="AF4544" s="35"/>
      <c r="AG4544" s="35"/>
      <c r="AH4544" s="35"/>
      <c r="AI4544" s="35"/>
    </row>
    <row r="4545">
      <c r="A4545" s="276"/>
      <c r="B4545" s="252"/>
      <c r="C4545" s="253"/>
      <c r="D4545" s="253"/>
      <c r="E4545" s="252"/>
      <c r="F4545" s="253"/>
      <c r="G4545" s="251"/>
      <c r="H4545" s="433"/>
      <c r="I4545" s="278"/>
      <c r="J4545" s="257"/>
      <c r="K4545" s="253"/>
      <c r="L4545" s="253"/>
      <c r="M4545" s="252"/>
      <c r="N4545" s="258"/>
      <c r="O4545" s="259"/>
      <c r="P4545" s="259"/>
      <c r="Q4545" s="257"/>
      <c r="R4545" s="260"/>
      <c r="S4545" s="260"/>
      <c r="T4545" s="260"/>
      <c r="U4545" s="261"/>
      <c r="V4545" s="251"/>
      <c r="W4545" s="35"/>
      <c r="X4545" s="35"/>
      <c r="Y4545" s="35"/>
      <c r="Z4545" s="35"/>
      <c r="AA4545" s="35"/>
      <c r="AB4545" s="35"/>
      <c r="AC4545" s="35"/>
      <c r="AD4545" s="35"/>
      <c r="AE4545" s="35"/>
      <c r="AF4545" s="35"/>
      <c r="AG4545" s="35"/>
      <c r="AH4545" s="35"/>
      <c r="AI4545" s="35"/>
    </row>
    <row r="4546">
      <c r="A4546" s="276"/>
      <c r="B4546" s="252"/>
      <c r="C4546" s="253"/>
      <c r="D4546" s="253"/>
      <c r="E4546" s="252"/>
      <c r="F4546" s="253"/>
      <c r="G4546" s="251"/>
      <c r="H4546" s="433"/>
      <c r="I4546" s="278"/>
      <c r="J4546" s="257"/>
      <c r="K4546" s="253"/>
      <c r="L4546" s="253"/>
      <c r="M4546" s="275"/>
      <c r="N4546" s="258"/>
      <c r="O4546" s="259"/>
      <c r="P4546" s="259"/>
      <c r="Q4546" s="262"/>
      <c r="R4546" s="260"/>
      <c r="S4546" s="260"/>
      <c r="T4546" s="260"/>
      <c r="U4546" s="261"/>
      <c r="V4546" s="251"/>
      <c r="W4546" s="35"/>
      <c r="X4546" s="35"/>
      <c r="Y4546" s="35"/>
      <c r="Z4546" s="35"/>
      <c r="AA4546" s="35"/>
      <c r="AB4546" s="35"/>
      <c r="AC4546" s="35"/>
      <c r="AD4546" s="35"/>
      <c r="AE4546" s="35"/>
      <c r="AF4546" s="35"/>
      <c r="AG4546" s="35"/>
      <c r="AH4546" s="35"/>
      <c r="AI4546" s="35"/>
    </row>
    <row r="4547">
      <c r="A4547" s="276"/>
      <c r="B4547" s="252"/>
      <c r="C4547" s="253"/>
      <c r="D4547" s="253"/>
      <c r="E4547" s="252"/>
      <c r="F4547" s="253"/>
      <c r="G4547" s="251"/>
      <c r="H4547" s="433"/>
      <c r="I4547" s="278"/>
      <c r="J4547" s="257"/>
      <c r="K4547" s="253"/>
      <c r="L4547" s="253"/>
      <c r="M4547" s="252"/>
      <c r="N4547" s="258"/>
      <c r="O4547" s="259"/>
      <c r="P4547" s="259"/>
      <c r="Q4547" s="262"/>
      <c r="R4547" s="260"/>
      <c r="S4547" s="260"/>
      <c r="T4547" s="260"/>
      <c r="U4547" s="261"/>
      <c r="V4547" s="309"/>
      <c r="W4547" s="35"/>
      <c r="X4547" s="35"/>
      <c r="Y4547" s="35"/>
      <c r="Z4547" s="35"/>
      <c r="AA4547" s="35"/>
      <c r="AB4547" s="35"/>
      <c r="AC4547" s="35"/>
      <c r="AD4547" s="35"/>
      <c r="AE4547" s="35"/>
      <c r="AF4547" s="35"/>
      <c r="AG4547" s="35"/>
      <c r="AH4547" s="35"/>
      <c r="AI4547" s="35"/>
    </row>
    <row r="4548">
      <c r="A4548" s="276"/>
      <c r="B4548" s="252"/>
      <c r="C4548" s="253"/>
      <c r="D4548" s="253"/>
      <c r="E4548" s="252"/>
      <c r="F4548" s="253"/>
      <c r="G4548" s="251"/>
      <c r="H4548" s="433"/>
      <c r="I4548" s="278"/>
      <c r="J4548" s="257"/>
      <c r="K4548" s="253"/>
      <c r="L4548" s="253"/>
      <c r="M4548" s="275"/>
      <c r="N4548" s="258"/>
      <c r="O4548" s="259"/>
      <c r="P4548" s="259"/>
      <c r="Q4548" s="262"/>
      <c r="R4548" s="260"/>
      <c r="S4548" s="260"/>
      <c r="T4548" s="260"/>
      <c r="U4548" s="261"/>
      <c r="V4548" s="276"/>
      <c r="W4548" s="35"/>
      <c r="X4548" s="35"/>
      <c r="Y4548" s="35"/>
      <c r="Z4548" s="35"/>
      <c r="AA4548" s="35"/>
      <c r="AB4548" s="35"/>
      <c r="AC4548" s="35"/>
      <c r="AD4548" s="35"/>
      <c r="AE4548" s="35"/>
      <c r="AF4548" s="35"/>
      <c r="AG4548" s="35"/>
      <c r="AH4548" s="35"/>
      <c r="AI4548" s="35"/>
    </row>
    <row r="4549">
      <c r="A4549" s="276"/>
      <c r="B4549" s="252"/>
      <c r="C4549" s="253"/>
      <c r="D4549" s="253"/>
      <c r="E4549" s="252"/>
      <c r="F4549" s="253"/>
      <c r="G4549" s="251"/>
      <c r="H4549" s="433"/>
      <c r="I4549" s="278"/>
      <c r="J4549" s="257"/>
      <c r="K4549" s="253"/>
      <c r="L4549" s="253"/>
      <c r="M4549" s="252"/>
      <c r="N4549" s="258"/>
      <c r="O4549" s="259"/>
      <c r="P4549" s="259"/>
      <c r="Q4549" s="262"/>
      <c r="R4549" s="260"/>
      <c r="S4549" s="260"/>
      <c r="T4549" s="260"/>
      <c r="U4549" s="261"/>
      <c r="V4549" s="251"/>
      <c r="W4549" s="35"/>
      <c r="X4549" s="35"/>
      <c r="Y4549" s="35"/>
      <c r="Z4549" s="35"/>
      <c r="AA4549" s="35"/>
      <c r="AB4549" s="35"/>
      <c r="AC4549" s="35"/>
      <c r="AD4549" s="35"/>
      <c r="AE4549" s="35"/>
      <c r="AF4549" s="35"/>
      <c r="AG4549" s="35"/>
      <c r="AH4549" s="35"/>
      <c r="AI4549" s="35"/>
    </row>
    <row r="4550">
      <c r="A4550" s="263"/>
      <c r="B4550" s="264"/>
      <c r="C4550" s="265"/>
      <c r="D4550" s="265"/>
      <c r="E4550" s="264"/>
      <c r="F4550" s="265"/>
      <c r="G4550" s="263"/>
      <c r="H4550" s="432"/>
      <c r="I4550" s="282"/>
      <c r="J4550" s="283"/>
      <c r="K4550" s="265"/>
      <c r="L4550" s="265"/>
      <c r="M4550" s="269"/>
      <c r="N4550" s="283"/>
      <c r="O4550" s="271"/>
      <c r="P4550" s="271"/>
      <c r="Q4550" s="283"/>
      <c r="R4550" s="273"/>
      <c r="S4550" s="273"/>
      <c r="T4550" s="273"/>
      <c r="U4550" s="274"/>
      <c r="V4550" s="263"/>
      <c r="W4550" s="35"/>
      <c r="X4550" s="35"/>
      <c r="Y4550" s="35"/>
      <c r="Z4550" s="35"/>
      <c r="AA4550" s="35"/>
      <c r="AB4550" s="35"/>
      <c r="AC4550" s="35"/>
      <c r="AD4550" s="35"/>
      <c r="AE4550" s="35"/>
      <c r="AF4550" s="35"/>
      <c r="AG4550" s="35"/>
      <c r="AH4550" s="35"/>
      <c r="AI4550" s="35"/>
    </row>
    <row r="4551">
      <c r="A4551" s="276"/>
      <c r="B4551" s="252"/>
      <c r="C4551" s="253"/>
      <c r="D4551" s="253"/>
      <c r="E4551" s="252"/>
      <c r="F4551" s="253"/>
      <c r="G4551" s="251"/>
      <c r="H4551" s="433"/>
      <c r="I4551" s="278"/>
      <c r="J4551" s="257"/>
      <c r="K4551" s="253"/>
      <c r="L4551" s="253"/>
      <c r="M4551" s="275"/>
      <c r="N4551" s="258"/>
      <c r="O4551" s="259"/>
      <c r="P4551" s="259"/>
      <c r="Q4551" s="262"/>
      <c r="R4551" s="260"/>
      <c r="S4551" s="260"/>
      <c r="T4551" s="260"/>
      <c r="U4551" s="261"/>
      <c r="V4551" s="251"/>
      <c r="W4551" s="35"/>
      <c r="X4551" s="35"/>
      <c r="Y4551" s="35"/>
      <c r="Z4551" s="35"/>
      <c r="AA4551" s="35"/>
      <c r="AB4551" s="35"/>
      <c r="AC4551" s="35"/>
      <c r="AD4551" s="35"/>
      <c r="AE4551" s="35"/>
      <c r="AF4551" s="35"/>
      <c r="AG4551" s="35"/>
      <c r="AH4551" s="35"/>
      <c r="AI4551" s="35"/>
    </row>
    <row r="4552">
      <c r="A4552" s="276"/>
      <c r="B4552" s="252"/>
      <c r="C4552" s="253"/>
      <c r="D4552" s="253"/>
      <c r="E4552" s="252"/>
      <c r="F4552" s="253"/>
      <c r="G4552" s="251"/>
      <c r="H4552" s="433"/>
      <c r="I4552" s="278"/>
      <c r="J4552" s="257"/>
      <c r="K4552" s="253"/>
      <c r="L4552" s="253"/>
      <c r="M4552" s="275"/>
      <c r="N4552" s="258"/>
      <c r="O4552" s="259"/>
      <c r="P4552" s="259"/>
      <c r="Q4552" s="257"/>
      <c r="R4552" s="260"/>
      <c r="S4552" s="260"/>
      <c r="T4552" s="260"/>
      <c r="U4552" s="261"/>
      <c r="V4552" s="251"/>
      <c r="W4552" s="35"/>
      <c r="X4552" s="35"/>
      <c r="Y4552" s="35"/>
      <c r="Z4552" s="35"/>
      <c r="AA4552" s="35"/>
      <c r="AB4552" s="35"/>
      <c r="AC4552" s="35"/>
      <c r="AD4552" s="35"/>
      <c r="AE4552" s="35"/>
      <c r="AF4552" s="35"/>
      <c r="AG4552" s="35"/>
      <c r="AH4552" s="35"/>
      <c r="AI4552" s="35"/>
    </row>
    <row r="4553">
      <c r="A4553" s="251"/>
      <c r="B4553" s="252"/>
      <c r="C4553" s="253"/>
      <c r="D4553" s="253"/>
      <c r="E4553" s="252"/>
      <c r="F4553" s="253"/>
      <c r="G4553" s="251"/>
      <c r="H4553" s="433"/>
      <c r="I4553" s="278"/>
      <c r="J4553" s="257"/>
      <c r="K4553" s="253"/>
      <c r="L4553" s="253"/>
      <c r="M4553" s="252"/>
      <c r="N4553" s="258"/>
      <c r="O4553" s="259"/>
      <c r="P4553" s="259"/>
      <c r="Q4553" s="257"/>
      <c r="R4553" s="260"/>
      <c r="S4553" s="260"/>
      <c r="T4553" s="260"/>
      <c r="U4553" s="261"/>
      <c r="V4553" s="251"/>
      <c r="W4553" s="35"/>
      <c r="X4553" s="35"/>
      <c r="Y4553" s="35"/>
      <c r="Z4553" s="35"/>
      <c r="AA4553" s="35"/>
      <c r="AB4553" s="35"/>
      <c r="AC4553" s="35"/>
      <c r="AD4553" s="35"/>
      <c r="AE4553" s="35"/>
      <c r="AF4553" s="35"/>
      <c r="AG4553" s="35"/>
      <c r="AH4553" s="35"/>
      <c r="AI4553" s="35"/>
    </row>
    <row r="4554">
      <c r="A4554" s="276"/>
      <c r="B4554" s="252"/>
      <c r="C4554" s="253"/>
      <c r="D4554" s="253"/>
      <c r="E4554" s="252"/>
      <c r="F4554" s="253"/>
      <c r="G4554" s="251"/>
      <c r="H4554" s="433"/>
      <c r="I4554" s="278"/>
      <c r="J4554" s="257"/>
      <c r="K4554" s="253"/>
      <c r="L4554" s="253"/>
      <c r="M4554" s="252"/>
      <c r="N4554" s="258"/>
      <c r="O4554" s="259"/>
      <c r="P4554" s="259"/>
      <c r="Q4554" s="257"/>
      <c r="R4554" s="260"/>
      <c r="S4554" s="260"/>
      <c r="T4554" s="260"/>
      <c r="U4554" s="261"/>
      <c r="V4554" s="309"/>
      <c r="W4554" s="35"/>
      <c r="X4554" s="35"/>
      <c r="Y4554" s="35"/>
      <c r="Z4554" s="35"/>
      <c r="AA4554" s="35"/>
      <c r="AB4554" s="35"/>
      <c r="AC4554" s="35"/>
      <c r="AD4554" s="35"/>
      <c r="AE4554" s="35"/>
      <c r="AF4554" s="35"/>
      <c r="AG4554" s="35"/>
      <c r="AH4554" s="35"/>
      <c r="AI4554" s="35"/>
    </row>
    <row r="4555">
      <c r="A4555" s="276"/>
      <c r="B4555" s="252"/>
      <c r="C4555" s="253"/>
      <c r="D4555" s="253"/>
      <c r="E4555" s="252"/>
      <c r="F4555" s="253"/>
      <c r="G4555" s="251"/>
      <c r="H4555" s="433"/>
      <c r="I4555" s="278"/>
      <c r="J4555" s="257"/>
      <c r="K4555" s="253"/>
      <c r="L4555" s="253"/>
      <c r="M4555" s="252"/>
      <c r="N4555" s="258"/>
      <c r="O4555" s="259"/>
      <c r="P4555" s="259"/>
      <c r="Q4555" s="262"/>
      <c r="R4555" s="260"/>
      <c r="S4555" s="260"/>
      <c r="T4555" s="260"/>
      <c r="U4555" s="261"/>
      <c r="V4555" s="309"/>
      <c r="W4555" s="35"/>
      <c r="X4555" s="35"/>
      <c r="Y4555" s="35"/>
      <c r="Z4555" s="35"/>
      <c r="AA4555" s="35"/>
      <c r="AB4555" s="35"/>
      <c r="AC4555" s="35"/>
      <c r="AD4555" s="35"/>
      <c r="AE4555" s="35"/>
      <c r="AF4555" s="35"/>
      <c r="AG4555" s="35"/>
      <c r="AH4555" s="35"/>
      <c r="AI4555" s="35"/>
    </row>
    <row r="4556">
      <c r="A4556" s="251"/>
      <c r="B4556" s="252"/>
      <c r="C4556" s="253"/>
      <c r="D4556" s="253"/>
      <c r="E4556" s="252"/>
      <c r="F4556" s="253"/>
      <c r="G4556" s="251"/>
      <c r="H4556" s="433"/>
      <c r="I4556" s="278"/>
      <c r="J4556" s="257"/>
      <c r="K4556" s="253"/>
      <c r="L4556" s="253"/>
      <c r="M4556" s="275"/>
      <c r="N4556" s="258"/>
      <c r="O4556" s="259"/>
      <c r="P4556" s="259"/>
      <c r="Q4556" s="262"/>
      <c r="R4556" s="260"/>
      <c r="S4556" s="260"/>
      <c r="T4556" s="260"/>
      <c r="U4556" s="261"/>
      <c r="V4556" s="251"/>
      <c r="W4556" s="35"/>
      <c r="X4556" s="35"/>
      <c r="Y4556" s="35"/>
      <c r="Z4556" s="35"/>
      <c r="AA4556" s="35"/>
      <c r="AB4556" s="35"/>
      <c r="AC4556" s="35"/>
      <c r="AD4556" s="35"/>
      <c r="AE4556" s="35"/>
      <c r="AF4556" s="35"/>
      <c r="AG4556" s="35"/>
      <c r="AH4556" s="35"/>
      <c r="AI4556" s="35"/>
    </row>
    <row r="4557">
      <c r="A4557" s="251"/>
      <c r="B4557" s="252"/>
      <c r="C4557" s="253"/>
      <c r="D4557" s="253"/>
      <c r="E4557" s="252"/>
      <c r="F4557" s="253"/>
      <c r="G4557" s="251"/>
      <c r="H4557" s="433"/>
      <c r="I4557" s="278"/>
      <c r="J4557" s="257"/>
      <c r="K4557" s="253"/>
      <c r="L4557" s="253"/>
      <c r="M4557" s="252"/>
      <c r="N4557" s="258"/>
      <c r="O4557" s="259"/>
      <c r="P4557" s="259"/>
      <c r="Q4557" s="262"/>
      <c r="R4557" s="260"/>
      <c r="S4557" s="260"/>
      <c r="T4557" s="260"/>
      <c r="U4557" s="261"/>
      <c r="V4557" s="309"/>
      <c r="W4557" s="35"/>
      <c r="X4557" s="35"/>
      <c r="Y4557" s="35"/>
      <c r="Z4557" s="35"/>
      <c r="AA4557" s="35"/>
      <c r="AB4557" s="35"/>
      <c r="AC4557" s="35"/>
      <c r="AD4557" s="35"/>
      <c r="AE4557" s="35"/>
      <c r="AF4557" s="35"/>
      <c r="AG4557" s="35"/>
      <c r="AH4557" s="35"/>
      <c r="AI4557" s="35"/>
    </row>
    <row r="4558">
      <c r="A4558" s="276"/>
      <c r="B4558" s="252"/>
      <c r="C4558" s="253"/>
      <c r="D4558" s="253"/>
      <c r="E4558" s="252"/>
      <c r="F4558" s="253"/>
      <c r="G4558" s="251"/>
      <c r="H4558" s="433"/>
      <c r="I4558" s="278"/>
      <c r="J4558" s="257"/>
      <c r="K4558" s="253"/>
      <c r="L4558" s="253"/>
      <c r="M4558" s="252"/>
      <c r="N4558" s="258"/>
      <c r="O4558" s="259"/>
      <c r="P4558" s="259"/>
      <c r="Q4558" s="262"/>
      <c r="R4558" s="260"/>
      <c r="S4558" s="260"/>
      <c r="T4558" s="260"/>
      <c r="U4558" s="261"/>
      <c r="V4558" s="251"/>
      <c r="W4558" s="35"/>
      <c r="X4558" s="35"/>
      <c r="Y4558" s="35"/>
      <c r="Z4558" s="35"/>
      <c r="AA4558" s="35"/>
      <c r="AB4558" s="35"/>
      <c r="AC4558" s="35"/>
      <c r="AD4558" s="35"/>
      <c r="AE4558" s="35"/>
      <c r="AF4558" s="35"/>
      <c r="AG4558" s="35"/>
      <c r="AH4558" s="35"/>
      <c r="AI4558" s="35"/>
    </row>
    <row r="4559">
      <c r="A4559" s="251"/>
      <c r="B4559" s="252"/>
      <c r="C4559" s="253"/>
      <c r="D4559" s="253"/>
      <c r="E4559" s="252"/>
      <c r="F4559" s="253"/>
      <c r="G4559" s="251"/>
      <c r="H4559" s="433"/>
      <c r="I4559" s="278"/>
      <c r="J4559" s="257"/>
      <c r="K4559" s="253"/>
      <c r="L4559" s="253"/>
      <c r="M4559" s="252"/>
      <c r="N4559" s="258"/>
      <c r="O4559" s="259"/>
      <c r="P4559" s="259"/>
      <c r="Q4559" s="257"/>
      <c r="R4559" s="260"/>
      <c r="S4559" s="260"/>
      <c r="T4559" s="260"/>
      <c r="U4559" s="261"/>
      <c r="V4559" s="251"/>
      <c r="W4559" s="35"/>
      <c r="X4559" s="35"/>
      <c r="Y4559" s="35"/>
      <c r="Z4559" s="35"/>
      <c r="AA4559" s="35"/>
      <c r="AB4559" s="35"/>
      <c r="AC4559" s="35"/>
      <c r="AD4559" s="35"/>
      <c r="AE4559" s="35"/>
      <c r="AF4559" s="35"/>
      <c r="AG4559" s="35"/>
      <c r="AH4559" s="35"/>
      <c r="AI4559" s="35"/>
    </row>
    <row r="4560">
      <c r="A4560" s="276"/>
      <c r="B4560" s="252"/>
      <c r="C4560" s="253"/>
      <c r="D4560" s="253"/>
      <c r="E4560" s="252"/>
      <c r="F4560" s="253"/>
      <c r="G4560" s="251"/>
      <c r="H4560" s="433"/>
      <c r="I4560" s="278"/>
      <c r="J4560" s="257"/>
      <c r="K4560" s="253"/>
      <c r="L4560" s="253"/>
      <c r="M4560" s="252"/>
      <c r="N4560" s="258"/>
      <c r="O4560" s="259"/>
      <c r="P4560" s="259"/>
      <c r="Q4560" s="262"/>
      <c r="R4560" s="260"/>
      <c r="S4560" s="260"/>
      <c r="T4560" s="260"/>
      <c r="U4560" s="261"/>
      <c r="V4560" s="251"/>
      <c r="W4560" s="35"/>
      <c r="X4560" s="35"/>
      <c r="Y4560" s="35"/>
      <c r="Z4560" s="35"/>
      <c r="AA4560" s="35"/>
      <c r="AB4560" s="35"/>
      <c r="AC4560" s="35"/>
      <c r="AD4560" s="35"/>
      <c r="AE4560" s="35"/>
      <c r="AF4560" s="35"/>
      <c r="AG4560" s="35"/>
      <c r="AH4560" s="35"/>
      <c r="AI4560" s="35"/>
    </row>
    <row r="4561">
      <c r="A4561" s="276"/>
      <c r="B4561" s="252"/>
      <c r="C4561" s="253"/>
      <c r="D4561" s="253"/>
      <c r="E4561" s="252"/>
      <c r="F4561" s="253"/>
      <c r="G4561" s="251"/>
      <c r="H4561" s="433"/>
      <c r="I4561" s="278"/>
      <c r="J4561" s="257"/>
      <c r="K4561" s="253"/>
      <c r="L4561" s="253"/>
      <c r="M4561" s="252"/>
      <c r="N4561" s="258"/>
      <c r="O4561" s="259"/>
      <c r="P4561" s="259"/>
      <c r="Q4561" s="262"/>
      <c r="R4561" s="260"/>
      <c r="S4561" s="260"/>
      <c r="T4561" s="260"/>
      <c r="U4561" s="261"/>
      <c r="V4561" s="251"/>
      <c r="W4561" s="35"/>
      <c r="X4561" s="35"/>
      <c r="Y4561" s="35"/>
      <c r="Z4561" s="35"/>
      <c r="AA4561" s="35"/>
      <c r="AB4561" s="35"/>
      <c r="AC4561" s="35"/>
      <c r="AD4561" s="35"/>
      <c r="AE4561" s="35"/>
      <c r="AF4561" s="35"/>
      <c r="AG4561" s="35"/>
      <c r="AH4561" s="35"/>
      <c r="AI4561" s="35"/>
    </row>
    <row r="4562">
      <c r="A4562" s="276"/>
      <c r="B4562" s="252"/>
      <c r="C4562" s="253"/>
      <c r="D4562" s="253"/>
      <c r="E4562" s="252"/>
      <c r="F4562" s="253"/>
      <c r="G4562" s="251"/>
      <c r="H4562" s="433"/>
      <c r="I4562" s="278"/>
      <c r="J4562" s="257"/>
      <c r="K4562" s="253"/>
      <c r="L4562" s="253"/>
      <c r="M4562" s="252"/>
      <c r="N4562" s="258"/>
      <c r="O4562" s="259"/>
      <c r="P4562" s="259"/>
      <c r="Q4562" s="257"/>
      <c r="R4562" s="260"/>
      <c r="S4562" s="260"/>
      <c r="T4562" s="260"/>
      <c r="U4562" s="261"/>
      <c r="V4562" s="251"/>
      <c r="W4562" s="35"/>
      <c r="X4562" s="35"/>
      <c r="Y4562" s="35"/>
      <c r="Z4562" s="35"/>
      <c r="AA4562" s="35"/>
      <c r="AB4562" s="35"/>
      <c r="AC4562" s="35"/>
      <c r="AD4562" s="35"/>
      <c r="AE4562" s="35"/>
      <c r="AF4562" s="35"/>
      <c r="AG4562" s="35"/>
      <c r="AH4562" s="35"/>
      <c r="AI4562" s="35"/>
    </row>
    <row r="4563">
      <c r="A4563" s="276"/>
      <c r="B4563" s="252"/>
      <c r="C4563" s="253"/>
      <c r="D4563" s="253"/>
      <c r="E4563" s="252"/>
      <c r="F4563" s="253"/>
      <c r="G4563" s="251"/>
      <c r="H4563" s="433"/>
      <c r="I4563" s="278"/>
      <c r="J4563" s="257"/>
      <c r="K4563" s="253"/>
      <c r="L4563" s="253"/>
      <c r="M4563" s="252"/>
      <c r="N4563" s="258"/>
      <c r="O4563" s="259"/>
      <c r="P4563" s="259"/>
      <c r="Q4563" s="262"/>
      <c r="R4563" s="260"/>
      <c r="S4563" s="260"/>
      <c r="T4563" s="260"/>
      <c r="U4563" s="261"/>
      <c r="V4563" s="251"/>
      <c r="W4563" s="35"/>
      <c r="X4563" s="35"/>
      <c r="Y4563" s="35"/>
      <c r="Z4563" s="35"/>
      <c r="AA4563" s="35"/>
      <c r="AB4563" s="35"/>
      <c r="AC4563" s="35"/>
      <c r="AD4563" s="35"/>
      <c r="AE4563" s="35"/>
      <c r="AF4563" s="35"/>
      <c r="AG4563" s="35"/>
      <c r="AH4563" s="35"/>
      <c r="AI4563" s="35"/>
    </row>
    <row r="4564">
      <c r="A4564" s="276"/>
      <c r="B4564" s="252"/>
      <c r="C4564" s="253"/>
      <c r="D4564" s="253"/>
      <c r="E4564" s="252"/>
      <c r="F4564" s="253"/>
      <c r="G4564" s="251"/>
      <c r="H4564" s="433"/>
      <c r="I4564" s="278"/>
      <c r="J4564" s="257"/>
      <c r="K4564" s="253"/>
      <c r="L4564" s="253"/>
      <c r="M4564" s="252"/>
      <c r="N4564" s="258"/>
      <c r="O4564" s="259"/>
      <c r="P4564" s="259"/>
      <c r="Q4564" s="262"/>
      <c r="R4564" s="260"/>
      <c r="S4564" s="260"/>
      <c r="T4564" s="260"/>
      <c r="U4564" s="261"/>
      <c r="V4564" s="309"/>
      <c r="W4564" s="35"/>
      <c r="X4564" s="35"/>
      <c r="Y4564" s="35"/>
      <c r="Z4564" s="35"/>
      <c r="AA4564" s="35"/>
      <c r="AB4564" s="35"/>
      <c r="AC4564" s="35"/>
      <c r="AD4564" s="35"/>
      <c r="AE4564" s="35"/>
      <c r="AF4564" s="35"/>
      <c r="AG4564" s="35"/>
      <c r="AH4564" s="35"/>
      <c r="AI4564" s="35"/>
    </row>
    <row r="4565">
      <c r="A4565" s="276"/>
      <c r="B4565" s="252"/>
      <c r="C4565" s="253"/>
      <c r="D4565" s="253"/>
      <c r="E4565" s="252"/>
      <c r="F4565" s="253"/>
      <c r="G4565" s="251"/>
      <c r="H4565" s="433"/>
      <c r="I4565" s="278"/>
      <c r="J4565" s="257"/>
      <c r="K4565" s="253"/>
      <c r="L4565" s="253"/>
      <c r="M4565" s="252"/>
      <c r="N4565" s="258"/>
      <c r="O4565" s="259"/>
      <c r="P4565" s="259"/>
      <c r="Q4565" s="262"/>
      <c r="R4565" s="260"/>
      <c r="S4565" s="260"/>
      <c r="T4565" s="260"/>
      <c r="U4565" s="261"/>
      <c r="V4565" s="251"/>
      <c r="W4565" s="35"/>
      <c r="X4565" s="35"/>
      <c r="Y4565" s="35"/>
      <c r="Z4565" s="35"/>
      <c r="AA4565" s="35"/>
      <c r="AB4565" s="35"/>
      <c r="AC4565" s="35"/>
      <c r="AD4565" s="35"/>
      <c r="AE4565" s="35"/>
      <c r="AF4565" s="35"/>
      <c r="AG4565" s="35"/>
      <c r="AH4565" s="35"/>
      <c r="AI4565" s="35"/>
    </row>
    <row r="4566">
      <c r="A4566" s="276"/>
      <c r="B4566" s="252"/>
      <c r="C4566" s="253"/>
      <c r="D4566" s="253"/>
      <c r="E4566" s="252"/>
      <c r="F4566" s="253"/>
      <c r="G4566" s="251"/>
      <c r="H4566" s="433"/>
      <c r="I4566" s="278"/>
      <c r="J4566" s="257"/>
      <c r="K4566" s="253"/>
      <c r="L4566" s="253"/>
      <c r="M4566" s="275"/>
      <c r="N4566" s="258"/>
      <c r="O4566" s="259"/>
      <c r="P4566" s="259"/>
      <c r="Q4566" s="262"/>
      <c r="R4566" s="260"/>
      <c r="S4566" s="260"/>
      <c r="T4566" s="260"/>
      <c r="U4566" s="261"/>
      <c r="V4566" s="251"/>
      <c r="W4566" s="35"/>
      <c r="X4566" s="35"/>
      <c r="Y4566" s="35"/>
      <c r="Z4566" s="35"/>
      <c r="AA4566" s="35"/>
      <c r="AB4566" s="35"/>
      <c r="AC4566" s="35"/>
      <c r="AD4566" s="35"/>
      <c r="AE4566" s="35"/>
      <c r="AF4566" s="35"/>
      <c r="AG4566" s="35"/>
      <c r="AH4566" s="35"/>
      <c r="AI4566" s="35"/>
    </row>
    <row r="4567">
      <c r="A4567" s="251"/>
      <c r="B4567" s="252"/>
      <c r="C4567" s="253"/>
      <c r="D4567" s="253"/>
      <c r="E4567" s="252"/>
      <c r="F4567" s="253"/>
      <c r="G4567" s="251"/>
      <c r="H4567" s="433"/>
      <c r="I4567" s="278"/>
      <c r="J4567" s="257"/>
      <c r="K4567" s="253"/>
      <c r="L4567" s="253"/>
      <c r="M4567" s="275"/>
      <c r="N4567" s="258"/>
      <c r="O4567" s="259"/>
      <c r="P4567" s="259"/>
      <c r="Q4567" s="262"/>
      <c r="R4567" s="260"/>
      <c r="S4567" s="260"/>
      <c r="T4567" s="260"/>
      <c r="U4567" s="261"/>
      <c r="V4567" s="251"/>
      <c r="W4567" s="35"/>
      <c r="X4567" s="35"/>
      <c r="Y4567" s="35"/>
      <c r="Z4567" s="35"/>
      <c r="AA4567" s="35"/>
      <c r="AB4567" s="35"/>
      <c r="AC4567" s="35"/>
      <c r="AD4567" s="35"/>
      <c r="AE4567" s="35"/>
      <c r="AF4567" s="35"/>
      <c r="AG4567" s="35"/>
      <c r="AH4567" s="35"/>
      <c r="AI4567" s="35"/>
    </row>
    <row r="4568">
      <c r="A4568" s="276"/>
      <c r="B4568" s="252"/>
      <c r="C4568" s="253"/>
      <c r="D4568" s="253"/>
      <c r="E4568" s="252"/>
      <c r="F4568" s="253"/>
      <c r="G4568" s="251"/>
      <c r="H4568" s="433"/>
      <c r="I4568" s="278"/>
      <c r="J4568" s="257"/>
      <c r="K4568" s="253"/>
      <c r="L4568" s="253"/>
      <c r="M4568" s="252"/>
      <c r="N4568" s="258"/>
      <c r="O4568" s="259"/>
      <c r="P4568" s="259"/>
      <c r="Q4568" s="262"/>
      <c r="R4568" s="260"/>
      <c r="S4568" s="260"/>
      <c r="T4568" s="260"/>
      <c r="U4568" s="261"/>
      <c r="V4568" s="276"/>
      <c r="W4568" s="35"/>
      <c r="X4568" s="35"/>
      <c r="Y4568" s="35"/>
      <c r="Z4568" s="35"/>
      <c r="AA4568" s="35"/>
      <c r="AB4568" s="35"/>
      <c r="AC4568" s="35"/>
      <c r="AD4568" s="35"/>
      <c r="AE4568" s="35"/>
      <c r="AF4568" s="35"/>
      <c r="AG4568" s="35"/>
      <c r="AH4568" s="35"/>
      <c r="AI4568" s="35"/>
    </row>
    <row r="4569">
      <c r="A4569" s="251"/>
      <c r="B4569" s="252"/>
      <c r="C4569" s="253"/>
      <c r="D4569" s="253"/>
      <c r="E4569" s="252"/>
      <c r="F4569" s="253"/>
      <c r="G4569" s="251"/>
      <c r="H4569" s="433"/>
      <c r="I4569" s="278"/>
      <c r="J4569" s="257"/>
      <c r="K4569" s="253"/>
      <c r="L4569" s="253"/>
      <c r="M4569" s="252"/>
      <c r="N4569" s="258"/>
      <c r="O4569" s="259"/>
      <c r="P4569" s="259"/>
      <c r="Q4569" s="262"/>
      <c r="R4569" s="260"/>
      <c r="S4569" s="260"/>
      <c r="T4569" s="260"/>
      <c r="U4569" s="261"/>
      <c r="V4569" s="251"/>
      <c r="W4569" s="35"/>
      <c r="X4569" s="35"/>
      <c r="Y4569" s="35"/>
      <c r="Z4569" s="35"/>
      <c r="AA4569" s="35"/>
      <c r="AB4569" s="35"/>
      <c r="AC4569" s="35"/>
      <c r="AD4569" s="35"/>
      <c r="AE4569" s="35"/>
      <c r="AF4569" s="35"/>
      <c r="AG4569" s="35"/>
      <c r="AH4569" s="35"/>
      <c r="AI4569" s="35"/>
    </row>
    <row r="4570">
      <c r="A4570" s="276"/>
      <c r="B4570" s="252"/>
      <c r="C4570" s="253"/>
      <c r="D4570" s="253"/>
      <c r="E4570" s="252"/>
      <c r="F4570" s="253"/>
      <c r="G4570" s="251"/>
      <c r="H4570" s="433"/>
      <c r="I4570" s="278"/>
      <c r="J4570" s="257"/>
      <c r="K4570" s="253"/>
      <c r="L4570" s="253"/>
      <c r="M4570" s="252"/>
      <c r="N4570" s="258"/>
      <c r="O4570" s="259"/>
      <c r="P4570" s="259"/>
      <c r="Q4570" s="257"/>
      <c r="R4570" s="260"/>
      <c r="S4570" s="260"/>
      <c r="T4570" s="260"/>
      <c r="U4570" s="261"/>
      <c r="V4570" s="251"/>
      <c r="W4570" s="35"/>
      <c r="X4570" s="35"/>
      <c r="Y4570" s="35"/>
      <c r="Z4570" s="35"/>
      <c r="AA4570" s="35"/>
      <c r="AB4570" s="35"/>
      <c r="AC4570" s="35"/>
      <c r="AD4570" s="35"/>
      <c r="AE4570" s="35"/>
      <c r="AF4570" s="35"/>
      <c r="AG4570" s="35"/>
      <c r="AH4570" s="35"/>
      <c r="AI4570" s="35"/>
    </row>
    <row r="4571">
      <c r="A4571" s="276"/>
      <c r="B4571" s="252"/>
      <c r="C4571" s="253"/>
      <c r="D4571" s="253"/>
      <c r="E4571" s="252"/>
      <c r="F4571" s="253"/>
      <c r="G4571" s="251"/>
      <c r="H4571" s="433"/>
      <c r="I4571" s="278"/>
      <c r="J4571" s="257"/>
      <c r="K4571" s="253"/>
      <c r="L4571" s="253"/>
      <c r="M4571" s="275"/>
      <c r="N4571" s="258"/>
      <c r="O4571" s="259"/>
      <c r="P4571" s="259"/>
      <c r="Q4571" s="262"/>
      <c r="R4571" s="260"/>
      <c r="S4571" s="260"/>
      <c r="T4571" s="260"/>
      <c r="U4571" s="261"/>
      <c r="V4571" s="276"/>
      <c r="W4571" s="35"/>
      <c r="X4571" s="35"/>
      <c r="Y4571" s="35"/>
      <c r="Z4571" s="35"/>
      <c r="AA4571" s="35"/>
      <c r="AB4571" s="35"/>
      <c r="AC4571" s="35"/>
      <c r="AD4571" s="35"/>
      <c r="AE4571" s="35"/>
      <c r="AF4571" s="35"/>
      <c r="AG4571" s="35"/>
      <c r="AH4571" s="35"/>
      <c r="AI4571" s="35"/>
    </row>
    <row r="4572">
      <c r="A4572" s="276"/>
      <c r="B4572" s="252"/>
      <c r="C4572" s="253"/>
      <c r="D4572" s="253"/>
      <c r="E4572" s="252"/>
      <c r="F4572" s="253"/>
      <c r="G4572" s="251"/>
      <c r="H4572" s="433"/>
      <c r="I4572" s="278"/>
      <c r="J4572" s="257"/>
      <c r="K4572" s="253"/>
      <c r="L4572" s="253"/>
      <c r="M4572" s="252"/>
      <c r="N4572" s="258"/>
      <c r="O4572" s="259"/>
      <c r="P4572" s="259"/>
      <c r="Q4572" s="262"/>
      <c r="R4572" s="260"/>
      <c r="S4572" s="260"/>
      <c r="T4572" s="260"/>
      <c r="U4572" s="261"/>
      <c r="V4572" s="309"/>
      <c r="W4572" s="35"/>
      <c r="X4572" s="35"/>
      <c r="Y4572" s="35"/>
      <c r="Z4572" s="35"/>
      <c r="AA4572" s="35"/>
      <c r="AB4572" s="35"/>
      <c r="AC4572" s="35"/>
      <c r="AD4572" s="35"/>
      <c r="AE4572" s="35"/>
      <c r="AF4572" s="35"/>
      <c r="AG4572" s="35"/>
      <c r="AH4572" s="35"/>
      <c r="AI4572" s="35"/>
    </row>
    <row r="4573">
      <c r="A4573" s="276"/>
      <c r="B4573" s="252"/>
      <c r="C4573" s="253"/>
      <c r="D4573" s="253"/>
      <c r="E4573" s="252"/>
      <c r="F4573" s="253"/>
      <c r="G4573" s="251"/>
      <c r="H4573" s="433"/>
      <c r="I4573" s="278"/>
      <c r="J4573" s="257"/>
      <c r="K4573" s="253"/>
      <c r="L4573" s="253"/>
      <c r="M4573" s="252"/>
      <c r="N4573" s="258"/>
      <c r="O4573" s="259"/>
      <c r="P4573" s="259"/>
      <c r="Q4573" s="257"/>
      <c r="R4573" s="260"/>
      <c r="S4573" s="260"/>
      <c r="T4573" s="260"/>
      <c r="U4573" s="261"/>
      <c r="V4573" s="251"/>
      <c r="W4573" s="35"/>
      <c r="X4573" s="35"/>
      <c r="Y4573" s="35"/>
      <c r="Z4573" s="35"/>
      <c r="AA4573" s="35"/>
      <c r="AB4573" s="35"/>
      <c r="AC4573" s="35"/>
      <c r="AD4573" s="35"/>
      <c r="AE4573" s="35"/>
      <c r="AF4573" s="35"/>
      <c r="AG4573" s="35"/>
      <c r="AH4573" s="35"/>
      <c r="AI4573" s="35"/>
    </row>
    <row r="4574">
      <c r="A4574" s="276"/>
      <c r="B4574" s="252"/>
      <c r="C4574" s="253"/>
      <c r="D4574" s="253"/>
      <c r="E4574" s="252"/>
      <c r="F4574" s="253"/>
      <c r="G4574" s="251"/>
      <c r="H4574" s="433"/>
      <c r="I4574" s="278"/>
      <c r="J4574" s="257"/>
      <c r="K4574" s="253"/>
      <c r="L4574" s="253"/>
      <c r="M4574" s="252"/>
      <c r="N4574" s="258"/>
      <c r="O4574" s="259"/>
      <c r="P4574" s="259"/>
      <c r="Q4574" s="257"/>
      <c r="R4574" s="260"/>
      <c r="S4574" s="260"/>
      <c r="T4574" s="260"/>
      <c r="U4574" s="261"/>
      <c r="V4574" s="251"/>
      <c r="W4574" s="35"/>
      <c r="X4574" s="35"/>
      <c r="Y4574" s="35"/>
      <c r="Z4574" s="35"/>
      <c r="AA4574" s="35"/>
      <c r="AB4574" s="35"/>
      <c r="AC4574" s="35"/>
      <c r="AD4574" s="35"/>
      <c r="AE4574" s="35"/>
      <c r="AF4574" s="35"/>
      <c r="AG4574" s="35"/>
      <c r="AH4574" s="35"/>
      <c r="AI4574" s="35"/>
    </row>
    <row r="4575">
      <c r="A4575" s="251"/>
      <c r="B4575" s="252"/>
      <c r="C4575" s="253"/>
      <c r="D4575" s="253"/>
      <c r="E4575" s="252"/>
      <c r="F4575" s="253"/>
      <c r="G4575" s="251"/>
      <c r="H4575" s="433"/>
      <c r="I4575" s="278"/>
      <c r="J4575" s="257"/>
      <c r="K4575" s="253"/>
      <c r="L4575" s="253"/>
      <c r="M4575" s="252"/>
      <c r="N4575" s="258"/>
      <c r="O4575" s="259"/>
      <c r="P4575" s="259"/>
      <c r="Q4575" s="262"/>
      <c r="R4575" s="260"/>
      <c r="S4575" s="260"/>
      <c r="T4575" s="260"/>
      <c r="U4575" s="261"/>
      <c r="V4575" s="251"/>
      <c r="W4575" s="35"/>
      <c r="X4575" s="35"/>
      <c r="Y4575" s="35"/>
      <c r="Z4575" s="35"/>
      <c r="AA4575" s="35"/>
      <c r="AB4575" s="35"/>
      <c r="AC4575" s="35"/>
      <c r="AD4575" s="35"/>
      <c r="AE4575" s="35"/>
      <c r="AF4575" s="35"/>
      <c r="AG4575" s="35"/>
      <c r="AH4575" s="35"/>
      <c r="AI4575" s="35"/>
    </row>
    <row r="4576">
      <c r="A4576" s="251"/>
      <c r="B4576" s="252"/>
      <c r="C4576" s="253"/>
      <c r="D4576" s="253"/>
      <c r="E4576" s="252"/>
      <c r="F4576" s="253"/>
      <c r="G4576" s="251"/>
      <c r="H4576" s="433"/>
      <c r="I4576" s="278"/>
      <c r="J4576" s="257"/>
      <c r="K4576" s="253"/>
      <c r="L4576" s="253"/>
      <c r="M4576" s="252"/>
      <c r="N4576" s="258"/>
      <c r="O4576" s="259"/>
      <c r="P4576" s="259"/>
      <c r="Q4576" s="262"/>
      <c r="R4576" s="260"/>
      <c r="S4576" s="260"/>
      <c r="T4576" s="260"/>
      <c r="U4576" s="261"/>
      <c r="V4576" s="251"/>
      <c r="W4576" s="35"/>
      <c r="X4576" s="35"/>
      <c r="Y4576" s="35"/>
      <c r="Z4576" s="35"/>
      <c r="AA4576" s="35"/>
      <c r="AB4576" s="35"/>
      <c r="AC4576" s="35"/>
      <c r="AD4576" s="35"/>
      <c r="AE4576" s="35"/>
      <c r="AF4576" s="35"/>
      <c r="AG4576" s="35"/>
      <c r="AH4576" s="35"/>
      <c r="AI4576" s="35"/>
    </row>
    <row r="4577">
      <c r="A4577" s="276"/>
      <c r="B4577" s="252"/>
      <c r="C4577" s="253"/>
      <c r="D4577" s="253"/>
      <c r="E4577" s="252"/>
      <c r="F4577" s="253"/>
      <c r="G4577" s="251"/>
      <c r="H4577" s="433"/>
      <c r="I4577" s="278"/>
      <c r="J4577" s="257"/>
      <c r="K4577" s="253"/>
      <c r="L4577" s="253"/>
      <c r="M4577" s="252"/>
      <c r="N4577" s="258"/>
      <c r="O4577" s="259"/>
      <c r="P4577" s="259"/>
      <c r="Q4577" s="262"/>
      <c r="R4577" s="260"/>
      <c r="S4577" s="260"/>
      <c r="T4577" s="260"/>
      <c r="U4577" s="261"/>
      <c r="V4577" s="251"/>
      <c r="W4577" s="35"/>
      <c r="X4577" s="35"/>
      <c r="Y4577" s="35"/>
      <c r="Z4577" s="35"/>
      <c r="AA4577" s="35"/>
      <c r="AB4577" s="35"/>
      <c r="AC4577" s="35"/>
      <c r="AD4577" s="35"/>
      <c r="AE4577" s="35"/>
      <c r="AF4577" s="35"/>
      <c r="AG4577" s="35"/>
      <c r="AH4577" s="35"/>
      <c r="AI4577" s="35"/>
    </row>
    <row r="4578">
      <c r="A4578" s="251"/>
      <c r="B4578" s="252"/>
      <c r="C4578" s="253"/>
      <c r="D4578" s="253"/>
      <c r="E4578" s="252"/>
      <c r="F4578" s="253"/>
      <c r="G4578" s="251"/>
      <c r="H4578" s="433"/>
      <c r="I4578" s="278"/>
      <c r="J4578" s="257"/>
      <c r="K4578" s="253"/>
      <c r="L4578" s="253"/>
      <c r="M4578" s="275"/>
      <c r="N4578" s="258"/>
      <c r="O4578" s="259"/>
      <c r="P4578" s="259"/>
      <c r="Q4578" s="262"/>
      <c r="R4578" s="260"/>
      <c r="S4578" s="260"/>
      <c r="T4578" s="260"/>
      <c r="U4578" s="261"/>
      <c r="V4578" s="251"/>
      <c r="W4578" s="35"/>
      <c r="X4578" s="35"/>
      <c r="Y4578" s="35"/>
      <c r="Z4578" s="35"/>
      <c r="AA4578" s="35"/>
      <c r="AB4578" s="35"/>
      <c r="AC4578" s="35"/>
      <c r="AD4578" s="35"/>
      <c r="AE4578" s="35"/>
      <c r="AF4578" s="35"/>
      <c r="AG4578" s="35"/>
      <c r="AH4578" s="35"/>
      <c r="AI4578" s="35"/>
    </row>
    <row r="4579">
      <c r="A4579" s="251"/>
      <c r="B4579" s="252"/>
      <c r="C4579" s="253"/>
      <c r="D4579" s="253"/>
      <c r="E4579" s="252"/>
      <c r="F4579" s="253"/>
      <c r="G4579" s="251"/>
      <c r="H4579" s="433"/>
      <c r="I4579" s="278"/>
      <c r="J4579" s="257"/>
      <c r="K4579" s="253"/>
      <c r="L4579" s="253"/>
      <c r="M4579" s="275"/>
      <c r="N4579" s="258"/>
      <c r="O4579" s="259"/>
      <c r="P4579" s="259"/>
      <c r="Q4579" s="262"/>
      <c r="R4579" s="260"/>
      <c r="S4579" s="260"/>
      <c r="T4579" s="260"/>
      <c r="U4579" s="261"/>
      <c r="V4579" s="251"/>
      <c r="W4579" s="35"/>
      <c r="X4579" s="35"/>
      <c r="Y4579" s="35"/>
      <c r="Z4579" s="35"/>
      <c r="AA4579" s="35"/>
      <c r="AB4579" s="35"/>
      <c r="AC4579" s="35"/>
      <c r="AD4579" s="35"/>
      <c r="AE4579" s="35"/>
      <c r="AF4579" s="35"/>
      <c r="AG4579" s="35"/>
      <c r="AH4579" s="35"/>
      <c r="AI4579" s="35"/>
    </row>
    <row r="4580">
      <c r="A4580" s="251"/>
      <c r="B4580" s="252"/>
      <c r="C4580" s="253"/>
      <c r="D4580" s="253"/>
      <c r="E4580" s="252"/>
      <c r="F4580" s="253"/>
      <c r="G4580" s="251"/>
      <c r="H4580" s="433"/>
      <c r="I4580" s="278"/>
      <c r="J4580" s="257"/>
      <c r="K4580" s="253"/>
      <c r="L4580" s="253"/>
      <c r="M4580" s="275"/>
      <c r="N4580" s="258"/>
      <c r="O4580" s="259"/>
      <c r="P4580" s="259"/>
      <c r="Q4580" s="257"/>
      <c r="R4580" s="260"/>
      <c r="S4580" s="260"/>
      <c r="T4580" s="260"/>
      <c r="U4580" s="261"/>
      <c r="V4580" s="251"/>
      <c r="W4580" s="35"/>
      <c r="X4580" s="35"/>
      <c r="Y4580" s="35"/>
      <c r="Z4580" s="35"/>
      <c r="AA4580" s="35"/>
      <c r="AB4580" s="35"/>
      <c r="AC4580" s="35"/>
      <c r="AD4580" s="35"/>
      <c r="AE4580" s="35"/>
      <c r="AF4580" s="35"/>
      <c r="AG4580" s="35"/>
      <c r="AH4580" s="35"/>
      <c r="AI4580" s="35"/>
    </row>
    <row r="4581">
      <c r="A4581" s="251"/>
      <c r="B4581" s="252"/>
      <c r="C4581" s="253"/>
      <c r="D4581" s="253"/>
      <c r="E4581" s="252"/>
      <c r="F4581" s="253"/>
      <c r="G4581" s="251"/>
      <c r="H4581" s="433"/>
      <c r="I4581" s="278"/>
      <c r="J4581" s="257"/>
      <c r="K4581" s="253"/>
      <c r="L4581" s="253"/>
      <c r="M4581" s="275"/>
      <c r="N4581" s="258"/>
      <c r="O4581" s="259"/>
      <c r="P4581" s="259"/>
      <c r="Q4581" s="262"/>
      <c r="R4581" s="260"/>
      <c r="S4581" s="260"/>
      <c r="T4581" s="260"/>
      <c r="U4581" s="261"/>
      <c r="V4581" s="251"/>
      <c r="W4581" s="35"/>
      <c r="X4581" s="35"/>
      <c r="Y4581" s="35"/>
      <c r="Z4581" s="35"/>
      <c r="AA4581" s="35"/>
      <c r="AB4581" s="35"/>
      <c r="AC4581" s="35"/>
      <c r="AD4581" s="35"/>
      <c r="AE4581" s="35"/>
      <c r="AF4581" s="35"/>
      <c r="AG4581" s="35"/>
      <c r="AH4581" s="35"/>
      <c r="AI4581" s="35"/>
    </row>
    <row r="4582">
      <c r="A4582" s="276"/>
      <c r="B4582" s="252"/>
      <c r="C4582" s="253"/>
      <c r="D4582" s="253"/>
      <c r="E4582" s="252"/>
      <c r="F4582" s="253"/>
      <c r="G4582" s="251"/>
      <c r="H4582" s="433"/>
      <c r="I4582" s="278"/>
      <c r="J4582" s="257"/>
      <c r="K4582" s="253"/>
      <c r="L4582" s="253"/>
      <c r="M4582" s="252"/>
      <c r="N4582" s="258"/>
      <c r="O4582" s="259"/>
      <c r="P4582" s="259"/>
      <c r="Q4582" s="262"/>
      <c r="R4582" s="260"/>
      <c r="S4582" s="260"/>
      <c r="T4582" s="260"/>
      <c r="U4582" s="261"/>
      <c r="V4582" s="309"/>
      <c r="W4582" s="35"/>
      <c r="X4582" s="35"/>
      <c r="Y4582" s="35"/>
      <c r="Z4582" s="35"/>
      <c r="AA4582" s="35"/>
      <c r="AB4582" s="35"/>
      <c r="AC4582" s="35"/>
      <c r="AD4582" s="35"/>
      <c r="AE4582" s="35"/>
      <c r="AF4582" s="35"/>
      <c r="AG4582" s="35"/>
      <c r="AH4582" s="35"/>
      <c r="AI4582" s="35"/>
    </row>
    <row r="4583">
      <c r="A4583" s="276"/>
      <c r="B4583" s="252"/>
      <c r="C4583" s="253"/>
      <c r="D4583" s="253"/>
      <c r="E4583" s="252"/>
      <c r="F4583" s="253"/>
      <c r="G4583" s="251"/>
      <c r="H4583" s="433"/>
      <c r="I4583" s="278"/>
      <c r="J4583" s="257"/>
      <c r="K4583" s="253"/>
      <c r="L4583" s="253"/>
      <c r="M4583" s="252"/>
      <c r="N4583" s="258"/>
      <c r="O4583" s="259"/>
      <c r="P4583" s="259"/>
      <c r="Q4583" s="262"/>
      <c r="R4583" s="260"/>
      <c r="S4583" s="260"/>
      <c r="T4583" s="260"/>
      <c r="U4583" s="261"/>
      <c r="V4583" s="251"/>
      <c r="W4583" s="35"/>
      <c r="X4583" s="35"/>
      <c r="Y4583" s="35"/>
      <c r="Z4583" s="35"/>
      <c r="AA4583" s="35"/>
      <c r="AB4583" s="35"/>
      <c r="AC4583" s="35"/>
      <c r="AD4583" s="35"/>
      <c r="AE4583" s="35"/>
      <c r="AF4583" s="35"/>
      <c r="AG4583" s="35"/>
      <c r="AH4583" s="35"/>
      <c r="AI4583" s="35"/>
    </row>
    <row r="4584">
      <c r="A4584" s="276"/>
      <c r="B4584" s="252"/>
      <c r="C4584" s="253"/>
      <c r="D4584" s="253"/>
      <c r="E4584" s="252"/>
      <c r="F4584" s="253"/>
      <c r="G4584" s="251"/>
      <c r="H4584" s="433"/>
      <c r="I4584" s="278"/>
      <c r="J4584" s="257"/>
      <c r="K4584" s="253"/>
      <c r="L4584" s="253"/>
      <c r="M4584" s="252"/>
      <c r="N4584" s="258"/>
      <c r="O4584" s="259"/>
      <c r="P4584" s="259"/>
      <c r="Q4584" s="262"/>
      <c r="R4584" s="260"/>
      <c r="S4584" s="260"/>
      <c r="T4584" s="273"/>
      <c r="U4584" s="274"/>
      <c r="V4584" s="266"/>
      <c r="W4584" s="35"/>
      <c r="X4584" s="35"/>
      <c r="Y4584" s="35"/>
      <c r="Z4584" s="35"/>
      <c r="AA4584" s="35"/>
      <c r="AB4584" s="35"/>
      <c r="AC4584" s="35"/>
      <c r="AD4584" s="35"/>
      <c r="AE4584" s="35"/>
      <c r="AF4584" s="35"/>
      <c r="AG4584" s="35"/>
      <c r="AH4584" s="35"/>
      <c r="AI4584" s="35"/>
    </row>
    <row r="4585">
      <c r="A4585" s="251"/>
      <c r="B4585" s="252"/>
      <c r="C4585" s="253"/>
      <c r="D4585" s="253"/>
      <c r="E4585" s="252"/>
      <c r="F4585" s="253"/>
      <c r="G4585" s="251"/>
      <c r="H4585" s="433"/>
      <c r="I4585" s="278"/>
      <c r="J4585" s="257"/>
      <c r="K4585" s="253"/>
      <c r="L4585" s="253"/>
      <c r="M4585" s="252"/>
      <c r="N4585" s="258"/>
      <c r="O4585" s="259"/>
      <c r="P4585" s="259"/>
      <c r="Q4585" s="262"/>
      <c r="R4585" s="260"/>
      <c r="S4585" s="260"/>
      <c r="T4585" s="260"/>
      <c r="U4585" s="261"/>
      <c r="V4585" s="251"/>
      <c r="W4585" s="35"/>
      <c r="X4585" s="35"/>
      <c r="Y4585" s="35"/>
      <c r="Z4585" s="35"/>
      <c r="AA4585" s="35"/>
      <c r="AB4585" s="35"/>
      <c r="AC4585" s="35"/>
      <c r="AD4585" s="35"/>
      <c r="AE4585" s="35"/>
      <c r="AF4585" s="35"/>
      <c r="AG4585" s="35"/>
      <c r="AH4585" s="35"/>
      <c r="AI4585" s="35"/>
    </row>
    <row r="4586">
      <c r="A4586" s="276"/>
      <c r="B4586" s="252"/>
      <c r="C4586" s="253"/>
      <c r="D4586" s="253"/>
      <c r="E4586" s="252"/>
      <c r="F4586" s="253"/>
      <c r="G4586" s="251"/>
      <c r="H4586" s="433"/>
      <c r="I4586" s="278"/>
      <c r="J4586" s="257"/>
      <c r="K4586" s="253"/>
      <c r="L4586" s="253"/>
      <c r="M4586" s="252"/>
      <c r="N4586" s="258"/>
      <c r="O4586" s="259"/>
      <c r="P4586" s="259"/>
      <c r="Q4586" s="262"/>
      <c r="R4586" s="260"/>
      <c r="S4586" s="260"/>
      <c r="T4586" s="260"/>
      <c r="U4586" s="261"/>
      <c r="V4586" s="251"/>
      <c r="W4586" s="35"/>
      <c r="X4586" s="35"/>
      <c r="Y4586" s="35"/>
      <c r="Z4586" s="35"/>
      <c r="AA4586" s="35"/>
      <c r="AB4586" s="35"/>
      <c r="AC4586" s="35"/>
      <c r="AD4586" s="35"/>
      <c r="AE4586" s="35"/>
      <c r="AF4586" s="35"/>
      <c r="AG4586" s="35"/>
      <c r="AH4586" s="35"/>
      <c r="AI4586" s="35"/>
    </row>
    <row r="4587">
      <c r="A4587" s="276"/>
      <c r="B4587" s="252"/>
      <c r="C4587" s="253"/>
      <c r="D4587" s="253"/>
      <c r="E4587" s="252"/>
      <c r="F4587" s="253"/>
      <c r="G4587" s="251"/>
      <c r="H4587" s="433"/>
      <c r="I4587" s="278"/>
      <c r="J4587" s="257"/>
      <c r="K4587" s="253"/>
      <c r="L4587" s="253"/>
      <c r="M4587" s="252"/>
      <c r="N4587" s="258"/>
      <c r="O4587" s="259"/>
      <c r="P4587" s="259"/>
      <c r="Q4587" s="262"/>
      <c r="R4587" s="260"/>
      <c r="S4587" s="260"/>
      <c r="T4587" s="260"/>
      <c r="U4587" s="261"/>
      <c r="V4587" s="251"/>
      <c r="W4587" s="35"/>
      <c r="X4587" s="35"/>
      <c r="Y4587" s="35"/>
      <c r="Z4587" s="35"/>
      <c r="AA4587" s="35"/>
      <c r="AB4587" s="35"/>
      <c r="AC4587" s="35"/>
      <c r="AD4587" s="35"/>
      <c r="AE4587" s="35"/>
      <c r="AF4587" s="35"/>
      <c r="AG4587" s="35"/>
      <c r="AH4587" s="35"/>
      <c r="AI4587" s="35"/>
    </row>
    <row r="4588">
      <c r="A4588" s="251"/>
      <c r="B4588" s="252"/>
      <c r="C4588" s="253"/>
      <c r="D4588" s="253"/>
      <c r="E4588" s="252"/>
      <c r="F4588" s="253"/>
      <c r="G4588" s="251"/>
      <c r="H4588" s="433"/>
      <c r="I4588" s="278"/>
      <c r="J4588" s="257"/>
      <c r="K4588" s="253"/>
      <c r="L4588" s="253"/>
      <c r="M4588" s="252"/>
      <c r="N4588" s="258"/>
      <c r="O4588" s="259"/>
      <c r="P4588" s="259"/>
      <c r="Q4588" s="257"/>
      <c r="R4588" s="260"/>
      <c r="S4588" s="260"/>
      <c r="T4588" s="260"/>
      <c r="U4588" s="261"/>
      <c r="V4588" s="251"/>
      <c r="W4588" s="35"/>
      <c r="X4588" s="35"/>
      <c r="Y4588" s="35"/>
      <c r="Z4588" s="35"/>
      <c r="AA4588" s="35"/>
      <c r="AB4588" s="35"/>
      <c r="AC4588" s="35"/>
      <c r="AD4588" s="35"/>
      <c r="AE4588" s="35"/>
      <c r="AF4588" s="35"/>
      <c r="AG4588" s="35"/>
      <c r="AH4588" s="35"/>
      <c r="AI4588" s="35"/>
    </row>
    <row r="4589">
      <c r="A4589" s="251"/>
      <c r="B4589" s="252"/>
      <c r="C4589" s="253"/>
      <c r="D4589" s="253"/>
      <c r="E4589" s="252"/>
      <c r="F4589" s="253"/>
      <c r="G4589" s="251"/>
      <c r="H4589" s="433"/>
      <c r="I4589" s="278"/>
      <c r="J4589" s="257"/>
      <c r="K4589" s="253"/>
      <c r="L4589" s="253"/>
      <c r="M4589" s="252"/>
      <c r="N4589" s="258"/>
      <c r="O4589" s="259"/>
      <c r="P4589" s="259"/>
      <c r="Q4589" s="257"/>
      <c r="R4589" s="260"/>
      <c r="S4589" s="260"/>
      <c r="T4589" s="260"/>
      <c r="U4589" s="261"/>
      <c r="V4589" s="251"/>
      <c r="W4589" s="35"/>
      <c r="X4589" s="35"/>
      <c r="Y4589" s="35"/>
      <c r="Z4589" s="35"/>
      <c r="AA4589" s="35"/>
      <c r="AB4589" s="35"/>
      <c r="AC4589" s="35"/>
      <c r="AD4589" s="35"/>
      <c r="AE4589" s="35"/>
      <c r="AF4589" s="35"/>
      <c r="AG4589" s="35"/>
      <c r="AH4589" s="35"/>
      <c r="AI4589" s="35"/>
    </row>
    <row r="4590">
      <c r="A4590" s="251"/>
      <c r="B4590" s="252"/>
      <c r="C4590" s="253"/>
      <c r="D4590" s="253"/>
      <c r="E4590" s="252"/>
      <c r="F4590" s="253"/>
      <c r="G4590" s="251"/>
      <c r="H4590" s="433"/>
      <c r="I4590" s="278"/>
      <c r="J4590" s="257"/>
      <c r="K4590" s="253"/>
      <c r="L4590" s="253"/>
      <c r="M4590" s="252"/>
      <c r="N4590" s="258"/>
      <c r="O4590" s="259"/>
      <c r="P4590" s="259"/>
      <c r="Q4590" s="262"/>
      <c r="R4590" s="260"/>
      <c r="S4590" s="260"/>
      <c r="T4590" s="260"/>
      <c r="U4590" s="261"/>
      <c r="V4590" s="251"/>
      <c r="W4590" s="35"/>
      <c r="X4590" s="35"/>
      <c r="Y4590" s="35"/>
      <c r="Z4590" s="35"/>
      <c r="AA4590" s="35"/>
      <c r="AB4590" s="35"/>
      <c r="AC4590" s="35"/>
      <c r="AD4590" s="35"/>
      <c r="AE4590" s="35"/>
      <c r="AF4590" s="35"/>
      <c r="AG4590" s="35"/>
      <c r="AH4590" s="35"/>
      <c r="AI4590" s="35"/>
    </row>
    <row r="4591">
      <c r="A4591" s="251"/>
      <c r="B4591" s="252"/>
      <c r="C4591" s="253"/>
      <c r="D4591" s="253"/>
      <c r="E4591" s="252"/>
      <c r="F4591" s="253"/>
      <c r="G4591" s="251"/>
      <c r="H4591" s="433"/>
      <c r="I4591" s="278"/>
      <c r="J4591" s="257"/>
      <c r="K4591" s="253"/>
      <c r="L4591" s="253"/>
      <c r="M4591" s="252"/>
      <c r="N4591" s="258"/>
      <c r="O4591" s="259"/>
      <c r="P4591" s="259"/>
      <c r="Q4591" s="262"/>
      <c r="R4591" s="260"/>
      <c r="S4591" s="260"/>
      <c r="T4591" s="260"/>
      <c r="U4591" s="261"/>
      <c r="V4591" s="251"/>
      <c r="W4591" s="35"/>
      <c r="X4591" s="35"/>
      <c r="Y4591" s="35"/>
      <c r="Z4591" s="35"/>
      <c r="AA4591" s="35"/>
      <c r="AB4591" s="35"/>
      <c r="AC4591" s="35"/>
      <c r="AD4591" s="35"/>
      <c r="AE4591" s="35"/>
      <c r="AF4591" s="35"/>
      <c r="AG4591" s="35"/>
      <c r="AH4591" s="35"/>
      <c r="AI4591" s="35"/>
    </row>
    <row r="4592">
      <c r="A4592" s="251"/>
      <c r="B4592" s="252"/>
      <c r="C4592" s="253"/>
      <c r="D4592" s="253"/>
      <c r="E4592" s="252"/>
      <c r="F4592" s="253"/>
      <c r="G4592" s="251"/>
      <c r="H4592" s="433"/>
      <c r="I4592" s="278"/>
      <c r="J4592" s="257"/>
      <c r="K4592" s="253"/>
      <c r="L4592" s="253"/>
      <c r="M4592" s="275"/>
      <c r="N4592" s="258"/>
      <c r="O4592" s="259"/>
      <c r="P4592" s="259"/>
      <c r="Q4592" s="262"/>
      <c r="R4592" s="260"/>
      <c r="S4592" s="260"/>
      <c r="T4592" s="260"/>
      <c r="U4592" s="261"/>
      <c r="V4592" s="251"/>
      <c r="W4592" s="35"/>
      <c r="X4592" s="35"/>
      <c r="Y4592" s="35"/>
      <c r="Z4592" s="35"/>
      <c r="AA4592" s="35"/>
      <c r="AB4592" s="35"/>
      <c r="AC4592" s="35"/>
      <c r="AD4592" s="35"/>
      <c r="AE4592" s="35"/>
      <c r="AF4592" s="35"/>
      <c r="AG4592" s="35"/>
      <c r="AH4592" s="35"/>
      <c r="AI4592" s="35"/>
    </row>
    <row r="4593">
      <c r="A4593" s="251"/>
      <c r="B4593" s="252"/>
      <c r="C4593" s="253"/>
      <c r="D4593" s="253"/>
      <c r="E4593" s="252"/>
      <c r="F4593" s="253"/>
      <c r="G4593" s="251"/>
      <c r="H4593" s="433"/>
      <c r="I4593" s="278"/>
      <c r="J4593" s="257"/>
      <c r="K4593" s="253"/>
      <c r="L4593" s="253"/>
      <c r="M4593" s="252"/>
      <c r="N4593" s="258"/>
      <c r="O4593" s="259"/>
      <c r="P4593" s="259"/>
      <c r="Q4593" s="262"/>
      <c r="R4593" s="260"/>
      <c r="S4593" s="260"/>
      <c r="T4593" s="260"/>
      <c r="U4593" s="261"/>
      <c r="V4593" s="251"/>
      <c r="W4593" s="35"/>
      <c r="X4593" s="35"/>
      <c r="Y4593" s="35"/>
      <c r="Z4593" s="35"/>
      <c r="AA4593" s="35"/>
      <c r="AB4593" s="35"/>
      <c r="AC4593" s="35"/>
      <c r="AD4593" s="35"/>
      <c r="AE4593" s="35"/>
      <c r="AF4593" s="35"/>
      <c r="AG4593" s="35"/>
      <c r="AH4593" s="35"/>
      <c r="AI4593" s="35"/>
    </row>
    <row r="4594">
      <c r="A4594" s="276"/>
      <c r="B4594" s="252"/>
      <c r="C4594" s="253"/>
      <c r="D4594" s="253"/>
      <c r="E4594" s="252"/>
      <c r="F4594" s="253"/>
      <c r="G4594" s="251"/>
      <c r="H4594" s="433"/>
      <c r="I4594" s="278"/>
      <c r="J4594" s="257"/>
      <c r="K4594" s="253"/>
      <c r="L4594" s="253"/>
      <c r="M4594" s="252"/>
      <c r="N4594" s="258"/>
      <c r="O4594" s="259"/>
      <c r="P4594" s="259"/>
      <c r="Q4594" s="262"/>
      <c r="R4594" s="260"/>
      <c r="S4594" s="260"/>
      <c r="T4594" s="273"/>
      <c r="U4594" s="274"/>
      <c r="V4594" s="263"/>
      <c r="W4594" s="35"/>
      <c r="X4594" s="35"/>
      <c r="Y4594" s="35"/>
      <c r="Z4594" s="35"/>
      <c r="AA4594" s="35"/>
      <c r="AB4594" s="35"/>
      <c r="AC4594" s="35"/>
      <c r="AD4594" s="35"/>
      <c r="AE4594" s="35"/>
      <c r="AF4594" s="35"/>
      <c r="AG4594" s="35"/>
      <c r="AH4594" s="35"/>
      <c r="AI4594" s="35"/>
    </row>
    <row r="4595">
      <c r="A4595" s="276"/>
      <c r="B4595" s="252"/>
      <c r="C4595" s="253"/>
      <c r="D4595" s="253"/>
      <c r="E4595" s="252"/>
      <c r="F4595" s="253"/>
      <c r="G4595" s="251"/>
      <c r="H4595" s="433"/>
      <c r="I4595" s="278"/>
      <c r="J4595" s="257"/>
      <c r="K4595" s="253"/>
      <c r="L4595" s="253"/>
      <c r="M4595" s="252"/>
      <c r="N4595" s="258"/>
      <c r="O4595" s="259"/>
      <c r="P4595" s="259"/>
      <c r="Q4595" s="262"/>
      <c r="R4595" s="260"/>
      <c r="S4595" s="260"/>
      <c r="T4595" s="260"/>
      <c r="U4595" s="261"/>
      <c r="V4595" s="251"/>
      <c r="W4595" s="35"/>
      <c r="X4595" s="35"/>
      <c r="Y4595" s="35"/>
      <c r="Z4595" s="35"/>
      <c r="AA4595" s="35"/>
      <c r="AB4595" s="35"/>
      <c r="AC4595" s="35"/>
      <c r="AD4595" s="35"/>
      <c r="AE4595" s="35"/>
      <c r="AF4595" s="35"/>
      <c r="AG4595" s="35"/>
      <c r="AH4595" s="35"/>
      <c r="AI4595" s="35"/>
    </row>
    <row r="4596">
      <c r="A4596" s="251"/>
      <c r="B4596" s="252"/>
      <c r="C4596" s="253"/>
      <c r="D4596" s="253"/>
      <c r="E4596" s="252"/>
      <c r="F4596" s="253"/>
      <c r="G4596" s="251"/>
      <c r="H4596" s="433"/>
      <c r="I4596" s="278"/>
      <c r="J4596" s="257"/>
      <c r="K4596" s="253"/>
      <c r="L4596" s="253"/>
      <c r="M4596" s="275"/>
      <c r="N4596" s="258"/>
      <c r="O4596" s="259"/>
      <c r="P4596" s="259"/>
      <c r="Q4596" s="262"/>
      <c r="R4596" s="260"/>
      <c r="S4596" s="260"/>
      <c r="T4596" s="260"/>
      <c r="U4596" s="261"/>
      <c r="V4596" s="251"/>
      <c r="W4596" s="35"/>
      <c r="X4596" s="35"/>
      <c r="Y4596" s="35"/>
      <c r="Z4596" s="35"/>
      <c r="AA4596" s="35"/>
      <c r="AB4596" s="35"/>
      <c r="AC4596" s="35"/>
      <c r="AD4596" s="35"/>
      <c r="AE4596" s="35"/>
      <c r="AF4596" s="35"/>
      <c r="AG4596" s="35"/>
      <c r="AH4596" s="35"/>
      <c r="AI4596" s="35"/>
    </row>
    <row r="4597">
      <c r="A4597" s="251"/>
      <c r="B4597" s="252"/>
      <c r="C4597" s="253"/>
      <c r="D4597" s="253"/>
      <c r="E4597" s="252"/>
      <c r="F4597" s="253"/>
      <c r="G4597" s="251"/>
      <c r="H4597" s="433"/>
      <c r="I4597" s="278"/>
      <c r="J4597" s="257"/>
      <c r="K4597" s="253"/>
      <c r="L4597" s="253"/>
      <c r="M4597" s="275"/>
      <c r="N4597" s="258"/>
      <c r="O4597" s="259"/>
      <c r="P4597" s="259"/>
      <c r="Q4597" s="257"/>
      <c r="R4597" s="260"/>
      <c r="S4597" s="260"/>
      <c r="T4597" s="260"/>
      <c r="U4597" s="261"/>
      <c r="V4597" s="251"/>
      <c r="W4597" s="35"/>
      <c r="X4597" s="35"/>
      <c r="Y4597" s="35"/>
      <c r="Z4597" s="35"/>
      <c r="AA4597" s="35"/>
      <c r="AB4597" s="35"/>
      <c r="AC4597" s="35"/>
      <c r="AD4597" s="35"/>
      <c r="AE4597" s="35"/>
      <c r="AF4597" s="35"/>
      <c r="AG4597" s="35"/>
      <c r="AH4597" s="35"/>
      <c r="AI4597" s="35"/>
    </row>
    <row r="4598">
      <c r="A4598" s="276"/>
      <c r="B4598" s="252"/>
      <c r="C4598" s="253"/>
      <c r="D4598" s="253"/>
      <c r="E4598" s="252"/>
      <c r="F4598" s="253"/>
      <c r="G4598" s="251"/>
      <c r="H4598" s="433"/>
      <c r="I4598" s="278"/>
      <c r="J4598" s="257"/>
      <c r="K4598" s="253"/>
      <c r="L4598" s="253"/>
      <c r="M4598" s="252"/>
      <c r="N4598" s="258"/>
      <c r="O4598" s="259"/>
      <c r="P4598" s="259"/>
      <c r="Q4598" s="262"/>
      <c r="R4598" s="260"/>
      <c r="S4598" s="260"/>
      <c r="T4598" s="260"/>
      <c r="U4598" s="261"/>
      <c r="V4598" s="251"/>
      <c r="W4598" s="35"/>
      <c r="X4598" s="35"/>
      <c r="Y4598" s="35"/>
      <c r="Z4598" s="35"/>
      <c r="AA4598" s="35"/>
      <c r="AB4598" s="35"/>
      <c r="AC4598" s="35"/>
      <c r="AD4598" s="35"/>
      <c r="AE4598" s="35"/>
      <c r="AF4598" s="35"/>
      <c r="AG4598" s="35"/>
      <c r="AH4598" s="35"/>
      <c r="AI4598" s="35"/>
    </row>
    <row r="4599">
      <c r="A4599" s="251"/>
      <c r="B4599" s="252"/>
      <c r="C4599" s="253"/>
      <c r="D4599" s="253"/>
      <c r="E4599" s="252"/>
      <c r="F4599" s="253"/>
      <c r="G4599" s="251"/>
      <c r="H4599" s="433"/>
      <c r="I4599" s="278"/>
      <c r="J4599" s="257"/>
      <c r="K4599" s="253"/>
      <c r="L4599" s="253"/>
      <c r="M4599" s="275"/>
      <c r="N4599" s="258"/>
      <c r="O4599" s="259"/>
      <c r="P4599" s="259"/>
      <c r="Q4599" s="262"/>
      <c r="R4599" s="260"/>
      <c r="S4599" s="260"/>
      <c r="T4599" s="260"/>
      <c r="U4599" s="261"/>
      <c r="V4599" s="251"/>
      <c r="W4599" s="35"/>
      <c r="X4599" s="35"/>
      <c r="Y4599" s="35"/>
      <c r="Z4599" s="35"/>
      <c r="AA4599" s="35"/>
      <c r="AB4599" s="35"/>
      <c r="AC4599" s="35"/>
      <c r="AD4599" s="35"/>
      <c r="AE4599" s="35"/>
      <c r="AF4599" s="35"/>
      <c r="AG4599" s="35"/>
      <c r="AH4599" s="35"/>
      <c r="AI4599" s="35"/>
    </row>
    <row r="4600">
      <c r="A4600" s="251"/>
      <c r="B4600" s="252"/>
      <c r="C4600" s="253"/>
      <c r="D4600" s="253"/>
      <c r="E4600" s="252"/>
      <c r="F4600" s="253"/>
      <c r="G4600" s="251"/>
      <c r="H4600" s="433"/>
      <c r="I4600" s="278"/>
      <c r="J4600" s="257"/>
      <c r="K4600" s="253"/>
      <c r="L4600" s="253"/>
      <c r="M4600" s="252"/>
      <c r="N4600" s="258"/>
      <c r="O4600" s="259"/>
      <c r="P4600" s="259"/>
      <c r="Q4600" s="262"/>
      <c r="R4600" s="260"/>
      <c r="S4600" s="260"/>
      <c r="T4600" s="260"/>
      <c r="U4600" s="261"/>
      <c r="V4600" s="251"/>
      <c r="W4600" s="35"/>
      <c r="X4600" s="35"/>
      <c r="Y4600" s="35"/>
      <c r="Z4600" s="35"/>
      <c r="AA4600" s="35"/>
      <c r="AB4600" s="35"/>
      <c r="AC4600" s="35"/>
      <c r="AD4600" s="35"/>
      <c r="AE4600" s="35"/>
      <c r="AF4600" s="35"/>
      <c r="AG4600" s="35"/>
      <c r="AH4600" s="35"/>
      <c r="AI4600" s="35"/>
    </row>
    <row r="4601">
      <c r="A4601" s="276"/>
      <c r="B4601" s="252"/>
      <c r="C4601" s="253"/>
      <c r="D4601" s="253"/>
      <c r="E4601" s="252"/>
      <c r="F4601" s="253"/>
      <c r="G4601" s="251"/>
      <c r="H4601" s="433"/>
      <c r="I4601" s="278"/>
      <c r="J4601" s="257"/>
      <c r="K4601" s="253"/>
      <c r="L4601" s="253"/>
      <c r="M4601" s="252"/>
      <c r="N4601" s="258"/>
      <c r="O4601" s="259"/>
      <c r="P4601" s="259"/>
      <c r="Q4601" s="262"/>
      <c r="R4601" s="260"/>
      <c r="S4601" s="260"/>
      <c r="T4601" s="260"/>
      <c r="U4601" s="261"/>
      <c r="V4601" s="251"/>
      <c r="W4601" s="35"/>
      <c r="X4601" s="35"/>
      <c r="Y4601" s="35"/>
      <c r="Z4601" s="35"/>
      <c r="AA4601" s="35"/>
      <c r="AB4601" s="35"/>
      <c r="AC4601" s="35"/>
      <c r="AD4601" s="35"/>
      <c r="AE4601" s="35"/>
      <c r="AF4601" s="35"/>
      <c r="AG4601" s="35"/>
      <c r="AH4601" s="35"/>
      <c r="AI4601" s="35"/>
    </row>
    <row r="4602">
      <c r="A4602" s="276"/>
      <c r="B4602" s="252"/>
      <c r="C4602" s="253"/>
      <c r="D4602" s="253"/>
      <c r="E4602" s="252"/>
      <c r="F4602" s="253"/>
      <c r="G4602" s="251"/>
      <c r="H4602" s="433"/>
      <c r="I4602" s="278"/>
      <c r="J4602" s="257"/>
      <c r="K4602" s="253"/>
      <c r="L4602" s="253"/>
      <c r="M4602" s="252"/>
      <c r="N4602" s="258"/>
      <c r="O4602" s="259"/>
      <c r="P4602" s="259"/>
      <c r="Q4602" s="262"/>
      <c r="R4602" s="260"/>
      <c r="S4602" s="260"/>
      <c r="T4602" s="260"/>
      <c r="U4602" s="261"/>
      <c r="V4602" s="251"/>
      <c r="W4602" s="35"/>
      <c r="X4602" s="35"/>
      <c r="Y4602" s="35"/>
      <c r="Z4602" s="35"/>
      <c r="AA4602" s="35"/>
      <c r="AB4602" s="35"/>
      <c r="AC4602" s="35"/>
      <c r="AD4602" s="35"/>
      <c r="AE4602" s="35"/>
      <c r="AF4602" s="35"/>
      <c r="AG4602" s="35"/>
      <c r="AH4602" s="35"/>
      <c r="AI4602" s="35"/>
    </row>
    <row r="4603">
      <c r="A4603" s="251"/>
      <c r="B4603" s="252"/>
      <c r="C4603" s="253"/>
      <c r="D4603" s="253"/>
      <c r="E4603" s="252"/>
      <c r="F4603" s="253"/>
      <c r="G4603" s="251"/>
      <c r="H4603" s="433"/>
      <c r="I4603" s="278"/>
      <c r="J4603" s="257"/>
      <c r="K4603" s="253"/>
      <c r="L4603" s="253"/>
      <c r="M4603" s="252"/>
      <c r="N4603" s="258"/>
      <c r="O4603" s="259"/>
      <c r="P4603" s="259"/>
      <c r="Q4603" s="257"/>
      <c r="R4603" s="260"/>
      <c r="S4603" s="260"/>
      <c r="T4603" s="260"/>
      <c r="U4603" s="261"/>
      <c r="V4603" s="251"/>
      <c r="W4603" s="35"/>
      <c r="X4603" s="35"/>
      <c r="Y4603" s="35"/>
      <c r="Z4603" s="35"/>
      <c r="AA4603" s="35"/>
      <c r="AB4603" s="35"/>
      <c r="AC4603" s="35"/>
      <c r="AD4603" s="35"/>
      <c r="AE4603" s="35"/>
      <c r="AF4603" s="35"/>
      <c r="AG4603" s="35"/>
      <c r="AH4603" s="35"/>
      <c r="AI4603" s="35"/>
    </row>
    <row r="4604">
      <c r="A4604" s="251"/>
      <c r="B4604" s="252"/>
      <c r="C4604" s="253"/>
      <c r="D4604" s="253"/>
      <c r="E4604" s="252"/>
      <c r="F4604" s="253"/>
      <c r="G4604" s="251"/>
      <c r="H4604" s="433"/>
      <c r="I4604" s="278"/>
      <c r="J4604" s="257"/>
      <c r="K4604" s="253"/>
      <c r="L4604" s="253"/>
      <c r="M4604" s="252"/>
      <c r="N4604" s="258"/>
      <c r="O4604" s="259"/>
      <c r="P4604" s="259"/>
      <c r="Q4604" s="262"/>
      <c r="R4604" s="260"/>
      <c r="S4604" s="260"/>
      <c r="T4604" s="260"/>
      <c r="U4604" s="261"/>
      <c r="V4604" s="251"/>
      <c r="W4604" s="35"/>
      <c r="X4604" s="35"/>
      <c r="Y4604" s="35"/>
      <c r="Z4604" s="35"/>
      <c r="AA4604" s="35"/>
      <c r="AB4604" s="35"/>
      <c r="AC4604" s="35"/>
      <c r="AD4604" s="35"/>
      <c r="AE4604" s="35"/>
      <c r="AF4604" s="35"/>
      <c r="AG4604" s="35"/>
      <c r="AH4604" s="35"/>
      <c r="AI4604" s="35"/>
    </row>
    <row r="4605">
      <c r="A4605" s="251"/>
      <c r="B4605" s="252"/>
      <c r="C4605" s="253"/>
      <c r="D4605" s="253"/>
      <c r="E4605" s="252"/>
      <c r="F4605" s="253"/>
      <c r="G4605" s="251"/>
      <c r="H4605" s="433"/>
      <c r="I4605" s="278"/>
      <c r="J4605" s="257"/>
      <c r="K4605" s="253"/>
      <c r="L4605" s="253"/>
      <c r="M4605" s="252"/>
      <c r="N4605" s="258"/>
      <c r="O4605" s="259"/>
      <c r="P4605" s="259"/>
      <c r="Q4605" s="262"/>
      <c r="R4605" s="260"/>
      <c r="S4605" s="260"/>
      <c r="T4605" s="260"/>
      <c r="U4605" s="261"/>
      <c r="V4605" s="251"/>
      <c r="W4605" s="35"/>
      <c r="X4605" s="35"/>
      <c r="Y4605" s="35"/>
      <c r="Z4605" s="35"/>
      <c r="AA4605" s="35"/>
      <c r="AB4605" s="35"/>
      <c r="AC4605" s="35"/>
      <c r="AD4605" s="35"/>
      <c r="AE4605" s="35"/>
      <c r="AF4605" s="35"/>
      <c r="AG4605" s="35"/>
      <c r="AH4605" s="35"/>
      <c r="AI4605" s="35"/>
    </row>
    <row r="4606">
      <c r="A4606" s="251"/>
      <c r="B4606" s="252"/>
      <c r="C4606" s="253"/>
      <c r="D4606" s="253"/>
      <c r="E4606" s="252"/>
      <c r="F4606" s="253"/>
      <c r="G4606" s="251"/>
      <c r="H4606" s="433"/>
      <c r="I4606" s="278"/>
      <c r="J4606" s="257"/>
      <c r="K4606" s="253"/>
      <c r="L4606" s="253"/>
      <c r="M4606" s="252"/>
      <c r="N4606" s="258"/>
      <c r="O4606" s="259"/>
      <c r="P4606" s="259"/>
      <c r="Q4606" s="257"/>
      <c r="R4606" s="260"/>
      <c r="S4606" s="260"/>
      <c r="T4606" s="260"/>
      <c r="U4606" s="261"/>
      <c r="V4606" s="251"/>
      <c r="W4606" s="35"/>
      <c r="X4606" s="35"/>
      <c r="Y4606" s="35"/>
      <c r="Z4606" s="35"/>
      <c r="AA4606" s="35"/>
      <c r="AB4606" s="35"/>
      <c r="AC4606" s="35"/>
      <c r="AD4606" s="35"/>
      <c r="AE4606" s="35"/>
      <c r="AF4606" s="35"/>
      <c r="AG4606" s="35"/>
      <c r="AH4606" s="35"/>
      <c r="AI4606" s="35"/>
    </row>
    <row r="4607">
      <c r="A4607" s="251"/>
      <c r="B4607" s="252"/>
      <c r="C4607" s="253"/>
      <c r="D4607" s="253"/>
      <c r="E4607" s="252"/>
      <c r="F4607" s="253"/>
      <c r="G4607" s="251"/>
      <c r="H4607" s="433"/>
      <c r="I4607" s="278"/>
      <c r="J4607" s="257"/>
      <c r="K4607" s="253"/>
      <c r="L4607" s="253"/>
      <c r="M4607" s="252"/>
      <c r="N4607" s="258"/>
      <c r="O4607" s="259"/>
      <c r="P4607" s="259"/>
      <c r="Q4607" s="257"/>
      <c r="R4607" s="260"/>
      <c r="S4607" s="260"/>
      <c r="T4607" s="260"/>
      <c r="U4607" s="261"/>
      <c r="V4607" s="251"/>
      <c r="W4607" s="35"/>
      <c r="X4607" s="35"/>
      <c r="Y4607" s="35"/>
      <c r="Z4607" s="35"/>
      <c r="AA4607" s="35"/>
      <c r="AB4607" s="35"/>
      <c r="AC4607" s="35"/>
      <c r="AD4607" s="35"/>
      <c r="AE4607" s="35"/>
      <c r="AF4607" s="35"/>
      <c r="AG4607" s="35"/>
      <c r="AH4607" s="35"/>
      <c r="AI4607" s="35"/>
    </row>
    <row r="4608">
      <c r="A4608" s="276"/>
      <c r="B4608" s="252"/>
      <c r="C4608" s="253"/>
      <c r="D4608" s="253"/>
      <c r="E4608" s="252"/>
      <c r="F4608" s="253"/>
      <c r="G4608" s="251"/>
      <c r="H4608" s="433"/>
      <c r="I4608" s="278"/>
      <c r="J4608" s="257"/>
      <c r="K4608" s="253"/>
      <c r="L4608" s="253"/>
      <c r="M4608" s="252"/>
      <c r="N4608" s="258"/>
      <c r="O4608" s="259"/>
      <c r="P4608" s="259"/>
      <c r="Q4608" s="257"/>
      <c r="R4608" s="260"/>
      <c r="S4608" s="260"/>
      <c r="T4608" s="260"/>
      <c r="U4608" s="261"/>
      <c r="V4608" s="251"/>
      <c r="W4608" s="35"/>
      <c r="X4608" s="35"/>
      <c r="Y4608" s="35"/>
      <c r="Z4608" s="35"/>
      <c r="AA4608" s="35"/>
      <c r="AB4608" s="35"/>
      <c r="AC4608" s="35"/>
      <c r="AD4608" s="35"/>
      <c r="AE4608" s="35"/>
      <c r="AF4608" s="35"/>
      <c r="AG4608" s="35"/>
      <c r="AH4608" s="35"/>
      <c r="AI4608" s="35"/>
    </row>
    <row r="4609">
      <c r="A4609" s="251"/>
      <c r="B4609" s="252"/>
      <c r="C4609" s="253"/>
      <c r="D4609" s="253"/>
      <c r="E4609" s="252"/>
      <c r="F4609" s="253"/>
      <c r="G4609" s="251"/>
      <c r="H4609" s="433"/>
      <c r="I4609" s="278"/>
      <c r="J4609" s="257"/>
      <c r="K4609" s="253"/>
      <c r="L4609" s="253"/>
      <c r="M4609" s="252"/>
      <c r="N4609" s="258"/>
      <c r="O4609" s="259"/>
      <c r="P4609" s="259"/>
      <c r="Q4609" s="262"/>
      <c r="R4609" s="260"/>
      <c r="S4609" s="260"/>
      <c r="T4609" s="260"/>
      <c r="U4609" s="261"/>
      <c r="V4609" s="251"/>
      <c r="W4609" s="35"/>
      <c r="X4609" s="35"/>
      <c r="Y4609" s="35"/>
      <c r="Z4609" s="35"/>
      <c r="AA4609" s="35"/>
      <c r="AB4609" s="35"/>
      <c r="AC4609" s="35"/>
      <c r="AD4609" s="35"/>
      <c r="AE4609" s="35"/>
      <c r="AF4609" s="35"/>
      <c r="AG4609" s="35"/>
      <c r="AH4609" s="35"/>
      <c r="AI4609" s="35"/>
    </row>
    <row r="4610">
      <c r="A4610" s="251"/>
      <c r="B4610" s="252"/>
      <c r="C4610" s="253"/>
      <c r="D4610" s="253"/>
      <c r="E4610" s="252"/>
      <c r="F4610" s="253"/>
      <c r="G4610" s="251"/>
      <c r="H4610" s="433"/>
      <c r="I4610" s="278"/>
      <c r="J4610" s="257"/>
      <c r="K4610" s="253"/>
      <c r="L4610" s="253"/>
      <c r="M4610" s="252"/>
      <c r="N4610" s="258"/>
      <c r="O4610" s="259"/>
      <c r="P4610" s="259"/>
      <c r="Q4610" s="262"/>
      <c r="R4610" s="260"/>
      <c r="S4610" s="260"/>
      <c r="T4610" s="260"/>
      <c r="U4610" s="261"/>
      <c r="V4610" s="251"/>
      <c r="W4610" s="35"/>
      <c r="X4610" s="35"/>
      <c r="Y4610" s="35"/>
      <c r="Z4610" s="35"/>
      <c r="AA4610" s="35"/>
      <c r="AB4610" s="35"/>
      <c r="AC4610" s="35"/>
      <c r="AD4610" s="35"/>
      <c r="AE4610" s="35"/>
      <c r="AF4610" s="35"/>
      <c r="AG4610" s="35"/>
      <c r="AH4610" s="35"/>
      <c r="AI4610" s="35"/>
    </row>
    <row r="4611">
      <c r="A4611" s="251"/>
      <c r="B4611" s="252"/>
      <c r="C4611" s="253"/>
      <c r="D4611" s="253"/>
      <c r="E4611" s="252"/>
      <c r="F4611" s="253"/>
      <c r="G4611" s="251"/>
      <c r="H4611" s="433"/>
      <c r="I4611" s="278"/>
      <c r="J4611" s="257"/>
      <c r="K4611" s="253"/>
      <c r="L4611" s="253"/>
      <c r="M4611" s="252"/>
      <c r="N4611" s="258"/>
      <c r="O4611" s="259"/>
      <c r="P4611" s="259"/>
      <c r="Q4611" s="257"/>
      <c r="R4611" s="260"/>
      <c r="S4611" s="260"/>
      <c r="T4611" s="260"/>
      <c r="U4611" s="261"/>
      <c r="V4611" s="251"/>
      <c r="W4611" s="35"/>
      <c r="X4611" s="35"/>
      <c r="Y4611" s="35"/>
      <c r="Z4611" s="35"/>
      <c r="AA4611" s="35"/>
      <c r="AB4611" s="35"/>
      <c r="AC4611" s="35"/>
      <c r="AD4611" s="35"/>
      <c r="AE4611" s="35"/>
      <c r="AF4611" s="35"/>
      <c r="AG4611" s="35"/>
      <c r="AH4611" s="35"/>
      <c r="AI4611" s="35"/>
    </row>
    <row r="4612">
      <c r="A4612" s="251"/>
      <c r="B4612" s="252"/>
      <c r="C4612" s="253"/>
      <c r="D4612" s="253"/>
      <c r="E4612" s="252"/>
      <c r="F4612" s="253"/>
      <c r="G4612" s="251"/>
      <c r="H4612" s="433"/>
      <c r="I4612" s="278"/>
      <c r="J4612" s="257"/>
      <c r="K4612" s="253"/>
      <c r="L4612" s="253"/>
      <c r="M4612" s="252"/>
      <c r="N4612" s="258"/>
      <c r="O4612" s="259"/>
      <c r="P4612" s="259"/>
      <c r="Q4612" s="262"/>
      <c r="R4612" s="260"/>
      <c r="S4612" s="260"/>
      <c r="T4612" s="173"/>
      <c r="U4612" s="174"/>
      <c r="V4612" s="165"/>
      <c r="W4612" s="35"/>
      <c r="X4612" s="35"/>
      <c r="Y4612" s="35"/>
      <c r="Z4612" s="35"/>
      <c r="AA4612" s="35"/>
      <c r="AB4612" s="35"/>
      <c r="AC4612" s="35"/>
      <c r="AD4612" s="35"/>
      <c r="AE4612" s="35"/>
      <c r="AF4612" s="35"/>
      <c r="AG4612" s="35"/>
      <c r="AH4612" s="35"/>
      <c r="AI4612" s="35"/>
    </row>
    <row r="4613">
      <c r="A4613" s="251"/>
      <c r="B4613" s="252"/>
      <c r="C4613" s="253"/>
      <c r="D4613" s="253"/>
      <c r="E4613" s="252"/>
      <c r="F4613" s="253"/>
      <c r="G4613" s="251"/>
      <c r="H4613" s="433"/>
      <c r="I4613" s="278"/>
      <c r="J4613" s="257"/>
      <c r="K4613" s="253"/>
      <c r="L4613" s="253"/>
      <c r="M4613" s="252"/>
      <c r="N4613" s="258"/>
      <c r="O4613" s="259"/>
      <c r="P4613" s="259"/>
      <c r="Q4613" s="262"/>
      <c r="R4613" s="260"/>
      <c r="S4613" s="260"/>
      <c r="T4613" s="260"/>
      <c r="U4613" s="261"/>
      <c r="V4613" s="251"/>
      <c r="W4613" s="35"/>
      <c r="X4613" s="35"/>
      <c r="Y4613" s="35"/>
      <c r="Z4613" s="35"/>
      <c r="AA4613" s="35"/>
      <c r="AB4613" s="35"/>
      <c r="AC4613" s="35"/>
      <c r="AD4613" s="35"/>
      <c r="AE4613" s="35"/>
      <c r="AF4613" s="35"/>
      <c r="AG4613" s="35"/>
      <c r="AH4613" s="35"/>
      <c r="AI4613" s="35"/>
    </row>
    <row r="4614">
      <c r="A4614" s="251"/>
      <c r="B4614" s="252"/>
      <c r="C4614" s="253"/>
      <c r="D4614" s="253"/>
      <c r="E4614" s="252"/>
      <c r="F4614" s="253"/>
      <c r="G4614" s="251"/>
      <c r="H4614" s="433"/>
      <c r="I4614" s="278"/>
      <c r="J4614" s="257"/>
      <c r="K4614" s="253"/>
      <c r="L4614" s="253"/>
      <c r="M4614" s="252"/>
      <c r="N4614" s="258"/>
      <c r="O4614" s="259"/>
      <c r="P4614" s="259"/>
      <c r="Q4614" s="262"/>
      <c r="R4614" s="260"/>
      <c r="S4614" s="260"/>
      <c r="T4614" s="260"/>
      <c r="U4614" s="261"/>
      <c r="V4614" s="251"/>
      <c r="W4614" s="35"/>
      <c r="X4614" s="35"/>
      <c r="Y4614" s="35"/>
      <c r="Z4614" s="35"/>
      <c r="AA4614" s="35"/>
      <c r="AB4614" s="35"/>
      <c r="AC4614" s="35"/>
      <c r="AD4614" s="35"/>
      <c r="AE4614" s="35"/>
      <c r="AF4614" s="35"/>
      <c r="AG4614" s="35"/>
      <c r="AH4614" s="35"/>
      <c r="AI4614" s="35"/>
    </row>
    <row r="4615">
      <c r="A4615" s="251"/>
      <c r="B4615" s="252"/>
      <c r="C4615" s="253"/>
      <c r="D4615" s="253"/>
      <c r="E4615" s="252"/>
      <c r="F4615" s="253"/>
      <c r="G4615" s="251"/>
      <c r="H4615" s="433"/>
      <c r="I4615" s="278"/>
      <c r="J4615" s="257"/>
      <c r="K4615" s="253"/>
      <c r="L4615" s="253"/>
      <c r="M4615" s="252"/>
      <c r="N4615" s="258"/>
      <c r="O4615" s="259"/>
      <c r="P4615" s="259"/>
      <c r="Q4615" s="262"/>
      <c r="R4615" s="260"/>
      <c r="S4615" s="260"/>
      <c r="T4615" s="260"/>
      <c r="U4615" s="261"/>
      <c r="V4615" s="251"/>
      <c r="W4615" s="35"/>
      <c r="X4615" s="35"/>
      <c r="Y4615" s="35"/>
      <c r="Z4615" s="35"/>
      <c r="AA4615" s="35"/>
      <c r="AB4615" s="35"/>
      <c r="AC4615" s="35"/>
      <c r="AD4615" s="35"/>
      <c r="AE4615" s="35"/>
      <c r="AF4615" s="35"/>
      <c r="AG4615" s="35"/>
      <c r="AH4615" s="35"/>
      <c r="AI4615" s="35"/>
    </row>
    <row r="4616">
      <c r="A4616" s="251"/>
      <c r="B4616" s="252"/>
      <c r="C4616" s="253"/>
      <c r="D4616" s="253"/>
      <c r="E4616" s="252"/>
      <c r="F4616" s="253"/>
      <c r="G4616" s="251"/>
      <c r="H4616" s="433"/>
      <c r="I4616" s="278"/>
      <c r="J4616" s="257"/>
      <c r="K4616" s="253"/>
      <c r="L4616" s="253"/>
      <c r="M4616" s="252"/>
      <c r="N4616" s="258"/>
      <c r="O4616" s="259"/>
      <c r="P4616" s="259"/>
      <c r="Q4616" s="262"/>
      <c r="R4616" s="260"/>
      <c r="S4616" s="260"/>
      <c r="T4616" s="260"/>
      <c r="U4616" s="261"/>
      <c r="V4616" s="251"/>
      <c r="W4616" s="35"/>
      <c r="X4616" s="35"/>
      <c r="Y4616" s="35"/>
      <c r="Z4616" s="35"/>
      <c r="AA4616" s="35"/>
      <c r="AB4616" s="35"/>
      <c r="AC4616" s="35"/>
      <c r="AD4616" s="35"/>
      <c r="AE4616" s="35"/>
      <c r="AF4616" s="35"/>
      <c r="AG4616" s="35"/>
      <c r="AH4616" s="35"/>
      <c r="AI4616" s="35"/>
    </row>
    <row r="4617">
      <c r="A4617" s="251"/>
      <c r="B4617" s="252"/>
      <c r="C4617" s="253"/>
      <c r="D4617" s="253"/>
      <c r="E4617" s="252"/>
      <c r="F4617" s="253"/>
      <c r="G4617" s="251"/>
      <c r="H4617" s="433"/>
      <c r="I4617" s="278"/>
      <c r="J4617" s="257"/>
      <c r="K4617" s="253"/>
      <c r="L4617" s="253"/>
      <c r="M4617" s="252"/>
      <c r="N4617" s="258"/>
      <c r="O4617" s="259"/>
      <c r="P4617" s="259"/>
      <c r="Q4617" s="262"/>
      <c r="R4617" s="260"/>
      <c r="S4617" s="260"/>
      <c r="T4617" s="260"/>
      <c r="U4617" s="261"/>
      <c r="V4617" s="251"/>
      <c r="W4617" s="35"/>
      <c r="X4617" s="35"/>
      <c r="Y4617" s="35"/>
      <c r="Z4617" s="35"/>
      <c r="AA4617" s="35"/>
      <c r="AB4617" s="35"/>
      <c r="AC4617" s="35"/>
      <c r="AD4617" s="35"/>
      <c r="AE4617" s="35"/>
      <c r="AF4617" s="35"/>
      <c r="AG4617" s="35"/>
      <c r="AH4617" s="35"/>
      <c r="AI4617" s="35"/>
    </row>
    <row r="4618">
      <c r="A4618" s="251"/>
      <c r="B4618" s="252"/>
      <c r="C4618" s="253"/>
      <c r="D4618" s="253"/>
      <c r="E4618" s="252"/>
      <c r="F4618" s="253"/>
      <c r="G4618" s="251"/>
      <c r="H4618" s="433"/>
      <c r="I4618" s="278"/>
      <c r="J4618" s="257"/>
      <c r="K4618" s="253"/>
      <c r="L4618" s="253"/>
      <c r="M4618" s="252"/>
      <c r="N4618" s="258"/>
      <c r="O4618" s="259"/>
      <c r="P4618" s="259"/>
      <c r="Q4618" s="257"/>
      <c r="R4618" s="260"/>
      <c r="S4618" s="260"/>
      <c r="T4618" s="260"/>
      <c r="U4618" s="261"/>
      <c r="V4618" s="251"/>
      <c r="W4618" s="35"/>
      <c r="X4618" s="35"/>
      <c r="Y4618" s="35"/>
      <c r="Z4618" s="35"/>
      <c r="AA4618" s="35"/>
      <c r="AB4618" s="35"/>
      <c r="AC4618" s="35"/>
      <c r="AD4618" s="35"/>
      <c r="AE4618" s="35"/>
      <c r="AF4618" s="35"/>
      <c r="AG4618" s="35"/>
      <c r="AH4618" s="35"/>
      <c r="AI4618" s="35"/>
    </row>
    <row r="4619">
      <c r="A4619" s="251"/>
      <c r="B4619" s="252"/>
      <c r="C4619" s="253"/>
      <c r="D4619" s="253"/>
      <c r="E4619" s="252"/>
      <c r="F4619" s="253"/>
      <c r="G4619" s="251"/>
      <c r="H4619" s="433"/>
      <c r="I4619" s="278"/>
      <c r="J4619" s="257"/>
      <c r="K4619" s="253"/>
      <c r="L4619" s="253"/>
      <c r="M4619" s="252"/>
      <c r="N4619" s="258"/>
      <c r="O4619" s="259"/>
      <c r="P4619" s="259"/>
      <c r="Q4619" s="262"/>
      <c r="R4619" s="260"/>
      <c r="S4619" s="260"/>
      <c r="T4619" s="260"/>
      <c r="U4619" s="261"/>
      <c r="V4619" s="251"/>
      <c r="W4619" s="35"/>
      <c r="X4619" s="35"/>
      <c r="Y4619" s="35"/>
      <c r="Z4619" s="35"/>
      <c r="AA4619" s="35"/>
      <c r="AB4619" s="35"/>
      <c r="AC4619" s="35"/>
      <c r="AD4619" s="35"/>
      <c r="AE4619" s="35"/>
      <c r="AF4619" s="35"/>
      <c r="AG4619" s="35"/>
      <c r="AH4619" s="35"/>
      <c r="AI4619" s="35"/>
    </row>
    <row r="4620">
      <c r="A4620" s="251"/>
      <c r="B4620" s="252"/>
      <c r="C4620" s="253"/>
      <c r="D4620" s="253"/>
      <c r="E4620" s="252"/>
      <c r="F4620" s="253"/>
      <c r="G4620" s="251"/>
      <c r="H4620" s="433"/>
      <c r="I4620" s="278"/>
      <c r="J4620" s="257"/>
      <c r="K4620" s="253"/>
      <c r="L4620" s="253"/>
      <c r="M4620" s="252"/>
      <c r="N4620" s="258"/>
      <c r="O4620" s="259"/>
      <c r="P4620" s="259"/>
      <c r="Q4620" s="262"/>
      <c r="R4620" s="260"/>
      <c r="S4620" s="260"/>
      <c r="T4620" s="260"/>
      <c r="U4620" s="261"/>
      <c r="V4620" s="251"/>
      <c r="W4620" s="35"/>
      <c r="X4620" s="35"/>
      <c r="Y4620" s="35"/>
      <c r="Z4620" s="35"/>
      <c r="AA4620" s="35"/>
      <c r="AB4620" s="35"/>
      <c r="AC4620" s="35"/>
      <c r="AD4620" s="35"/>
      <c r="AE4620" s="35"/>
      <c r="AF4620" s="35"/>
      <c r="AG4620" s="35"/>
      <c r="AH4620" s="35"/>
      <c r="AI4620" s="35"/>
    </row>
    <row r="4621">
      <c r="A4621" s="251"/>
      <c r="B4621" s="252"/>
      <c r="C4621" s="253"/>
      <c r="D4621" s="253"/>
      <c r="E4621" s="252"/>
      <c r="F4621" s="253"/>
      <c r="G4621" s="251"/>
      <c r="H4621" s="433"/>
      <c r="I4621" s="278"/>
      <c r="J4621" s="257"/>
      <c r="K4621" s="253"/>
      <c r="L4621" s="253"/>
      <c r="M4621" s="252"/>
      <c r="N4621" s="258"/>
      <c r="O4621" s="259"/>
      <c r="P4621" s="259"/>
      <c r="Q4621" s="262"/>
      <c r="R4621" s="260"/>
      <c r="S4621" s="260"/>
      <c r="T4621" s="260"/>
      <c r="U4621" s="261"/>
      <c r="V4621" s="251"/>
      <c r="W4621" s="35"/>
      <c r="X4621" s="35"/>
      <c r="Y4621" s="35"/>
      <c r="Z4621" s="35"/>
      <c r="AA4621" s="35"/>
      <c r="AB4621" s="35"/>
      <c r="AC4621" s="35"/>
      <c r="AD4621" s="35"/>
      <c r="AE4621" s="35"/>
      <c r="AF4621" s="35"/>
      <c r="AG4621" s="35"/>
      <c r="AH4621" s="35"/>
      <c r="AI4621" s="35"/>
    </row>
    <row r="4622">
      <c r="A4622" s="251"/>
      <c r="B4622" s="252"/>
      <c r="C4622" s="253"/>
      <c r="D4622" s="253"/>
      <c r="E4622" s="252"/>
      <c r="F4622" s="253"/>
      <c r="G4622" s="251"/>
      <c r="H4622" s="433"/>
      <c r="I4622" s="278"/>
      <c r="J4622" s="257"/>
      <c r="K4622" s="253"/>
      <c r="L4622" s="253"/>
      <c r="M4622" s="252"/>
      <c r="N4622" s="258"/>
      <c r="O4622" s="259"/>
      <c r="P4622" s="259"/>
      <c r="Q4622" s="262"/>
      <c r="R4622" s="260"/>
      <c r="S4622" s="260"/>
      <c r="T4622" s="260"/>
      <c r="U4622" s="261"/>
      <c r="V4622" s="251"/>
      <c r="W4622" s="35"/>
      <c r="X4622" s="35"/>
      <c r="Y4622" s="35"/>
      <c r="Z4622" s="35"/>
      <c r="AA4622" s="35"/>
      <c r="AB4622" s="35"/>
      <c r="AC4622" s="35"/>
      <c r="AD4622" s="35"/>
      <c r="AE4622" s="35"/>
      <c r="AF4622" s="35"/>
      <c r="AG4622" s="35"/>
      <c r="AH4622" s="35"/>
      <c r="AI4622" s="35"/>
    </row>
    <row r="4623">
      <c r="A4623" s="251"/>
      <c r="B4623" s="252"/>
      <c r="C4623" s="253"/>
      <c r="D4623" s="253"/>
      <c r="E4623" s="252"/>
      <c r="F4623" s="253"/>
      <c r="G4623" s="251"/>
      <c r="H4623" s="433"/>
      <c r="I4623" s="278"/>
      <c r="J4623" s="257"/>
      <c r="K4623" s="253"/>
      <c r="L4623" s="253"/>
      <c r="M4623" s="252"/>
      <c r="N4623" s="258"/>
      <c r="O4623" s="259"/>
      <c r="P4623" s="259"/>
      <c r="Q4623" s="262"/>
      <c r="R4623" s="260"/>
      <c r="S4623" s="260"/>
      <c r="T4623" s="260"/>
      <c r="U4623" s="261"/>
      <c r="V4623" s="251"/>
      <c r="W4623" s="35"/>
      <c r="X4623" s="35"/>
      <c r="Y4623" s="35"/>
      <c r="Z4623" s="35"/>
      <c r="AA4623" s="35"/>
      <c r="AB4623" s="35"/>
      <c r="AC4623" s="35"/>
      <c r="AD4623" s="35"/>
      <c r="AE4623" s="35"/>
      <c r="AF4623" s="35"/>
      <c r="AG4623" s="35"/>
      <c r="AH4623" s="35"/>
      <c r="AI4623" s="35"/>
    </row>
    <row r="4624">
      <c r="A4624" s="251"/>
      <c r="B4624" s="252"/>
      <c r="C4624" s="253"/>
      <c r="D4624" s="253"/>
      <c r="E4624" s="252"/>
      <c r="F4624" s="253"/>
      <c r="G4624" s="251"/>
      <c r="H4624" s="433"/>
      <c r="I4624" s="278"/>
      <c r="J4624" s="257"/>
      <c r="K4624" s="253"/>
      <c r="L4624" s="253"/>
      <c r="M4624" s="252"/>
      <c r="N4624" s="258"/>
      <c r="O4624" s="259"/>
      <c r="P4624" s="259"/>
      <c r="Q4624" s="262"/>
      <c r="R4624" s="260"/>
      <c r="S4624" s="260"/>
      <c r="T4624" s="260"/>
      <c r="U4624" s="261"/>
      <c r="V4624" s="251"/>
      <c r="W4624" s="35"/>
      <c r="X4624" s="35"/>
      <c r="Y4624" s="35"/>
      <c r="Z4624" s="35"/>
      <c r="AA4624" s="35"/>
      <c r="AB4624" s="35"/>
      <c r="AC4624" s="35"/>
      <c r="AD4624" s="35"/>
      <c r="AE4624" s="35"/>
      <c r="AF4624" s="35"/>
      <c r="AG4624" s="35"/>
      <c r="AH4624" s="35"/>
      <c r="AI4624" s="35"/>
    </row>
    <row r="4625">
      <c r="A4625" s="251"/>
      <c r="B4625" s="252"/>
      <c r="C4625" s="253"/>
      <c r="D4625" s="253"/>
      <c r="E4625" s="252"/>
      <c r="F4625" s="253"/>
      <c r="G4625" s="251"/>
      <c r="H4625" s="433"/>
      <c r="I4625" s="278"/>
      <c r="J4625" s="257"/>
      <c r="K4625" s="253"/>
      <c r="L4625" s="253"/>
      <c r="M4625" s="252"/>
      <c r="N4625" s="258"/>
      <c r="O4625" s="259"/>
      <c r="P4625" s="259"/>
      <c r="Q4625" s="257"/>
      <c r="R4625" s="260"/>
      <c r="S4625" s="260"/>
      <c r="T4625" s="260"/>
      <c r="U4625" s="261"/>
      <c r="V4625" s="251"/>
      <c r="W4625" s="35"/>
      <c r="X4625" s="35"/>
      <c r="Y4625" s="35"/>
      <c r="Z4625" s="35"/>
      <c r="AA4625" s="35"/>
      <c r="AB4625" s="35"/>
      <c r="AC4625" s="35"/>
      <c r="AD4625" s="35"/>
      <c r="AE4625" s="35"/>
      <c r="AF4625" s="35"/>
      <c r="AG4625" s="35"/>
      <c r="AH4625" s="35"/>
      <c r="AI4625" s="35"/>
    </row>
    <row r="4626">
      <c r="A4626" s="251"/>
      <c r="B4626" s="252"/>
      <c r="C4626" s="253"/>
      <c r="D4626" s="253"/>
      <c r="E4626" s="252"/>
      <c r="F4626" s="253"/>
      <c r="G4626" s="251"/>
      <c r="H4626" s="433"/>
      <c r="I4626" s="278"/>
      <c r="J4626" s="257"/>
      <c r="K4626" s="253"/>
      <c r="L4626" s="253"/>
      <c r="M4626" s="252"/>
      <c r="N4626" s="258"/>
      <c r="O4626" s="259"/>
      <c r="P4626" s="259"/>
      <c r="Q4626" s="262"/>
      <c r="R4626" s="260"/>
      <c r="S4626" s="260"/>
      <c r="T4626" s="260"/>
      <c r="U4626" s="261"/>
      <c r="V4626" s="251"/>
      <c r="W4626" s="35"/>
      <c r="X4626" s="35"/>
      <c r="Y4626" s="35"/>
      <c r="Z4626" s="35"/>
      <c r="AA4626" s="35"/>
      <c r="AB4626" s="35"/>
      <c r="AC4626" s="35"/>
      <c r="AD4626" s="35"/>
      <c r="AE4626" s="35"/>
      <c r="AF4626" s="35"/>
      <c r="AG4626" s="35"/>
      <c r="AH4626" s="35"/>
      <c r="AI4626" s="35"/>
    </row>
    <row r="4627">
      <c r="A4627" s="251"/>
      <c r="B4627" s="252"/>
      <c r="C4627" s="253"/>
      <c r="D4627" s="253"/>
      <c r="E4627" s="252"/>
      <c r="F4627" s="253"/>
      <c r="G4627" s="251"/>
      <c r="H4627" s="433"/>
      <c r="I4627" s="278"/>
      <c r="J4627" s="257"/>
      <c r="K4627" s="253"/>
      <c r="L4627" s="253"/>
      <c r="M4627" s="252"/>
      <c r="N4627" s="258"/>
      <c r="O4627" s="259"/>
      <c r="P4627" s="259"/>
      <c r="Q4627" s="262"/>
      <c r="R4627" s="260"/>
      <c r="S4627" s="260"/>
      <c r="T4627" s="260"/>
      <c r="U4627" s="261"/>
      <c r="V4627" s="251"/>
      <c r="W4627" s="35"/>
      <c r="X4627" s="35"/>
      <c r="Y4627" s="35"/>
      <c r="Z4627" s="35"/>
      <c r="AA4627" s="35"/>
      <c r="AB4627" s="35"/>
      <c r="AC4627" s="35"/>
      <c r="AD4627" s="35"/>
      <c r="AE4627" s="35"/>
      <c r="AF4627" s="35"/>
      <c r="AG4627" s="35"/>
      <c r="AH4627" s="35"/>
      <c r="AI4627" s="35"/>
    </row>
    <row r="4628">
      <c r="A4628" s="251"/>
      <c r="B4628" s="252"/>
      <c r="C4628" s="253"/>
      <c r="D4628" s="253"/>
      <c r="E4628" s="252"/>
      <c r="F4628" s="253"/>
      <c r="G4628" s="251"/>
      <c r="H4628" s="433"/>
      <c r="I4628" s="278"/>
      <c r="J4628" s="257"/>
      <c r="K4628" s="253"/>
      <c r="L4628" s="253"/>
      <c r="M4628" s="252"/>
      <c r="N4628" s="258"/>
      <c r="O4628" s="259"/>
      <c r="P4628" s="259"/>
      <c r="Q4628" s="262"/>
      <c r="R4628" s="260"/>
      <c r="S4628" s="260"/>
      <c r="T4628" s="260"/>
      <c r="U4628" s="261"/>
      <c r="V4628" s="251"/>
      <c r="W4628" s="35"/>
      <c r="X4628" s="35"/>
      <c r="Y4628" s="35"/>
      <c r="Z4628" s="35"/>
      <c r="AA4628" s="35"/>
      <c r="AB4628" s="35"/>
      <c r="AC4628" s="35"/>
      <c r="AD4628" s="35"/>
      <c r="AE4628" s="35"/>
      <c r="AF4628" s="35"/>
      <c r="AG4628" s="35"/>
      <c r="AH4628" s="35"/>
      <c r="AI4628" s="35"/>
    </row>
    <row r="4629">
      <c r="A4629" s="251"/>
      <c r="B4629" s="252"/>
      <c r="C4629" s="253"/>
      <c r="D4629" s="253"/>
      <c r="E4629" s="252"/>
      <c r="F4629" s="253"/>
      <c r="G4629" s="251"/>
      <c r="H4629" s="433"/>
      <c r="I4629" s="278"/>
      <c r="J4629" s="257"/>
      <c r="K4629" s="253"/>
      <c r="L4629" s="253"/>
      <c r="M4629" s="252"/>
      <c r="N4629" s="258"/>
      <c r="O4629" s="259"/>
      <c r="P4629" s="259"/>
      <c r="Q4629" s="262"/>
      <c r="R4629" s="260"/>
      <c r="S4629" s="260"/>
      <c r="T4629" s="260"/>
      <c r="U4629" s="261"/>
      <c r="V4629" s="251"/>
      <c r="W4629" s="35"/>
      <c r="X4629" s="35"/>
      <c r="Y4629" s="35"/>
      <c r="Z4629" s="35"/>
      <c r="AA4629" s="35"/>
      <c r="AB4629" s="35"/>
      <c r="AC4629" s="35"/>
      <c r="AD4629" s="35"/>
      <c r="AE4629" s="35"/>
      <c r="AF4629" s="35"/>
      <c r="AG4629" s="35"/>
      <c r="AH4629" s="35"/>
      <c r="AI4629" s="35"/>
    </row>
    <row r="4630">
      <c r="A4630" s="251"/>
      <c r="B4630" s="252"/>
      <c r="C4630" s="253"/>
      <c r="D4630" s="253"/>
      <c r="E4630" s="252"/>
      <c r="F4630" s="253"/>
      <c r="G4630" s="251"/>
      <c r="H4630" s="433"/>
      <c r="I4630" s="278"/>
      <c r="J4630" s="257"/>
      <c r="K4630" s="253"/>
      <c r="L4630" s="253"/>
      <c r="M4630" s="252"/>
      <c r="N4630" s="258"/>
      <c r="O4630" s="259"/>
      <c r="P4630" s="259"/>
      <c r="Q4630" s="262"/>
      <c r="R4630" s="260"/>
      <c r="S4630" s="260"/>
      <c r="T4630" s="260"/>
      <c r="U4630" s="261"/>
      <c r="V4630" s="251"/>
      <c r="W4630" s="35"/>
      <c r="X4630" s="35"/>
      <c r="Y4630" s="35"/>
      <c r="Z4630" s="35"/>
      <c r="AA4630" s="35"/>
      <c r="AB4630" s="35"/>
      <c r="AC4630" s="35"/>
      <c r="AD4630" s="35"/>
      <c r="AE4630" s="35"/>
      <c r="AF4630" s="35"/>
      <c r="AG4630" s="35"/>
      <c r="AH4630" s="35"/>
      <c r="AI4630" s="35"/>
    </row>
    <row r="4631">
      <c r="A4631" s="251"/>
      <c r="B4631" s="252"/>
      <c r="C4631" s="253"/>
      <c r="D4631" s="253"/>
      <c r="E4631" s="252"/>
      <c r="F4631" s="253"/>
      <c r="G4631" s="251"/>
      <c r="H4631" s="433"/>
      <c r="I4631" s="278"/>
      <c r="J4631" s="257"/>
      <c r="K4631" s="253"/>
      <c r="L4631" s="253"/>
      <c r="M4631" s="252"/>
      <c r="N4631" s="258"/>
      <c r="O4631" s="259"/>
      <c r="P4631" s="259"/>
      <c r="Q4631" s="262"/>
      <c r="R4631" s="260"/>
      <c r="S4631" s="260"/>
      <c r="T4631" s="260"/>
      <c r="U4631" s="261"/>
      <c r="V4631" s="251"/>
      <c r="W4631" s="35"/>
      <c r="X4631" s="35"/>
      <c r="Y4631" s="35"/>
      <c r="Z4631" s="35"/>
      <c r="AA4631" s="35"/>
      <c r="AB4631" s="35"/>
      <c r="AC4631" s="35"/>
      <c r="AD4631" s="35"/>
      <c r="AE4631" s="35"/>
      <c r="AF4631" s="35"/>
      <c r="AG4631" s="35"/>
      <c r="AH4631" s="35"/>
      <c r="AI4631" s="35"/>
    </row>
    <row r="4632">
      <c r="A4632" s="251"/>
      <c r="B4632" s="252"/>
      <c r="C4632" s="253"/>
      <c r="D4632" s="253"/>
      <c r="E4632" s="252"/>
      <c r="F4632" s="253"/>
      <c r="G4632" s="251"/>
      <c r="H4632" s="433"/>
      <c r="I4632" s="278"/>
      <c r="J4632" s="257"/>
      <c r="K4632" s="253"/>
      <c r="L4632" s="253"/>
      <c r="M4632" s="252"/>
      <c r="N4632" s="258"/>
      <c r="O4632" s="259"/>
      <c r="P4632" s="259"/>
      <c r="Q4632" s="262"/>
      <c r="R4632" s="260"/>
      <c r="S4632" s="260"/>
      <c r="T4632" s="260"/>
      <c r="U4632" s="261"/>
      <c r="V4632" s="251"/>
      <c r="W4632" s="35"/>
      <c r="X4632" s="35"/>
      <c r="Y4632" s="35"/>
      <c r="Z4632" s="35"/>
      <c r="AA4632" s="35"/>
      <c r="AB4632" s="35"/>
      <c r="AC4632" s="35"/>
      <c r="AD4632" s="35"/>
      <c r="AE4632" s="35"/>
      <c r="AF4632" s="35"/>
      <c r="AG4632" s="35"/>
      <c r="AH4632" s="35"/>
      <c r="AI4632" s="35"/>
    </row>
    <row r="4633">
      <c r="A4633" s="251"/>
      <c r="B4633" s="252"/>
      <c r="C4633" s="253"/>
      <c r="D4633" s="253"/>
      <c r="E4633" s="252"/>
      <c r="F4633" s="253"/>
      <c r="G4633" s="251"/>
      <c r="H4633" s="433"/>
      <c r="I4633" s="278"/>
      <c r="J4633" s="257"/>
      <c r="K4633" s="253"/>
      <c r="L4633" s="253"/>
      <c r="M4633" s="252"/>
      <c r="N4633" s="258"/>
      <c r="O4633" s="259"/>
      <c r="P4633" s="259"/>
      <c r="Q4633" s="262"/>
      <c r="R4633" s="260"/>
      <c r="S4633" s="260"/>
      <c r="T4633" s="260"/>
      <c r="U4633" s="261"/>
      <c r="V4633" s="251"/>
      <c r="W4633" s="35"/>
      <c r="X4633" s="35"/>
      <c r="Y4633" s="35"/>
      <c r="Z4633" s="35"/>
      <c r="AA4633" s="35"/>
      <c r="AB4633" s="35"/>
      <c r="AC4633" s="35"/>
      <c r="AD4633" s="35"/>
      <c r="AE4633" s="35"/>
      <c r="AF4633" s="35"/>
      <c r="AG4633" s="35"/>
      <c r="AH4633" s="35"/>
      <c r="AI4633" s="35"/>
    </row>
    <row r="4634">
      <c r="A4634" s="251"/>
      <c r="B4634" s="252"/>
      <c r="C4634" s="253"/>
      <c r="D4634" s="253"/>
      <c r="E4634" s="252"/>
      <c r="F4634" s="253"/>
      <c r="G4634" s="251"/>
      <c r="H4634" s="433"/>
      <c r="I4634" s="278"/>
      <c r="J4634" s="257"/>
      <c r="K4634" s="253"/>
      <c r="L4634" s="253"/>
      <c r="M4634" s="252"/>
      <c r="N4634" s="258"/>
      <c r="O4634" s="259"/>
      <c r="P4634" s="259"/>
      <c r="Q4634" s="262"/>
      <c r="R4634" s="260"/>
      <c r="S4634" s="260"/>
      <c r="T4634" s="260"/>
      <c r="U4634" s="261"/>
      <c r="V4634" s="251"/>
      <c r="W4634" s="35"/>
      <c r="X4634" s="35"/>
      <c r="Y4634" s="35"/>
      <c r="Z4634" s="35"/>
      <c r="AA4634" s="35"/>
      <c r="AB4634" s="35"/>
      <c r="AC4634" s="35"/>
      <c r="AD4634" s="35"/>
      <c r="AE4634" s="35"/>
      <c r="AF4634" s="35"/>
      <c r="AG4634" s="35"/>
      <c r="AH4634" s="35"/>
      <c r="AI4634" s="35"/>
    </row>
    <row r="4635">
      <c r="A4635" s="251"/>
      <c r="B4635" s="252"/>
      <c r="C4635" s="253"/>
      <c r="D4635" s="253"/>
      <c r="E4635" s="252"/>
      <c r="F4635" s="253"/>
      <c r="G4635" s="251"/>
      <c r="H4635" s="433"/>
      <c r="I4635" s="278"/>
      <c r="J4635" s="257"/>
      <c r="K4635" s="253"/>
      <c r="L4635" s="253"/>
      <c r="M4635" s="252"/>
      <c r="N4635" s="258"/>
      <c r="O4635" s="259"/>
      <c r="P4635" s="259"/>
      <c r="Q4635" s="262"/>
      <c r="R4635" s="260"/>
      <c r="S4635" s="260"/>
      <c r="T4635" s="260"/>
      <c r="U4635" s="261"/>
      <c r="V4635" s="251"/>
      <c r="W4635" s="35"/>
      <c r="X4635" s="35"/>
      <c r="Y4635" s="35"/>
      <c r="Z4635" s="35"/>
      <c r="AA4635" s="35"/>
      <c r="AB4635" s="35"/>
      <c r="AC4635" s="35"/>
      <c r="AD4635" s="35"/>
      <c r="AE4635" s="35"/>
      <c r="AF4635" s="35"/>
      <c r="AG4635" s="35"/>
      <c r="AH4635" s="35"/>
      <c r="AI4635" s="35"/>
    </row>
    <row r="4636">
      <c r="A4636" s="251"/>
      <c r="B4636" s="252"/>
      <c r="C4636" s="253"/>
      <c r="D4636" s="253"/>
      <c r="E4636" s="252"/>
      <c r="F4636" s="253"/>
      <c r="G4636" s="251"/>
      <c r="H4636" s="433"/>
      <c r="I4636" s="278"/>
      <c r="J4636" s="257"/>
      <c r="K4636" s="253"/>
      <c r="L4636" s="253"/>
      <c r="M4636" s="252"/>
      <c r="N4636" s="258"/>
      <c r="O4636" s="259"/>
      <c r="P4636" s="259"/>
      <c r="Q4636" s="262"/>
      <c r="R4636" s="260"/>
      <c r="S4636" s="260"/>
      <c r="T4636" s="260"/>
      <c r="U4636" s="261"/>
      <c r="V4636" s="251"/>
      <c r="W4636" s="35"/>
      <c r="X4636" s="35"/>
      <c r="Y4636" s="35"/>
      <c r="Z4636" s="35"/>
      <c r="AA4636" s="35"/>
      <c r="AB4636" s="35"/>
      <c r="AC4636" s="35"/>
      <c r="AD4636" s="35"/>
      <c r="AE4636" s="35"/>
      <c r="AF4636" s="35"/>
      <c r="AG4636" s="35"/>
      <c r="AH4636" s="35"/>
      <c r="AI4636" s="35"/>
    </row>
    <row r="4637">
      <c r="A4637" s="251"/>
      <c r="B4637" s="252"/>
      <c r="C4637" s="253"/>
      <c r="D4637" s="253"/>
      <c r="E4637" s="252"/>
      <c r="F4637" s="253"/>
      <c r="G4637" s="251"/>
      <c r="H4637" s="433"/>
      <c r="I4637" s="278"/>
      <c r="J4637" s="257"/>
      <c r="K4637" s="253"/>
      <c r="L4637" s="253"/>
      <c r="M4637" s="252"/>
      <c r="N4637" s="258"/>
      <c r="O4637" s="259"/>
      <c r="P4637" s="259"/>
      <c r="Q4637" s="262"/>
      <c r="R4637" s="260"/>
      <c r="S4637" s="260"/>
      <c r="T4637" s="260"/>
      <c r="U4637" s="261"/>
      <c r="V4637" s="251"/>
      <c r="W4637" s="35"/>
      <c r="X4637" s="35"/>
      <c r="Y4637" s="35"/>
      <c r="Z4637" s="35"/>
      <c r="AA4637" s="35"/>
      <c r="AB4637" s="35"/>
      <c r="AC4637" s="35"/>
      <c r="AD4637" s="35"/>
      <c r="AE4637" s="35"/>
      <c r="AF4637" s="35"/>
      <c r="AG4637" s="35"/>
      <c r="AH4637" s="35"/>
      <c r="AI4637" s="35"/>
    </row>
    <row r="4638">
      <c r="A4638" s="251"/>
      <c r="B4638" s="252"/>
      <c r="C4638" s="253"/>
      <c r="D4638" s="253"/>
      <c r="E4638" s="252"/>
      <c r="F4638" s="253"/>
      <c r="G4638" s="251"/>
      <c r="H4638" s="433"/>
      <c r="I4638" s="278"/>
      <c r="J4638" s="257"/>
      <c r="K4638" s="253"/>
      <c r="L4638" s="253"/>
      <c r="M4638" s="252"/>
      <c r="N4638" s="258"/>
      <c r="O4638" s="259"/>
      <c r="P4638" s="259"/>
      <c r="Q4638" s="262"/>
      <c r="R4638" s="260"/>
      <c r="S4638" s="260"/>
      <c r="T4638" s="260"/>
      <c r="U4638" s="261"/>
      <c r="V4638" s="251"/>
      <c r="W4638" s="35"/>
      <c r="X4638" s="35"/>
      <c r="Y4638" s="35"/>
      <c r="Z4638" s="35"/>
      <c r="AA4638" s="35"/>
      <c r="AB4638" s="35"/>
      <c r="AC4638" s="35"/>
      <c r="AD4638" s="35"/>
      <c r="AE4638" s="35"/>
      <c r="AF4638" s="35"/>
      <c r="AG4638" s="35"/>
      <c r="AH4638" s="35"/>
      <c r="AI4638" s="35"/>
    </row>
    <row r="4639">
      <c r="A4639" s="251"/>
      <c r="B4639" s="252"/>
      <c r="C4639" s="253"/>
      <c r="D4639" s="253"/>
      <c r="E4639" s="252"/>
      <c r="F4639" s="253"/>
      <c r="G4639" s="251"/>
      <c r="H4639" s="433"/>
      <c r="I4639" s="278"/>
      <c r="J4639" s="257"/>
      <c r="K4639" s="253"/>
      <c r="L4639" s="253"/>
      <c r="M4639" s="252"/>
      <c r="N4639" s="258"/>
      <c r="O4639" s="259"/>
      <c r="P4639" s="259"/>
      <c r="Q4639" s="262"/>
      <c r="R4639" s="260"/>
      <c r="S4639" s="260"/>
      <c r="T4639" s="260"/>
      <c r="U4639" s="261"/>
      <c r="V4639" s="251"/>
      <c r="W4639" s="35"/>
      <c r="X4639" s="35"/>
      <c r="Y4639" s="35"/>
      <c r="Z4639" s="35"/>
      <c r="AA4639" s="35"/>
      <c r="AB4639" s="35"/>
      <c r="AC4639" s="35"/>
      <c r="AD4639" s="35"/>
      <c r="AE4639" s="35"/>
      <c r="AF4639" s="35"/>
      <c r="AG4639" s="35"/>
      <c r="AH4639" s="35"/>
      <c r="AI4639" s="35"/>
    </row>
    <row r="4640">
      <c r="A4640" s="251"/>
      <c r="B4640" s="252"/>
      <c r="C4640" s="253"/>
      <c r="D4640" s="253"/>
      <c r="E4640" s="252"/>
      <c r="F4640" s="253"/>
      <c r="G4640" s="251"/>
      <c r="H4640" s="433"/>
      <c r="I4640" s="278"/>
      <c r="J4640" s="257"/>
      <c r="K4640" s="253"/>
      <c r="L4640" s="253"/>
      <c r="M4640" s="252"/>
      <c r="N4640" s="258"/>
      <c r="O4640" s="259"/>
      <c r="P4640" s="259"/>
      <c r="Q4640" s="262"/>
      <c r="R4640" s="260"/>
      <c r="S4640" s="260"/>
      <c r="T4640" s="260"/>
      <c r="U4640" s="261"/>
      <c r="V4640" s="251"/>
      <c r="W4640" s="35"/>
      <c r="X4640" s="35"/>
      <c r="Y4640" s="35"/>
      <c r="Z4640" s="35"/>
      <c r="AA4640" s="35"/>
      <c r="AB4640" s="35"/>
      <c r="AC4640" s="35"/>
      <c r="AD4640" s="35"/>
      <c r="AE4640" s="35"/>
      <c r="AF4640" s="35"/>
      <c r="AG4640" s="35"/>
      <c r="AH4640" s="35"/>
      <c r="AI4640" s="35"/>
    </row>
    <row r="4641">
      <c r="A4641" s="251"/>
      <c r="B4641" s="252"/>
      <c r="C4641" s="253"/>
      <c r="D4641" s="253"/>
      <c r="E4641" s="252"/>
      <c r="F4641" s="253"/>
      <c r="G4641" s="251"/>
      <c r="H4641" s="433"/>
      <c r="I4641" s="278"/>
      <c r="J4641" s="257"/>
      <c r="K4641" s="253"/>
      <c r="L4641" s="253"/>
      <c r="M4641" s="252"/>
      <c r="N4641" s="258"/>
      <c r="O4641" s="259"/>
      <c r="P4641" s="259"/>
      <c r="Q4641" s="262"/>
      <c r="R4641" s="260"/>
      <c r="S4641" s="260"/>
      <c r="T4641" s="260"/>
      <c r="U4641" s="261"/>
      <c r="V4641" s="251"/>
      <c r="W4641" s="35"/>
      <c r="X4641" s="35"/>
      <c r="Y4641" s="35"/>
      <c r="Z4641" s="35"/>
      <c r="AA4641" s="35"/>
      <c r="AB4641" s="35"/>
      <c r="AC4641" s="35"/>
      <c r="AD4641" s="35"/>
      <c r="AE4641" s="35"/>
      <c r="AF4641" s="35"/>
      <c r="AG4641" s="35"/>
      <c r="AH4641" s="35"/>
      <c r="AI4641" s="35"/>
    </row>
    <row r="4642">
      <c r="A4642" s="251"/>
      <c r="B4642" s="252"/>
      <c r="C4642" s="253"/>
      <c r="D4642" s="253"/>
      <c r="E4642" s="252"/>
      <c r="F4642" s="253"/>
      <c r="G4642" s="251"/>
      <c r="H4642" s="433"/>
      <c r="I4642" s="278"/>
      <c r="J4642" s="257"/>
      <c r="K4642" s="253"/>
      <c r="L4642" s="253"/>
      <c r="M4642" s="252"/>
      <c r="N4642" s="258"/>
      <c r="O4642" s="259"/>
      <c r="P4642" s="259"/>
      <c r="Q4642" s="257"/>
      <c r="R4642" s="260"/>
      <c r="S4642" s="260"/>
      <c r="T4642" s="260"/>
      <c r="U4642" s="261"/>
      <c r="V4642" s="251"/>
      <c r="W4642" s="35"/>
      <c r="X4642" s="35"/>
      <c r="Y4642" s="35"/>
      <c r="Z4642" s="35"/>
      <c r="AA4642" s="35"/>
      <c r="AB4642" s="35"/>
      <c r="AC4642" s="35"/>
      <c r="AD4642" s="35"/>
      <c r="AE4642" s="35"/>
      <c r="AF4642" s="35"/>
      <c r="AG4642" s="35"/>
      <c r="AH4642" s="35"/>
      <c r="AI4642" s="35"/>
    </row>
    <row r="4643">
      <c r="A4643" s="251"/>
      <c r="B4643" s="252"/>
      <c r="C4643" s="253"/>
      <c r="D4643" s="253"/>
      <c r="E4643" s="252"/>
      <c r="F4643" s="253"/>
      <c r="G4643" s="251"/>
      <c r="H4643" s="433"/>
      <c r="I4643" s="278"/>
      <c r="J4643" s="257"/>
      <c r="K4643" s="253"/>
      <c r="L4643" s="253"/>
      <c r="M4643" s="252"/>
      <c r="N4643" s="258"/>
      <c r="O4643" s="259"/>
      <c r="P4643" s="259"/>
      <c r="Q4643" s="257"/>
      <c r="R4643" s="260"/>
      <c r="S4643" s="260"/>
      <c r="T4643" s="260"/>
      <c r="U4643" s="261"/>
      <c r="V4643" s="251"/>
      <c r="W4643" s="35"/>
      <c r="X4643" s="35"/>
      <c r="Y4643" s="35"/>
      <c r="Z4643" s="35"/>
      <c r="AA4643" s="35"/>
      <c r="AB4643" s="35"/>
      <c r="AC4643" s="35"/>
      <c r="AD4643" s="35"/>
      <c r="AE4643" s="35"/>
      <c r="AF4643" s="35"/>
      <c r="AG4643" s="35"/>
      <c r="AH4643" s="35"/>
      <c r="AI4643" s="35"/>
    </row>
    <row r="4644">
      <c r="A4644" s="251"/>
      <c r="B4644" s="252"/>
      <c r="C4644" s="253"/>
      <c r="D4644" s="253"/>
      <c r="E4644" s="252"/>
      <c r="F4644" s="253"/>
      <c r="G4644" s="251"/>
      <c r="H4644" s="433"/>
      <c r="I4644" s="278"/>
      <c r="J4644" s="257"/>
      <c r="K4644" s="253"/>
      <c r="L4644" s="253"/>
      <c r="M4644" s="252"/>
      <c r="N4644" s="258"/>
      <c r="O4644" s="259"/>
      <c r="P4644" s="259"/>
      <c r="Q4644" s="262"/>
      <c r="R4644" s="260"/>
      <c r="S4644" s="260"/>
      <c r="T4644" s="260"/>
      <c r="U4644" s="261"/>
      <c r="V4644" s="251"/>
      <c r="W4644" s="35"/>
      <c r="X4644" s="35"/>
      <c r="Y4644" s="35"/>
      <c r="Z4644" s="35"/>
      <c r="AA4644" s="35"/>
      <c r="AB4644" s="35"/>
      <c r="AC4644" s="35"/>
      <c r="AD4644" s="35"/>
      <c r="AE4644" s="35"/>
      <c r="AF4644" s="35"/>
      <c r="AG4644" s="35"/>
      <c r="AH4644" s="35"/>
      <c r="AI4644" s="35"/>
    </row>
    <row r="4645">
      <c r="A4645" s="251"/>
      <c r="B4645" s="252"/>
      <c r="C4645" s="253"/>
      <c r="D4645" s="253"/>
      <c r="E4645" s="252"/>
      <c r="F4645" s="253"/>
      <c r="G4645" s="251"/>
      <c r="H4645" s="433"/>
      <c r="I4645" s="278"/>
      <c r="J4645" s="257"/>
      <c r="K4645" s="253"/>
      <c r="L4645" s="253"/>
      <c r="M4645" s="252"/>
      <c r="N4645" s="258"/>
      <c r="O4645" s="259"/>
      <c r="P4645" s="259"/>
      <c r="Q4645" s="262"/>
      <c r="R4645" s="260"/>
      <c r="S4645" s="260"/>
      <c r="T4645" s="260"/>
      <c r="U4645" s="261"/>
      <c r="V4645" s="251"/>
      <c r="W4645" s="35"/>
      <c r="X4645" s="35"/>
      <c r="Y4645" s="35"/>
      <c r="Z4645" s="35"/>
      <c r="AA4645" s="35"/>
      <c r="AB4645" s="35"/>
      <c r="AC4645" s="35"/>
      <c r="AD4645" s="35"/>
      <c r="AE4645" s="35"/>
      <c r="AF4645" s="35"/>
      <c r="AG4645" s="35"/>
      <c r="AH4645" s="35"/>
      <c r="AI4645" s="35"/>
    </row>
    <row r="4646">
      <c r="A4646" s="251"/>
      <c r="B4646" s="252"/>
      <c r="C4646" s="253"/>
      <c r="D4646" s="253"/>
      <c r="E4646" s="252"/>
      <c r="F4646" s="253"/>
      <c r="G4646" s="251"/>
      <c r="H4646" s="433"/>
      <c r="I4646" s="278"/>
      <c r="J4646" s="257"/>
      <c r="K4646" s="253"/>
      <c r="L4646" s="253"/>
      <c r="M4646" s="252"/>
      <c r="N4646" s="258"/>
      <c r="O4646" s="259"/>
      <c r="P4646" s="259"/>
      <c r="Q4646" s="262"/>
      <c r="R4646" s="260"/>
      <c r="S4646" s="260"/>
      <c r="T4646" s="260"/>
      <c r="U4646" s="261"/>
      <c r="V4646" s="251"/>
      <c r="W4646" s="35"/>
      <c r="X4646" s="35"/>
      <c r="Y4646" s="35"/>
      <c r="Z4646" s="35"/>
      <c r="AA4646" s="35"/>
      <c r="AB4646" s="35"/>
      <c r="AC4646" s="35"/>
      <c r="AD4646" s="35"/>
      <c r="AE4646" s="35"/>
      <c r="AF4646" s="35"/>
      <c r="AG4646" s="35"/>
      <c r="AH4646" s="35"/>
      <c r="AI4646" s="35"/>
    </row>
    <row r="4647">
      <c r="A4647" s="251"/>
      <c r="B4647" s="252"/>
      <c r="C4647" s="253"/>
      <c r="D4647" s="253"/>
      <c r="E4647" s="252"/>
      <c r="F4647" s="253"/>
      <c r="G4647" s="251"/>
      <c r="H4647" s="433"/>
      <c r="I4647" s="278"/>
      <c r="J4647" s="257"/>
      <c r="K4647" s="253"/>
      <c r="L4647" s="253"/>
      <c r="M4647" s="252"/>
      <c r="N4647" s="258"/>
      <c r="O4647" s="259"/>
      <c r="P4647" s="259"/>
      <c r="Q4647" s="262"/>
      <c r="R4647" s="260"/>
      <c r="S4647" s="260"/>
      <c r="T4647" s="260"/>
      <c r="U4647" s="261"/>
      <c r="V4647" s="251"/>
      <c r="W4647" s="35"/>
      <c r="X4647" s="35"/>
      <c r="Y4647" s="35"/>
      <c r="Z4647" s="35"/>
      <c r="AA4647" s="35"/>
      <c r="AB4647" s="35"/>
      <c r="AC4647" s="35"/>
      <c r="AD4647" s="35"/>
      <c r="AE4647" s="35"/>
      <c r="AF4647" s="35"/>
      <c r="AG4647" s="35"/>
      <c r="AH4647" s="35"/>
      <c r="AI4647" s="35"/>
    </row>
    <row r="4648">
      <c r="A4648" s="251"/>
      <c r="B4648" s="252"/>
      <c r="C4648" s="253"/>
      <c r="D4648" s="253"/>
      <c r="E4648" s="252"/>
      <c r="F4648" s="253"/>
      <c r="G4648" s="251"/>
      <c r="H4648" s="433"/>
      <c r="I4648" s="278"/>
      <c r="J4648" s="257"/>
      <c r="K4648" s="253"/>
      <c r="L4648" s="253"/>
      <c r="M4648" s="252"/>
      <c r="N4648" s="258"/>
      <c r="O4648" s="259"/>
      <c r="P4648" s="259"/>
      <c r="Q4648" s="262"/>
      <c r="R4648" s="260"/>
      <c r="S4648" s="260"/>
      <c r="T4648" s="260"/>
      <c r="U4648" s="261"/>
      <c r="V4648" s="251"/>
      <c r="W4648" s="35"/>
      <c r="X4648" s="35"/>
      <c r="Y4648" s="35"/>
      <c r="Z4648" s="35"/>
      <c r="AA4648" s="35"/>
      <c r="AB4648" s="35"/>
      <c r="AC4648" s="35"/>
      <c r="AD4648" s="35"/>
      <c r="AE4648" s="35"/>
      <c r="AF4648" s="35"/>
      <c r="AG4648" s="35"/>
      <c r="AH4648" s="35"/>
      <c r="AI4648" s="35"/>
    </row>
    <row r="4649">
      <c r="A4649" s="251"/>
      <c r="B4649" s="252"/>
      <c r="C4649" s="253"/>
      <c r="D4649" s="253"/>
      <c r="E4649" s="252"/>
      <c r="F4649" s="253"/>
      <c r="G4649" s="251"/>
      <c r="H4649" s="433"/>
      <c r="I4649" s="278"/>
      <c r="J4649" s="257"/>
      <c r="K4649" s="253"/>
      <c r="L4649" s="253"/>
      <c r="M4649" s="252"/>
      <c r="N4649" s="258"/>
      <c r="O4649" s="259"/>
      <c r="P4649" s="259"/>
      <c r="Q4649" s="262"/>
      <c r="R4649" s="260"/>
      <c r="S4649" s="260"/>
      <c r="T4649" s="260"/>
      <c r="U4649" s="261"/>
      <c r="V4649" s="251"/>
      <c r="W4649" s="35"/>
      <c r="X4649" s="35"/>
      <c r="Y4649" s="35"/>
      <c r="Z4649" s="35"/>
      <c r="AA4649" s="35"/>
      <c r="AB4649" s="35"/>
      <c r="AC4649" s="35"/>
      <c r="AD4649" s="35"/>
      <c r="AE4649" s="35"/>
      <c r="AF4649" s="35"/>
      <c r="AG4649" s="35"/>
      <c r="AH4649" s="35"/>
      <c r="AI4649" s="35"/>
    </row>
    <row r="4650">
      <c r="A4650" s="251"/>
      <c r="B4650" s="252"/>
      <c r="C4650" s="253"/>
      <c r="D4650" s="253"/>
      <c r="E4650" s="252"/>
      <c r="F4650" s="253"/>
      <c r="G4650" s="251"/>
      <c r="H4650" s="433"/>
      <c r="I4650" s="278"/>
      <c r="J4650" s="257"/>
      <c r="K4650" s="253"/>
      <c r="L4650" s="253"/>
      <c r="M4650" s="252"/>
      <c r="N4650" s="258"/>
      <c r="O4650" s="259"/>
      <c r="P4650" s="259"/>
      <c r="Q4650" s="262"/>
      <c r="R4650" s="260"/>
      <c r="S4650" s="260"/>
      <c r="T4650" s="260"/>
      <c r="U4650" s="261"/>
      <c r="V4650" s="251"/>
      <c r="W4650" s="35"/>
      <c r="X4650" s="35"/>
      <c r="Y4650" s="35"/>
      <c r="Z4650" s="35"/>
      <c r="AA4650" s="35"/>
      <c r="AB4650" s="35"/>
      <c r="AC4650" s="35"/>
      <c r="AD4650" s="35"/>
      <c r="AE4650" s="35"/>
      <c r="AF4650" s="35"/>
      <c r="AG4650" s="35"/>
      <c r="AH4650" s="35"/>
      <c r="AI4650" s="35"/>
    </row>
    <row r="4651">
      <c r="A4651" s="251"/>
      <c r="B4651" s="252"/>
      <c r="C4651" s="253"/>
      <c r="D4651" s="253"/>
      <c r="E4651" s="252"/>
      <c r="F4651" s="253"/>
      <c r="G4651" s="251"/>
      <c r="H4651" s="433"/>
      <c r="I4651" s="278"/>
      <c r="J4651" s="257"/>
      <c r="K4651" s="253"/>
      <c r="L4651" s="253"/>
      <c r="M4651" s="252"/>
      <c r="N4651" s="258"/>
      <c r="O4651" s="259"/>
      <c r="P4651" s="259"/>
      <c r="Q4651" s="262"/>
      <c r="R4651" s="260"/>
      <c r="S4651" s="260"/>
      <c r="T4651" s="260"/>
      <c r="U4651" s="261"/>
      <c r="V4651" s="251"/>
      <c r="W4651" s="35"/>
      <c r="X4651" s="35"/>
      <c r="Y4651" s="35"/>
      <c r="Z4651" s="35"/>
      <c r="AA4651" s="35"/>
      <c r="AB4651" s="35"/>
      <c r="AC4651" s="35"/>
      <c r="AD4651" s="35"/>
      <c r="AE4651" s="35"/>
      <c r="AF4651" s="35"/>
      <c r="AG4651" s="35"/>
      <c r="AH4651" s="35"/>
      <c r="AI4651" s="35"/>
    </row>
    <row r="4652">
      <c r="A4652" s="251"/>
      <c r="B4652" s="252"/>
      <c r="C4652" s="253"/>
      <c r="D4652" s="253"/>
      <c r="E4652" s="252"/>
      <c r="F4652" s="253"/>
      <c r="G4652" s="251"/>
      <c r="H4652" s="433"/>
      <c r="I4652" s="278"/>
      <c r="J4652" s="257"/>
      <c r="K4652" s="253"/>
      <c r="L4652" s="253"/>
      <c r="M4652" s="252"/>
      <c r="N4652" s="258"/>
      <c r="O4652" s="259"/>
      <c r="P4652" s="259"/>
      <c r="Q4652" s="257"/>
      <c r="R4652" s="260"/>
      <c r="S4652" s="260"/>
      <c r="T4652" s="260"/>
      <c r="U4652" s="261"/>
      <c r="V4652" s="251"/>
      <c r="W4652" s="35"/>
      <c r="X4652" s="35"/>
      <c r="Y4652" s="35"/>
      <c r="Z4652" s="35"/>
      <c r="AA4652" s="35"/>
      <c r="AB4652" s="35"/>
      <c r="AC4652" s="35"/>
      <c r="AD4652" s="35"/>
      <c r="AE4652" s="35"/>
      <c r="AF4652" s="35"/>
      <c r="AG4652" s="35"/>
      <c r="AH4652" s="35"/>
      <c r="AI4652" s="35"/>
    </row>
    <row r="4653">
      <c r="A4653" s="251"/>
      <c r="B4653" s="252"/>
      <c r="C4653" s="253"/>
      <c r="D4653" s="253"/>
      <c r="E4653" s="252"/>
      <c r="F4653" s="253"/>
      <c r="G4653" s="251"/>
      <c r="H4653" s="433"/>
      <c r="I4653" s="278"/>
      <c r="J4653" s="257"/>
      <c r="K4653" s="253"/>
      <c r="L4653" s="253"/>
      <c r="M4653" s="252"/>
      <c r="N4653" s="258"/>
      <c r="O4653" s="259"/>
      <c r="P4653" s="259"/>
      <c r="Q4653" s="262"/>
      <c r="R4653" s="260"/>
      <c r="S4653" s="260"/>
      <c r="T4653" s="260"/>
      <c r="U4653" s="261"/>
      <c r="V4653" s="251"/>
      <c r="W4653" s="35"/>
      <c r="X4653" s="35"/>
      <c r="Y4653" s="35"/>
      <c r="Z4653" s="35"/>
      <c r="AA4653" s="35"/>
      <c r="AB4653" s="35"/>
      <c r="AC4653" s="35"/>
      <c r="AD4653" s="35"/>
      <c r="AE4653" s="35"/>
      <c r="AF4653" s="35"/>
      <c r="AG4653" s="35"/>
      <c r="AH4653" s="35"/>
      <c r="AI4653" s="35"/>
    </row>
    <row r="4654">
      <c r="A4654" s="251"/>
      <c r="B4654" s="252"/>
      <c r="C4654" s="253"/>
      <c r="D4654" s="253"/>
      <c r="E4654" s="252"/>
      <c r="F4654" s="253"/>
      <c r="G4654" s="251"/>
      <c r="H4654" s="433"/>
      <c r="I4654" s="278"/>
      <c r="J4654" s="257"/>
      <c r="K4654" s="253"/>
      <c r="L4654" s="253"/>
      <c r="M4654" s="275"/>
      <c r="N4654" s="258"/>
      <c r="O4654" s="259"/>
      <c r="P4654" s="259"/>
      <c r="Q4654" s="262"/>
      <c r="R4654" s="260"/>
      <c r="S4654" s="260"/>
      <c r="T4654" s="260"/>
      <c r="U4654" s="261"/>
      <c r="V4654" s="251"/>
      <c r="W4654" s="35"/>
      <c r="X4654" s="35"/>
      <c r="Y4654" s="35"/>
      <c r="Z4654" s="35"/>
      <c r="AA4654" s="35"/>
      <c r="AB4654" s="35"/>
      <c r="AC4654" s="35"/>
      <c r="AD4654" s="35"/>
      <c r="AE4654" s="35"/>
      <c r="AF4654" s="35"/>
      <c r="AG4654" s="35"/>
      <c r="AH4654" s="35"/>
      <c r="AI4654" s="35"/>
    </row>
    <row r="4655">
      <c r="A4655" s="251"/>
      <c r="B4655" s="252"/>
      <c r="C4655" s="253"/>
      <c r="D4655" s="253"/>
      <c r="E4655" s="252"/>
      <c r="F4655" s="253"/>
      <c r="G4655" s="251"/>
      <c r="H4655" s="433"/>
      <c r="I4655" s="278"/>
      <c r="J4655" s="257"/>
      <c r="K4655" s="253"/>
      <c r="L4655" s="253"/>
      <c r="M4655" s="252"/>
      <c r="N4655" s="258"/>
      <c r="O4655" s="259"/>
      <c r="P4655" s="259"/>
      <c r="Q4655" s="262"/>
      <c r="R4655" s="260"/>
      <c r="S4655" s="260"/>
      <c r="T4655" s="260"/>
      <c r="U4655" s="261"/>
      <c r="V4655" s="251"/>
      <c r="W4655" s="35"/>
      <c r="X4655" s="35"/>
      <c r="Y4655" s="35"/>
      <c r="Z4655" s="35"/>
      <c r="AA4655" s="35"/>
      <c r="AB4655" s="35"/>
      <c r="AC4655" s="35"/>
      <c r="AD4655" s="35"/>
      <c r="AE4655" s="35"/>
      <c r="AF4655" s="35"/>
      <c r="AG4655" s="35"/>
      <c r="AH4655" s="35"/>
      <c r="AI4655" s="35"/>
    </row>
    <row r="4656">
      <c r="A4656" s="251"/>
      <c r="B4656" s="252"/>
      <c r="C4656" s="253"/>
      <c r="D4656" s="253"/>
      <c r="E4656" s="252"/>
      <c r="F4656" s="253"/>
      <c r="G4656" s="251"/>
      <c r="H4656" s="433"/>
      <c r="I4656" s="278"/>
      <c r="J4656" s="257"/>
      <c r="K4656" s="253"/>
      <c r="L4656" s="253"/>
      <c r="M4656" s="252"/>
      <c r="N4656" s="258"/>
      <c r="O4656" s="259"/>
      <c r="P4656" s="259"/>
      <c r="Q4656" s="262"/>
      <c r="R4656" s="260"/>
      <c r="S4656" s="260"/>
      <c r="T4656" s="260"/>
      <c r="U4656" s="261"/>
      <c r="V4656" s="251"/>
      <c r="W4656" s="35"/>
      <c r="X4656" s="35"/>
      <c r="Y4656" s="35"/>
      <c r="Z4656" s="35"/>
      <c r="AA4656" s="35"/>
      <c r="AB4656" s="35"/>
      <c r="AC4656" s="35"/>
      <c r="AD4656" s="35"/>
      <c r="AE4656" s="35"/>
      <c r="AF4656" s="35"/>
      <c r="AG4656" s="35"/>
      <c r="AH4656" s="35"/>
      <c r="AI4656" s="35"/>
    </row>
    <row r="4657">
      <c r="A4657" s="251"/>
      <c r="B4657" s="252"/>
      <c r="C4657" s="253"/>
      <c r="D4657" s="253"/>
      <c r="E4657" s="252"/>
      <c r="F4657" s="253"/>
      <c r="G4657" s="251"/>
      <c r="H4657" s="433"/>
      <c r="I4657" s="278"/>
      <c r="J4657" s="257"/>
      <c r="K4657" s="253"/>
      <c r="L4657" s="253"/>
      <c r="M4657" s="275"/>
      <c r="N4657" s="258"/>
      <c r="O4657" s="259"/>
      <c r="P4657" s="259"/>
      <c r="Q4657" s="262"/>
      <c r="R4657" s="260"/>
      <c r="S4657" s="260"/>
      <c r="T4657" s="260"/>
      <c r="U4657" s="261"/>
      <c r="V4657" s="251"/>
      <c r="W4657" s="35"/>
      <c r="X4657" s="35"/>
      <c r="Y4657" s="35"/>
      <c r="Z4657" s="35"/>
      <c r="AA4657" s="35"/>
      <c r="AB4657" s="35"/>
      <c r="AC4657" s="35"/>
      <c r="AD4657" s="35"/>
      <c r="AE4657" s="35"/>
      <c r="AF4657" s="35"/>
      <c r="AG4657" s="35"/>
      <c r="AH4657" s="35"/>
      <c r="AI4657" s="35"/>
    </row>
    <row r="4658">
      <c r="A4658" s="251"/>
      <c r="B4658" s="252"/>
      <c r="C4658" s="253"/>
      <c r="D4658" s="253"/>
      <c r="E4658" s="252"/>
      <c r="F4658" s="253"/>
      <c r="G4658" s="251"/>
      <c r="H4658" s="433"/>
      <c r="I4658" s="278"/>
      <c r="J4658" s="257"/>
      <c r="K4658" s="253"/>
      <c r="L4658" s="253"/>
      <c r="M4658" s="252"/>
      <c r="N4658" s="258"/>
      <c r="O4658" s="259"/>
      <c r="P4658" s="259"/>
      <c r="Q4658" s="257"/>
      <c r="R4658" s="260"/>
      <c r="S4658" s="260"/>
      <c r="T4658" s="260"/>
      <c r="U4658" s="261"/>
      <c r="V4658" s="251"/>
      <c r="W4658" s="35"/>
      <c r="X4658" s="35"/>
      <c r="Y4658" s="35"/>
      <c r="Z4658" s="35"/>
      <c r="AA4658" s="35"/>
      <c r="AB4658" s="35"/>
      <c r="AC4658" s="35"/>
      <c r="AD4658" s="35"/>
      <c r="AE4658" s="35"/>
      <c r="AF4658" s="35"/>
      <c r="AG4658" s="35"/>
      <c r="AH4658" s="35"/>
      <c r="AI4658" s="35"/>
    </row>
    <row r="4659">
      <c r="A4659" s="251"/>
      <c r="B4659" s="252"/>
      <c r="C4659" s="253"/>
      <c r="D4659" s="253"/>
      <c r="E4659" s="252"/>
      <c r="F4659" s="253"/>
      <c r="G4659" s="251"/>
      <c r="H4659" s="433"/>
      <c r="I4659" s="278"/>
      <c r="J4659" s="257"/>
      <c r="K4659" s="253"/>
      <c r="L4659" s="253"/>
      <c r="M4659" s="252"/>
      <c r="N4659" s="258"/>
      <c r="O4659" s="259"/>
      <c r="P4659" s="259"/>
      <c r="Q4659" s="262"/>
      <c r="R4659" s="260"/>
      <c r="S4659" s="260"/>
      <c r="T4659" s="260"/>
      <c r="U4659" s="261"/>
      <c r="V4659" s="251"/>
      <c r="W4659" s="35"/>
      <c r="X4659" s="35"/>
      <c r="Y4659" s="35"/>
      <c r="Z4659" s="35"/>
      <c r="AA4659" s="35"/>
      <c r="AB4659" s="35"/>
      <c r="AC4659" s="35"/>
      <c r="AD4659" s="35"/>
      <c r="AE4659" s="35"/>
      <c r="AF4659" s="35"/>
      <c r="AG4659" s="35"/>
      <c r="AH4659" s="35"/>
      <c r="AI4659" s="35"/>
    </row>
    <row r="4660">
      <c r="A4660" s="251"/>
      <c r="B4660" s="252"/>
      <c r="C4660" s="253"/>
      <c r="D4660" s="253"/>
      <c r="E4660" s="252"/>
      <c r="F4660" s="253"/>
      <c r="G4660" s="251"/>
      <c r="H4660" s="433"/>
      <c r="I4660" s="278"/>
      <c r="J4660" s="257"/>
      <c r="K4660" s="253"/>
      <c r="L4660" s="253"/>
      <c r="M4660" s="252"/>
      <c r="N4660" s="258"/>
      <c r="O4660" s="259"/>
      <c r="P4660" s="259"/>
      <c r="Q4660" s="262"/>
      <c r="R4660" s="260"/>
      <c r="S4660" s="260"/>
      <c r="T4660" s="260"/>
      <c r="U4660" s="261"/>
      <c r="V4660" s="251"/>
      <c r="W4660" s="35"/>
      <c r="X4660" s="35"/>
      <c r="Y4660" s="35"/>
      <c r="Z4660" s="35"/>
      <c r="AA4660" s="35"/>
      <c r="AB4660" s="35"/>
      <c r="AC4660" s="35"/>
      <c r="AD4660" s="35"/>
      <c r="AE4660" s="35"/>
      <c r="AF4660" s="35"/>
      <c r="AG4660" s="35"/>
      <c r="AH4660" s="35"/>
      <c r="AI4660" s="35"/>
    </row>
    <row r="4661">
      <c r="A4661" s="251"/>
      <c r="B4661" s="252"/>
      <c r="C4661" s="253"/>
      <c r="D4661" s="253"/>
      <c r="E4661" s="252"/>
      <c r="F4661" s="253"/>
      <c r="G4661" s="251"/>
      <c r="H4661" s="433"/>
      <c r="I4661" s="278"/>
      <c r="J4661" s="257"/>
      <c r="K4661" s="253"/>
      <c r="L4661" s="253"/>
      <c r="M4661" s="252"/>
      <c r="N4661" s="258"/>
      <c r="O4661" s="259"/>
      <c r="P4661" s="259"/>
      <c r="Q4661" s="262"/>
      <c r="R4661" s="260"/>
      <c r="S4661" s="260"/>
      <c r="T4661" s="260"/>
      <c r="U4661" s="261"/>
      <c r="V4661" s="251"/>
      <c r="W4661" s="35"/>
      <c r="X4661" s="35"/>
      <c r="Y4661" s="35"/>
      <c r="Z4661" s="35"/>
      <c r="AA4661" s="35"/>
      <c r="AB4661" s="35"/>
      <c r="AC4661" s="35"/>
      <c r="AD4661" s="35"/>
      <c r="AE4661" s="35"/>
      <c r="AF4661" s="35"/>
      <c r="AG4661" s="35"/>
      <c r="AH4661" s="35"/>
      <c r="AI4661" s="35"/>
    </row>
    <row r="4662">
      <c r="A4662" s="251"/>
      <c r="B4662" s="252"/>
      <c r="C4662" s="253"/>
      <c r="D4662" s="253"/>
      <c r="E4662" s="252"/>
      <c r="F4662" s="253"/>
      <c r="G4662" s="251"/>
      <c r="H4662" s="433"/>
      <c r="I4662" s="278"/>
      <c r="J4662" s="257"/>
      <c r="K4662" s="253"/>
      <c r="L4662" s="253"/>
      <c r="M4662" s="252"/>
      <c r="N4662" s="258"/>
      <c r="O4662" s="259"/>
      <c r="P4662" s="259"/>
      <c r="Q4662" s="262"/>
      <c r="R4662" s="260"/>
      <c r="S4662" s="260"/>
      <c r="T4662" s="260"/>
      <c r="U4662" s="261"/>
      <c r="V4662" s="251"/>
      <c r="W4662" s="35"/>
      <c r="X4662" s="35"/>
      <c r="Y4662" s="35"/>
      <c r="Z4662" s="35"/>
      <c r="AA4662" s="35"/>
      <c r="AB4662" s="35"/>
      <c r="AC4662" s="35"/>
      <c r="AD4662" s="35"/>
      <c r="AE4662" s="35"/>
      <c r="AF4662" s="35"/>
      <c r="AG4662" s="35"/>
      <c r="AH4662" s="35"/>
      <c r="AI4662" s="35"/>
    </row>
    <row r="4663">
      <c r="A4663" s="251"/>
      <c r="B4663" s="252"/>
      <c r="C4663" s="253"/>
      <c r="D4663" s="253"/>
      <c r="E4663" s="252"/>
      <c r="F4663" s="253"/>
      <c r="G4663" s="251"/>
      <c r="H4663" s="433"/>
      <c r="I4663" s="278"/>
      <c r="J4663" s="257"/>
      <c r="K4663" s="253"/>
      <c r="L4663" s="253"/>
      <c r="M4663" s="252"/>
      <c r="N4663" s="258"/>
      <c r="O4663" s="259"/>
      <c r="P4663" s="259"/>
      <c r="Q4663" s="262"/>
      <c r="R4663" s="260"/>
      <c r="S4663" s="260"/>
      <c r="T4663" s="260"/>
      <c r="U4663" s="261"/>
      <c r="V4663" s="251"/>
      <c r="W4663" s="35"/>
      <c r="X4663" s="35"/>
      <c r="Y4663" s="35"/>
      <c r="Z4663" s="35"/>
      <c r="AA4663" s="35"/>
      <c r="AB4663" s="35"/>
      <c r="AC4663" s="35"/>
      <c r="AD4663" s="35"/>
      <c r="AE4663" s="35"/>
      <c r="AF4663" s="35"/>
      <c r="AG4663" s="35"/>
      <c r="AH4663" s="35"/>
      <c r="AI4663" s="35"/>
    </row>
    <row r="4664">
      <c r="A4664" s="251"/>
      <c r="B4664" s="252"/>
      <c r="C4664" s="253"/>
      <c r="D4664" s="253"/>
      <c r="E4664" s="252"/>
      <c r="F4664" s="253"/>
      <c r="G4664" s="251"/>
      <c r="H4664" s="433"/>
      <c r="I4664" s="278"/>
      <c r="J4664" s="257"/>
      <c r="K4664" s="253"/>
      <c r="L4664" s="253"/>
      <c r="M4664" s="252"/>
      <c r="N4664" s="258"/>
      <c r="O4664" s="259"/>
      <c r="P4664" s="259"/>
      <c r="Q4664" s="257"/>
      <c r="R4664" s="260"/>
      <c r="S4664" s="260"/>
      <c r="T4664" s="260"/>
      <c r="U4664" s="261"/>
      <c r="V4664" s="251"/>
      <c r="W4664" s="35"/>
      <c r="X4664" s="35"/>
      <c r="Y4664" s="35"/>
      <c r="Z4664" s="35"/>
      <c r="AA4664" s="35"/>
      <c r="AB4664" s="35"/>
      <c r="AC4664" s="35"/>
      <c r="AD4664" s="35"/>
      <c r="AE4664" s="35"/>
      <c r="AF4664" s="35"/>
      <c r="AG4664" s="35"/>
      <c r="AH4664" s="35"/>
      <c r="AI4664" s="35"/>
    </row>
    <row r="4665">
      <c r="A4665" s="251"/>
      <c r="B4665" s="252"/>
      <c r="C4665" s="253"/>
      <c r="D4665" s="253"/>
      <c r="E4665" s="252"/>
      <c r="F4665" s="253"/>
      <c r="G4665" s="251"/>
      <c r="H4665" s="433"/>
      <c r="I4665" s="278"/>
      <c r="J4665" s="257"/>
      <c r="K4665" s="253"/>
      <c r="L4665" s="253"/>
      <c r="M4665" s="252"/>
      <c r="N4665" s="258"/>
      <c r="O4665" s="259"/>
      <c r="P4665" s="259"/>
      <c r="Q4665" s="262"/>
      <c r="R4665" s="260"/>
      <c r="S4665" s="260"/>
      <c r="T4665" s="260"/>
      <c r="U4665" s="261"/>
      <c r="V4665" s="251"/>
      <c r="W4665" s="35"/>
      <c r="X4665" s="35"/>
      <c r="Y4665" s="35"/>
      <c r="Z4665" s="35"/>
      <c r="AA4665" s="35"/>
      <c r="AB4665" s="35"/>
      <c r="AC4665" s="35"/>
      <c r="AD4665" s="35"/>
      <c r="AE4665" s="35"/>
      <c r="AF4665" s="35"/>
      <c r="AG4665" s="35"/>
      <c r="AH4665" s="35"/>
      <c r="AI4665" s="35"/>
    </row>
    <row r="4666">
      <c r="A4666" s="251"/>
      <c r="B4666" s="252"/>
      <c r="C4666" s="253"/>
      <c r="D4666" s="253"/>
      <c r="E4666" s="252"/>
      <c r="F4666" s="253"/>
      <c r="G4666" s="251"/>
      <c r="H4666" s="433"/>
      <c r="I4666" s="278"/>
      <c r="J4666" s="257"/>
      <c r="K4666" s="253"/>
      <c r="L4666" s="253"/>
      <c r="M4666" s="252"/>
      <c r="N4666" s="258"/>
      <c r="O4666" s="259"/>
      <c r="P4666" s="259"/>
      <c r="Q4666" s="262"/>
      <c r="R4666" s="260"/>
      <c r="S4666" s="260"/>
      <c r="T4666" s="260"/>
      <c r="U4666" s="261"/>
      <c r="V4666" s="251"/>
      <c r="W4666" s="35"/>
      <c r="X4666" s="35"/>
      <c r="Y4666" s="35"/>
      <c r="Z4666" s="35"/>
      <c r="AA4666" s="35"/>
      <c r="AB4666" s="35"/>
      <c r="AC4666" s="35"/>
      <c r="AD4666" s="35"/>
      <c r="AE4666" s="35"/>
      <c r="AF4666" s="35"/>
      <c r="AG4666" s="35"/>
      <c r="AH4666" s="35"/>
      <c r="AI4666" s="35"/>
    </row>
    <row r="4667">
      <c r="A4667" s="251"/>
      <c r="B4667" s="252"/>
      <c r="C4667" s="253"/>
      <c r="D4667" s="253"/>
      <c r="E4667" s="252"/>
      <c r="F4667" s="253"/>
      <c r="G4667" s="251"/>
      <c r="H4667" s="433"/>
      <c r="I4667" s="278"/>
      <c r="J4667" s="257"/>
      <c r="K4667" s="253"/>
      <c r="L4667" s="253"/>
      <c r="M4667" s="275"/>
      <c r="N4667" s="258"/>
      <c r="O4667" s="259"/>
      <c r="P4667" s="259"/>
      <c r="Q4667" s="262"/>
      <c r="R4667" s="260"/>
      <c r="S4667" s="260"/>
      <c r="T4667" s="173"/>
      <c r="U4667" s="174"/>
      <c r="V4667" s="210"/>
      <c r="W4667" s="35"/>
      <c r="X4667" s="35"/>
      <c r="Y4667" s="35"/>
      <c r="Z4667" s="35"/>
      <c r="AA4667" s="35"/>
      <c r="AB4667" s="35"/>
      <c r="AC4667" s="35"/>
      <c r="AD4667" s="35"/>
      <c r="AE4667" s="35"/>
      <c r="AF4667" s="35"/>
      <c r="AG4667" s="35"/>
      <c r="AH4667" s="35"/>
      <c r="AI4667" s="35"/>
    </row>
    <row r="4668">
      <c r="A4668" s="251"/>
      <c r="B4668" s="252"/>
      <c r="C4668" s="253"/>
      <c r="D4668" s="253"/>
      <c r="E4668" s="252"/>
      <c r="F4668" s="253"/>
      <c r="G4668" s="251"/>
      <c r="H4668" s="433"/>
      <c r="I4668" s="278"/>
      <c r="J4668" s="257"/>
      <c r="K4668" s="253"/>
      <c r="L4668" s="253"/>
      <c r="M4668" s="275"/>
      <c r="N4668" s="258"/>
      <c r="O4668" s="259"/>
      <c r="P4668" s="259"/>
      <c r="Q4668" s="262"/>
      <c r="R4668" s="260"/>
      <c r="S4668" s="260"/>
      <c r="T4668" s="260"/>
      <c r="U4668" s="261"/>
      <c r="V4668" s="251"/>
      <c r="W4668" s="35"/>
      <c r="X4668" s="35"/>
      <c r="Y4668" s="35"/>
      <c r="Z4668" s="35"/>
      <c r="AA4668" s="35"/>
      <c r="AB4668" s="35"/>
      <c r="AC4668" s="35"/>
      <c r="AD4668" s="35"/>
      <c r="AE4668" s="35"/>
      <c r="AF4668" s="35"/>
      <c r="AG4668" s="35"/>
      <c r="AH4668" s="35"/>
      <c r="AI4668" s="35"/>
    </row>
    <row r="4669">
      <c r="A4669" s="251"/>
      <c r="B4669" s="252"/>
      <c r="C4669" s="253"/>
      <c r="D4669" s="253"/>
      <c r="E4669" s="252"/>
      <c r="F4669" s="253"/>
      <c r="G4669" s="251"/>
      <c r="H4669" s="433"/>
      <c r="I4669" s="278"/>
      <c r="J4669" s="257"/>
      <c r="K4669" s="253"/>
      <c r="L4669" s="253"/>
      <c r="M4669" s="252"/>
      <c r="N4669" s="258"/>
      <c r="O4669" s="259"/>
      <c r="P4669" s="259"/>
      <c r="Q4669" s="262"/>
      <c r="R4669" s="260"/>
      <c r="S4669" s="260"/>
      <c r="T4669" s="260"/>
      <c r="U4669" s="261"/>
      <c r="V4669" s="251"/>
      <c r="W4669" s="35"/>
      <c r="X4669" s="35"/>
      <c r="Y4669" s="35"/>
      <c r="Z4669" s="35"/>
      <c r="AA4669" s="35"/>
      <c r="AB4669" s="35"/>
      <c r="AC4669" s="35"/>
      <c r="AD4669" s="35"/>
      <c r="AE4669" s="35"/>
      <c r="AF4669" s="35"/>
      <c r="AG4669" s="35"/>
      <c r="AH4669" s="35"/>
      <c r="AI4669" s="35"/>
    </row>
    <row r="4670">
      <c r="A4670" s="251"/>
      <c r="B4670" s="252"/>
      <c r="C4670" s="253"/>
      <c r="D4670" s="253"/>
      <c r="E4670" s="252"/>
      <c r="F4670" s="253"/>
      <c r="G4670" s="251"/>
      <c r="H4670" s="433"/>
      <c r="I4670" s="278"/>
      <c r="J4670" s="257"/>
      <c r="K4670" s="253"/>
      <c r="L4670" s="253"/>
      <c r="M4670" s="252"/>
      <c r="N4670" s="258"/>
      <c r="O4670" s="259"/>
      <c r="P4670" s="259"/>
      <c r="Q4670" s="262"/>
      <c r="R4670" s="260"/>
      <c r="S4670" s="260"/>
      <c r="T4670" s="260"/>
      <c r="U4670" s="261"/>
      <c r="V4670" s="251"/>
      <c r="W4670" s="35"/>
      <c r="X4670" s="35"/>
      <c r="Y4670" s="35"/>
      <c r="Z4670" s="35"/>
      <c r="AA4670" s="35"/>
      <c r="AB4670" s="35"/>
      <c r="AC4670" s="35"/>
      <c r="AD4670" s="35"/>
      <c r="AE4670" s="35"/>
      <c r="AF4670" s="35"/>
      <c r="AG4670" s="35"/>
      <c r="AH4670" s="35"/>
      <c r="AI4670" s="35"/>
    </row>
    <row r="4671">
      <c r="A4671" s="251"/>
      <c r="B4671" s="252"/>
      <c r="C4671" s="253"/>
      <c r="D4671" s="253"/>
      <c r="E4671" s="252"/>
      <c r="F4671" s="253"/>
      <c r="G4671" s="251"/>
      <c r="H4671" s="433"/>
      <c r="I4671" s="278"/>
      <c r="J4671" s="257"/>
      <c r="K4671" s="253"/>
      <c r="L4671" s="253"/>
      <c r="M4671" s="252"/>
      <c r="N4671" s="258"/>
      <c r="O4671" s="259"/>
      <c r="P4671" s="259"/>
      <c r="Q4671" s="262"/>
      <c r="R4671" s="260"/>
      <c r="S4671" s="260"/>
      <c r="T4671" s="260"/>
      <c r="U4671" s="261"/>
      <c r="V4671" s="251"/>
      <c r="W4671" s="35"/>
      <c r="X4671" s="35"/>
      <c r="Y4671" s="35"/>
      <c r="Z4671" s="35"/>
      <c r="AA4671" s="35"/>
      <c r="AB4671" s="35"/>
      <c r="AC4671" s="35"/>
      <c r="AD4671" s="35"/>
      <c r="AE4671" s="35"/>
      <c r="AF4671" s="35"/>
      <c r="AG4671" s="35"/>
      <c r="AH4671" s="35"/>
      <c r="AI4671" s="35"/>
    </row>
    <row r="4672">
      <c r="A4672" s="251"/>
      <c r="B4672" s="252"/>
      <c r="C4672" s="253"/>
      <c r="D4672" s="253"/>
      <c r="E4672" s="252"/>
      <c r="F4672" s="253"/>
      <c r="G4672" s="251"/>
      <c r="H4672" s="433"/>
      <c r="I4672" s="278"/>
      <c r="J4672" s="257"/>
      <c r="K4672" s="253"/>
      <c r="L4672" s="253"/>
      <c r="M4672" s="252"/>
      <c r="N4672" s="258"/>
      <c r="O4672" s="259"/>
      <c r="P4672" s="259"/>
      <c r="Q4672" s="262"/>
      <c r="R4672" s="260"/>
      <c r="S4672" s="260"/>
      <c r="T4672" s="260"/>
      <c r="U4672" s="261"/>
      <c r="V4672" s="251"/>
      <c r="W4672" s="35"/>
      <c r="X4672" s="35"/>
      <c r="Y4672" s="35"/>
      <c r="Z4672" s="35"/>
      <c r="AA4672" s="35"/>
      <c r="AB4672" s="35"/>
      <c r="AC4672" s="35"/>
      <c r="AD4672" s="35"/>
      <c r="AE4672" s="35"/>
      <c r="AF4672" s="35"/>
      <c r="AG4672" s="35"/>
      <c r="AH4672" s="35"/>
      <c r="AI4672" s="35"/>
    </row>
    <row r="4673">
      <c r="A4673" s="251"/>
      <c r="B4673" s="252"/>
      <c r="C4673" s="253"/>
      <c r="D4673" s="253"/>
      <c r="E4673" s="252"/>
      <c r="F4673" s="253"/>
      <c r="G4673" s="251"/>
      <c r="H4673" s="433"/>
      <c r="I4673" s="278"/>
      <c r="J4673" s="257"/>
      <c r="K4673" s="253"/>
      <c r="L4673" s="253"/>
      <c r="M4673" s="275"/>
      <c r="N4673" s="258"/>
      <c r="O4673" s="259"/>
      <c r="P4673" s="259"/>
      <c r="Q4673" s="262"/>
      <c r="R4673" s="260"/>
      <c r="S4673" s="260"/>
      <c r="T4673" s="260"/>
      <c r="U4673" s="261"/>
      <c r="V4673" s="251"/>
      <c r="W4673" s="35"/>
      <c r="X4673" s="35"/>
      <c r="Y4673" s="35"/>
      <c r="Z4673" s="35"/>
      <c r="AA4673" s="35"/>
      <c r="AB4673" s="35"/>
      <c r="AC4673" s="35"/>
      <c r="AD4673" s="35"/>
      <c r="AE4673" s="35"/>
      <c r="AF4673" s="35"/>
      <c r="AG4673" s="35"/>
      <c r="AH4673" s="35"/>
      <c r="AI4673" s="35"/>
    </row>
    <row r="4674">
      <c r="A4674" s="251"/>
      <c r="B4674" s="252"/>
      <c r="C4674" s="253"/>
      <c r="D4674" s="253"/>
      <c r="E4674" s="252"/>
      <c r="F4674" s="253"/>
      <c r="G4674" s="251"/>
      <c r="H4674" s="433"/>
      <c r="I4674" s="278"/>
      <c r="J4674" s="257"/>
      <c r="K4674" s="253"/>
      <c r="L4674" s="253"/>
      <c r="M4674" s="252"/>
      <c r="N4674" s="258"/>
      <c r="O4674" s="259"/>
      <c r="P4674" s="259"/>
      <c r="Q4674" s="262"/>
      <c r="R4674" s="260"/>
      <c r="S4674" s="260"/>
      <c r="T4674" s="260"/>
      <c r="U4674" s="261"/>
      <c r="V4674" s="251"/>
      <c r="W4674" s="35"/>
      <c r="X4674" s="35"/>
      <c r="Y4674" s="35"/>
      <c r="Z4674" s="35"/>
      <c r="AA4674" s="35"/>
      <c r="AB4674" s="35"/>
      <c r="AC4674" s="35"/>
      <c r="AD4674" s="35"/>
      <c r="AE4674" s="35"/>
      <c r="AF4674" s="35"/>
      <c r="AG4674" s="35"/>
      <c r="AH4674" s="35"/>
      <c r="AI4674" s="35"/>
    </row>
    <row r="4675">
      <c r="A4675" s="251"/>
      <c r="B4675" s="252"/>
      <c r="C4675" s="253"/>
      <c r="D4675" s="253"/>
      <c r="E4675" s="252"/>
      <c r="F4675" s="253"/>
      <c r="G4675" s="251"/>
      <c r="H4675" s="433"/>
      <c r="I4675" s="278"/>
      <c r="J4675" s="257"/>
      <c r="K4675" s="253"/>
      <c r="L4675" s="253"/>
      <c r="M4675" s="252"/>
      <c r="N4675" s="258"/>
      <c r="O4675" s="259"/>
      <c r="P4675" s="259"/>
      <c r="Q4675" s="257"/>
      <c r="R4675" s="260"/>
      <c r="S4675" s="260"/>
      <c r="T4675" s="260"/>
      <c r="U4675" s="261"/>
      <c r="V4675" s="251"/>
      <c r="W4675" s="35"/>
      <c r="X4675" s="35"/>
      <c r="Y4675" s="35"/>
      <c r="Z4675" s="35"/>
      <c r="AA4675" s="35"/>
      <c r="AB4675" s="35"/>
      <c r="AC4675" s="35"/>
      <c r="AD4675" s="35"/>
      <c r="AE4675" s="35"/>
      <c r="AF4675" s="35"/>
      <c r="AG4675" s="35"/>
      <c r="AH4675" s="35"/>
      <c r="AI4675" s="35"/>
    </row>
    <row r="4676">
      <c r="A4676" s="251"/>
      <c r="B4676" s="252"/>
      <c r="C4676" s="253"/>
      <c r="D4676" s="253"/>
      <c r="E4676" s="252"/>
      <c r="F4676" s="253"/>
      <c r="G4676" s="251"/>
      <c r="H4676" s="433"/>
      <c r="I4676" s="278"/>
      <c r="J4676" s="257"/>
      <c r="K4676" s="253"/>
      <c r="L4676" s="253"/>
      <c r="M4676" s="252"/>
      <c r="N4676" s="258"/>
      <c r="O4676" s="259"/>
      <c r="P4676" s="259"/>
      <c r="Q4676" s="262"/>
      <c r="R4676" s="260"/>
      <c r="S4676" s="260"/>
      <c r="T4676" s="273"/>
      <c r="U4676" s="274"/>
      <c r="V4676" s="266"/>
      <c r="W4676" s="35"/>
      <c r="X4676" s="35"/>
      <c r="Y4676" s="35"/>
      <c r="Z4676" s="35"/>
      <c r="AA4676" s="35"/>
      <c r="AB4676" s="35"/>
      <c r="AC4676" s="35"/>
      <c r="AD4676" s="35"/>
      <c r="AE4676" s="35"/>
      <c r="AF4676" s="35"/>
      <c r="AG4676" s="35"/>
      <c r="AH4676" s="35"/>
      <c r="AI4676" s="35"/>
    </row>
    <row r="4677">
      <c r="A4677" s="251"/>
      <c r="B4677" s="252"/>
      <c r="C4677" s="253"/>
      <c r="D4677" s="253"/>
      <c r="E4677" s="252"/>
      <c r="F4677" s="253"/>
      <c r="G4677" s="251"/>
      <c r="H4677" s="433"/>
      <c r="I4677" s="278"/>
      <c r="J4677" s="257"/>
      <c r="K4677" s="253"/>
      <c r="L4677" s="253"/>
      <c r="M4677" s="252"/>
      <c r="N4677" s="258"/>
      <c r="O4677" s="259"/>
      <c r="P4677" s="259"/>
      <c r="Q4677" s="262"/>
      <c r="R4677" s="260"/>
      <c r="S4677" s="260"/>
      <c r="T4677" s="260"/>
      <c r="U4677" s="261"/>
      <c r="V4677" s="251"/>
      <c r="W4677" s="35"/>
      <c r="X4677" s="35"/>
      <c r="Y4677" s="35"/>
      <c r="Z4677" s="35"/>
      <c r="AA4677" s="35"/>
      <c r="AB4677" s="35"/>
      <c r="AC4677" s="35"/>
      <c r="AD4677" s="35"/>
      <c r="AE4677" s="35"/>
      <c r="AF4677" s="35"/>
      <c r="AG4677" s="35"/>
      <c r="AH4677" s="35"/>
      <c r="AI4677" s="35"/>
    </row>
    <row r="4678">
      <c r="A4678" s="251"/>
      <c r="B4678" s="252"/>
      <c r="C4678" s="253"/>
      <c r="D4678" s="253"/>
      <c r="E4678" s="252"/>
      <c r="F4678" s="253"/>
      <c r="G4678" s="251"/>
      <c r="H4678" s="433"/>
      <c r="I4678" s="278"/>
      <c r="J4678" s="257"/>
      <c r="K4678" s="253"/>
      <c r="L4678" s="253"/>
      <c r="M4678" s="252"/>
      <c r="N4678" s="258"/>
      <c r="O4678" s="259"/>
      <c r="P4678" s="259"/>
      <c r="Q4678" s="262"/>
      <c r="R4678" s="260"/>
      <c r="S4678" s="260"/>
      <c r="T4678" s="260"/>
      <c r="U4678" s="261"/>
      <c r="V4678" s="251"/>
      <c r="W4678" s="35"/>
      <c r="X4678" s="35"/>
      <c r="Y4678" s="35"/>
      <c r="Z4678" s="35"/>
      <c r="AA4678" s="35"/>
      <c r="AB4678" s="35"/>
      <c r="AC4678" s="35"/>
      <c r="AD4678" s="35"/>
      <c r="AE4678" s="35"/>
      <c r="AF4678" s="35"/>
      <c r="AG4678" s="35"/>
      <c r="AH4678" s="35"/>
      <c r="AI4678" s="35"/>
    </row>
    <row r="4679">
      <c r="A4679" s="251"/>
      <c r="B4679" s="252"/>
      <c r="C4679" s="253"/>
      <c r="D4679" s="253"/>
      <c r="E4679" s="252"/>
      <c r="F4679" s="253"/>
      <c r="G4679" s="251"/>
      <c r="H4679" s="433"/>
      <c r="I4679" s="278"/>
      <c r="J4679" s="257"/>
      <c r="K4679" s="253"/>
      <c r="L4679" s="253"/>
      <c r="M4679" s="252"/>
      <c r="N4679" s="258"/>
      <c r="O4679" s="259"/>
      <c r="P4679" s="259"/>
      <c r="Q4679" s="262"/>
      <c r="R4679" s="260"/>
      <c r="S4679" s="260"/>
      <c r="T4679" s="260"/>
      <c r="U4679" s="261"/>
      <c r="V4679" s="251"/>
      <c r="W4679" s="35"/>
      <c r="X4679" s="35"/>
      <c r="Y4679" s="35"/>
      <c r="Z4679" s="35"/>
      <c r="AA4679" s="35"/>
      <c r="AB4679" s="35"/>
      <c r="AC4679" s="35"/>
      <c r="AD4679" s="35"/>
      <c r="AE4679" s="35"/>
      <c r="AF4679" s="35"/>
      <c r="AG4679" s="35"/>
      <c r="AH4679" s="35"/>
      <c r="AI4679" s="35"/>
    </row>
    <row r="4680">
      <c r="A4680" s="251"/>
      <c r="B4680" s="252"/>
      <c r="C4680" s="253"/>
      <c r="D4680" s="253"/>
      <c r="E4680" s="252"/>
      <c r="F4680" s="253"/>
      <c r="G4680" s="251"/>
      <c r="H4680" s="433"/>
      <c r="I4680" s="278"/>
      <c r="J4680" s="257"/>
      <c r="K4680" s="253"/>
      <c r="L4680" s="253"/>
      <c r="M4680" s="252"/>
      <c r="N4680" s="258"/>
      <c r="O4680" s="259"/>
      <c r="P4680" s="259"/>
      <c r="Q4680" s="262"/>
      <c r="R4680" s="260"/>
      <c r="S4680" s="260"/>
      <c r="T4680" s="260"/>
      <c r="U4680" s="261"/>
      <c r="V4680" s="251"/>
      <c r="W4680" s="35"/>
      <c r="X4680" s="35"/>
      <c r="Y4680" s="35"/>
      <c r="Z4680" s="35"/>
      <c r="AA4680" s="35"/>
      <c r="AB4680" s="35"/>
      <c r="AC4680" s="35"/>
      <c r="AD4680" s="35"/>
      <c r="AE4680" s="35"/>
      <c r="AF4680" s="35"/>
      <c r="AG4680" s="35"/>
      <c r="AH4680" s="35"/>
      <c r="AI4680" s="35"/>
    </row>
    <row r="4681">
      <c r="A4681" s="251"/>
      <c r="B4681" s="252"/>
      <c r="C4681" s="253"/>
      <c r="D4681" s="253"/>
      <c r="E4681" s="252"/>
      <c r="F4681" s="253"/>
      <c r="G4681" s="251"/>
      <c r="H4681" s="433"/>
      <c r="I4681" s="278"/>
      <c r="J4681" s="257"/>
      <c r="K4681" s="253"/>
      <c r="L4681" s="253"/>
      <c r="M4681" s="252"/>
      <c r="N4681" s="258"/>
      <c r="O4681" s="259"/>
      <c r="P4681" s="259"/>
      <c r="Q4681" s="262"/>
      <c r="R4681" s="260"/>
      <c r="S4681" s="260"/>
      <c r="T4681" s="260"/>
      <c r="U4681" s="261"/>
      <c r="V4681" s="251"/>
      <c r="W4681" s="35"/>
      <c r="X4681" s="35"/>
      <c r="Y4681" s="35"/>
      <c r="Z4681" s="35"/>
      <c r="AA4681" s="35"/>
      <c r="AB4681" s="35"/>
      <c r="AC4681" s="35"/>
      <c r="AD4681" s="35"/>
      <c r="AE4681" s="35"/>
      <c r="AF4681" s="35"/>
      <c r="AG4681" s="35"/>
      <c r="AH4681" s="35"/>
      <c r="AI4681" s="35"/>
    </row>
    <row r="4682">
      <c r="A4682" s="251"/>
      <c r="B4682" s="252"/>
      <c r="C4682" s="253"/>
      <c r="D4682" s="253"/>
      <c r="E4682" s="252"/>
      <c r="F4682" s="253"/>
      <c r="G4682" s="251"/>
      <c r="H4682" s="433"/>
      <c r="I4682" s="278"/>
      <c r="J4682" s="257"/>
      <c r="K4682" s="253"/>
      <c r="L4682" s="253"/>
      <c r="M4682" s="252"/>
      <c r="N4682" s="258"/>
      <c r="O4682" s="259"/>
      <c r="P4682" s="259"/>
      <c r="Q4682" s="262"/>
      <c r="R4682" s="260"/>
      <c r="S4682" s="260"/>
      <c r="T4682" s="260"/>
      <c r="U4682" s="261"/>
      <c r="V4682" s="251"/>
      <c r="W4682" s="35"/>
      <c r="X4682" s="35"/>
      <c r="Y4682" s="35"/>
      <c r="Z4682" s="35"/>
      <c r="AA4682" s="35"/>
      <c r="AB4682" s="35"/>
      <c r="AC4682" s="35"/>
      <c r="AD4682" s="35"/>
      <c r="AE4682" s="35"/>
      <c r="AF4682" s="35"/>
      <c r="AG4682" s="35"/>
      <c r="AH4682" s="35"/>
      <c r="AI4682" s="35"/>
    </row>
    <row r="4683">
      <c r="A4683" s="251"/>
      <c r="B4683" s="252"/>
      <c r="C4683" s="253"/>
      <c r="D4683" s="253"/>
      <c r="E4683" s="252"/>
      <c r="F4683" s="253"/>
      <c r="G4683" s="251"/>
      <c r="H4683" s="433"/>
      <c r="I4683" s="278"/>
      <c r="J4683" s="257"/>
      <c r="K4683" s="253"/>
      <c r="L4683" s="253"/>
      <c r="M4683" s="252"/>
      <c r="N4683" s="258"/>
      <c r="O4683" s="259"/>
      <c r="P4683" s="259"/>
      <c r="Q4683" s="257"/>
      <c r="R4683" s="260"/>
      <c r="S4683" s="260"/>
      <c r="T4683" s="260"/>
      <c r="U4683" s="261"/>
      <c r="V4683" s="251"/>
      <c r="W4683" s="35"/>
      <c r="X4683" s="35"/>
      <c r="Y4683" s="35"/>
      <c r="Z4683" s="35"/>
      <c r="AA4683" s="35"/>
      <c r="AB4683" s="35"/>
      <c r="AC4683" s="35"/>
      <c r="AD4683" s="35"/>
      <c r="AE4683" s="35"/>
      <c r="AF4683" s="35"/>
      <c r="AG4683" s="35"/>
      <c r="AH4683" s="35"/>
      <c r="AI4683" s="35"/>
    </row>
    <row r="4684">
      <c r="A4684" s="251"/>
      <c r="B4684" s="252"/>
      <c r="C4684" s="253"/>
      <c r="D4684" s="253"/>
      <c r="E4684" s="252"/>
      <c r="F4684" s="253"/>
      <c r="G4684" s="251"/>
      <c r="H4684" s="433"/>
      <c r="I4684" s="278"/>
      <c r="J4684" s="257"/>
      <c r="K4684" s="253"/>
      <c r="L4684" s="253"/>
      <c r="M4684" s="252"/>
      <c r="N4684" s="258"/>
      <c r="O4684" s="259"/>
      <c r="P4684" s="259"/>
      <c r="Q4684" s="262"/>
      <c r="R4684" s="260"/>
      <c r="S4684" s="260"/>
      <c r="T4684" s="260"/>
      <c r="U4684" s="261"/>
      <c r="V4684" s="251"/>
      <c r="W4684" s="35"/>
      <c r="X4684" s="35"/>
      <c r="Y4684" s="35"/>
      <c r="Z4684" s="35"/>
      <c r="AA4684" s="35"/>
      <c r="AB4684" s="35"/>
      <c r="AC4684" s="35"/>
      <c r="AD4684" s="35"/>
      <c r="AE4684" s="35"/>
      <c r="AF4684" s="35"/>
      <c r="AG4684" s="35"/>
      <c r="AH4684" s="35"/>
      <c r="AI4684" s="35"/>
    </row>
    <row r="4685">
      <c r="A4685" s="251"/>
      <c r="B4685" s="252"/>
      <c r="C4685" s="253"/>
      <c r="D4685" s="253"/>
      <c r="E4685" s="252"/>
      <c r="F4685" s="253"/>
      <c r="G4685" s="251"/>
      <c r="H4685" s="433"/>
      <c r="I4685" s="278"/>
      <c r="J4685" s="257"/>
      <c r="K4685" s="253"/>
      <c r="L4685" s="253"/>
      <c r="M4685" s="252"/>
      <c r="N4685" s="258"/>
      <c r="O4685" s="259"/>
      <c r="P4685" s="259"/>
      <c r="Q4685" s="262"/>
      <c r="R4685" s="260"/>
      <c r="S4685" s="260"/>
      <c r="T4685" s="260"/>
      <c r="U4685" s="261"/>
      <c r="V4685" s="251"/>
      <c r="W4685" s="35"/>
      <c r="X4685" s="35"/>
      <c r="Y4685" s="35"/>
      <c r="Z4685" s="35"/>
      <c r="AA4685" s="35"/>
      <c r="AB4685" s="35"/>
      <c r="AC4685" s="35"/>
      <c r="AD4685" s="35"/>
      <c r="AE4685" s="35"/>
      <c r="AF4685" s="35"/>
      <c r="AG4685" s="35"/>
      <c r="AH4685" s="35"/>
      <c r="AI4685" s="35"/>
    </row>
    <row r="4686">
      <c r="A4686" s="251"/>
      <c r="B4686" s="252"/>
      <c r="C4686" s="253"/>
      <c r="D4686" s="253"/>
      <c r="E4686" s="252"/>
      <c r="F4686" s="253"/>
      <c r="G4686" s="251"/>
      <c r="H4686" s="433"/>
      <c r="I4686" s="278"/>
      <c r="J4686" s="257"/>
      <c r="K4686" s="253"/>
      <c r="L4686" s="253"/>
      <c r="M4686" s="275"/>
      <c r="N4686" s="258"/>
      <c r="O4686" s="259"/>
      <c r="P4686" s="259"/>
      <c r="Q4686" s="262"/>
      <c r="R4686" s="260"/>
      <c r="S4686" s="260"/>
      <c r="T4686" s="260"/>
      <c r="U4686" s="261"/>
      <c r="V4686" s="251"/>
      <c r="W4686" s="35"/>
      <c r="X4686" s="35"/>
      <c r="Y4686" s="35"/>
      <c r="Z4686" s="35"/>
      <c r="AA4686" s="35"/>
      <c r="AB4686" s="35"/>
      <c r="AC4686" s="35"/>
      <c r="AD4686" s="35"/>
      <c r="AE4686" s="35"/>
      <c r="AF4686" s="35"/>
      <c r="AG4686" s="35"/>
      <c r="AH4686" s="35"/>
      <c r="AI4686" s="35"/>
    </row>
    <row r="4687">
      <c r="A4687" s="251"/>
      <c r="B4687" s="252"/>
      <c r="C4687" s="253"/>
      <c r="D4687" s="253"/>
      <c r="E4687" s="252"/>
      <c r="F4687" s="253"/>
      <c r="G4687" s="251"/>
      <c r="H4687" s="433"/>
      <c r="I4687" s="278"/>
      <c r="J4687" s="257"/>
      <c r="K4687" s="253"/>
      <c r="L4687" s="253"/>
      <c r="M4687" s="252"/>
      <c r="N4687" s="258"/>
      <c r="O4687" s="259"/>
      <c r="P4687" s="259"/>
      <c r="Q4687" s="257"/>
      <c r="R4687" s="260"/>
      <c r="S4687" s="260"/>
      <c r="T4687" s="260"/>
      <c r="U4687" s="261"/>
      <c r="V4687" s="251"/>
      <c r="W4687" s="35"/>
      <c r="X4687" s="35"/>
      <c r="Y4687" s="35"/>
      <c r="Z4687" s="35"/>
      <c r="AA4687" s="35"/>
      <c r="AB4687" s="35"/>
      <c r="AC4687" s="35"/>
      <c r="AD4687" s="35"/>
      <c r="AE4687" s="35"/>
      <c r="AF4687" s="35"/>
      <c r="AG4687" s="35"/>
      <c r="AH4687" s="35"/>
      <c r="AI4687" s="35"/>
    </row>
    <row r="4688">
      <c r="A4688" s="251"/>
      <c r="B4688" s="252"/>
      <c r="C4688" s="253"/>
      <c r="D4688" s="253"/>
      <c r="E4688" s="252"/>
      <c r="F4688" s="253"/>
      <c r="G4688" s="251"/>
      <c r="H4688" s="433"/>
      <c r="I4688" s="278"/>
      <c r="J4688" s="257"/>
      <c r="K4688" s="253"/>
      <c r="L4688" s="253"/>
      <c r="M4688" s="252"/>
      <c r="N4688" s="258"/>
      <c r="O4688" s="259"/>
      <c r="P4688" s="259"/>
      <c r="Q4688" s="262"/>
      <c r="R4688" s="260"/>
      <c r="S4688" s="260"/>
      <c r="T4688" s="260"/>
      <c r="U4688" s="261"/>
      <c r="V4688" s="251"/>
      <c r="W4688" s="35"/>
      <c r="X4688" s="35"/>
      <c r="Y4688" s="35"/>
      <c r="Z4688" s="35"/>
      <c r="AA4688" s="35"/>
      <c r="AB4688" s="35"/>
      <c r="AC4688" s="35"/>
      <c r="AD4688" s="35"/>
      <c r="AE4688" s="35"/>
      <c r="AF4688" s="35"/>
      <c r="AG4688" s="35"/>
      <c r="AH4688" s="35"/>
      <c r="AI4688" s="35"/>
    </row>
    <row r="4689">
      <c r="A4689" s="251"/>
      <c r="B4689" s="252"/>
      <c r="C4689" s="253"/>
      <c r="D4689" s="253"/>
      <c r="E4689" s="252"/>
      <c r="F4689" s="253"/>
      <c r="G4689" s="251"/>
      <c r="H4689" s="433"/>
      <c r="I4689" s="278"/>
      <c r="J4689" s="257"/>
      <c r="K4689" s="253"/>
      <c r="L4689" s="253"/>
      <c r="M4689" s="275"/>
      <c r="N4689" s="258"/>
      <c r="O4689" s="259"/>
      <c r="P4689" s="259"/>
      <c r="Q4689" s="262"/>
      <c r="R4689" s="260"/>
      <c r="S4689" s="260"/>
      <c r="T4689" s="260"/>
      <c r="U4689" s="261"/>
      <c r="V4689" s="251"/>
      <c r="W4689" s="35"/>
      <c r="X4689" s="35"/>
      <c r="Y4689" s="35"/>
      <c r="Z4689" s="35"/>
      <c r="AA4689" s="35"/>
      <c r="AB4689" s="35"/>
      <c r="AC4689" s="35"/>
      <c r="AD4689" s="35"/>
      <c r="AE4689" s="35"/>
      <c r="AF4689" s="35"/>
      <c r="AG4689" s="35"/>
      <c r="AH4689" s="35"/>
      <c r="AI4689" s="35"/>
    </row>
    <row r="4690">
      <c r="A4690" s="251"/>
      <c r="B4690" s="252"/>
      <c r="C4690" s="253"/>
      <c r="D4690" s="253"/>
      <c r="E4690" s="252"/>
      <c r="F4690" s="253"/>
      <c r="G4690" s="251"/>
      <c r="H4690" s="433"/>
      <c r="I4690" s="278"/>
      <c r="J4690" s="257"/>
      <c r="K4690" s="253"/>
      <c r="L4690" s="253"/>
      <c r="M4690" s="252"/>
      <c r="N4690" s="258"/>
      <c r="O4690" s="259"/>
      <c r="P4690" s="259"/>
      <c r="Q4690" s="257"/>
      <c r="R4690" s="260"/>
      <c r="S4690" s="260"/>
      <c r="T4690" s="273"/>
      <c r="U4690" s="274"/>
      <c r="V4690" s="263"/>
      <c r="W4690" s="35"/>
      <c r="X4690" s="35"/>
      <c r="Y4690" s="35"/>
      <c r="Z4690" s="35"/>
      <c r="AA4690" s="35"/>
      <c r="AB4690" s="35"/>
      <c r="AC4690" s="35"/>
      <c r="AD4690" s="35"/>
      <c r="AE4690" s="35"/>
      <c r="AF4690" s="35"/>
      <c r="AG4690" s="35"/>
      <c r="AH4690" s="35"/>
      <c r="AI4690" s="35"/>
    </row>
    <row r="4691">
      <c r="A4691" s="251"/>
      <c r="B4691" s="252"/>
      <c r="C4691" s="253"/>
      <c r="D4691" s="253"/>
      <c r="E4691" s="252"/>
      <c r="F4691" s="253"/>
      <c r="G4691" s="251"/>
      <c r="H4691" s="433"/>
      <c r="I4691" s="278"/>
      <c r="J4691" s="257"/>
      <c r="K4691" s="253"/>
      <c r="L4691" s="253"/>
      <c r="M4691" s="252"/>
      <c r="N4691" s="258"/>
      <c r="O4691" s="259"/>
      <c r="P4691" s="259"/>
      <c r="Q4691" s="262"/>
      <c r="R4691" s="260"/>
      <c r="S4691" s="260"/>
      <c r="T4691" s="260"/>
      <c r="U4691" s="261"/>
      <c r="V4691" s="251"/>
      <c r="W4691" s="35"/>
      <c r="X4691" s="35"/>
      <c r="Y4691" s="35"/>
      <c r="Z4691" s="35"/>
      <c r="AA4691" s="35"/>
      <c r="AB4691" s="35"/>
      <c r="AC4691" s="35"/>
      <c r="AD4691" s="35"/>
      <c r="AE4691" s="35"/>
      <c r="AF4691" s="35"/>
      <c r="AG4691" s="35"/>
      <c r="AH4691" s="35"/>
      <c r="AI4691" s="35"/>
    </row>
    <row r="4692">
      <c r="A4692" s="251"/>
      <c r="B4692" s="252"/>
      <c r="C4692" s="253"/>
      <c r="D4692" s="253"/>
      <c r="E4692" s="252"/>
      <c r="F4692" s="253"/>
      <c r="G4692" s="251"/>
      <c r="H4692" s="433"/>
      <c r="I4692" s="278"/>
      <c r="J4692" s="257"/>
      <c r="K4692" s="253"/>
      <c r="L4692" s="253"/>
      <c r="M4692" s="252"/>
      <c r="N4692" s="258"/>
      <c r="O4692" s="259"/>
      <c r="P4692" s="259"/>
      <c r="Q4692" s="262"/>
      <c r="R4692" s="260"/>
      <c r="S4692" s="260"/>
      <c r="T4692" s="260"/>
      <c r="U4692" s="261"/>
      <c r="V4692" s="251"/>
      <c r="W4692" s="35"/>
      <c r="X4692" s="35"/>
      <c r="Y4692" s="35"/>
      <c r="Z4692" s="35"/>
      <c r="AA4692" s="35"/>
      <c r="AB4692" s="35"/>
      <c r="AC4692" s="35"/>
      <c r="AD4692" s="35"/>
      <c r="AE4692" s="35"/>
      <c r="AF4692" s="35"/>
      <c r="AG4692" s="35"/>
      <c r="AH4692" s="35"/>
      <c r="AI4692" s="35"/>
    </row>
    <row r="4693">
      <c r="A4693" s="251"/>
      <c r="B4693" s="252"/>
      <c r="C4693" s="253"/>
      <c r="D4693" s="253"/>
      <c r="E4693" s="252"/>
      <c r="F4693" s="253"/>
      <c r="G4693" s="251"/>
      <c r="H4693" s="433"/>
      <c r="I4693" s="278"/>
      <c r="J4693" s="257"/>
      <c r="K4693" s="253"/>
      <c r="L4693" s="253"/>
      <c r="M4693" s="252"/>
      <c r="N4693" s="258"/>
      <c r="O4693" s="259"/>
      <c r="P4693" s="259"/>
      <c r="Q4693" s="262"/>
      <c r="R4693" s="260"/>
      <c r="S4693" s="260"/>
      <c r="T4693" s="260"/>
      <c r="U4693" s="261"/>
      <c r="V4693" s="251"/>
      <c r="W4693" s="35"/>
      <c r="X4693" s="35"/>
      <c r="Y4693" s="35"/>
      <c r="Z4693" s="35"/>
      <c r="AA4693" s="35"/>
      <c r="AB4693" s="35"/>
      <c r="AC4693" s="35"/>
      <c r="AD4693" s="35"/>
      <c r="AE4693" s="35"/>
      <c r="AF4693" s="35"/>
      <c r="AG4693" s="35"/>
      <c r="AH4693" s="35"/>
      <c r="AI4693" s="35"/>
    </row>
    <row r="4694">
      <c r="A4694" s="251"/>
      <c r="B4694" s="252"/>
      <c r="C4694" s="253"/>
      <c r="D4694" s="253"/>
      <c r="E4694" s="252"/>
      <c r="F4694" s="253"/>
      <c r="G4694" s="251"/>
      <c r="H4694" s="433"/>
      <c r="I4694" s="278"/>
      <c r="J4694" s="257"/>
      <c r="K4694" s="253"/>
      <c r="L4694" s="253"/>
      <c r="M4694" s="252"/>
      <c r="N4694" s="258"/>
      <c r="O4694" s="259"/>
      <c r="P4694" s="259"/>
      <c r="Q4694" s="262"/>
      <c r="R4694" s="260"/>
      <c r="S4694" s="260"/>
      <c r="T4694" s="260"/>
      <c r="U4694" s="261"/>
      <c r="V4694" s="251"/>
      <c r="W4694" s="35"/>
      <c r="X4694" s="35"/>
      <c r="Y4694" s="35"/>
      <c r="Z4694" s="35"/>
      <c r="AA4694" s="35"/>
      <c r="AB4694" s="35"/>
      <c r="AC4694" s="35"/>
      <c r="AD4694" s="35"/>
      <c r="AE4694" s="35"/>
      <c r="AF4694" s="35"/>
      <c r="AG4694" s="35"/>
      <c r="AH4694" s="35"/>
      <c r="AI4694" s="35"/>
    </row>
    <row r="4695">
      <c r="A4695" s="251"/>
      <c r="B4695" s="252"/>
      <c r="C4695" s="253"/>
      <c r="D4695" s="253"/>
      <c r="E4695" s="252"/>
      <c r="F4695" s="253"/>
      <c r="G4695" s="251"/>
      <c r="H4695" s="433"/>
      <c r="I4695" s="278"/>
      <c r="J4695" s="257"/>
      <c r="K4695" s="253"/>
      <c r="L4695" s="253"/>
      <c r="M4695" s="252"/>
      <c r="N4695" s="258"/>
      <c r="O4695" s="259"/>
      <c r="P4695" s="259"/>
      <c r="Q4695" s="262"/>
      <c r="R4695" s="260"/>
      <c r="S4695" s="260"/>
      <c r="T4695" s="260"/>
      <c r="U4695" s="261"/>
      <c r="V4695" s="251"/>
      <c r="W4695" s="35"/>
      <c r="X4695" s="35"/>
      <c r="Y4695" s="35"/>
      <c r="Z4695" s="35"/>
      <c r="AA4695" s="35"/>
      <c r="AB4695" s="35"/>
      <c r="AC4695" s="35"/>
      <c r="AD4695" s="35"/>
      <c r="AE4695" s="35"/>
      <c r="AF4695" s="35"/>
      <c r="AG4695" s="35"/>
      <c r="AH4695" s="35"/>
      <c r="AI4695" s="35"/>
    </row>
    <row r="4696">
      <c r="A4696" s="251"/>
      <c r="B4696" s="252"/>
      <c r="C4696" s="253"/>
      <c r="D4696" s="253"/>
      <c r="E4696" s="252"/>
      <c r="F4696" s="253"/>
      <c r="G4696" s="251"/>
      <c r="H4696" s="433"/>
      <c r="I4696" s="278"/>
      <c r="J4696" s="257"/>
      <c r="K4696" s="253"/>
      <c r="L4696" s="253"/>
      <c r="M4696" s="252"/>
      <c r="N4696" s="258"/>
      <c r="O4696" s="259"/>
      <c r="P4696" s="259"/>
      <c r="Q4696" s="262"/>
      <c r="R4696" s="260"/>
      <c r="S4696" s="260"/>
      <c r="T4696" s="260"/>
      <c r="U4696" s="261"/>
      <c r="V4696" s="251"/>
      <c r="W4696" s="35"/>
      <c r="X4696" s="35"/>
      <c r="Y4696" s="35"/>
      <c r="Z4696" s="35"/>
      <c r="AA4696" s="35"/>
      <c r="AB4696" s="35"/>
      <c r="AC4696" s="35"/>
      <c r="AD4696" s="35"/>
      <c r="AE4696" s="35"/>
      <c r="AF4696" s="35"/>
      <c r="AG4696" s="35"/>
      <c r="AH4696" s="35"/>
      <c r="AI4696" s="35"/>
    </row>
    <row r="4697">
      <c r="A4697" s="251"/>
      <c r="B4697" s="252"/>
      <c r="C4697" s="253"/>
      <c r="D4697" s="253"/>
      <c r="E4697" s="252"/>
      <c r="F4697" s="253"/>
      <c r="G4697" s="251"/>
      <c r="H4697" s="433"/>
      <c r="I4697" s="278"/>
      <c r="J4697" s="257"/>
      <c r="K4697" s="253"/>
      <c r="L4697" s="253"/>
      <c r="M4697" s="252"/>
      <c r="N4697" s="258"/>
      <c r="O4697" s="259"/>
      <c r="P4697" s="259"/>
      <c r="Q4697" s="262"/>
      <c r="R4697" s="260"/>
      <c r="S4697" s="260"/>
      <c r="T4697" s="260"/>
      <c r="U4697" s="261"/>
      <c r="V4697" s="251"/>
      <c r="W4697" s="35"/>
      <c r="X4697" s="35"/>
      <c r="Y4697" s="35"/>
      <c r="Z4697" s="35"/>
      <c r="AA4697" s="35"/>
      <c r="AB4697" s="35"/>
      <c r="AC4697" s="35"/>
      <c r="AD4697" s="35"/>
      <c r="AE4697" s="35"/>
      <c r="AF4697" s="35"/>
      <c r="AG4697" s="35"/>
      <c r="AH4697" s="35"/>
      <c r="AI4697" s="35"/>
    </row>
    <row r="4698">
      <c r="A4698" s="251"/>
      <c r="B4698" s="252"/>
      <c r="C4698" s="253"/>
      <c r="D4698" s="253"/>
      <c r="E4698" s="252"/>
      <c r="F4698" s="253"/>
      <c r="G4698" s="251"/>
      <c r="H4698" s="433"/>
      <c r="I4698" s="278"/>
      <c r="J4698" s="257"/>
      <c r="K4698" s="253"/>
      <c r="L4698" s="253"/>
      <c r="M4698" s="252"/>
      <c r="N4698" s="258"/>
      <c r="O4698" s="259"/>
      <c r="P4698" s="259"/>
      <c r="Q4698" s="257"/>
      <c r="R4698" s="260"/>
      <c r="S4698" s="260"/>
      <c r="T4698" s="260"/>
      <c r="U4698" s="261"/>
      <c r="V4698" s="251"/>
      <c r="W4698" s="35"/>
      <c r="X4698" s="35"/>
      <c r="Y4698" s="35"/>
      <c r="Z4698" s="35"/>
      <c r="AA4698" s="35"/>
      <c r="AB4698" s="35"/>
      <c r="AC4698" s="35"/>
      <c r="AD4698" s="35"/>
      <c r="AE4698" s="35"/>
      <c r="AF4698" s="35"/>
      <c r="AG4698" s="35"/>
      <c r="AH4698" s="35"/>
      <c r="AI4698" s="35"/>
    </row>
    <row r="4699">
      <c r="A4699" s="251"/>
      <c r="B4699" s="252"/>
      <c r="C4699" s="253"/>
      <c r="D4699" s="253"/>
      <c r="E4699" s="252"/>
      <c r="F4699" s="253"/>
      <c r="G4699" s="251"/>
      <c r="H4699" s="433"/>
      <c r="I4699" s="278"/>
      <c r="J4699" s="257"/>
      <c r="K4699" s="253"/>
      <c r="L4699" s="253"/>
      <c r="M4699" s="252"/>
      <c r="N4699" s="258"/>
      <c r="O4699" s="259"/>
      <c r="P4699" s="259"/>
      <c r="Q4699" s="262"/>
      <c r="R4699" s="260"/>
      <c r="S4699" s="260"/>
      <c r="T4699" s="260"/>
      <c r="U4699" s="261"/>
      <c r="V4699" s="251"/>
      <c r="W4699" s="35"/>
      <c r="X4699" s="35"/>
      <c r="Y4699" s="35"/>
      <c r="Z4699" s="35"/>
      <c r="AA4699" s="35"/>
      <c r="AB4699" s="35"/>
      <c r="AC4699" s="35"/>
      <c r="AD4699" s="35"/>
      <c r="AE4699" s="35"/>
      <c r="AF4699" s="35"/>
      <c r="AG4699" s="35"/>
      <c r="AH4699" s="35"/>
      <c r="AI4699" s="35"/>
    </row>
    <row r="4700">
      <c r="A4700" s="251"/>
      <c r="B4700" s="252"/>
      <c r="C4700" s="253"/>
      <c r="D4700" s="253"/>
      <c r="E4700" s="252"/>
      <c r="F4700" s="253"/>
      <c r="G4700" s="251"/>
      <c r="H4700" s="433"/>
      <c r="I4700" s="278"/>
      <c r="J4700" s="257"/>
      <c r="K4700" s="253"/>
      <c r="L4700" s="253"/>
      <c r="M4700" s="252"/>
      <c r="N4700" s="258"/>
      <c r="O4700" s="259"/>
      <c r="P4700" s="259"/>
      <c r="Q4700" s="257"/>
      <c r="R4700" s="260"/>
      <c r="S4700" s="260"/>
      <c r="T4700" s="260"/>
      <c r="U4700" s="261"/>
      <c r="V4700" s="251"/>
      <c r="W4700" s="35"/>
      <c r="X4700" s="35"/>
      <c r="Y4700" s="35"/>
      <c r="Z4700" s="35"/>
      <c r="AA4700" s="35"/>
      <c r="AB4700" s="35"/>
      <c r="AC4700" s="35"/>
      <c r="AD4700" s="35"/>
      <c r="AE4700" s="35"/>
      <c r="AF4700" s="35"/>
      <c r="AG4700" s="35"/>
      <c r="AH4700" s="35"/>
      <c r="AI4700" s="35"/>
    </row>
    <row r="4701">
      <c r="A4701" s="251"/>
      <c r="B4701" s="252"/>
      <c r="C4701" s="253"/>
      <c r="D4701" s="253"/>
      <c r="E4701" s="252"/>
      <c r="F4701" s="253"/>
      <c r="G4701" s="251"/>
      <c r="H4701" s="433"/>
      <c r="I4701" s="278"/>
      <c r="J4701" s="257"/>
      <c r="K4701" s="253"/>
      <c r="L4701" s="253"/>
      <c r="M4701" s="252"/>
      <c r="N4701" s="258"/>
      <c r="O4701" s="259"/>
      <c r="P4701" s="259"/>
      <c r="Q4701" s="262"/>
      <c r="R4701" s="260"/>
      <c r="S4701" s="260"/>
      <c r="T4701" s="260"/>
      <c r="U4701" s="261"/>
      <c r="V4701" s="251"/>
      <c r="W4701" s="35"/>
      <c r="X4701" s="35"/>
      <c r="Y4701" s="35"/>
      <c r="Z4701" s="35"/>
      <c r="AA4701" s="35"/>
      <c r="AB4701" s="35"/>
      <c r="AC4701" s="35"/>
      <c r="AD4701" s="35"/>
      <c r="AE4701" s="35"/>
      <c r="AF4701" s="35"/>
      <c r="AG4701" s="35"/>
      <c r="AH4701" s="35"/>
      <c r="AI4701" s="35"/>
    </row>
    <row r="4702">
      <c r="A4702" s="251"/>
      <c r="B4702" s="252"/>
      <c r="C4702" s="253"/>
      <c r="D4702" s="253"/>
      <c r="E4702" s="252"/>
      <c r="F4702" s="253"/>
      <c r="G4702" s="251"/>
      <c r="H4702" s="433"/>
      <c r="I4702" s="278"/>
      <c r="J4702" s="257"/>
      <c r="K4702" s="253"/>
      <c r="L4702" s="253"/>
      <c r="M4702" s="252"/>
      <c r="N4702" s="258"/>
      <c r="O4702" s="259"/>
      <c r="P4702" s="259"/>
      <c r="Q4702" s="262"/>
      <c r="R4702" s="260"/>
      <c r="S4702" s="260"/>
      <c r="T4702" s="260"/>
      <c r="U4702" s="261"/>
      <c r="V4702" s="251"/>
      <c r="W4702" s="35"/>
      <c r="X4702" s="35"/>
      <c r="Y4702" s="35"/>
      <c r="Z4702" s="35"/>
      <c r="AA4702" s="35"/>
      <c r="AB4702" s="35"/>
      <c r="AC4702" s="35"/>
      <c r="AD4702" s="35"/>
      <c r="AE4702" s="35"/>
      <c r="AF4702" s="35"/>
      <c r="AG4702" s="35"/>
      <c r="AH4702" s="35"/>
      <c r="AI4702" s="35"/>
    </row>
    <row r="4703">
      <c r="A4703" s="251"/>
      <c r="B4703" s="252"/>
      <c r="C4703" s="253"/>
      <c r="D4703" s="253"/>
      <c r="E4703" s="252"/>
      <c r="F4703" s="253"/>
      <c r="G4703" s="251"/>
      <c r="H4703" s="433"/>
      <c r="I4703" s="278"/>
      <c r="J4703" s="257"/>
      <c r="K4703" s="253"/>
      <c r="L4703" s="253"/>
      <c r="M4703" s="252"/>
      <c r="N4703" s="258"/>
      <c r="O4703" s="259"/>
      <c r="P4703" s="259"/>
      <c r="Q4703" s="257"/>
      <c r="R4703" s="260"/>
      <c r="S4703" s="260"/>
      <c r="T4703" s="260"/>
      <c r="U4703" s="261"/>
      <c r="V4703" s="251"/>
      <c r="W4703" s="35"/>
      <c r="X4703" s="35"/>
      <c r="Y4703" s="35"/>
      <c r="Z4703" s="35"/>
      <c r="AA4703" s="35"/>
      <c r="AB4703" s="35"/>
      <c r="AC4703" s="35"/>
      <c r="AD4703" s="35"/>
      <c r="AE4703" s="35"/>
      <c r="AF4703" s="35"/>
      <c r="AG4703" s="35"/>
      <c r="AH4703" s="35"/>
      <c r="AI4703" s="35"/>
    </row>
    <row r="4704">
      <c r="A4704" s="251"/>
      <c r="B4704" s="252"/>
      <c r="C4704" s="253"/>
      <c r="D4704" s="253"/>
      <c r="E4704" s="252"/>
      <c r="F4704" s="253"/>
      <c r="G4704" s="251"/>
      <c r="H4704" s="433"/>
      <c r="I4704" s="278"/>
      <c r="J4704" s="257"/>
      <c r="K4704" s="253"/>
      <c r="L4704" s="253"/>
      <c r="M4704" s="252"/>
      <c r="N4704" s="258"/>
      <c r="O4704" s="259"/>
      <c r="P4704" s="259"/>
      <c r="Q4704" s="262"/>
      <c r="R4704" s="260"/>
      <c r="S4704" s="260"/>
      <c r="T4704" s="260"/>
      <c r="U4704" s="261"/>
      <c r="V4704" s="251"/>
      <c r="W4704" s="35"/>
      <c r="X4704" s="35"/>
      <c r="Y4704" s="35"/>
      <c r="Z4704" s="35"/>
      <c r="AA4704" s="35"/>
      <c r="AB4704" s="35"/>
      <c r="AC4704" s="35"/>
      <c r="AD4704" s="35"/>
      <c r="AE4704" s="35"/>
      <c r="AF4704" s="35"/>
      <c r="AG4704" s="35"/>
      <c r="AH4704" s="35"/>
      <c r="AI4704" s="35"/>
    </row>
    <row r="4705">
      <c r="A4705" s="251"/>
      <c r="B4705" s="252"/>
      <c r="C4705" s="253"/>
      <c r="D4705" s="253"/>
      <c r="E4705" s="252"/>
      <c r="F4705" s="253"/>
      <c r="G4705" s="251"/>
      <c r="H4705" s="433"/>
      <c r="I4705" s="278"/>
      <c r="J4705" s="257"/>
      <c r="K4705" s="253"/>
      <c r="L4705" s="253"/>
      <c r="M4705" s="252"/>
      <c r="N4705" s="258"/>
      <c r="O4705" s="259"/>
      <c r="P4705" s="259"/>
      <c r="Q4705" s="257"/>
      <c r="R4705" s="260"/>
      <c r="S4705" s="260"/>
      <c r="T4705" s="260"/>
      <c r="U4705" s="261"/>
      <c r="V4705" s="251"/>
      <c r="W4705" s="35"/>
      <c r="X4705" s="35"/>
      <c r="Y4705" s="35"/>
      <c r="Z4705" s="35"/>
      <c r="AA4705" s="35"/>
      <c r="AB4705" s="35"/>
      <c r="AC4705" s="35"/>
      <c r="AD4705" s="35"/>
      <c r="AE4705" s="35"/>
      <c r="AF4705" s="35"/>
      <c r="AG4705" s="35"/>
      <c r="AH4705" s="35"/>
      <c r="AI4705" s="35"/>
    </row>
    <row r="4706">
      <c r="A4706" s="251"/>
      <c r="B4706" s="252"/>
      <c r="C4706" s="253"/>
      <c r="D4706" s="253"/>
      <c r="E4706" s="252"/>
      <c r="F4706" s="253"/>
      <c r="G4706" s="251"/>
      <c r="H4706" s="433"/>
      <c r="I4706" s="278"/>
      <c r="J4706" s="257"/>
      <c r="K4706" s="253"/>
      <c r="L4706" s="253"/>
      <c r="M4706" s="252"/>
      <c r="N4706" s="258"/>
      <c r="O4706" s="259"/>
      <c r="P4706" s="259"/>
      <c r="Q4706" s="262"/>
      <c r="R4706" s="260"/>
      <c r="S4706" s="260"/>
      <c r="T4706" s="260"/>
      <c r="U4706" s="261"/>
      <c r="V4706" s="251"/>
      <c r="W4706" s="35"/>
      <c r="X4706" s="35"/>
      <c r="Y4706" s="35"/>
      <c r="Z4706" s="35"/>
      <c r="AA4706" s="35"/>
      <c r="AB4706" s="35"/>
      <c r="AC4706" s="35"/>
      <c r="AD4706" s="35"/>
      <c r="AE4706" s="35"/>
      <c r="AF4706" s="35"/>
      <c r="AG4706" s="35"/>
      <c r="AH4706" s="35"/>
      <c r="AI4706" s="35"/>
    </row>
    <row r="4707">
      <c r="A4707" s="251"/>
      <c r="B4707" s="252"/>
      <c r="C4707" s="253"/>
      <c r="D4707" s="253"/>
      <c r="E4707" s="252"/>
      <c r="F4707" s="253"/>
      <c r="G4707" s="251"/>
      <c r="H4707" s="433"/>
      <c r="I4707" s="278"/>
      <c r="J4707" s="257"/>
      <c r="K4707" s="253"/>
      <c r="L4707" s="253"/>
      <c r="M4707" s="252"/>
      <c r="N4707" s="258"/>
      <c r="O4707" s="259"/>
      <c r="P4707" s="259"/>
      <c r="Q4707" s="262"/>
      <c r="R4707" s="260"/>
      <c r="S4707" s="260"/>
      <c r="T4707" s="260"/>
      <c r="U4707" s="261"/>
      <c r="V4707" s="251"/>
      <c r="W4707" s="35"/>
      <c r="X4707" s="35"/>
      <c r="Y4707" s="35"/>
      <c r="Z4707" s="35"/>
      <c r="AA4707" s="35"/>
      <c r="AB4707" s="35"/>
      <c r="AC4707" s="35"/>
      <c r="AD4707" s="35"/>
      <c r="AE4707" s="35"/>
      <c r="AF4707" s="35"/>
      <c r="AG4707" s="35"/>
      <c r="AH4707" s="35"/>
      <c r="AI4707" s="35"/>
    </row>
    <row r="4708">
      <c r="A4708" s="251"/>
      <c r="B4708" s="252"/>
      <c r="C4708" s="253"/>
      <c r="D4708" s="253"/>
      <c r="E4708" s="252"/>
      <c r="F4708" s="253"/>
      <c r="G4708" s="251"/>
      <c r="H4708" s="433"/>
      <c r="I4708" s="278"/>
      <c r="J4708" s="257"/>
      <c r="K4708" s="253"/>
      <c r="L4708" s="253"/>
      <c r="M4708" s="252"/>
      <c r="N4708" s="258"/>
      <c r="O4708" s="259"/>
      <c r="P4708" s="259"/>
      <c r="Q4708" s="257"/>
      <c r="R4708" s="260"/>
      <c r="S4708" s="260"/>
      <c r="T4708" s="260"/>
      <c r="U4708" s="261"/>
      <c r="V4708" s="251"/>
      <c r="W4708" s="35"/>
      <c r="X4708" s="35"/>
      <c r="Y4708" s="35"/>
      <c r="Z4708" s="35"/>
      <c r="AA4708" s="35"/>
      <c r="AB4708" s="35"/>
      <c r="AC4708" s="35"/>
      <c r="AD4708" s="35"/>
      <c r="AE4708" s="35"/>
      <c r="AF4708" s="35"/>
      <c r="AG4708" s="35"/>
      <c r="AH4708" s="35"/>
      <c r="AI4708" s="35"/>
    </row>
    <row r="4709">
      <c r="A4709" s="251"/>
      <c r="B4709" s="252"/>
      <c r="C4709" s="253"/>
      <c r="D4709" s="253"/>
      <c r="E4709" s="252"/>
      <c r="F4709" s="253"/>
      <c r="G4709" s="251"/>
      <c r="H4709" s="433"/>
      <c r="I4709" s="278"/>
      <c r="J4709" s="257"/>
      <c r="K4709" s="253"/>
      <c r="L4709" s="253"/>
      <c r="M4709" s="252"/>
      <c r="N4709" s="258"/>
      <c r="O4709" s="259"/>
      <c r="P4709" s="259"/>
      <c r="Q4709" s="262"/>
      <c r="R4709" s="260"/>
      <c r="S4709" s="260"/>
      <c r="T4709" s="260"/>
      <c r="U4709" s="261"/>
      <c r="V4709" s="251"/>
      <c r="W4709" s="35"/>
      <c r="X4709" s="35"/>
      <c r="Y4709" s="35"/>
      <c r="Z4709" s="35"/>
      <c r="AA4709" s="35"/>
      <c r="AB4709" s="35"/>
      <c r="AC4709" s="35"/>
      <c r="AD4709" s="35"/>
      <c r="AE4709" s="35"/>
      <c r="AF4709" s="35"/>
      <c r="AG4709" s="35"/>
      <c r="AH4709" s="35"/>
      <c r="AI4709" s="35"/>
    </row>
    <row r="4710">
      <c r="A4710" s="263"/>
      <c r="B4710" s="264"/>
      <c r="C4710" s="265"/>
      <c r="D4710" s="265"/>
      <c r="E4710" s="264"/>
      <c r="F4710" s="265"/>
      <c r="G4710" s="263"/>
      <c r="H4710" s="432"/>
      <c r="I4710" s="282"/>
      <c r="J4710" s="283"/>
      <c r="K4710" s="265"/>
      <c r="L4710" s="265"/>
      <c r="M4710" s="269"/>
      <c r="N4710" s="270"/>
      <c r="O4710" s="271"/>
      <c r="P4710" s="271"/>
      <c r="Q4710" s="272"/>
      <c r="R4710" s="273"/>
      <c r="S4710" s="273"/>
      <c r="T4710" s="273"/>
      <c r="U4710" s="274"/>
      <c r="V4710" s="263"/>
      <c r="W4710" s="35"/>
      <c r="X4710" s="35"/>
      <c r="Y4710" s="35"/>
      <c r="Z4710" s="35"/>
      <c r="AA4710" s="35"/>
      <c r="AB4710" s="35"/>
      <c r="AC4710" s="35"/>
      <c r="AD4710" s="35"/>
      <c r="AE4710" s="35"/>
      <c r="AF4710" s="35"/>
      <c r="AG4710" s="35"/>
      <c r="AH4710" s="35"/>
      <c r="AI4710" s="35"/>
    </row>
    <row r="4711">
      <c r="A4711" s="251"/>
      <c r="B4711" s="252"/>
      <c r="C4711" s="253"/>
      <c r="D4711" s="253"/>
      <c r="E4711" s="252"/>
      <c r="F4711" s="253"/>
      <c r="G4711" s="251"/>
      <c r="H4711" s="433"/>
      <c r="I4711" s="278"/>
      <c r="J4711" s="257"/>
      <c r="K4711" s="253"/>
      <c r="L4711" s="253"/>
      <c r="M4711" s="252"/>
      <c r="N4711" s="258"/>
      <c r="O4711" s="259"/>
      <c r="P4711" s="259"/>
      <c r="Q4711" s="257"/>
      <c r="R4711" s="260"/>
      <c r="S4711" s="260"/>
      <c r="T4711" s="260"/>
      <c r="U4711" s="261"/>
      <c r="V4711" s="251"/>
      <c r="W4711" s="35"/>
      <c r="X4711" s="35"/>
      <c r="Y4711" s="35"/>
      <c r="Z4711" s="35"/>
      <c r="AA4711" s="35"/>
      <c r="AB4711" s="35"/>
      <c r="AC4711" s="35"/>
      <c r="AD4711" s="35"/>
      <c r="AE4711" s="35"/>
      <c r="AF4711" s="35"/>
      <c r="AG4711" s="35"/>
      <c r="AH4711" s="35"/>
      <c r="AI4711" s="35"/>
    </row>
    <row r="4712">
      <c r="A4712" s="251"/>
      <c r="B4712" s="252"/>
      <c r="C4712" s="253"/>
      <c r="D4712" s="253"/>
      <c r="E4712" s="252"/>
      <c r="F4712" s="253"/>
      <c r="G4712" s="251"/>
      <c r="H4712" s="433"/>
      <c r="I4712" s="278"/>
      <c r="J4712" s="257"/>
      <c r="K4712" s="253"/>
      <c r="L4712" s="253"/>
      <c r="M4712" s="252"/>
      <c r="N4712" s="258"/>
      <c r="O4712" s="259"/>
      <c r="P4712" s="259"/>
      <c r="Q4712" s="257"/>
      <c r="R4712" s="260"/>
      <c r="S4712" s="260"/>
      <c r="T4712" s="260"/>
      <c r="U4712" s="261"/>
      <c r="V4712" s="251"/>
      <c r="W4712" s="35"/>
      <c r="X4712" s="35"/>
      <c r="Y4712" s="35"/>
      <c r="Z4712" s="35"/>
      <c r="AA4712" s="35"/>
      <c r="AB4712" s="35"/>
      <c r="AC4712" s="35"/>
      <c r="AD4712" s="35"/>
      <c r="AE4712" s="35"/>
      <c r="AF4712" s="35"/>
      <c r="AG4712" s="35"/>
      <c r="AH4712" s="35"/>
      <c r="AI4712" s="35"/>
    </row>
    <row r="4713">
      <c r="A4713" s="251"/>
      <c r="B4713" s="252"/>
      <c r="C4713" s="253"/>
      <c r="D4713" s="253"/>
      <c r="E4713" s="252"/>
      <c r="F4713" s="253"/>
      <c r="G4713" s="251"/>
      <c r="H4713" s="433"/>
      <c r="I4713" s="278"/>
      <c r="J4713" s="257"/>
      <c r="K4713" s="253"/>
      <c r="L4713" s="253"/>
      <c r="M4713" s="275"/>
      <c r="N4713" s="258"/>
      <c r="O4713" s="259"/>
      <c r="P4713" s="259"/>
      <c r="Q4713" s="262"/>
      <c r="R4713" s="260"/>
      <c r="S4713" s="260"/>
      <c r="T4713" s="260"/>
      <c r="U4713" s="261"/>
      <c r="V4713" s="251"/>
      <c r="W4713" s="35"/>
      <c r="X4713" s="35"/>
      <c r="Y4713" s="35"/>
      <c r="Z4713" s="35"/>
      <c r="AA4713" s="35"/>
      <c r="AB4713" s="35"/>
      <c r="AC4713" s="35"/>
      <c r="AD4713" s="35"/>
      <c r="AE4713" s="35"/>
      <c r="AF4713" s="35"/>
      <c r="AG4713" s="35"/>
      <c r="AH4713" s="35"/>
      <c r="AI4713" s="35"/>
    </row>
    <row r="4714">
      <c r="A4714" s="251"/>
      <c r="B4714" s="252"/>
      <c r="C4714" s="253"/>
      <c r="D4714" s="253"/>
      <c r="E4714" s="252"/>
      <c r="F4714" s="253"/>
      <c r="G4714" s="251"/>
      <c r="H4714" s="433"/>
      <c r="I4714" s="278"/>
      <c r="J4714" s="257"/>
      <c r="K4714" s="253"/>
      <c r="L4714" s="253"/>
      <c r="M4714" s="252"/>
      <c r="N4714" s="258"/>
      <c r="O4714" s="259"/>
      <c r="P4714" s="259"/>
      <c r="Q4714" s="257"/>
      <c r="R4714" s="260"/>
      <c r="S4714" s="260"/>
      <c r="T4714" s="260"/>
      <c r="U4714" s="261"/>
      <c r="V4714" s="251"/>
      <c r="W4714" s="35"/>
      <c r="X4714" s="35"/>
      <c r="Y4714" s="35"/>
      <c r="Z4714" s="35"/>
      <c r="AA4714" s="35"/>
      <c r="AB4714" s="35"/>
      <c r="AC4714" s="35"/>
      <c r="AD4714" s="35"/>
      <c r="AE4714" s="35"/>
      <c r="AF4714" s="35"/>
      <c r="AG4714" s="35"/>
      <c r="AH4714" s="35"/>
      <c r="AI4714" s="35"/>
    </row>
    <row r="4715">
      <c r="A4715" s="251"/>
      <c r="B4715" s="252"/>
      <c r="C4715" s="253"/>
      <c r="D4715" s="253"/>
      <c r="E4715" s="252"/>
      <c r="F4715" s="253"/>
      <c r="G4715" s="251"/>
      <c r="H4715" s="433"/>
      <c r="I4715" s="278"/>
      <c r="J4715" s="257"/>
      <c r="K4715" s="253"/>
      <c r="L4715" s="253"/>
      <c r="M4715" s="252"/>
      <c r="N4715" s="258"/>
      <c r="O4715" s="259"/>
      <c r="P4715" s="259"/>
      <c r="Q4715" s="257"/>
      <c r="R4715" s="260"/>
      <c r="S4715" s="260"/>
      <c r="T4715" s="260"/>
      <c r="U4715" s="261"/>
      <c r="V4715" s="251"/>
      <c r="W4715" s="35"/>
      <c r="X4715" s="35"/>
      <c r="Y4715" s="35"/>
      <c r="Z4715" s="35"/>
      <c r="AA4715" s="35"/>
      <c r="AB4715" s="35"/>
      <c r="AC4715" s="35"/>
      <c r="AD4715" s="35"/>
      <c r="AE4715" s="35"/>
      <c r="AF4715" s="35"/>
      <c r="AG4715" s="35"/>
      <c r="AH4715" s="35"/>
      <c r="AI4715" s="35"/>
    </row>
    <row r="4716">
      <c r="A4716" s="251"/>
      <c r="B4716" s="252"/>
      <c r="C4716" s="253"/>
      <c r="D4716" s="253"/>
      <c r="E4716" s="252"/>
      <c r="F4716" s="253"/>
      <c r="G4716" s="251"/>
      <c r="H4716" s="433"/>
      <c r="I4716" s="278"/>
      <c r="J4716" s="257"/>
      <c r="K4716" s="253"/>
      <c r="L4716" s="253"/>
      <c r="M4716" s="252"/>
      <c r="N4716" s="258"/>
      <c r="O4716" s="259"/>
      <c r="P4716" s="259"/>
      <c r="Q4716" s="262"/>
      <c r="R4716" s="260"/>
      <c r="S4716" s="260"/>
      <c r="T4716" s="260"/>
      <c r="U4716" s="261"/>
      <c r="V4716" s="251"/>
      <c r="W4716" s="35"/>
      <c r="X4716" s="35"/>
      <c r="Y4716" s="35"/>
      <c r="Z4716" s="35"/>
      <c r="AA4716" s="35"/>
      <c r="AB4716" s="35"/>
      <c r="AC4716" s="35"/>
      <c r="AD4716" s="35"/>
      <c r="AE4716" s="35"/>
      <c r="AF4716" s="35"/>
      <c r="AG4716" s="35"/>
      <c r="AH4716" s="35"/>
      <c r="AI4716" s="35"/>
    </row>
    <row r="4717">
      <c r="A4717" s="251"/>
      <c r="B4717" s="252"/>
      <c r="C4717" s="253"/>
      <c r="D4717" s="253"/>
      <c r="E4717" s="252"/>
      <c r="F4717" s="253"/>
      <c r="G4717" s="251"/>
      <c r="H4717" s="433"/>
      <c r="I4717" s="278"/>
      <c r="J4717" s="257"/>
      <c r="K4717" s="253"/>
      <c r="L4717" s="253"/>
      <c r="M4717" s="252"/>
      <c r="N4717" s="258"/>
      <c r="O4717" s="259"/>
      <c r="P4717" s="259"/>
      <c r="Q4717" s="262"/>
      <c r="R4717" s="260"/>
      <c r="S4717" s="260"/>
      <c r="T4717" s="260"/>
      <c r="U4717" s="261"/>
      <c r="V4717" s="251"/>
      <c r="W4717" s="35"/>
      <c r="X4717" s="35"/>
      <c r="Y4717" s="35"/>
      <c r="Z4717" s="35"/>
      <c r="AA4717" s="35"/>
      <c r="AB4717" s="35"/>
      <c r="AC4717" s="35"/>
      <c r="AD4717" s="35"/>
      <c r="AE4717" s="35"/>
      <c r="AF4717" s="35"/>
      <c r="AG4717" s="35"/>
      <c r="AH4717" s="35"/>
      <c r="AI4717" s="35"/>
    </row>
    <row r="4718">
      <c r="A4718" s="251"/>
      <c r="B4718" s="252"/>
      <c r="C4718" s="253"/>
      <c r="D4718" s="253"/>
      <c r="E4718" s="252"/>
      <c r="F4718" s="253"/>
      <c r="G4718" s="251"/>
      <c r="H4718" s="433"/>
      <c r="I4718" s="278"/>
      <c r="J4718" s="257"/>
      <c r="K4718" s="253"/>
      <c r="L4718" s="253"/>
      <c r="M4718" s="252"/>
      <c r="N4718" s="258"/>
      <c r="O4718" s="259"/>
      <c r="P4718" s="259"/>
      <c r="Q4718" s="257"/>
      <c r="R4718" s="260"/>
      <c r="S4718" s="260"/>
      <c r="T4718" s="260"/>
      <c r="U4718" s="261"/>
      <c r="V4718" s="251"/>
      <c r="W4718" s="35"/>
      <c r="X4718" s="35"/>
      <c r="Y4718" s="35"/>
      <c r="Z4718" s="35"/>
      <c r="AA4718" s="35"/>
      <c r="AB4718" s="35"/>
      <c r="AC4718" s="35"/>
      <c r="AD4718" s="35"/>
      <c r="AE4718" s="35"/>
      <c r="AF4718" s="35"/>
      <c r="AG4718" s="35"/>
      <c r="AH4718" s="35"/>
      <c r="AI4718" s="35"/>
    </row>
    <row r="4719">
      <c r="A4719" s="251"/>
      <c r="B4719" s="252"/>
      <c r="C4719" s="253"/>
      <c r="D4719" s="253"/>
      <c r="E4719" s="252"/>
      <c r="F4719" s="253"/>
      <c r="G4719" s="251"/>
      <c r="H4719" s="433"/>
      <c r="I4719" s="278"/>
      <c r="J4719" s="257"/>
      <c r="K4719" s="253"/>
      <c r="L4719" s="253"/>
      <c r="M4719" s="252"/>
      <c r="N4719" s="258"/>
      <c r="O4719" s="259"/>
      <c r="P4719" s="259"/>
      <c r="Q4719" s="257"/>
      <c r="R4719" s="260"/>
      <c r="S4719" s="260"/>
      <c r="T4719" s="260"/>
      <c r="U4719" s="261"/>
      <c r="V4719" s="251"/>
      <c r="W4719" s="35"/>
      <c r="X4719" s="35"/>
      <c r="Y4719" s="35"/>
      <c r="Z4719" s="35"/>
      <c r="AA4719" s="35"/>
      <c r="AB4719" s="35"/>
      <c r="AC4719" s="35"/>
      <c r="AD4719" s="35"/>
      <c r="AE4719" s="35"/>
      <c r="AF4719" s="35"/>
      <c r="AG4719" s="35"/>
      <c r="AH4719" s="35"/>
      <c r="AI4719" s="35"/>
    </row>
    <row r="4720">
      <c r="A4720" s="251"/>
      <c r="B4720" s="252"/>
      <c r="C4720" s="253"/>
      <c r="D4720" s="253"/>
      <c r="E4720" s="252"/>
      <c r="F4720" s="253"/>
      <c r="G4720" s="251"/>
      <c r="H4720" s="433"/>
      <c r="I4720" s="278"/>
      <c r="J4720" s="257"/>
      <c r="K4720" s="253"/>
      <c r="L4720" s="253"/>
      <c r="M4720" s="252"/>
      <c r="N4720" s="258"/>
      <c r="O4720" s="259"/>
      <c r="P4720" s="259"/>
      <c r="Q4720" s="262"/>
      <c r="R4720" s="260"/>
      <c r="S4720" s="260"/>
      <c r="T4720" s="260"/>
      <c r="U4720" s="261"/>
      <c r="V4720" s="251"/>
      <c r="W4720" s="35"/>
      <c r="X4720" s="35"/>
      <c r="Y4720" s="35"/>
      <c r="Z4720" s="35"/>
      <c r="AA4720" s="35"/>
      <c r="AB4720" s="35"/>
      <c r="AC4720" s="35"/>
      <c r="AD4720" s="35"/>
      <c r="AE4720" s="35"/>
      <c r="AF4720" s="35"/>
      <c r="AG4720" s="35"/>
      <c r="AH4720" s="35"/>
      <c r="AI4720" s="35"/>
    </row>
    <row r="4721">
      <c r="A4721" s="251"/>
      <c r="B4721" s="252"/>
      <c r="C4721" s="253"/>
      <c r="D4721" s="253"/>
      <c r="E4721" s="252"/>
      <c r="F4721" s="253"/>
      <c r="G4721" s="251"/>
      <c r="H4721" s="433"/>
      <c r="I4721" s="278"/>
      <c r="J4721" s="257"/>
      <c r="K4721" s="253"/>
      <c r="L4721" s="253"/>
      <c r="M4721" s="252"/>
      <c r="N4721" s="258"/>
      <c r="O4721" s="259"/>
      <c r="P4721" s="259"/>
      <c r="Q4721" s="257"/>
      <c r="R4721" s="260"/>
      <c r="S4721" s="260"/>
      <c r="T4721" s="260"/>
      <c r="U4721" s="261"/>
      <c r="V4721" s="251"/>
      <c r="W4721" s="35"/>
      <c r="X4721" s="35"/>
      <c r="Y4721" s="35"/>
      <c r="Z4721" s="35"/>
      <c r="AA4721" s="35"/>
      <c r="AB4721" s="35"/>
      <c r="AC4721" s="35"/>
      <c r="AD4721" s="35"/>
      <c r="AE4721" s="35"/>
      <c r="AF4721" s="35"/>
      <c r="AG4721" s="35"/>
      <c r="AH4721" s="35"/>
      <c r="AI4721" s="35"/>
    </row>
    <row r="4722">
      <c r="A4722" s="251"/>
      <c r="B4722" s="252"/>
      <c r="C4722" s="253"/>
      <c r="D4722" s="253"/>
      <c r="E4722" s="252"/>
      <c r="F4722" s="253"/>
      <c r="G4722" s="251"/>
      <c r="H4722" s="433"/>
      <c r="I4722" s="278"/>
      <c r="J4722" s="257"/>
      <c r="K4722" s="253"/>
      <c r="L4722" s="253"/>
      <c r="M4722" s="252"/>
      <c r="N4722" s="258"/>
      <c r="O4722" s="259"/>
      <c r="P4722" s="259"/>
      <c r="Q4722" s="262"/>
      <c r="R4722" s="260"/>
      <c r="S4722" s="260"/>
      <c r="T4722" s="260"/>
      <c r="U4722" s="261"/>
      <c r="V4722" s="251"/>
      <c r="W4722" s="35"/>
      <c r="X4722" s="35"/>
      <c r="Y4722" s="35"/>
      <c r="Z4722" s="35"/>
      <c r="AA4722" s="35"/>
      <c r="AB4722" s="35"/>
      <c r="AC4722" s="35"/>
      <c r="AD4722" s="35"/>
      <c r="AE4722" s="35"/>
      <c r="AF4722" s="35"/>
      <c r="AG4722" s="35"/>
      <c r="AH4722" s="35"/>
      <c r="AI4722" s="35"/>
    </row>
    <row r="4723">
      <c r="A4723" s="251"/>
      <c r="B4723" s="252"/>
      <c r="C4723" s="253"/>
      <c r="D4723" s="253"/>
      <c r="E4723" s="252"/>
      <c r="F4723" s="253"/>
      <c r="G4723" s="251"/>
      <c r="H4723" s="433"/>
      <c r="I4723" s="278"/>
      <c r="J4723" s="257"/>
      <c r="K4723" s="253"/>
      <c r="L4723" s="253"/>
      <c r="M4723" s="252"/>
      <c r="N4723" s="258"/>
      <c r="O4723" s="259"/>
      <c r="P4723" s="259"/>
      <c r="Q4723" s="262"/>
      <c r="R4723" s="260"/>
      <c r="S4723" s="260"/>
      <c r="T4723" s="260"/>
      <c r="U4723" s="261"/>
      <c r="V4723" s="251"/>
      <c r="W4723" s="35"/>
      <c r="X4723" s="35"/>
      <c r="Y4723" s="35"/>
      <c r="Z4723" s="35"/>
      <c r="AA4723" s="35"/>
      <c r="AB4723" s="35"/>
      <c r="AC4723" s="35"/>
      <c r="AD4723" s="35"/>
      <c r="AE4723" s="35"/>
      <c r="AF4723" s="35"/>
      <c r="AG4723" s="35"/>
      <c r="AH4723" s="35"/>
      <c r="AI4723" s="35"/>
    </row>
    <row r="4724">
      <c r="A4724" s="251"/>
      <c r="B4724" s="252"/>
      <c r="C4724" s="253"/>
      <c r="D4724" s="253"/>
      <c r="E4724" s="252"/>
      <c r="F4724" s="253"/>
      <c r="G4724" s="251"/>
      <c r="H4724" s="433"/>
      <c r="I4724" s="278"/>
      <c r="J4724" s="257"/>
      <c r="K4724" s="253"/>
      <c r="L4724" s="253"/>
      <c r="M4724" s="275"/>
      <c r="N4724" s="258"/>
      <c r="O4724" s="259"/>
      <c r="P4724" s="259"/>
      <c r="Q4724" s="262"/>
      <c r="R4724" s="260"/>
      <c r="S4724" s="260"/>
      <c r="T4724" s="260"/>
      <c r="U4724" s="261"/>
      <c r="V4724" s="251"/>
      <c r="W4724" s="35"/>
      <c r="X4724" s="35"/>
      <c r="Y4724" s="35"/>
      <c r="Z4724" s="35"/>
      <c r="AA4724" s="35"/>
      <c r="AB4724" s="35"/>
      <c r="AC4724" s="35"/>
      <c r="AD4724" s="35"/>
      <c r="AE4724" s="35"/>
      <c r="AF4724" s="35"/>
      <c r="AG4724" s="35"/>
      <c r="AH4724" s="35"/>
      <c r="AI4724" s="35"/>
    </row>
    <row r="4725">
      <c r="A4725" s="251"/>
      <c r="B4725" s="252"/>
      <c r="C4725" s="253"/>
      <c r="D4725" s="253"/>
      <c r="E4725" s="252"/>
      <c r="F4725" s="253"/>
      <c r="G4725" s="251"/>
      <c r="H4725" s="433"/>
      <c r="I4725" s="278"/>
      <c r="J4725" s="257"/>
      <c r="K4725" s="253"/>
      <c r="L4725" s="253"/>
      <c r="M4725" s="252"/>
      <c r="N4725" s="258"/>
      <c r="O4725" s="259"/>
      <c r="P4725" s="259"/>
      <c r="Q4725" s="262"/>
      <c r="R4725" s="260"/>
      <c r="S4725" s="260"/>
      <c r="T4725" s="260"/>
      <c r="U4725" s="261"/>
      <c r="V4725" s="251"/>
      <c r="W4725" s="35"/>
      <c r="X4725" s="35"/>
      <c r="Y4725" s="35"/>
      <c r="Z4725" s="35"/>
      <c r="AA4725" s="35"/>
      <c r="AB4725" s="35"/>
      <c r="AC4725" s="35"/>
      <c r="AD4725" s="35"/>
      <c r="AE4725" s="35"/>
      <c r="AF4725" s="35"/>
      <c r="AG4725" s="35"/>
      <c r="AH4725" s="35"/>
      <c r="AI4725" s="35"/>
    </row>
    <row r="4726">
      <c r="A4726" s="251"/>
      <c r="B4726" s="252"/>
      <c r="C4726" s="253"/>
      <c r="D4726" s="253"/>
      <c r="E4726" s="252"/>
      <c r="F4726" s="253"/>
      <c r="G4726" s="251"/>
      <c r="H4726" s="433"/>
      <c r="I4726" s="278"/>
      <c r="J4726" s="257"/>
      <c r="K4726" s="253"/>
      <c r="L4726" s="253"/>
      <c r="M4726" s="252"/>
      <c r="N4726" s="258"/>
      <c r="O4726" s="259"/>
      <c r="P4726" s="259"/>
      <c r="Q4726" s="262"/>
      <c r="R4726" s="260"/>
      <c r="S4726" s="260"/>
      <c r="T4726" s="260"/>
      <c r="U4726" s="261"/>
      <c r="V4726" s="251"/>
      <c r="W4726" s="35"/>
      <c r="X4726" s="35"/>
      <c r="Y4726" s="35"/>
      <c r="Z4726" s="35"/>
      <c r="AA4726" s="35"/>
      <c r="AB4726" s="35"/>
      <c r="AC4726" s="35"/>
      <c r="AD4726" s="35"/>
      <c r="AE4726" s="35"/>
      <c r="AF4726" s="35"/>
      <c r="AG4726" s="35"/>
      <c r="AH4726" s="35"/>
      <c r="AI4726" s="35"/>
    </row>
    <row r="4727">
      <c r="A4727" s="251"/>
      <c r="B4727" s="252"/>
      <c r="C4727" s="253"/>
      <c r="D4727" s="253"/>
      <c r="E4727" s="252"/>
      <c r="F4727" s="253"/>
      <c r="G4727" s="251"/>
      <c r="H4727" s="433"/>
      <c r="I4727" s="278"/>
      <c r="J4727" s="257"/>
      <c r="K4727" s="253"/>
      <c r="L4727" s="253"/>
      <c r="M4727" s="252"/>
      <c r="N4727" s="258"/>
      <c r="O4727" s="259"/>
      <c r="P4727" s="259"/>
      <c r="Q4727" s="262"/>
      <c r="R4727" s="260"/>
      <c r="S4727" s="260"/>
      <c r="T4727" s="260"/>
      <c r="U4727" s="261"/>
      <c r="V4727" s="251"/>
      <c r="W4727" s="35"/>
      <c r="X4727" s="35"/>
      <c r="Y4727" s="35"/>
      <c r="Z4727" s="35"/>
      <c r="AA4727" s="35"/>
      <c r="AB4727" s="35"/>
      <c r="AC4727" s="35"/>
      <c r="AD4727" s="35"/>
      <c r="AE4727" s="35"/>
      <c r="AF4727" s="35"/>
      <c r="AG4727" s="35"/>
      <c r="AH4727" s="35"/>
      <c r="AI4727" s="35"/>
    </row>
    <row r="4728">
      <c r="A4728" s="263"/>
      <c r="B4728" s="264"/>
      <c r="C4728" s="265"/>
      <c r="D4728" s="265"/>
      <c r="E4728" s="264"/>
      <c r="F4728" s="265"/>
      <c r="G4728" s="263"/>
      <c r="H4728" s="432"/>
      <c r="I4728" s="282"/>
      <c r="J4728" s="283"/>
      <c r="K4728" s="265"/>
      <c r="L4728" s="265"/>
      <c r="M4728" s="269"/>
      <c r="N4728" s="270"/>
      <c r="O4728" s="271"/>
      <c r="P4728" s="271"/>
      <c r="Q4728" s="272"/>
      <c r="R4728" s="273"/>
      <c r="S4728" s="273"/>
      <c r="T4728" s="273"/>
      <c r="U4728" s="274"/>
      <c r="V4728" s="263"/>
      <c r="W4728" s="35"/>
      <c r="X4728" s="35"/>
      <c r="Y4728" s="35"/>
      <c r="Z4728" s="35"/>
      <c r="AA4728" s="35"/>
      <c r="AB4728" s="35"/>
      <c r="AC4728" s="35"/>
      <c r="AD4728" s="35"/>
      <c r="AE4728" s="35"/>
      <c r="AF4728" s="35"/>
      <c r="AG4728" s="35"/>
      <c r="AH4728" s="35"/>
      <c r="AI4728" s="35"/>
    </row>
    <row r="4729">
      <c r="A4729" s="251"/>
      <c r="B4729" s="252"/>
      <c r="C4729" s="253"/>
      <c r="D4729" s="253"/>
      <c r="E4729" s="252"/>
      <c r="F4729" s="253"/>
      <c r="G4729" s="251"/>
      <c r="H4729" s="433"/>
      <c r="I4729" s="278"/>
      <c r="J4729" s="257"/>
      <c r="K4729" s="253"/>
      <c r="L4729" s="253"/>
      <c r="M4729" s="252"/>
      <c r="N4729" s="258"/>
      <c r="O4729" s="259"/>
      <c r="P4729" s="259"/>
      <c r="Q4729" s="262"/>
      <c r="R4729" s="260"/>
      <c r="S4729" s="260"/>
      <c r="T4729" s="260"/>
      <c r="U4729" s="261"/>
      <c r="V4729" s="251"/>
      <c r="W4729" s="35"/>
      <c r="X4729" s="35"/>
      <c r="Y4729" s="35"/>
      <c r="Z4729" s="35"/>
      <c r="AA4729" s="35"/>
      <c r="AB4729" s="35"/>
      <c r="AC4729" s="35"/>
      <c r="AD4729" s="35"/>
      <c r="AE4729" s="35"/>
      <c r="AF4729" s="35"/>
      <c r="AG4729" s="35"/>
      <c r="AH4729" s="35"/>
      <c r="AI4729" s="35"/>
    </row>
    <row r="4730">
      <c r="A4730" s="251"/>
      <c r="B4730" s="252"/>
      <c r="C4730" s="253"/>
      <c r="D4730" s="253"/>
      <c r="E4730" s="252"/>
      <c r="F4730" s="253"/>
      <c r="G4730" s="251"/>
      <c r="H4730" s="433"/>
      <c r="I4730" s="278"/>
      <c r="J4730" s="257"/>
      <c r="K4730" s="253"/>
      <c r="L4730" s="253"/>
      <c r="M4730" s="275"/>
      <c r="N4730" s="258"/>
      <c r="O4730" s="259"/>
      <c r="P4730" s="259"/>
      <c r="Q4730" s="262"/>
      <c r="R4730" s="260"/>
      <c r="S4730" s="260"/>
      <c r="T4730" s="260"/>
      <c r="U4730" s="261"/>
      <c r="V4730" s="251"/>
      <c r="W4730" s="35"/>
      <c r="X4730" s="35"/>
      <c r="Y4730" s="35"/>
      <c r="Z4730" s="35"/>
      <c r="AA4730" s="35"/>
      <c r="AB4730" s="35"/>
      <c r="AC4730" s="35"/>
      <c r="AD4730" s="35"/>
      <c r="AE4730" s="35"/>
      <c r="AF4730" s="35"/>
      <c r="AG4730" s="35"/>
      <c r="AH4730" s="35"/>
      <c r="AI4730" s="35"/>
    </row>
    <row r="4731">
      <c r="A4731" s="251"/>
      <c r="B4731" s="252"/>
      <c r="C4731" s="253"/>
      <c r="D4731" s="253"/>
      <c r="E4731" s="252"/>
      <c r="F4731" s="253"/>
      <c r="G4731" s="251"/>
      <c r="H4731" s="433"/>
      <c r="I4731" s="278"/>
      <c r="J4731" s="257"/>
      <c r="K4731" s="253"/>
      <c r="L4731" s="253"/>
      <c r="M4731" s="252"/>
      <c r="N4731" s="258"/>
      <c r="O4731" s="259"/>
      <c r="P4731" s="259"/>
      <c r="Q4731" s="262"/>
      <c r="R4731" s="260"/>
      <c r="S4731" s="260"/>
      <c r="T4731" s="260"/>
      <c r="U4731" s="261"/>
      <c r="V4731" s="251"/>
      <c r="W4731" s="35"/>
      <c r="X4731" s="35"/>
      <c r="Y4731" s="35"/>
      <c r="Z4731" s="35"/>
      <c r="AA4731" s="35"/>
      <c r="AB4731" s="35"/>
      <c r="AC4731" s="35"/>
      <c r="AD4731" s="35"/>
      <c r="AE4731" s="35"/>
      <c r="AF4731" s="35"/>
      <c r="AG4731" s="35"/>
      <c r="AH4731" s="35"/>
      <c r="AI4731" s="35"/>
    </row>
    <row r="4732">
      <c r="A4732" s="251"/>
      <c r="B4732" s="252"/>
      <c r="C4732" s="253"/>
      <c r="D4732" s="253"/>
      <c r="E4732" s="252"/>
      <c r="F4732" s="253"/>
      <c r="G4732" s="251"/>
      <c r="H4732" s="433"/>
      <c r="I4732" s="278"/>
      <c r="J4732" s="257"/>
      <c r="K4732" s="253"/>
      <c r="L4732" s="253"/>
      <c r="M4732" s="252"/>
      <c r="N4732" s="258"/>
      <c r="O4732" s="259"/>
      <c r="P4732" s="259"/>
      <c r="Q4732" s="262"/>
      <c r="R4732" s="260"/>
      <c r="S4732" s="260"/>
      <c r="T4732" s="260"/>
      <c r="U4732" s="261"/>
      <c r="V4732" s="251"/>
      <c r="W4732" s="35"/>
      <c r="X4732" s="35"/>
      <c r="Y4732" s="35"/>
      <c r="Z4732" s="35"/>
      <c r="AA4732" s="35"/>
      <c r="AB4732" s="35"/>
      <c r="AC4732" s="35"/>
      <c r="AD4732" s="35"/>
      <c r="AE4732" s="35"/>
      <c r="AF4732" s="35"/>
      <c r="AG4732" s="35"/>
      <c r="AH4732" s="35"/>
      <c r="AI4732" s="35"/>
    </row>
    <row r="4733">
      <c r="A4733" s="251"/>
      <c r="B4733" s="252"/>
      <c r="C4733" s="253"/>
      <c r="D4733" s="253"/>
      <c r="E4733" s="252"/>
      <c r="F4733" s="253"/>
      <c r="G4733" s="251"/>
      <c r="H4733" s="433"/>
      <c r="I4733" s="278"/>
      <c r="J4733" s="257"/>
      <c r="K4733" s="253"/>
      <c r="L4733" s="253"/>
      <c r="M4733" s="252"/>
      <c r="N4733" s="258"/>
      <c r="O4733" s="259"/>
      <c r="P4733" s="259"/>
      <c r="Q4733" s="262"/>
      <c r="R4733" s="260"/>
      <c r="S4733" s="260"/>
      <c r="T4733" s="260"/>
      <c r="U4733" s="261"/>
      <c r="V4733" s="251"/>
      <c r="W4733" s="35"/>
      <c r="X4733" s="35"/>
      <c r="Y4733" s="35"/>
      <c r="Z4733" s="35"/>
      <c r="AA4733" s="35"/>
      <c r="AB4733" s="35"/>
      <c r="AC4733" s="35"/>
      <c r="AD4733" s="35"/>
      <c r="AE4733" s="35"/>
      <c r="AF4733" s="35"/>
      <c r="AG4733" s="35"/>
      <c r="AH4733" s="35"/>
      <c r="AI4733" s="35"/>
    </row>
    <row r="4734">
      <c r="A4734" s="251"/>
      <c r="B4734" s="252"/>
      <c r="C4734" s="253"/>
      <c r="D4734" s="253"/>
      <c r="E4734" s="252"/>
      <c r="F4734" s="253"/>
      <c r="G4734" s="251"/>
      <c r="H4734" s="433"/>
      <c r="I4734" s="278"/>
      <c r="J4734" s="257"/>
      <c r="K4734" s="253"/>
      <c r="L4734" s="253"/>
      <c r="M4734" s="252"/>
      <c r="N4734" s="258"/>
      <c r="O4734" s="259"/>
      <c r="P4734" s="259"/>
      <c r="Q4734" s="262"/>
      <c r="R4734" s="260"/>
      <c r="S4734" s="260"/>
      <c r="T4734" s="260"/>
      <c r="U4734" s="261"/>
      <c r="V4734" s="251"/>
      <c r="W4734" s="35"/>
      <c r="X4734" s="35"/>
      <c r="Y4734" s="35"/>
      <c r="Z4734" s="35"/>
      <c r="AA4734" s="35"/>
      <c r="AB4734" s="35"/>
      <c r="AC4734" s="35"/>
      <c r="AD4734" s="35"/>
      <c r="AE4734" s="35"/>
      <c r="AF4734" s="35"/>
      <c r="AG4734" s="35"/>
      <c r="AH4734" s="35"/>
      <c r="AI4734" s="35"/>
    </row>
    <row r="4735">
      <c r="A4735" s="251"/>
      <c r="B4735" s="252"/>
      <c r="C4735" s="253"/>
      <c r="D4735" s="253"/>
      <c r="E4735" s="252"/>
      <c r="F4735" s="253"/>
      <c r="G4735" s="251"/>
      <c r="H4735" s="433"/>
      <c r="I4735" s="278"/>
      <c r="J4735" s="257"/>
      <c r="K4735" s="253"/>
      <c r="L4735" s="253"/>
      <c r="M4735" s="252"/>
      <c r="N4735" s="258"/>
      <c r="O4735" s="259"/>
      <c r="P4735" s="259"/>
      <c r="Q4735" s="262"/>
      <c r="R4735" s="260"/>
      <c r="S4735" s="260"/>
      <c r="T4735" s="260"/>
      <c r="U4735" s="261"/>
      <c r="V4735" s="251"/>
      <c r="W4735" s="35"/>
      <c r="X4735" s="35"/>
      <c r="Y4735" s="35"/>
      <c r="Z4735" s="35"/>
      <c r="AA4735" s="35"/>
      <c r="AB4735" s="35"/>
      <c r="AC4735" s="35"/>
      <c r="AD4735" s="35"/>
      <c r="AE4735" s="35"/>
      <c r="AF4735" s="35"/>
      <c r="AG4735" s="35"/>
      <c r="AH4735" s="35"/>
      <c r="AI4735" s="35"/>
    </row>
    <row r="4736">
      <c r="A4736" s="251"/>
      <c r="B4736" s="252"/>
      <c r="C4736" s="253"/>
      <c r="D4736" s="253"/>
      <c r="E4736" s="252"/>
      <c r="F4736" s="253"/>
      <c r="G4736" s="251"/>
      <c r="H4736" s="433"/>
      <c r="I4736" s="278"/>
      <c r="J4736" s="257"/>
      <c r="K4736" s="253"/>
      <c r="L4736" s="253"/>
      <c r="M4736" s="252"/>
      <c r="N4736" s="258"/>
      <c r="O4736" s="259"/>
      <c r="P4736" s="259"/>
      <c r="Q4736" s="262"/>
      <c r="R4736" s="260"/>
      <c r="S4736" s="260"/>
      <c r="T4736" s="260"/>
      <c r="U4736" s="261"/>
      <c r="V4736" s="251"/>
      <c r="W4736" s="35"/>
      <c r="X4736" s="35"/>
      <c r="Y4736" s="35"/>
      <c r="Z4736" s="35"/>
      <c r="AA4736" s="35"/>
      <c r="AB4736" s="35"/>
      <c r="AC4736" s="35"/>
      <c r="AD4736" s="35"/>
      <c r="AE4736" s="35"/>
      <c r="AF4736" s="35"/>
      <c r="AG4736" s="35"/>
      <c r="AH4736" s="35"/>
      <c r="AI4736" s="35"/>
    </row>
    <row r="4737">
      <c r="A4737" s="251"/>
      <c r="B4737" s="252"/>
      <c r="C4737" s="253"/>
      <c r="D4737" s="253"/>
      <c r="E4737" s="252"/>
      <c r="F4737" s="253"/>
      <c r="G4737" s="251"/>
      <c r="H4737" s="433"/>
      <c r="I4737" s="278"/>
      <c r="J4737" s="257"/>
      <c r="K4737" s="253"/>
      <c r="L4737" s="253"/>
      <c r="M4737" s="275"/>
      <c r="N4737" s="258"/>
      <c r="O4737" s="259"/>
      <c r="P4737" s="259"/>
      <c r="Q4737" s="262"/>
      <c r="R4737" s="260"/>
      <c r="S4737" s="260"/>
      <c r="T4737" s="260"/>
      <c r="U4737" s="261"/>
      <c r="V4737" s="251"/>
      <c r="W4737" s="35"/>
      <c r="X4737" s="35"/>
      <c r="Y4737" s="35"/>
      <c r="Z4737" s="35"/>
      <c r="AA4737" s="35"/>
      <c r="AB4737" s="35"/>
      <c r="AC4737" s="35"/>
      <c r="AD4737" s="35"/>
      <c r="AE4737" s="35"/>
      <c r="AF4737" s="35"/>
      <c r="AG4737" s="35"/>
      <c r="AH4737" s="35"/>
      <c r="AI4737" s="35"/>
    </row>
    <row r="4738">
      <c r="A4738" s="251"/>
      <c r="B4738" s="252"/>
      <c r="C4738" s="253"/>
      <c r="D4738" s="253"/>
      <c r="E4738" s="252"/>
      <c r="F4738" s="253"/>
      <c r="G4738" s="251"/>
      <c r="H4738" s="433"/>
      <c r="I4738" s="278"/>
      <c r="J4738" s="257"/>
      <c r="K4738" s="253"/>
      <c r="L4738" s="253"/>
      <c r="M4738" s="275"/>
      <c r="N4738" s="258"/>
      <c r="O4738" s="259"/>
      <c r="P4738" s="259"/>
      <c r="Q4738" s="262"/>
      <c r="R4738" s="260"/>
      <c r="S4738" s="260"/>
      <c r="T4738" s="260"/>
      <c r="U4738" s="261"/>
      <c r="V4738" s="251"/>
      <c r="W4738" s="35"/>
      <c r="X4738" s="35"/>
      <c r="Y4738" s="35"/>
      <c r="Z4738" s="35"/>
      <c r="AA4738" s="35"/>
      <c r="AB4738" s="35"/>
      <c r="AC4738" s="35"/>
      <c r="AD4738" s="35"/>
      <c r="AE4738" s="35"/>
      <c r="AF4738" s="35"/>
      <c r="AG4738" s="35"/>
      <c r="AH4738" s="35"/>
      <c r="AI4738" s="35"/>
    </row>
    <row r="4739">
      <c r="A4739" s="263"/>
      <c r="B4739" s="264"/>
      <c r="C4739" s="265"/>
      <c r="D4739" s="265"/>
      <c r="E4739" s="264"/>
      <c r="F4739" s="265"/>
      <c r="G4739" s="263"/>
      <c r="H4739" s="432"/>
      <c r="I4739" s="282"/>
      <c r="J4739" s="283"/>
      <c r="K4739" s="265"/>
      <c r="L4739" s="265"/>
      <c r="M4739" s="269"/>
      <c r="N4739" s="270"/>
      <c r="O4739" s="271"/>
      <c r="P4739" s="271"/>
      <c r="Q4739" s="272"/>
      <c r="R4739" s="273"/>
      <c r="S4739" s="273"/>
      <c r="T4739" s="273"/>
      <c r="U4739" s="274"/>
      <c r="V4739" s="263"/>
      <c r="W4739" s="35"/>
      <c r="X4739" s="35"/>
      <c r="Y4739" s="35"/>
      <c r="Z4739" s="35"/>
      <c r="AA4739" s="35"/>
      <c r="AB4739" s="35"/>
      <c r="AC4739" s="35"/>
      <c r="AD4739" s="35"/>
      <c r="AE4739" s="35"/>
      <c r="AF4739" s="35"/>
      <c r="AG4739" s="35"/>
      <c r="AH4739" s="35"/>
      <c r="AI4739" s="35"/>
    </row>
    <row r="4740">
      <c r="A4740" s="251"/>
      <c r="B4740" s="252"/>
      <c r="C4740" s="253"/>
      <c r="D4740" s="253"/>
      <c r="E4740" s="252"/>
      <c r="F4740" s="253"/>
      <c r="G4740" s="251"/>
      <c r="H4740" s="433"/>
      <c r="I4740" s="278"/>
      <c r="J4740" s="257"/>
      <c r="K4740" s="253"/>
      <c r="L4740" s="253"/>
      <c r="M4740" s="252"/>
      <c r="N4740" s="258"/>
      <c r="O4740" s="259"/>
      <c r="P4740" s="259"/>
      <c r="Q4740" s="257"/>
      <c r="R4740" s="260"/>
      <c r="S4740" s="260"/>
      <c r="T4740" s="260"/>
      <c r="U4740" s="261"/>
      <c r="V4740" s="251"/>
      <c r="W4740" s="35"/>
      <c r="X4740" s="35"/>
      <c r="Y4740" s="35"/>
      <c r="Z4740" s="35"/>
      <c r="AA4740" s="35"/>
      <c r="AB4740" s="35"/>
      <c r="AC4740" s="35"/>
      <c r="AD4740" s="35"/>
      <c r="AE4740" s="35"/>
      <c r="AF4740" s="35"/>
      <c r="AG4740" s="35"/>
      <c r="AH4740" s="35"/>
      <c r="AI4740" s="35"/>
    </row>
    <row r="4741">
      <c r="A4741" s="251"/>
      <c r="B4741" s="252"/>
      <c r="C4741" s="253"/>
      <c r="D4741" s="253"/>
      <c r="E4741" s="252"/>
      <c r="F4741" s="253"/>
      <c r="G4741" s="251"/>
      <c r="H4741" s="433"/>
      <c r="I4741" s="278"/>
      <c r="J4741" s="257"/>
      <c r="K4741" s="253"/>
      <c r="L4741" s="253"/>
      <c r="M4741" s="252"/>
      <c r="N4741" s="258"/>
      <c r="O4741" s="259"/>
      <c r="P4741" s="259"/>
      <c r="Q4741" s="262"/>
      <c r="R4741" s="260"/>
      <c r="S4741" s="260"/>
      <c r="T4741" s="260"/>
      <c r="U4741" s="261"/>
      <c r="V4741" s="251"/>
      <c r="W4741" s="35"/>
      <c r="X4741" s="35"/>
      <c r="Y4741" s="35"/>
      <c r="Z4741" s="35"/>
      <c r="AA4741" s="35"/>
      <c r="AB4741" s="35"/>
      <c r="AC4741" s="35"/>
      <c r="AD4741" s="35"/>
      <c r="AE4741" s="35"/>
      <c r="AF4741" s="35"/>
      <c r="AG4741" s="35"/>
      <c r="AH4741" s="35"/>
      <c r="AI4741" s="35"/>
    </row>
    <row r="4742">
      <c r="A4742" s="251"/>
      <c r="B4742" s="252"/>
      <c r="C4742" s="253"/>
      <c r="D4742" s="253"/>
      <c r="E4742" s="252"/>
      <c r="F4742" s="253"/>
      <c r="G4742" s="251"/>
      <c r="H4742" s="433"/>
      <c r="I4742" s="278"/>
      <c r="J4742" s="257"/>
      <c r="K4742" s="253"/>
      <c r="L4742" s="253"/>
      <c r="M4742" s="275"/>
      <c r="N4742" s="258"/>
      <c r="O4742" s="259"/>
      <c r="P4742" s="259"/>
      <c r="Q4742" s="262"/>
      <c r="R4742" s="260"/>
      <c r="S4742" s="260"/>
      <c r="T4742" s="260"/>
      <c r="U4742" s="261"/>
      <c r="V4742" s="251"/>
      <c r="W4742" s="35"/>
      <c r="X4742" s="35"/>
      <c r="Y4742" s="35"/>
      <c r="Z4742" s="35"/>
      <c r="AA4742" s="35"/>
      <c r="AB4742" s="35"/>
      <c r="AC4742" s="35"/>
      <c r="AD4742" s="35"/>
      <c r="AE4742" s="35"/>
      <c r="AF4742" s="35"/>
      <c r="AG4742" s="35"/>
      <c r="AH4742" s="35"/>
      <c r="AI4742" s="35"/>
    </row>
    <row r="4743">
      <c r="A4743" s="251"/>
      <c r="B4743" s="252"/>
      <c r="C4743" s="253"/>
      <c r="D4743" s="253"/>
      <c r="E4743" s="252"/>
      <c r="F4743" s="253"/>
      <c r="G4743" s="251"/>
      <c r="H4743" s="433"/>
      <c r="I4743" s="278"/>
      <c r="J4743" s="257"/>
      <c r="K4743" s="253"/>
      <c r="L4743" s="253"/>
      <c r="M4743" s="252"/>
      <c r="N4743" s="258"/>
      <c r="O4743" s="259"/>
      <c r="P4743" s="259"/>
      <c r="Q4743" s="262"/>
      <c r="R4743" s="260"/>
      <c r="S4743" s="260"/>
      <c r="T4743" s="173"/>
      <c r="U4743" s="174"/>
      <c r="V4743" s="207"/>
      <c r="W4743" s="35"/>
      <c r="X4743" s="35"/>
      <c r="Y4743" s="35"/>
      <c r="Z4743" s="35"/>
      <c r="AA4743" s="35"/>
      <c r="AB4743" s="35"/>
      <c r="AC4743" s="35"/>
      <c r="AD4743" s="35"/>
      <c r="AE4743" s="35"/>
      <c r="AF4743" s="35"/>
      <c r="AG4743" s="35"/>
      <c r="AH4743" s="35"/>
      <c r="AI4743" s="35"/>
    </row>
    <row r="4744">
      <c r="A4744" s="251"/>
      <c r="B4744" s="252"/>
      <c r="C4744" s="253"/>
      <c r="D4744" s="253"/>
      <c r="E4744" s="252"/>
      <c r="F4744" s="253"/>
      <c r="G4744" s="251"/>
      <c r="H4744" s="433"/>
      <c r="I4744" s="278"/>
      <c r="J4744" s="257"/>
      <c r="K4744" s="253"/>
      <c r="L4744" s="253"/>
      <c r="M4744" s="252"/>
      <c r="N4744" s="258"/>
      <c r="O4744" s="259"/>
      <c r="P4744" s="259"/>
      <c r="Q4744" s="257"/>
      <c r="R4744" s="260"/>
      <c r="S4744" s="260"/>
      <c r="T4744" s="260"/>
      <c r="U4744" s="261"/>
      <c r="V4744" s="251"/>
      <c r="W4744" s="35"/>
      <c r="X4744" s="35"/>
      <c r="Y4744" s="35"/>
      <c r="Z4744" s="35"/>
      <c r="AA4744" s="35"/>
      <c r="AB4744" s="35"/>
      <c r="AC4744" s="35"/>
      <c r="AD4744" s="35"/>
      <c r="AE4744" s="35"/>
      <c r="AF4744" s="35"/>
      <c r="AG4744" s="35"/>
      <c r="AH4744" s="35"/>
      <c r="AI4744" s="35"/>
    </row>
    <row r="4745">
      <c r="A4745" s="251"/>
      <c r="B4745" s="252"/>
      <c r="C4745" s="253"/>
      <c r="D4745" s="253"/>
      <c r="E4745" s="252"/>
      <c r="F4745" s="253"/>
      <c r="G4745" s="251"/>
      <c r="H4745" s="433"/>
      <c r="I4745" s="278"/>
      <c r="J4745" s="257"/>
      <c r="K4745" s="253"/>
      <c r="L4745" s="253"/>
      <c r="M4745" s="275"/>
      <c r="N4745" s="258"/>
      <c r="O4745" s="259"/>
      <c r="P4745" s="259"/>
      <c r="Q4745" s="262"/>
      <c r="R4745" s="260"/>
      <c r="S4745" s="260"/>
      <c r="T4745" s="260"/>
      <c r="U4745" s="261"/>
      <c r="V4745" s="251"/>
      <c r="W4745" s="35"/>
      <c r="X4745" s="35"/>
      <c r="Y4745" s="35"/>
      <c r="Z4745" s="35"/>
      <c r="AA4745" s="35"/>
      <c r="AB4745" s="35"/>
      <c r="AC4745" s="35"/>
      <c r="AD4745" s="35"/>
      <c r="AE4745" s="35"/>
      <c r="AF4745" s="35"/>
      <c r="AG4745" s="35"/>
      <c r="AH4745" s="35"/>
      <c r="AI4745" s="35"/>
    </row>
    <row r="4746">
      <c r="A4746" s="251"/>
      <c r="B4746" s="252"/>
      <c r="C4746" s="253"/>
      <c r="D4746" s="253"/>
      <c r="E4746" s="252"/>
      <c r="F4746" s="253"/>
      <c r="G4746" s="251"/>
      <c r="H4746" s="433"/>
      <c r="I4746" s="278"/>
      <c r="J4746" s="257"/>
      <c r="K4746" s="253"/>
      <c r="L4746" s="253"/>
      <c r="M4746" s="275"/>
      <c r="N4746" s="258"/>
      <c r="O4746" s="259"/>
      <c r="P4746" s="259"/>
      <c r="Q4746" s="262"/>
      <c r="R4746" s="260"/>
      <c r="S4746" s="260"/>
      <c r="T4746" s="260"/>
      <c r="U4746" s="261"/>
      <c r="V4746" s="251"/>
      <c r="W4746" s="35"/>
      <c r="X4746" s="35"/>
      <c r="Y4746" s="35"/>
      <c r="Z4746" s="35"/>
      <c r="AA4746" s="35"/>
      <c r="AB4746" s="35"/>
      <c r="AC4746" s="35"/>
      <c r="AD4746" s="35"/>
      <c r="AE4746" s="35"/>
      <c r="AF4746" s="35"/>
      <c r="AG4746" s="35"/>
      <c r="AH4746" s="35"/>
      <c r="AI4746" s="35"/>
    </row>
    <row r="4747">
      <c r="A4747" s="251"/>
      <c r="B4747" s="252"/>
      <c r="C4747" s="253"/>
      <c r="D4747" s="253"/>
      <c r="E4747" s="252"/>
      <c r="F4747" s="253"/>
      <c r="G4747" s="251"/>
      <c r="H4747" s="433"/>
      <c r="I4747" s="278"/>
      <c r="J4747" s="257"/>
      <c r="K4747" s="253"/>
      <c r="L4747" s="253"/>
      <c r="M4747" s="252"/>
      <c r="N4747" s="258"/>
      <c r="O4747" s="259"/>
      <c r="P4747" s="259"/>
      <c r="Q4747" s="257"/>
      <c r="R4747" s="260"/>
      <c r="S4747" s="260"/>
      <c r="T4747" s="260"/>
      <c r="U4747" s="261"/>
      <c r="V4747" s="251"/>
      <c r="W4747" s="35"/>
      <c r="X4747" s="35"/>
      <c r="Y4747" s="35"/>
      <c r="Z4747" s="35"/>
      <c r="AA4747" s="35"/>
      <c r="AB4747" s="35"/>
      <c r="AC4747" s="35"/>
      <c r="AD4747" s="35"/>
      <c r="AE4747" s="35"/>
      <c r="AF4747" s="35"/>
      <c r="AG4747" s="35"/>
      <c r="AH4747" s="35"/>
      <c r="AI4747" s="35"/>
    </row>
    <row r="4748">
      <c r="A4748" s="251"/>
      <c r="B4748" s="252"/>
      <c r="C4748" s="253"/>
      <c r="D4748" s="253"/>
      <c r="E4748" s="252"/>
      <c r="F4748" s="253"/>
      <c r="G4748" s="251"/>
      <c r="H4748" s="433"/>
      <c r="I4748" s="278"/>
      <c r="J4748" s="257"/>
      <c r="K4748" s="253"/>
      <c r="L4748" s="253"/>
      <c r="M4748" s="252"/>
      <c r="N4748" s="258"/>
      <c r="O4748" s="259"/>
      <c r="P4748" s="259"/>
      <c r="Q4748" s="257"/>
      <c r="R4748" s="260"/>
      <c r="S4748" s="260"/>
      <c r="T4748" s="260"/>
      <c r="U4748" s="261"/>
      <c r="V4748" s="251"/>
      <c r="W4748" s="35"/>
      <c r="X4748" s="35"/>
      <c r="Y4748" s="35"/>
      <c r="Z4748" s="35"/>
      <c r="AA4748" s="35"/>
      <c r="AB4748" s="35"/>
      <c r="AC4748" s="35"/>
      <c r="AD4748" s="35"/>
      <c r="AE4748" s="35"/>
      <c r="AF4748" s="35"/>
      <c r="AG4748" s="35"/>
      <c r="AH4748" s="35"/>
      <c r="AI4748" s="35"/>
    </row>
    <row r="4749">
      <c r="A4749" s="251"/>
      <c r="B4749" s="252"/>
      <c r="C4749" s="253"/>
      <c r="D4749" s="253"/>
      <c r="E4749" s="252"/>
      <c r="F4749" s="253"/>
      <c r="G4749" s="251"/>
      <c r="H4749" s="433"/>
      <c r="I4749" s="278"/>
      <c r="J4749" s="257"/>
      <c r="K4749" s="253"/>
      <c r="L4749" s="253"/>
      <c r="M4749" s="252"/>
      <c r="N4749" s="258"/>
      <c r="O4749" s="259"/>
      <c r="P4749" s="259"/>
      <c r="Q4749" s="262"/>
      <c r="R4749" s="260"/>
      <c r="S4749" s="260"/>
      <c r="T4749" s="260"/>
      <c r="U4749" s="261"/>
      <c r="V4749" s="251"/>
      <c r="W4749" s="35"/>
      <c r="X4749" s="35"/>
      <c r="Y4749" s="35"/>
      <c r="Z4749" s="35"/>
      <c r="AA4749" s="35"/>
      <c r="AB4749" s="35"/>
      <c r="AC4749" s="35"/>
      <c r="AD4749" s="35"/>
      <c r="AE4749" s="35"/>
      <c r="AF4749" s="35"/>
      <c r="AG4749" s="35"/>
      <c r="AH4749" s="35"/>
      <c r="AI4749" s="35"/>
    </row>
    <row r="4750">
      <c r="A4750" s="251"/>
      <c r="B4750" s="252"/>
      <c r="C4750" s="253"/>
      <c r="D4750" s="253"/>
      <c r="E4750" s="252"/>
      <c r="F4750" s="253"/>
      <c r="G4750" s="251"/>
      <c r="H4750" s="433"/>
      <c r="I4750" s="278"/>
      <c r="J4750" s="257"/>
      <c r="K4750" s="253"/>
      <c r="L4750" s="253"/>
      <c r="M4750" s="252"/>
      <c r="N4750" s="258"/>
      <c r="O4750" s="259"/>
      <c r="P4750" s="259"/>
      <c r="Q4750" s="262"/>
      <c r="R4750" s="260"/>
      <c r="S4750" s="260"/>
      <c r="T4750" s="260"/>
      <c r="U4750" s="261"/>
      <c r="V4750" s="251"/>
      <c r="W4750" s="35"/>
      <c r="X4750" s="35"/>
      <c r="Y4750" s="35"/>
      <c r="Z4750" s="35"/>
      <c r="AA4750" s="35"/>
      <c r="AB4750" s="35"/>
      <c r="AC4750" s="35"/>
      <c r="AD4750" s="35"/>
      <c r="AE4750" s="35"/>
      <c r="AF4750" s="35"/>
      <c r="AG4750" s="35"/>
      <c r="AH4750" s="35"/>
      <c r="AI4750" s="35"/>
    </row>
    <row r="4751">
      <c r="A4751" s="251"/>
      <c r="B4751" s="252"/>
      <c r="C4751" s="253"/>
      <c r="D4751" s="253"/>
      <c r="E4751" s="252"/>
      <c r="F4751" s="253"/>
      <c r="G4751" s="251"/>
      <c r="H4751" s="433"/>
      <c r="I4751" s="278"/>
      <c r="J4751" s="257"/>
      <c r="K4751" s="253"/>
      <c r="L4751" s="253"/>
      <c r="M4751" s="252"/>
      <c r="N4751" s="258"/>
      <c r="O4751" s="259"/>
      <c r="P4751" s="259"/>
      <c r="Q4751" s="262"/>
      <c r="R4751" s="260"/>
      <c r="S4751" s="260"/>
      <c r="T4751" s="260"/>
      <c r="U4751" s="261"/>
      <c r="V4751" s="251"/>
      <c r="W4751" s="35"/>
      <c r="X4751" s="35"/>
      <c r="Y4751" s="35"/>
      <c r="Z4751" s="35"/>
      <c r="AA4751" s="35"/>
      <c r="AB4751" s="35"/>
      <c r="AC4751" s="35"/>
      <c r="AD4751" s="35"/>
      <c r="AE4751" s="35"/>
      <c r="AF4751" s="35"/>
      <c r="AG4751" s="35"/>
      <c r="AH4751" s="35"/>
      <c r="AI4751" s="35"/>
    </row>
    <row r="4752">
      <c r="A4752" s="251"/>
      <c r="B4752" s="252"/>
      <c r="C4752" s="253"/>
      <c r="D4752" s="253"/>
      <c r="E4752" s="252"/>
      <c r="F4752" s="253"/>
      <c r="G4752" s="251"/>
      <c r="H4752" s="433"/>
      <c r="I4752" s="278"/>
      <c r="J4752" s="257"/>
      <c r="K4752" s="253"/>
      <c r="L4752" s="253"/>
      <c r="M4752" s="252"/>
      <c r="N4752" s="258"/>
      <c r="O4752" s="259"/>
      <c r="P4752" s="259"/>
      <c r="Q4752" s="257"/>
      <c r="R4752" s="260"/>
      <c r="S4752" s="260"/>
      <c r="T4752" s="260"/>
      <c r="U4752" s="261"/>
      <c r="V4752" s="251"/>
      <c r="W4752" s="35"/>
      <c r="X4752" s="35"/>
      <c r="Y4752" s="35"/>
      <c r="Z4752" s="35"/>
      <c r="AA4752" s="35"/>
      <c r="AB4752" s="35"/>
      <c r="AC4752" s="35"/>
      <c r="AD4752" s="35"/>
      <c r="AE4752" s="35"/>
      <c r="AF4752" s="35"/>
      <c r="AG4752" s="35"/>
      <c r="AH4752" s="35"/>
      <c r="AI4752" s="35"/>
    </row>
    <row r="4753">
      <c r="A4753" s="251"/>
      <c r="B4753" s="252"/>
      <c r="C4753" s="253"/>
      <c r="D4753" s="253"/>
      <c r="E4753" s="252"/>
      <c r="F4753" s="253"/>
      <c r="G4753" s="251"/>
      <c r="H4753" s="433"/>
      <c r="I4753" s="278"/>
      <c r="J4753" s="257"/>
      <c r="K4753" s="253"/>
      <c r="L4753" s="253"/>
      <c r="M4753" s="252"/>
      <c r="N4753" s="258"/>
      <c r="O4753" s="259"/>
      <c r="P4753" s="259"/>
      <c r="Q4753" s="262"/>
      <c r="R4753" s="260"/>
      <c r="S4753" s="260"/>
      <c r="T4753" s="260"/>
      <c r="U4753" s="261"/>
      <c r="V4753" s="251"/>
      <c r="W4753" s="35"/>
      <c r="X4753" s="35"/>
      <c r="Y4753" s="35"/>
      <c r="Z4753" s="35"/>
      <c r="AA4753" s="35"/>
      <c r="AB4753" s="35"/>
      <c r="AC4753" s="35"/>
      <c r="AD4753" s="35"/>
      <c r="AE4753" s="35"/>
      <c r="AF4753" s="35"/>
      <c r="AG4753" s="35"/>
      <c r="AH4753" s="35"/>
      <c r="AI4753" s="35"/>
    </row>
    <row r="4754">
      <c r="A4754" s="251"/>
      <c r="B4754" s="252"/>
      <c r="C4754" s="253"/>
      <c r="D4754" s="253"/>
      <c r="E4754" s="252"/>
      <c r="F4754" s="253"/>
      <c r="G4754" s="251"/>
      <c r="H4754" s="433"/>
      <c r="I4754" s="278"/>
      <c r="J4754" s="257"/>
      <c r="K4754" s="253"/>
      <c r="L4754" s="253"/>
      <c r="M4754" s="252"/>
      <c r="N4754" s="258"/>
      <c r="O4754" s="259"/>
      <c r="P4754" s="259"/>
      <c r="Q4754" s="257"/>
      <c r="R4754" s="260"/>
      <c r="S4754" s="260"/>
      <c r="T4754" s="260"/>
      <c r="U4754" s="261"/>
      <c r="V4754" s="251"/>
      <c r="W4754" s="35"/>
      <c r="X4754" s="35"/>
      <c r="Y4754" s="35"/>
      <c r="Z4754" s="35"/>
      <c r="AA4754" s="35"/>
      <c r="AB4754" s="35"/>
      <c r="AC4754" s="35"/>
      <c r="AD4754" s="35"/>
      <c r="AE4754" s="35"/>
      <c r="AF4754" s="35"/>
      <c r="AG4754" s="35"/>
      <c r="AH4754" s="35"/>
      <c r="AI4754" s="35"/>
    </row>
    <row r="4755">
      <c r="A4755" s="251"/>
      <c r="B4755" s="252"/>
      <c r="C4755" s="253"/>
      <c r="D4755" s="253"/>
      <c r="E4755" s="252"/>
      <c r="F4755" s="253"/>
      <c r="G4755" s="251"/>
      <c r="H4755" s="433"/>
      <c r="I4755" s="278"/>
      <c r="J4755" s="257"/>
      <c r="K4755" s="253"/>
      <c r="L4755" s="253"/>
      <c r="M4755" s="252"/>
      <c r="N4755" s="258"/>
      <c r="O4755" s="259"/>
      <c r="P4755" s="259"/>
      <c r="Q4755" s="262"/>
      <c r="R4755" s="260"/>
      <c r="S4755" s="260"/>
      <c r="T4755" s="260"/>
      <c r="U4755" s="261"/>
      <c r="V4755" s="251"/>
      <c r="W4755" s="35"/>
      <c r="X4755" s="35"/>
      <c r="Y4755" s="35"/>
      <c r="Z4755" s="35"/>
      <c r="AA4755" s="35"/>
      <c r="AB4755" s="35"/>
      <c r="AC4755" s="35"/>
      <c r="AD4755" s="35"/>
      <c r="AE4755" s="35"/>
      <c r="AF4755" s="35"/>
      <c r="AG4755" s="35"/>
      <c r="AH4755" s="35"/>
      <c r="AI4755" s="35"/>
    </row>
    <row r="4756">
      <c r="A4756" s="251"/>
      <c r="B4756" s="252"/>
      <c r="C4756" s="253"/>
      <c r="D4756" s="253"/>
      <c r="E4756" s="252"/>
      <c r="F4756" s="253"/>
      <c r="G4756" s="251"/>
      <c r="H4756" s="433"/>
      <c r="I4756" s="278"/>
      <c r="J4756" s="257"/>
      <c r="K4756" s="253"/>
      <c r="L4756" s="253"/>
      <c r="M4756" s="252"/>
      <c r="N4756" s="258"/>
      <c r="O4756" s="259"/>
      <c r="P4756" s="259"/>
      <c r="Q4756" s="257"/>
      <c r="R4756" s="260"/>
      <c r="S4756" s="260"/>
      <c r="T4756" s="260"/>
      <c r="U4756" s="261"/>
      <c r="V4756" s="251"/>
      <c r="W4756" s="35"/>
      <c r="X4756" s="35"/>
      <c r="Y4756" s="35"/>
      <c r="Z4756" s="35"/>
      <c r="AA4756" s="35"/>
      <c r="AB4756" s="35"/>
      <c r="AC4756" s="35"/>
      <c r="AD4756" s="35"/>
      <c r="AE4756" s="35"/>
      <c r="AF4756" s="35"/>
      <c r="AG4756" s="35"/>
      <c r="AH4756" s="35"/>
      <c r="AI4756" s="35"/>
    </row>
    <row r="4757">
      <c r="A4757" s="251"/>
      <c r="B4757" s="252"/>
      <c r="C4757" s="253"/>
      <c r="D4757" s="253"/>
      <c r="E4757" s="252"/>
      <c r="F4757" s="253"/>
      <c r="G4757" s="251"/>
      <c r="H4757" s="433"/>
      <c r="I4757" s="278"/>
      <c r="J4757" s="257"/>
      <c r="K4757" s="253"/>
      <c r="L4757" s="253"/>
      <c r="M4757" s="252"/>
      <c r="N4757" s="258"/>
      <c r="O4757" s="259"/>
      <c r="P4757" s="259"/>
      <c r="Q4757" s="257"/>
      <c r="R4757" s="260"/>
      <c r="S4757" s="260"/>
      <c r="T4757" s="260"/>
      <c r="U4757" s="261"/>
      <c r="V4757" s="251"/>
      <c r="W4757" s="35"/>
      <c r="X4757" s="35"/>
      <c r="Y4757" s="35"/>
      <c r="Z4757" s="35"/>
      <c r="AA4757" s="35"/>
      <c r="AB4757" s="35"/>
      <c r="AC4757" s="35"/>
      <c r="AD4757" s="35"/>
      <c r="AE4757" s="35"/>
      <c r="AF4757" s="35"/>
      <c r="AG4757" s="35"/>
      <c r="AH4757" s="35"/>
      <c r="AI4757" s="35"/>
    </row>
    <row r="4758">
      <c r="A4758" s="251"/>
      <c r="B4758" s="252"/>
      <c r="C4758" s="253"/>
      <c r="D4758" s="253"/>
      <c r="E4758" s="252"/>
      <c r="F4758" s="253"/>
      <c r="G4758" s="251"/>
      <c r="H4758" s="433"/>
      <c r="I4758" s="278"/>
      <c r="J4758" s="257"/>
      <c r="K4758" s="253"/>
      <c r="L4758" s="253"/>
      <c r="M4758" s="252"/>
      <c r="N4758" s="258"/>
      <c r="O4758" s="259"/>
      <c r="P4758" s="259"/>
      <c r="Q4758" s="262"/>
      <c r="R4758" s="260"/>
      <c r="S4758" s="260"/>
      <c r="T4758" s="260"/>
      <c r="U4758" s="261"/>
      <c r="V4758" s="251"/>
      <c r="W4758" s="35"/>
      <c r="X4758" s="35"/>
      <c r="Y4758" s="35"/>
      <c r="Z4758" s="35"/>
      <c r="AA4758" s="35"/>
      <c r="AB4758" s="35"/>
      <c r="AC4758" s="35"/>
      <c r="AD4758" s="35"/>
      <c r="AE4758" s="35"/>
      <c r="AF4758" s="35"/>
      <c r="AG4758" s="35"/>
      <c r="AH4758" s="35"/>
      <c r="AI4758" s="35"/>
    </row>
    <row r="4759">
      <c r="A4759" s="251"/>
      <c r="B4759" s="252"/>
      <c r="C4759" s="253"/>
      <c r="D4759" s="253"/>
      <c r="E4759" s="252"/>
      <c r="F4759" s="253"/>
      <c r="G4759" s="251"/>
      <c r="H4759" s="433"/>
      <c r="I4759" s="278"/>
      <c r="J4759" s="257"/>
      <c r="K4759" s="253"/>
      <c r="L4759" s="253"/>
      <c r="M4759" s="275"/>
      <c r="N4759" s="258"/>
      <c r="O4759" s="259"/>
      <c r="P4759" s="259"/>
      <c r="Q4759" s="262"/>
      <c r="R4759" s="260"/>
      <c r="S4759" s="260"/>
      <c r="T4759" s="260"/>
      <c r="U4759" s="261"/>
      <c r="V4759" s="251"/>
      <c r="W4759" s="35"/>
      <c r="X4759" s="35"/>
      <c r="Y4759" s="35"/>
      <c r="Z4759" s="35"/>
      <c r="AA4759" s="35"/>
      <c r="AB4759" s="35"/>
      <c r="AC4759" s="35"/>
      <c r="AD4759" s="35"/>
      <c r="AE4759" s="35"/>
      <c r="AF4759" s="35"/>
      <c r="AG4759" s="35"/>
      <c r="AH4759" s="35"/>
      <c r="AI4759" s="35"/>
    </row>
    <row r="4760">
      <c r="A4760" s="251"/>
      <c r="B4760" s="252"/>
      <c r="C4760" s="253"/>
      <c r="D4760" s="253"/>
      <c r="E4760" s="252"/>
      <c r="F4760" s="253"/>
      <c r="G4760" s="251"/>
      <c r="H4760" s="433"/>
      <c r="I4760" s="278"/>
      <c r="J4760" s="257"/>
      <c r="K4760" s="253"/>
      <c r="L4760" s="253"/>
      <c r="M4760" s="275"/>
      <c r="N4760" s="258"/>
      <c r="O4760" s="259"/>
      <c r="P4760" s="259"/>
      <c r="Q4760" s="262"/>
      <c r="R4760" s="260"/>
      <c r="S4760" s="260"/>
      <c r="T4760" s="260"/>
      <c r="U4760" s="261"/>
      <c r="V4760" s="251"/>
      <c r="W4760" s="35"/>
      <c r="X4760" s="35"/>
      <c r="Y4760" s="35"/>
      <c r="Z4760" s="35"/>
      <c r="AA4760" s="35"/>
      <c r="AB4760" s="35"/>
      <c r="AC4760" s="35"/>
      <c r="AD4760" s="35"/>
      <c r="AE4760" s="35"/>
      <c r="AF4760" s="35"/>
      <c r="AG4760" s="35"/>
      <c r="AH4760" s="35"/>
      <c r="AI4760" s="35"/>
    </row>
    <row r="4761">
      <c r="A4761" s="251"/>
      <c r="B4761" s="252"/>
      <c r="C4761" s="253"/>
      <c r="D4761" s="253"/>
      <c r="E4761" s="252"/>
      <c r="F4761" s="253"/>
      <c r="G4761" s="251"/>
      <c r="H4761" s="433"/>
      <c r="I4761" s="278"/>
      <c r="J4761" s="257"/>
      <c r="K4761" s="253"/>
      <c r="L4761" s="253"/>
      <c r="M4761" s="275"/>
      <c r="N4761" s="258"/>
      <c r="O4761" s="259"/>
      <c r="P4761" s="259"/>
      <c r="Q4761" s="262"/>
      <c r="R4761" s="260"/>
      <c r="S4761" s="260"/>
      <c r="T4761" s="260"/>
      <c r="U4761" s="261"/>
      <c r="V4761" s="251"/>
      <c r="W4761" s="35"/>
      <c r="X4761" s="35"/>
      <c r="Y4761" s="35"/>
      <c r="Z4761" s="35"/>
      <c r="AA4761" s="35"/>
      <c r="AB4761" s="35"/>
      <c r="AC4761" s="35"/>
      <c r="AD4761" s="35"/>
      <c r="AE4761" s="35"/>
      <c r="AF4761" s="35"/>
      <c r="AG4761" s="35"/>
      <c r="AH4761" s="35"/>
      <c r="AI4761" s="35"/>
    </row>
    <row r="4762">
      <c r="A4762" s="251"/>
      <c r="B4762" s="252"/>
      <c r="C4762" s="253"/>
      <c r="D4762" s="253"/>
      <c r="E4762" s="252"/>
      <c r="F4762" s="253"/>
      <c r="G4762" s="251"/>
      <c r="H4762" s="433"/>
      <c r="I4762" s="278"/>
      <c r="J4762" s="257"/>
      <c r="K4762" s="253"/>
      <c r="L4762" s="253"/>
      <c r="M4762" s="275"/>
      <c r="N4762" s="258"/>
      <c r="O4762" s="259"/>
      <c r="P4762" s="259"/>
      <c r="Q4762" s="262"/>
      <c r="R4762" s="260"/>
      <c r="S4762" s="260"/>
      <c r="T4762" s="260"/>
      <c r="U4762" s="261"/>
      <c r="V4762" s="251"/>
      <c r="W4762" s="35"/>
      <c r="X4762" s="35"/>
      <c r="Y4762" s="35"/>
      <c r="Z4762" s="35"/>
      <c r="AA4762" s="35"/>
      <c r="AB4762" s="35"/>
      <c r="AC4762" s="35"/>
      <c r="AD4762" s="35"/>
      <c r="AE4762" s="35"/>
      <c r="AF4762" s="35"/>
      <c r="AG4762" s="35"/>
      <c r="AH4762" s="35"/>
      <c r="AI4762" s="35"/>
    </row>
    <row r="4763">
      <c r="A4763" s="251"/>
      <c r="B4763" s="252"/>
      <c r="C4763" s="253"/>
      <c r="D4763" s="253"/>
      <c r="E4763" s="252"/>
      <c r="F4763" s="253"/>
      <c r="G4763" s="251"/>
      <c r="H4763" s="433"/>
      <c r="I4763" s="278"/>
      <c r="J4763" s="257"/>
      <c r="K4763" s="253"/>
      <c r="L4763" s="253"/>
      <c r="M4763" s="275"/>
      <c r="N4763" s="258"/>
      <c r="O4763" s="259"/>
      <c r="P4763" s="259"/>
      <c r="Q4763" s="262"/>
      <c r="R4763" s="260"/>
      <c r="S4763" s="260"/>
      <c r="T4763" s="260"/>
      <c r="U4763" s="261"/>
      <c r="V4763" s="251"/>
      <c r="W4763" s="35"/>
      <c r="X4763" s="35"/>
      <c r="Y4763" s="35"/>
      <c r="Z4763" s="35"/>
      <c r="AA4763" s="35"/>
      <c r="AB4763" s="35"/>
      <c r="AC4763" s="35"/>
      <c r="AD4763" s="35"/>
      <c r="AE4763" s="35"/>
      <c r="AF4763" s="35"/>
      <c r="AG4763" s="35"/>
      <c r="AH4763" s="35"/>
      <c r="AI4763" s="35"/>
    </row>
    <row r="4764">
      <c r="A4764" s="251"/>
      <c r="B4764" s="252"/>
      <c r="C4764" s="253"/>
      <c r="D4764" s="253"/>
      <c r="E4764" s="252"/>
      <c r="F4764" s="253"/>
      <c r="G4764" s="251"/>
      <c r="H4764" s="433"/>
      <c r="I4764" s="278"/>
      <c r="J4764" s="257"/>
      <c r="K4764" s="253"/>
      <c r="L4764" s="253"/>
      <c r="M4764" s="252"/>
      <c r="N4764" s="258"/>
      <c r="O4764" s="259"/>
      <c r="P4764" s="259"/>
      <c r="Q4764" s="262"/>
      <c r="R4764" s="260"/>
      <c r="S4764" s="260"/>
      <c r="T4764" s="260"/>
      <c r="U4764" s="261"/>
      <c r="V4764" s="251"/>
      <c r="W4764" s="35"/>
      <c r="X4764" s="35"/>
      <c r="Y4764" s="35"/>
      <c r="Z4764" s="35"/>
      <c r="AA4764" s="35"/>
      <c r="AB4764" s="35"/>
      <c r="AC4764" s="35"/>
      <c r="AD4764" s="35"/>
      <c r="AE4764" s="35"/>
      <c r="AF4764" s="35"/>
      <c r="AG4764" s="35"/>
      <c r="AH4764" s="35"/>
      <c r="AI4764" s="35"/>
    </row>
    <row r="4765">
      <c r="A4765" s="251"/>
      <c r="B4765" s="252"/>
      <c r="C4765" s="253"/>
      <c r="D4765" s="253"/>
      <c r="E4765" s="252"/>
      <c r="F4765" s="253"/>
      <c r="G4765" s="251"/>
      <c r="H4765" s="433"/>
      <c r="I4765" s="278"/>
      <c r="J4765" s="257"/>
      <c r="K4765" s="253"/>
      <c r="L4765" s="253"/>
      <c r="M4765" s="252"/>
      <c r="N4765" s="258"/>
      <c r="O4765" s="259"/>
      <c r="P4765" s="259"/>
      <c r="Q4765" s="257"/>
      <c r="R4765" s="260"/>
      <c r="S4765" s="260"/>
      <c r="T4765" s="260"/>
      <c r="U4765" s="261"/>
      <c r="V4765" s="251"/>
      <c r="W4765" s="35"/>
      <c r="X4765" s="35"/>
      <c r="Y4765" s="35"/>
      <c r="Z4765" s="35"/>
      <c r="AA4765" s="35"/>
      <c r="AB4765" s="35"/>
      <c r="AC4765" s="35"/>
      <c r="AD4765" s="35"/>
      <c r="AE4765" s="35"/>
      <c r="AF4765" s="35"/>
      <c r="AG4765" s="35"/>
      <c r="AH4765" s="35"/>
      <c r="AI4765" s="35"/>
    </row>
    <row r="4766">
      <c r="A4766" s="251"/>
      <c r="B4766" s="252"/>
      <c r="C4766" s="253"/>
      <c r="D4766" s="253"/>
      <c r="E4766" s="252"/>
      <c r="F4766" s="253"/>
      <c r="G4766" s="251"/>
      <c r="H4766" s="433"/>
      <c r="I4766" s="278"/>
      <c r="J4766" s="257"/>
      <c r="K4766" s="253"/>
      <c r="L4766" s="253"/>
      <c r="M4766" s="252"/>
      <c r="N4766" s="258"/>
      <c r="O4766" s="259"/>
      <c r="P4766" s="259"/>
      <c r="Q4766" s="262"/>
      <c r="R4766" s="260"/>
      <c r="S4766" s="260"/>
      <c r="T4766" s="260"/>
      <c r="U4766" s="261"/>
      <c r="V4766" s="251"/>
      <c r="W4766" s="35"/>
      <c r="X4766" s="35"/>
      <c r="Y4766" s="35"/>
      <c r="Z4766" s="35"/>
      <c r="AA4766" s="35"/>
      <c r="AB4766" s="35"/>
      <c r="AC4766" s="35"/>
      <c r="AD4766" s="35"/>
      <c r="AE4766" s="35"/>
      <c r="AF4766" s="35"/>
      <c r="AG4766" s="35"/>
      <c r="AH4766" s="35"/>
      <c r="AI4766" s="35"/>
    </row>
    <row r="4767">
      <c r="A4767" s="251"/>
      <c r="B4767" s="252"/>
      <c r="C4767" s="253"/>
      <c r="D4767" s="253"/>
      <c r="E4767" s="252"/>
      <c r="F4767" s="253"/>
      <c r="G4767" s="251"/>
      <c r="H4767" s="433"/>
      <c r="I4767" s="278"/>
      <c r="J4767" s="257"/>
      <c r="K4767" s="253"/>
      <c r="L4767" s="253"/>
      <c r="M4767" s="252"/>
      <c r="N4767" s="258"/>
      <c r="O4767" s="259"/>
      <c r="P4767" s="259"/>
      <c r="Q4767" s="257"/>
      <c r="R4767" s="260"/>
      <c r="S4767" s="260"/>
      <c r="T4767" s="260"/>
      <c r="U4767" s="261"/>
      <c r="V4767" s="251"/>
      <c r="W4767" s="35"/>
      <c r="X4767" s="35"/>
      <c r="Y4767" s="35"/>
      <c r="Z4767" s="35"/>
      <c r="AA4767" s="35"/>
      <c r="AB4767" s="35"/>
      <c r="AC4767" s="35"/>
      <c r="AD4767" s="35"/>
      <c r="AE4767" s="35"/>
      <c r="AF4767" s="35"/>
      <c r="AG4767" s="35"/>
      <c r="AH4767" s="35"/>
      <c r="AI4767" s="35"/>
    </row>
    <row r="4768">
      <c r="A4768" s="251"/>
      <c r="B4768" s="252"/>
      <c r="C4768" s="253"/>
      <c r="D4768" s="253"/>
      <c r="E4768" s="252"/>
      <c r="F4768" s="253"/>
      <c r="G4768" s="251"/>
      <c r="H4768" s="433"/>
      <c r="I4768" s="278"/>
      <c r="J4768" s="257"/>
      <c r="K4768" s="253"/>
      <c r="L4768" s="253"/>
      <c r="M4768" s="275"/>
      <c r="N4768" s="258"/>
      <c r="O4768" s="259"/>
      <c r="P4768" s="259"/>
      <c r="Q4768" s="262"/>
      <c r="R4768" s="260"/>
      <c r="S4768" s="260"/>
      <c r="T4768" s="260"/>
      <c r="U4768" s="261"/>
      <c r="V4768" s="251"/>
      <c r="W4768" s="35"/>
      <c r="X4768" s="35"/>
      <c r="Y4768" s="35"/>
      <c r="Z4768" s="35"/>
      <c r="AA4768" s="35"/>
      <c r="AB4768" s="35"/>
      <c r="AC4768" s="35"/>
      <c r="AD4768" s="35"/>
      <c r="AE4768" s="35"/>
      <c r="AF4768" s="35"/>
      <c r="AG4768" s="35"/>
      <c r="AH4768" s="35"/>
      <c r="AI4768" s="35"/>
    </row>
    <row r="4769">
      <c r="A4769" s="251"/>
      <c r="B4769" s="252"/>
      <c r="C4769" s="253"/>
      <c r="D4769" s="253"/>
      <c r="E4769" s="252"/>
      <c r="F4769" s="253"/>
      <c r="G4769" s="251"/>
      <c r="H4769" s="433"/>
      <c r="I4769" s="278"/>
      <c r="J4769" s="257"/>
      <c r="K4769" s="253"/>
      <c r="L4769" s="253"/>
      <c r="M4769" s="252"/>
      <c r="N4769" s="258"/>
      <c r="O4769" s="259"/>
      <c r="P4769" s="259"/>
      <c r="Q4769" s="262"/>
      <c r="R4769" s="260"/>
      <c r="S4769" s="260"/>
      <c r="T4769" s="260"/>
      <c r="U4769" s="261"/>
      <c r="V4769" s="251"/>
      <c r="W4769" s="35"/>
      <c r="X4769" s="35"/>
      <c r="Y4769" s="35"/>
      <c r="Z4769" s="35"/>
      <c r="AA4769" s="35"/>
      <c r="AB4769" s="35"/>
      <c r="AC4769" s="35"/>
      <c r="AD4769" s="35"/>
      <c r="AE4769" s="35"/>
      <c r="AF4769" s="35"/>
      <c r="AG4769" s="35"/>
      <c r="AH4769" s="35"/>
      <c r="AI4769" s="35"/>
    </row>
    <row r="4770">
      <c r="A4770" s="251"/>
      <c r="B4770" s="252"/>
      <c r="C4770" s="253"/>
      <c r="D4770" s="253"/>
      <c r="E4770" s="252"/>
      <c r="F4770" s="253"/>
      <c r="G4770" s="251"/>
      <c r="H4770" s="433"/>
      <c r="I4770" s="278"/>
      <c r="J4770" s="257"/>
      <c r="K4770" s="253"/>
      <c r="L4770" s="253"/>
      <c r="M4770" s="252"/>
      <c r="N4770" s="258"/>
      <c r="O4770" s="259"/>
      <c r="P4770" s="259"/>
      <c r="Q4770" s="262"/>
      <c r="R4770" s="260"/>
      <c r="S4770" s="260"/>
      <c r="T4770" s="260"/>
      <c r="U4770" s="261"/>
      <c r="V4770" s="251"/>
      <c r="W4770" s="35"/>
      <c r="X4770" s="35"/>
      <c r="Y4770" s="35"/>
      <c r="Z4770" s="35"/>
      <c r="AA4770" s="35"/>
      <c r="AB4770" s="35"/>
      <c r="AC4770" s="35"/>
      <c r="AD4770" s="35"/>
      <c r="AE4770" s="35"/>
      <c r="AF4770" s="35"/>
      <c r="AG4770" s="35"/>
      <c r="AH4770" s="35"/>
      <c r="AI4770" s="35"/>
    </row>
    <row r="4771">
      <c r="A4771" s="251"/>
      <c r="B4771" s="252"/>
      <c r="C4771" s="253"/>
      <c r="D4771" s="253"/>
      <c r="E4771" s="252"/>
      <c r="F4771" s="253"/>
      <c r="G4771" s="251"/>
      <c r="H4771" s="433"/>
      <c r="I4771" s="278"/>
      <c r="J4771" s="257"/>
      <c r="K4771" s="253"/>
      <c r="L4771" s="253"/>
      <c r="M4771" s="252"/>
      <c r="N4771" s="258"/>
      <c r="O4771" s="259"/>
      <c r="P4771" s="259"/>
      <c r="Q4771" s="257"/>
      <c r="R4771" s="260"/>
      <c r="S4771" s="260"/>
      <c r="T4771" s="260"/>
      <c r="U4771" s="261"/>
      <c r="V4771" s="251"/>
      <c r="W4771" s="35"/>
      <c r="X4771" s="35"/>
      <c r="Y4771" s="35"/>
      <c r="Z4771" s="35"/>
      <c r="AA4771" s="35"/>
      <c r="AB4771" s="35"/>
      <c r="AC4771" s="35"/>
      <c r="AD4771" s="35"/>
      <c r="AE4771" s="35"/>
      <c r="AF4771" s="35"/>
      <c r="AG4771" s="35"/>
      <c r="AH4771" s="35"/>
      <c r="AI4771" s="35"/>
    </row>
    <row r="4772">
      <c r="A4772" s="251"/>
      <c r="B4772" s="252"/>
      <c r="C4772" s="253"/>
      <c r="D4772" s="253"/>
      <c r="E4772" s="252"/>
      <c r="F4772" s="253"/>
      <c r="G4772" s="251"/>
      <c r="H4772" s="433"/>
      <c r="I4772" s="278"/>
      <c r="J4772" s="257"/>
      <c r="K4772" s="253"/>
      <c r="L4772" s="253"/>
      <c r="M4772" s="252"/>
      <c r="N4772" s="258"/>
      <c r="O4772" s="259"/>
      <c r="P4772" s="259"/>
      <c r="Q4772" s="262"/>
      <c r="R4772" s="260"/>
      <c r="S4772" s="260"/>
      <c r="T4772" s="260"/>
      <c r="U4772" s="261"/>
      <c r="V4772" s="251"/>
      <c r="W4772" s="35"/>
      <c r="X4772" s="35"/>
      <c r="Y4772" s="35"/>
      <c r="Z4772" s="35"/>
      <c r="AA4772" s="35"/>
      <c r="AB4772" s="35"/>
      <c r="AC4772" s="35"/>
      <c r="AD4772" s="35"/>
      <c r="AE4772" s="35"/>
      <c r="AF4772" s="35"/>
      <c r="AG4772" s="35"/>
      <c r="AH4772" s="35"/>
      <c r="AI4772" s="35"/>
    </row>
    <row r="4773">
      <c r="A4773" s="251"/>
      <c r="B4773" s="252"/>
      <c r="C4773" s="253"/>
      <c r="D4773" s="253"/>
      <c r="E4773" s="252"/>
      <c r="F4773" s="253"/>
      <c r="G4773" s="251"/>
      <c r="H4773" s="433"/>
      <c r="I4773" s="278"/>
      <c r="J4773" s="257"/>
      <c r="K4773" s="253"/>
      <c r="L4773" s="253"/>
      <c r="M4773" s="252"/>
      <c r="N4773" s="258"/>
      <c r="O4773" s="259"/>
      <c r="P4773" s="259"/>
      <c r="Q4773" s="262"/>
      <c r="R4773" s="260"/>
      <c r="S4773" s="260"/>
      <c r="T4773" s="260"/>
      <c r="U4773" s="261"/>
      <c r="V4773" s="251"/>
      <c r="W4773" s="35"/>
      <c r="X4773" s="35"/>
      <c r="Y4773" s="35"/>
      <c r="Z4773" s="35"/>
      <c r="AA4773" s="35"/>
      <c r="AB4773" s="35"/>
      <c r="AC4773" s="35"/>
      <c r="AD4773" s="35"/>
      <c r="AE4773" s="35"/>
      <c r="AF4773" s="35"/>
      <c r="AG4773" s="35"/>
      <c r="AH4773" s="35"/>
      <c r="AI4773" s="35"/>
    </row>
    <row r="4774">
      <c r="A4774" s="251"/>
      <c r="B4774" s="252"/>
      <c r="C4774" s="253"/>
      <c r="D4774" s="253"/>
      <c r="E4774" s="252"/>
      <c r="F4774" s="253"/>
      <c r="G4774" s="251"/>
      <c r="H4774" s="433"/>
      <c r="I4774" s="278"/>
      <c r="J4774" s="257"/>
      <c r="K4774" s="253"/>
      <c r="L4774" s="253"/>
      <c r="M4774" s="252"/>
      <c r="N4774" s="258"/>
      <c r="O4774" s="259"/>
      <c r="P4774" s="259"/>
      <c r="Q4774" s="262"/>
      <c r="R4774" s="260"/>
      <c r="S4774" s="260"/>
      <c r="T4774" s="260"/>
      <c r="U4774" s="261"/>
      <c r="V4774" s="251"/>
      <c r="W4774" s="35"/>
      <c r="X4774" s="35"/>
      <c r="Y4774" s="35"/>
      <c r="Z4774" s="35"/>
      <c r="AA4774" s="35"/>
      <c r="AB4774" s="35"/>
      <c r="AC4774" s="35"/>
      <c r="AD4774" s="35"/>
      <c r="AE4774" s="35"/>
      <c r="AF4774" s="35"/>
      <c r="AG4774" s="35"/>
      <c r="AH4774" s="35"/>
      <c r="AI4774" s="35"/>
    </row>
    <row r="4775">
      <c r="A4775" s="251"/>
      <c r="B4775" s="252"/>
      <c r="C4775" s="253"/>
      <c r="D4775" s="253"/>
      <c r="E4775" s="252"/>
      <c r="F4775" s="253"/>
      <c r="G4775" s="251"/>
      <c r="H4775" s="433"/>
      <c r="I4775" s="278"/>
      <c r="J4775" s="257"/>
      <c r="K4775" s="253"/>
      <c r="L4775" s="253"/>
      <c r="M4775" s="252"/>
      <c r="N4775" s="258"/>
      <c r="O4775" s="259"/>
      <c r="P4775" s="259"/>
      <c r="Q4775" s="262"/>
      <c r="R4775" s="260"/>
      <c r="S4775" s="260"/>
      <c r="T4775" s="260"/>
      <c r="U4775" s="261"/>
      <c r="V4775" s="251"/>
      <c r="W4775" s="35"/>
      <c r="X4775" s="35"/>
      <c r="Y4775" s="35"/>
      <c r="Z4775" s="35"/>
      <c r="AA4775" s="35"/>
      <c r="AB4775" s="35"/>
      <c r="AC4775" s="35"/>
      <c r="AD4775" s="35"/>
      <c r="AE4775" s="35"/>
      <c r="AF4775" s="35"/>
      <c r="AG4775" s="35"/>
      <c r="AH4775" s="35"/>
      <c r="AI4775" s="35"/>
    </row>
    <row r="4776">
      <c r="A4776" s="251"/>
      <c r="B4776" s="252"/>
      <c r="C4776" s="253"/>
      <c r="D4776" s="253"/>
      <c r="E4776" s="252"/>
      <c r="F4776" s="253"/>
      <c r="G4776" s="251"/>
      <c r="H4776" s="433"/>
      <c r="I4776" s="278"/>
      <c r="J4776" s="257"/>
      <c r="K4776" s="253"/>
      <c r="L4776" s="253"/>
      <c r="M4776" s="252"/>
      <c r="N4776" s="258"/>
      <c r="O4776" s="259"/>
      <c r="P4776" s="259"/>
      <c r="Q4776" s="262"/>
      <c r="R4776" s="260"/>
      <c r="S4776" s="260"/>
      <c r="T4776" s="260"/>
      <c r="U4776" s="261"/>
      <c r="V4776" s="251"/>
      <c r="W4776" s="35"/>
      <c r="X4776" s="35"/>
      <c r="Y4776" s="35"/>
      <c r="Z4776" s="35"/>
      <c r="AA4776" s="35"/>
      <c r="AB4776" s="35"/>
      <c r="AC4776" s="35"/>
      <c r="AD4776" s="35"/>
      <c r="AE4776" s="35"/>
      <c r="AF4776" s="35"/>
      <c r="AG4776" s="35"/>
      <c r="AH4776" s="35"/>
      <c r="AI4776" s="35"/>
    </row>
    <row r="4777">
      <c r="A4777" s="251"/>
      <c r="B4777" s="252"/>
      <c r="C4777" s="253"/>
      <c r="D4777" s="253"/>
      <c r="E4777" s="252"/>
      <c r="F4777" s="253"/>
      <c r="G4777" s="251"/>
      <c r="H4777" s="433"/>
      <c r="I4777" s="278"/>
      <c r="J4777" s="257"/>
      <c r="K4777" s="253"/>
      <c r="L4777" s="253"/>
      <c r="M4777" s="252"/>
      <c r="N4777" s="258"/>
      <c r="O4777" s="259"/>
      <c r="P4777" s="259"/>
      <c r="Q4777" s="262"/>
      <c r="R4777" s="260"/>
      <c r="S4777" s="260"/>
      <c r="T4777" s="260"/>
      <c r="U4777" s="261"/>
      <c r="V4777" s="251"/>
      <c r="W4777" s="35"/>
      <c r="X4777" s="35"/>
      <c r="Y4777" s="35"/>
      <c r="Z4777" s="35"/>
      <c r="AA4777" s="35"/>
      <c r="AB4777" s="35"/>
      <c r="AC4777" s="35"/>
      <c r="AD4777" s="35"/>
      <c r="AE4777" s="35"/>
      <c r="AF4777" s="35"/>
      <c r="AG4777" s="35"/>
      <c r="AH4777" s="35"/>
      <c r="AI4777" s="35"/>
    </row>
    <row r="4778">
      <c r="A4778" s="251"/>
      <c r="B4778" s="252"/>
      <c r="C4778" s="253"/>
      <c r="D4778" s="253"/>
      <c r="E4778" s="252"/>
      <c r="F4778" s="253"/>
      <c r="G4778" s="251"/>
      <c r="H4778" s="433"/>
      <c r="I4778" s="278"/>
      <c r="J4778" s="257"/>
      <c r="K4778" s="253"/>
      <c r="L4778" s="253"/>
      <c r="M4778" s="252"/>
      <c r="N4778" s="258"/>
      <c r="O4778" s="259"/>
      <c r="P4778" s="259"/>
      <c r="Q4778" s="262"/>
      <c r="R4778" s="260"/>
      <c r="S4778" s="260"/>
      <c r="T4778" s="260"/>
      <c r="U4778" s="261"/>
      <c r="V4778" s="251"/>
      <c r="W4778" s="35"/>
      <c r="X4778" s="35"/>
      <c r="Y4778" s="35"/>
      <c r="Z4778" s="35"/>
      <c r="AA4778" s="35"/>
      <c r="AB4778" s="35"/>
      <c r="AC4778" s="35"/>
      <c r="AD4778" s="35"/>
      <c r="AE4778" s="35"/>
      <c r="AF4778" s="35"/>
      <c r="AG4778" s="35"/>
      <c r="AH4778" s="35"/>
      <c r="AI4778" s="35"/>
    </row>
    <row r="4779">
      <c r="A4779" s="251"/>
      <c r="B4779" s="252"/>
      <c r="C4779" s="253"/>
      <c r="D4779" s="253"/>
      <c r="E4779" s="252"/>
      <c r="F4779" s="253"/>
      <c r="G4779" s="251"/>
      <c r="H4779" s="433"/>
      <c r="I4779" s="278"/>
      <c r="J4779" s="257"/>
      <c r="K4779" s="253"/>
      <c r="L4779" s="253"/>
      <c r="M4779" s="252"/>
      <c r="N4779" s="258"/>
      <c r="O4779" s="259"/>
      <c r="P4779" s="259"/>
      <c r="Q4779" s="262"/>
      <c r="R4779" s="260"/>
      <c r="S4779" s="260"/>
      <c r="T4779" s="260"/>
      <c r="U4779" s="261"/>
      <c r="V4779" s="251"/>
      <c r="W4779" s="35"/>
      <c r="X4779" s="35"/>
      <c r="Y4779" s="35"/>
      <c r="Z4779" s="35"/>
      <c r="AA4779" s="35"/>
      <c r="AB4779" s="35"/>
      <c r="AC4779" s="35"/>
      <c r="AD4779" s="35"/>
      <c r="AE4779" s="35"/>
      <c r="AF4779" s="35"/>
      <c r="AG4779" s="35"/>
      <c r="AH4779" s="35"/>
      <c r="AI4779" s="35"/>
    </row>
    <row r="4780">
      <c r="A4780" s="251"/>
      <c r="B4780" s="252"/>
      <c r="C4780" s="253"/>
      <c r="D4780" s="253"/>
      <c r="E4780" s="252"/>
      <c r="F4780" s="253"/>
      <c r="G4780" s="251"/>
      <c r="H4780" s="433"/>
      <c r="I4780" s="278"/>
      <c r="J4780" s="257"/>
      <c r="K4780" s="253"/>
      <c r="L4780" s="253"/>
      <c r="M4780" s="252"/>
      <c r="N4780" s="258"/>
      <c r="O4780" s="259"/>
      <c r="P4780" s="259"/>
      <c r="Q4780" s="262"/>
      <c r="R4780" s="260"/>
      <c r="S4780" s="260"/>
      <c r="T4780" s="260"/>
      <c r="U4780" s="261"/>
      <c r="V4780" s="251"/>
      <c r="W4780" s="35"/>
      <c r="X4780" s="35"/>
      <c r="Y4780" s="35"/>
      <c r="Z4780" s="35"/>
      <c r="AA4780" s="35"/>
      <c r="AB4780" s="35"/>
      <c r="AC4780" s="35"/>
      <c r="AD4780" s="35"/>
      <c r="AE4780" s="35"/>
      <c r="AF4780" s="35"/>
      <c r="AG4780" s="35"/>
      <c r="AH4780" s="35"/>
      <c r="AI4780" s="35"/>
    </row>
    <row r="4781">
      <c r="A4781" s="251"/>
      <c r="B4781" s="252"/>
      <c r="C4781" s="253"/>
      <c r="D4781" s="253"/>
      <c r="E4781" s="252"/>
      <c r="F4781" s="253"/>
      <c r="G4781" s="251"/>
      <c r="H4781" s="433"/>
      <c r="I4781" s="278"/>
      <c r="J4781" s="257"/>
      <c r="K4781" s="253"/>
      <c r="L4781" s="253"/>
      <c r="M4781" s="252"/>
      <c r="N4781" s="258"/>
      <c r="O4781" s="259"/>
      <c r="P4781" s="259"/>
      <c r="Q4781" s="262"/>
      <c r="R4781" s="260"/>
      <c r="S4781" s="260"/>
      <c r="T4781" s="173"/>
      <c r="U4781" s="174"/>
      <c r="V4781" s="165"/>
      <c r="W4781" s="35"/>
      <c r="X4781" s="35"/>
      <c r="Y4781" s="35"/>
      <c r="Z4781" s="35"/>
      <c r="AA4781" s="35"/>
      <c r="AB4781" s="35"/>
      <c r="AC4781" s="35"/>
      <c r="AD4781" s="35"/>
      <c r="AE4781" s="35"/>
      <c r="AF4781" s="35"/>
      <c r="AG4781" s="35"/>
      <c r="AH4781" s="35"/>
      <c r="AI4781" s="35"/>
    </row>
    <row r="4782">
      <c r="A4782" s="251"/>
      <c r="B4782" s="252"/>
      <c r="C4782" s="253"/>
      <c r="D4782" s="253"/>
      <c r="E4782" s="252"/>
      <c r="F4782" s="253"/>
      <c r="G4782" s="251"/>
      <c r="H4782" s="433"/>
      <c r="I4782" s="278"/>
      <c r="J4782" s="257"/>
      <c r="K4782" s="253"/>
      <c r="L4782" s="253"/>
      <c r="M4782" s="252"/>
      <c r="N4782" s="258"/>
      <c r="O4782" s="259"/>
      <c r="P4782" s="259"/>
      <c r="Q4782" s="257"/>
      <c r="R4782" s="260"/>
      <c r="S4782" s="260"/>
      <c r="T4782" s="260"/>
      <c r="U4782" s="261"/>
      <c r="V4782" s="251"/>
      <c r="W4782" s="35"/>
      <c r="X4782" s="35"/>
      <c r="Y4782" s="35"/>
      <c r="Z4782" s="35"/>
      <c r="AA4782" s="35"/>
      <c r="AB4782" s="35"/>
      <c r="AC4782" s="35"/>
      <c r="AD4782" s="35"/>
      <c r="AE4782" s="35"/>
      <c r="AF4782" s="35"/>
      <c r="AG4782" s="35"/>
      <c r="AH4782" s="35"/>
      <c r="AI4782" s="35"/>
    </row>
    <row r="4783">
      <c r="A4783" s="251"/>
      <c r="B4783" s="252"/>
      <c r="C4783" s="253"/>
      <c r="D4783" s="253"/>
      <c r="E4783" s="252"/>
      <c r="F4783" s="253"/>
      <c r="G4783" s="251"/>
      <c r="H4783" s="433"/>
      <c r="I4783" s="278"/>
      <c r="J4783" s="257"/>
      <c r="K4783" s="253"/>
      <c r="L4783" s="253"/>
      <c r="M4783" s="252"/>
      <c r="N4783" s="258"/>
      <c r="O4783" s="259"/>
      <c r="P4783" s="259"/>
      <c r="Q4783" s="262"/>
      <c r="R4783" s="260"/>
      <c r="S4783" s="260"/>
      <c r="T4783" s="260"/>
      <c r="U4783" s="261"/>
      <c r="V4783" s="251"/>
      <c r="W4783" s="35"/>
      <c r="X4783" s="35"/>
      <c r="Y4783" s="35"/>
      <c r="Z4783" s="35"/>
      <c r="AA4783" s="35"/>
      <c r="AB4783" s="35"/>
      <c r="AC4783" s="35"/>
      <c r="AD4783" s="35"/>
      <c r="AE4783" s="35"/>
      <c r="AF4783" s="35"/>
      <c r="AG4783" s="35"/>
      <c r="AH4783" s="35"/>
      <c r="AI4783" s="35"/>
    </row>
    <row r="4784">
      <c r="A4784" s="251"/>
      <c r="B4784" s="252"/>
      <c r="C4784" s="253"/>
      <c r="D4784" s="253"/>
      <c r="E4784" s="252"/>
      <c r="F4784" s="253"/>
      <c r="G4784" s="251"/>
      <c r="H4784" s="433"/>
      <c r="I4784" s="278"/>
      <c r="J4784" s="257"/>
      <c r="K4784" s="253"/>
      <c r="L4784" s="253"/>
      <c r="M4784" s="252"/>
      <c r="N4784" s="258"/>
      <c r="O4784" s="259"/>
      <c r="P4784" s="259"/>
      <c r="Q4784" s="257"/>
      <c r="R4784" s="260"/>
      <c r="S4784" s="260"/>
      <c r="T4784" s="260"/>
      <c r="U4784" s="261"/>
      <c r="V4784" s="251"/>
      <c r="W4784" s="35"/>
      <c r="X4784" s="35"/>
      <c r="Y4784" s="35"/>
      <c r="Z4784" s="35"/>
      <c r="AA4784" s="35"/>
      <c r="AB4784" s="35"/>
      <c r="AC4784" s="35"/>
      <c r="AD4784" s="35"/>
      <c r="AE4784" s="35"/>
      <c r="AF4784" s="35"/>
      <c r="AG4784" s="35"/>
      <c r="AH4784" s="35"/>
      <c r="AI4784" s="35"/>
    </row>
    <row r="4785">
      <c r="A4785" s="251"/>
      <c r="B4785" s="252"/>
      <c r="C4785" s="253"/>
      <c r="D4785" s="253"/>
      <c r="E4785" s="252"/>
      <c r="F4785" s="253"/>
      <c r="G4785" s="251"/>
      <c r="H4785" s="433"/>
      <c r="I4785" s="278"/>
      <c r="J4785" s="257"/>
      <c r="K4785" s="253"/>
      <c r="L4785" s="253"/>
      <c r="M4785" s="252"/>
      <c r="N4785" s="258"/>
      <c r="O4785" s="259"/>
      <c r="P4785" s="259"/>
      <c r="Q4785" s="257"/>
      <c r="R4785" s="260"/>
      <c r="S4785" s="260"/>
      <c r="T4785" s="260"/>
      <c r="U4785" s="261"/>
      <c r="V4785" s="251"/>
      <c r="W4785" s="35"/>
      <c r="X4785" s="35"/>
      <c r="Y4785" s="35"/>
      <c r="Z4785" s="35"/>
      <c r="AA4785" s="35"/>
      <c r="AB4785" s="35"/>
      <c r="AC4785" s="35"/>
      <c r="AD4785" s="35"/>
      <c r="AE4785" s="35"/>
      <c r="AF4785" s="35"/>
      <c r="AG4785" s="35"/>
      <c r="AH4785" s="35"/>
      <c r="AI4785" s="35"/>
    </row>
    <row r="4786">
      <c r="A4786" s="251"/>
      <c r="B4786" s="252"/>
      <c r="C4786" s="253"/>
      <c r="D4786" s="253"/>
      <c r="E4786" s="252"/>
      <c r="F4786" s="253"/>
      <c r="G4786" s="251"/>
      <c r="H4786" s="433"/>
      <c r="I4786" s="278"/>
      <c r="J4786" s="257"/>
      <c r="K4786" s="253"/>
      <c r="L4786" s="253"/>
      <c r="M4786" s="252"/>
      <c r="N4786" s="258"/>
      <c r="O4786" s="259"/>
      <c r="P4786" s="259"/>
      <c r="Q4786" s="262"/>
      <c r="R4786" s="260"/>
      <c r="S4786" s="260"/>
      <c r="T4786" s="260"/>
      <c r="U4786" s="261"/>
      <c r="V4786" s="251"/>
      <c r="W4786" s="35"/>
      <c r="X4786" s="35"/>
      <c r="Y4786" s="35"/>
      <c r="Z4786" s="35"/>
      <c r="AA4786" s="35"/>
      <c r="AB4786" s="35"/>
      <c r="AC4786" s="35"/>
      <c r="AD4786" s="35"/>
      <c r="AE4786" s="35"/>
      <c r="AF4786" s="35"/>
      <c r="AG4786" s="35"/>
      <c r="AH4786" s="35"/>
      <c r="AI4786" s="35"/>
    </row>
    <row r="4787">
      <c r="A4787" s="251"/>
      <c r="B4787" s="252"/>
      <c r="C4787" s="253"/>
      <c r="D4787" s="253"/>
      <c r="E4787" s="252"/>
      <c r="F4787" s="253"/>
      <c r="G4787" s="251"/>
      <c r="H4787" s="433"/>
      <c r="I4787" s="278"/>
      <c r="J4787" s="257"/>
      <c r="K4787" s="253"/>
      <c r="L4787" s="253"/>
      <c r="M4787" s="252"/>
      <c r="N4787" s="258"/>
      <c r="O4787" s="259"/>
      <c r="P4787" s="259"/>
      <c r="Q4787" s="257"/>
      <c r="R4787" s="260"/>
      <c r="S4787" s="260"/>
      <c r="T4787" s="260"/>
      <c r="U4787" s="261"/>
      <c r="V4787" s="251"/>
      <c r="W4787" s="35"/>
      <c r="X4787" s="35"/>
      <c r="Y4787" s="35"/>
      <c r="Z4787" s="35"/>
      <c r="AA4787" s="35"/>
      <c r="AB4787" s="35"/>
      <c r="AC4787" s="35"/>
      <c r="AD4787" s="35"/>
      <c r="AE4787" s="35"/>
      <c r="AF4787" s="35"/>
      <c r="AG4787" s="35"/>
      <c r="AH4787" s="35"/>
      <c r="AI4787" s="35"/>
    </row>
    <row r="4788">
      <c r="A4788" s="251"/>
      <c r="B4788" s="252"/>
      <c r="C4788" s="253"/>
      <c r="D4788" s="253"/>
      <c r="E4788" s="252"/>
      <c r="F4788" s="253"/>
      <c r="G4788" s="251"/>
      <c r="H4788" s="433"/>
      <c r="I4788" s="278"/>
      <c r="J4788" s="257"/>
      <c r="K4788" s="253"/>
      <c r="L4788" s="253"/>
      <c r="M4788" s="275"/>
      <c r="N4788" s="258"/>
      <c r="O4788" s="259"/>
      <c r="P4788" s="259"/>
      <c r="Q4788" s="262"/>
      <c r="R4788" s="260"/>
      <c r="S4788" s="260"/>
      <c r="T4788" s="260"/>
      <c r="U4788" s="261"/>
      <c r="V4788" s="251"/>
      <c r="W4788" s="35"/>
      <c r="X4788" s="35"/>
      <c r="Y4788" s="35"/>
      <c r="Z4788" s="35"/>
      <c r="AA4788" s="35"/>
      <c r="AB4788" s="35"/>
      <c r="AC4788" s="35"/>
      <c r="AD4788" s="35"/>
      <c r="AE4788" s="35"/>
      <c r="AF4788" s="35"/>
      <c r="AG4788" s="35"/>
      <c r="AH4788" s="35"/>
      <c r="AI4788" s="35"/>
    </row>
    <row r="4789">
      <c r="A4789" s="165"/>
      <c r="B4789" s="166"/>
      <c r="C4789" s="166"/>
      <c r="D4789" s="166"/>
      <c r="E4789" s="166"/>
      <c r="F4789" s="166"/>
      <c r="G4789" s="165"/>
      <c r="H4789" s="167"/>
      <c r="I4789" s="168"/>
      <c r="J4789" s="169"/>
      <c r="K4789" s="166"/>
      <c r="L4789" s="166"/>
      <c r="M4789" s="166"/>
      <c r="N4789" s="170"/>
      <c r="O4789" s="171"/>
      <c r="P4789" s="171"/>
      <c r="Q4789" s="172"/>
      <c r="R4789" s="173"/>
      <c r="S4789" s="173"/>
      <c r="T4789" s="173"/>
      <c r="U4789" s="201"/>
      <c r="V4789" s="165"/>
      <c r="W4789" s="35"/>
      <c r="X4789" s="35"/>
      <c r="Y4789" s="35"/>
      <c r="Z4789" s="35"/>
      <c r="AA4789" s="35"/>
      <c r="AB4789" s="35"/>
      <c r="AC4789" s="35"/>
      <c r="AD4789" s="35"/>
      <c r="AE4789" s="35"/>
      <c r="AF4789" s="35"/>
      <c r="AG4789" s="35"/>
      <c r="AH4789" s="35"/>
      <c r="AI4789" s="35"/>
    </row>
    <row r="4790">
      <c r="A4790" s="251"/>
      <c r="B4790" s="252"/>
      <c r="C4790" s="253"/>
      <c r="D4790" s="253"/>
      <c r="E4790" s="252"/>
      <c r="F4790" s="253"/>
      <c r="G4790" s="251"/>
      <c r="H4790" s="433"/>
      <c r="I4790" s="278"/>
      <c r="J4790" s="257"/>
      <c r="K4790" s="253"/>
      <c r="L4790" s="253"/>
      <c r="M4790" s="252"/>
      <c r="N4790" s="258"/>
      <c r="O4790" s="259"/>
      <c r="P4790" s="259"/>
      <c r="Q4790" s="262"/>
      <c r="R4790" s="260"/>
      <c r="S4790" s="260"/>
      <c r="T4790" s="260"/>
      <c r="U4790" s="261"/>
      <c r="V4790" s="251"/>
      <c r="W4790" s="35"/>
      <c r="X4790" s="35"/>
      <c r="Y4790" s="35"/>
      <c r="Z4790" s="35"/>
      <c r="AA4790" s="35"/>
      <c r="AB4790" s="35"/>
      <c r="AC4790" s="35"/>
      <c r="AD4790" s="35"/>
      <c r="AE4790" s="35"/>
      <c r="AF4790" s="35"/>
      <c r="AG4790" s="35"/>
      <c r="AH4790" s="35"/>
      <c r="AI4790" s="35"/>
    </row>
    <row r="4791">
      <c r="A4791" s="251"/>
      <c r="B4791" s="252"/>
      <c r="C4791" s="253"/>
      <c r="D4791" s="253"/>
      <c r="E4791" s="252"/>
      <c r="F4791" s="253"/>
      <c r="G4791" s="251"/>
      <c r="H4791" s="433"/>
      <c r="I4791" s="278"/>
      <c r="J4791" s="257"/>
      <c r="K4791" s="253"/>
      <c r="L4791" s="253"/>
      <c r="M4791" s="275"/>
      <c r="N4791" s="258"/>
      <c r="O4791" s="259"/>
      <c r="P4791" s="259"/>
      <c r="Q4791" s="262"/>
      <c r="R4791" s="260"/>
      <c r="S4791" s="260"/>
      <c r="T4791" s="260"/>
      <c r="U4791" s="261"/>
      <c r="V4791" s="251"/>
      <c r="W4791" s="35"/>
      <c r="X4791" s="35"/>
      <c r="Y4791" s="35"/>
      <c r="Z4791" s="35"/>
      <c r="AA4791" s="35"/>
      <c r="AB4791" s="35"/>
      <c r="AC4791" s="35"/>
      <c r="AD4791" s="35"/>
      <c r="AE4791" s="35"/>
      <c r="AF4791" s="35"/>
      <c r="AG4791" s="35"/>
      <c r="AH4791" s="35"/>
      <c r="AI4791" s="35"/>
    </row>
    <row r="4792">
      <c r="A4792" s="251"/>
      <c r="B4792" s="252"/>
      <c r="C4792" s="253"/>
      <c r="D4792" s="253"/>
      <c r="E4792" s="252"/>
      <c r="F4792" s="253"/>
      <c r="G4792" s="251"/>
      <c r="H4792" s="433"/>
      <c r="I4792" s="278"/>
      <c r="J4792" s="257"/>
      <c r="K4792" s="253"/>
      <c r="L4792" s="253"/>
      <c r="M4792" s="252"/>
      <c r="N4792" s="258"/>
      <c r="O4792" s="259"/>
      <c r="P4792" s="259"/>
      <c r="Q4792" s="262"/>
      <c r="R4792" s="260"/>
      <c r="S4792" s="260"/>
      <c r="T4792" s="260"/>
      <c r="U4792" s="261"/>
      <c r="V4792" s="251"/>
      <c r="W4792" s="35"/>
      <c r="X4792" s="35"/>
      <c r="Y4792" s="35"/>
      <c r="Z4792" s="35"/>
      <c r="AA4792" s="35"/>
      <c r="AB4792" s="35"/>
      <c r="AC4792" s="35"/>
      <c r="AD4792" s="35"/>
      <c r="AE4792" s="35"/>
      <c r="AF4792" s="35"/>
      <c r="AG4792" s="35"/>
      <c r="AH4792" s="35"/>
      <c r="AI4792" s="35"/>
    </row>
    <row r="4793">
      <c r="A4793" s="251"/>
      <c r="B4793" s="252"/>
      <c r="C4793" s="253"/>
      <c r="D4793" s="253"/>
      <c r="E4793" s="252"/>
      <c r="F4793" s="253"/>
      <c r="G4793" s="251"/>
      <c r="H4793" s="433"/>
      <c r="I4793" s="278"/>
      <c r="J4793" s="257"/>
      <c r="K4793" s="253"/>
      <c r="L4793" s="253"/>
      <c r="M4793" s="275"/>
      <c r="N4793" s="258"/>
      <c r="O4793" s="259"/>
      <c r="P4793" s="259"/>
      <c r="Q4793" s="262"/>
      <c r="R4793" s="260"/>
      <c r="S4793" s="260"/>
      <c r="T4793" s="260"/>
      <c r="U4793" s="261"/>
      <c r="V4793" s="251"/>
      <c r="W4793" s="35"/>
      <c r="X4793" s="35"/>
      <c r="Y4793" s="35"/>
      <c r="Z4793" s="35"/>
      <c r="AA4793" s="35"/>
      <c r="AB4793" s="35"/>
      <c r="AC4793" s="35"/>
      <c r="AD4793" s="35"/>
      <c r="AE4793" s="35"/>
      <c r="AF4793" s="35"/>
      <c r="AG4793" s="35"/>
      <c r="AH4793" s="35"/>
      <c r="AI4793" s="35"/>
    </row>
    <row r="4794">
      <c r="A4794" s="251"/>
      <c r="B4794" s="252"/>
      <c r="C4794" s="253"/>
      <c r="D4794" s="253"/>
      <c r="E4794" s="252"/>
      <c r="F4794" s="253"/>
      <c r="G4794" s="251"/>
      <c r="H4794" s="433"/>
      <c r="I4794" s="278"/>
      <c r="J4794" s="257"/>
      <c r="K4794" s="253"/>
      <c r="L4794" s="253"/>
      <c r="M4794" s="252"/>
      <c r="N4794" s="258"/>
      <c r="O4794" s="259"/>
      <c r="P4794" s="259"/>
      <c r="Q4794" s="257"/>
      <c r="R4794" s="260"/>
      <c r="S4794" s="260"/>
      <c r="T4794" s="260"/>
      <c r="U4794" s="261"/>
      <c r="V4794" s="251"/>
      <c r="W4794" s="35"/>
      <c r="X4794" s="35"/>
      <c r="Y4794" s="35"/>
      <c r="Z4794" s="35"/>
      <c r="AA4794" s="35"/>
      <c r="AB4794" s="35"/>
      <c r="AC4794" s="35"/>
      <c r="AD4794" s="35"/>
      <c r="AE4794" s="35"/>
      <c r="AF4794" s="35"/>
      <c r="AG4794" s="35"/>
      <c r="AH4794" s="35"/>
      <c r="AI4794" s="35"/>
    </row>
    <row r="4795">
      <c r="A4795" s="251"/>
      <c r="B4795" s="252"/>
      <c r="C4795" s="253"/>
      <c r="D4795" s="253"/>
      <c r="E4795" s="252"/>
      <c r="F4795" s="253"/>
      <c r="G4795" s="251"/>
      <c r="H4795" s="433"/>
      <c r="I4795" s="278"/>
      <c r="J4795" s="257"/>
      <c r="K4795" s="253"/>
      <c r="L4795" s="253"/>
      <c r="M4795" s="252"/>
      <c r="N4795" s="258"/>
      <c r="O4795" s="259"/>
      <c r="P4795" s="259"/>
      <c r="Q4795" s="262"/>
      <c r="R4795" s="260"/>
      <c r="S4795" s="260"/>
      <c r="T4795" s="260"/>
      <c r="U4795" s="261"/>
      <c r="V4795" s="251"/>
      <c r="W4795" s="35"/>
      <c r="X4795" s="35"/>
      <c r="Y4795" s="35"/>
      <c r="Z4795" s="35"/>
      <c r="AA4795" s="35"/>
      <c r="AB4795" s="35"/>
      <c r="AC4795" s="35"/>
      <c r="AD4795" s="35"/>
      <c r="AE4795" s="35"/>
      <c r="AF4795" s="35"/>
      <c r="AG4795" s="35"/>
      <c r="AH4795" s="35"/>
      <c r="AI4795" s="35"/>
    </row>
    <row r="4796">
      <c r="A4796" s="251"/>
      <c r="B4796" s="252"/>
      <c r="C4796" s="253"/>
      <c r="D4796" s="253"/>
      <c r="E4796" s="252"/>
      <c r="F4796" s="253"/>
      <c r="G4796" s="251"/>
      <c r="H4796" s="433"/>
      <c r="I4796" s="278"/>
      <c r="J4796" s="257"/>
      <c r="K4796" s="253"/>
      <c r="L4796" s="253"/>
      <c r="M4796" s="252"/>
      <c r="N4796" s="258"/>
      <c r="O4796" s="259"/>
      <c r="P4796" s="259"/>
      <c r="Q4796" s="262"/>
      <c r="R4796" s="260"/>
      <c r="S4796" s="260"/>
      <c r="T4796" s="260"/>
      <c r="U4796" s="261"/>
      <c r="V4796" s="251"/>
      <c r="W4796" s="35"/>
      <c r="X4796" s="35"/>
      <c r="Y4796" s="35"/>
      <c r="Z4796" s="35"/>
      <c r="AA4796" s="35"/>
      <c r="AB4796" s="35"/>
      <c r="AC4796" s="35"/>
      <c r="AD4796" s="35"/>
      <c r="AE4796" s="35"/>
      <c r="AF4796" s="35"/>
      <c r="AG4796" s="35"/>
      <c r="AH4796" s="35"/>
      <c r="AI4796" s="35"/>
    </row>
    <row r="4797">
      <c r="A4797" s="251"/>
      <c r="B4797" s="252"/>
      <c r="C4797" s="253"/>
      <c r="D4797" s="253"/>
      <c r="E4797" s="252"/>
      <c r="F4797" s="253"/>
      <c r="G4797" s="251"/>
      <c r="H4797" s="433"/>
      <c r="I4797" s="278"/>
      <c r="J4797" s="257"/>
      <c r="K4797" s="253"/>
      <c r="L4797" s="253"/>
      <c r="M4797" s="275"/>
      <c r="N4797" s="258"/>
      <c r="O4797" s="259"/>
      <c r="P4797" s="259"/>
      <c r="Q4797" s="262"/>
      <c r="R4797" s="260"/>
      <c r="S4797" s="260"/>
      <c r="T4797" s="260"/>
      <c r="U4797" s="261"/>
      <c r="V4797" s="251"/>
      <c r="W4797" s="35"/>
      <c r="X4797" s="35"/>
      <c r="Y4797" s="35"/>
      <c r="Z4797" s="35"/>
      <c r="AA4797" s="35"/>
      <c r="AB4797" s="35"/>
      <c r="AC4797" s="35"/>
      <c r="AD4797" s="35"/>
      <c r="AE4797" s="35"/>
      <c r="AF4797" s="35"/>
      <c r="AG4797" s="35"/>
      <c r="AH4797" s="35"/>
      <c r="AI4797" s="35"/>
    </row>
    <row r="4798">
      <c r="A4798" s="251"/>
      <c r="B4798" s="252"/>
      <c r="C4798" s="253"/>
      <c r="D4798" s="253"/>
      <c r="E4798" s="252"/>
      <c r="F4798" s="253"/>
      <c r="G4798" s="251"/>
      <c r="H4798" s="433"/>
      <c r="I4798" s="278"/>
      <c r="J4798" s="257"/>
      <c r="K4798" s="253"/>
      <c r="L4798" s="253"/>
      <c r="M4798" s="252"/>
      <c r="N4798" s="258"/>
      <c r="O4798" s="259"/>
      <c r="P4798" s="259"/>
      <c r="Q4798" s="262"/>
      <c r="R4798" s="260"/>
      <c r="S4798" s="260"/>
      <c r="T4798" s="260"/>
      <c r="U4798" s="261"/>
      <c r="V4798" s="251"/>
      <c r="W4798" s="35"/>
      <c r="X4798" s="35"/>
      <c r="Y4798" s="35"/>
      <c r="Z4798" s="35"/>
      <c r="AA4798" s="35"/>
      <c r="AB4798" s="35"/>
      <c r="AC4798" s="35"/>
      <c r="AD4798" s="35"/>
      <c r="AE4798" s="35"/>
      <c r="AF4798" s="35"/>
      <c r="AG4798" s="35"/>
      <c r="AH4798" s="35"/>
      <c r="AI4798" s="35"/>
    </row>
    <row r="4799">
      <c r="A4799" s="251"/>
      <c r="B4799" s="252"/>
      <c r="C4799" s="253"/>
      <c r="D4799" s="253"/>
      <c r="E4799" s="252"/>
      <c r="F4799" s="253"/>
      <c r="G4799" s="251"/>
      <c r="H4799" s="433"/>
      <c r="I4799" s="278"/>
      <c r="J4799" s="257"/>
      <c r="K4799" s="253"/>
      <c r="L4799" s="253"/>
      <c r="M4799" s="252"/>
      <c r="N4799" s="258"/>
      <c r="O4799" s="259"/>
      <c r="P4799" s="259"/>
      <c r="Q4799" s="257"/>
      <c r="R4799" s="260"/>
      <c r="S4799" s="260"/>
      <c r="T4799" s="260"/>
      <c r="U4799" s="261"/>
      <c r="V4799" s="251"/>
      <c r="W4799" s="35"/>
      <c r="X4799" s="35"/>
      <c r="Y4799" s="35"/>
      <c r="Z4799" s="35"/>
      <c r="AA4799" s="35"/>
      <c r="AB4799" s="35"/>
      <c r="AC4799" s="35"/>
      <c r="AD4799" s="35"/>
      <c r="AE4799" s="35"/>
      <c r="AF4799" s="35"/>
      <c r="AG4799" s="35"/>
      <c r="AH4799" s="35"/>
      <c r="AI4799" s="35"/>
    </row>
    <row r="4800">
      <c r="A4800" s="251"/>
      <c r="B4800" s="252"/>
      <c r="C4800" s="253"/>
      <c r="D4800" s="253"/>
      <c r="E4800" s="252"/>
      <c r="F4800" s="253"/>
      <c r="G4800" s="251"/>
      <c r="H4800" s="433"/>
      <c r="I4800" s="278"/>
      <c r="J4800" s="257"/>
      <c r="K4800" s="253"/>
      <c r="L4800" s="253"/>
      <c r="M4800" s="252"/>
      <c r="N4800" s="258"/>
      <c r="O4800" s="259"/>
      <c r="P4800" s="259"/>
      <c r="Q4800" s="262"/>
      <c r="R4800" s="260"/>
      <c r="S4800" s="260"/>
      <c r="T4800" s="260"/>
      <c r="U4800" s="261"/>
      <c r="V4800" s="251"/>
      <c r="W4800" s="35"/>
      <c r="X4800" s="35"/>
      <c r="Y4800" s="35"/>
      <c r="Z4800" s="35"/>
      <c r="AA4800" s="35"/>
      <c r="AB4800" s="35"/>
      <c r="AC4800" s="35"/>
      <c r="AD4800" s="35"/>
      <c r="AE4800" s="35"/>
      <c r="AF4800" s="35"/>
      <c r="AG4800" s="35"/>
      <c r="AH4800" s="35"/>
      <c r="AI4800" s="35"/>
    </row>
    <row r="4801">
      <c r="A4801" s="251"/>
      <c r="B4801" s="252"/>
      <c r="C4801" s="253"/>
      <c r="D4801" s="253"/>
      <c r="E4801" s="252"/>
      <c r="F4801" s="253"/>
      <c r="G4801" s="251"/>
      <c r="H4801" s="433"/>
      <c r="I4801" s="278"/>
      <c r="J4801" s="257"/>
      <c r="K4801" s="253"/>
      <c r="L4801" s="253"/>
      <c r="M4801" s="252"/>
      <c r="N4801" s="258"/>
      <c r="O4801" s="259"/>
      <c r="P4801" s="259"/>
      <c r="Q4801" s="262"/>
      <c r="R4801" s="260"/>
      <c r="S4801" s="260"/>
      <c r="T4801" s="260"/>
      <c r="U4801" s="261"/>
      <c r="V4801" s="251"/>
      <c r="W4801" s="35"/>
      <c r="X4801" s="35"/>
      <c r="Y4801" s="35"/>
      <c r="Z4801" s="35"/>
      <c r="AA4801" s="35"/>
      <c r="AB4801" s="35"/>
      <c r="AC4801" s="35"/>
      <c r="AD4801" s="35"/>
      <c r="AE4801" s="35"/>
      <c r="AF4801" s="35"/>
      <c r="AG4801" s="35"/>
      <c r="AH4801" s="35"/>
      <c r="AI4801" s="35"/>
    </row>
    <row r="4802">
      <c r="A4802" s="251"/>
      <c r="B4802" s="252"/>
      <c r="C4802" s="253"/>
      <c r="D4802" s="253"/>
      <c r="E4802" s="252"/>
      <c r="F4802" s="253"/>
      <c r="G4802" s="251"/>
      <c r="H4802" s="433"/>
      <c r="I4802" s="278"/>
      <c r="J4802" s="257"/>
      <c r="K4802" s="253"/>
      <c r="L4802" s="253"/>
      <c r="M4802" s="275"/>
      <c r="N4802" s="258"/>
      <c r="O4802" s="259"/>
      <c r="P4802" s="259"/>
      <c r="Q4802" s="257"/>
      <c r="R4802" s="260"/>
      <c r="S4802" s="260"/>
      <c r="T4802" s="260"/>
      <c r="U4802" s="261"/>
      <c r="V4802" s="251"/>
      <c r="W4802" s="35"/>
      <c r="X4802" s="35"/>
      <c r="Y4802" s="35"/>
      <c r="Z4802" s="35"/>
      <c r="AA4802" s="35"/>
      <c r="AB4802" s="35"/>
      <c r="AC4802" s="35"/>
      <c r="AD4802" s="35"/>
      <c r="AE4802" s="35"/>
      <c r="AF4802" s="35"/>
      <c r="AG4802" s="35"/>
      <c r="AH4802" s="35"/>
      <c r="AI4802" s="35"/>
    </row>
    <row r="4803">
      <c r="A4803" s="251"/>
      <c r="B4803" s="252"/>
      <c r="C4803" s="253"/>
      <c r="D4803" s="253"/>
      <c r="E4803" s="252"/>
      <c r="F4803" s="253"/>
      <c r="G4803" s="251"/>
      <c r="H4803" s="433"/>
      <c r="I4803" s="278"/>
      <c r="J4803" s="257"/>
      <c r="K4803" s="253"/>
      <c r="L4803" s="253"/>
      <c r="M4803" s="252"/>
      <c r="N4803" s="258"/>
      <c r="O4803" s="259"/>
      <c r="P4803" s="259"/>
      <c r="Q4803" s="257"/>
      <c r="R4803" s="260"/>
      <c r="S4803" s="260"/>
      <c r="T4803" s="260"/>
      <c r="U4803" s="261"/>
      <c r="V4803" s="251"/>
      <c r="W4803" s="35"/>
      <c r="X4803" s="35"/>
      <c r="Y4803" s="35"/>
      <c r="Z4803" s="35"/>
      <c r="AA4803" s="35"/>
      <c r="AB4803" s="35"/>
      <c r="AC4803" s="35"/>
      <c r="AD4803" s="35"/>
      <c r="AE4803" s="35"/>
      <c r="AF4803" s="35"/>
      <c r="AG4803" s="35"/>
      <c r="AH4803" s="35"/>
      <c r="AI4803" s="35"/>
    </row>
    <row r="4804">
      <c r="A4804" s="251"/>
      <c r="B4804" s="252"/>
      <c r="C4804" s="253"/>
      <c r="D4804" s="253"/>
      <c r="E4804" s="252"/>
      <c r="F4804" s="253"/>
      <c r="G4804" s="251"/>
      <c r="H4804" s="433"/>
      <c r="I4804" s="278"/>
      <c r="J4804" s="257"/>
      <c r="K4804" s="253"/>
      <c r="L4804" s="253"/>
      <c r="M4804" s="252"/>
      <c r="N4804" s="258"/>
      <c r="O4804" s="259"/>
      <c r="P4804" s="259"/>
      <c r="Q4804" s="262"/>
      <c r="R4804" s="260"/>
      <c r="S4804" s="260"/>
      <c r="T4804" s="260"/>
      <c r="U4804" s="261"/>
      <c r="V4804" s="251"/>
      <c r="W4804" s="35"/>
      <c r="X4804" s="35"/>
      <c r="Y4804" s="35"/>
      <c r="Z4804" s="35"/>
      <c r="AA4804" s="35"/>
      <c r="AB4804" s="35"/>
      <c r="AC4804" s="35"/>
      <c r="AD4804" s="35"/>
      <c r="AE4804" s="35"/>
      <c r="AF4804" s="35"/>
      <c r="AG4804" s="35"/>
      <c r="AH4804" s="35"/>
      <c r="AI4804" s="35"/>
    </row>
    <row r="4805">
      <c r="A4805" s="251"/>
      <c r="B4805" s="252"/>
      <c r="C4805" s="253"/>
      <c r="D4805" s="253"/>
      <c r="E4805" s="252"/>
      <c r="F4805" s="253"/>
      <c r="G4805" s="251"/>
      <c r="H4805" s="433"/>
      <c r="I4805" s="278"/>
      <c r="J4805" s="257"/>
      <c r="K4805" s="253"/>
      <c r="L4805" s="253"/>
      <c r="M4805" s="252"/>
      <c r="N4805" s="258"/>
      <c r="O4805" s="259"/>
      <c r="P4805" s="259"/>
      <c r="Q4805" s="262"/>
      <c r="R4805" s="260"/>
      <c r="S4805" s="260"/>
      <c r="T4805" s="260"/>
      <c r="U4805" s="261"/>
      <c r="V4805" s="251"/>
      <c r="W4805" s="35"/>
      <c r="X4805" s="35"/>
      <c r="Y4805" s="35"/>
      <c r="Z4805" s="35"/>
      <c r="AA4805" s="35"/>
      <c r="AB4805" s="35"/>
      <c r="AC4805" s="35"/>
      <c r="AD4805" s="35"/>
      <c r="AE4805" s="35"/>
      <c r="AF4805" s="35"/>
      <c r="AG4805" s="35"/>
      <c r="AH4805" s="35"/>
      <c r="AI4805" s="35"/>
    </row>
    <row r="4806">
      <c r="A4806" s="251"/>
      <c r="B4806" s="252"/>
      <c r="C4806" s="253"/>
      <c r="D4806" s="253"/>
      <c r="E4806" s="252"/>
      <c r="F4806" s="253"/>
      <c r="G4806" s="251"/>
      <c r="H4806" s="433"/>
      <c r="I4806" s="278"/>
      <c r="J4806" s="257"/>
      <c r="K4806" s="253"/>
      <c r="L4806" s="253"/>
      <c r="M4806" s="252"/>
      <c r="N4806" s="258"/>
      <c r="O4806" s="259"/>
      <c r="P4806" s="259"/>
      <c r="Q4806" s="262"/>
      <c r="R4806" s="260"/>
      <c r="S4806" s="260"/>
      <c r="T4806" s="173"/>
      <c r="U4806" s="174"/>
      <c r="V4806" s="165"/>
      <c r="W4806" s="35"/>
      <c r="X4806" s="35"/>
      <c r="Y4806" s="35"/>
      <c r="Z4806" s="35"/>
      <c r="AA4806" s="35"/>
      <c r="AB4806" s="35"/>
      <c r="AC4806" s="35"/>
      <c r="AD4806" s="35"/>
      <c r="AE4806" s="35"/>
      <c r="AF4806" s="35"/>
      <c r="AG4806" s="35"/>
      <c r="AH4806" s="35"/>
      <c r="AI4806" s="35"/>
    </row>
    <row r="4807">
      <c r="A4807" s="251"/>
      <c r="B4807" s="252"/>
      <c r="C4807" s="253"/>
      <c r="D4807" s="253"/>
      <c r="E4807" s="252"/>
      <c r="F4807" s="253"/>
      <c r="G4807" s="251"/>
      <c r="H4807" s="433"/>
      <c r="I4807" s="278"/>
      <c r="J4807" s="257"/>
      <c r="K4807" s="253"/>
      <c r="L4807" s="253"/>
      <c r="M4807" s="252"/>
      <c r="N4807" s="258"/>
      <c r="O4807" s="259"/>
      <c r="P4807" s="259"/>
      <c r="Q4807" s="262"/>
      <c r="R4807" s="260"/>
      <c r="S4807" s="260"/>
      <c r="T4807" s="260"/>
      <c r="U4807" s="261"/>
      <c r="V4807" s="251"/>
      <c r="W4807" s="35"/>
      <c r="X4807" s="35"/>
      <c r="Y4807" s="35"/>
      <c r="Z4807" s="35"/>
      <c r="AA4807" s="35"/>
      <c r="AB4807" s="35"/>
      <c r="AC4807" s="35"/>
      <c r="AD4807" s="35"/>
      <c r="AE4807" s="35"/>
      <c r="AF4807" s="35"/>
      <c r="AG4807" s="35"/>
      <c r="AH4807" s="35"/>
      <c r="AI4807" s="35"/>
    </row>
    <row r="4808">
      <c r="A4808" s="251"/>
      <c r="B4808" s="252"/>
      <c r="C4808" s="253"/>
      <c r="D4808" s="253"/>
      <c r="E4808" s="252"/>
      <c r="F4808" s="253"/>
      <c r="G4808" s="251"/>
      <c r="H4808" s="433"/>
      <c r="I4808" s="278"/>
      <c r="J4808" s="257"/>
      <c r="K4808" s="253"/>
      <c r="L4808" s="253"/>
      <c r="M4808" s="252"/>
      <c r="N4808" s="258"/>
      <c r="O4808" s="259"/>
      <c r="P4808" s="259"/>
      <c r="Q4808" s="262"/>
      <c r="R4808" s="260"/>
      <c r="S4808" s="260"/>
      <c r="T4808" s="260"/>
      <c r="U4808" s="261"/>
      <c r="V4808" s="251"/>
      <c r="W4808" s="35"/>
      <c r="X4808" s="35"/>
      <c r="Y4808" s="35"/>
      <c r="Z4808" s="35"/>
      <c r="AA4808" s="35"/>
      <c r="AB4808" s="35"/>
      <c r="AC4808" s="35"/>
      <c r="AD4808" s="35"/>
      <c r="AE4808" s="35"/>
      <c r="AF4808" s="35"/>
      <c r="AG4808" s="35"/>
      <c r="AH4808" s="35"/>
      <c r="AI4808" s="35"/>
    </row>
    <row r="4809">
      <c r="A4809" s="251"/>
      <c r="B4809" s="252"/>
      <c r="C4809" s="253"/>
      <c r="D4809" s="253"/>
      <c r="E4809" s="252"/>
      <c r="F4809" s="253"/>
      <c r="G4809" s="251"/>
      <c r="H4809" s="433"/>
      <c r="I4809" s="278"/>
      <c r="J4809" s="257"/>
      <c r="K4809" s="253"/>
      <c r="L4809" s="253"/>
      <c r="M4809" s="252"/>
      <c r="N4809" s="258"/>
      <c r="O4809" s="259"/>
      <c r="P4809" s="259"/>
      <c r="Q4809" s="262"/>
      <c r="R4809" s="260"/>
      <c r="S4809" s="260"/>
      <c r="T4809" s="260"/>
      <c r="U4809" s="261"/>
      <c r="V4809" s="251"/>
      <c r="W4809" s="35"/>
      <c r="X4809" s="35"/>
      <c r="Y4809" s="35"/>
      <c r="Z4809" s="35"/>
      <c r="AA4809" s="35"/>
      <c r="AB4809" s="35"/>
      <c r="AC4809" s="35"/>
      <c r="AD4809" s="35"/>
      <c r="AE4809" s="35"/>
      <c r="AF4809" s="35"/>
      <c r="AG4809" s="35"/>
      <c r="AH4809" s="35"/>
      <c r="AI4809" s="35"/>
    </row>
    <row r="4810">
      <c r="A4810" s="251"/>
      <c r="B4810" s="252"/>
      <c r="C4810" s="253"/>
      <c r="D4810" s="253"/>
      <c r="E4810" s="252"/>
      <c r="F4810" s="253"/>
      <c r="G4810" s="251"/>
      <c r="H4810" s="433"/>
      <c r="I4810" s="278"/>
      <c r="J4810" s="257"/>
      <c r="K4810" s="253"/>
      <c r="L4810" s="253"/>
      <c r="M4810" s="275"/>
      <c r="N4810" s="258"/>
      <c r="O4810" s="259"/>
      <c r="P4810" s="259"/>
      <c r="Q4810" s="262"/>
      <c r="R4810" s="260"/>
      <c r="S4810" s="260"/>
      <c r="T4810" s="260"/>
      <c r="U4810" s="261"/>
      <c r="V4810" s="251"/>
      <c r="W4810" s="35"/>
      <c r="X4810" s="35"/>
      <c r="Y4810" s="35"/>
      <c r="Z4810" s="35"/>
      <c r="AA4810" s="35"/>
      <c r="AB4810" s="35"/>
      <c r="AC4810" s="35"/>
      <c r="AD4810" s="35"/>
      <c r="AE4810" s="35"/>
      <c r="AF4810" s="35"/>
      <c r="AG4810" s="35"/>
      <c r="AH4810" s="35"/>
      <c r="AI4810" s="35"/>
    </row>
    <row r="4811">
      <c r="A4811" s="251"/>
      <c r="B4811" s="252"/>
      <c r="C4811" s="253"/>
      <c r="D4811" s="253"/>
      <c r="E4811" s="252"/>
      <c r="F4811" s="253"/>
      <c r="G4811" s="251"/>
      <c r="H4811" s="433"/>
      <c r="I4811" s="278"/>
      <c r="J4811" s="257"/>
      <c r="K4811" s="253"/>
      <c r="L4811" s="253"/>
      <c r="M4811" s="252"/>
      <c r="N4811" s="258"/>
      <c r="O4811" s="259"/>
      <c r="P4811" s="259"/>
      <c r="Q4811" s="262"/>
      <c r="R4811" s="260"/>
      <c r="S4811" s="260"/>
      <c r="T4811" s="260"/>
      <c r="U4811" s="261"/>
      <c r="V4811" s="251"/>
      <c r="W4811" s="35"/>
      <c r="X4811" s="35"/>
      <c r="Y4811" s="35"/>
      <c r="Z4811" s="35"/>
      <c r="AA4811" s="35"/>
      <c r="AB4811" s="35"/>
      <c r="AC4811" s="35"/>
      <c r="AD4811" s="35"/>
      <c r="AE4811" s="35"/>
      <c r="AF4811" s="35"/>
      <c r="AG4811" s="35"/>
      <c r="AH4811" s="35"/>
      <c r="AI4811" s="35"/>
    </row>
    <row r="4812">
      <c r="A4812" s="251"/>
      <c r="B4812" s="252"/>
      <c r="C4812" s="253"/>
      <c r="D4812" s="253"/>
      <c r="E4812" s="252"/>
      <c r="F4812" s="253"/>
      <c r="G4812" s="251"/>
      <c r="H4812" s="433"/>
      <c r="I4812" s="278"/>
      <c r="J4812" s="257"/>
      <c r="K4812" s="253"/>
      <c r="L4812" s="253"/>
      <c r="M4812" s="252"/>
      <c r="N4812" s="258"/>
      <c r="O4812" s="259"/>
      <c r="P4812" s="259"/>
      <c r="Q4812" s="257"/>
      <c r="R4812" s="260"/>
      <c r="S4812" s="260"/>
      <c r="T4812" s="260"/>
      <c r="U4812" s="261"/>
      <c r="V4812" s="251"/>
      <c r="W4812" s="35"/>
      <c r="X4812" s="35"/>
      <c r="Y4812" s="35"/>
      <c r="Z4812" s="35"/>
      <c r="AA4812" s="35"/>
      <c r="AB4812" s="35"/>
      <c r="AC4812" s="35"/>
      <c r="AD4812" s="35"/>
      <c r="AE4812" s="35"/>
      <c r="AF4812" s="35"/>
      <c r="AG4812" s="35"/>
      <c r="AH4812" s="35"/>
      <c r="AI4812" s="35"/>
    </row>
    <row r="4813">
      <c r="A4813" s="251"/>
      <c r="B4813" s="252"/>
      <c r="C4813" s="253"/>
      <c r="D4813" s="253"/>
      <c r="E4813" s="252"/>
      <c r="F4813" s="253"/>
      <c r="G4813" s="251"/>
      <c r="H4813" s="433"/>
      <c r="I4813" s="278"/>
      <c r="J4813" s="257"/>
      <c r="K4813" s="253"/>
      <c r="L4813" s="253"/>
      <c r="M4813" s="252"/>
      <c r="N4813" s="258"/>
      <c r="O4813" s="259"/>
      <c r="P4813" s="259"/>
      <c r="Q4813" s="262"/>
      <c r="R4813" s="260"/>
      <c r="S4813" s="260"/>
      <c r="T4813" s="260"/>
      <c r="U4813" s="261"/>
      <c r="V4813" s="251"/>
      <c r="W4813" s="35"/>
      <c r="X4813" s="35"/>
      <c r="Y4813" s="35"/>
      <c r="Z4813" s="35"/>
      <c r="AA4813" s="35"/>
      <c r="AB4813" s="35"/>
      <c r="AC4813" s="35"/>
      <c r="AD4813" s="35"/>
      <c r="AE4813" s="35"/>
      <c r="AF4813" s="35"/>
      <c r="AG4813" s="35"/>
      <c r="AH4813" s="35"/>
      <c r="AI4813" s="35"/>
    </row>
    <row r="4814">
      <c r="A4814" s="251"/>
      <c r="B4814" s="252"/>
      <c r="C4814" s="253"/>
      <c r="D4814" s="253"/>
      <c r="E4814" s="252"/>
      <c r="F4814" s="253"/>
      <c r="G4814" s="251"/>
      <c r="H4814" s="433"/>
      <c r="I4814" s="278"/>
      <c r="J4814" s="257"/>
      <c r="K4814" s="253"/>
      <c r="L4814" s="253"/>
      <c r="M4814" s="252"/>
      <c r="N4814" s="258"/>
      <c r="O4814" s="259"/>
      <c r="P4814" s="259"/>
      <c r="Q4814" s="262"/>
      <c r="R4814" s="260"/>
      <c r="S4814" s="260"/>
      <c r="T4814" s="260"/>
      <c r="U4814" s="261"/>
      <c r="V4814" s="251"/>
      <c r="W4814" s="35"/>
      <c r="X4814" s="35"/>
      <c r="Y4814" s="35"/>
      <c r="Z4814" s="35"/>
      <c r="AA4814" s="35"/>
      <c r="AB4814" s="35"/>
      <c r="AC4814" s="35"/>
      <c r="AD4814" s="35"/>
      <c r="AE4814" s="35"/>
      <c r="AF4814" s="35"/>
      <c r="AG4814" s="35"/>
      <c r="AH4814" s="35"/>
      <c r="AI4814" s="35"/>
    </row>
    <row r="4815">
      <c r="A4815" s="251"/>
      <c r="B4815" s="252"/>
      <c r="C4815" s="253"/>
      <c r="D4815" s="253"/>
      <c r="E4815" s="252"/>
      <c r="F4815" s="253"/>
      <c r="G4815" s="251"/>
      <c r="H4815" s="433"/>
      <c r="I4815" s="278"/>
      <c r="J4815" s="257"/>
      <c r="K4815" s="253"/>
      <c r="L4815" s="253"/>
      <c r="M4815" s="252"/>
      <c r="N4815" s="258"/>
      <c r="O4815" s="259"/>
      <c r="P4815" s="259"/>
      <c r="Q4815" s="257"/>
      <c r="R4815" s="260"/>
      <c r="S4815" s="260"/>
      <c r="T4815" s="260"/>
      <c r="U4815" s="261"/>
      <c r="V4815" s="251"/>
      <c r="W4815" s="35"/>
      <c r="X4815" s="35"/>
      <c r="Y4815" s="35"/>
      <c r="Z4815" s="35"/>
      <c r="AA4815" s="35"/>
      <c r="AB4815" s="35"/>
      <c r="AC4815" s="35"/>
      <c r="AD4815" s="35"/>
      <c r="AE4815" s="35"/>
      <c r="AF4815" s="35"/>
      <c r="AG4815" s="35"/>
      <c r="AH4815" s="35"/>
      <c r="AI4815" s="35"/>
    </row>
    <row r="4816">
      <c r="A4816" s="251"/>
      <c r="B4816" s="252"/>
      <c r="C4816" s="253"/>
      <c r="D4816" s="253"/>
      <c r="E4816" s="252"/>
      <c r="F4816" s="253"/>
      <c r="G4816" s="251"/>
      <c r="H4816" s="433"/>
      <c r="I4816" s="278"/>
      <c r="J4816" s="257"/>
      <c r="K4816" s="253"/>
      <c r="L4816" s="253"/>
      <c r="M4816" s="252"/>
      <c r="N4816" s="258"/>
      <c r="O4816" s="259"/>
      <c r="P4816" s="259"/>
      <c r="Q4816" s="262"/>
      <c r="R4816" s="260"/>
      <c r="S4816" s="260"/>
      <c r="T4816" s="260"/>
      <c r="U4816" s="261"/>
      <c r="V4816" s="251"/>
      <c r="W4816" s="35"/>
      <c r="X4816" s="35"/>
      <c r="Y4816" s="35"/>
      <c r="Z4816" s="35"/>
      <c r="AA4816" s="35"/>
      <c r="AB4816" s="35"/>
      <c r="AC4816" s="35"/>
      <c r="AD4816" s="35"/>
      <c r="AE4816" s="35"/>
      <c r="AF4816" s="35"/>
      <c r="AG4816" s="35"/>
      <c r="AH4816" s="35"/>
      <c r="AI4816" s="35"/>
    </row>
    <row r="4817">
      <c r="A4817" s="251"/>
      <c r="B4817" s="252"/>
      <c r="C4817" s="253"/>
      <c r="D4817" s="253"/>
      <c r="E4817" s="252"/>
      <c r="F4817" s="253"/>
      <c r="G4817" s="251"/>
      <c r="H4817" s="433"/>
      <c r="I4817" s="278"/>
      <c r="J4817" s="257"/>
      <c r="K4817" s="253"/>
      <c r="L4817" s="253"/>
      <c r="M4817" s="275"/>
      <c r="N4817" s="258"/>
      <c r="O4817" s="259"/>
      <c r="P4817" s="259"/>
      <c r="Q4817" s="262"/>
      <c r="R4817" s="260"/>
      <c r="S4817" s="260"/>
      <c r="T4817" s="260"/>
      <c r="U4817" s="261"/>
      <c r="V4817" s="251"/>
      <c r="W4817" s="35"/>
      <c r="X4817" s="35"/>
      <c r="Y4817" s="35"/>
      <c r="Z4817" s="35"/>
      <c r="AA4817" s="35"/>
      <c r="AB4817" s="35"/>
      <c r="AC4817" s="35"/>
      <c r="AD4817" s="35"/>
      <c r="AE4817" s="35"/>
      <c r="AF4817" s="35"/>
      <c r="AG4817" s="35"/>
      <c r="AH4817" s="35"/>
      <c r="AI4817" s="35"/>
    </row>
    <row r="4818">
      <c r="A4818" s="251"/>
      <c r="B4818" s="252"/>
      <c r="C4818" s="253"/>
      <c r="D4818" s="253"/>
      <c r="E4818" s="252"/>
      <c r="F4818" s="253"/>
      <c r="G4818" s="251"/>
      <c r="H4818" s="433"/>
      <c r="I4818" s="278"/>
      <c r="J4818" s="257"/>
      <c r="K4818" s="253"/>
      <c r="L4818" s="253"/>
      <c r="M4818" s="252"/>
      <c r="N4818" s="258"/>
      <c r="O4818" s="259"/>
      <c r="P4818" s="259"/>
      <c r="Q4818" s="262"/>
      <c r="R4818" s="260"/>
      <c r="S4818" s="260"/>
      <c r="T4818" s="260"/>
      <c r="U4818" s="261"/>
      <c r="V4818" s="251"/>
      <c r="W4818" s="35"/>
      <c r="X4818" s="35"/>
      <c r="Y4818" s="35"/>
      <c r="Z4818" s="35"/>
      <c r="AA4818" s="35"/>
      <c r="AB4818" s="35"/>
      <c r="AC4818" s="35"/>
      <c r="AD4818" s="35"/>
      <c r="AE4818" s="35"/>
      <c r="AF4818" s="35"/>
      <c r="AG4818" s="35"/>
      <c r="AH4818" s="35"/>
      <c r="AI4818" s="35"/>
    </row>
    <row r="4819">
      <c r="A4819" s="251"/>
      <c r="B4819" s="252"/>
      <c r="C4819" s="253"/>
      <c r="D4819" s="253"/>
      <c r="E4819" s="252"/>
      <c r="F4819" s="253"/>
      <c r="G4819" s="251"/>
      <c r="H4819" s="433"/>
      <c r="I4819" s="278"/>
      <c r="J4819" s="257"/>
      <c r="K4819" s="253"/>
      <c r="L4819" s="253"/>
      <c r="M4819" s="252"/>
      <c r="N4819" s="258"/>
      <c r="O4819" s="259"/>
      <c r="P4819" s="259"/>
      <c r="Q4819" s="262"/>
      <c r="R4819" s="260"/>
      <c r="S4819" s="260"/>
      <c r="T4819" s="260"/>
      <c r="U4819" s="261"/>
      <c r="V4819" s="251"/>
      <c r="W4819" s="35"/>
      <c r="X4819" s="35"/>
      <c r="Y4819" s="35"/>
      <c r="Z4819" s="35"/>
      <c r="AA4819" s="35"/>
      <c r="AB4819" s="35"/>
      <c r="AC4819" s="35"/>
      <c r="AD4819" s="35"/>
      <c r="AE4819" s="35"/>
      <c r="AF4819" s="35"/>
      <c r="AG4819" s="35"/>
      <c r="AH4819" s="35"/>
      <c r="AI4819" s="35"/>
    </row>
    <row r="4820">
      <c r="A4820" s="251"/>
      <c r="B4820" s="252"/>
      <c r="C4820" s="253"/>
      <c r="D4820" s="253"/>
      <c r="E4820" s="252"/>
      <c r="F4820" s="253"/>
      <c r="G4820" s="251"/>
      <c r="H4820" s="433"/>
      <c r="I4820" s="278"/>
      <c r="J4820" s="257"/>
      <c r="K4820" s="253"/>
      <c r="L4820" s="253"/>
      <c r="M4820" s="252"/>
      <c r="N4820" s="258"/>
      <c r="O4820" s="259"/>
      <c r="P4820" s="259"/>
      <c r="Q4820" s="262"/>
      <c r="R4820" s="260"/>
      <c r="S4820" s="260"/>
      <c r="T4820" s="260"/>
      <c r="U4820" s="261"/>
      <c r="V4820" s="251"/>
      <c r="W4820" s="35"/>
      <c r="X4820" s="35"/>
      <c r="Y4820" s="35"/>
      <c r="Z4820" s="35"/>
      <c r="AA4820" s="35"/>
      <c r="AB4820" s="35"/>
      <c r="AC4820" s="35"/>
      <c r="AD4820" s="35"/>
      <c r="AE4820" s="35"/>
      <c r="AF4820" s="35"/>
      <c r="AG4820" s="35"/>
      <c r="AH4820" s="35"/>
      <c r="AI4820" s="35"/>
    </row>
    <row r="4821">
      <c r="A4821" s="251"/>
      <c r="B4821" s="252"/>
      <c r="C4821" s="253"/>
      <c r="D4821" s="253"/>
      <c r="E4821" s="252"/>
      <c r="F4821" s="253"/>
      <c r="G4821" s="251"/>
      <c r="H4821" s="433"/>
      <c r="I4821" s="278"/>
      <c r="J4821" s="257"/>
      <c r="K4821" s="253"/>
      <c r="L4821" s="253"/>
      <c r="M4821" s="252"/>
      <c r="N4821" s="258"/>
      <c r="O4821" s="259"/>
      <c r="P4821" s="259"/>
      <c r="Q4821" s="262"/>
      <c r="R4821" s="260"/>
      <c r="S4821" s="260"/>
      <c r="T4821" s="260"/>
      <c r="U4821" s="261"/>
      <c r="V4821" s="251"/>
      <c r="W4821" s="35"/>
      <c r="X4821" s="35"/>
      <c r="Y4821" s="35"/>
      <c r="Z4821" s="35"/>
      <c r="AA4821" s="35"/>
      <c r="AB4821" s="35"/>
      <c r="AC4821" s="35"/>
      <c r="AD4821" s="35"/>
      <c r="AE4821" s="35"/>
      <c r="AF4821" s="35"/>
      <c r="AG4821" s="35"/>
      <c r="AH4821" s="35"/>
      <c r="AI4821" s="35"/>
    </row>
    <row r="4822">
      <c r="A4822" s="251"/>
      <c r="B4822" s="252"/>
      <c r="C4822" s="253"/>
      <c r="D4822" s="253"/>
      <c r="E4822" s="252"/>
      <c r="F4822" s="253"/>
      <c r="G4822" s="251"/>
      <c r="H4822" s="433"/>
      <c r="I4822" s="278"/>
      <c r="J4822" s="257"/>
      <c r="K4822" s="253"/>
      <c r="L4822" s="253"/>
      <c r="M4822" s="252"/>
      <c r="N4822" s="258"/>
      <c r="O4822" s="259"/>
      <c r="P4822" s="259"/>
      <c r="Q4822" s="257"/>
      <c r="R4822" s="260"/>
      <c r="S4822" s="260"/>
      <c r="T4822" s="260"/>
      <c r="U4822" s="261"/>
      <c r="V4822" s="251"/>
      <c r="W4822" s="35"/>
      <c r="X4822" s="35"/>
      <c r="Y4822" s="35"/>
      <c r="Z4822" s="35"/>
      <c r="AA4822" s="35"/>
      <c r="AB4822" s="35"/>
      <c r="AC4822" s="35"/>
      <c r="AD4822" s="35"/>
      <c r="AE4822" s="35"/>
      <c r="AF4822" s="35"/>
      <c r="AG4822" s="35"/>
      <c r="AH4822" s="35"/>
      <c r="AI4822" s="35"/>
    </row>
    <row r="4823">
      <c r="A4823" s="251"/>
      <c r="B4823" s="252"/>
      <c r="C4823" s="253"/>
      <c r="D4823" s="253"/>
      <c r="E4823" s="252"/>
      <c r="F4823" s="253"/>
      <c r="G4823" s="251"/>
      <c r="H4823" s="433"/>
      <c r="I4823" s="278"/>
      <c r="J4823" s="257"/>
      <c r="K4823" s="253"/>
      <c r="L4823" s="253"/>
      <c r="M4823" s="252"/>
      <c r="N4823" s="258"/>
      <c r="O4823" s="259"/>
      <c r="P4823" s="259"/>
      <c r="Q4823" s="262"/>
      <c r="R4823" s="260"/>
      <c r="S4823" s="260"/>
      <c r="T4823" s="260"/>
      <c r="U4823" s="261"/>
      <c r="V4823" s="251"/>
      <c r="W4823" s="35"/>
      <c r="X4823" s="35"/>
      <c r="Y4823" s="35"/>
      <c r="Z4823" s="35"/>
      <c r="AA4823" s="35"/>
      <c r="AB4823" s="35"/>
      <c r="AC4823" s="35"/>
      <c r="AD4823" s="35"/>
      <c r="AE4823" s="35"/>
      <c r="AF4823" s="35"/>
      <c r="AG4823" s="35"/>
      <c r="AH4823" s="35"/>
      <c r="AI4823" s="35"/>
    </row>
    <row r="4824">
      <c r="A4824" s="251"/>
      <c r="B4824" s="252"/>
      <c r="C4824" s="253"/>
      <c r="D4824" s="253"/>
      <c r="E4824" s="252"/>
      <c r="F4824" s="253"/>
      <c r="G4824" s="251"/>
      <c r="H4824" s="433"/>
      <c r="I4824" s="278"/>
      <c r="J4824" s="257"/>
      <c r="K4824" s="253"/>
      <c r="L4824" s="253"/>
      <c r="M4824" s="252"/>
      <c r="N4824" s="258"/>
      <c r="O4824" s="259"/>
      <c r="P4824" s="259"/>
      <c r="Q4824" s="262"/>
      <c r="R4824" s="260"/>
      <c r="S4824" s="260"/>
      <c r="T4824" s="260"/>
      <c r="U4824" s="261"/>
      <c r="V4824" s="251"/>
      <c r="W4824" s="35"/>
      <c r="X4824" s="35"/>
      <c r="Y4824" s="35"/>
      <c r="Z4824" s="35"/>
      <c r="AA4824" s="35"/>
      <c r="AB4824" s="35"/>
      <c r="AC4824" s="35"/>
      <c r="AD4824" s="35"/>
      <c r="AE4824" s="35"/>
      <c r="AF4824" s="35"/>
      <c r="AG4824" s="35"/>
      <c r="AH4824" s="35"/>
      <c r="AI4824" s="35"/>
    </row>
    <row r="4825">
      <c r="A4825" s="251"/>
      <c r="B4825" s="252"/>
      <c r="C4825" s="253"/>
      <c r="D4825" s="253"/>
      <c r="E4825" s="252"/>
      <c r="F4825" s="253"/>
      <c r="G4825" s="251"/>
      <c r="H4825" s="433"/>
      <c r="I4825" s="278"/>
      <c r="J4825" s="257"/>
      <c r="K4825" s="253"/>
      <c r="L4825" s="253"/>
      <c r="M4825" s="252"/>
      <c r="N4825" s="258"/>
      <c r="O4825" s="259"/>
      <c r="P4825" s="259"/>
      <c r="Q4825" s="262"/>
      <c r="R4825" s="260"/>
      <c r="S4825" s="260"/>
      <c r="T4825" s="260"/>
      <c r="U4825" s="261"/>
      <c r="V4825" s="251"/>
      <c r="W4825" s="35"/>
      <c r="X4825" s="35"/>
      <c r="Y4825" s="35"/>
      <c r="Z4825" s="35"/>
      <c r="AA4825" s="35"/>
      <c r="AB4825" s="35"/>
      <c r="AC4825" s="35"/>
      <c r="AD4825" s="35"/>
      <c r="AE4825" s="35"/>
      <c r="AF4825" s="35"/>
      <c r="AG4825" s="35"/>
      <c r="AH4825" s="35"/>
      <c r="AI4825" s="35"/>
    </row>
    <row r="4826">
      <c r="A4826" s="251"/>
      <c r="B4826" s="252"/>
      <c r="C4826" s="253"/>
      <c r="D4826" s="253"/>
      <c r="E4826" s="252"/>
      <c r="F4826" s="253"/>
      <c r="G4826" s="251"/>
      <c r="H4826" s="433"/>
      <c r="I4826" s="278"/>
      <c r="J4826" s="257"/>
      <c r="K4826" s="253"/>
      <c r="L4826" s="253"/>
      <c r="M4826" s="252"/>
      <c r="N4826" s="258"/>
      <c r="O4826" s="259"/>
      <c r="P4826" s="259"/>
      <c r="Q4826" s="262"/>
      <c r="R4826" s="260"/>
      <c r="S4826" s="260"/>
      <c r="T4826" s="260"/>
      <c r="U4826" s="261"/>
      <c r="V4826" s="251"/>
      <c r="W4826" s="35"/>
      <c r="X4826" s="35"/>
      <c r="Y4826" s="35"/>
      <c r="Z4826" s="35"/>
      <c r="AA4826" s="35"/>
      <c r="AB4826" s="35"/>
      <c r="AC4826" s="35"/>
      <c r="AD4826" s="35"/>
      <c r="AE4826" s="35"/>
      <c r="AF4826" s="35"/>
      <c r="AG4826" s="35"/>
      <c r="AH4826" s="35"/>
      <c r="AI4826" s="35"/>
    </row>
    <row r="4827">
      <c r="A4827" s="263"/>
      <c r="B4827" s="264"/>
      <c r="C4827" s="265"/>
      <c r="D4827" s="265"/>
      <c r="E4827" s="264"/>
      <c r="F4827" s="265"/>
      <c r="G4827" s="263"/>
      <c r="H4827" s="432"/>
      <c r="I4827" s="282"/>
      <c r="J4827" s="283"/>
      <c r="K4827" s="265"/>
      <c r="L4827" s="265"/>
      <c r="M4827" s="269"/>
      <c r="N4827" s="270"/>
      <c r="O4827" s="271"/>
      <c r="P4827" s="271"/>
      <c r="Q4827" s="272"/>
      <c r="R4827" s="273"/>
      <c r="S4827" s="273"/>
      <c r="T4827" s="273"/>
      <c r="U4827" s="274"/>
      <c r="V4827" s="263"/>
      <c r="W4827" s="35"/>
      <c r="X4827" s="35"/>
      <c r="Y4827" s="35"/>
      <c r="Z4827" s="35"/>
      <c r="AA4827" s="35"/>
      <c r="AB4827" s="35"/>
      <c r="AC4827" s="35"/>
      <c r="AD4827" s="35"/>
      <c r="AE4827" s="35"/>
      <c r="AF4827" s="35"/>
      <c r="AG4827" s="35"/>
      <c r="AH4827" s="35"/>
      <c r="AI4827" s="35"/>
    </row>
    <row r="4828">
      <c r="A4828" s="251"/>
      <c r="B4828" s="252"/>
      <c r="C4828" s="253"/>
      <c r="D4828" s="253"/>
      <c r="E4828" s="252"/>
      <c r="F4828" s="253"/>
      <c r="G4828" s="251"/>
      <c r="H4828" s="433"/>
      <c r="I4828" s="278"/>
      <c r="J4828" s="257"/>
      <c r="K4828" s="253"/>
      <c r="L4828" s="253"/>
      <c r="M4828" s="252"/>
      <c r="N4828" s="258"/>
      <c r="O4828" s="259"/>
      <c r="P4828" s="259"/>
      <c r="Q4828" s="262"/>
      <c r="R4828" s="260"/>
      <c r="S4828" s="260"/>
      <c r="T4828" s="260"/>
      <c r="U4828" s="261"/>
      <c r="V4828" s="251"/>
      <c r="W4828" s="35"/>
      <c r="X4828" s="35"/>
      <c r="Y4828" s="35"/>
      <c r="Z4828" s="35"/>
      <c r="AA4828" s="35"/>
      <c r="AB4828" s="35"/>
      <c r="AC4828" s="35"/>
      <c r="AD4828" s="35"/>
      <c r="AE4828" s="35"/>
      <c r="AF4828" s="35"/>
      <c r="AG4828" s="35"/>
      <c r="AH4828" s="35"/>
      <c r="AI4828" s="35"/>
    </row>
    <row r="4829">
      <c r="A4829" s="251"/>
      <c r="B4829" s="252"/>
      <c r="C4829" s="253"/>
      <c r="D4829" s="253"/>
      <c r="E4829" s="252"/>
      <c r="F4829" s="253"/>
      <c r="G4829" s="251"/>
      <c r="H4829" s="433"/>
      <c r="I4829" s="278"/>
      <c r="J4829" s="257"/>
      <c r="K4829" s="253"/>
      <c r="L4829" s="253"/>
      <c r="M4829" s="275"/>
      <c r="N4829" s="258"/>
      <c r="O4829" s="259"/>
      <c r="P4829" s="259"/>
      <c r="Q4829" s="262"/>
      <c r="R4829" s="260"/>
      <c r="S4829" s="260"/>
      <c r="T4829" s="260"/>
      <c r="U4829" s="261"/>
      <c r="V4829" s="251"/>
      <c r="W4829" s="35"/>
      <c r="X4829" s="35"/>
      <c r="Y4829" s="35"/>
      <c r="Z4829" s="35"/>
      <c r="AA4829" s="35"/>
      <c r="AB4829" s="35"/>
      <c r="AC4829" s="35"/>
      <c r="AD4829" s="35"/>
      <c r="AE4829" s="35"/>
      <c r="AF4829" s="35"/>
      <c r="AG4829" s="35"/>
      <c r="AH4829" s="35"/>
      <c r="AI4829" s="35"/>
    </row>
    <row r="4830">
      <c r="A4830" s="251"/>
      <c r="B4830" s="252"/>
      <c r="C4830" s="253"/>
      <c r="D4830" s="253"/>
      <c r="E4830" s="252"/>
      <c r="F4830" s="253"/>
      <c r="G4830" s="251"/>
      <c r="H4830" s="433"/>
      <c r="I4830" s="278"/>
      <c r="J4830" s="257"/>
      <c r="K4830" s="253"/>
      <c r="L4830" s="253"/>
      <c r="M4830" s="275"/>
      <c r="N4830" s="258"/>
      <c r="O4830" s="259"/>
      <c r="P4830" s="259"/>
      <c r="Q4830" s="262"/>
      <c r="R4830" s="260"/>
      <c r="S4830" s="260"/>
      <c r="T4830" s="260"/>
      <c r="U4830" s="261"/>
      <c r="V4830" s="251"/>
      <c r="W4830" s="35"/>
      <c r="X4830" s="35"/>
      <c r="Y4830" s="35"/>
      <c r="Z4830" s="35"/>
      <c r="AA4830" s="35"/>
      <c r="AB4830" s="35"/>
      <c r="AC4830" s="35"/>
      <c r="AD4830" s="35"/>
      <c r="AE4830" s="35"/>
      <c r="AF4830" s="35"/>
      <c r="AG4830" s="35"/>
      <c r="AH4830" s="35"/>
      <c r="AI4830" s="35"/>
    </row>
    <row r="4831">
      <c r="A4831" s="251"/>
      <c r="B4831" s="252"/>
      <c r="C4831" s="253"/>
      <c r="D4831" s="253"/>
      <c r="E4831" s="252"/>
      <c r="F4831" s="253"/>
      <c r="G4831" s="251"/>
      <c r="H4831" s="433"/>
      <c r="I4831" s="278"/>
      <c r="J4831" s="257"/>
      <c r="K4831" s="253"/>
      <c r="L4831" s="253"/>
      <c r="M4831" s="252"/>
      <c r="N4831" s="258"/>
      <c r="O4831" s="259"/>
      <c r="P4831" s="259"/>
      <c r="Q4831" s="257"/>
      <c r="R4831" s="260"/>
      <c r="S4831" s="260"/>
      <c r="T4831" s="260"/>
      <c r="U4831" s="261"/>
      <c r="V4831" s="251"/>
      <c r="W4831" s="35"/>
      <c r="X4831" s="35"/>
      <c r="Y4831" s="35"/>
      <c r="Z4831" s="35"/>
      <c r="AA4831" s="35"/>
      <c r="AB4831" s="35"/>
      <c r="AC4831" s="35"/>
      <c r="AD4831" s="35"/>
      <c r="AE4831" s="35"/>
      <c r="AF4831" s="35"/>
      <c r="AG4831" s="35"/>
      <c r="AH4831" s="35"/>
      <c r="AI4831" s="35"/>
    </row>
    <row r="4832">
      <c r="A4832" s="251"/>
      <c r="B4832" s="252"/>
      <c r="C4832" s="253"/>
      <c r="D4832" s="253"/>
      <c r="E4832" s="252"/>
      <c r="F4832" s="253"/>
      <c r="G4832" s="251"/>
      <c r="H4832" s="433"/>
      <c r="I4832" s="278"/>
      <c r="J4832" s="257"/>
      <c r="K4832" s="253"/>
      <c r="L4832" s="253"/>
      <c r="M4832" s="252"/>
      <c r="N4832" s="258"/>
      <c r="O4832" s="259"/>
      <c r="P4832" s="259"/>
      <c r="Q4832" s="262"/>
      <c r="R4832" s="260"/>
      <c r="S4832" s="260"/>
      <c r="T4832" s="260"/>
      <c r="U4832" s="261"/>
      <c r="V4832" s="251"/>
      <c r="W4832" s="35"/>
      <c r="X4832" s="35"/>
      <c r="Y4832" s="35"/>
      <c r="Z4832" s="35"/>
      <c r="AA4832" s="35"/>
      <c r="AB4832" s="35"/>
      <c r="AC4832" s="35"/>
      <c r="AD4832" s="35"/>
      <c r="AE4832" s="35"/>
      <c r="AF4832" s="35"/>
      <c r="AG4832" s="35"/>
      <c r="AH4832" s="35"/>
      <c r="AI4832" s="35"/>
    </row>
    <row r="4833">
      <c r="A4833" s="251"/>
      <c r="B4833" s="252"/>
      <c r="C4833" s="253"/>
      <c r="D4833" s="253"/>
      <c r="E4833" s="252"/>
      <c r="F4833" s="253"/>
      <c r="G4833" s="251"/>
      <c r="H4833" s="433"/>
      <c r="I4833" s="278"/>
      <c r="J4833" s="257"/>
      <c r="K4833" s="253"/>
      <c r="L4833" s="253"/>
      <c r="M4833" s="275"/>
      <c r="N4833" s="258"/>
      <c r="O4833" s="259"/>
      <c r="P4833" s="259"/>
      <c r="Q4833" s="262"/>
      <c r="R4833" s="260"/>
      <c r="S4833" s="260"/>
      <c r="T4833" s="260"/>
      <c r="U4833" s="261"/>
      <c r="V4833" s="251"/>
      <c r="W4833" s="35"/>
      <c r="X4833" s="35"/>
      <c r="Y4833" s="35"/>
      <c r="Z4833" s="35"/>
      <c r="AA4833" s="35"/>
      <c r="AB4833" s="35"/>
      <c r="AC4833" s="35"/>
      <c r="AD4833" s="35"/>
      <c r="AE4833" s="35"/>
      <c r="AF4833" s="35"/>
      <c r="AG4833" s="35"/>
      <c r="AH4833" s="35"/>
      <c r="AI4833" s="35"/>
    </row>
    <row r="4834">
      <c r="A4834" s="251"/>
      <c r="B4834" s="252"/>
      <c r="C4834" s="253"/>
      <c r="D4834" s="253"/>
      <c r="E4834" s="252"/>
      <c r="F4834" s="253"/>
      <c r="G4834" s="251"/>
      <c r="H4834" s="433"/>
      <c r="I4834" s="278"/>
      <c r="J4834" s="257"/>
      <c r="K4834" s="253"/>
      <c r="L4834" s="253"/>
      <c r="M4834" s="252"/>
      <c r="N4834" s="258"/>
      <c r="O4834" s="259"/>
      <c r="P4834" s="259"/>
      <c r="Q4834" s="262"/>
      <c r="R4834" s="260"/>
      <c r="S4834" s="260"/>
      <c r="T4834" s="260"/>
      <c r="U4834" s="261"/>
      <c r="V4834" s="309"/>
      <c r="W4834" s="35"/>
      <c r="X4834" s="35"/>
      <c r="Y4834" s="35"/>
      <c r="Z4834" s="35"/>
      <c r="AA4834" s="35"/>
      <c r="AB4834" s="35"/>
      <c r="AC4834" s="35"/>
      <c r="AD4834" s="35"/>
      <c r="AE4834" s="35"/>
      <c r="AF4834" s="35"/>
      <c r="AG4834" s="35"/>
      <c r="AH4834" s="35"/>
      <c r="AI4834" s="35"/>
    </row>
    <row r="4835">
      <c r="A4835" s="251"/>
      <c r="B4835" s="252"/>
      <c r="C4835" s="253"/>
      <c r="D4835" s="253"/>
      <c r="E4835" s="252"/>
      <c r="F4835" s="253"/>
      <c r="G4835" s="251"/>
      <c r="H4835" s="433"/>
      <c r="I4835" s="278"/>
      <c r="J4835" s="257"/>
      <c r="K4835" s="253"/>
      <c r="L4835" s="253"/>
      <c r="M4835" s="252"/>
      <c r="N4835" s="258"/>
      <c r="O4835" s="259"/>
      <c r="P4835" s="259"/>
      <c r="Q4835" s="262"/>
      <c r="R4835" s="260"/>
      <c r="S4835" s="260"/>
      <c r="T4835" s="260"/>
      <c r="U4835" s="261"/>
      <c r="V4835" s="251"/>
      <c r="W4835" s="35"/>
      <c r="X4835" s="35"/>
      <c r="Y4835" s="35"/>
      <c r="Z4835" s="35"/>
      <c r="AA4835" s="35"/>
      <c r="AB4835" s="35"/>
      <c r="AC4835" s="35"/>
      <c r="AD4835" s="35"/>
      <c r="AE4835" s="35"/>
      <c r="AF4835" s="35"/>
      <c r="AG4835" s="35"/>
      <c r="AH4835" s="35"/>
      <c r="AI4835" s="35"/>
    </row>
    <row r="4836">
      <c r="A4836" s="251"/>
      <c r="B4836" s="252"/>
      <c r="C4836" s="253"/>
      <c r="D4836" s="253"/>
      <c r="E4836" s="362"/>
      <c r="F4836" s="253"/>
      <c r="G4836" s="251"/>
      <c r="H4836" s="433"/>
      <c r="I4836" s="278"/>
      <c r="J4836" s="257"/>
      <c r="K4836" s="253"/>
      <c r="L4836" s="253"/>
      <c r="M4836" s="252"/>
      <c r="N4836" s="258"/>
      <c r="O4836" s="259"/>
      <c r="P4836" s="259"/>
      <c r="Q4836" s="262"/>
      <c r="R4836" s="260"/>
      <c r="S4836" s="260"/>
      <c r="T4836" s="260"/>
      <c r="U4836" s="261"/>
      <c r="V4836" s="309"/>
      <c r="W4836" s="35"/>
      <c r="X4836" s="35"/>
      <c r="Y4836" s="35"/>
      <c r="Z4836" s="35"/>
      <c r="AA4836" s="35"/>
      <c r="AB4836" s="35"/>
      <c r="AC4836" s="35"/>
      <c r="AD4836" s="35"/>
      <c r="AE4836" s="35"/>
      <c r="AF4836" s="35"/>
      <c r="AG4836" s="35"/>
      <c r="AH4836" s="35"/>
      <c r="AI4836" s="35"/>
    </row>
    <row r="4837">
      <c r="A4837" s="251"/>
      <c r="B4837" s="252"/>
      <c r="C4837" s="253"/>
      <c r="D4837" s="253"/>
      <c r="E4837" s="252"/>
      <c r="F4837" s="253"/>
      <c r="G4837" s="251"/>
      <c r="H4837" s="433"/>
      <c r="I4837" s="278"/>
      <c r="J4837" s="257"/>
      <c r="K4837" s="253"/>
      <c r="L4837" s="253"/>
      <c r="M4837" s="275"/>
      <c r="N4837" s="258"/>
      <c r="O4837" s="259"/>
      <c r="P4837" s="259"/>
      <c r="Q4837" s="262"/>
      <c r="R4837" s="260"/>
      <c r="S4837" s="260"/>
      <c r="T4837" s="260"/>
      <c r="U4837" s="261"/>
      <c r="V4837" s="251"/>
      <c r="W4837" s="35"/>
      <c r="X4837" s="35"/>
      <c r="Y4837" s="35"/>
      <c r="Z4837" s="35"/>
      <c r="AA4837" s="35"/>
      <c r="AB4837" s="35"/>
      <c r="AC4837" s="35"/>
      <c r="AD4837" s="35"/>
      <c r="AE4837" s="35"/>
      <c r="AF4837" s="35"/>
      <c r="AG4837" s="35"/>
      <c r="AH4837" s="35"/>
      <c r="AI4837" s="35"/>
    </row>
    <row r="4838">
      <c r="A4838" s="251"/>
      <c r="B4838" s="252"/>
      <c r="C4838" s="253"/>
      <c r="D4838" s="253"/>
      <c r="E4838" s="252"/>
      <c r="F4838" s="253"/>
      <c r="G4838" s="251"/>
      <c r="H4838" s="433"/>
      <c r="I4838" s="278"/>
      <c r="J4838" s="257"/>
      <c r="K4838" s="253"/>
      <c r="L4838" s="253"/>
      <c r="M4838" s="252"/>
      <c r="N4838" s="258"/>
      <c r="O4838" s="259"/>
      <c r="P4838" s="259"/>
      <c r="Q4838" s="262"/>
      <c r="R4838" s="260"/>
      <c r="S4838" s="260"/>
      <c r="T4838" s="173"/>
      <c r="U4838" s="174"/>
      <c r="V4838" s="165"/>
      <c r="W4838" s="35"/>
      <c r="X4838" s="35"/>
      <c r="Y4838" s="35"/>
      <c r="Z4838" s="35"/>
      <c r="AA4838" s="35"/>
      <c r="AB4838" s="35"/>
      <c r="AC4838" s="35"/>
      <c r="AD4838" s="35"/>
      <c r="AE4838" s="35"/>
      <c r="AF4838" s="35"/>
      <c r="AG4838" s="35"/>
      <c r="AH4838" s="35"/>
      <c r="AI4838" s="35"/>
    </row>
    <row r="4839">
      <c r="A4839" s="251"/>
      <c r="B4839" s="252"/>
      <c r="C4839" s="253"/>
      <c r="D4839" s="253"/>
      <c r="E4839" s="252"/>
      <c r="F4839" s="253"/>
      <c r="G4839" s="251"/>
      <c r="H4839" s="433"/>
      <c r="I4839" s="278"/>
      <c r="J4839" s="257"/>
      <c r="K4839" s="253"/>
      <c r="L4839" s="253"/>
      <c r="M4839" s="252"/>
      <c r="N4839" s="258"/>
      <c r="O4839" s="259"/>
      <c r="P4839" s="259"/>
      <c r="Q4839" s="262"/>
      <c r="R4839" s="260"/>
      <c r="S4839" s="260"/>
      <c r="T4839" s="260"/>
      <c r="U4839" s="261"/>
      <c r="V4839" s="251"/>
      <c r="W4839" s="35"/>
      <c r="X4839" s="35"/>
      <c r="Y4839" s="35"/>
      <c r="Z4839" s="35"/>
      <c r="AA4839" s="35"/>
      <c r="AB4839" s="35"/>
      <c r="AC4839" s="35"/>
      <c r="AD4839" s="35"/>
      <c r="AE4839" s="35"/>
      <c r="AF4839" s="35"/>
      <c r="AG4839" s="35"/>
      <c r="AH4839" s="35"/>
      <c r="AI4839" s="35"/>
    </row>
    <row r="4840">
      <c r="A4840" s="251"/>
      <c r="B4840" s="252"/>
      <c r="C4840" s="253"/>
      <c r="D4840" s="253"/>
      <c r="E4840" s="252"/>
      <c r="F4840" s="253"/>
      <c r="G4840" s="251"/>
      <c r="H4840" s="433"/>
      <c r="I4840" s="278"/>
      <c r="J4840" s="257"/>
      <c r="K4840" s="253"/>
      <c r="L4840" s="253"/>
      <c r="M4840" s="252"/>
      <c r="N4840" s="258"/>
      <c r="O4840" s="259"/>
      <c r="P4840" s="259"/>
      <c r="Q4840" s="262"/>
      <c r="R4840" s="260"/>
      <c r="S4840" s="260"/>
      <c r="T4840" s="260"/>
      <c r="U4840" s="261"/>
      <c r="V4840" s="309"/>
      <c r="W4840" s="35"/>
      <c r="X4840" s="35"/>
      <c r="Y4840" s="35"/>
      <c r="Z4840" s="35"/>
      <c r="AA4840" s="35"/>
      <c r="AB4840" s="35"/>
      <c r="AC4840" s="35"/>
      <c r="AD4840" s="35"/>
      <c r="AE4840" s="35"/>
      <c r="AF4840" s="35"/>
      <c r="AG4840" s="35"/>
      <c r="AH4840" s="35"/>
      <c r="AI4840" s="35"/>
    </row>
    <row r="4841">
      <c r="A4841" s="251"/>
      <c r="B4841" s="252"/>
      <c r="C4841" s="253"/>
      <c r="D4841" s="253"/>
      <c r="E4841" s="252"/>
      <c r="F4841" s="253"/>
      <c r="G4841" s="251"/>
      <c r="H4841" s="433"/>
      <c r="I4841" s="278"/>
      <c r="J4841" s="257"/>
      <c r="K4841" s="253"/>
      <c r="L4841" s="253"/>
      <c r="M4841" s="252"/>
      <c r="N4841" s="258"/>
      <c r="O4841" s="259"/>
      <c r="P4841" s="259"/>
      <c r="Q4841" s="262"/>
      <c r="R4841" s="260"/>
      <c r="S4841" s="260"/>
      <c r="T4841" s="260"/>
      <c r="U4841" s="261"/>
      <c r="V4841" s="251"/>
      <c r="W4841" s="35"/>
      <c r="X4841" s="35"/>
      <c r="Y4841" s="35"/>
      <c r="Z4841" s="35"/>
      <c r="AA4841" s="35"/>
      <c r="AB4841" s="35"/>
      <c r="AC4841" s="35"/>
      <c r="AD4841" s="35"/>
      <c r="AE4841" s="35"/>
      <c r="AF4841" s="35"/>
      <c r="AG4841" s="35"/>
      <c r="AH4841" s="35"/>
      <c r="AI4841" s="35"/>
    </row>
    <row r="4842">
      <c r="A4842" s="251"/>
      <c r="B4842" s="252"/>
      <c r="C4842" s="253"/>
      <c r="D4842" s="253"/>
      <c r="E4842" s="252"/>
      <c r="F4842" s="253"/>
      <c r="G4842" s="251"/>
      <c r="H4842" s="433"/>
      <c r="I4842" s="278"/>
      <c r="J4842" s="257"/>
      <c r="K4842" s="253"/>
      <c r="L4842" s="253"/>
      <c r="M4842" s="252"/>
      <c r="N4842" s="258"/>
      <c r="O4842" s="259"/>
      <c r="P4842" s="259"/>
      <c r="Q4842" s="257"/>
      <c r="R4842" s="260"/>
      <c r="S4842" s="260"/>
      <c r="T4842" s="260"/>
      <c r="U4842" s="261"/>
      <c r="V4842" s="251"/>
      <c r="W4842" s="35"/>
      <c r="X4842" s="35"/>
      <c r="Y4842" s="35"/>
      <c r="Z4842" s="35"/>
      <c r="AA4842" s="35"/>
      <c r="AB4842" s="35"/>
      <c r="AC4842" s="35"/>
      <c r="AD4842" s="35"/>
      <c r="AE4842" s="35"/>
      <c r="AF4842" s="35"/>
      <c r="AG4842" s="35"/>
      <c r="AH4842" s="35"/>
      <c r="AI4842" s="35"/>
    </row>
    <row r="4843">
      <c r="A4843" s="251"/>
      <c r="B4843" s="252"/>
      <c r="C4843" s="253"/>
      <c r="D4843" s="253"/>
      <c r="E4843" s="252"/>
      <c r="F4843" s="253"/>
      <c r="G4843" s="251"/>
      <c r="H4843" s="433"/>
      <c r="I4843" s="278"/>
      <c r="J4843" s="257"/>
      <c r="K4843" s="253"/>
      <c r="L4843" s="253"/>
      <c r="M4843" s="252"/>
      <c r="N4843" s="258"/>
      <c r="O4843" s="259"/>
      <c r="P4843" s="259"/>
      <c r="Q4843" s="262"/>
      <c r="R4843" s="260"/>
      <c r="S4843" s="260"/>
      <c r="T4843" s="260"/>
      <c r="U4843" s="261"/>
      <c r="V4843" s="251"/>
      <c r="W4843" s="35"/>
      <c r="X4843" s="35"/>
      <c r="Y4843" s="35"/>
      <c r="Z4843" s="35"/>
      <c r="AA4843" s="35"/>
      <c r="AB4843" s="35"/>
      <c r="AC4843" s="35"/>
      <c r="AD4843" s="35"/>
      <c r="AE4843" s="35"/>
      <c r="AF4843" s="35"/>
      <c r="AG4843" s="35"/>
      <c r="AH4843" s="35"/>
      <c r="AI4843" s="35"/>
    </row>
    <row r="4844">
      <c r="A4844" s="251"/>
      <c r="B4844" s="252"/>
      <c r="C4844" s="253"/>
      <c r="D4844" s="253"/>
      <c r="E4844" s="252"/>
      <c r="F4844" s="253"/>
      <c r="G4844" s="251"/>
      <c r="H4844" s="433"/>
      <c r="I4844" s="278"/>
      <c r="J4844" s="257"/>
      <c r="K4844" s="253"/>
      <c r="L4844" s="253"/>
      <c r="M4844" s="252"/>
      <c r="N4844" s="258"/>
      <c r="O4844" s="259"/>
      <c r="P4844" s="259"/>
      <c r="Q4844" s="262"/>
      <c r="R4844" s="260"/>
      <c r="S4844" s="260"/>
      <c r="T4844" s="260"/>
      <c r="U4844" s="261"/>
      <c r="V4844" s="251"/>
      <c r="W4844" s="35"/>
      <c r="X4844" s="35"/>
      <c r="Y4844" s="35"/>
      <c r="Z4844" s="35"/>
      <c r="AA4844" s="35"/>
      <c r="AB4844" s="35"/>
      <c r="AC4844" s="35"/>
      <c r="AD4844" s="35"/>
      <c r="AE4844" s="35"/>
      <c r="AF4844" s="35"/>
      <c r="AG4844" s="35"/>
      <c r="AH4844" s="35"/>
      <c r="AI4844" s="35"/>
    </row>
    <row r="4845">
      <c r="A4845" s="251"/>
      <c r="B4845" s="252"/>
      <c r="C4845" s="253"/>
      <c r="D4845" s="253"/>
      <c r="E4845" s="252"/>
      <c r="F4845" s="253"/>
      <c r="G4845" s="251"/>
      <c r="H4845" s="433"/>
      <c r="I4845" s="278"/>
      <c r="J4845" s="257"/>
      <c r="K4845" s="253"/>
      <c r="L4845" s="253"/>
      <c r="M4845" s="252"/>
      <c r="N4845" s="258"/>
      <c r="O4845" s="259"/>
      <c r="P4845" s="259"/>
      <c r="Q4845" s="262"/>
      <c r="R4845" s="260"/>
      <c r="S4845" s="260"/>
      <c r="T4845" s="260"/>
      <c r="U4845" s="261"/>
      <c r="V4845" s="251"/>
      <c r="W4845" s="35"/>
      <c r="X4845" s="35"/>
      <c r="Y4845" s="35"/>
      <c r="Z4845" s="35"/>
      <c r="AA4845" s="35"/>
      <c r="AB4845" s="35"/>
      <c r="AC4845" s="35"/>
      <c r="AD4845" s="35"/>
      <c r="AE4845" s="35"/>
      <c r="AF4845" s="35"/>
      <c r="AG4845" s="35"/>
      <c r="AH4845" s="35"/>
      <c r="AI4845" s="35"/>
    </row>
    <row r="4846">
      <c r="A4846" s="251"/>
      <c r="B4846" s="252"/>
      <c r="C4846" s="253"/>
      <c r="D4846" s="253"/>
      <c r="E4846" s="252"/>
      <c r="F4846" s="253"/>
      <c r="G4846" s="251"/>
      <c r="H4846" s="433"/>
      <c r="I4846" s="278"/>
      <c r="J4846" s="257"/>
      <c r="K4846" s="253"/>
      <c r="L4846" s="253"/>
      <c r="M4846" s="275"/>
      <c r="N4846" s="258"/>
      <c r="O4846" s="259"/>
      <c r="P4846" s="259"/>
      <c r="Q4846" s="262"/>
      <c r="R4846" s="260"/>
      <c r="S4846" s="260"/>
      <c r="T4846" s="260"/>
      <c r="U4846" s="261"/>
      <c r="V4846" s="251"/>
      <c r="W4846" s="35"/>
      <c r="X4846" s="35"/>
      <c r="Y4846" s="35"/>
      <c r="Z4846" s="35"/>
      <c r="AA4846" s="35"/>
      <c r="AB4846" s="35"/>
      <c r="AC4846" s="35"/>
      <c r="AD4846" s="35"/>
      <c r="AE4846" s="35"/>
      <c r="AF4846" s="35"/>
      <c r="AG4846" s="35"/>
      <c r="AH4846" s="35"/>
      <c r="AI4846" s="35"/>
    </row>
    <row r="4847">
      <c r="A4847" s="251"/>
      <c r="B4847" s="252"/>
      <c r="C4847" s="253"/>
      <c r="D4847" s="253"/>
      <c r="E4847" s="252"/>
      <c r="F4847" s="253"/>
      <c r="G4847" s="251"/>
      <c r="H4847" s="433"/>
      <c r="I4847" s="278"/>
      <c r="J4847" s="257"/>
      <c r="K4847" s="253"/>
      <c r="L4847" s="253"/>
      <c r="M4847" s="252"/>
      <c r="N4847" s="258"/>
      <c r="O4847" s="259"/>
      <c r="P4847" s="259"/>
      <c r="Q4847" s="262"/>
      <c r="R4847" s="260"/>
      <c r="S4847" s="260"/>
      <c r="T4847" s="260"/>
      <c r="U4847" s="261"/>
      <c r="V4847" s="251"/>
      <c r="W4847" s="35"/>
      <c r="X4847" s="35"/>
      <c r="Y4847" s="35"/>
      <c r="Z4847" s="35"/>
      <c r="AA4847" s="35"/>
      <c r="AB4847" s="35"/>
      <c r="AC4847" s="35"/>
      <c r="AD4847" s="35"/>
      <c r="AE4847" s="35"/>
      <c r="AF4847" s="35"/>
      <c r="AG4847" s="35"/>
      <c r="AH4847" s="35"/>
      <c r="AI4847" s="35"/>
    </row>
    <row r="4848">
      <c r="A4848" s="251"/>
      <c r="B4848" s="252"/>
      <c r="C4848" s="253"/>
      <c r="D4848" s="253"/>
      <c r="E4848" s="252"/>
      <c r="F4848" s="253"/>
      <c r="G4848" s="251"/>
      <c r="H4848" s="433"/>
      <c r="I4848" s="278"/>
      <c r="J4848" s="257"/>
      <c r="K4848" s="253"/>
      <c r="L4848" s="253"/>
      <c r="M4848" s="252"/>
      <c r="N4848" s="258"/>
      <c r="O4848" s="259"/>
      <c r="P4848" s="259"/>
      <c r="Q4848" s="262"/>
      <c r="R4848" s="260"/>
      <c r="S4848" s="260"/>
      <c r="T4848" s="260"/>
      <c r="U4848" s="261"/>
      <c r="V4848" s="251"/>
      <c r="W4848" s="35"/>
      <c r="X4848" s="35"/>
      <c r="Y4848" s="35"/>
      <c r="Z4848" s="35"/>
      <c r="AA4848" s="35"/>
      <c r="AB4848" s="35"/>
      <c r="AC4848" s="35"/>
      <c r="AD4848" s="35"/>
      <c r="AE4848" s="35"/>
      <c r="AF4848" s="35"/>
      <c r="AG4848" s="35"/>
      <c r="AH4848" s="35"/>
      <c r="AI4848" s="35"/>
    </row>
    <row r="4849">
      <c r="A4849" s="251"/>
      <c r="B4849" s="252"/>
      <c r="C4849" s="253"/>
      <c r="D4849" s="253"/>
      <c r="E4849" s="252"/>
      <c r="F4849" s="253"/>
      <c r="G4849" s="251"/>
      <c r="H4849" s="433"/>
      <c r="I4849" s="278"/>
      <c r="J4849" s="257"/>
      <c r="K4849" s="253"/>
      <c r="L4849" s="253"/>
      <c r="M4849" s="252"/>
      <c r="N4849" s="258"/>
      <c r="O4849" s="259"/>
      <c r="P4849" s="259"/>
      <c r="Q4849" s="262"/>
      <c r="R4849" s="260"/>
      <c r="S4849" s="260"/>
      <c r="T4849" s="260"/>
      <c r="U4849" s="261"/>
      <c r="V4849" s="251"/>
      <c r="W4849" s="35"/>
      <c r="X4849" s="35"/>
      <c r="Y4849" s="35"/>
      <c r="Z4849" s="35"/>
      <c r="AA4849" s="35"/>
      <c r="AB4849" s="35"/>
      <c r="AC4849" s="35"/>
      <c r="AD4849" s="35"/>
      <c r="AE4849" s="35"/>
      <c r="AF4849" s="35"/>
      <c r="AG4849" s="35"/>
      <c r="AH4849" s="35"/>
      <c r="AI4849" s="35"/>
    </row>
    <row r="4850">
      <c r="A4850" s="251"/>
      <c r="B4850" s="252"/>
      <c r="C4850" s="253"/>
      <c r="D4850" s="253"/>
      <c r="E4850" s="252"/>
      <c r="F4850" s="253"/>
      <c r="G4850" s="251"/>
      <c r="H4850" s="433"/>
      <c r="I4850" s="278"/>
      <c r="J4850" s="257"/>
      <c r="K4850" s="253"/>
      <c r="L4850" s="253"/>
      <c r="M4850" s="275"/>
      <c r="N4850" s="258"/>
      <c r="O4850" s="259"/>
      <c r="P4850" s="259"/>
      <c r="Q4850" s="262"/>
      <c r="R4850" s="260"/>
      <c r="S4850" s="260"/>
      <c r="T4850" s="260"/>
      <c r="U4850" s="261"/>
      <c r="V4850" s="276"/>
      <c r="W4850" s="35"/>
      <c r="X4850" s="35"/>
      <c r="Y4850" s="35"/>
      <c r="Z4850" s="35"/>
      <c r="AA4850" s="35"/>
      <c r="AB4850" s="35"/>
      <c r="AC4850" s="35"/>
      <c r="AD4850" s="35"/>
      <c r="AE4850" s="35"/>
      <c r="AF4850" s="35"/>
      <c r="AG4850" s="35"/>
      <c r="AH4850" s="35"/>
      <c r="AI4850" s="35"/>
    </row>
    <row r="4851">
      <c r="A4851" s="251"/>
      <c r="B4851" s="252"/>
      <c r="C4851" s="253"/>
      <c r="D4851" s="253"/>
      <c r="E4851" s="252"/>
      <c r="F4851" s="253"/>
      <c r="G4851" s="251"/>
      <c r="H4851" s="433"/>
      <c r="I4851" s="278"/>
      <c r="J4851" s="257"/>
      <c r="K4851" s="253"/>
      <c r="L4851" s="253"/>
      <c r="M4851" s="252"/>
      <c r="N4851" s="258"/>
      <c r="O4851" s="259"/>
      <c r="P4851" s="259"/>
      <c r="Q4851" s="257"/>
      <c r="R4851" s="260"/>
      <c r="S4851" s="260"/>
      <c r="T4851" s="260"/>
      <c r="U4851" s="261"/>
      <c r="V4851" s="309"/>
      <c r="W4851" s="35"/>
      <c r="X4851" s="35"/>
      <c r="Y4851" s="35"/>
      <c r="Z4851" s="35"/>
      <c r="AA4851" s="35"/>
      <c r="AB4851" s="35"/>
      <c r="AC4851" s="35"/>
      <c r="AD4851" s="35"/>
      <c r="AE4851" s="35"/>
      <c r="AF4851" s="35"/>
      <c r="AG4851" s="35"/>
      <c r="AH4851" s="35"/>
      <c r="AI4851" s="35"/>
    </row>
    <row r="4852">
      <c r="A4852" s="251"/>
      <c r="B4852" s="252"/>
      <c r="C4852" s="253"/>
      <c r="D4852" s="253"/>
      <c r="E4852" s="252"/>
      <c r="F4852" s="253"/>
      <c r="G4852" s="251"/>
      <c r="H4852" s="433"/>
      <c r="I4852" s="278"/>
      <c r="J4852" s="257"/>
      <c r="K4852" s="253"/>
      <c r="L4852" s="253"/>
      <c r="M4852" s="252"/>
      <c r="N4852" s="258"/>
      <c r="O4852" s="259"/>
      <c r="P4852" s="259"/>
      <c r="Q4852" s="257"/>
      <c r="R4852" s="260"/>
      <c r="S4852" s="260"/>
      <c r="T4852" s="260"/>
      <c r="U4852" s="261"/>
      <c r="V4852" s="251"/>
      <c r="W4852" s="35"/>
      <c r="X4852" s="35"/>
      <c r="Y4852" s="35"/>
      <c r="Z4852" s="35"/>
      <c r="AA4852" s="35"/>
      <c r="AB4852" s="35"/>
      <c r="AC4852" s="35"/>
      <c r="AD4852" s="35"/>
      <c r="AE4852" s="35"/>
      <c r="AF4852" s="35"/>
      <c r="AG4852" s="35"/>
      <c r="AH4852" s="35"/>
      <c r="AI4852" s="35"/>
    </row>
    <row r="4853">
      <c r="A4853" s="251"/>
      <c r="B4853" s="252"/>
      <c r="C4853" s="253"/>
      <c r="D4853" s="253"/>
      <c r="E4853" s="252"/>
      <c r="F4853" s="253"/>
      <c r="G4853" s="251"/>
      <c r="H4853" s="433"/>
      <c r="I4853" s="278"/>
      <c r="J4853" s="257"/>
      <c r="K4853" s="253"/>
      <c r="L4853" s="253"/>
      <c r="M4853" s="252"/>
      <c r="N4853" s="258"/>
      <c r="O4853" s="259"/>
      <c r="P4853" s="259"/>
      <c r="Q4853" s="262"/>
      <c r="R4853" s="260"/>
      <c r="S4853" s="260"/>
      <c r="T4853" s="260"/>
      <c r="U4853" s="261"/>
      <c r="V4853" s="309"/>
      <c r="W4853" s="35"/>
      <c r="X4853" s="35"/>
      <c r="Y4853" s="35"/>
      <c r="Z4853" s="35"/>
      <c r="AA4853" s="35"/>
      <c r="AB4853" s="35"/>
      <c r="AC4853" s="35"/>
      <c r="AD4853" s="35"/>
      <c r="AE4853" s="35"/>
      <c r="AF4853" s="35"/>
      <c r="AG4853" s="35"/>
      <c r="AH4853" s="35"/>
      <c r="AI4853" s="35"/>
    </row>
    <row r="4854">
      <c r="A4854" s="251"/>
      <c r="B4854" s="252"/>
      <c r="C4854" s="253"/>
      <c r="D4854" s="253"/>
      <c r="E4854" s="252"/>
      <c r="F4854" s="253"/>
      <c r="G4854" s="251"/>
      <c r="H4854" s="433"/>
      <c r="I4854" s="278"/>
      <c r="J4854" s="257"/>
      <c r="K4854" s="253"/>
      <c r="L4854" s="253"/>
      <c r="M4854" s="252"/>
      <c r="N4854" s="258"/>
      <c r="O4854" s="259"/>
      <c r="P4854" s="259"/>
      <c r="Q4854" s="257"/>
      <c r="R4854" s="260"/>
      <c r="S4854" s="260"/>
      <c r="T4854" s="260"/>
      <c r="U4854" s="261"/>
      <c r="V4854" s="251"/>
      <c r="W4854" s="35"/>
      <c r="X4854" s="35"/>
      <c r="Y4854" s="35"/>
      <c r="Z4854" s="35"/>
      <c r="AA4854" s="35"/>
      <c r="AB4854" s="35"/>
      <c r="AC4854" s="35"/>
      <c r="AD4854" s="35"/>
      <c r="AE4854" s="35"/>
      <c r="AF4854" s="35"/>
      <c r="AG4854" s="35"/>
      <c r="AH4854" s="35"/>
      <c r="AI4854" s="35"/>
    </row>
    <row r="4855">
      <c r="A4855" s="251"/>
      <c r="B4855" s="252"/>
      <c r="C4855" s="253"/>
      <c r="D4855" s="253"/>
      <c r="E4855" s="252"/>
      <c r="F4855" s="253"/>
      <c r="G4855" s="251"/>
      <c r="H4855" s="433"/>
      <c r="I4855" s="278"/>
      <c r="J4855" s="257"/>
      <c r="K4855" s="253"/>
      <c r="L4855" s="253"/>
      <c r="M4855" s="252"/>
      <c r="N4855" s="258"/>
      <c r="O4855" s="259"/>
      <c r="P4855" s="259"/>
      <c r="Q4855" s="262"/>
      <c r="R4855" s="260"/>
      <c r="S4855" s="260"/>
      <c r="T4855" s="260"/>
      <c r="U4855" s="261"/>
      <c r="V4855" s="251"/>
      <c r="W4855" s="35"/>
      <c r="X4855" s="35"/>
      <c r="Y4855" s="35"/>
      <c r="Z4855" s="35"/>
      <c r="AA4855" s="35"/>
      <c r="AB4855" s="35"/>
      <c r="AC4855" s="35"/>
      <c r="AD4855" s="35"/>
      <c r="AE4855" s="35"/>
      <c r="AF4855" s="35"/>
      <c r="AG4855" s="35"/>
      <c r="AH4855" s="35"/>
      <c r="AI4855" s="35"/>
    </row>
    <row r="4856">
      <c r="A4856" s="165"/>
      <c r="B4856" s="166"/>
      <c r="C4856" s="166"/>
      <c r="D4856" s="166"/>
      <c r="E4856" s="166"/>
      <c r="F4856" s="166"/>
      <c r="G4856" s="165"/>
      <c r="H4856" s="167"/>
      <c r="I4856" s="168"/>
      <c r="J4856" s="169"/>
      <c r="K4856" s="166"/>
      <c r="L4856" s="166"/>
      <c r="M4856" s="205"/>
      <c r="N4856" s="170"/>
      <c r="O4856" s="171"/>
      <c r="P4856" s="171"/>
      <c r="Q4856" s="172"/>
      <c r="R4856" s="173"/>
      <c r="S4856" s="173"/>
      <c r="T4856" s="173"/>
      <c r="U4856" s="174"/>
      <c r="V4856" s="165"/>
      <c r="W4856" s="35"/>
      <c r="X4856" s="35"/>
      <c r="Y4856" s="35"/>
      <c r="Z4856" s="35"/>
      <c r="AA4856" s="35"/>
      <c r="AB4856" s="35"/>
      <c r="AC4856" s="35"/>
      <c r="AD4856" s="35"/>
      <c r="AE4856" s="35"/>
      <c r="AF4856" s="35"/>
      <c r="AG4856" s="35"/>
      <c r="AH4856" s="35"/>
      <c r="AI4856" s="35"/>
    </row>
    <row r="4857">
      <c r="A4857" s="251"/>
      <c r="B4857" s="252"/>
      <c r="C4857" s="253"/>
      <c r="D4857" s="253"/>
      <c r="E4857" s="252"/>
      <c r="F4857" s="253"/>
      <c r="G4857" s="251"/>
      <c r="H4857" s="433"/>
      <c r="I4857" s="278"/>
      <c r="J4857" s="257"/>
      <c r="K4857" s="253"/>
      <c r="L4857" s="253"/>
      <c r="M4857" s="252"/>
      <c r="N4857" s="258"/>
      <c r="O4857" s="259"/>
      <c r="P4857" s="259"/>
      <c r="Q4857" s="262"/>
      <c r="R4857" s="260"/>
      <c r="S4857" s="260"/>
      <c r="T4857" s="173"/>
      <c r="U4857" s="174"/>
      <c r="V4857" s="165"/>
      <c r="W4857" s="35"/>
      <c r="X4857" s="35"/>
      <c r="Y4857" s="35"/>
      <c r="Z4857" s="35"/>
      <c r="AA4857" s="35"/>
      <c r="AB4857" s="35"/>
      <c r="AC4857" s="35"/>
      <c r="AD4857" s="35"/>
      <c r="AE4857" s="35"/>
      <c r="AF4857" s="35"/>
      <c r="AG4857" s="35"/>
      <c r="AH4857" s="35"/>
      <c r="AI4857" s="35"/>
    </row>
    <row r="4858">
      <c r="A4858" s="251"/>
      <c r="B4858" s="252"/>
      <c r="C4858" s="253"/>
      <c r="D4858" s="253"/>
      <c r="E4858" s="252"/>
      <c r="F4858" s="253"/>
      <c r="G4858" s="251"/>
      <c r="H4858" s="433"/>
      <c r="I4858" s="278"/>
      <c r="J4858" s="257"/>
      <c r="K4858" s="253"/>
      <c r="L4858" s="253"/>
      <c r="M4858" s="252"/>
      <c r="N4858" s="258"/>
      <c r="O4858" s="259"/>
      <c r="P4858" s="259"/>
      <c r="Q4858" s="257"/>
      <c r="R4858" s="260"/>
      <c r="S4858" s="260"/>
      <c r="T4858" s="260"/>
      <c r="U4858" s="261"/>
      <c r="V4858" s="251"/>
      <c r="W4858" s="35"/>
      <c r="X4858" s="35"/>
      <c r="Y4858" s="35"/>
      <c r="Z4858" s="35"/>
      <c r="AA4858" s="35"/>
      <c r="AB4858" s="35"/>
      <c r="AC4858" s="35"/>
      <c r="AD4858" s="35"/>
      <c r="AE4858" s="35"/>
      <c r="AF4858" s="35"/>
      <c r="AG4858" s="35"/>
      <c r="AH4858" s="35"/>
      <c r="AI4858" s="35"/>
    </row>
    <row r="4859">
      <c r="A4859" s="251"/>
      <c r="B4859" s="252"/>
      <c r="C4859" s="253"/>
      <c r="D4859" s="253"/>
      <c r="E4859" s="252"/>
      <c r="F4859" s="253"/>
      <c r="G4859" s="251"/>
      <c r="H4859" s="433"/>
      <c r="I4859" s="278"/>
      <c r="J4859" s="257"/>
      <c r="K4859" s="253"/>
      <c r="L4859" s="253"/>
      <c r="M4859" s="252"/>
      <c r="N4859" s="258"/>
      <c r="O4859" s="259"/>
      <c r="P4859" s="259"/>
      <c r="Q4859" s="262"/>
      <c r="R4859" s="260"/>
      <c r="S4859" s="260"/>
      <c r="T4859" s="260"/>
      <c r="U4859" s="261"/>
      <c r="V4859" s="251"/>
      <c r="W4859" s="35"/>
      <c r="X4859" s="35"/>
      <c r="Y4859" s="35"/>
      <c r="Z4859" s="35"/>
      <c r="AA4859" s="35"/>
      <c r="AB4859" s="35"/>
      <c r="AC4859" s="35"/>
      <c r="AD4859" s="35"/>
      <c r="AE4859" s="35"/>
      <c r="AF4859" s="35"/>
      <c r="AG4859" s="35"/>
      <c r="AH4859" s="35"/>
      <c r="AI4859" s="35"/>
    </row>
    <row r="4860">
      <c r="A4860" s="251"/>
      <c r="B4860" s="252"/>
      <c r="C4860" s="253"/>
      <c r="D4860" s="253"/>
      <c r="E4860" s="252"/>
      <c r="F4860" s="253"/>
      <c r="G4860" s="251"/>
      <c r="H4860" s="433"/>
      <c r="I4860" s="278"/>
      <c r="J4860" s="257"/>
      <c r="K4860" s="253"/>
      <c r="L4860" s="253"/>
      <c r="M4860" s="252"/>
      <c r="N4860" s="258"/>
      <c r="O4860" s="259"/>
      <c r="P4860" s="259"/>
      <c r="Q4860" s="257"/>
      <c r="R4860" s="260"/>
      <c r="S4860" s="260"/>
      <c r="T4860" s="260"/>
      <c r="U4860" s="261"/>
      <c r="V4860" s="309"/>
      <c r="W4860" s="35"/>
      <c r="X4860" s="35"/>
      <c r="Y4860" s="35"/>
      <c r="Z4860" s="35"/>
      <c r="AA4860" s="35"/>
      <c r="AB4860" s="35"/>
      <c r="AC4860" s="35"/>
      <c r="AD4860" s="35"/>
      <c r="AE4860" s="35"/>
      <c r="AF4860" s="35"/>
      <c r="AG4860" s="35"/>
      <c r="AH4860" s="35"/>
      <c r="AI4860" s="35"/>
    </row>
    <row r="4861">
      <c r="A4861" s="251"/>
      <c r="B4861" s="252"/>
      <c r="C4861" s="253"/>
      <c r="D4861" s="253"/>
      <c r="E4861" s="252"/>
      <c r="F4861" s="253"/>
      <c r="G4861" s="251"/>
      <c r="H4861" s="433"/>
      <c r="I4861" s="278"/>
      <c r="J4861" s="257"/>
      <c r="K4861" s="253"/>
      <c r="L4861" s="253"/>
      <c r="M4861" s="275"/>
      <c r="N4861" s="258"/>
      <c r="O4861" s="259"/>
      <c r="P4861" s="259"/>
      <c r="Q4861" s="262"/>
      <c r="R4861" s="260"/>
      <c r="S4861" s="260"/>
      <c r="T4861" s="260"/>
      <c r="U4861" s="261"/>
      <c r="V4861" s="276"/>
      <c r="W4861" s="35"/>
      <c r="X4861" s="35"/>
      <c r="Y4861" s="35"/>
      <c r="Z4861" s="35"/>
      <c r="AA4861" s="35"/>
      <c r="AB4861" s="35"/>
      <c r="AC4861" s="35"/>
      <c r="AD4861" s="35"/>
      <c r="AE4861" s="35"/>
      <c r="AF4861" s="35"/>
      <c r="AG4861" s="35"/>
      <c r="AH4861" s="35"/>
      <c r="AI4861" s="35"/>
    </row>
    <row r="4862">
      <c r="A4862" s="251"/>
      <c r="B4862" s="252"/>
      <c r="C4862" s="253"/>
      <c r="D4862" s="253"/>
      <c r="E4862" s="252"/>
      <c r="F4862" s="253"/>
      <c r="G4862" s="251"/>
      <c r="H4862" s="433"/>
      <c r="I4862" s="278"/>
      <c r="J4862" s="257"/>
      <c r="K4862" s="253"/>
      <c r="L4862" s="253"/>
      <c r="M4862" s="275"/>
      <c r="N4862" s="258"/>
      <c r="O4862" s="259"/>
      <c r="P4862" s="259"/>
      <c r="Q4862" s="262"/>
      <c r="R4862" s="260"/>
      <c r="S4862" s="260"/>
      <c r="T4862" s="260"/>
      <c r="U4862" s="261"/>
      <c r="V4862" s="251"/>
      <c r="W4862" s="35"/>
      <c r="X4862" s="35"/>
      <c r="Y4862" s="35"/>
      <c r="Z4862" s="35"/>
      <c r="AA4862" s="35"/>
      <c r="AB4862" s="35"/>
      <c r="AC4862" s="35"/>
      <c r="AD4862" s="35"/>
      <c r="AE4862" s="35"/>
      <c r="AF4862" s="35"/>
      <c r="AG4862" s="35"/>
      <c r="AH4862" s="35"/>
      <c r="AI4862" s="35"/>
    </row>
    <row r="4863">
      <c r="A4863" s="251"/>
      <c r="B4863" s="252"/>
      <c r="C4863" s="253"/>
      <c r="D4863" s="253"/>
      <c r="E4863" s="252"/>
      <c r="F4863" s="253"/>
      <c r="G4863" s="251"/>
      <c r="H4863" s="433"/>
      <c r="I4863" s="278"/>
      <c r="J4863" s="257"/>
      <c r="K4863" s="253"/>
      <c r="L4863" s="253"/>
      <c r="M4863" s="252"/>
      <c r="N4863" s="258"/>
      <c r="O4863" s="259"/>
      <c r="P4863" s="259"/>
      <c r="Q4863" s="262"/>
      <c r="R4863" s="260"/>
      <c r="S4863" s="260"/>
      <c r="T4863" s="260"/>
      <c r="U4863" s="261"/>
      <c r="V4863" s="251"/>
      <c r="W4863" s="35"/>
      <c r="X4863" s="35"/>
      <c r="Y4863" s="35"/>
      <c r="Z4863" s="35"/>
      <c r="AA4863" s="35"/>
      <c r="AB4863" s="35"/>
      <c r="AC4863" s="35"/>
      <c r="AD4863" s="35"/>
      <c r="AE4863" s="35"/>
      <c r="AF4863" s="35"/>
      <c r="AG4863" s="35"/>
      <c r="AH4863" s="35"/>
      <c r="AI4863" s="35"/>
    </row>
    <row r="4864">
      <c r="A4864" s="251"/>
      <c r="B4864" s="252"/>
      <c r="C4864" s="253"/>
      <c r="D4864" s="253"/>
      <c r="E4864" s="252"/>
      <c r="F4864" s="253"/>
      <c r="G4864" s="251"/>
      <c r="H4864" s="433"/>
      <c r="I4864" s="278"/>
      <c r="J4864" s="257"/>
      <c r="K4864" s="253"/>
      <c r="L4864" s="253"/>
      <c r="M4864" s="252"/>
      <c r="N4864" s="258"/>
      <c r="O4864" s="259"/>
      <c r="P4864" s="259"/>
      <c r="Q4864" s="257"/>
      <c r="R4864" s="260"/>
      <c r="S4864" s="260"/>
      <c r="T4864" s="260"/>
      <c r="U4864" s="261"/>
      <c r="V4864" s="309"/>
      <c r="W4864" s="35"/>
      <c r="X4864" s="35"/>
      <c r="Y4864" s="35"/>
      <c r="Z4864" s="35"/>
      <c r="AA4864" s="35"/>
      <c r="AB4864" s="35"/>
      <c r="AC4864" s="35"/>
      <c r="AD4864" s="35"/>
      <c r="AE4864" s="35"/>
      <c r="AF4864" s="35"/>
      <c r="AG4864" s="35"/>
      <c r="AH4864" s="35"/>
      <c r="AI4864" s="35"/>
    </row>
    <row r="4865">
      <c r="A4865" s="251"/>
      <c r="B4865" s="252"/>
      <c r="C4865" s="253"/>
      <c r="D4865" s="253"/>
      <c r="E4865" s="252"/>
      <c r="F4865" s="253"/>
      <c r="G4865" s="251"/>
      <c r="H4865" s="433"/>
      <c r="I4865" s="278"/>
      <c r="J4865" s="257"/>
      <c r="K4865" s="253"/>
      <c r="L4865" s="253"/>
      <c r="M4865" s="252"/>
      <c r="N4865" s="258"/>
      <c r="O4865" s="259"/>
      <c r="P4865" s="259"/>
      <c r="Q4865" s="262"/>
      <c r="R4865" s="260"/>
      <c r="S4865" s="260"/>
      <c r="T4865" s="260"/>
      <c r="U4865" s="261"/>
      <c r="V4865" s="251"/>
      <c r="W4865" s="35"/>
      <c r="X4865" s="35"/>
      <c r="Y4865" s="35"/>
      <c r="Z4865" s="35"/>
      <c r="AA4865" s="35"/>
      <c r="AB4865" s="35"/>
      <c r="AC4865" s="35"/>
      <c r="AD4865" s="35"/>
      <c r="AE4865" s="35"/>
      <c r="AF4865" s="35"/>
      <c r="AG4865" s="35"/>
      <c r="AH4865" s="35"/>
      <c r="AI4865" s="35"/>
    </row>
    <row r="4866">
      <c r="A4866" s="251"/>
      <c r="B4866" s="252"/>
      <c r="C4866" s="253"/>
      <c r="D4866" s="253"/>
      <c r="E4866" s="252"/>
      <c r="F4866" s="253"/>
      <c r="G4866" s="251"/>
      <c r="H4866" s="433"/>
      <c r="I4866" s="278"/>
      <c r="J4866" s="257"/>
      <c r="K4866" s="253"/>
      <c r="L4866" s="253"/>
      <c r="M4866" s="252"/>
      <c r="N4866" s="258"/>
      <c r="O4866" s="259"/>
      <c r="P4866" s="259"/>
      <c r="Q4866" s="262"/>
      <c r="R4866" s="260"/>
      <c r="S4866" s="260"/>
      <c r="T4866" s="260"/>
      <c r="U4866" s="261"/>
      <c r="V4866" s="309"/>
      <c r="W4866" s="35"/>
      <c r="X4866" s="35"/>
      <c r="Y4866" s="35"/>
      <c r="Z4866" s="35"/>
      <c r="AA4866" s="35"/>
      <c r="AB4866" s="35"/>
      <c r="AC4866" s="35"/>
      <c r="AD4866" s="35"/>
      <c r="AE4866" s="35"/>
      <c r="AF4866" s="35"/>
      <c r="AG4866" s="35"/>
      <c r="AH4866" s="35"/>
      <c r="AI4866" s="35"/>
    </row>
    <row r="4867">
      <c r="A4867" s="251"/>
      <c r="B4867" s="252"/>
      <c r="C4867" s="253"/>
      <c r="D4867" s="253"/>
      <c r="E4867" s="252"/>
      <c r="F4867" s="253"/>
      <c r="G4867" s="251"/>
      <c r="H4867" s="433"/>
      <c r="I4867" s="278"/>
      <c r="J4867" s="257"/>
      <c r="K4867" s="253"/>
      <c r="L4867" s="253"/>
      <c r="M4867" s="275"/>
      <c r="N4867" s="258"/>
      <c r="O4867" s="259"/>
      <c r="P4867" s="259"/>
      <c r="Q4867" s="262"/>
      <c r="R4867" s="260"/>
      <c r="S4867" s="260"/>
      <c r="T4867" s="260"/>
      <c r="U4867" s="261"/>
      <c r="V4867" s="251"/>
      <c r="W4867" s="35"/>
      <c r="X4867" s="35"/>
      <c r="Y4867" s="35"/>
      <c r="Z4867" s="35"/>
      <c r="AA4867" s="35"/>
      <c r="AB4867" s="35"/>
      <c r="AC4867" s="35"/>
      <c r="AD4867" s="35"/>
      <c r="AE4867" s="35"/>
      <c r="AF4867" s="35"/>
      <c r="AG4867" s="35"/>
      <c r="AH4867" s="35"/>
      <c r="AI4867" s="35"/>
    </row>
    <row r="4868">
      <c r="A4868" s="251"/>
      <c r="B4868" s="252"/>
      <c r="C4868" s="253"/>
      <c r="D4868" s="253"/>
      <c r="E4868" s="252"/>
      <c r="F4868" s="253"/>
      <c r="G4868" s="251"/>
      <c r="H4868" s="433"/>
      <c r="I4868" s="278"/>
      <c r="J4868" s="257"/>
      <c r="K4868" s="253"/>
      <c r="L4868" s="253"/>
      <c r="M4868" s="252"/>
      <c r="N4868" s="258"/>
      <c r="O4868" s="259"/>
      <c r="P4868" s="259"/>
      <c r="Q4868" s="262"/>
      <c r="R4868" s="260"/>
      <c r="S4868" s="260"/>
      <c r="T4868" s="260"/>
      <c r="U4868" s="261"/>
      <c r="V4868" s="276"/>
      <c r="W4868" s="35"/>
      <c r="X4868" s="35"/>
      <c r="Y4868" s="35"/>
      <c r="Z4868" s="35"/>
      <c r="AA4868" s="35"/>
      <c r="AB4868" s="35"/>
      <c r="AC4868" s="35"/>
      <c r="AD4868" s="35"/>
      <c r="AE4868" s="35"/>
      <c r="AF4868" s="35"/>
      <c r="AG4868" s="35"/>
      <c r="AH4868" s="35"/>
      <c r="AI4868" s="35"/>
    </row>
    <row r="4869">
      <c r="A4869" s="251"/>
      <c r="B4869" s="252"/>
      <c r="C4869" s="253"/>
      <c r="D4869" s="253"/>
      <c r="E4869" s="252"/>
      <c r="F4869" s="253"/>
      <c r="G4869" s="251"/>
      <c r="H4869" s="433"/>
      <c r="I4869" s="278"/>
      <c r="J4869" s="257"/>
      <c r="K4869" s="253"/>
      <c r="L4869" s="253"/>
      <c r="M4869" s="252"/>
      <c r="N4869" s="258"/>
      <c r="O4869" s="259"/>
      <c r="P4869" s="259"/>
      <c r="Q4869" s="262"/>
      <c r="R4869" s="260"/>
      <c r="S4869" s="260"/>
      <c r="T4869" s="260"/>
      <c r="U4869" s="261"/>
      <c r="V4869" s="309"/>
      <c r="W4869" s="35"/>
      <c r="X4869" s="35"/>
      <c r="Y4869" s="35"/>
      <c r="Z4869" s="35"/>
      <c r="AA4869" s="35"/>
      <c r="AB4869" s="35"/>
      <c r="AC4869" s="35"/>
      <c r="AD4869" s="35"/>
      <c r="AE4869" s="35"/>
      <c r="AF4869" s="35"/>
      <c r="AG4869" s="35"/>
      <c r="AH4869" s="35"/>
      <c r="AI4869" s="35"/>
    </row>
    <row r="4870">
      <c r="A4870" s="251"/>
      <c r="B4870" s="252"/>
      <c r="C4870" s="253"/>
      <c r="D4870" s="253"/>
      <c r="E4870" s="252"/>
      <c r="F4870" s="253"/>
      <c r="G4870" s="251"/>
      <c r="H4870" s="433"/>
      <c r="I4870" s="278"/>
      <c r="J4870" s="257"/>
      <c r="K4870" s="253"/>
      <c r="L4870" s="253"/>
      <c r="M4870" s="252"/>
      <c r="N4870" s="258"/>
      <c r="O4870" s="259"/>
      <c r="P4870" s="259"/>
      <c r="Q4870" s="262"/>
      <c r="R4870" s="260"/>
      <c r="S4870" s="260"/>
      <c r="T4870" s="260"/>
      <c r="U4870" s="261"/>
      <c r="V4870" s="251"/>
      <c r="W4870" s="35"/>
      <c r="X4870" s="35"/>
      <c r="Y4870" s="35"/>
      <c r="Z4870" s="35"/>
      <c r="AA4870" s="35"/>
      <c r="AB4870" s="35"/>
      <c r="AC4870" s="35"/>
      <c r="AD4870" s="35"/>
      <c r="AE4870" s="35"/>
      <c r="AF4870" s="35"/>
      <c r="AG4870" s="35"/>
      <c r="AH4870" s="35"/>
      <c r="AI4870" s="35"/>
    </row>
    <row r="4871">
      <c r="A4871" s="251"/>
      <c r="B4871" s="252"/>
      <c r="C4871" s="253"/>
      <c r="D4871" s="253"/>
      <c r="E4871" s="252"/>
      <c r="F4871" s="253"/>
      <c r="G4871" s="251"/>
      <c r="H4871" s="433"/>
      <c r="I4871" s="278"/>
      <c r="J4871" s="257"/>
      <c r="K4871" s="253"/>
      <c r="L4871" s="253"/>
      <c r="M4871" s="252"/>
      <c r="N4871" s="258"/>
      <c r="O4871" s="259"/>
      <c r="P4871" s="259"/>
      <c r="Q4871" s="262"/>
      <c r="R4871" s="260"/>
      <c r="S4871" s="260"/>
      <c r="T4871" s="260"/>
      <c r="U4871" s="261"/>
      <c r="V4871" s="251"/>
      <c r="W4871" s="35"/>
      <c r="X4871" s="35"/>
      <c r="Y4871" s="35"/>
      <c r="Z4871" s="35"/>
      <c r="AA4871" s="35"/>
      <c r="AB4871" s="35"/>
      <c r="AC4871" s="35"/>
      <c r="AD4871" s="35"/>
      <c r="AE4871" s="35"/>
      <c r="AF4871" s="35"/>
      <c r="AG4871" s="35"/>
      <c r="AH4871" s="35"/>
      <c r="AI4871" s="35"/>
    </row>
    <row r="4872">
      <c r="A4872" s="251"/>
      <c r="B4872" s="252"/>
      <c r="C4872" s="253"/>
      <c r="D4872" s="253"/>
      <c r="E4872" s="252"/>
      <c r="F4872" s="253"/>
      <c r="G4872" s="251"/>
      <c r="H4872" s="433"/>
      <c r="I4872" s="278"/>
      <c r="J4872" s="257"/>
      <c r="K4872" s="253"/>
      <c r="L4872" s="253"/>
      <c r="M4872" s="252"/>
      <c r="N4872" s="258"/>
      <c r="O4872" s="259"/>
      <c r="P4872" s="259"/>
      <c r="Q4872" s="262"/>
      <c r="R4872" s="260"/>
      <c r="S4872" s="260"/>
      <c r="T4872" s="260"/>
      <c r="U4872" s="261"/>
      <c r="V4872" s="309"/>
      <c r="W4872" s="35"/>
      <c r="X4872" s="35"/>
      <c r="Y4872" s="35"/>
      <c r="Z4872" s="35"/>
      <c r="AA4872" s="35"/>
      <c r="AB4872" s="35"/>
      <c r="AC4872" s="35"/>
      <c r="AD4872" s="35"/>
      <c r="AE4872" s="35"/>
      <c r="AF4872" s="35"/>
      <c r="AG4872" s="35"/>
      <c r="AH4872" s="35"/>
      <c r="AI4872" s="35"/>
    </row>
    <row r="4873">
      <c r="A4873" s="251"/>
      <c r="B4873" s="252"/>
      <c r="C4873" s="253"/>
      <c r="D4873" s="253"/>
      <c r="E4873" s="252"/>
      <c r="F4873" s="253"/>
      <c r="G4873" s="251"/>
      <c r="H4873" s="433"/>
      <c r="I4873" s="278"/>
      <c r="J4873" s="257"/>
      <c r="K4873" s="253"/>
      <c r="L4873" s="253"/>
      <c r="M4873" s="275"/>
      <c r="N4873" s="258"/>
      <c r="O4873" s="259"/>
      <c r="P4873" s="259"/>
      <c r="Q4873" s="262"/>
      <c r="R4873" s="260"/>
      <c r="S4873" s="260"/>
      <c r="T4873" s="260"/>
      <c r="U4873" s="261"/>
      <c r="V4873" s="309"/>
      <c r="W4873" s="35"/>
      <c r="X4873" s="35"/>
      <c r="Y4873" s="35"/>
      <c r="Z4873" s="35"/>
      <c r="AA4873" s="35"/>
      <c r="AB4873" s="35"/>
      <c r="AC4873" s="35"/>
      <c r="AD4873" s="35"/>
      <c r="AE4873" s="35"/>
      <c r="AF4873" s="35"/>
      <c r="AG4873" s="35"/>
      <c r="AH4873" s="35"/>
      <c r="AI4873" s="35"/>
    </row>
    <row r="4874">
      <c r="A4874" s="251"/>
      <c r="B4874" s="252"/>
      <c r="C4874" s="253"/>
      <c r="D4874" s="253"/>
      <c r="E4874" s="252"/>
      <c r="F4874" s="253"/>
      <c r="G4874" s="251"/>
      <c r="H4874" s="433"/>
      <c r="I4874" s="278"/>
      <c r="J4874" s="257"/>
      <c r="K4874" s="253"/>
      <c r="L4874" s="253"/>
      <c r="M4874" s="275"/>
      <c r="N4874" s="258"/>
      <c r="O4874" s="259"/>
      <c r="P4874" s="259"/>
      <c r="Q4874" s="262"/>
      <c r="R4874" s="260"/>
      <c r="S4874" s="260"/>
      <c r="T4874" s="260"/>
      <c r="U4874" s="261"/>
      <c r="V4874" s="309"/>
      <c r="W4874" s="35"/>
      <c r="X4874" s="35"/>
      <c r="Y4874" s="35"/>
      <c r="Z4874" s="35"/>
      <c r="AA4874" s="35"/>
      <c r="AB4874" s="35"/>
      <c r="AC4874" s="35"/>
      <c r="AD4874" s="35"/>
      <c r="AE4874" s="35"/>
      <c r="AF4874" s="35"/>
      <c r="AG4874" s="35"/>
      <c r="AH4874" s="35"/>
      <c r="AI4874" s="35"/>
    </row>
    <row r="4875">
      <c r="A4875" s="251"/>
      <c r="B4875" s="252"/>
      <c r="C4875" s="253"/>
      <c r="D4875" s="253"/>
      <c r="E4875" s="252"/>
      <c r="F4875" s="253"/>
      <c r="G4875" s="251"/>
      <c r="H4875" s="433"/>
      <c r="I4875" s="278"/>
      <c r="J4875" s="257"/>
      <c r="K4875" s="253"/>
      <c r="L4875" s="253"/>
      <c r="M4875" s="252"/>
      <c r="N4875" s="258"/>
      <c r="O4875" s="259"/>
      <c r="P4875" s="259"/>
      <c r="Q4875" s="262"/>
      <c r="R4875" s="260"/>
      <c r="S4875" s="260"/>
      <c r="T4875" s="260"/>
      <c r="U4875" s="261"/>
      <c r="V4875" s="276"/>
      <c r="W4875" s="35"/>
      <c r="X4875" s="35"/>
      <c r="Y4875" s="35"/>
      <c r="Z4875" s="35"/>
      <c r="AA4875" s="35"/>
      <c r="AB4875" s="35"/>
      <c r="AC4875" s="35"/>
      <c r="AD4875" s="35"/>
      <c r="AE4875" s="35"/>
      <c r="AF4875" s="35"/>
      <c r="AG4875" s="35"/>
      <c r="AH4875" s="35"/>
      <c r="AI4875" s="35"/>
    </row>
    <row r="4876">
      <c r="A4876" s="276"/>
      <c r="B4876" s="252"/>
      <c r="C4876" s="253"/>
      <c r="D4876" s="253"/>
      <c r="E4876" s="252"/>
      <c r="F4876" s="253"/>
      <c r="G4876" s="251"/>
      <c r="H4876" s="433"/>
      <c r="I4876" s="278"/>
      <c r="J4876" s="257"/>
      <c r="K4876" s="253"/>
      <c r="L4876" s="253"/>
      <c r="M4876" s="252"/>
      <c r="N4876" s="258"/>
      <c r="O4876" s="259"/>
      <c r="P4876" s="259"/>
      <c r="Q4876" s="257"/>
      <c r="R4876" s="260"/>
      <c r="S4876" s="260"/>
      <c r="T4876" s="260"/>
      <c r="U4876" s="261"/>
      <c r="V4876" s="251"/>
      <c r="W4876" s="35"/>
      <c r="X4876" s="35"/>
      <c r="Y4876" s="35"/>
      <c r="Z4876" s="35"/>
      <c r="AA4876" s="35"/>
      <c r="AB4876" s="35"/>
      <c r="AC4876" s="35"/>
      <c r="AD4876" s="35"/>
      <c r="AE4876" s="35"/>
      <c r="AF4876" s="35"/>
      <c r="AG4876" s="35"/>
      <c r="AH4876" s="35"/>
      <c r="AI4876" s="35"/>
    </row>
    <row r="4877">
      <c r="A4877" s="251"/>
      <c r="B4877" s="252"/>
      <c r="C4877" s="253"/>
      <c r="D4877" s="253"/>
      <c r="E4877" s="252"/>
      <c r="F4877" s="253"/>
      <c r="G4877" s="251"/>
      <c r="H4877" s="433"/>
      <c r="I4877" s="278"/>
      <c r="J4877" s="257"/>
      <c r="K4877" s="253"/>
      <c r="L4877" s="253"/>
      <c r="M4877" s="275"/>
      <c r="N4877" s="258"/>
      <c r="O4877" s="259"/>
      <c r="P4877" s="259"/>
      <c r="Q4877" s="262"/>
      <c r="R4877" s="260"/>
      <c r="S4877" s="260"/>
      <c r="T4877" s="260"/>
      <c r="U4877" s="261"/>
      <c r="V4877" s="276"/>
      <c r="W4877" s="35"/>
      <c r="X4877" s="35"/>
      <c r="Y4877" s="35"/>
      <c r="Z4877" s="35"/>
      <c r="AA4877" s="35"/>
      <c r="AB4877" s="35"/>
      <c r="AC4877" s="35"/>
      <c r="AD4877" s="35"/>
      <c r="AE4877" s="35"/>
      <c r="AF4877" s="35"/>
      <c r="AG4877" s="35"/>
      <c r="AH4877" s="35"/>
      <c r="AI4877" s="35"/>
    </row>
    <row r="4878">
      <c r="A4878" s="251"/>
      <c r="B4878" s="252"/>
      <c r="C4878" s="253"/>
      <c r="D4878" s="253"/>
      <c r="E4878" s="252"/>
      <c r="F4878" s="253"/>
      <c r="G4878" s="251"/>
      <c r="H4878" s="433"/>
      <c r="I4878" s="278"/>
      <c r="J4878" s="257"/>
      <c r="K4878" s="253"/>
      <c r="L4878" s="253"/>
      <c r="M4878" s="252"/>
      <c r="N4878" s="258"/>
      <c r="O4878" s="259"/>
      <c r="P4878" s="259"/>
      <c r="Q4878" s="262"/>
      <c r="R4878" s="260"/>
      <c r="S4878" s="260"/>
      <c r="T4878" s="260"/>
      <c r="U4878" s="261"/>
      <c r="V4878" s="309"/>
      <c r="W4878" s="35"/>
      <c r="X4878" s="35"/>
      <c r="Y4878" s="35"/>
      <c r="Z4878" s="35"/>
      <c r="AA4878" s="35"/>
      <c r="AB4878" s="35"/>
      <c r="AC4878" s="35"/>
      <c r="AD4878" s="35"/>
      <c r="AE4878" s="35"/>
      <c r="AF4878" s="35"/>
      <c r="AG4878" s="35"/>
      <c r="AH4878" s="35"/>
      <c r="AI4878" s="35"/>
    </row>
    <row r="4879">
      <c r="A4879" s="251"/>
      <c r="B4879" s="252"/>
      <c r="C4879" s="253"/>
      <c r="D4879" s="253"/>
      <c r="E4879" s="252"/>
      <c r="F4879" s="253"/>
      <c r="G4879" s="251"/>
      <c r="H4879" s="433"/>
      <c r="I4879" s="278"/>
      <c r="J4879" s="257"/>
      <c r="K4879" s="253"/>
      <c r="L4879" s="253"/>
      <c r="M4879" s="252"/>
      <c r="N4879" s="258"/>
      <c r="O4879" s="259"/>
      <c r="P4879" s="259"/>
      <c r="Q4879" s="262"/>
      <c r="R4879" s="260"/>
      <c r="S4879" s="260"/>
      <c r="T4879" s="260"/>
      <c r="U4879" s="261"/>
      <c r="V4879" s="251"/>
      <c r="W4879" s="35"/>
      <c r="X4879" s="35"/>
      <c r="Y4879" s="35"/>
      <c r="Z4879" s="35"/>
      <c r="AA4879" s="35"/>
      <c r="AB4879" s="35"/>
      <c r="AC4879" s="35"/>
      <c r="AD4879" s="35"/>
      <c r="AE4879" s="35"/>
      <c r="AF4879" s="35"/>
      <c r="AG4879" s="35"/>
      <c r="AH4879" s="35"/>
      <c r="AI4879" s="35"/>
    </row>
    <row r="4880">
      <c r="A4880" s="251"/>
      <c r="B4880" s="252"/>
      <c r="C4880" s="253"/>
      <c r="D4880" s="253"/>
      <c r="E4880" s="252"/>
      <c r="F4880" s="253"/>
      <c r="G4880" s="251"/>
      <c r="H4880" s="433"/>
      <c r="I4880" s="278"/>
      <c r="J4880" s="257"/>
      <c r="K4880" s="253"/>
      <c r="L4880" s="253"/>
      <c r="M4880" s="252"/>
      <c r="N4880" s="258"/>
      <c r="O4880" s="259"/>
      <c r="P4880" s="259"/>
      <c r="Q4880" s="262"/>
      <c r="R4880" s="260"/>
      <c r="S4880" s="260"/>
      <c r="T4880" s="260"/>
      <c r="U4880" s="261"/>
      <c r="V4880" s="309"/>
      <c r="W4880" s="35"/>
      <c r="X4880" s="35"/>
      <c r="Y4880" s="35"/>
      <c r="Z4880" s="35"/>
      <c r="AA4880" s="35"/>
      <c r="AB4880" s="35"/>
      <c r="AC4880" s="35"/>
      <c r="AD4880" s="35"/>
      <c r="AE4880" s="35"/>
      <c r="AF4880" s="35"/>
      <c r="AG4880" s="35"/>
      <c r="AH4880" s="35"/>
      <c r="AI4880" s="35"/>
    </row>
    <row r="4881">
      <c r="A4881" s="251"/>
      <c r="B4881" s="252"/>
      <c r="C4881" s="253"/>
      <c r="D4881" s="253"/>
      <c r="E4881" s="252"/>
      <c r="F4881" s="253"/>
      <c r="G4881" s="251"/>
      <c r="H4881" s="433"/>
      <c r="I4881" s="278"/>
      <c r="J4881" s="257"/>
      <c r="K4881" s="253"/>
      <c r="L4881" s="253"/>
      <c r="M4881" s="275"/>
      <c r="N4881" s="258"/>
      <c r="O4881" s="259"/>
      <c r="P4881" s="259"/>
      <c r="Q4881" s="262"/>
      <c r="R4881" s="260"/>
      <c r="S4881" s="260"/>
      <c r="T4881" s="260"/>
      <c r="U4881" s="261"/>
      <c r="V4881" s="309"/>
      <c r="W4881" s="35"/>
      <c r="X4881" s="35"/>
      <c r="Y4881" s="35"/>
      <c r="Z4881" s="35"/>
      <c r="AA4881" s="35"/>
      <c r="AB4881" s="35"/>
      <c r="AC4881" s="35"/>
      <c r="AD4881" s="35"/>
      <c r="AE4881" s="35"/>
      <c r="AF4881" s="35"/>
      <c r="AG4881" s="35"/>
      <c r="AH4881" s="35"/>
      <c r="AI4881" s="35"/>
    </row>
    <row r="4882">
      <c r="A4882" s="251"/>
      <c r="B4882" s="252"/>
      <c r="C4882" s="253"/>
      <c r="D4882" s="253"/>
      <c r="E4882" s="252"/>
      <c r="F4882" s="253"/>
      <c r="G4882" s="251"/>
      <c r="H4882" s="433"/>
      <c r="I4882" s="278"/>
      <c r="J4882" s="257"/>
      <c r="K4882" s="253"/>
      <c r="L4882" s="253"/>
      <c r="M4882" s="252"/>
      <c r="N4882" s="258"/>
      <c r="O4882" s="259"/>
      <c r="P4882" s="259"/>
      <c r="Q4882" s="257"/>
      <c r="R4882" s="260"/>
      <c r="S4882" s="260"/>
      <c r="T4882" s="173"/>
      <c r="U4882" s="174"/>
      <c r="V4882" s="165"/>
      <c r="W4882" s="35"/>
      <c r="X4882" s="35"/>
      <c r="Y4882" s="35"/>
      <c r="Z4882" s="35"/>
      <c r="AA4882" s="35"/>
      <c r="AB4882" s="35"/>
      <c r="AC4882" s="35"/>
      <c r="AD4882" s="35"/>
      <c r="AE4882" s="35"/>
      <c r="AF4882" s="35"/>
      <c r="AG4882" s="35"/>
      <c r="AH4882" s="35"/>
      <c r="AI4882" s="35"/>
    </row>
    <row r="4883">
      <c r="A4883" s="251"/>
      <c r="B4883" s="252"/>
      <c r="C4883" s="253"/>
      <c r="D4883" s="253"/>
      <c r="E4883" s="252"/>
      <c r="F4883" s="253"/>
      <c r="G4883" s="251"/>
      <c r="H4883" s="433"/>
      <c r="I4883" s="278"/>
      <c r="J4883" s="257"/>
      <c r="K4883" s="253"/>
      <c r="L4883" s="253"/>
      <c r="M4883" s="252"/>
      <c r="N4883" s="258"/>
      <c r="O4883" s="259"/>
      <c r="P4883" s="259"/>
      <c r="Q4883" s="262"/>
      <c r="R4883" s="260"/>
      <c r="S4883" s="260"/>
      <c r="T4883" s="260"/>
      <c r="U4883" s="261"/>
      <c r="V4883" s="309"/>
      <c r="W4883" s="35"/>
      <c r="X4883" s="35"/>
      <c r="Y4883" s="35"/>
      <c r="Z4883" s="35"/>
      <c r="AA4883" s="35"/>
      <c r="AB4883" s="35"/>
      <c r="AC4883" s="35"/>
      <c r="AD4883" s="35"/>
      <c r="AE4883" s="35"/>
      <c r="AF4883" s="35"/>
      <c r="AG4883" s="35"/>
      <c r="AH4883" s="35"/>
      <c r="AI4883" s="35"/>
    </row>
    <row r="4884">
      <c r="A4884" s="251"/>
      <c r="B4884" s="252"/>
      <c r="C4884" s="253"/>
      <c r="D4884" s="253"/>
      <c r="E4884" s="252"/>
      <c r="F4884" s="253"/>
      <c r="G4884" s="251"/>
      <c r="H4884" s="433"/>
      <c r="I4884" s="278"/>
      <c r="J4884" s="257"/>
      <c r="K4884" s="253"/>
      <c r="L4884" s="253"/>
      <c r="M4884" s="252"/>
      <c r="N4884" s="258"/>
      <c r="O4884" s="259"/>
      <c r="P4884" s="259"/>
      <c r="Q4884" s="262"/>
      <c r="R4884" s="260"/>
      <c r="S4884" s="260"/>
      <c r="T4884" s="260"/>
      <c r="U4884" s="261"/>
      <c r="V4884" s="309"/>
      <c r="W4884" s="35"/>
      <c r="X4884" s="35"/>
      <c r="Y4884" s="35"/>
      <c r="Z4884" s="35"/>
      <c r="AA4884" s="35"/>
      <c r="AB4884" s="35"/>
      <c r="AC4884" s="35"/>
      <c r="AD4884" s="35"/>
      <c r="AE4884" s="35"/>
      <c r="AF4884" s="35"/>
      <c r="AG4884" s="35"/>
      <c r="AH4884" s="35"/>
      <c r="AI4884" s="35"/>
    </row>
    <row r="4885">
      <c r="A4885" s="251"/>
      <c r="B4885" s="252"/>
      <c r="C4885" s="253"/>
      <c r="D4885" s="253"/>
      <c r="E4885" s="252"/>
      <c r="F4885" s="253"/>
      <c r="G4885" s="251"/>
      <c r="H4885" s="433"/>
      <c r="I4885" s="278"/>
      <c r="J4885" s="257"/>
      <c r="K4885" s="253"/>
      <c r="L4885" s="253"/>
      <c r="M4885" s="252"/>
      <c r="N4885" s="258"/>
      <c r="O4885" s="259"/>
      <c r="P4885" s="259"/>
      <c r="Q4885" s="257"/>
      <c r="R4885" s="260"/>
      <c r="S4885" s="260"/>
      <c r="T4885" s="260"/>
      <c r="U4885" s="261"/>
      <c r="V4885" s="276"/>
      <c r="W4885" s="35"/>
      <c r="X4885" s="35"/>
      <c r="Y4885" s="35"/>
      <c r="Z4885" s="35"/>
      <c r="AA4885" s="35"/>
      <c r="AB4885" s="35"/>
      <c r="AC4885" s="35"/>
      <c r="AD4885" s="35"/>
      <c r="AE4885" s="35"/>
      <c r="AF4885" s="35"/>
      <c r="AG4885" s="35"/>
      <c r="AH4885" s="35"/>
      <c r="AI4885" s="35"/>
    </row>
    <row r="4886">
      <c r="A4886" s="251"/>
      <c r="B4886" s="252"/>
      <c r="C4886" s="253"/>
      <c r="D4886" s="253"/>
      <c r="E4886" s="252"/>
      <c r="F4886" s="253"/>
      <c r="G4886" s="251"/>
      <c r="H4886" s="433"/>
      <c r="I4886" s="278"/>
      <c r="J4886" s="257"/>
      <c r="K4886" s="253"/>
      <c r="L4886" s="253"/>
      <c r="M4886" s="252"/>
      <c r="N4886" s="258"/>
      <c r="O4886" s="259"/>
      <c r="P4886" s="259"/>
      <c r="Q4886" s="262"/>
      <c r="R4886" s="260"/>
      <c r="S4886" s="260"/>
      <c r="T4886" s="260"/>
      <c r="U4886" s="261"/>
      <c r="V4886" s="276"/>
      <c r="W4886" s="35"/>
      <c r="X4886" s="35"/>
      <c r="Y4886" s="35"/>
      <c r="Z4886" s="35"/>
      <c r="AA4886" s="35"/>
      <c r="AB4886" s="35"/>
      <c r="AC4886" s="35"/>
      <c r="AD4886" s="35"/>
      <c r="AE4886" s="35"/>
      <c r="AF4886" s="35"/>
      <c r="AG4886" s="35"/>
      <c r="AH4886" s="35"/>
      <c r="AI4886" s="35"/>
    </row>
    <row r="4887">
      <c r="A4887" s="251"/>
      <c r="B4887" s="252"/>
      <c r="C4887" s="253"/>
      <c r="D4887" s="253"/>
      <c r="E4887" s="252"/>
      <c r="F4887" s="253"/>
      <c r="G4887" s="251"/>
      <c r="H4887" s="433"/>
      <c r="I4887" s="278"/>
      <c r="J4887" s="257"/>
      <c r="K4887" s="253"/>
      <c r="L4887" s="253"/>
      <c r="M4887" s="275"/>
      <c r="N4887" s="258"/>
      <c r="O4887" s="259"/>
      <c r="P4887" s="259"/>
      <c r="Q4887" s="262"/>
      <c r="R4887" s="260"/>
      <c r="S4887" s="260"/>
      <c r="T4887" s="260"/>
      <c r="U4887" s="261"/>
      <c r="V4887" s="309"/>
      <c r="W4887" s="35"/>
      <c r="X4887" s="35"/>
      <c r="Y4887" s="35"/>
      <c r="Z4887" s="35"/>
      <c r="AA4887" s="35"/>
      <c r="AB4887" s="35"/>
      <c r="AC4887" s="35"/>
      <c r="AD4887" s="35"/>
      <c r="AE4887" s="35"/>
      <c r="AF4887" s="35"/>
      <c r="AG4887" s="35"/>
      <c r="AH4887" s="35"/>
      <c r="AI4887" s="35"/>
    </row>
    <row r="4888">
      <c r="A4888" s="251"/>
      <c r="B4888" s="252"/>
      <c r="C4888" s="253"/>
      <c r="D4888" s="253"/>
      <c r="E4888" s="252"/>
      <c r="F4888" s="253"/>
      <c r="G4888" s="251"/>
      <c r="H4888" s="433"/>
      <c r="I4888" s="278"/>
      <c r="J4888" s="257"/>
      <c r="K4888" s="253"/>
      <c r="L4888" s="253"/>
      <c r="M4888" s="252"/>
      <c r="N4888" s="258"/>
      <c r="O4888" s="259"/>
      <c r="P4888" s="259"/>
      <c r="Q4888" s="262"/>
      <c r="R4888" s="260"/>
      <c r="S4888" s="260"/>
      <c r="T4888" s="260"/>
      <c r="U4888" s="261"/>
      <c r="V4888" s="309"/>
      <c r="W4888" s="35"/>
      <c r="X4888" s="35"/>
      <c r="Y4888" s="35"/>
      <c r="Z4888" s="35"/>
      <c r="AA4888" s="35"/>
      <c r="AB4888" s="35"/>
      <c r="AC4888" s="35"/>
      <c r="AD4888" s="35"/>
      <c r="AE4888" s="35"/>
      <c r="AF4888" s="35"/>
      <c r="AG4888" s="35"/>
      <c r="AH4888" s="35"/>
      <c r="AI4888" s="35"/>
    </row>
    <row r="4889">
      <c r="A4889" s="251"/>
      <c r="B4889" s="252"/>
      <c r="C4889" s="253"/>
      <c r="D4889" s="253"/>
      <c r="E4889" s="252"/>
      <c r="F4889" s="253"/>
      <c r="G4889" s="251"/>
      <c r="H4889" s="433"/>
      <c r="I4889" s="278"/>
      <c r="J4889" s="257"/>
      <c r="K4889" s="253"/>
      <c r="L4889" s="253"/>
      <c r="M4889" s="252"/>
      <c r="N4889" s="258"/>
      <c r="O4889" s="259"/>
      <c r="P4889" s="259"/>
      <c r="Q4889" s="257"/>
      <c r="R4889" s="260"/>
      <c r="S4889" s="260"/>
      <c r="T4889" s="260"/>
      <c r="U4889" s="261"/>
      <c r="V4889" s="251"/>
      <c r="W4889" s="35"/>
      <c r="X4889" s="35"/>
      <c r="Y4889" s="35"/>
      <c r="Z4889" s="35"/>
      <c r="AA4889" s="35"/>
      <c r="AB4889" s="35"/>
      <c r="AC4889" s="35"/>
      <c r="AD4889" s="35"/>
      <c r="AE4889" s="35"/>
      <c r="AF4889" s="35"/>
      <c r="AG4889" s="35"/>
      <c r="AH4889" s="35"/>
      <c r="AI4889" s="35"/>
    </row>
    <row r="4890">
      <c r="A4890" s="251"/>
      <c r="B4890" s="252"/>
      <c r="C4890" s="253"/>
      <c r="D4890" s="253"/>
      <c r="E4890" s="252"/>
      <c r="F4890" s="253"/>
      <c r="G4890" s="251"/>
      <c r="H4890" s="433"/>
      <c r="I4890" s="278"/>
      <c r="J4890" s="257"/>
      <c r="K4890" s="253"/>
      <c r="L4890" s="253"/>
      <c r="M4890" s="252"/>
      <c r="N4890" s="258"/>
      <c r="O4890" s="259"/>
      <c r="P4890" s="259"/>
      <c r="Q4890" s="262"/>
      <c r="R4890" s="260"/>
      <c r="S4890" s="260"/>
      <c r="T4890" s="260"/>
      <c r="U4890" s="261"/>
      <c r="V4890" s="276"/>
      <c r="W4890" s="35"/>
      <c r="X4890" s="35"/>
      <c r="Y4890" s="35"/>
      <c r="Z4890" s="35"/>
      <c r="AA4890" s="35"/>
      <c r="AB4890" s="35"/>
      <c r="AC4890" s="35"/>
      <c r="AD4890" s="35"/>
      <c r="AE4890" s="35"/>
      <c r="AF4890" s="35"/>
      <c r="AG4890" s="35"/>
      <c r="AH4890" s="35"/>
      <c r="AI4890" s="35"/>
    </row>
    <row r="4891">
      <c r="A4891" s="251"/>
      <c r="B4891" s="252"/>
      <c r="C4891" s="253"/>
      <c r="D4891" s="253"/>
      <c r="E4891" s="252"/>
      <c r="F4891" s="253"/>
      <c r="G4891" s="251"/>
      <c r="H4891" s="433"/>
      <c r="I4891" s="278"/>
      <c r="J4891" s="257"/>
      <c r="K4891" s="253"/>
      <c r="L4891" s="253"/>
      <c r="M4891" s="275"/>
      <c r="N4891" s="258"/>
      <c r="O4891" s="259"/>
      <c r="P4891" s="259"/>
      <c r="Q4891" s="262"/>
      <c r="R4891" s="260"/>
      <c r="S4891" s="260"/>
      <c r="T4891" s="260"/>
      <c r="U4891" s="261"/>
      <c r="V4891" s="309"/>
      <c r="W4891" s="35"/>
      <c r="X4891" s="35"/>
      <c r="Y4891" s="35"/>
      <c r="Z4891" s="35"/>
      <c r="AA4891" s="35"/>
      <c r="AB4891" s="35"/>
      <c r="AC4891" s="35"/>
      <c r="AD4891" s="35"/>
      <c r="AE4891" s="35"/>
      <c r="AF4891" s="35"/>
      <c r="AG4891" s="35"/>
      <c r="AH4891" s="35"/>
      <c r="AI4891" s="35"/>
    </row>
    <row r="4892">
      <c r="A4892" s="251"/>
      <c r="B4892" s="252"/>
      <c r="C4892" s="253"/>
      <c r="D4892" s="253"/>
      <c r="E4892" s="252"/>
      <c r="F4892" s="253"/>
      <c r="G4892" s="251"/>
      <c r="H4892" s="433"/>
      <c r="I4892" s="278"/>
      <c r="J4892" s="257"/>
      <c r="K4892" s="253"/>
      <c r="L4892" s="253"/>
      <c r="M4892" s="252"/>
      <c r="N4892" s="258"/>
      <c r="O4892" s="259"/>
      <c r="P4892" s="259"/>
      <c r="Q4892" s="262"/>
      <c r="R4892" s="260"/>
      <c r="S4892" s="260"/>
      <c r="T4892" s="260"/>
      <c r="U4892" s="261"/>
      <c r="V4892" s="276"/>
      <c r="W4892" s="35"/>
      <c r="X4892" s="35"/>
      <c r="Y4892" s="35"/>
      <c r="Z4892" s="35"/>
      <c r="AA4892" s="35"/>
      <c r="AB4892" s="35"/>
      <c r="AC4892" s="35"/>
      <c r="AD4892" s="35"/>
      <c r="AE4892" s="35"/>
      <c r="AF4892" s="35"/>
      <c r="AG4892" s="35"/>
      <c r="AH4892" s="35"/>
      <c r="AI4892" s="35"/>
    </row>
    <row r="4893">
      <c r="A4893" s="251"/>
      <c r="B4893" s="252"/>
      <c r="C4893" s="253"/>
      <c r="D4893" s="253"/>
      <c r="E4893" s="252"/>
      <c r="F4893" s="253"/>
      <c r="G4893" s="251"/>
      <c r="H4893" s="433"/>
      <c r="I4893" s="278"/>
      <c r="J4893" s="257"/>
      <c r="K4893" s="253"/>
      <c r="L4893" s="253"/>
      <c r="M4893" s="275"/>
      <c r="N4893" s="258"/>
      <c r="O4893" s="259"/>
      <c r="P4893" s="259"/>
      <c r="Q4893" s="262"/>
      <c r="R4893" s="260"/>
      <c r="S4893" s="260"/>
      <c r="T4893" s="260"/>
      <c r="U4893" s="261"/>
      <c r="V4893" s="251"/>
      <c r="W4893" s="35"/>
      <c r="X4893" s="35"/>
      <c r="Y4893" s="35"/>
      <c r="Z4893" s="35"/>
      <c r="AA4893" s="35"/>
      <c r="AB4893" s="35"/>
      <c r="AC4893" s="35"/>
      <c r="AD4893" s="35"/>
      <c r="AE4893" s="35"/>
      <c r="AF4893" s="35"/>
      <c r="AG4893" s="35"/>
      <c r="AH4893" s="35"/>
      <c r="AI4893" s="35"/>
    </row>
    <row r="4894">
      <c r="A4894" s="251"/>
      <c r="B4894" s="252"/>
      <c r="C4894" s="253"/>
      <c r="D4894" s="253"/>
      <c r="E4894" s="252"/>
      <c r="F4894" s="253"/>
      <c r="G4894" s="251"/>
      <c r="H4894" s="433"/>
      <c r="I4894" s="278"/>
      <c r="J4894" s="257"/>
      <c r="K4894" s="253"/>
      <c r="L4894" s="253"/>
      <c r="M4894" s="275"/>
      <c r="N4894" s="258"/>
      <c r="O4894" s="259"/>
      <c r="P4894" s="259"/>
      <c r="Q4894" s="262"/>
      <c r="R4894" s="260"/>
      <c r="S4894" s="260"/>
      <c r="T4894" s="260"/>
      <c r="U4894" s="261"/>
      <c r="V4894" s="309"/>
      <c r="W4894" s="35"/>
      <c r="X4894" s="35"/>
      <c r="Y4894" s="35"/>
      <c r="Z4894" s="35"/>
      <c r="AA4894" s="35"/>
      <c r="AB4894" s="35"/>
      <c r="AC4894" s="35"/>
      <c r="AD4894" s="35"/>
      <c r="AE4894" s="35"/>
      <c r="AF4894" s="35"/>
      <c r="AG4894" s="35"/>
      <c r="AH4894" s="35"/>
      <c r="AI4894" s="35"/>
    </row>
    <row r="4895">
      <c r="A4895" s="251"/>
      <c r="B4895" s="252"/>
      <c r="C4895" s="253"/>
      <c r="D4895" s="253"/>
      <c r="E4895" s="252"/>
      <c r="F4895" s="253"/>
      <c r="G4895" s="251"/>
      <c r="H4895" s="433"/>
      <c r="I4895" s="278"/>
      <c r="J4895" s="257"/>
      <c r="K4895" s="253"/>
      <c r="L4895" s="253"/>
      <c r="M4895" s="252"/>
      <c r="N4895" s="258"/>
      <c r="O4895" s="259"/>
      <c r="P4895" s="259"/>
      <c r="Q4895" s="262"/>
      <c r="R4895" s="260"/>
      <c r="S4895" s="260"/>
      <c r="T4895" s="260"/>
      <c r="U4895" s="261"/>
      <c r="V4895" s="251"/>
      <c r="W4895" s="35"/>
      <c r="X4895" s="35"/>
      <c r="Y4895" s="35"/>
      <c r="Z4895" s="35"/>
      <c r="AA4895" s="35"/>
      <c r="AB4895" s="35"/>
      <c r="AC4895" s="35"/>
      <c r="AD4895" s="35"/>
      <c r="AE4895" s="35"/>
      <c r="AF4895" s="35"/>
      <c r="AG4895" s="35"/>
      <c r="AH4895" s="35"/>
      <c r="AI4895" s="35"/>
    </row>
    <row r="4896">
      <c r="A4896" s="251"/>
      <c r="B4896" s="252"/>
      <c r="C4896" s="253"/>
      <c r="D4896" s="253"/>
      <c r="E4896" s="252"/>
      <c r="F4896" s="253"/>
      <c r="G4896" s="251"/>
      <c r="H4896" s="433"/>
      <c r="I4896" s="278"/>
      <c r="J4896" s="257"/>
      <c r="K4896" s="253"/>
      <c r="L4896" s="253"/>
      <c r="M4896" s="252"/>
      <c r="N4896" s="258"/>
      <c r="O4896" s="259"/>
      <c r="P4896" s="259"/>
      <c r="Q4896" s="257"/>
      <c r="R4896" s="260"/>
      <c r="S4896" s="260"/>
      <c r="T4896" s="260"/>
      <c r="U4896" s="261"/>
      <c r="V4896" s="309"/>
      <c r="W4896" s="35"/>
      <c r="X4896" s="35"/>
      <c r="Y4896" s="35"/>
      <c r="Z4896" s="35"/>
      <c r="AA4896" s="35"/>
      <c r="AB4896" s="35"/>
      <c r="AC4896" s="35"/>
      <c r="AD4896" s="35"/>
      <c r="AE4896" s="35"/>
      <c r="AF4896" s="35"/>
      <c r="AG4896" s="35"/>
      <c r="AH4896" s="35"/>
      <c r="AI4896" s="35"/>
    </row>
    <row r="4897">
      <c r="A4897" s="251"/>
      <c r="B4897" s="252"/>
      <c r="C4897" s="253"/>
      <c r="D4897" s="253"/>
      <c r="E4897" s="252"/>
      <c r="F4897" s="253"/>
      <c r="G4897" s="251"/>
      <c r="H4897" s="433"/>
      <c r="I4897" s="278"/>
      <c r="J4897" s="257"/>
      <c r="K4897" s="253"/>
      <c r="L4897" s="253"/>
      <c r="M4897" s="252"/>
      <c r="N4897" s="258"/>
      <c r="O4897" s="259"/>
      <c r="P4897" s="259"/>
      <c r="Q4897" s="262"/>
      <c r="R4897" s="260"/>
      <c r="S4897" s="260"/>
      <c r="T4897" s="260"/>
      <c r="U4897" s="261"/>
      <c r="V4897" s="276"/>
      <c r="W4897" s="35"/>
      <c r="X4897" s="35"/>
      <c r="Y4897" s="35"/>
      <c r="Z4897" s="35"/>
      <c r="AA4897" s="35"/>
      <c r="AB4897" s="35"/>
      <c r="AC4897" s="35"/>
      <c r="AD4897" s="35"/>
      <c r="AE4897" s="35"/>
      <c r="AF4897" s="35"/>
      <c r="AG4897" s="35"/>
      <c r="AH4897" s="35"/>
      <c r="AI4897" s="35"/>
    </row>
    <row r="4898">
      <c r="A4898" s="251"/>
      <c r="B4898" s="252"/>
      <c r="C4898" s="253"/>
      <c r="D4898" s="253"/>
      <c r="E4898" s="252"/>
      <c r="F4898" s="253"/>
      <c r="G4898" s="251"/>
      <c r="H4898" s="433"/>
      <c r="I4898" s="278"/>
      <c r="J4898" s="257"/>
      <c r="K4898" s="253"/>
      <c r="L4898" s="253"/>
      <c r="M4898" s="252"/>
      <c r="N4898" s="258"/>
      <c r="O4898" s="259"/>
      <c r="P4898" s="259"/>
      <c r="Q4898" s="262"/>
      <c r="R4898" s="260"/>
      <c r="S4898" s="260"/>
      <c r="T4898" s="260"/>
      <c r="U4898" s="261"/>
      <c r="V4898" s="309"/>
      <c r="W4898" s="35"/>
      <c r="X4898" s="35"/>
      <c r="Y4898" s="35"/>
      <c r="Z4898" s="35"/>
      <c r="AA4898" s="35"/>
      <c r="AB4898" s="35"/>
      <c r="AC4898" s="35"/>
      <c r="AD4898" s="35"/>
      <c r="AE4898" s="35"/>
      <c r="AF4898" s="35"/>
      <c r="AG4898" s="35"/>
      <c r="AH4898" s="35"/>
      <c r="AI4898" s="35"/>
    </row>
    <row r="4899">
      <c r="A4899" s="251"/>
      <c r="B4899" s="252"/>
      <c r="C4899" s="253"/>
      <c r="D4899" s="253"/>
      <c r="E4899" s="252"/>
      <c r="F4899" s="253"/>
      <c r="G4899" s="251"/>
      <c r="H4899" s="433"/>
      <c r="I4899" s="278"/>
      <c r="J4899" s="257"/>
      <c r="K4899" s="253"/>
      <c r="L4899" s="253"/>
      <c r="M4899" s="252"/>
      <c r="N4899" s="258"/>
      <c r="O4899" s="259"/>
      <c r="P4899" s="259"/>
      <c r="Q4899" s="262"/>
      <c r="R4899" s="260"/>
      <c r="S4899" s="260"/>
      <c r="T4899" s="260"/>
      <c r="U4899" s="261"/>
      <c r="V4899" s="309"/>
      <c r="W4899" s="35"/>
      <c r="X4899" s="35"/>
      <c r="Y4899" s="35"/>
      <c r="Z4899" s="35"/>
      <c r="AA4899" s="35"/>
      <c r="AB4899" s="35"/>
      <c r="AC4899" s="35"/>
      <c r="AD4899" s="35"/>
      <c r="AE4899" s="35"/>
      <c r="AF4899" s="35"/>
      <c r="AG4899" s="35"/>
      <c r="AH4899" s="35"/>
      <c r="AI4899" s="35"/>
    </row>
    <row r="4900">
      <c r="A4900" s="251"/>
      <c r="B4900" s="252"/>
      <c r="C4900" s="253"/>
      <c r="D4900" s="253"/>
      <c r="E4900" s="252"/>
      <c r="F4900" s="253"/>
      <c r="G4900" s="251"/>
      <c r="H4900" s="433"/>
      <c r="I4900" s="278"/>
      <c r="J4900" s="257"/>
      <c r="K4900" s="253"/>
      <c r="L4900" s="253"/>
      <c r="M4900" s="275"/>
      <c r="N4900" s="258"/>
      <c r="O4900" s="259"/>
      <c r="P4900" s="259"/>
      <c r="Q4900" s="262"/>
      <c r="R4900" s="260"/>
      <c r="S4900" s="260"/>
      <c r="T4900" s="260"/>
      <c r="U4900" s="261"/>
      <c r="V4900" s="251"/>
      <c r="W4900" s="35"/>
      <c r="X4900" s="35"/>
      <c r="Y4900" s="35"/>
      <c r="Z4900" s="35"/>
      <c r="AA4900" s="35"/>
      <c r="AB4900" s="35"/>
      <c r="AC4900" s="35"/>
      <c r="AD4900" s="35"/>
      <c r="AE4900" s="35"/>
      <c r="AF4900" s="35"/>
      <c r="AG4900" s="35"/>
      <c r="AH4900" s="35"/>
      <c r="AI4900" s="35"/>
    </row>
    <row r="4901">
      <c r="A4901" s="251"/>
      <c r="B4901" s="252"/>
      <c r="C4901" s="253"/>
      <c r="D4901" s="253"/>
      <c r="E4901" s="252"/>
      <c r="F4901" s="253"/>
      <c r="G4901" s="251"/>
      <c r="H4901" s="433"/>
      <c r="I4901" s="278"/>
      <c r="J4901" s="257"/>
      <c r="K4901" s="253"/>
      <c r="L4901" s="253"/>
      <c r="M4901" s="252"/>
      <c r="N4901" s="258"/>
      <c r="O4901" s="259"/>
      <c r="P4901" s="259"/>
      <c r="Q4901" s="257"/>
      <c r="R4901" s="260"/>
      <c r="S4901" s="260"/>
      <c r="T4901" s="260"/>
      <c r="U4901" s="261"/>
      <c r="V4901" s="251"/>
      <c r="W4901" s="35"/>
      <c r="X4901" s="35"/>
      <c r="Y4901" s="35"/>
      <c r="Z4901" s="35"/>
      <c r="AA4901" s="35"/>
      <c r="AB4901" s="35"/>
      <c r="AC4901" s="35"/>
      <c r="AD4901" s="35"/>
      <c r="AE4901" s="35"/>
      <c r="AF4901" s="35"/>
      <c r="AG4901" s="35"/>
      <c r="AH4901" s="35"/>
      <c r="AI4901" s="35"/>
    </row>
    <row r="4902">
      <c r="A4902" s="251"/>
      <c r="B4902" s="252"/>
      <c r="C4902" s="253"/>
      <c r="D4902" s="253"/>
      <c r="E4902" s="252"/>
      <c r="F4902" s="253"/>
      <c r="G4902" s="251"/>
      <c r="H4902" s="433"/>
      <c r="I4902" s="278"/>
      <c r="J4902" s="257"/>
      <c r="K4902" s="253"/>
      <c r="L4902" s="253"/>
      <c r="M4902" s="252"/>
      <c r="N4902" s="258"/>
      <c r="O4902" s="259"/>
      <c r="P4902" s="259"/>
      <c r="Q4902" s="262"/>
      <c r="R4902" s="260"/>
      <c r="S4902" s="260"/>
      <c r="T4902" s="260"/>
      <c r="U4902" s="261"/>
      <c r="V4902" s="309"/>
      <c r="W4902" s="35"/>
      <c r="X4902" s="35"/>
      <c r="Y4902" s="35"/>
      <c r="Z4902" s="35"/>
      <c r="AA4902" s="35"/>
      <c r="AB4902" s="35"/>
      <c r="AC4902" s="35"/>
      <c r="AD4902" s="35"/>
      <c r="AE4902" s="35"/>
      <c r="AF4902" s="35"/>
      <c r="AG4902" s="35"/>
      <c r="AH4902" s="35"/>
      <c r="AI4902" s="35"/>
    </row>
    <row r="4903">
      <c r="A4903" s="251"/>
      <c r="B4903" s="252"/>
      <c r="C4903" s="253"/>
      <c r="D4903" s="253"/>
      <c r="E4903" s="252"/>
      <c r="F4903" s="253"/>
      <c r="G4903" s="251"/>
      <c r="H4903" s="433"/>
      <c r="I4903" s="278"/>
      <c r="J4903" s="257"/>
      <c r="K4903" s="253"/>
      <c r="L4903" s="253"/>
      <c r="M4903" s="252"/>
      <c r="N4903" s="258"/>
      <c r="O4903" s="259"/>
      <c r="P4903" s="259"/>
      <c r="Q4903" s="257"/>
      <c r="R4903" s="260"/>
      <c r="S4903" s="260"/>
      <c r="T4903" s="260"/>
      <c r="U4903" s="261"/>
      <c r="V4903" s="309"/>
      <c r="W4903" s="35"/>
      <c r="X4903" s="35"/>
      <c r="Y4903" s="35"/>
      <c r="Z4903" s="35"/>
      <c r="AA4903" s="35"/>
      <c r="AB4903" s="35"/>
      <c r="AC4903" s="35"/>
      <c r="AD4903" s="35"/>
      <c r="AE4903" s="35"/>
      <c r="AF4903" s="35"/>
      <c r="AG4903" s="35"/>
      <c r="AH4903" s="35"/>
      <c r="AI4903" s="35"/>
    </row>
    <row r="4904">
      <c r="A4904" s="251"/>
      <c r="B4904" s="252"/>
      <c r="C4904" s="253"/>
      <c r="D4904" s="253"/>
      <c r="E4904" s="252"/>
      <c r="F4904" s="253"/>
      <c r="G4904" s="251"/>
      <c r="H4904" s="433"/>
      <c r="I4904" s="278"/>
      <c r="J4904" s="257"/>
      <c r="K4904" s="253"/>
      <c r="L4904" s="253"/>
      <c r="M4904" s="252"/>
      <c r="N4904" s="258"/>
      <c r="O4904" s="259"/>
      <c r="P4904" s="259"/>
      <c r="Q4904" s="257"/>
      <c r="R4904" s="260"/>
      <c r="S4904" s="260"/>
      <c r="T4904" s="260"/>
      <c r="U4904" s="261"/>
      <c r="V4904" s="251"/>
      <c r="W4904" s="35"/>
      <c r="X4904" s="35"/>
      <c r="Y4904" s="35"/>
      <c r="Z4904" s="35"/>
      <c r="AA4904" s="35"/>
      <c r="AB4904" s="35"/>
      <c r="AC4904" s="35"/>
      <c r="AD4904" s="35"/>
      <c r="AE4904" s="35"/>
      <c r="AF4904" s="35"/>
      <c r="AG4904" s="35"/>
      <c r="AH4904" s="35"/>
      <c r="AI4904" s="35"/>
    </row>
    <row r="4905">
      <c r="A4905" s="251"/>
      <c r="B4905" s="252"/>
      <c r="C4905" s="253"/>
      <c r="D4905" s="253"/>
      <c r="E4905" s="252"/>
      <c r="F4905" s="253"/>
      <c r="G4905" s="251"/>
      <c r="H4905" s="433"/>
      <c r="I4905" s="278"/>
      <c r="J4905" s="257"/>
      <c r="K4905" s="253"/>
      <c r="L4905" s="253"/>
      <c r="M4905" s="275"/>
      <c r="N4905" s="258"/>
      <c r="O4905" s="259"/>
      <c r="P4905" s="259"/>
      <c r="Q4905" s="262"/>
      <c r="R4905" s="260"/>
      <c r="S4905" s="260"/>
      <c r="T4905" s="260"/>
      <c r="U4905" s="261"/>
      <c r="V4905" s="309"/>
      <c r="W4905" s="35"/>
      <c r="X4905" s="35"/>
      <c r="Y4905" s="35"/>
      <c r="Z4905" s="35"/>
      <c r="AA4905" s="35"/>
      <c r="AB4905" s="35"/>
      <c r="AC4905" s="35"/>
      <c r="AD4905" s="35"/>
      <c r="AE4905" s="35"/>
      <c r="AF4905" s="35"/>
      <c r="AG4905" s="35"/>
      <c r="AH4905" s="35"/>
      <c r="AI4905" s="35"/>
    </row>
    <row r="4906">
      <c r="A4906" s="251"/>
      <c r="B4906" s="252"/>
      <c r="C4906" s="253"/>
      <c r="D4906" s="253"/>
      <c r="E4906" s="252"/>
      <c r="F4906" s="253"/>
      <c r="G4906" s="251"/>
      <c r="H4906" s="433"/>
      <c r="I4906" s="278"/>
      <c r="J4906" s="257"/>
      <c r="K4906" s="253"/>
      <c r="L4906" s="253"/>
      <c r="M4906" s="252"/>
      <c r="N4906" s="258"/>
      <c r="O4906" s="259"/>
      <c r="P4906" s="259"/>
      <c r="Q4906" s="262"/>
      <c r="R4906" s="260"/>
      <c r="S4906" s="260"/>
      <c r="T4906" s="260"/>
      <c r="U4906" s="261"/>
      <c r="V4906" s="309"/>
      <c r="W4906" s="35"/>
      <c r="X4906" s="35"/>
      <c r="Y4906" s="35"/>
      <c r="Z4906" s="35"/>
      <c r="AA4906" s="35"/>
      <c r="AB4906" s="35"/>
      <c r="AC4906" s="35"/>
      <c r="AD4906" s="35"/>
      <c r="AE4906" s="35"/>
      <c r="AF4906" s="35"/>
      <c r="AG4906" s="35"/>
      <c r="AH4906" s="35"/>
      <c r="AI4906" s="35"/>
    </row>
    <row r="4907">
      <c r="A4907" s="251"/>
      <c r="B4907" s="252"/>
      <c r="C4907" s="253"/>
      <c r="D4907" s="253"/>
      <c r="E4907" s="252"/>
      <c r="F4907" s="253"/>
      <c r="G4907" s="251"/>
      <c r="H4907" s="433"/>
      <c r="I4907" s="278"/>
      <c r="J4907" s="257"/>
      <c r="K4907" s="253"/>
      <c r="L4907" s="253"/>
      <c r="M4907" s="252"/>
      <c r="N4907" s="258"/>
      <c r="O4907" s="259"/>
      <c r="P4907" s="259"/>
      <c r="Q4907" s="262"/>
      <c r="R4907" s="260"/>
      <c r="S4907" s="260"/>
      <c r="T4907" s="260"/>
      <c r="U4907" s="261"/>
      <c r="V4907" s="276"/>
      <c r="W4907" s="35"/>
      <c r="X4907" s="35"/>
      <c r="Y4907" s="35"/>
      <c r="Z4907" s="35"/>
      <c r="AA4907" s="35"/>
      <c r="AB4907" s="35"/>
      <c r="AC4907" s="35"/>
      <c r="AD4907" s="35"/>
      <c r="AE4907" s="35"/>
      <c r="AF4907" s="35"/>
      <c r="AG4907" s="35"/>
      <c r="AH4907" s="35"/>
      <c r="AI4907" s="35"/>
    </row>
    <row r="4908">
      <c r="A4908" s="251"/>
      <c r="B4908" s="252"/>
      <c r="C4908" s="253"/>
      <c r="D4908" s="253"/>
      <c r="E4908" s="252"/>
      <c r="F4908" s="253"/>
      <c r="G4908" s="251"/>
      <c r="H4908" s="433"/>
      <c r="I4908" s="278"/>
      <c r="J4908" s="257"/>
      <c r="K4908" s="253"/>
      <c r="L4908" s="253"/>
      <c r="M4908" s="275"/>
      <c r="N4908" s="258"/>
      <c r="O4908" s="259"/>
      <c r="P4908" s="259"/>
      <c r="Q4908" s="262"/>
      <c r="R4908" s="260"/>
      <c r="S4908" s="260"/>
      <c r="T4908" s="260"/>
      <c r="U4908" s="261"/>
      <c r="V4908" s="309"/>
      <c r="W4908" s="35"/>
      <c r="X4908" s="35"/>
      <c r="Y4908" s="35"/>
      <c r="Z4908" s="35"/>
      <c r="AA4908" s="35"/>
      <c r="AB4908" s="35"/>
      <c r="AC4908" s="35"/>
      <c r="AD4908" s="35"/>
      <c r="AE4908" s="35"/>
      <c r="AF4908" s="35"/>
      <c r="AG4908" s="35"/>
      <c r="AH4908" s="35"/>
      <c r="AI4908" s="35"/>
    </row>
    <row r="4909">
      <c r="A4909" s="251"/>
      <c r="B4909" s="252"/>
      <c r="C4909" s="253"/>
      <c r="D4909" s="253"/>
      <c r="E4909" s="252"/>
      <c r="F4909" s="253"/>
      <c r="G4909" s="251"/>
      <c r="H4909" s="433"/>
      <c r="I4909" s="278"/>
      <c r="J4909" s="257"/>
      <c r="K4909" s="253"/>
      <c r="L4909" s="253"/>
      <c r="M4909" s="252"/>
      <c r="N4909" s="258"/>
      <c r="O4909" s="259"/>
      <c r="P4909" s="259"/>
      <c r="Q4909" s="262"/>
      <c r="R4909" s="260"/>
      <c r="S4909" s="260"/>
      <c r="T4909" s="260"/>
      <c r="U4909" s="261"/>
      <c r="V4909" s="251"/>
      <c r="W4909" s="35"/>
      <c r="X4909" s="35"/>
      <c r="Y4909" s="35"/>
      <c r="Z4909" s="35"/>
      <c r="AA4909" s="35"/>
      <c r="AB4909" s="35"/>
      <c r="AC4909" s="35"/>
      <c r="AD4909" s="35"/>
      <c r="AE4909" s="35"/>
      <c r="AF4909" s="35"/>
      <c r="AG4909" s="35"/>
      <c r="AH4909" s="35"/>
      <c r="AI4909" s="35"/>
    </row>
    <row r="4910">
      <c r="A4910" s="251"/>
      <c r="B4910" s="252"/>
      <c r="C4910" s="253"/>
      <c r="D4910" s="253"/>
      <c r="E4910" s="252"/>
      <c r="F4910" s="253"/>
      <c r="G4910" s="251"/>
      <c r="H4910" s="433"/>
      <c r="I4910" s="278"/>
      <c r="J4910" s="257"/>
      <c r="K4910" s="253"/>
      <c r="L4910" s="253"/>
      <c r="M4910" s="252"/>
      <c r="N4910" s="258"/>
      <c r="O4910" s="259"/>
      <c r="P4910" s="259"/>
      <c r="Q4910" s="257"/>
      <c r="R4910" s="260"/>
      <c r="S4910" s="260"/>
      <c r="T4910" s="260"/>
      <c r="U4910" s="261"/>
      <c r="V4910" s="251"/>
      <c r="W4910" s="35"/>
      <c r="X4910" s="35"/>
      <c r="Y4910" s="35"/>
      <c r="Z4910" s="35"/>
      <c r="AA4910" s="35"/>
      <c r="AB4910" s="35"/>
      <c r="AC4910" s="35"/>
      <c r="AD4910" s="35"/>
      <c r="AE4910" s="35"/>
      <c r="AF4910" s="35"/>
      <c r="AG4910" s="35"/>
      <c r="AH4910" s="35"/>
      <c r="AI4910" s="35"/>
    </row>
    <row r="4911">
      <c r="A4911" s="251"/>
      <c r="B4911" s="252"/>
      <c r="C4911" s="253"/>
      <c r="D4911" s="253"/>
      <c r="E4911" s="252"/>
      <c r="F4911" s="253"/>
      <c r="G4911" s="251"/>
      <c r="H4911" s="433"/>
      <c r="I4911" s="278"/>
      <c r="J4911" s="257"/>
      <c r="K4911" s="253"/>
      <c r="L4911" s="253"/>
      <c r="M4911" s="252"/>
      <c r="N4911" s="258"/>
      <c r="O4911" s="259"/>
      <c r="P4911" s="259"/>
      <c r="Q4911" s="257"/>
      <c r="R4911" s="260"/>
      <c r="S4911" s="260"/>
      <c r="T4911" s="260"/>
      <c r="U4911" s="261"/>
      <c r="V4911" s="251"/>
      <c r="W4911" s="35"/>
      <c r="X4911" s="35"/>
      <c r="Y4911" s="35"/>
      <c r="Z4911" s="35"/>
      <c r="AA4911" s="35"/>
      <c r="AB4911" s="35"/>
      <c r="AC4911" s="35"/>
      <c r="AD4911" s="35"/>
      <c r="AE4911" s="35"/>
      <c r="AF4911" s="35"/>
      <c r="AG4911" s="35"/>
      <c r="AH4911" s="35"/>
      <c r="AI4911" s="35"/>
    </row>
    <row r="4912">
      <c r="A4912" s="251"/>
      <c r="B4912" s="252"/>
      <c r="C4912" s="253"/>
      <c r="D4912" s="253"/>
      <c r="E4912" s="252"/>
      <c r="F4912" s="253"/>
      <c r="G4912" s="251"/>
      <c r="H4912" s="433"/>
      <c r="I4912" s="278"/>
      <c r="J4912" s="257"/>
      <c r="K4912" s="253"/>
      <c r="L4912" s="253"/>
      <c r="M4912" s="252"/>
      <c r="N4912" s="258"/>
      <c r="O4912" s="259"/>
      <c r="P4912" s="259"/>
      <c r="Q4912" s="262"/>
      <c r="R4912" s="260"/>
      <c r="S4912" s="260"/>
      <c r="T4912" s="260"/>
      <c r="U4912" s="261"/>
      <c r="V4912" s="309"/>
      <c r="W4912" s="35"/>
      <c r="X4912" s="35"/>
      <c r="Y4912" s="35"/>
      <c r="Z4912" s="35"/>
      <c r="AA4912" s="35"/>
      <c r="AB4912" s="35"/>
      <c r="AC4912" s="35"/>
      <c r="AD4912" s="35"/>
      <c r="AE4912" s="35"/>
      <c r="AF4912" s="35"/>
      <c r="AG4912" s="35"/>
      <c r="AH4912" s="35"/>
      <c r="AI4912" s="35"/>
    </row>
    <row r="4913">
      <c r="A4913" s="251"/>
      <c r="B4913" s="252"/>
      <c r="C4913" s="253"/>
      <c r="D4913" s="253"/>
      <c r="E4913" s="252"/>
      <c r="F4913" s="253"/>
      <c r="G4913" s="251"/>
      <c r="H4913" s="433"/>
      <c r="I4913" s="278"/>
      <c r="J4913" s="257"/>
      <c r="K4913" s="253"/>
      <c r="L4913" s="253"/>
      <c r="M4913" s="252"/>
      <c r="N4913" s="258"/>
      <c r="O4913" s="259"/>
      <c r="P4913" s="259"/>
      <c r="Q4913" s="257"/>
      <c r="R4913" s="260"/>
      <c r="S4913" s="260"/>
      <c r="T4913" s="260"/>
      <c r="U4913" s="261"/>
      <c r="V4913" s="251"/>
      <c r="W4913" s="35"/>
      <c r="X4913" s="35"/>
      <c r="Y4913" s="35"/>
      <c r="Z4913" s="35"/>
      <c r="AA4913" s="35"/>
      <c r="AB4913" s="35"/>
      <c r="AC4913" s="35"/>
      <c r="AD4913" s="35"/>
      <c r="AE4913" s="35"/>
      <c r="AF4913" s="35"/>
      <c r="AG4913" s="35"/>
      <c r="AH4913" s="35"/>
      <c r="AI4913" s="35"/>
    </row>
    <row r="4914">
      <c r="A4914" s="251"/>
      <c r="B4914" s="252"/>
      <c r="C4914" s="253"/>
      <c r="D4914" s="253"/>
      <c r="E4914" s="252"/>
      <c r="F4914" s="253"/>
      <c r="G4914" s="251"/>
      <c r="H4914" s="433"/>
      <c r="I4914" s="278"/>
      <c r="J4914" s="257"/>
      <c r="K4914" s="253"/>
      <c r="L4914" s="253"/>
      <c r="M4914" s="252"/>
      <c r="N4914" s="258"/>
      <c r="O4914" s="259"/>
      <c r="P4914" s="259"/>
      <c r="Q4914" s="257"/>
      <c r="R4914" s="260"/>
      <c r="S4914" s="260"/>
      <c r="T4914" s="260"/>
      <c r="U4914" s="261"/>
      <c r="V4914" s="309"/>
      <c r="W4914" s="35"/>
      <c r="X4914" s="35"/>
      <c r="Y4914" s="35"/>
      <c r="Z4914" s="35"/>
      <c r="AA4914" s="35"/>
      <c r="AB4914" s="35"/>
      <c r="AC4914" s="35"/>
      <c r="AD4914" s="35"/>
      <c r="AE4914" s="35"/>
      <c r="AF4914" s="35"/>
      <c r="AG4914" s="35"/>
      <c r="AH4914" s="35"/>
      <c r="AI4914" s="35"/>
    </row>
    <row r="4915">
      <c r="A4915" s="251"/>
      <c r="B4915" s="252"/>
      <c r="C4915" s="253"/>
      <c r="D4915" s="253"/>
      <c r="E4915" s="252"/>
      <c r="F4915" s="253"/>
      <c r="G4915" s="251"/>
      <c r="H4915" s="433"/>
      <c r="I4915" s="278"/>
      <c r="J4915" s="257"/>
      <c r="K4915" s="253"/>
      <c r="L4915" s="253"/>
      <c r="M4915" s="252"/>
      <c r="N4915" s="258"/>
      <c r="O4915" s="259"/>
      <c r="P4915" s="259"/>
      <c r="Q4915" s="262"/>
      <c r="R4915" s="260"/>
      <c r="S4915" s="260"/>
      <c r="T4915" s="260"/>
      <c r="U4915" s="261"/>
      <c r="V4915" s="251"/>
      <c r="W4915" s="35"/>
      <c r="X4915" s="35"/>
      <c r="Y4915" s="35"/>
      <c r="Z4915" s="35"/>
      <c r="AA4915" s="35"/>
      <c r="AB4915" s="35"/>
      <c r="AC4915" s="35"/>
      <c r="AD4915" s="35"/>
      <c r="AE4915" s="35"/>
      <c r="AF4915" s="35"/>
      <c r="AG4915" s="35"/>
      <c r="AH4915" s="35"/>
      <c r="AI4915" s="35"/>
    </row>
    <row r="4916">
      <c r="A4916" s="251"/>
      <c r="B4916" s="252"/>
      <c r="C4916" s="253"/>
      <c r="D4916" s="253"/>
      <c r="E4916" s="252"/>
      <c r="F4916" s="253"/>
      <c r="G4916" s="251"/>
      <c r="H4916" s="433"/>
      <c r="I4916" s="278"/>
      <c r="J4916" s="257"/>
      <c r="K4916" s="253"/>
      <c r="L4916" s="253"/>
      <c r="M4916" s="275"/>
      <c r="N4916" s="258"/>
      <c r="O4916" s="259"/>
      <c r="P4916" s="259"/>
      <c r="Q4916" s="262"/>
      <c r="R4916" s="260"/>
      <c r="S4916" s="260"/>
      <c r="T4916" s="260"/>
      <c r="U4916" s="261"/>
      <c r="V4916" s="251"/>
      <c r="W4916" s="35"/>
      <c r="X4916" s="35"/>
      <c r="Y4916" s="35"/>
      <c r="Z4916" s="35"/>
      <c r="AA4916" s="35"/>
      <c r="AB4916" s="35"/>
      <c r="AC4916" s="35"/>
      <c r="AD4916" s="35"/>
      <c r="AE4916" s="35"/>
      <c r="AF4916" s="35"/>
      <c r="AG4916" s="35"/>
      <c r="AH4916" s="35"/>
      <c r="AI4916" s="35"/>
    </row>
    <row r="4917">
      <c r="A4917" s="251"/>
      <c r="B4917" s="252"/>
      <c r="C4917" s="253"/>
      <c r="D4917" s="253"/>
      <c r="E4917" s="252"/>
      <c r="F4917" s="253"/>
      <c r="G4917" s="251"/>
      <c r="H4917" s="433"/>
      <c r="I4917" s="278"/>
      <c r="J4917" s="257"/>
      <c r="K4917" s="253"/>
      <c r="L4917" s="253"/>
      <c r="M4917" s="252"/>
      <c r="N4917" s="258"/>
      <c r="O4917" s="259"/>
      <c r="P4917" s="259"/>
      <c r="Q4917" s="262"/>
      <c r="R4917" s="260"/>
      <c r="S4917" s="260"/>
      <c r="T4917" s="260"/>
      <c r="U4917" s="261"/>
      <c r="V4917" s="304"/>
      <c r="W4917" s="35"/>
      <c r="X4917" s="35"/>
      <c r="Y4917" s="35"/>
      <c r="Z4917" s="35"/>
      <c r="AA4917" s="35"/>
      <c r="AB4917" s="35"/>
      <c r="AC4917" s="35"/>
      <c r="AD4917" s="35"/>
      <c r="AE4917" s="35"/>
      <c r="AF4917" s="35"/>
      <c r="AG4917" s="35"/>
      <c r="AH4917" s="35"/>
      <c r="AI4917" s="35"/>
    </row>
    <row r="4918">
      <c r="A4918" s="251"/>
      <c r="B4918" s="252"/>
      <c r="C4918" s="253"/>
      <c r="D4918" s="253"/>
      <c r="E4918" s="252"/>
      <c r="F4918" s="253"/>
      <c r="G4918" s="251"/>
      <c r="H4918" s="433"/>
      <c r="I4918" s="278"/>
      <c r="J4918" s="257"/>
      <c r="K4918" s="253"/>
      <c r="L4918" s="253"/>
      <c r="M4918" s="275"/>
      <c r="N4918" s="258"/>
      <c r="O4918" s="259"/>
      <c r="P4918" s="259"/>
      <c r="Q4918" s="262"/>
      <c r="R4918" s="260"/>
      <c r="S4918" s="260"/>
      <c r="T4918" s="260"/>
      <c r="U4918" s="261"/>
      <c r="V4918" s="309"/>
      <c r="W4918" s="35"/>
      <c r="X4918" s="35"/>
      <c r="Y4918" s="35"/>
      <c r="Z4918" s="35"/>
      <c r="AA4918" s="35"/>
      <c r="AB4918" s="35"/>
      <c r="AC4918" s="35"/>
      <c r="AD4918" s="35"/>
      <c r="AE4918" s="35"/>
      <c r="AF4918" s="35"/>
      <c r="AG4918" s="35"/>
      <c r="AH4918" s="35"/>
      <c r="AI4918" s="35"/>
    </row>
    <row r="4919">
      <c r="A4919" s="251"/>
      <c r="B4919" s="252"/>
      <c r="C4919" s="253"/>
      <c r="D4919" s="253"/>
      <c r="E4919" s="252"/>
      <c r="F4919" s="253"/>
      <c r="G4919" s="251"/>
      <c r="H4919" s="433"/>
      <c r="I4919" s="278"/>
      <c r="J4919" s="257"/>
      <c r="K4919" s="253"/>
      <c r="L4919" s="253"/>
      <c r="M4919" s="252"/>
      <c r="N4919" s="258"/>
      <c r="O4919" s="259"/>
      <c r="P4919" s="259"/>
      <c r="Q4919" s="262"/>
      <c r="R4919" s="260"/>
      <c r="S4919" s="260"/>
      <c r="T4919" s="260"/>
      <c r="U4919" s="261"/>
      <c r="V4919" s="251"/>
      <c r="W4919" s="35"/>
      <c r="X4919" s="35"/>
      <c r="Y4919" s="35"/>
      <c r="Z4919" s="35"/>
      <c r="AA4919" s="35"/>
      <c r="AB4919" s="35"/>
      <c r="AC4919" s="35"/>
      <c r="AD4919" s="35"/>
      <c r="AE4919" s="35"/>
      <c r="AF4919" s="35"/>
      <c r="AG4919" s="35"/>
      <c r="AH4919" s="35"/>
      <c r="AI4919" s="35"/>
    </row>
    <row r="4920">
      <c r="A4920" s="251"/>
      <c r="B4920" s="252"/>
      <c r="C4920" s="253"/>
      <c r="D4920" s="253"/>
      <c r="E4920" s="252"/>
      <c r="F4920" s="253"/>
      <c r="G4920" s="251"/>
      <c r="H4920" s="433"/>
      <c r="I4920" s="278"/>
      <c r="J4920" s="257"/>
      <c r="K4920" s="253"/>
      <c r="L4920" s="253"/>
      <c r="M4920" s="252"/>
      <c r="N4920" s="258"/>
      <c r="O4920" s="259"/>
      <c r="P4920" s="259"/>
      <c r="Q4920" s="262"/>
      <c r="R4920" s="260"/>
      <c r="S4920" s="260"/>
      <c r="T4920" s="260"/>
      <c r="U4920" s="261"/>
      <c r="V4920" s="251"/>
      <c r="W4920" s="35"/>
      <c r="X4920" s="35"/>
      <c r="Y4920" s="35"/>
      <c r="Z4920" s="35"/>
      <c r="AA4920" s="35"/>
      <c r="AB4920" s="35"/>
      <c r="AC4920" s="35"/>
      <c r="AD4920" s="35"/>
      <c r="AE4920" s="35"/>
      <c r="AF4920" s="35"/>
      <c r="AG4920" s="35"/>
      <c r="AH4920" s="35"/>
      <c r="AI4920" s="35"/>
    </row>
    <row r="4921">
      <c r="A4921" s="251"/>
      <c r="B4921" s="252"/>
      <c r="C4921" s="253"/>
      <c r="D4921" s="253"/>
      <c r="E4921" s="252"/>
      <c r="F4921" s="253"/>
      <c r="G4921" s="251"/>
      <c r="H4921" s="433"/>
      <c r="I4921" s="278"/>
      <c r="J4921" s="257"/>
      <c r="K4921" s="253"/>
      <c r="L4921" s="253"/>
      <c r="M4921" s="252"/>
      <c r="N4921" s="258"/>
      <c r="O4921" s="259"/>
      <c r="P4921" s="259"/>
      <c r="Q4921" s="262"/>
      <c r="R4921" s="260"/>
      <c r="S4921" s="260"/>
      <c r="T4921" s="260"/>
      <c r="U4921" s="261"/>
      <c r="V4921" s="251"/>
      <c r="W4921" s="35"/>
      <c r="X4921" s="35"/>
      <c r="Y4921" s="35"/>
      <c r="Z4921" s="35"/>
      <c r="AA4921" s="35"/>
      <c r="AB4921" s="35"/>
      <c r="AC4921" s="35"/>
      <c r="AD4921" s="35"/>
      <c r="AE4921" s="35"/>
      <c r="AF4921" s="35"/>
      <c r="AG4921" s="35"/>
      <c r="AH4921" s="35"/>
      <c r="AI4921" s="35"/>
    </row>
    <row r="4922">
      <c r="A4922" s="251"/>
      <c r="B4922" s="252"/>
      <c r="C4922" s="253"/>
      <c r="D4922" s="253"/>
      <c r="E4922" s="252"/>
      <c r="F4922" s="253"/>
      <c r="G4922" s="251"/>
      <c r="H4922" s="433"/>
      <c r="I4922" s="278"/>
      <c r="J4922" s="257"/>
      <c r="K4922" s="253"/>
      <c r="L4922" s="253"/>
      <c r="M4922" s="252"/>
      <c r="N4922" s="258"/>
      <c r="O4922" s="259"/>
      <c r="P4922" s="259"/>
      <c r="Q4922" s="262"/>
      <c r="R4922" s="260"/>
      <c r="S4922" s="260"/>
      <c r="T4922" s="260"/>
      <c r="U4922" s="261"/>
      <c r="V4922" s="251"/>
      <c r="W4922" s="35"/>
      <c r="X4922" s="35"/>
      <c r="Y4922" s="35"/>
      <c r="Z4922" s="35"/>
      <c r="AA4922" s="35"/>
      <c r="AB4922" s="35"/>
      <c r="AC4922" s="35"/>
      <c r="AD4922" s="35"/>
      <c r="AE4922" s="35"/>
      <c r="AF4922" s="35"/>
      <c r="AG4922" s="35"/>
      <c r="AH4922" s="35"/>
      <c r="AI4922" s="35"/>
    </row>
    <row r="4923">
      <c r="A4923" s="251"/>
      <c r="B4923" s="252"/>
      <c r="C4923" s="253"/>
      <c r="D4923" s="253"/>
      <c r="E4923" s="252"/>
      <c r="F4923" s="253"/>
      <c r="G4923" s="251"/>
      <c r="H4923" s="433"/>
      <c r="I4923" s="278"/>
      <c r="J4923" s="257"/>
      <c r="K4923" s="253"/>
      <c r="L4923" s="253"/>
      <c r="M4923" s="252"/>
      <c r="N4923" s="258"/>
      <c r="O4923" s="259"/>
      <c r="P4923" s="259"/>
      <c r="Q4923" s="262"/>
      <c r="R4923" s="260"/>
      <c r="S4923" s="260"/>
      <c r="T4923" s="260"/>
      <c r="U4923" s="261"/>
      <c r="V4923" s="251"/>
      <c r="W4923" s="35"/>
      <c r="X4923" s="35"/>
      <c r="Y4923" s="35"/>
      <c r="Z4923" s="35"/>
      <c r="AA4923" s="35"/>
      <c r="AB4923" s="35"/>
      <c r="AC4923" s="35"/>
      <c r="AD4923" s="35"/>
      <c r="AE4923" s="35"/>
      <c r="AF4923" s="35"/>
      <c r="AG4923" s="35"/>
      <c r="AH4923" s="35"/>
      <c r="AI4923" s="35"/>
    </row>
    <row r="4924">
      <c r="A4924" s="251"/>
      <c r="B4924" s="252"/>
      <c r="C4924" s="253"/>
      <c r="D4924" s="253"/>
      <c r="E4924" s="252"/>
      <c r="F4924" s="253"/>
      <c r="G4924" s="251"/>
      <c r="H4924" s="433"/>
      <c r="I4924" s="278"/>
      <c r="J4924" s="257"/>
      <c r="K4924" s="253"/>
      <c r="L4924" s="253"/>
      <c r="M4924" s="252"/>
      <c r="N4924" s="258"/>
      <c r="O4924" s="259"/>
      <c r="P4924" s="259"/>
      <c r="Q4924" s="257"/>
      <c r="R4924" s="260"/>
      <c r="S4924" s="260"/>
      <c r="T4924" s="260"/>
      <c r="U4924" s="261"/>
      <c r="V4924" s="309"/>
      <c r="W4924" s="35"/>
      <c r="X4924" s="35"/>
      <c r="Y4924" s="35"/>
      <c r="Z4924" s="35"/>
      <c r="AA4924" s="35"/>
      <c r="AB4924" s="35"/>
      <c r="AC4924" s="35"/>
      <c r="AD4924" s="35"/>
      <c r="AE4924" s="35"/>
      <c r="AF4924" s="35"/>
      <c r="AG4924" s="35"/>
      <c r="AH4924" s="35"/>
      <c r="AI4924" s="35"/>
    </row>
    <row r="4925">
      <c r="A4925" s="251"/>
      <c r="B4925" s="252"/>
      <c r="C4925" s="253"/>
      <c r="D4925" s="253"/>
      <c r="E4925" s="252"/>
      <c r="F4925" s="253"/>
      <c r="G4925" s="251"/>
      <c r="H4925" s="433"/>
      <c r="I4925" s="278"/>
      <c r="J4925" s="257"/>
      <c r="K4925" s="253"/>
      <c r="L4925" s="253"/>
      <c r="M4925" s="275"/>
      <c r="N4925" s="258"/>
      <c r="O4925" s="259"/>
      <c r="P4925" s="259"/>
      <c r="Q4925" s="262"/>
      <c r="R4925" s="260"/>
      <c r="S4925" s="260"/>
      <c r="T4925" s="260"/>
      <c r="U4925" s="261"/>
      <c r="V4925" s="251"/>
      <c r="W4925" s="35"/>
      <c r="X4925" s="35"/>
      <c r="Y4925" s="35"/>
      <c r="Z4925" s="35"/>
      <c r="AA4925" s="35"/>
      <c r="AB4925" s="35"/>
      <c r="AC4925" s="35"/>
      <c r="AD4925" s="35"/>
      <c r="AE4925" s="35"/>
      <c r="AF4925" s="35"/>
      <c r="AG4925" s="35"/>
      <c r="AH4925" s="35"/>
      <c r="AI4925" s="35"/>
    </row>
    <row r="4926">
      <c r="A4926" s="251"/>
      <c r="B4926" s="252"/>
      <c r="C4926" s="253"/>
      <c r="D4926" s="253"/>
      <c r="E4926" s="252"/>
      <c r="F4926" s="253"/>
      <c r="G4926" s="251"/>
      <c r="H4926" s="433"/>
      <c r="I4926" s="278"/>
      <c r="J4926" s="257"/>
      <c r="K4926" s="253"/>
      <c r="L4926" s="253"/>
      <c r="M4926" s="252"/>
      <c r="N4926" s="258"/>
      <c r="O4926" s="259"/>
      <c r="P4926" s="259"/>
      <c r="Q4926" s="262"/>
      <c r="R4926" s="260"/>
      <c r="S4926" s="260"/>
      <c r="T4926" s="260"/>
      <c r="U4926" s="261"/>
      <c r="V4926" s="251"/>
      <c r="W4926" s="35"/>
      <c r="X4926" s="35"/>
      <c r="Y4926" s="35"/>
      <c r="Z4926" s="35"/>
      <c r="AA4926" s="35"/>
      <c r="AB4926" s="35"/>
      <c r="AC4926" s="35"/>
      <c r="AD4926" s="35"/>
      <c r="AE4926" s="35"/>
      <c r="AF4926" s="35"/>
      <c r="AG4926" s="35"/>
      <c r="AH4926" s="35"/>
      <c r="AI4926" s="35"/>
    </row>
    <row r="4927">
      <c r="A4927" s="251"/>
      <c r="B4927" s="252"/>
      <c r="C4927" s="253"/>
      <c r="D4927" s="253"/>
      <c r="E4927" s="252"/>
      <c r="F4927" s="253"/>
      <c r="G4927" s="251"/>
      <c r="H4927" s="433"/>
      <c r="I4927" s="278"/>
      <c r="J4927" s="257"/>
      <c r="K4927" s="253"/>
      <c r="L4927" s="253"/>
      <c r="M4927" s="252"/>
      <c r="N4927" s="258"/>
      <c r="O4927" s="259"/>
      <c r="P4927" s="259"/>
      <c r="Q4927" s="262"/>
      <c r="R4927" s="260"/>
      <c r="S4927" s="260"/>
      <c r="T4927" s="260"/>
      <c r="U4927" s="261"/>
      <c r="V4927" s="276"/>
      <c r="W4927" s="35"/>
      <c r="X4927" s="35"/>
      <c r="Y4927" s="35"/>
      <c r="Z4927" s="35"/>
      <c r="AA4927" s="35"/>
      <c r="AB4927" s="35"/>
      <c r="AC4927" s="35"/>
      <c r="AD4927" s="35"/>
      <c r="AE4927" s="35"/>
      <c r="AF4927" s="35"/>
      <c r="AG4927" s="35"/>
      <c r="AH4927" s="35"/>
      <c r="AI4927" s="35"/>
    </row>
    <row r="4928">
      <c r="A4928" s="251"/>
      <c r="B4928" s="252"/>
      <c r="C4928" s="253"/>
      <c r="D4928" s="253"/>
      <c r="E4928" s="252"/>
      <c r="F4928" s="253"/>
      <c r="G4928" s="251"/>
      <c r="H4928" s="433"/>
      <c r="I4928" s="278"/>
      <c r="J4928" s="257"/>
      <c r="K4928" s="253"/>
      <c r="L4928" s="253"/>
      <c r="M4928" s="275"/>
      <c r="N4928" s="258"/>
      <c r="O4928" s="259"/>
      <c r="P4928" s="259"/>
      <c r="Q4928" s="262"/>
      <c r="R4928" s="260"/>
      <c r="S4928" s="260"/>
      <c r="T4928" s="260"/>
      <c r="U4928" s="261"/>
      <c r="V4928" s="309"/>
      <c r="W4928" s="35"/>
      <c r="X4928" s="35"/>
      <c r="Y4928" s="35"/>
      <c r="Z4928" s="35"/>
      <c r="AA4928" s="35"/>
      <c r="AB4928" s="35"/>
      <c r="AC4928" s="35"/>
      <c r="AD4928" s="35"/>
      <c r="AE4928" s="35"/>
      <c r="AF4928" s="35"/>
      <c r="AG4928" s="35"/>
      <c r="AH4928" s="35"/>
      <c r="AI4928" s="35"/>
    </row>
    <row r="4929">
      <c r="A4929" s="251"/>
      <c r="B4929" s="252"/>
      <c r="C4929" s="253"/>
      <c r="D4929" s="253"/>
      <c r="E4929" s="252"/>
      <c r="F4929" s="253"/>
      <c r="G4929" s="251"/>
      <c r="H4929" s="433"/>
      <c r="I4929" s="278"/>
      <c r="J4929" s="257"/>
      <c r="K4929" s="253"/>
      <c r="L4929" s="253"/>
      <c r="M4929" s="275"/>
      <c r="N4929" s="258"/>
      <c r="O4929" s="259"/>
      <c r="P4929" s="259"/>
      <c r="Q4929" s="262"/>
      <c r="R4929" s="260"/>
      <c r="S4929" s="260"/>
      <c r="T4929" s="260"/>
      <c r="U4929" s="261"/>
      <c r="V4929" s="309"/>
      <c r="W4929" s="35"/>
      <c r="X4929" s="35"/>
      <c r="Y4929" s="35"/>
      <c r="Z4929" s="35"/>
      <c r="AA4929" s="35"/>
      <c r="AB4929" s="35"/>
      <c r="AC4929" s="35"/>
      <c r="AD4929" s="35"/>
      <c r="AE4929" s="35"/>
      <c r="AF4929" s="35"/>
      <c r="AG4929" s="35"/>
      <c r="AH4929" s="35"/>
      <c r="AI4929" s="35"/>
    </row>
    <row r="4930">
      <c r="A4930" s="251"/>
      <c r="B4930" s="252"/>
      <c r="C4930" s="253"/>
      <c r="D4930" s="253"/>
      <c r="E4930" s="252"/>
      <c r="F4930" s="253"/>
      <c r="G4930" s="251"/>
      <c r="H4930" s="433"/>
      <c r="I4930" s="278"/>
      <c r="J4930" s="257"/>
      <c r="K4930" s="253"/>
      <c r="L4930" s="253"/>
      <c r="M4930" s="252"/>
      <c r="N4930" s="258"/>
      <c r="O4930" s="259"/>
      <c r="P4930" s="259"/>
      <c r="Q4930" s="262"/>
      <c r="R4930" s="260"/>
      <c r="S4930" s="260"/>
      <c r="T4930" s="260"/>
      <c r="U4930" s="261"/>
      <c r="V4930" s="251"/>
      <c r="W4930" s="35"/>
      <c r="X4930" s="35"/>
      <c r="Y4930" s="35"/>
      <c r="Z4930" s="35"/>
      <c r="AA4930" s="35"/>
      <c r="AB4930" s="35"/>
      <c r="AC4930" s="35"/>
      <c r="AD4930" s="35"/>
      <c r="AE4930" s="35"/>
      <c r="AF4930" s="35"/>
      <c r="AG4930" s="35"/>
      <c r="AH4930" s="35"/>
      <c r="AI4930" s="35"/>
    </row>
    <row r="4931">
      <c r="A4931" s="251"/>
      <c r="B4931" s="252"/>
      <c r="C4931" s="253"/>
      <c r="D4931" s="253"/>
      <c r="E4931" s="252"/>
      <c r="F4931" s="253"/>
      <c r="G4931" s="251"/>
      <c r="H4931" s="433"/>
      <c r="I4931" s="278"/>
      <c r="J4931" s="257"/>
      <c r="K4931" s="253"/>
      <c r="L4931" s="253"/>
      <c r="M4931" s="252"/>
      <c r="N4931" s="258"/>
      <c r="O4931" s="259"/>
      <c r="P4931" s="259"/>
      <c r="Q4931" s="257"/>
      <c r="R4931" s="260"/>
      <c r="S4931" s="260"/>
      <c r="T4931" s="260"/>
      <c r="U4931" s="261"/>
      <c r="V4931" s="309"/>
      <c r="W4931" s="35"/>
      <c r="X4931" s="35"/>
      <c r="Y4931" s="35"/>
      <c r="Z4931" s="35"/>
      <c r="AA4931" s="35"/>
      <c r="AB4931" s="35"/>
      <c r="AC4931" s="35"/>
      <c r="AD4931" s="35"/>
      <c r="AE4931" s="35"/>
      <c r="AF4931" s="35"/>
      <c r="AG4931" s="35"/>
      <c r="AH4931" s="35"/>
      <c r="AI4931" s="35"/>
    </row>
    <row r="4932">
      <c r="A4932" s="251"/>
      <c r="B4932" s="252"/>
      <c r="C4932" s="253"/>
      <c r="D4932" s="253"/>
      <c r="E4932" s="252"/>
      <c r="F4932" s="253"/>
      <c r="G4932" s="251"/>
      <c r="H4932" s="433"/>
      <c r="I4932" s="278"/>
      <c r="J4932" s="257"/>
      <c r="K4932" s="253"/>
      <c r="L4932" s="253"/>
      <c r="M4932" s="252"/>
      <c r="N4932" s="258"/>
      <c r="O4932" s="259"/>
      <c r="P4932" s="259"/>
      <c r="Q4932" s="262"/>
      <c r="R4932" s="260"/>
      <c r="S4932" s="260"/>
      <c r="T4932" s="260"/>
      <c r="U4932" s="261"/>
      <c r="V4932" s="276"/>
      <c r="W4932" s="35"/>
      <c r="X4932" s="35"/>
      <c r="Y4932" s="35"/>
      <c r="Z4932" s="35"/>
      <c r="AA4932" s="35"/>
      <c r="AB4932" s="35"/>
      <c r="AC4932" s="35"/>
      <c r="AD4932" s="35"/>
      <c r="AE4932" s="35"/>
      <c r="AF4932" s="35"/>
      <c r="AG4932" s="35"/>
      <c r="AH4932" s="35"/>
      <c r="AI4932" s="35"/>
    </row>
    <row r="4933">
      <c r="A4933" s="251"/>
      <c r="B4933" s="252"/>
      <c r="C4933" s="253"/>
      <c r="D4933" s="253"/>
      <c r="E4933" s="252"/>
      <c r="F4933" s="253"/>
      <c r="G4933" s="251"/>
      <c r="H4933" s="433"/>
      <c r="I4933" s="278"/>
      <c r="J4933" s="257"/>
      <c r="K4933" s="253"/>
      <c r="L4933" s="253"/>
      <c r="M4933" s="275"/>
      <c r="N4933" s="258"/>
      <c r="O4933" s="259"/>
      <c r="P4933" s="259"/>
      <c r="Q4933" s="262"/>
      <c r="R4933" s="260"/>
      <c r="S4933" s="260"/>
      <c r="T4933" s="260"/>
      <c r="U4933" s="261"/>
      <c r="V4933" s="251"/>
      <c r="W4933" s="35"/>
      <c r="X4933" s="35"/>
      <c r="Y4933" s="35"/>
      <c r="Z4933" s="35"/>
      <c r="AA4933" s="35"/>
      <c r="AB4933" s="35"/>
      <c r="AC4933" s="35"/>
      <c r="AD4933" s="35"/>
      <c r="AE4933" s="35"/>
      <c r="AF4933" s="35"/>
      <c r="AG4933" s="35"/>
      <c r="AH4933" s="35"/>
      <c r="AI4933" s="35"/>
    </row>
    <row r="4934">
      <c r="A4934" s="251"/>
      <c r="B4934" s="252"/>
      <c r="C4934" s="253"/>
      <c r="D4934" s="253"/>
      <c r="E4934" s="252"/>
      <c r="F4934" s="253"/>
      <c r="G4934" s="251"/>
      <c r="H4934" s="433"/>
      <c r="I4934" s="278"/>
      <c r="J4934" s="257"/>
      <c r="K4934" s="253"/>
      <c r="L4934" s="253"/>
      <c r="M4934" s="252"/>
      <c r="N4934" s="258"/>
      <c r="O4934" s="259"/>
      <c r="P4934" s="259"/>
      <c r="Q4934" s="262"/>
      <c r="R4934" s="260"/>
      <c r="S4934" s="260"/>
      <c r="T4934" s="260"/>
      <c r="U4934" s="261"/>
      <c r="V4934" s="309"/>
      <c r="W4934" s="35"/>
      <c r="X4934" s="35"/>
      <c r="Y4934" s="35"/>
      <c r="Z4934" s="35"/>
      <c r="AA4934" s="35"/>
      <c r="AB4934" s="35"/>
      <c r="AC4934" s="35"/>
      <c r="AD4934" s="35"/>
      <c r="AE4934" s="35"/>
      <c r="AF4934" s="35"/>
      <c r="AG4934" s="35"/>
      <c r="AH4934" s="35"/>
      <c r="AI4934" s="35"/>
    </row>
    <row r="4935">
      <c r="A4935" s="251"/>
      <c r="B4935" s="252"/>
      <c r="C4935" s="253"/>
      <c r="D4935" s="253"/>
      <c r="E4935" s="252"/>
      <c r="F4935" s="253"/>
      <c r="G4935" s="251"/>
      <c r="H4935" s="433"/>
      <c r="I4935" s="278"/>
      <c r="J4935" s="257"/>
      <c r="K4935" s="253"/>
      <c r="L4935" s="253"/>
      <c r="M4935" s="252"/>
      <c r="N4935" s="258"/>
      <c r="O4935" s="259"/>
      <c r="P4935" s="259"/>
      <c r="Q4935" s="262"/>
      <c r="R4935" s="260"/>
      <c r="S4935" s="260"/>
      <c r="T4935" s="260"/>
      <c r="U4935" s="261"/>
      <c r="V4935" s="251"/>
      <c r="W4935" s="35"/>
      <c r="X4935" s="35"/>
      <c r="Y4935" s="35"/>
      <c r="Z4935" s="35"/>
      <c r="AA4935" s="35"/>
      <c r="AB4935" s="35"/>
      <c r="AC4935" s="35"/>
      <c r="AD4935" s="35"/>
      <c r="AE4935" s="35"/>
      <c r="AF4935" s="35"/>
      <c r="AG4935" s="35"/>
      <c r="AH4935" s="35"/>
      <c r="AI4935" s="35"/>
    </row>
    <row r="4936">
      <c r="A4936" s="251"/>
      <c r="B4936" s="252"/>
      <c r="C4936" s="253"/>
      <c r="D4936" s="253"/>
      <c r="E4936" s="252"/>
      <c r="F4936" s="253"/>
      <c r="G4936" s="251"/>
      <c r="H4936" s="433"/>
      <c r="I4936" s="278"/>
      <c r="J4936" s="257"/>
      <c r="K4936" s="253"/>
      <c r="L4936" s="253"/>
      <c r="M4936" s="275"/>
      <c r="N4936" s="258"/>
      <c r="O4936" s="259"/>
      <c r="P4936" s="259"/>
      <c r="Q4936" s="262"/>
      <c r="R4936" s="260"/>
      <c r="S4936" s="260"/>
      <c r="T4936" s="260"/>
      <c r="U4936" s="261"/>
      <c r="V4936" s="251"/>
      <c r="W4936" s="35"/>
      <c r="X4936" s="35"/>
      <c r="Y4936" s="35"/>
      <c r="Z4936" s="35"/>
      <c r="AA4936" s="35"/>
      <c r="AB4936" s="35"/>
      <c r="AC4936" s="35"/>
      <c r="AD4936" s="35"/>
      <c r="AE4936" s="35"/>
      <c r="AF4936" s="35"/>
      <c r="AG4936" s="35"/>
      <c r="AH4936" s="35"/>
      <c r="AI4936" s="35"/>
    </row>
    <row r="4937">
      <c r="A4937" s="251"/>
      <c r="B4937" s="252"/>
      <c r="C4937" s="253"/>
      <c r="D4937" s="253"/>
      <c r="E4937" s="252"/>
      <c r="F4937" s="253"/>
      <c r="G4937" s="251"/>
      <c r="H4937" s="433"/>
      <c r="I4937" s="278"/>
      <c r="J4937" s="257"/>
      <c r="K4937" s="253"/>
      <c r="L4937" s="253"/>
      <c r="M4937" s="252"/>
      <c r="N4937" s="258"/>
      <c r="O4937" s="259"/>
      <c r="P4937" s="259"/>
      <c r="Q4937" s="257"/>
      <c r="R4937" s="260"/>
      <c r="S4937" s="260"/>
      <c r="T4937" s="260"/>
      <c r="U4937" s="261"/>
      <c r="V4937" s="251"/>
      <c r="W4937" s="35"/>
      <c r="X4937" s="35"/>
      <c r="Y4937" s="35"/>
      <c r="Z4937" s="35"/>
      <c r="AA4937" s="35"/>
      <c r="AB4937" s="35"/>
      <c r="AC4937" s="35"/>
      <c r="AD4937" s="35"/>
      <c r="AE4937" s="35"/>
      <c r="AF4937" s="35"/>
      <c r="AG4937" s="35"/>
      <c r="AH4937" s="35"/>
      <c r="AI4937" s="35"/>
    </row>
    <row r="4938">
      <c r="A4938" s="251"/>
      <c r="B4938" s="252"/>
      <c r="C4938" s="253"/>
      <c r="D4938" s="253"/>
      <c r="E4938" s="252"/>
      <c r="F4938" s="253"/>
      <c r="G4938" s="251"/>
      <c r="H4938" s="433"/>
      <c r="I4938" s="278"/>
      <c r="J4938" s="257"/>
      <c r="K4938" s="253"/>
      <c r="L4938" s="253"/>
      <c r="M4938" s="252"/>
      <c r="N4938" s="258"/>
      <c r="O4938" s="259"/>
      <c r="P4938" s="259"/>
      <c r="Q4938" s="262"/>
      <c r="R4938" s="260"/>
      <c r="S4938" s="260"/>
      <c r="T4938" s="260"/>
      <c r="U4938" s="261"/>
      <c r="V4938" s="251"/>
      <c r="W4938" s="35"/>
      <c r="X4938" s="35"/>
      <c r="Y4938" s="35"/>
      <c r="Z4938" s="35"/>
      <c r="AA4938" s="35"/>
      <c r="AB4938" s="35"/>
      <c r="AC4938" s="35"/>
      <c r="AD4938" s="35"/>
      <c r="AE4938" s="35"/>
      <c r="AF4938" s="35"/>
      <c r="AG4938" s="35"/>
      <c r="AH4938" s="35"/>
      <c r="AI4938" s="35"/>
    </row>
    <row r="4939">
      <c r="A4939" s="251"/>
      <c r="B4939" s="252"/>
      <c r="C4939" s="253"/>
      <c r="D4939" s="253"/>
      <c r="E4939" s="252"/>
      <c r="F4939" s="253"/>
      <c r="G4939" s="251"/>
      <c r="H4939" s="433"/>
      <c r="I4939" s="278"/>
      <c r="J4939" s="257"/>
      <c r="K4939" s="253"/>
      <c r="L4939" s="253"/>
      <c r="M4939" s="252"/>
      <c r="N4939" s="258"/>
      <c r="O4939" s="259"/>
      <c r="P4939" s="259"/>
      <c r="Q4939" s="257"/>
      <c r="R4939" s="260"/>
      <c r="S4939" s="260"/>
      <c r="T4939" s="260"/>
      <c r="U4939" s="261"/>
      <c r="V4939" s="309"/>
      <c r="W4939" s="35"/>
      <c r="X4939" s="35"/>
      <c r="Y4939" s="35"/>
      <c r="Z4939" s="35"/>
      <c r="AA4939" s="35"/>
      <c r="AB4939" s="35"/>
      <c r="AC4939" s="35"/>
      <c r="AD4939" s="35"/>
      <c r="AE4939" s="35"/>
      <c r="AF4939" s="35"/>
      <c r="AG4939" s="35"/>
      <c r="AH4939" s="35"/>
      <c r="AI4939" s="35"/>
    </row>
    <row r="4940">
      <c r="A4940" s="251"/>
      <c r="B4940" s="252"/>
      <c r="C4940" s="253"/>
      <c r="D4940" s="253"/>
      <c r="E4940" s="252"/>
      <c r="F4940" s="253"/>
      <c r="G4940" s="251"/>
      <c r="H4940" s="433"/>
      <c r="I4940" s="278"/>
      <c r="J4940" s="257"/>
      <c r="K4940" s="253"/>
      <c r="L4940" s="253"/>
      <c r="M4940" s="252"/>
      <c r="N4940" s="258"/>
      <c r="O4940" s="259"/>
      <c r="P4940" s="259"/>
      <c r="Q4940" s="257"/>
      <c r="R4940" s="260"/>
      <c r="S4940" s="260"/>
      <c r="T4940" s="260"/>
      <c r="U4940" s="261"/>
      <c r="V4940" s="251"/>
      <c r="W4940" s="35"/>
      <c r="X4940" s="35"/>
      <c r="Y4940" s="35"/>
      <c r="Z4940" s="35"/>
      <c r="AA4940" s="35"/>
      <c r="AB4940" s="35"/>
      <c r="AC4940" s="35"/>
      <c r="AD4940" s="35"/>
      <c r="AE4940" s="35"/>
      <c r="AF4940" s="35"/>
      <c r="AG4940" s="35"/>
      <c r="AH4940" s="35"/>
      <c r="AI4940" s="35"/>
    </row>
    <row r="4941">
      <c r="A4941" s="251"/>
      <c r="B4941" s="252"/>
      <c r="C4941" s="253"/>
      <c r="D4941" s="253"/>
      <c r="E4941" s="252"/>
      <c r="F4941" s="253"/>
      <c r="G4941" s="251"/>
      <c r="H4941" s="433"/>
      <c r="I4941" s="278"/>
      <c r="J4941" s="257"/>
      <c r="K4941" s="253"/>
      <c r="L4941" s="253"/>
      <c r="M4941" s="275"/>
      <c r="N4941" s="258"/>
      <c r="O4941" s="259"/>
      <c r="P4941" s="259"/>
      <c r="Q4941" s="262"/>
      <c r="R4941" s="260"/>
      <c r="S4941" s="260"/>
      <c r="T4941" s="260"/>
      <c r="U4941" s="261"/>
      <c r="V4941" s="251"/>
      <c r="W4941" s="35"/>
      <c r="X4941" s="35"/>
      <c r="Y4941" s="35"/>
      <c r="Z4941" s="35"/>
      <c r="AA4941" s="35"/>
      <c r="AB4941" s="35"/>
      <c r="AC4941" s="35"/>
      <c r="AD4941" s="35"/>
      <c r="AE4941" s="35"/>
      <c r="AF4941" s="35"/>
      <c r="AG4941" s="35"/>
      <c r="AH4941" s="35"/>
      <c r="AI4941" s="35"/>
    </row>
    <row r="4942">
      <c r="A4942" s="251"/>
      <c r="B4942" s="252"/>
      <c r="C4942" s="253"/>
      <c r="D4942" s="253"/>
      <c r="E4942" s="252"/>
      <c r="F4942" s="253"/>
      <c r="G4942" s="251"/>
      <c r="H4942" s="433"/>
      <c r="I4942" s="278"/>
      <c r="J4942" s="257"/>
      <c r="K4942" s="253"/>
      <c r="L4942" s="253"/>
      <c r="M4942" s="275"/>
      <c r="N4942" s="258"/>
      <c r="O4942" s="259"/>
      <c r="P4942" s="259"/>
      <c r="Q4942" s="262"/>
      <c r="R4942" s="260"/>
      <c r="S4942" s="260"/>
      <c r="T4942" s="173"/>
      <c r="U4942" s="201"/>
      <c r="V4942" s="207"/>
      <c r="W4942" s="35"/>
      <c r="X4942" s="35"/>
      <c r="Y4942" s="35"/>
      <c r="Z4942" s="35"/>
      <c r="AA4942" s="35"/>
      <c r="AB4942" s="35"/>
      <c r="AC4942" s="35"/>
      <c r="AD4942" s="35"/>
      <c r="AE4942" s="35"/>
      <c r="AF4942" s="35"/>
      <c r="AG4942" s="35"/>
      <c r="AH4942" s="35"/>
      <c r="AI4942" s="35"/>
    </row>
    <row r="4943">
      <c r="A4943" s="251"/>
      <c r="B4943" s="252"/>
      <c r="C4943" s="253"/>
      <c r="D4943" s="253"/>
      <c r="E4943" s="252"/>
      <c r="F4943" s="253"/>
      <c r="G4943" s="251"/>
      <c r="H4943" s="433"/>
      <c r="I4943" s="278"/>
      <c r="J4943" s="257"/>
      <c r="K4943" s="253"/>
      <c r="L4943" s="253"/>
      <c r="M4943" s="252"/>
      <c r="N4943" s="258"/>
      <c r="O4943" s="259"/>
      <c r="P4943" s="259"/>
      <c r="Q4943" s="262"/>
      <c r="R4943" s="260"/>
      <c r="S4943" s="260"/>
      <c r="T4943" s="260"/>
      <c r="U4943" s="261"/>
      <c r="V4943" s="309"/>
      <c r="W4943" s="35"/>
      <c r="X4943" s="35"/>
      <c r="Y4943" s="35"/>
      <c r="Z4943" s="35"/>
      <c r="AA4943" s="35"/>
      <c r="AB4943" s="35"/>
      <c r="AC4943" s="35"/>
      <c r="AD4943" s="35"/>
      <c r="AE4943" s="35"/>
      <c r="AF4943" s="35"/>
      <c r="AG4943" s="35"/>
      <c r="AH4943" s="35"/>
      <c r="AI4943" s="35"/>
    </row>
    <row r="4944">
      <c r="A4944" s="251"/>
      <c r="B4944" s="252"/>
      <c r="C4944" s="253"/>
      <c r="D4944" s="253"/>
      <c r="E4944" s="252"/>
      <c r="F4944" s="253"/>
      <c r="G4944" s="251"/>
      <c r="H4944" s="433"/>
      <c r="I4944" s="278"/>
      <c r="J4944" s="257"/>
      <c r="K4944" s="253"/>
      <c r="L4944" s="253"/>
      <c r="M4944" s="275"/>
      <c r="N4944" s="258"/>
      <c r="O4944" s="259"/>
      <c r="P4944" s="259"/>
      <c r="Q4944" s="262"/>
      <c r="R4944" s="260"/>
      <c r="S4944" s="260"/>
      <c r="T4944" s="260"/>
      <c r="U4944" s="261"/>
      <c r="V4944" s="251"/>
      <c r="W4944" s="35"/>
      <c r="X4944" s="35"/>
      <c r="Y4944" s="35"/>
      <c r="Z4944" s="35"/>
      <c r="AA4944" s="35"/>
      <c r="AB4944" s="35"/>
      <c r="AC4944" s="35"/>
      <c r="AD4944" s="35"/>
      <c r="AE4944" s="35"/>
      <c r="AF4944" s="35"/>
      <c r="AG4944" s="35"/>
      <c r="AH4944" s="35"/>
      <c r="AI4944" s="35"/>
    </row>
    <row r="4945">
      <c r="A4945" s="251"/>
      <c r="B4945" s="252"/>
      <c r="C4945" s="253"/>
      <c r="D4945" s="253"/>
      <c r="E4945" s="252"/>
      <c r="F4945" s="253"/>
      <c r="G4945" s="251"/>
      <c r="H4945" s="433"/>
      <c r="I4945" s="278"/>
      <c r="J4945" s="257"/>
      <c r="K4945" s="253"/>
      <c r="L4945" s="253"/>
      <c r="M4945" s="252"/>
      <c r="N4945" s="258"/>
      <c r="O4945" s="259"/>
      <c r="P4945" s="259"/>
      <c r="Q4945" s="262"/>
      <c r="R4945" s="260"/>
      <c r="S4945" s="260"/>
      <c r="T4945" s="260"/>
      <c r="U4945" s="261"/>
      <c r="V4945" s="251"/>
      <c r="W4945" s="35"/>
      <c r="X4945" s="35"/>
      <c r="Y4945" s="35"/>
      <c r="Z4945" s="35"/>
      <c r="AA4945" s="35"/>
      <c r="AB4945" s="35"/>
      <c r="AC4945" s="35"/>
      <c r="AD4945" s="35"/>
      <c r="AE4945" s="35"/>
      <c r="AF4945" s="35"/>
      <c r="AG4945" s="35"/>
      <c r="AH4945" s="35"/>
      <c r="AI4945" s="35"/>
    </row>
    <row r="4946">
      <c r="A4946" s="251"/>
      <c r="B4946" s="252"/>
      <c r="C4946" s="253"/>
      <c r="D4946" s="253"/>
      <c r="E4946" s="252"/>
      <c r="F4946" s="253"/>
      <c r="G4946" s="251"/>
      <c r="H4946" s="433"/>
      <c r="I4946" s="278"/>
      <c r="J4946" s="257"/>
      <c r="K4946" s="253"/>
      <c r="L4946" s="253"/>
      <c r="M4946" s="275"/>
      <c r="N4946" s="258"/>
      <c r="O4946" s="259"/>
      <c r="P4946" s="259"/>
      <c r="Q4946" s="262"/>
      <c r="R4946" s="260"/>
      <c r="S4946" s="260"/>
      <c r="T4946" s="260"/>
      <c r="U4946" s="261"/>
      <c r="V4946" s="251"/>
      <c r="W4946" s="35"/>
      <c r="X4946" s="35"/>
      <c r="Y4946" s="35"/>
      <c r="Z4946" s="35"/>
      <c r="AA4946" s="35"/>
      <c r="AB4946" s="35"/>
      <c r="AC4946" s="35"/>
      <c r="AD4946" s="35"/>
      <c r="AE4946" s="35"/>
      <c r="AF4946" s="35"/>
      <c r="AG4946" s="35"/>
      <c r="AH4946" s="35"/>
      <c r="AI4946" s="35"/>
    </row>
    <row r="4947">
      <c r="A4947" s="251"/>
      <c r="B4947" s="252"/>
      <c r="C4947" s="253"/>
      <c r="D4947" s="253"/>
      <c r="E4947" s="252"/>
      <c r="F4947" s="253"/>
      <c r="G4947" s="251"/>
      <c r="H4947" s="433"/>
      <c r="I4947" s="278"/>
      <c r="J4947" s="257"/>
      <c r="K4947" s="253"/>
      <c r="L4947" s="253"/>
      <c r="M4947" s="252"/>
      <c r="N4947" s="258"/>
      <c r="O4947" s="259"/>
      <c r="P4947" s="259"/>
      <c r="Q4947" s="257"/>
      <c r="R4947" s="260"/>
      <c r="S4947" s="260"/>
      <c r="T4947" s="260"/>
      <c r="U4947" s="261"/>
      <c r="V4947" s="251"/>
      <c r="W4947" s="35"/>
      <c r="X4947" s="35"/>
      <c r="Y4947" s="35"/>
      <c r="Z4947" s="35"/>
      <c r="AA4947" s="35"/>
      <c r="AB4947" s="35"/>
      <c r="AC4947" s="35"/>
      <c r="AD4947" s="35"/>
      <c r="AE4947" s="35"/>
      <c r="AF4947" s="35"/>
      <c r="AG4947" s="35"/>
      <c r="AH4947" s="35"/>
      <c r="AI4947" s="35"/>
    </row>
    <row r="4948">
      <c r="A4948" s="251"/>
      <c r="B4948" s="252"/>
      <c r="C4948" s="253"/>
      <c r="D4948" s="253"/>
      <c r="E4948" s="252"/>
      <c r="F4948" s="253"/>
      <c r="G4948" s="251"/>
      <c r="H4948" s="433"/>
      <c r="I4948" s="278"/>
      <c r="J4948" s="257"/>
      <c r="K4948" s="253"/>
      <c r="L4948" s="253"/>
      <c r="M4948" s="252"/>
      <c r="N4948" s="258"/>
      <c r="O4948" s="259"/>
      <c r="P4948" s="259"/>
      <c r="Q4948" s="262"/>
      <c r="R4948" s="260"/>
      <c r="S4948" s="260"/>
      <c r="T4948" s="173"/>
      <c r="U4948" s="201"/>
      <c r="V4948" s="165"/>
      <c r="W4948" s="35"/>
      <c r="X4948" s="35"/>
      <c r="Y4948" s="35"/>
      <c r="Z4948" s="35"/>
      <c r="AA4948" s="35"/>
      <c r="AB4948" s="35"/>
      <c r="AC4948" s="35"/>
      <c r="AD4948" s="35"/>
      <c r="AE4948" s="35"/>
      <c r="AF4948" s="35"/>
      <c r="AG4948" s="35"/>
      <c r="AH4948" s="35"/>
      <c r="AI4948" s="35"/>
    </row>
    <row r="4949">
      <c r="A4949" s="251"/>
      <c r="B4949" s="252"/>
      <c r="C4949" s="253"/>
      <c r="D4949" s="253"/>
      <c r="E4949" s="252"/>
      <c r="F4949" s="253"/>
      <c r="G4949" s="251"/>
      <c r="H4949" s="433"/>
      <c r="I4949" s="278"/>
      <c r="J4949" s="257"/>
      <c r="K4949" s="253"/>
      <c r="L4949" s="253"/>
      <c r="M4949" s="252"/>
      <c r="N4949" s="258"/>
      <c r="O4949" s="259"/>
      <c r="P4949" s="259"/>
      <c r="Q4949" s="257"/>
      <c r="R4949" s="260"/>
      <c r="S4949" s="260"/>
      <c r="T4949" s="260"/>
      <c r="U4949" s="261"/>
      <c r="V4949" s="251"/>
      <c r="W4949" s="35"/>
      <c r="X4949" s="35"/>
      <c r="Y4949" s="35"/>
      <c r="Z4949" s="35"/>
      <c r="AA4949" s="35"/>
      <c r="AB4949" s="35"/>
      <c r="AC4949" s="35"/>
      <c r="AD4949" s="35"/>
      <c r="AE4949" s="35"/>
      <c r="AF4949" s="35"/>
      <c r="AG4949" s="35"/>
      <c r="AH4949" s="35"/>
      <c r="AI4949" s="35"/>
    </row>
    <row r="4950">
      <c r="A4950" s="251"/>
      <c r="B4950" s="252"/>
      <c r="C4950" s="253"/>
      <c r="D4950" s="253"/>
      <c r="E4950" s="252"/>
      <c r="F4950" s="253"/>
      <c r="G4950" s="251"/>
      <c r="H4950" s="433"/>
      <c r="I4950" s="278"/>
      <c r="J4950" s="257"/>
      <c r="K4950" s="253"/>
      <c r="L4950" s="253"/>
      <c r="M4950" s="275"/>
      <c r="N4950" s="258"/>
      <c r="O4950" s="259"/>
      <c r="P4950" s="259"/>
      <c r="Q4950" s="262"/>
      <c r="R4950" s="260"/>
      <c r="S4950" s="260"/>
      <c r="T4950" s="260"/>
      <c r="U4950" s="261"/>
      <c r="V4950" s="251"/>
      <c r="W4950" s="35"/>
      <c r="X4950" s="35"/>
      <c r="Y4950" s="35"/>
      <c r="Z4950" s="35"/>
      <c r="AA4950" s="35"/>
      <c r="AB4950" s="35"/>
      <c r="AC4950" s="35"/>
      <c r="AD4950" s="35"/>
      <c r="AE4950" s="35"/>
      <c r="AF4950" s="35"/>
      <c r="AG4950" s="35"/>
      <c r="AH4950" s="35"/>
      <c r="AI4950" s="35"/>
    </row>
    <row r="4951">
      <c r="A4951" s="251"/>
      <c r="B4951" s="252"/>
      <c r="C4951" s="253"/>
      <c r="D4951" s="253"/>
      <c r="E4951" s="252"/>
      <c r="F4951" s="253"/>
      <c r="G4951" s="251"/>
      <c r="H4951" s="433"/>
      <c r="I4951" s="278"/>
      <c r="J4951" s="257"/>
      <c r="K4951" s="253"/>
      <c r="L4951" s="253"/>
      <c r="M4951" s="275"/>
      <c r="N4951" s="258"/>
      <c r="O4951" s="259"/>
      <c r="P4951" s="259"/>
      <c r="Q4951" s="262"/>
      <c r="R4951" s="260"/>
      <c r="S4951" s="260"/>
      <c r="T4951" s="260"/>
      <c r="U4951" s="261"/>
      <c r="V4951" s="309"/>
      <c r="W4951" s="35"/>
      <c r="X4951" s="35"/>
      <c r="Y4951" s="35"/>
      <c r="Z4951" s="35"/>
      <c r="AA4951" s="35"/>
      <c r="AB4951" s="35"/>
      <c r="AC4951" s="35"/>
      <c r="AD4951" s="35"/>
      <c r="AE4951" s="35"/>
      <c r="AF4951" s="35"/>
      <c r="AG4951" s="35"/>
      <c r="AH4951" s="35"/>
      <c r="AI4951" s="35"/>
    </row>
    <row r="4952">
      <c r="A4952" s="263"/>
      <c r="B4952" s="264"/>
      <c r="C4952" s="265"/>
      <c r="D4952" s="265"/>
      <c r="E4952" s="264"/>
      <c r="F4952" s="265"/>
      <c r="G4952" s="263"/>
      <c r="H4952" s="432"/>
      <c r="I4952" s="282"/>
      <c r="J4952" s="283"/>
      <c r="K4952" s="265"/>
      <c r="L4952" s="265"/>
      <c r="M4952" s="269"/>
      <c r="N4952" s="270"/>
      <c r="O4952" s="271"/>
      <c r="P4952" s="271"/>
      <c r="Q4952" s="272"/>
      <c r="R4952" s="273"/>
      <c r="S4952" s="273"/>
      <c r="T4952" s="273"/>
      <c r="U4952" s="274"/>
      <c r="V4952" s="263"/>
      <c r="W4952" s="35"/>
      <c r="X4952" s="35"/>
      <c r="Y4952" s="35"/>
      <c r="Z4952" s="35"/>
      <c r="AA4952" s="35"/>
      <c r="AB4952" s="35"/>
      <c r="AC4952" s="35"/>
      <c r="AD4952" s="35"/>
      <c r="AE4952" s="35"/>
      <c r="AF4952" s="35"/>
      <c r="AG4952" s="35"/>
      <c r="AH4952" s="35"/>
      <c r="AI4952" s="35"/>
    </row>
    <row r="4953">
      <c r="A4953" s="251"/>
      <c r="B4953" s="252"/>
      <c r="C4953" s="253"/>
      <c r="D4953" s="253"/>
      <c r="E4953" s="252"/>
      <c r="F4953" s="253"/>
      <c r="G4953" s="251"/>
      <c r="H4953" s="433"/>
      <c r="I4953" s="278"/>
      <c r="J4953" s="257"/>
      <c r="K4953" s="253"/>
      <c r="L4953" s="253"/>
      <c r="M4953" s="252"/>
      <c r="N4953" s="258"/>
      <c r="O4953" s="259"/>
      <c r="P4953" s="259"/>
      <c r="Q4953" s="262"/>
      <c r="R4953" s="260"/>
      <c r="S4953" s="260"/>
      <c r="T4953" s="260"/>
      <c r="U4953" s="261"/>
      <c r="V4953" s="309"/>
      <c r="W4953" s="35"/>
      <c r="X4953" s="35"/>
      <c r="Y4953" s="35"/>
      <c r="Z4953" s="35"/>
      <c r="AA4953" s="35"/>
      <c r="AB4953" s="35"/>
      <c r="AC4953" s="35"/>
      <c r="AD4953" s="35"/>
      <c r="AE4953" s="35"/>
      <c r="AF4953" s="35"/>
      <c r="AG4953" s="35"/>
      <c r="AH4953" s="35"/>
      <c r="AI4953" s="35"/>
    </row>
    <row r="4954">
      <c r="A4954" s="251"/>
      <c r="B4954" s="252"/>
      <c r="C4954" s="253"/>
      <c r="D4954" s="253"/>
      <c r="E4954" s="252"/>
      <c r="F4954" s="253"/>
      <c r="G4954" s="251"/>
      <c r="H4954" s="433"/>
      <c r="I4954" s="278"/>
      <c r="J4954" s="257"/>
      <c r="K4954" s="253"/>
      <c r="L4954" s="253"/>
      <c r="M4954" s="275"/>
      <c r="N4954" s="258"/>
      <c r="O4954" s="259"/>
      <c r="P4954" s="259"/>
      <c r="Q4954" s="262"/>
      <c r="R4954" s="260"/>
      <c r="S4954" s="260"/>
      <c r="T4954" s="260"/>
      <c r="U4954" s="261"/>
      <c r="V4954" s="251"/>
      <c r="W4954" s="35"/>
      <c r="X4954" s="35"/>
      <c r="Y4954" s="35"/>
      <c r="Z4954" s="35"/>
      <c r="AA4954" s="35"/>
      <c r="AB4954" s="35"/>
      <c r="AC4954" s="35"/>
      <c r="AD4954" s="35"/>
      <c r="AE4954" s="35"/>
      <c r="AF4954" s="35"/>
      <c r="AG4954" s="35"/>
      <c r="AH4954" s="35"/>
      <c r="AI4954" s="35"/>
    </row>
    <row r="4955">
      <c r="A4955" s="251"/>
      <c r="B4955" s="252"/>
      <c r="C4955" s="253"/>
      <c r="D4955" s="253"/>
      <c r="E4955" s="252"/>
      <c r="F4955" s="253"/>
      <c r="G4955" s="251"/>
      <c r="H4955" s="433"/>
      <c r="I4955" s="278"/>
      <c r="J4955" s="257"/>
      <c r="K4955" s="253"/>
      <c r="L4955" s="253"/>
      <c r="M4955" s="252"/>
      <c r="N4955" s="258"/>
      <c r="O4955" s="259"/>
      <c r="P4955" s="259"/>
      <c r="Q4955" s="262"/>
      <c r="R4955" s="260"/>
      <c r="S4955" s="260"/>
      <c r="T4955" s="260"/>
      <c r="U4955" s="261"/>
      <c r="V4955" s="276"/>
      <c r="W4955" s="35"/>
      <c r="X4955" s="35"/>
      <c r="Y4955" s="35"/>
      <c r="Z4955" s="35"/>
      <c r="AA4955" s="35"/>
      <c r="AB4955" s="35"/>
      <c r="AC4955" s="35"/>
      <c r="AD4955" s="35"/>
      <c r="AE4955" s="35"/>
      <c r="AF4955" s="35"/>
      <c r="AG4955" s="35"/>
      <c r="AH4955" s="35"/>
      <c r="AI4955" s="35"/>
    </row>
    <row r="4956">
      <c r="A4956" s="251"/>
      <c r="B4956" s="252"/>
      <c r="C4956" s="253"/>
      <c r="D4956" s="285"/>
      <c r="E4956" s="252"/>
      <c r="F4956" s="253"/>
      <c r="G4956" s="251"/>
      <c r="H4956" s="433"/>
      <c r="I4956" s="278"/>
      <c r="J4956" s="257"/>
      <c r="K4956" s="253"/>
      <c r="L4956" s="253"/>
      <c r="M4956" s="252"/>
      <c r="N4956" s="258"/>
      <c r="O4956" s="259"/>
      <c r="P4956" s="259"/>
      <c r="Q4956" s="262"/>
      <c r="R4956" s="260"/>
      <c r="S4956" s="260"/>
      <c r="T4956" s="260"/>
      <c r="U4956" s="261"/>
      <c r="V4956" s="309"/>
      <c r="W4956" s="35"/>
      <c r="X4956" s="35"/>
      <c r="Y4956" s="35"/>
      <c r="Z4956" s="35"/>
      <c r="AA4956" s="35"/>
      <c r="AB4956" s="35"/>
      <c r="AC4956" s="35"/>
      <c r="AD4956" s="35"/>
      <c r="AE4956" s="35"/>
      <c r="AF4956" s="35"/>
      <c r="AG4956" s="35"/>
      <c r="AH4956" s="35"/>
      <c r="AI4956" s="35"/>
    </row>
    <row r="4957">
      <c r="A4957" s="251"/>
      <c r="B4957" s="252"/>
      <c r="C4957" s="253"/>
      <c r="D4957" s="253"/>
      <c r="E4957" s="252"/>
      <c r="F4957" s="253"/>
      <c r="G4957" s="251"/>
      <c r="H4957" s="433"/>
      <c r="I4957" s="278"/>
      <c r="J4957" s="257"/>
      <c r="K4957" s="253"/>
      <c r="L4957" s="253"/>
      <c r="M4957" s="252"/>
      <c r="N4957" s="258"/>
      <c r="O4957" s="259"/>
      <c r="P4957" s="259"/>
      <c r="Q4957" s="262"/>
      <c r="R4957" s="260"/>
      <c r="S4957" s="260"/>
      <c r="T4957" s="260"/>
      <c r="U4957" s="261"/>
      <c r="V4957" s="309"/>
      <c r="W4957" s="35"/>
      <c r="X4957" s="35"/>
      <c r="Y4957" s="35"/>
      <c r="Z4957" s="35"/>
      <c r="AA4957" s="35"/>
      <c r="AB4957" s="35"/>
      <c r="AC4957" s="35"/>
      <c r="AD4957" s="35"/>
      <c r="AE4957" s="35"/>
      <c r="AF4957" s="35"/>
      <c r="AG4957" s="35"/>
      <c r="AH4957" s="35"/>
      <c r="AI4957" s="35"/>
    </row>
    <row r="4958">
      <c r="A4958" s="251"/>
      <c r="B4958" s="252"/>
      <c r="C4958" s="253"/>
      <c r="D4958" s="253"/>
      <c r="E4958" s="252"/>
      <c r="F4958" s="253"/>
      <c r="G4958" s="251"/>
      <c r="H4958" s="433"/>
      <c r="I4958" s="278"/>
      <c r="J4958" s="257"/>
      <c r="K4958" s="253"/>
      <c r="L4958" s="253"/>
      <c r="M4958" s="252"/>
      <c r="N4958" s="258"/>
      <c r="O4958" s="259"/>
      <c r="P4958" s="259"/>
      <c r="Q4958" s="262"/>
      <c r="R4958" s="260"/>
      <c r="S4958" s="260"/>
      <c r="T4958" s="260"/>
      <c r="U4958" s="261"/>
      <c r="V4958" s="251"/>
      <c r="W4958" s="35"/>
      <c r="X4958" s="35"/>
      <c r="Y4958" s="35"/>
      <c r="Z4958" s="35"/>
      <c r="AA4958" s="35"/>
      <c r="AB4958" s="35"/>
      <c r="AC4958" s="35"/>
      <c r="AD4958" s="35"/>
      <c r="AE4958" s="35"/>
      <c r="AF4958" s="35"/>
      <c r="AG4958" s="35"/>
      <c r="AH4958" s="35"/>
      <c r="AI4958" s="35"/>
    </row>
    <row r="4959">
      <c r="A4959" s="251"/>
      <c r="B4959" s="252"/>
      <c r="C4959" s="253"/>
      <c r="D4959" s="253"/>
      <c r="E4959" s="252"/>
      <c r="F4959" s="253"/>
      <c r="G4959" s="251"/>
      <c r="H4959" s="433"/>
      <c r="I4959" s="278"/>
      <c r="J4959" s="257"/>
      <c r="K4959" s="253"/>
      <c r="L4959" s="253"/>
      <c r="M4959" s="252"/>
      <c r="N4959" s="258"/>
      <c r="O4959" s="259"/>
      <c r="P4959" s="259"/>
      <c r="Q4959" s="257"/>
      <c r="R4959" s="260"/>
      <c r="S4959" s="260"/>
      <c r="T4959" s="260"/>
      <c r="U4959" s="261"/>
      <c r="V4959" s="251"/>
      <c r="W4959" s="35"/>
      <c r="X4959" s="35"/>
      <c r="Y4959" s="35"/>
      <c r="Z4959" s="35"/>
      <c r="AA4959" s="35"/>
      <c r="AB4959" s="35"/>
      <c r="AC4959" s="35"/>
      <c r="AD4959" s="35"/>
      <c r="AE4959" s="35"/>
      <c r="AF4959" s="35"/>
      <c r="AG4959" s="35"/>
      <c r="AH4959" s="35"/>
      <c r="AI4959" s="35"/>
    </row>
    <row r="4960">
      <c r="A4960" s="251"/>
      <c r="B4960" s="252"/>
      <c r="C4960" s="253"/>
      <c r="D4960" s="253"/>
      <c r="E4960" s="252"/>
      <c r="F4960" s="253"/>
      <c r="G4960" s="251"/>
      <c r="H4960" s="433"/>
      <c r="I4960" s="278"/>
      <c r="J4960" s="257"/>
      <c r="K4960" s="253"/>
      <c r="L4960" s="253"/>
      <c r="M4960" s="252"/>
      <c r="N4960" s="258"/>
      <c r="O4960" s="259"/>
      <c r="P4960" s="259"/>
      <c r="Q4960" s="262"/>
      <c r="R4960" s="260"/>
      <c r="S4960" s="260"/>
      <c r="T4960" s="260"/>
      <c r="U4960" s="261"/>
      <c r="V4960" s="251"/>
      <c r="W4960" s="35"/>
      <c r="X4960" s="35"/>
      <c r="Y4960" s="35"/>
      <c r="Z4960" s="35"/>
      <c r="AA4960" s="35"/>
      <c r="AB4960" s="35"/>
      <c r="AC4960" s="35"/>
      <c r="AD4960" s="35"/>
      <c r="AE4960" s="35"/>
      <c r="AF4960" s="35"/>
      <c r="AG4960" s="35"/>
      <c r="AH4960" s="35"/>
      <c r="AI4960" s="35"/>
    </row>
    <row r="4961">
      <c r="A4961" s="251"/>
      <c r="B4961" s="252"/>
      <c r="C4961" s="253"/>
      <c r="D4961" s="253"/>
      <c r="E4961" s="252"/>
      <c r="F4961" s="253"/>
      <c r="G4961" s="251"/>
      <c r="H4961" s="433"/>
      <c r="I4961" s="278"/>
      <c r="J4961" s="257"/>
      <c r="K4961" s="253"/>
      <c r="L4961" s="253"/>
      <c r="M4961" s="252"/>
      <c r="N4961" s="258"/>
      <c r="O4961" s="259"/>
      <c r="P4961" s="259"/>
      <c r="Q4961" s="257"/>
      <c r="R4961" s="260"/>
      <c r="S4961" s="260"/>
      <c r="T4961" s="260"/>
      <c r="U4961" s="261"/>
      <c r="V4961" s="251"/>
      <c r="W4961" s="35"/>
      <c r="X4961" s="35"/>
      <c r="Y4961" s="35"/>
      <c r="Z4961" s="35"/>
      <c r="AA4961" s="35"/>
      <c r="AB4961" s="35"/>
      <c r="AC4961" s="35"/>
      <c r="AD4961" s="35"/>
      <c r="AE4961" s="35"/>
      <c r="AF4961" s="35"/>
      <c r="AG4961" s="35"/>
      <c r="AH4961" s="35"/>
      <c r="AI4961" s="35"/>
    </row>
    <row r="4962">
      <c r="A4962" s="251"/>
      <c r="B4962" s="252"/>
      <c r="C4962" s="253"/>
      <c r="D4962" s="253"/>
      <c r="E4962" s="252"/>
      <c r="F4962" s="253"/>
      <c r="G4962" s="251"/>
      <c r="H4962" s="433"/>
      <c r="I4962" s="278"/>
      <c r="J4962" s="257"/>
      <c r="K4962" s="253"/>
      <c r="L4962" s="253"/>
      <c r="M4962" s="275"/>
      <c r="N4962" s="258"/>
      <c r="O4962" s="259"/>
      <c r="P4962" s="259"/>
      <c r="Q4962" s="262"/>
      <c r="R4962" s="260"/>
      <c r="S4962" s="260"/>
      <c r="T4962" s="260"/>
      <c r="U4962" s="261"/>
      <c r="V4962" s="251"/>
      <c r="W4962" s="35"/>
      <c r="X4962" s="35"/>
      <c r="Y4962" s="35"/>
      <c r="Z4962" s="35"/>
      <c r="AA4962" s="35"/>
      <c r="AB4962" s="35"/>
      <c r="AC4962" s="35"/>
      <c r="AD4962" s="35"/>
      <c r="AE4962" s="35"/>
      <c r="AF4962" s="35"/>
      <c r="AG4962" s="35"/>
      <c r="AH4962" s="35"/>
      <c r="AI4962" s="35"/>
    </row>
    <row r="4963">
      <c r="A4963" s="251"/>
      <c r="B4963" s="252"/>
      <c r="C4963" s="253"/>
      <c r="D4963" s="253"/>
      <c r="E4963" s="252"/>
      <c r="F4963" s="253"/>
      <c r="G4963" s="251"/>
      <c r="H4963" s="433"/>
      <c r="I4963" s="278"/>
      <c r="J4963" s="257"/>
      <c r="K4963" s="253"/>
      <c r="L4963" s="253"/>
      <c r="M4963" s="252"/>
      <c r="N4963" s="258"/>
      <c r="O4963" s="259"/>
      <c r="P4963" s="259"/>
      <c r="Q4963" s="262"/>
      <c r="R4963" s="260"/>
      <c r="S4963" s="260"/>
      <c r="T4963" s="260"/>
      <c r="U4963" s="261"/>
      <c r="V4963" s="309"/>
      <c r="W4963" s="35"/>
      <c r="X4963" s="35"/>
      <c r="Y4963" s="35"/>
      <c r="Z4963" s="35"/>
      <c r="AA4963" s="35"/>
      <c r="AB4963" s="35"/>
      <c r="AC4963" s="35"/>
      <c r="AD4963" s="35"/>
      <c r="AE4963" s="35"/>
      <c r="AF4963" s="35"/>
      <c r="AG4963" s="35"/>
      <c r="AH4963" s="35"/>
      <c r="AI4963" s="35"/>
    </row>
    <row r="4964">
      <c r="A4964" s="251"/>
      <c r="B4964" s="252"/>
      <c r="C4964" s="253"/>
      <c r="D4964" s="253"/>
      <c r="E4964" s="252"/>
      <c r="F4964" s="253"/>
      <c r="G4964" s="251"/>
      <c r="H4964" s="433"/>
      <c r="I4964" s="278"/>
      <c r="J4964" s="257"/>
      <c r="K4964" s="253"/>
      <c r="L4964" s="253"/>
      <c r="M4964" s="252"/>
      <c r="N4964" s="258"/>
      <c r="O4964" s="259"/>
      <c r="P4964" s="259"/>
      <c r="Q4964" s="262"/>
      <c r="R4964" s="260"/>
      <c r="S4964" s="260"/>
      <c r="T4964" s="260"/>
      <c r="U4964" s="261"/>
      <c r="V4964" s="251"/>
      <c r="W4964" s="35"/>
      <c r="X4964" s="35"/>
      <c r="Y4964" s="35"/>
      <c r="Z4964" s="35"/>
      <c r="AA4964" s="35"/>
      <c r="AB4964" s="35"/>
      <c r="AC4964" s="35"/>
      <c r="AD4964" s="35"/>
      <c r="AE4964" s="35"/>
      <c r="AF4964" s="35"/>
      <c r="AG4964" s="35"/>
      <c r="AH4964" s="35"/>
      <c r="AI4964" s="35"/>
    </row>
    <row r="4965">
      <c r="A4965" s="251"/>
      <c r="B4965" s="252"/>
      <c r="C4965" s="253"/>
      <c r="D4965" s="253"/>
      <c r="E4965" s="252"/>
      <c r="F4965" s="253"/>
      <c r="G4965" s="251"/>
      <c r="H4965" s="433"/>
      <c r="I4965" s="278"/>
      <c r="J4965" s="257"/>
      <c r="K4965" s="253"/>
      <c r="L4965" s="253"/>
      <c r="M4965" s="252"/>
      <c r="N4965" s="258"/>
      <c r="O4965" s="259"/>
      <c r="P4965" s="259"/>
      <c r="Q4965" s="262"/>
      <c r="R4965" s="260"/>
      <c r="S4965" s="260"/>
      <c r="T4965" s="260"/>
      <c r="U4965" s="261"/>
      <c r="V4965" s="251"/>
      <c r="W4965" s="35"/>
      <c r="X4965" s="35"/>
      <c r="Y4965" s="35"/>
      <c r="Z4965" s="35"/>
      <c r="AA4965" s="35"/>
      <c r="AB4965" s="35"/>
      <c r="AC4965" s="35"/>
      <c r="AD4965" s="35"/>
      <c r="AE4965" s="35"/>
      <c r="AF4965" s="35"/>
      <c r="AG4965" s="35"/>
      <c r="AH4965" s="35"/>
      <c r="AI4965" s="35"/>
    </row>
    <row r="4966">
      <c r="A4966" s="251"/>
      <c r="B4966" s="252"/>
      <c r="C4966" s="253"/>
      <c r="D4966" s="253"/>
      <c r="E4966" s="252"/>
      <c r="F4966" s="253"/>
      <c r="G4966" s="251"/>
      <c r="H4966" s="433"/>
      <c r="I4966" s="278"/>
      <c r="J4966" s="257"/>
      <c r="K4966" s="253"/>
      <c r="L4966" s="253"/>
      <c r="M4966" s="275"/>
      <c r="N4966" s="258"/>
      <c r="O4966" s="259"/>
      <c r="P4966" s="259"/>
      <c r="Q4966" s="262"/>
      <c r="R4966" s="260"/>
      <c r="S4966" s="260"/>
      <c r="T4966" s="260"/>
      <c r="U4966" s="261"/>
      <c r="V4966" s="276"/>
      <c r="W4966" s="35"/>
      <c r="X4966" s="35"/>
      <c r="Y4966" s="35"/>
      <c r="Z4966" s="35"/>
      <c r="AA4966" s="35"/>
      <c r="AB4966" s="35"/>
      <c r="AC4966" s="35"/>
      <c r="AD4966" s="35"/>
      <c r="AE4966" s="35"/>
      <c r="AF4966" s="35"/>
      <c r="AG4966" s="35"/>
      <c r="AH4966" s="35"/>
      <c r="AI4966" s="35"/>
    </row>
    <row r="4967">
      <c r="A4967" s="251"/>
      <c r="B4967" s="252"/>
      <c r="C4967" s="253"/>
      <c r="D4967" s="253"/>
      <c r="E4967" s="252"/>
      <c r="F4967" s="253"/>
      <c r="G4967" s="251"/>
      <c r="H4967" s="433"/>
      <c r="I4967" s="278"/>
      <c r="J4967" s="257"/>
      <c r="K4967" s="253"/>
      <c r="L4967" s="253"/>
      <c r="M4967" s="252"/>
      <c r="N4967" s="258"/>
      <c r="O4967" s="259"/>
      <c r="P4967" s="259"/>
      <c r="Q4967" s="262"/>
      <c r="R4967" s="260"/>
      <c r="S4967" s="260"/>
      <c r="T4967" s="260"/>
      <c r="U4967" s="261"/>
      <c r="V4967" s="276"/>
      <c r="W4967" s="35"/>
      <c r="X4967" s="35"/>
      <c r="Y4967" s="35"/>
      <c r="Z4967" s="35"/>
      <c r="AA4967" s="35"/>
      <c r="AB4967" s="35"/>
      <c r="AC4967" s="35"/>
      <c r="AD4967" s="35"/>
      <c r="AE4967" s="35"/>
      <c r="AF4967" s="35"/>
      <c r="AG4967" s="35"/>
      <c r="AH4967" s="35"/>
      <c r="AI4967" s="35"/>
    </row>
    <row r="4968">
      <c r="A4968" s="251"/>
      <c r="B4968" s="252"/>
      <c r="C4968" s="253"/>
      <c r="D4968" s="253"/>
      <c r="E4968" s="252"/>
      <c r="F4968" s="253"/>
      <c r="G4968" s="251"/>
      <c r="H4968" s="433"/>
      <c r="I4968" s="278"/>
      <c r="J4968" s="257"/>
      <c r="K4968" s="253"/>
      <c r="L4968" s="253"/>
      <c r="M4968" s="252"/>
      <c r="N4968" s="258"/>
      <c r="O4968" s="259"/>
      <c r="P4968" s="259"/>
      <c r="Q4968" s="257"/>
      <c r="R4968" s="260"/>
      <c r="S4968" s="260"/>
      <c r="T4968" s="260"/>
      <c r="U4968" s="261"/>
      <c r="V4968" s="251"/>
      <c r="W4968" s="35"/>
      <c r="X4968" s="35"/>
      <c r="Y4968" s="35"/>
      <c r="Z4968" s="35"/>
      <c r="AA4968" s="35"/>
      <c r="AB4968" s="35"/>
      <c r="AC4968" s="35"/>
      <c r="AD4968" s="35"/>
      <c r="AE4968" s="35"/>
      <c r="AF4968" s="35"/>
      <c r="AG4968" s="35"/>
      <c r="AH4968" s="35"/>
      <c r="AI4968" s="35"/>
    </row>
    <row r="4969">
      <c r="A4969" s="251"/>
      <c r="B4969" s="252"/>
      <c r="C4969" s="253"/>
      <c r="D4969" s="253"/>
      <c r="E4969" s="252"/>
      <c r="F4969" s="253"/>
      <c r="G4969" s="251"/>
      <c r="H4969" s="433"/>
      <c r="I4969" s="278"/>
      <c r="J4969" s="257"/>
      <c r="K4969" s="253"/>
      <c r="L4969" s="253"/>
      <c r="M4969" s="275"/>
      <c r="N4969" s="258"/>
      <c r="O4969" s="259"/>
      <c r="P4969" s="259"/>
      <c r="Q4969" s="262"/>
      <c r="R4969" s="260"/>
      <c r="S4969" s="260"/>
      <c r="T4969" s="260"/>
      <c r="U4969" s="261"/>
      <c r="V4969" s="251"/>
      <c r="W4969" s="35"/>
      <c r="X4969" s="35"/>
      <c r="Y4969" s="35"/>
      <c r="Z4969" s="35"/>
      <c r="AA4969" s="35"/>
      <c r="AB4969" s="35"/>
      <c r="AC4969" s="35"/>
      <c r="AD4969" s="35"/>
      <c r="AE4969" s="35"/>
      <c r="AF4969" s="35"/>
      <c r="AG4969" s="35"/>
      <c r="AH4969" s="35"/>
      <c r="AI4969" s="35"/>
    </row>
    <row r="4970">
      <c r="A4970" s="251"/>
      <c r="B4970" s="252"/>
      <c r="C4970" s="253"/>
      <c r="D4970" s="253"/>
      <c r="E4970" s="252"/>
      <c r="F4970" s="253"/>
      <c r="G4970" s="251"/>
      <c r="H4970" s="433"/>
      <c r="I4970" s="278"/>
      <c r="J4970" s="257"/>
      <c r="K4970" s="253"/>
      <c r="L4970" s="253"/>
      <c r="M4970" s="252"/>
      <c r="N4970" s="258"/>
      <c r="O4970" s="259"/>
      <c r="P4970" s="259"/>
      <c r="Q4970" s="257"/>
      <c r="R4970" s="260"/>
      <c r="S4970" s="260"/>
      <c r="T4970" s="260"/>
      <c r="U4970" s="261"/>
      <c r="V4970" s="251"/>
      <c r="W4970" s="35"/>
      <c r="X4970" s="35"/>
      <c r="Y4970" s="35"/>
      <c r="Z4970" s="35"/>
      <c r="AA4970" s="35"/>
      <c r="AB4970" s="35"/>
      <c r="AC4970" s="35"/>
      <c r="AD4970" s="35"/>
      <c r="AE4970" s="35"/>
      <c r="AF4970" s="35"/>
      <c r="AG4970" s="35"/>
      <c r="AH4970" s="35"/>
      <c r="AI4970" s="35"/>
    </row>
    <row r="4971">
      <c r="A4971" s="251"/>
      <c r="B4971" s="252"/>
      <c r="C4971" s="253"/>
      <c r="D4971" s="253"/>
      <c r="E4971" s="252"/>
      <c r="F4971" s="253"/>
      <c r="G4971" s="251"/>
      <c r="H4971" s="433"/>
      <c r="I4971" s="278"/>
      <c r="J4971" s="257"/>
      <c r="K4971" s="253"/>
      <c r="L4971" s="253"/>
      <c r="M4971" s="275"/>
      <c r="N4971" s="258"/>
      <c r="O4971" s="259"/>
      <c r="P4971" s="259"/>
      <c r="Q4971" s="262"/>
      <c r="R4971" s="260"/>
      <c r="S4971" s="260"/>
      <c r="T4971" s="260"/>
      <c r="U4971" s="261"/>
      <c r="V4971" s="251"/>
      <c r="W4971" s="35"/>
      <c r="X4971" s="35"/>
      <c r="Y4971" s="35"/>
      <c r="Z4971" s="35"/>
      <c r="AA4971" s="35"/>
      <c r="AB4971" s="35"/>
      <c r="AC4971" s="35"/>
      <c r="AD4971" s="35"/>
      <c r="AE4971" s="35"/>
      <c r="AF4971" s="35"/>
      <c r="AG4971" s="35"/>
      <c r="AH4971" s="35"/>
      <c r="AI4971" s="35"/>
    </row>
    <row r="4972">
      <c r="A4972" s="251"/>
      <c r="B4972" s="252"/>
      <c r="C4972" s="253"/>
      <c r="D4972" s="253"/>
      <c r="E4972" s="252"/>
      <c r="F4972" s="253"/>
      <c r="G4972" s="251"/>
      <c r="H4972" s="433"/>
      <c r="I4972" s="278"/>
      <c r="J4972" s="257"/>
      <c r="K4972" s="253"/>
      <c r="L4972" s="253"/>
      <c r="M4972" s="252"/>
      <c r="N4972" s="258"/>
      <c r="O4972" s="259"/>
      <c r="P4972" s="259"/>
      <c r="Q4972" s="262"/>
      <c r="R4972" s="260"/>
      <c r="S4972" s="260"/>
      <c r="T4972" s="260"/>
      <c r="U4972" s="261"/>
      <c r="V4972" s="276"/>
      <c r="W4972" s="35"/>
      <c r="X4972" s="35"/>
      <c r="Y4972" s="35"/>
      <c r="Z4972" s="35"/>
      <c r="AA4972" s="35"/>
      <c r="AB4972" s="35"/>
      <c r="AC4972" s="35"/>
      <c r="AD4972" s="35"/>
      <c r="AE4972" s="35"/>
      <c r="AF4972" s="35"/>
      <c r="AG4972" s="35"/>
      <c r="AH4972" s="35"/>
      <c r="AI4972" s="35"/>
    </row>
    <row r="4973">
      <c r="A4973" s="251"/>
      <c r="B4973" s="252"/>
      <c r="C4973" s="253"/>
      <c r="D4973" s="253"/>
      <c r="E4973" s="252"/>
      <c r="F4973" s="253"/>
      <c r="G4973" s="251"/>
      <c r="H4973" s="433"/>
      <c r="I4973" s="278"/>
      <c r="J4973" s="257"/>
      <c r="K4973" s="253"/>
      <c r="L4973" s="253"/>
      <c r="M4973" s="252"/>
      <c r="N4973" s="258"/>
      <c r="O4973" s="259"/>
      <c r="P4973" s="259"/>
      <c r="Q4973" s="262"/>
      <c r="R4973" s="260"/>
      <c r="S4973" s="260"/>
      <c r="T4973" s="260"/>
      <c r="U4973" s="261"/>
      <c r="V4973" s="251"/>
      <c r="W4973" s="35"/>
      <c r="X4973" s="35"/>
      <c r="Y4973" s="35"/>
      <c r="Z4973" s="35"/>
      <c r="AA4973" s="35"/>
      <c r="AB4973" s="35"/>
      <c r="AC4973" s="35"/>
      <c r="AD4973" s="35"/>
      <c r="AE4973" s="35"/>
      <c r="AF4973" s="35"/>
      <c r="AG4973" s="35"/>
      <c r="AH4973" s="35"/>
      <c r="AI4973" s="35"/>
    </row>
    <row r="4974">
      <c r="A4974" s="251"/>
      <c r="B4974" s="252"/>
      <c r="C4974" s="253"/>
      <c r="D4974" s="253"/>
      <c r="E4974" s="252"/>
      <c r="F4974" s="253"/>
      <c r="G4974" s="251"/>
      <c r="H4974" s="433"/>
      <c r="I4974" s="278"/>
      <c r="J4974" s="257"/>
      <c r="K4974" s="253"/>
      <c r="L4974" s="253"/>
      <c r="M4974" s="252"/>
      <c r="N4974" s="258"/>
      <c r="O4974" s="259"/>
      <c r="P4974" s="259"/>
      <c r="Q4974" s="262"/>
      <c r="R4974" s="260"/>
      <c r="S4974" s="260"/>
      <c r="T4974" s="260"/>
      <c r="U4974" s="261"/>
      <c r="V4974" s="251"/>
      <c r="W4974" s="35"/>
      <c r="X4974" s="35"/>
      <c r="Y4974" s="35"/>
      <c r="Z4974" s="35"/>
      <c r="AA4974" s="35"/>
      <c r="AB4974" s="35"/>
      <c r="AC4974" s="35"/>
      <c r="AD4974" s="35"/>
      <c r="AE4974" s="35"/>
      <c r="AF4974" s="35"/>
      <c r="AG4974" s="35"/>
      <c r="AH4974" s="35"/>
      <c r="AI4974" s="35"/>
    </row>
    <row r="4975">
      <c r="A4975" s="251"/>
      <c r="B4975" s="252"/>
      <c r="C4975" s="253"/>
      <c r="D4975" s="253"/>
      <c r="E4975" s="252"/>
      <c r="F4975" s="253"/>
      <c r="G4975" s="251"/>
      <c r="H4975" s="433"/>
      <c r="I4975" s="278"/>
      <c r="J4975" s="257"/>
      <c r="K4975" s="253"/>
      <c r="L4975" s="253"/>
      <c r="M4975" s="252"/>
      <c r="N4975" s="258"/>
      <c r="O4975" s="259"/>
      <c r="P4975" s="259"/>
      <c r="Q4975" s="262"/>
      <c r="R4975" s="260"/>
      <c r="S4975" s="260"/>
      <c r="T4975" s="260"/>
      <c r="U4975" s="261"/>
      <c r="V4975" s="309"/>
      <c r="W4975" s="35"/>
      <c r="X4975" s="35"/>
      <c r="Y4975" s="35"/>
      <c r="Z4975" s="35"/>
      <c r="AA4975" s="35"/>
      <c r="AB4975" s="35"/>
      <c r="AC4975" s="35"/>
      <c r="AD4975" s="35"/>
      <c r="AE4975" s="35"/>
      <c r="AF4975" s="35"/>
      <c r="AG4975" s="35"/>
      <c r="AH4975" s="35"/>
      <c r="AI4975" s="35"/>
    </row>
    <row r="4976">
      <c r="A4976" s="251"/>
      <c r="B4976" s="252"/>
      <c r="C4976" s="253"/>
      <c r="D4976" s="253"/>
      <c r="E4976" s="252"/>
      <c r="F4976" s="253"/>
      <c r="G4976" s="251"/>
      <c r="H4976" s="433"/>
      <c r="I4976" s="278"/>
      <c r="J4976" s="257"/>
      <c r="K4976" s="253"/>
      <c r="L4976" s="253"/>
      <c r="M4976" s="252"/>
      <c r="N4976" s="258"/>
      <c r="O4976" s="259"/>
      <c r="P4976" s="259"/>
      <c r="Q4976" s="262"/>
      <c r="R4976" s="260"/>
      <c r="S4976" s="260"/>
      <c r="T4976" s="260"/>
      <c r="U4976" s="261"/>
      <c r="V4976" s="251"/>
      <c r="W4976" s="35"/>
      <c r="X4976" s="35"/>
      <c r="Y4976" s="35"/>
      <c r="Z4976" s="35"/>
      <c r="AA4976" s="35"/>
      <c r="AB4976" s="35"/>
      <c r="AC4976" s="35"/>
      <c r="AD4976" s="35"/>
      <c r="AE4976" s="35"/>
      <c r="AF4976" s="35"/>
      <c r="AG4976" s="35"/>
      <c r="AH4976" s="35"/>
      <c r="AI4976" s="35"/>
    </row>
    <row r="4977">
      <c r="A4977" s="251"/>
      <c r="B4977" s="252"/>
      <c r="C4977" s="253"/>
      <c r="D4977" s="253"/>
      <c r="E4977" s="252"/>
      <c r="F4977" s="253"/>
      <c r="G4977" s="251"/>
      <c r="H4977" s="433"/>
      <c r="I4977" s="278"/>
      <c r="J4977" s="257"/>
      <c r="K4977" s="253"/>
      <c r="L4977" s="253"/>
      <c r="M4977" s="252"/>
      <c r="N4977" s="258"/>
      <c r="O4977" s="259"/>
      <c r="P4977" s="259"/>
      <c r="Q4977" s="262"/>
      <c r="R4977" s="260"/>
      <c r="S4977" s="260"/>
      <c r="T4977" s="260"/>
      <c r="U4977" s="261"/>
      <c r="V4977" s="251"/>
      <c r="W4977" s="35"/>
      <c r="X4977" s="35"/>
      <c r="Y4977" s="35"/>
      <c r="Z4977" s="35"/>
      <c r="AA4977" s="35"/>
      <c r="AB4977" s="35"/>
      <c r="AC4977" s="35"/>
      <c r="AD4977" s="35"/>
      <c r="AE4977" s="35"/>
      <c r="AF4977" s="35"/>
      <c r="AG4977" s="35"/>
      <c r="AH4977" s="35"/>
      <c r="AI4977" s="35"/>
    </row>
    <row r="4978">
      <c r="A4978" s="251"/>
      <c r="B4978" s="252"/>
      <c r="C4978" s="253"/>
      <c r="D4978" s="253"/>
      <c r="E4978" s="252"/>
      <c r="F4978" s="253"/>
      <c r="G4978" s="251"/>
      <c r="H4978" s="433"/>
      <c r="I4978" s="278"/>
      <c r="J4978" s="257"/>
      <c r="K4978" s="253"/>
      <c r="L4978" s="253"/>
      <c r="M4978" s="252"/>
      <c r="N4978" s="258"/>
      <c r="O4978" s="259"/>
      <c r="P4978" s="259"/>
      <c r="Q4978" s="257"/>
      <c r="R4978" s="260"/>
      <c r="S4978" s="260"/>
      <c r="T4978" s="260"/>
      <c r="U4978" s="261"/>
      <c r="V4978" s="251"/>
      <c r="W4978" s="35"/>
      <c r="X4978" s="35"/>
      <c r="Y4978" s="35"/>
      <c r="Z4978" s="35"/>
      <c r="AA4978" s="35"/>
      <c r="AB4978" s="35"/>
      <c r="AC4978" s="35"/>
      <c r="AD4978" s="35"/>
      <c r="AE4978" s="35"/>
      <c r="AF4978" s="35"/>
      <c r="AG4978" s="35"/>
      <c r="AH4978" s="35"/>
      <c r="AI4978" s="35"/>
    </row>
    <row r="4979">
      <c r="A4979" s="251"/>
      <c r="B4979" s="252"/>
      <c r="C4979" s="253"/>
      <c r="D4979" s="253"/>
      <c r="E4979" s="252"/>
      <c r="F4979" s="253"/>
      <c r="G4979" s="251"/>
      <c r="H4979" s="433"/>
      <c r="I4979" s="278"/>
      <c r="J4979" s="257"/>
      <c r="K4979" s="253"/>
      <c r="L4979" s="253"/>
      <c r="M4979" s="275"/>
      <c r="N4979" s="258"/>
      <c r="O4979" s="259"/>
      <c r="P4979" s="259"/>
      <c r="Q4979" s="262"/>
      <c r="R4979" s="260"/>
      <c r="S4979" s="260"/>
      <c r="T4979" s="260"/>
      <c r="U4979" s="261"/>
      <c r="V4979" s="251"/>
      <c r="W4979" s="35"/>
      <c r="X4979" s="35"/>
      <c r="Y4979" s="35"/>
      <c r="Z4979" s="35"/>
      <c r="AA4979" s="35"/>
      <c r="AB4979" s="35"/>
      <c r="AC4979" s="35"/>
      <c r="AD4979" s="35"/>
      <c r="AE4979" s="35"/>
      <c r="AF4979" s="35"/>
      <c r="AG4979" s="35"/>
      <c r="AH4979" s="35"/>
      <c r="AI4979" s="35"/>
    </row>
    <row r="4980">
      <c r="A4980" s="251"/>
      <c r="B4980" s="252"/>
      <c r="C4980" s="253"/>
      <c r="D4980" s="253"/>
      <c r="E4980" s="252"/>
      <c r="F4980" s="253"/>
      <c r="G4980" s="251"/>
      <c r="H4980" s="433"/>
      <c r="I4980" s="278"/>
      <c r="J4980" s="257"/>
      <c r="K4980" s="253"/>
      <c r="L4980" s="253"/>
      <c r="M4980" s="252"/>
      <c r="N4980" s="258"/>
      <c r="O4980" s="259"/>
      <c r="P4980" s="259"/>
      <c r="Q4980" s="262"/>
      <c r="R4980" s="260"/>
      <c r="S4980" s="260"/>
      <c r="T4980" s="260"/>
      <c r="U4980" s="261"/>
      <c r="V4980" s="251"/>
      <c r="W4980" s="35"/>
      <c r="X4980" s="35"/>
      <c r="Y4980" s="35"/>
      <c r="Z4980" s="35"/>
      <c r="AA4980" s="35"/>
      <c r="AB4980" s="35"/>
      <c r="AC4980" s="35"/>
      <c r="AD4980" s="35"/>
      <c r="AE4980" s="35"/>
      <c r="AF4980" s="35"/>
      <c r="AG4980" s="35"/>
      <c r="AH4980" s="35"/>
      <c r="AI4980" s="35"/>
    </row>
    <row r="4981">
      <c r="A4981" s="251"/>
      <c r="B4981" s="252"/>
      <c r="C4981" s="253"/>
      <c r="D4981" s="253"/>
      <c r="E4981" s="252"/>
      <c r="F4981" s="253"/>
      <c r="G4981" s="251"/>
      <c r="H4981" s="433"/>
      <c r="I4981" s="278"/>
      <c r="J4981" s="257"/>
      <c r="K4981" s="253"/>
      <c r="L4981" s="253"/>
      <c r="M4981" s="252"/>
      <c r="N4981" s="258"/>
      <c r="O4981" s="259"/>
      <c r="P4981" s="259"/>
      <c r="Q4981" s="262"/>
      <c r="R4981" s="260"/>
      <c r="S4981" s="260"/>
      <c r="T4981" s="260"/>
      <c r="U4981" s="261"/>
      <c r="V4981" s="251"/>
      <c r="W4981" s="35"/>
      <c r="X4981" s="35"/>
      <c r="Y4981" s="35"/>
      <c r="Z4981" s="35"/>
      <c r="AA4981" s="35"/>
      <c r="AB4981" s="35"/>
      <c r="AC4981" s="35"/>
      <c r="AD4981" s="35"/>
      <c r="AE4981" s="35"/>
      <c r="AF4981" s="35"/>
      <c r="AG4981" s="35"/>
      <c r="AH4981" s="35"/>
      <c r="AI4981" s="35"/>
    </row>
    <row r="4982">
      <c r="A4982" s="251"/>
      <c r="B4982" s="252"/>
      <c r="C4982" s="253"/>
      <c r="D4982" s="253"/>
      <c r="E4982" s="252"/>
      <c r="F4982" s="253"/>
      <c r="G4982" s="251"/>
      <c r="H4982" s="433"/>
      <c r="I4982" s="278"/>
      <c r="J4982" s="257"/>
      <c r="K4982" s="253"/>
      <c r="L4982" s="253"/>
      <c r="M4982" s="252"/>
      <c r="N4982" s="258"/>
      <c r="O4982" s="259"/>
      <c r="P4982" s="259"/>
      <c r="Q4982" s="257"/>
      <c r="R4982" s="260"/>
      <c r="S4982" s="260"/>
      <c r="T4982" s="260"/>
      <c r="U4982" s="261"/>
      <c r="V4982" s="309"/>
      <c r="W4982" s="35"/>
      <c r="X4982" s="35"/>
      <c r="Y4982" s="35"/>
      <c r="Z4982" s="35"/>
      <c r="AA4982" s="35"/>
      <c r="AB4982" s="35"/>
      <c r="AC4982" s="35"/>
      <c r="AD4982" s="35"/>
      <c r="AE4982" s="35"/>
      <c r="AF4982" s="35"/>
      <c r="AG4982" s="35"/>
      <c r="AH4982" s="35"/>
      <c r="AI4982" s="35"/>
    </row>
    <row r="4983">
      <c r="A4983" s="251"/>
      <c r="B4983" s="252"/>
      <c r="C4983" s="253"/>
      <c r="D4983" s="253"/>
      <c r="E4983" s="252"/>
      <c r="F4983" s="253"/>
      <c r="G4983" s="251"/>
      <c r="H4983" s="433"/>
      <c r="I4983" s="278"/>
      <c r="J4983" s="257"/>
      <c r="K4983" s="253"/>
      <c r="L4983" s="253"/>
      <c r="M4983" s="252"/>
      <c r="N4983" s="258"/>
      <c r="O4983" s="259"/>
      <c r="P4983" s="259"/>
      <c r="Q4983" s="257"/>
      <c r="R4983" s="260"/>
      <c r="S4983" s="260"/>
      <c r="T4983" s="260"/>
      <c r="U4983" s="261"/>
      <c r="V4983" s="309"/>
      <c r="W4983" s="35"/>
      <c r="X4983" s="35"/>
      <c r="Y4983" s="35"/>
      <c r="Z4983" s="35"/>
      <c r="AA4983" s="35"/>
      <c r="AB4983" s="35"/>
      <c r="AC4983" s="35"/>
      <c r="AD4983" s="35"/>
      <c r="AE4983" s="35"/>
      <c r="AF4983" s="35"/>
      <c r="AG4983" s="35"/>
      <c r="AH4983" s="35"/>
      <c r="AI4983" s="35"/>
    </row>
    <row r="4984">
      <c r="A4984" s="251"/>
      <c r="B4984" s="252"/>
      <c r="C4984" s="253"/>
      <c r="D4984" s="253"/>
      <c r="E4984" s="252"/>
      <c r="F4984" s="253"/>
      <c r="G4984" s="251"/>
      <c r="H4984" s="433"/>
      <c r="I4984" s="278"/>
      <c r="J4984" s="257"/>
      <c r="K4984" s="253"/>
      <c r="L4984" s="253"/>
      <c r="M4984" s="252"/>
      <c r="N4984" s="258"/>
      <c r="O4984" s="259"/>
      <c r="P4984" s="259"/>
      <c r="Q4984" s="262"/>
      <c r="R4984" s="260"/>
      <c r="S4984" s="260"/>
      <c r="T4984" s="260"/>
      <c r="U4984" s="261"/>
      <c r="V4984" s="276"/>
      <c r="W4984" s="35"/>
      <c r="X4984" s="35"/>
      <c r="Y4984" s="35"/>
      <c r="Z4984" s="35"/>
      <c r="AA4984" s="35"/>
      <c r="AB4984" s="35"/>
      <c r="AC4984" s="35"/>
      <c r="AD4984" s="35"/>
      <c r="AE4984" s="35"/>
      <c r="AF4984" s="35"/>
      <c r="AG4984" s="35"/>
      <c r="AH4984" s="35"/>
      <c r="AI4984" s="35"/>
    </row>
    <row r="4985">
      <c r="A4985" s="251"/>
      <c r="B4985" s="252"/>
      <c r="C4985" s="253"/>
      <c r="D4985" s="253"/>
      <c r="E4985" s="252"/>
      <c r="F4985" s="253"/>
      <c r="G4985" s="251"/>
      <c r="H4985" s="433"/>
      <c r="I4985" s="278"/>
      <c r="J4985" s="257"/>
      <c r="K4985" s="253"/>
      <c r="L4985" s="253"/>
      <c r="M4985" s="252"/>
      <c r="N4985" s="258"/>
      <c r="O4985" s="259"/>
      <c r="P4985" s="259"/>
      <c r="Q4985" s="262"/>
      <c r="R4985" s="260"/>
      <c r="S4985" s="260"/>
      <c r="T4985" s="260"/>
      <c r="U4985" s="261"/>
      <c r="V4985" s="251"/>
      <c r="W4985" s="35"/>
      <c r="X4985" s="35"/>
      <c r="Y4985" s="35"/>
      <c r="Z4985" s="35"/>
      <c r="AA4985" s="35"/>
      <c r="AB4985" s="35"/>
      <c r="AC4985" s="35"/>
      <c r="AD4985" s="35"/>
      <c r="AE4985" s="35"/>
      <c r="AF4985" s="35"/>
      <c r="AG4985" s="35"/>
      <c r="AH4985" s="35"/>
      <c r="AI4985" s="35"/>
    </row>
    <row r="4986">
      <c r="A4986" s="251"/>
      <c r="B4986" s="252"/>
      <c r="C4986" s="253"/>
      <c r="D4986" s="253"/>
      <c r="E4986" s="252"/>
      <c r="F4986" s="253"/>
      <c r="G4986" s="251"/>
      <c r="H4986" s="433"/>
      <c r="I4986" s="278"/>
      <c r="J4986" s="257"/>
      <c r="K4986" s="253"/>
      <c r="L4986" s="253"/>
      <c r="M4986" s="252"/>
      <c r="N4986" s="258"/>
      <c r="O4986" s="259"/>
      <c r="P4986" s="259"/>
      <c r="Q4986" s="262"/>
      <c r="R4986" s="260"/>
      <c r="S4986" s="260"/>
      <c r="T4986" s="260"/>
      <c r="U4986" s="261"/>
      <c r="V4986" s="251"/>
      <c r="W4986" s="35"/>
      <c r="X4986" s="35"/>
      <c r="Y4986" s="35"/>
      <c r="Z4986" s="35"/>
      <c r="AA4986" s="35"/>
      <c r="AB4986" s="35"/>
      <c r="AC4986" s="35"/>
      <c r="AD4986" s="35"/>
      <c r="AE4986" s="35"/>
      <c r="AF4986" s="35"/>
      <c r="AG4986" s="35"/>
      <c r="AH4986" s="35"/>
      <c r="AI4986" s="35"/>
    </row>
    <row r="4987">
      <c r="A4987" s="251"/>
      <c r="B4987" s="252"/>
      <c r="C4987" s="253"/>
      <c r="D4987" s="253"/>
      <c r="E4987" s="252"/>
      <c r="F4987" s="253"/>
      <c r="G4987" s="251"/>
      <c r="H4987" s="433"/>
      <c r="I4987" s="278"/>
      <c r="J4987" s="257"/>
      <c r="K4987" s="253"/>
      <c r="L4987" s="253"/>
      <c r="M4987" s="252"/>
      <c r="N4987" s="258"/>
      <c r="O4987" s="259"/>
      <c r="P4987" s="259"/>
      <c r="Q4987" s="262"/>
      <c r="R4987" s="260"/>
      <c r="S4987" s="260"/>
      <c r="T4987" s="260"/>
      <c r="U4987" s="261"/>
      <c r="V4987" s="251"/>
      <c r="W4987" s="35"/>
      <c r="X4987" s="35"/>
      <c r="Y4987" s="35"/>
      <c r="Z4987" s="35"/>
      <c r="AA4987" s="35"/>
      <c r="AB4987" s="35"/>
      <c r="AC4987" s="35"/>
      <c r="AD4987" s="35"/>
      <c r="AE4987" s="35"/>
      <c r="AF4987" s="35"/>
      <c r="AG4987" s="35"/>
      <c r="AH4987" s="35"/>
      <c r="AI4987" s="35"/>
    </row>
    <row r="4988">
      <c r="A4988" s="251"/>
      <c r="B4988" s="252"/>
      <c r="C4988" s="253"/>
      <c r="D4988" s="253"/>
      <c r="E4988" s="252"/>
      <c r="F4988" s="253"/>
      <c r="G4988" s="251"/>
      <c r="H4988" s="433"/>
      <c r="I4988" s="278"/>
      <c r="J4988" s="257"/>
      <c r="K4988" s="253"/>
      <c r="L4988" s="253"/>
      <c r="M4988" s="252"/>
      <c r="N4988" s="258"/>
      <c r="O4988" s="259"/>
      <c r="P4988" s="259"/>
      <c r="Q4988" s="262"/>
      <c r="R4988" s="260"/>
      <c r="S4988" s="260"/>
      <c r="T4988" s="260"/>
      <c r="U4988" s="261"/>
      <c r="V4988" s="276"/>
      <c r="W4988" s="35"/>
      <c r="X4988" s="35"/>
      <c r="Y4988" s="35"/>
      <c r="Z4988" s="35"/>
      <c r="AA4988" s="35"/>
      <c r="AB4988" s="35"/>
      <c r="AC4988" s="35"/>
      <c r="AD4988" s="35"/>
      <c r="AE4988" s="35"/>
      <c r="AF4988" s="35"/>
      <c r="AG4988" s="35"/>
      <c r="AH4988" s="35"/>
      <c r="AI4988" s="35"/>
    </row>
    <row r="4989">
      <c r="A4989" s="251"/>
      <c r="B4989" s="252"/>
      <c r="C4989" s="253"/>
      <c r="D4989" s="253"/>
      <c r="E4989" s="252"/>
      <c r="F4989" s="253"/>
      <c r="G4989" s="251"/>
      <c r="H4989" s="433"/>
      <c r="I4989" s="278"/>
      <c r="J4989" s="257"/>
      <c r="K4989" s="253"/>
      <c r="L4989" s="253"/>
      <c r="M4989" s="275"/>
      <c r="N4989" s="258"/>
      <c r="O4989" s="259"/>
      <c r="P4989" s="259"/>
      <c r="Q4989" s="262"/>
      <c r="R4989" s="260"/>
      <c r="S4989" s="260"/>
      <c r="T4989" s="260"/>
      <c r="U4989" s="261"/>
      <c r="V4989" s="251"/>
      <c r="W4989" s="35"/>
      <c r="X4989" s="35"/>
      <c r="Y4989" s="35"/>
      <c r="Z4989" s="35"/>
      <c r="AA4989" s="35"/>
      <c r="AB4989" s="35"/>
      <c r="AC4989" s="35"/>
      <c r="AD4989" s="35"/>
      <c r="AE4989" s="35"/>
      <c r="AF4989" s="35"/>
      <c r="AG4989" s="35"/>
      <c r="AH4989" s="35"/>
      <c r="AI4989" s="35"/>
    </row>
    <row r="4990">
      <c r="A4990" s="251"/>
      <c r="B4990" s="252"/>
      <c r="C4990" s="253"/>
      <c r="D4990" s="253"/>
      <c r="E4990" s="252"/>
      <c r="F4990" s="253"/>
      <c r="G4990" s="251"/>
      <c r="H4990" s="433"/>
      <c r="I4990" s="278"/>
      <c r="J4990" s="257"/>
      <c r="K4990" s="253"/>
      <c r="L4990" s="253"/>
      <c r="M4990" s="252"/>
      <c r="N4990" s="258"/>
      <c r="O4990" s="259"/>
      <c r="P4990" s="259"/>
      <c r="Q4990" s="257"/>
      <c r="R4990" s="260"/>
      <c r="S4990" s="260"/>
      <c r="T4990" s="260"/>
      <c r="U4990" s="261"/>
      <c r="V4990" s="251"/>
      <c r="W4990" s="35"/>
      <c r="X4990" s="35"/>
      <c r="Y4990" s="35"/>
      <c r="Z4990" s="35"/>
      <c r="AA4990" s="35"/>
      <c r="AB4990" s="35"/>
      <c r="AC4990" s="35"/>
      <c r="AD4990" s="35"/>
      <c r="AE4990" s="35"/>
      <c r="AF4990" s="35"/>
      <c r="AG4990" s="35"/>
      <c r="AH4990" s="35"/>
      <c r="AI4990" s="35"/>
    </row>
    <row r="4991">
      <c r="A4991" s="251"/>
      <c r="B4991" s="252"/>
      <c r="C4991" s="253"/>
      <c r="D4991" s="253"/>
      <c r="E4991" s="252"/>
      <c r="F4991" s="253"/>
      <c r="G4991" s="251"/>
      <c r="H4991" s="433"/>
      <c r="I4991" s="278"/>
      <c r="J4991" s="257"/>
      <c r="K4991" s="253"/>
      <c r="L4991" s="253"/>
      <c r="M4991" s="252"/>
      <c r="N4991" s="258"/>
      <c r="O4991" s="259"/>
      <c r="P4991" s="259"/>
      <c r="Q4991" s="262"/>
      <c r="R4991" s="260"/>
      <c r="S4991" s="260"/>
      <c r="T4991" s="260"/>
      <c r="U4991" s="261"/>
      <c r="V4991" s="251"/>
      <c r="W4991" s="35"/>
      <c r="X4991" s="35"/>
      <c r="Y4991" s="35"/>
      <c r="Z4991" s="35"/>
      <c r="AA4991" s="35"/>
      <c r="AB4991" s="35"/>
      <c r="AC4991" s="35"/>
      <c r="AD4991" s="35"/>
      <c r="AE4991" s="35"/>
      <c r="AF4991" s="35"/>
      <c r="AG4991" s="35"/>
      <c r="AH4991" s="35"/>
      <c r="AI4991" s="35"/>
    </row>
    <row r="4992">
      <c r="A4992" s="251"/>
      <c r="B4992" s="252"/>
      <c r="C4992" s="253"/>
      <c r="D4992" s="253"/>
      <c r="E4992" s="252"/>
      <c r="F4992" s="253"/>
      <c r="G4992" s="251"/>
      <c r="H4992" s="433"/>
      <c r="I4992" s="278"/>
      <c r="J4992" s="257"/>
      <c r="K4992" s="253"/>
      <c r="L4992" s="253"/>
      <c r="M4992" s="275"/>
      <c r="N4992" s="258"/>
      <c r="O4992" s="259"/>
      <c r="P4992" s="259"/>
      <c r="Q4992" s="262"/>
      <c r="R4992" s="260"/>
      <c r="S4992" s="260"/>
      <c r="T4992" s="260"/>
      <c r="U4992" s="261"/>
      <c r="V4992" s="276"/>
      <c r="W4992" s="35"/>
      <c r="X4992" s="35"/>
      <c r="Y4992" s="35"/>
      <c r="Z4992" s="35"/>
      <c r="AA4992" s="35"/>
      <c r="AB4992" s="35"/>
      <c r="AC4992" s="35"/>
      <c r="AD4992" s="35"/>
      <c r="AE4992" s="35"/>
      <c r="AF4992" s="35"/>
      <c r="AG4992" s="35"/>
      <c r="AH4992" s="35"/>
      <c r="AI4992" s="35"/>
    </row>
    <row r="4993">
      <c r="A4993" s="251"/>
      <c r="B4993" s="252"/>
      <c r="C4993" s="253"/>
      <c r="D4993" s="253"/>
      <c r="E4993" s="252"/>
      <c r="F4993" s="253"/>
      <c r="G4993" s="251"/>
      <c r="H4993" s="433"/>
      <c r="I4993" s="278"/>
      <c r="J4993" s="257"/>
      <c r="K4993" s="253"/>
      <c r="L4993" s="253"/>
      <c r="M4993" s="252"/>
      <c r="N4993" s="258"/>
      <c r="O4993" s="259"/>
      <c r="P4993" s="259"/>
      <c r="Q4993" s="262"/>
      <c r="R4993" s="260"/>
      <c r="S4993" s="260"/>
      <c r="T4993" s="260"/>
      <c r="U4993" s="261"/>
      <c r="V4993" s="276"/>
      <c r="W4993" s="35"/>
      <c r="X4993" s="35"/>
      <c r="Y4993" s="35"/>
      <c r="Z4993" s="35"/>
      <c r="AA4993" s="35"/>
      <c r="AB4993" s="35"/>
      <c r="AC4993" s="35"/>
      <c r="AD4993" s="35"/>
      <c r="AE4993" s="35"/>
      <c r="AF4993" s="35"/>
      <c r="AG4993" s="35"/>
      <c r="AH4993" s="35"/>
      <c r="AI4993" s="35"/>
    </row>
    <row r="4994">
      <c r="A4994" s="251"/>
      <c r="B4994" s="252"/>
      <c r="C4994" s="253"/>
      <c r="D4994" s="253"/>
      <c r="E4994" s="252"/>
      <c r="F4994" s="253"/>
      <c r="G4994" s="251"/>
      <c r="H4994" s="433"/>
      <c r="I4994" s="278"/>
      <c r="J4994" s="257"/>
      <c r="K4994" s="253"/>
      <c r="L4994" s="253"/>
      <c r="M4994" s="252"/>
      <c r="N4994" s="258"/>
      <c r="O4994" s="259"/>
      <c r="P4994" s="259"/>
      <c r="Q4994" s="262"/>
      <c r="R4994" s="260"/>
      <c r="S4994" s="260"/>
      <c r="T4994" s="260"/>
      <c r="U4994" s="261"/>
      <c r="V4994" s="276"/>
      <c r="W4994" s="35"/>
      <c r="X4994" s="35"/>
      <c r="Y4994" s="35"/>
      <c r="Z4994" s="35"/>
      <c r="AA4994" s="35"/>
      <c r="AB4994" s="35"/>
      <c r="AC4994" s="35"/>
      <c r="AD4994" s="35"/>
      <c r="AE4994" s="35"/>
      <c r="AF4994" s="35"/>
      <c r="AG4994" s="35"/>
      <c r="AH4994" s="35"/>
      <c r="AI4994" s="35"/>
    </row>
    <row r="4995">
      <c r="A4995" s="251"/>
      <c r="B4995" s="252"/>
      <c r="C4995" s="253"/>
      <c r="D4995" s="253"/>
      <c r="E4995" s="252"/>
      <c r="F4995" s="253"/>
      <c r="G4995" s="251"/>
      <c r="H4995" s="433"/>
      <c r="I4995" s="278"/>
      <c r="J4995" s="257"/>
      <c r="K4995" s="253"/>
      <c r="L4995" s="253"/>
      <c r="M4995" s="252"/>
      <c r="N4995" s="258"/>
      <c r="O4995" s="259"/>
      <c r="P4995" s="259"/>
      <c r="Q4995" s="257"/>
      <c r="R4995" s="260"/>
      <c r="S4995" s="260"/>
      <c r="T4995" s="260"/>
      <c r="U4995" s="261"/>
      <c r="V4995" s="251"/>
      <c r="W4995" s="35"/>
      <c r="X4995" s="35"/>
      <c r="Y4995" s="35"/>
      <c r="Z4995" s="35"/>
      <c r="AA4995" s="35"/>
      <c r="AB4995" s="35"/>
      <c r="AC4995" s="35"/>
      <c r="AD4995" s="35"/>
      <c r="AE4995" s="35"/>
      <c r="AF4995" s="35"/>
      <c r="AG4995" s="35"/>
      <c r="AH4995" s="35"/>
      <c r="AI4995" s="35"/>
    </row>
    <row r="4996">
      <c r="A4996" s="251"/>
      <c r="B4996" s="252"/>
      <c r="C4996" s="253"/>
      <c r="D4996" s="253"/>
      <c r="E4996" s="252"/>
      <c r="F4996" s="253"/>
      <c r="G4996" s="251"/>
      <c r="H4996" s="433"/>
      <c r="I4996" s="278"/>
      <c r="J4996" s="257"/>
      <c r="K4996" s="253"/>
      <c r="L4996" s="253"/>
      <c r="M4996" s="275"/>
      <c r="N4996" s="258"/>
      <c r="O4996" s="259"/>
      <c r="P4996" s="259"/>
      <c r="Q4996" s="262"/>
      <c r="R4996" s="260"/>
      <c r="S4996" s="260"/>
      <c r="T4996" s="260"/>
      <c r="U4996" s="261"/>
      <c r="V4996" s="251"/>
      <c r="W4996" s="35"/>
      <c r="X4996" s="35"/>
      <c r="Y4996" s="35"/>
      <c r="Z4996" s="35"/>
      <c r="AA4996" s="35"/>
      <c r="AB4996" s="35"/>
      <c r="AC4996" s="35"/>
      <c r="AD4996" s="35"/>
      <c r="AE4996" s="35"/>
      <c r="AF4996" s="35"/>
      <c r="AG4996" s="35"/>
      <c r="AH4996" s="35"/>
      <c r="AI4996" s="35"/>
    </row>
    <row r="4997">
      <c r="A4997" s="251"/>
      <c r="B4997" s="252"/>
      <c r="C4997" s="253"/>
      <c r="D4997" s="253"/>
      <c r="E4997" s="252"/>
      <c r="F4997" s="253"/>
      <c r="G4997" s="251"/>
      <c r="H4997" s="433"/>
      <c r="I4997" s="278"/>
      <c r="J4997" s="257"/>
      <c r="K4997" s="253"/>
      <c r="L4997" s="253"/>
      <c r="M4997" s="275"/>
      <c r="N4997" s="258"/>
      <c r="O4997" s="259"/>
      <c r="P4997" s="259"/>
      <c r="Q4997" s="262"/>
      <c r="R4997" s="260"/>
      <c r="S4997" s="260"/>
      <c r="T4997" s="260"/>
      <c r="U4997" s="261"/>
      <c r="V4997" s="251"/>
      <c r="W4997" s="35"/>
      <c r="X4997" s="35"/>
      <c r="Y4997" s="35"/>
      <c r="Z4997" s="35"/>
      <c r="AA4997" s="35"/>
      <c r="AB4997" s="35"/>
      <c r="AC4997" s="35"/>
      <c r="AD4997" s="35"/>
      <c r="AE4997" s="35"/>
      <c r="AF4997" s="35"/>
      <c r="AG4997" s="35"/>
      <c r="AH4997" s="35"/>
      <c r="AI4997" s="35"/>
    </row>
    <row r="4998">
      <c r="A4998" s="251"/>
      <c r="B4998" s="252"/>
      <c r="C4998" s="253"/>
      <c r="D4998" s="253"/>
      <c r="E4998" s="252"/>
      <c r="F4998" s="253"/>
      <c r="G4998" s="251"/>
      <c r="H4998" s="433"/>
      <c r="I4998" s="278"/>
      <c r="J4998" s="257"/>
      <c r="K4998" s="253"/>
      <c r="L4998" s="253"/>
      <c r="M4998" s="252"/>
      <c r="N4998" s="258"/>
      <c r="O4998" s="259"/>
      <c r="P4998" s="259"/>
      <c r="Q4998" s="262"/>
      <c r="R4998" s="260"/>
      <c r="S4998" s="260"/>
      <c r="T4998" s="260"/>
      <c r="U4998" s="261"/>
      <c r="V4998" s="251"/>
      <c r="W4998" s="35"/>
      <c r="X4998" s="35"/>
      <c r="Y4998" s="35"/>
      <c r="Z4998" s="35"/>
      <c r="AA4998" s="35"/>
      <c r="AB4998" s="35"/>
      <c r="AC4998" s="35"/>
      <c r="AD4998" s="35"/>
      <c r="AE4998" s="35"/>
      <c r="AF4998" s="35"/>
      <c r="AG4998" s="35"/>
      <c r="AH4998" s="35"/>
      <c r="AI4998" s="35"/>
    </row>
    <row r="4999">
      <c r="A4999" s="251"/>
      <c r="B4999" s="252"/>
      <c r="C4999" s="253"/>
      <c r="D4999" s="253"/>
      <c r="E4999" s="252"/>
      <c r="F4999" s="253"/>
      <c r="G4999" s="251"/>
      <c r="H4999" s="433"/>
      <c r="I4999" s="278"/>
      <c r="J4999" s="257"/>
      <c r="K4999" s="253"/>
      <c r="L4999" s="253"/>
      <c r="M4999" s="252"/>
      <c r="N4999" s="258"/>
      <c r="O4999" s="259"/>
      <c r="P4999" s="259"/>
      <c r="Q4999" s="262"/>
      <c r="R4999" s="260"/>
      <c r="S4999" s="260"/>
      <c r="T4999" s="260"/>
      <c r="U4999" s="261"/>
      <c r="V4999" s="251"/>
      <c r="W4999" s="35"/>
      <c r="X4999" s="35"/>
      <c r="Y4999" s="35"/>
      <c r="Z4999" s="35"/>
      <c r="AA4999" s="35"/>
      <c r="AB4999" s="35"/>
      <c r="AC4999" s="35"/>
      <c r="AD4999" s="35"/>
      <c r="AE4999" s="35"/>
      <c r="AF4999" s="35"/>
      <c r="AG4999" s="35"/>
      <c r="AH4999" s="35"/>
      <c r="AI4999" s="35"/>
    </row>
    <row r="5000">
      <c r="A5000" s="251"/>
      <c r="B5000" s="252"/>
      <c r="C5000" s="253"/>
      <c r="D5000" s="253"/>
      <c r="E5000" s="252"/>
      <c r="F5000" s="253"/>
      <c r="G5000" s="251"/>
      <c r="H5000" s="433"/>
      <c r="I5000" s="278"/>
      <c r="J5000" s="257"/>
      <c r="K5000" s="253"/>
      <c r="L5000" s="253"/>
      <c r="M5000" s="252"/>
      <c r="N5000" s="258"/>
      <c r="O5000" s="259"/>
      <c r="P5000" s="259"/>
      <c r="Q5000" s="262"/>
      <c r="R5000" s="260"/>
      <c r="S5000" s="260"/>
      <c r="T5000" s="260"/>
      <c r="U5000" s="261"/>
      <c r="V5000" s="251"/>
      <c r="W5000" s="35"/>
      <c r="X5000" s="35"/>
      <c r="Y5000" s="35"/>
      <c r="Z5000" s="35"/>
      <c r="AA5000" s="35"/>
      <c r="AB5000" s="35"/>
      <c r="AC5000" s="35"/>
      <c r="AD5000" s="35"/>
      <c r="AE5000" s="35"/>
      <c r="AF5000" s="35"/>
      <c r="AG5000" s="35"/>
      <c r="AH5000" s="35"/>
      <c r="AI5000" s="35"/>
    </row>
    <row r="5001">
      <c r="A5001" s="251"/>
      <c r="B5001" s="252"/>
      <c r="C5001" s="253"/>
      <c r="D5001" s="253"/>
      <c r="E5001" s="252"/>
      <c r="F5001" s="253"/>
      <c r="G5001" s="251"/>
      <c r="H5001" s="433"/>
      <c r="I5001" s="278"/>
      <c r="J5001" s="257"/>
      <c r="K5001" s="253"/>
      <c r="L5001" s="253"/>
      <c r="M5001" s="252"/>
      <c r="N5001" s="258"/>
      <c r="O5001" s="259"/>
      <c r="P5001" s="259"/>
      <c r="Q5001" s="257"/>
      <c r="R5001" s="260"/>
      <c r="S5001" s="260"/>
      <c r="T5001" s="260"/>
      <c r="U5001" s="261"/>
      <c r="V5001" s="276"/>
      <c r="W5001" s="35"/>
      <c r="X5001" s="35"/>
      <c r="Y5001" s="35"/>
      <c r="Z5001" s="35"/>
      <c r="AA5001" s="35"/>
      <c r="AB5001" s="35"/>
      <c r="AC5001" s="35"/>
      <c r="AD5001" s="35"/>
      <c r="AE5001" s="35"/>
      <c r="AF5001" s="35"/>
      <c r="AG5001" s="35"/>
      <c r="AH5001" s="35"/>
      <c r="AI5001" s="35"/>
    </row>
    <row r="5002">
      <c r="A5002" s="251"/>
      <c r="B5002" s="252"/>
      <c r="C5002" s="253"/>
      <c r="D5002" s="253"/>
      <c r="E5002" s="252"/>
      <c r="F5002" s="253"/>
      <c r="G5002" s="251"/>
      <c r="H5002" s="433"/>
      <c r="I5002" s="278"/>
      <c r="J5002" s="257"/>
      <c r="K5002" s="253"/>
      <c r="L5002" s="253"/>
      <c r="M5002" s="252"/>
      <c r="N5002" s="258"/>
      <c r="O5002" s="259"/>
      <c r="P5002" s="259"/>
      <c r="Q5002" s="257"/>
      <c r="R5002" s="260"/>
      <c r="S5002" s="260"/>
      <c r="T5002" s="260"/>
      <c r="U5002" s="261"/>
      <c r="V5002" s="251"/>
      <c r="W5002" s="35"/>
      <c r="X5002" s="35"/>
      <c r="Y5002" s="35"/>
      <c r="Z5002" s="35"/>
      <c r="AA5002" s="35"/>
      <c r="AB5002" s="35"/>
      <c r="AC5002" s="35"/>
      <c r="AD5002" s="35"/>
      <c r="AE5002" s="35"/>
      <c r="AF5002" s="35"/>
      <c r="AG5002" s="35"/>
      <c r="AH5002" s="35"/>
      <c r="AI5002" s="35"/>
    </row>
    <row r="5003">
      <c r="A5003" s="251"/>
      <c r="B5003" s="252"/>
      <c r="C5003" s="253"/>
      <c r="D5003" s="253"/>
      <c r="E5003" s="252"/>
      <c r="F5003" s="253"/>
      <c r="G5003" s="251"/>
      <c r="H5003" s="433"/>
      <c r="I5003" s="278"/>
      <c r="J5003" s="257"/>
      <c r="K5003" s="253"/>
      <c r="L5003" s="253"/>
      <c r="M5003" s="252"/>
      <c r="N5003" s="258"/>
      <c r="O5003" s="259"/>
      <c r="P5003" s="259"/>
      <c r="Q5003" s="257"/>
      <c r="R5003" s="260"/>
      <c r="S5003" s="260"/>
      <c r="T5003" s="260"/>
      <c r="U5003" s="261"/>
      <c r="V5003" s="309"/>
      <c r="W5003" s="35"/>
      <c r="X5003" s="35"/>
      <c r="Y5003" s="35"/>
      <c r="Z5003" s="35"/>
      <c r="AA5003" s="35"/>
      <c r="AB5003" s="35"/>
      <c r="AC5003" s="35"/>
      <c r="AD5003" s="35"/>
      <c r="AE5003" s="35"/>
      <c r="AF5003" s="35"/>
      <c r="AG5003" s="35"/>
      <c r="AH5003" s="35"/>
      <c r="AI5003" s="35"/>
    </row>
    <row r="5004">
      <c r="A5004" s="251"/>
      <c r="B5004" s="252"/>
      <c r="C5004" s="253"/>
      <c r="D5004" s="253"/>
      <c r="E5004" s="252"/>
      <c r="F5004" s="253"/>
      <c r="G5004" s="251"/>
      <c r="H5004" s="433"/>
      <c r="I5004" s="278"/>
      <c r="J5004" s="257"/>
      <c r="K5004" s="253"/>
      <c r="L5004" s="253"/>
      <c r="M5004" s="252"/>
      <c r="N5004" s="258"/>
      <c r="O5004" s="259"/>
      <c r="P5004" s="259"/>
      <c r="Q5004" s="262"/>
      <c r="R5004" s="260"/>
      <c r="S5004" s="260"/>
      <c r="T5004" s="260"/>
      <c r="U5004" s="261"/>
      <c r="V5004" s="251"/>
      <c r="W5004" s="35"/>
      <c r="X5004" s="35"/>
      <c r="Y5004" s="35"/>
      <c r="Z5004" s="35"/>
      <c r="AA5004" s="35"/>
      <c r="AB5004" s="35"/>
      <c r="AC5004" s="35"/>
      <c r="AD5004" s="35"/>
      <c r="AE5004" s="35"/>
      <c r="AF5004" s="35"/>
      <c r="AG5004" s="35"/>
      <c r="AH5004" s="35"/>
      <c r="AI5004" s="35"/>
    </row>
    <row r="5005">
      <c r="A5005" s="251"/>
      <c r="B5005" s="252"/>
      <c r="C5005" s="253"/>
      <c r="D5005" s="253"/>
      <c r="E5005" s="252"/>
      <c r="F5005" s="253"/>
      <c r="G5005" s="251"/>
      <c r="H5005" s="433"/>
      <c r="I5005" s="278"/>
      <c r="J5005" s="257"/>
      <c r="K5005" s="253"/>
      <c r="L5005" s="253"/>
      <c r="M5005" s="252"/>
      <c r="N5005" s="258"/>
      <c r="O5005" s="259"/>
      <c r="P5005" s="259"/>
      <c r="Q5005" s="257"/>
      <c r="R5005" s="260"/>
      <c r="S5005" s="260"/>
      <c r="T5005" s="260"/>
      <c r="U5005" s="261"/>
      <c r="V5005" s="309"/>
      <c r="W5005" s="35"/>
      <c r="X5005" s="35"/>
      <c r="Y5005" s="35"/>
      <c r="Z5005" s="35"/>
      <c r="AA5005" s="35"/>
      <c r="AB5005" s="35"/>
      <c r="AC5005" s="35"/>
      <c r="AD5005" s="35"/>
      <c r="AE5005" s="35"/>
      <c r="AF5005" s="35"/>
      <c r="AG5005" s="35"/>
      <c r="AH5005" s="35"/>
      <c r="AI5005" s="35"/>
    </row>
    <row r="5006">
      <c r="A5006" s="251"/>
      <c r="B5006" s="252"/>
      <c r="C5006" s="253"/>
      <c r="D5006" s="253"/>
      <c r="E5006" s="252"/>
      <c r="F5006" s="253"/>
      <c r="G5006" s="251"/>
      <c r="H5006" s="433"/>
      <c r="I5006" s="278"/>
      <c r="J5006" s="257"/>
      <c r="K5006" s="253"/>
      <c r="L5006" s="253"/>
      <c r="M5006" s="252"/>
      <c r="N5006" s="258"/>
      <c r="O5006" s="259"/>
      <c r="P5006" s="259"/>
      <c r="Q5006" s="257"/>
      <c r="R5006" s="260"/>
      <c r="S5006" s="260"/>
      <c r="T5006" s="260"/>
      <c r="U5006" s="261"/>
      <c r="V5006" s="251"/>
      <c r="W5006" s="35"/>
      <c r="X5006" s="35"/>
      <c r="Y5006" s="35"/>
      <c r="Z5006" s="35"/>
      <c r="AA5006" s="35"/>
      <c r="AB5006" s="35"/>
      <c r="AC5006" s="35"/>
      <c r="AD5006" s="35"/>
      <c r="AE5006" s="35"/>
      <c r="AF5006" s="35"/>
      <c r="AG5006" s="35"/>
      <c r="AH5006" s="35"/>
      <c r="AI5006" s="35"/>
    </row>
    <row r="5007">
      <c r="A5007" s="251"/>
      <c r="B5007" s="252"/>
      <c r="C5007" s="253"/>
      <c r="D5007" s="253"/>
      <c r="E5007" s="252"/>
      <c r="F5007" s="253"/>
      <c r="G5007" s="251"/>
      <c r="H5007" s="433"/>
      <c r="I5007" s="278"/>
      <c r="J5007" s="257"/>
      <c r="K5007" s="253"/>
      <c r="L5007" s="253"/>
      <c r="M5007" s="252"/>
      <c r="N5007" s="258"/>
      <c r="O5007" s="259"/>
      <c r="P5007" s="259"/>
      <c r="Q5007" s="257"/>
      <c r="R5007" s="260"/>
      <c r="S5007" s="260"/>
      <c r="T5007" s="260"/>
      <c r="U5007" s="261"/>
      <c r="V5007" s="251"/>
      <c r="W5007" s="35"/>
      <c r="X5007" s="35"/>
      <c r="Y5007" s="35"/>
      <c r="Z5007" s="35"/>
      <c r="AA5007" s="35"/>
      <c r="AB5007" s="35"/>
      <c r="AC5007" s="35"/>
      <c r="AD5007" s="35"/>
      <c r="AE5007" s="35"/>
      <c r="AF5007" s="35"/>
      <c r="AG5007" s="35"/>
      <c r="AH5007" s="35"/>
      <c r="AI5007" s="35"/>
    </row>
    <row r="5008">
      <c r="A5008" s="251"/>
      <c r="B5008" s="252"/>
      <c r="C5008" s="253"/>
      <c r="D5008" s="253"/>
      <c r="E5008" s="252"/>
      <c r="F5008" s="253"/>
      <c r="G5008" s="251"/>
      <c r="H5008" s="433"/>
      <c r="I5008" s="278"/>
      <c r="J5008" s="257"/>
      <c r="K5008" s="253"/>
      <c r="L5008" s="253"/>
      <c r="M5008" s="252"/>
      <c r="N5008" s="258"/>
      <c r="O5008" s="259"/>
      <c r="P5008" s="259"/>
      <c r="Q5008" s="257"/>
      <c r="R5008" s="260"/>
      <c r="S5008" s="260"/>
      <c r="T5008" s="260"/>
      <c r="U5008" s="261"/>
      <c r="V5008" s="251"/>
      <c r="W5008" s="35"/>
      <c r="X5008" s="35"/>
      <c r="Y5008" s="35"/>
      <c r="Z5008" s="35"/>
      <c r="AA5008" s="35"/>
      <c r="AB5008" s="35"/>
      <c r="AC5008" s="35"/>
      <c r="AD5008" s="35"/>
      <c r="AE5008" s="35"/>
      <c r="AF5008" s="35"/>
      <c r="AG5008" s="35"/>
      <c r="AH5008" s="35"/>
      <c r="AI5008" s="35"/>
    </row>
    <row r="5009">
      <c r="A5009" s="251"/>
      <c r="B5009" s="252"/>
      <c r="C5009" s="253"/>
      <c r="D5009" s="253"/>
      <c r="E5009" s="252"/>
      <c r="F5009" s="253"/>
      <c r="G5009" s="251"/>
      <c r="H5009" s="433"/>
      <c r="I5009" s="278"/>
      <c r="J5009" s="257"/>
      <c r="K5009" s="253"/>
      <c r="L5009" s="253"/>
      <c r="M5009" s="275"/>
      <c r="N5009" s="258"/>
      <c r="O5009" s="259"/>
      <c r="P5009" s="259"/>
      <c r="Q5009" s="262"/>
      <c r="R5009" s="260"/>
      <c r="S5009" s="260"/>
      <c r="T5009" s="260"/>
      <c r="U5009" s="261"/>
      <c r="V5009" s="251"/>
      <c r="W5009" s="35"/>
      <c r="X5009" s="35"/>
      <c r="Y5009" s="35"/>
      <c r="Z5009" s="35"/>
      <c r="AA5009" s="35"/>
      <c r="AB5009" s="35"/>
      <c r="AC5009" s="35"/>
      <c r="AD5009" s="35"/>
      <c r="AE5009" s="35"/>
      <c r="AF5009" s="35"/>
      <c r="AG5009" s="35"/>
      <c r="AH5009" s="35"/>
      <c r="AI5009" s="35"/>
    </row>
    <row r="5010">
      <c r="A5010" s="251"/>
      <c r="B5010" s="252"/>
      <c r="C5010" s="253"/>
      <c r="D5010" s="253"/>
      <c r="E5010" s="252"/>
      <c r="F5010" s="253"/>
      <c r="G5010" s="251"/>
      <c r="H5010" s="433"/>
      <c r="I5010" s="278"/>
      <c r="J5010" s="257"/>
      <c r="K5010" s="253"/>
      <c r="L5010" s="253"/>
      <c r="M5010" s="252"/>
      <c r="N5010" s="258"/>
      <c r="O5010" s="259"/>
      <c r="P5010" s="259"/>
      <c r="Q5010" s="262"/>
      <c r="R5010" s="260"/>
      <c r="S5010" s="260"/>
      <c r="T5010" s="260"/>
      <c r="U5010" s="261"/>
      <c r="V5010" s="251"/>
      <c r="W5010" s="35"/>
      <c r="X5010" s="35"/>
      <c r="Y5010" s="35"/>
      <c r="Z5010" s="35"/>
      <c r="AA5010" s="35"/>
      <c r="AB5010" s="35"/>
      <c r="AC5010" s="35"/>
      <c r="AD5010" s="35"/>
      <c r="AE5010" s="35"/>
      <c r="AF5010" s="35"/>
      <c r="AG5010" s="35"/>
      <c r="AH5010" s="35"/>
      <c r="AI5010" s="35"/>
    </row>
    <row r="5011">
      <c r="A5011" s="251"/>
      <c r="B5011" s="252"/>
      <c r="C5011" s="253"/>
      <c r="D5011" s="253"/>
      <c r="E5011" s="252"/>
      <c r="F5011" s="253"/>
      <c r="G5011" s="251"/>
      <c r="H5011" s="433"/>
      <c r="I5011" s="278"/>
      <c r="J5011" s="257"/>
      <c r="K5011" s="253"/>
      <c r="L5011" s="253"/>
      <c r="M5011" s="275"/>
      <c r="N5011" s="258"/>
      <c r="O5011" s="259"/>
      <c r="P5011" s="259"/>
      <c r="Q5011" s="262"/>
      <c r="R5011" s="260"/>
      <c r="S5011" s="260"/>
      <c r="T5011" s="260"/>
      <c r="U5011" s="261"/>
      <c r="V5011" s="251"/>
      <c r="W5011" s="35"/>
      <c r="X5011" s="35"/>
      <c r="Y5011" s="35"/>
      <c r="Z5011" s="35"/>
      <c r="AA5011" s="35"/>
      <c r="AB5011" s="35"/>
      <c r="AC5011" s="35"/>
      <c r="AD5011" s="35"/>
      <c r="AE5011" s="35"/>
      <c r="AF5011" s="35"/>
      <c r="AG5011" s="35"/>
      <c r="AH5011" s="35"/>
      <c r="AI5011" s="35"/>
    </row>
    <row r="5012">
      <c r="A5012" s="251"/>
      <c r="B5012" s="252"/>
      <c r="C5012" s="253"/>
      <c r="D5012" s="253"/>
      <c r="E5012" s="252"/>
      <c r="F5012" s="253"/>
      <c r="G5012" s="251"/>
      <c r="H5012" s="433"/>
      <c r="I5012" s="278"/>
      <c r="J5012" s="257"/>
      <c r="K5012" s="253"/>
      <c r="L5012" s="253"/>
      <c r="M5012" s="252"/>
      <c r="N5012" s="258"/>
      <c r="O5012" s="259"/>
      <c r="P5012" s="259"/>
      <c r="Q5012" s="262"/>
      <c r="R5012" s="260"/>
      <c r="S5012" s="260"/>
      <c r="T5012" s="260"/>
      <c r="U5012" s="261"/>
      <c r="V5012" s="309"/>
      <c r="W5012" s="35"/>
      <c r="X5012" s="35"/>
      <c r="Y5012" s="35"/>
      <c r="Z5012" s="35"/>
      <c r="AA5012" s="35"/>
      <c r="AB5012" s="35"/>
      <c r="AC5012" s="35"/>
      <c r="AD5012" s="35"/>
      <c r="AE5012" s="35"/>
      <c r="AF5012" s="35"/>
      <c r="AG5012" s="35"/>
      <c r="AH5012" s="35"/>
      <c r="AI5012" s="35"/>
    </row>
    <row r="5013">
      <c r="A5013" s="251"/>
      <c r="B5013" s="252"/>
      <c r="C5013" s="253"/>
      <c r="D5013" s="253"/>
      <c r="E5013" s="252"/>
      <c r="F5013" s="253"/>
      <c r="G5013" s="251"/>
      <c r="H5013" s="433"/>
      <c r="I5013" s="278"/>
      <c r="J5013" s="257"/>
      <c r="K5013" s="253"/>
      <c r="L5013" s="253"/>
      <c r="M5013" s="252"/>
      <c r="N5013" s="258"/>
      <c r="O5013" s="259"/>
      <c r="P5013" s="259"/>
      <c r="Q5013" s="262"/>
      <c r="R5013" s="260"/>
      <c r="S5013" s="260"/>
      <c r="T5013" s="260"/>
      <c r="U5013" s="261"/>
      <c r="V5013" s="251"/>
      <c r="W5013" s="35"/>
      <c r="X5013" s="35"/>
      <c r="Y5013" s="35"/>
      <c r="Z5013" s="35"/>
      <c r="AA5013" s="35"/>
      <c r="AB5013" s="35"/>
      <c r="AC5013" s="35"/>
      <c r="AD5013" s="35"/>
      <c r="AE5013" s="35"/>
      <c r="AF5013" s="35"/>
      <c r="AG5013" s="35"/>
      <c r="AH5013" s="35"/>
      <c r="AI5013" s="35"/>
    </row>
    <row r="5014">
      <c r="A5014" s="251"/>
      <c r="B5014" s="252"/>
      <c r="C5014" s="253"/>
      <c r="D5014" s="253"/>
      <c r="E5014" s="252"/>
      <c r="F5014" s="253"/>
      <c r="G5014" s="251"/>
      <c r="H5014" s="433"/>
      <c r="I5014" s="278"/>
      <c r="J5014" s="257"/>
      <c r="K5014" s="253"/>
      <c r="L5014" s="253"/>
      <c r="M5014" s="252"/>
      <c r="N5014" s="258"/>
      <c r="O5014" s="259"/>
      <c r="P5014" s="259"/>
      <c r="Q5014" s="262"/>
      <c r="R5014" s="260"/>
      <c r="S5014" s="260"/>
      <c r="T5014" s="260"/>
      <c r="U5014" s="261"/>
      <c r="V5014" s="251"/>
      <c r="W5014" s="35"/>
      <c r="X5014" s="35"/>
      <c r="Y5014" s="35"/>
      <c r="Z5014" s="35"/>
      <c r="AA5014" s="35"/>
      <c r="AB5014" s="35"/>
      <c r="AC5014" s="35"/>
      <c r="AD5014" s="35"/>
      <c r="AE5014" s="35"/>
      <c r="AF5014" s="35"/>
      <c r="AG5014" s="35"/>
      <c r="AH5014" s="35"/>
      <c r="AI5014" s="35"/>
    </row>
    <row r="5015">
      <c r="A5015" s="251"/>
      <c r="B5015" s="252"/>
      <c r="C5015" s="253"/>
      <c r="D5015" s="253"/>
      <c r="E5015" s="252"/>
      <c r="F5015" s="253"/>
      <c r="G5015" s="251"/>
      <c r="H5015" s="433"/>
      <c r="I5015" s="278"/>
      <c r="J5015" s="257"/>
      <c r="K5015" s="253"/>
      <c r="L5015" s="253"/>
      <c r="M5015" s="252"/>
      <c r="N5015" s="258"/>
      <c r="O5015" s="259"/>
      <c r="P5015" s="259"/>
      <c r="Q5015" s="257"/>
      <c r="R5015" s="260"/>
      <c r="S5015" s="260"/>
      <c r="T5015" s="260"/>
      <c r="U5015" s="261"/>
      <c r="V5015" s="309"/>
      <c r="W5015" s="35"/>
      <c r="X5015" s="35"/>
      <c r="Y5015" s="35"/>
      <c r="Z5015" s="35"/>
      <c r="AA5015" s="35"/>
      <c r="AB5015" s="35"/>
      <c r="AC5015" s="35"/>
      <c r="AD5015" s="35"/>
      <c r="AE5015" s="35"/>
      <c r="AF5015" s="35"/>
      <c r="AG5015" s="35"/>
      <c r="AH5015" s="35"/>
      <c r="AI5015" s="35"/>
    </row>
    <row r="5016">
      <c r="A5016" s="251"/>
      <c r="B5016" s="252"/>
      <c r="C5016" s="253"/>
      <c r="D5016" s="253"/>
      <c r="E5016" s="252"/>
      <c r="F5016" s="253"/>
      <c r="G5016" s="251"/>
      <c r="H5016" s="433"/>
      <c r="I5016" s="278"/>
      <c r="J5016" s="257"/>
      <c r="K5016" s="253"/>
      <c r="L5016" s="253"/>
      <c r="M5016" s="252"/>
      <c r="N5016" s="258"/>
      <c r="O5016" s="259"/>
      <c r="P5016" s="259"/>
      <c r="Q5016" s="262"/>
      <c r="R5016" s="260"/>
      <c r="S5016" s="260"/>
      <c r="T5016" s="260"/>
      <c r="U5016" s="261"/>
      <c r="V5016" s="251"/>
      <c r="W5016" s="35"/>
      <c r="X5016" s="35"/>
      <c r="Y5016" s="35"/>
      <c r="Z5016" s="35"/>
      <c r="AA5016" s="35"/>
      <c r="AB5016" s="35"/>
      <c r="AC5016" s="35"/>
      <c r="AD5016" s="35"/>
      <c r="AE5016" s="35"/>
      <c r="AF5016" s="35"/>
      <c r="AG5016" s="35"/>
      <c r="AH5016" s="35"/>
      <c r="AI5016" s="35"/>
    </row>
    <row r="5017">
      <c r="A5017" s="251"/>
      <c r="B5017" s="252"/>
      <c r="C5017" s="253"/>
      <c r="D5017" s="253"/>
      <c r="E5017" s="252"/>
      <c r="F5017" s="253"/>
      <c r="G5017" s="251"/>
      <c r="H5017" s="433"/>
      <c r="I5017" s="278"/>
      <c r="J5017" s="257"/>
      <c r="K5017" s="253"/>
      <c r="L5017" s="253"/>
      <c r="M5017" s="275"/>
      <c r="N5017" s="258"/>
      <c r="O5017" s="259"/>
      <c r="P5017" s="259"/>
      <c r="Q5017" s="262"/>
      <c r="R5017" s="260"/>
      <c r="S5017" s="260"/>
      <c r="T5017" s="260"/>
      <c r="U5017" s="261"/>
      <c r="V5017" s="251"/>
      <c r="W5017" s="35"/>
      <c r="X5017" s="35"/>
      <c r="Y5017" s="35"/>
      <c r="Z5017" s="35"/>
      <c r="AA5017" s="35"/>
      <c r="AB5017" s="35"/>
      <c r="AC5017" s="35"/>
      <c r="AD5017" s="35"/>
      <c r="AE5017" s="35"/>
      <c r="AF5017" s="35"/>
      <c r="AG5017" s="35"/>
      <c r="AH5017" s="35"/>
      <c r="AI5017" s="35"/>
    </row>
    <row r="5018">
      <c r="A5018" s="251"/>
      <c r="B5018" s="252"/>
      <c r="C5018" s="253"/>
      <c r="D5018" s="253"/>
      <c r="E5018" s="252"/>
      <c r="F5018" s="253"/>
      <c r="G5018" s="251"/>
      <c r="H5018" s="433"/>
      <c r="I5018" s="278"/>
      <c r="J5018" s="257"/>
      <c r="K5018" s="253"/>
      <c r="L5018" s="253"/>
      <c r="M5018" s="252"/>
      <c r="N5018" s="258"/>
      <c r="O5018" s="259"/>
      <c r="P5018" s="259"/>
      <c r="Q5018" s="262"/>
      <c r="R5018" s="260"/>
      <c r="S5018" s="260"/>
      <c r="T5018" s="260"/>
      <c r="U5018" s="261"/>
      <c r="V5018" s="251"/>
      <c r="W5018" s="35"/>
      <c r="X5018" s="35"/>
      <c r="Y5018" s="35"/>
      <c r="Z5018" s="35"/>
      <c r="AA5018" s="35"/>
      <c r="AB5018" s="35"/>
      <c r="AC5018" s="35"/>
      <c r="AD5018" s="35"/>
      <c r="AE5018" s="35"/>
      <c r="AF5018" s="35"/>
      <c r="AG5018" s="35"/>
      <c r="AH5018" s="35"/>
      <c r="AI5018" s="35"/>
    </row>
    <row r="5019">
      <c r="A5019" s="251"/>
      <c r="B5019" s="252"/>
      <c r="C5019" s="253"/>
      <c r="D5019" s="253"/>
      <c r="E5019" s="252"/>
      <c r="F5019" s="253"/>
      <c r="G5019" s="251"/>
      <c r="H5019" s="433"/>
      <c r="I5019" s="278"/>
      <c r="J5019" s="257"/>
      <c r="K5019" s="253"/>
      <c r="L5019" s="253"/>
      <c r="M5019" s="275"/>
      <c r="N5019" s="258"/>
      <c r="O5019" s="259"/>
      <c r="P5019" s="259"/>
      <c r="Q5019" s="262"/>
      <c r="R5019" s="260"/>
      <c r="S5019" s="260"/>
      <c r="T5019" s="260"/>
      <c r="U5019" s="261"/>
      <c r="V5019" s="251"/>
      <c r="W5019" s="35"/>
      <c r="X5019" s="35"/>
      <c r="Y5019" s="35"/>
      <c r="Z5019" s="35"/>
      <c r="AA5019" s="35"/>
      <c r="AB5019" s="35"/>
      <c r="AC5019" s="35"/>
      <c r="AD5019" s="35"/>
      <c r="AE5019" s="35"/>
      <c r="AF5019" s="35"/>
      <c r="AG5019" s="35"/>
      <c r="AH5019" s="35"/>
      <c r="AI5019" s="35"/>
    </row>
    <row r="5020">
      <c r="A5020" s="251"/>
      <c r="B5020" s="252"/>
      <c r="C5020" s="253"/>
      <c r="D5020" s="253"/>
      <c r="E5020" s="252"/>
      <c r="F5020" s="253"/>
      <c r="G5020" s="251"/>
      <c r="H5020" s="433"/>
      <c r="I5020" s="278"/>
      <c r="J5020" s="257"/>
      <c r="K5020" s="253"/>
      <c r="L5020" s="253"/>
      <c r="M5020" s="252"/>
      <c r="N5020" s="258"/>
      <c r="O5020" s="259"/>
      <c r="P5020" s="259"/>
      <c r="Q5020" s="262"/>
      <c r="R5020" s="260"/>
      <c r="S5020" s="260"/>
      <c r="T5020" s="260"/>
      <c r="U5020" s="261"/>
      <c r="V5020" s="251"/>
      <c r="W5020" s="35"/>
      <c r="X5020" s="35"/>
      <c r="Y5020" s="35"/>
      <c r="Z5020" s="35"/>
      <c r="AA5020" s="35"/>
      <c r="AB5020" s="35"/>
      <c r="AC5020" s="35"/>
      <c r="AD5020" s="35"/>
      <c r="AE5020" s="35"/>
      <c r="AF5020" s="35"/>
      <c r="AG5020" s="35"/>
      <c r="AH5020" s="35"/>
      <c r="AI5020" s="35"/>
    </row>
    <row r="5021">
      <c r="A5021" s="251"/>
      <c r="B5021" s="252"/>
      <c r="C5021" s="253"/>
      <c r="D5021" s="253"/>
      <c r="E5021" s="252"/>
      <c r="F5021" s="253"/>
      <c r="G5021" s="251"/>
      <c r="H5021" s="433"/>
      <c r="I5021" s="278"/>
      <c r="J5021" s="257"/>
      <c r="K5021" s="253"/>
      <c r="L5021" s="253"/>
      <c r="M5021" s="252"/>
      <c r="N5021" s="258"/>
      <c r="O5021" s="259"/>
      <c r="P5021" s="259"/>
      <c r="Q5021" s="262"/>
      <c r="R5021" s="260"/>
      <c r="S5021" s="260"/>
      <c r="T5021" s="260"/>
      <c r="U5021" s="261"/>
      <c r="V5021" s="251"/>
      <c r="W5021" s="35"/>
      <c r="X5021" s="35"/>
      <c r="Y5021" s="35"/>
      <c r="Z5021" s="35"/>
      <c r="AA5021" s="35"/>
      <c r="AB5021" s="35"/>
      <c r="AC5021" s="35"/>
      <c r="AD5021" s="35"/>
      <c r="AE5021" s="35"/>
      <c r="AF5021" s="35"/>
      <c r="AG5021" s="35"/>
      <c r="AH5021" s="35"/>
      <c r="AI5021" s="35"/>
    </row>
    <row r="5022">
      <c r="A5022" s="251"/>
      <c r="B5022" s="252"/>
      <c r="C5022" s="253"/>
      <c r="D5022" s="253"/>
      <c r="E5022" s="252"/>
      <c r="F5022" s="253"/>
      <c r="G5022" s="251"/>
      <c r="H5022" s="433"/>
      <c r="I5022" s="278"/>
      <c r="J5022" s="257"/>
      <c r="K5022" s="253"/>
      <c r="L5022" s="253"/>
      <c r="M5022" s="252"/>
      <c r="N5022" s="258"/>
      <c r="O5022" s="259"/>
      <c r="P5022" s="259"/>
      <c r="Q5022" s="262"/>
      <c r="R5022" s="260"/>
      <c r="S5022" s="260"/>
      <c r="T5022" s="260"/>
      <c r="U5022" s="261"/>
      <c r="V5022" s="251"/>
      <c r="W5022" s="35"/>
      <c r="X5022" s="35"/>
      <c r="Y5022" s="35"/>
      <c r="Z5022" s="35"/>
      <c r="AA5022" s="35"/>
      <c r="AB5022" s="35"/>
      <c r="AC5022" s="35"/>
      <c r="AD5022" s="35"/>
      <c r="AE5022" s="35"/>
      <c r="AF5022" s="35"/>
      <c r="AG5022" s="35"/>
      <c r="AH5022" s="35"/>
      <c r="AI5022" s="35"/>
    </row>
    <row r="5023">
      <c r="A5023" s="251"/>
      <c r="B5023" s="252"/>
      <c r="C5023" s="253"/>
      <c r="D5023" s="253"/>
      <c r="E5023" s="252"/>
      <c r="F5023" s="253"/>
      <c r="G5023" s="251"/>
      <c r="H5023" s="433"/>
      <c r="I5023" s="278"/>
      <c r="J5023" s="257"/>
      <c r="K5023" s="253"/>
      <c r="L5023" s="253"/>
      <c r="M5023" s="252"/>
      <c r="N5023" s="258"/>
      <c r="O5023" s="259"/>
      <c r="P5023" s="259"/>
      <c r="Q5023" s="262"/>
      <c r="R5023" s="260"/>
      <c r="S5023" s="260"/>
      <c r="T5023" s="260"/>
      <c r="U5023" s="261"/>
      <c r="V5023" s="251"/>
      <c r="W5023" s="35"/>
      <c r="X5023" s="35"/>
      <c r="Y5023" s="35"/>
      <c r="Z5023" s="35"/>
      <c r="AA5023" s="35"/>
      <c r="AB5023" s="35"/>
      <c r="AC5023" s="35"/>
      <c r="AD5023" s="35"/>
      <c r="AE5023" s="35"/>
      <c r="AF5023" s="35"/>
      <c r="AG5023" s="35"/>
      <c r="AH5023" s="35"/>
      <c r="AI5023" s="35"/>
    </row>
    <row r="5024">
      <c r="A5024" s="251"/>
      <c r="B5024" s="252"/>
      <c r="C5024" s="253"/>
      <c r="D5024" s="253"/>
      <c r="E5024" s="252"/>
      <c r="F5024" s="253"/>
      <c r="G5024" s="251"/>
      <c r="H5024" s="433"/>
      <c r="I5024" s="278"/>
      <c r="J5024" s="257"/>
      <c r="K5024" s="253"/>
      <c r="L5024" s="253"/>
      <c r="M5024" s="252"/>
      <c r="N5024" s="258"/>
      <c r="O5024" s="259"/>
      <c r="P5024" s="259"/>
      <c r="Q5024" s="257"/>
      <c r="R5024" s="260"/>
      <c r="S5024" s="260"/>
      <c r="T5024" s="260"/>
      <c r="U5024" s="261"/>
      <c r="V5024" s="251"/>
      <c r="W5024" s="35"/>
      <c r="X5024" s="35"/>
      <c r="Y5024" s="35"/>
      <c r="Z5024" s="35"/>
      <c r="AA5024" s="35"/>
      <c r="AB5024" s="35"/>
      <c r="AC5024" s="35"/>
      <c r="AD5024" s="35"/>
      <c r="AE5024" s="35"/>
      <c r="AF5024" s="35"/>
      <c r="AG5024" s="35"/>
      <c r="AH5024" s="35"/>
      <c r="AI5024" s="35"/>
    </row>
    <row r="5025">
      <c r="A5025" s="251"/>
      <c r="B5025" s="252"/>
      <c r="C5025" s="253"/>
      <c r="D5025" s="253"/>
      <c r="E5025" s="252"/>
      <c r="F5025" s="253"/>
      <c r="G5025" s="251"/>
      <c r="H5025" s="433"/>
      <c r="I5025" s="278"/>
      <c r="J5025" s="257"/>
      <c r="K5025" s="253"/>
      <c r="L5025" s="253"/>
      <c r="M5025" s="275"/>
      <c r="N5025" s="258"/>
      <c r="O5025" s="259"/>
      <c r="P5025" s="259"/>
      <c r="Q5025" s="262"/>
      <c r="R5025" s="260"/>
      <c r="S5025" s="260"/>
      <c r="T5025" s="260"/>
      <c r="U5025" s="261"/>
      <c r="V5025" s="309"/>
      <c r="W5025" s="35"/>
      <c r="X5025" s="35"/>
      <c r="Y5025" s="35"/>
      <c r="Z5025" s="35"/>
      <c r="AA5025" s="35"/>
      <c r="AB5025" s="35"/>
      <c r="AC5025" s="35"/>
      <c r="AD5025" s="35"/>
      <c r="AE5025" s="35"/>
      <c r="AF5025" s="35"/>
      <c r="AG5025" s="35"/>
      <c r="AH5025" s="35"/>
      <c r="AI5025" s="35"/>
    </row>
    <row r="5026">
      <c r="A5026" s="263"/>
      <c r="B5026" s="264"/>
      <c r="C5026" s="265"/>
      <c r="D5026" s="265"/>
      <c r="E5026" s="264"/>
      <c r="F5026" s="265"/>
      <c r="G5026" s="263"/>
      <c r="H5026" s="432"/>
      <c r="I5026" s="282"/>
      <c r="J5026" s="283"/>
      <c r="K5026" s="265"/>
      <c r="L5026" s="265"/>
      <c r="M5026" s="269"/>
      <c r="N5026" s="270"/>
      <c r="O5026" s="271"/>
      <c r="P5026" s="271"/>
      <c r="Q5026" s="272"/>
      <c r="R5026" s="273"/>
      <c r="S5026" s="273"/>
      <c r="T5026" s="273"/>
      <c r="U5026" s="274"/>
      <c r="V5026" s="263"/>
      <c r="W5026" s="35"/>
      <c r="X5026" s="35"/>
      <c r="Y5026" s="35"/>
      <c r="Z5026" s="35"/>
      <c r="AA5026" s="35"/>
      <c r="AB5026" s="35"/>
      <c r="AC5026" s="35"/>
      <c r="AD5026" s="35"/>
      <c r="AE5026" s="35"/>
      <c r="AF5026" s="35"/>
      <c r="AG5026" s="35"/>
      <c r="AH5026" s="35"/>
      <c r="AI5026" s="35"/>
    </row>
    <row r="5027">
      <c r="A5027" s="251"/>
      <c r="B5027" s="252"/>
      <c r="C5027" s="253"/>
      <c r="D5027" s="253"/>
      <c r="E5027" s="252"/>
      <c r="F5027" s="253"/>
      <c r="G5027" s="251"/>
      <c r="H5027" s="433"/>
      <c r="I5027" s="278"/>
      <c r="J5027" s="257"/>
      <c r="K5027" s="253"/>
      <c r="L5027" s="253"/>
      <c r="M5027" s="275"/>
      <c r="N5027" s="258"/>
      <c r="O5027" s="259"/>
      <c r="P5027" s="259"/>
      <c r="Q5027" s="262"/>
      <c r="R5027" s="260"/>
      <c r="S5027" s="260"/>
      <c r="T5027" s="260"/>
      <c r="U5027" s="261"/>
      <c r="V5027" s="251"/>
      <c r="W5027" s="35"/>
      <c r="X5027" s="35"/>
      <c r="Y5027" s="35"/>
      <c r="Z5027" s="35"/>
      <c r="AA5027" s="35"/>
      <c r="AB5027" s="35"/>
      <c r="AC5027" s="35"/>
      <c r="AD5027" s="35"/>
      <c r="AE5027" s="35"/>
      <c r="AF5027" s="35"/>
      <c r="AG5027" s="35"/>
      <c r="AH5027" s="35"/>
      <c r="AI5027" s="35"/>
    </row>
    <row r="5028">
      <c r="A5028" s="251"/>
      <c r="B5028" s="252"/>
      <c r="C5028" s="253"/>
      <c r="D5028" s="253"/>
      <c r="E5028" s="252"/>
      <c r="F5028" s="253"/>
      <c r="G5028" s="251"/>
      <c r="H5028" s="433"/>
      <c r="I5028" s="278"/>
      <c r="J5028" s="257"/>
      <c r="K5028" s="253"/>
      <c r="L5028" s="253"/>
      <c r="M5028" s="275"/>
      <c r="N5028" s="258"/>
      <c r="O5028" s="259"/>
      <c r="P5028" s="259"/>
      <c r="Q5028" s="262"/>
      <c r="R5028" s="260"/>
      <c r="S5028" s="260"/>
      <c r="T5028" s="260"/>
      <c r="U5028" s="261"/>
      <c r="V5028" s="251"/>
      <c r="W5028" s="35"/>
      <c r="X5028" s="35"/>
      <c r="Y5028" s="35"/>
      <c r="Z5028" s="35"/>
      <c r="AA5028" s="35"/>
      <c r="AB5028" s="35"/>
      <c r="AC5028" s="35"/>
      <c r="AD5028" s="35"/>
      <c r="AE5028" s="35"/>
      <c r="AF5028" s="35"/>
      <c r="AG5028" s="35"/>
      <c r="AH5028" s="35"/>
      <c r="AI5028" s="35"/>
    </row>
    <row r="5029">
      <c r="A5029" s="251"/>
      <c r="B5029" s="252"/>
      <c r="C5029" s="253"/>
      <c r="D5029" s="253"/>
      <c r="E5029" s="252"/>
      <c r="F5029" s="253"/>
      <c r="G5029" s="251"/>
      <c r="H5029" s="433"/>
      <c r="I5029" s="278"/>
      <c r="J5029" s="257"/>
      <c r="K5029" s="253"/>
      <c r="L5029" s="253"/>
      <c r="M5029" s="252"/>
      <c r="N5029" s="258"/>
      <c r="O5029" s="259"/>
      <c r="P5029" s="259"/>
      <c r="Q5029" s="257"/>
      <c r="R5029" s="260"/>
      <c r="S5029" s="260"/>
      <c r="T5029" s="260"/>
      <c r="U5029" s="261"/>
      <c r="V5029" s="251"/>
      <c r="W5029" s="35"/>
      <c r="X5029" s="35"/>
      <c r="Y5029" s="35"/>
      <c r="Z5029" s="35"/>
      <c r="AA5029" s="35"/>
      <c r="AB5029" s="35"/>
      <c r="AC5029" s="35"/>
      <c r="AD5029" s="35"/>
      <c r="AE5029" s="35"/>
      <c r="AF5029" s="35"/>
      <c r="AG5029" s="35"/>
      <c r="AH5029" s="35"/>
      <c r="AI5029" s="35"/>
    </row>
    <row r="5030">
      <c r="A5030" s="251"/>
      <c r="B5030" s="252"/>
      <c r="C5030" s="253"/>
      <c r="D5030" s="253"/>
      <c r="E5030" s="252"/>
      <c r="F5030" s="253"/>
      <c r="G5030" s="251"/>
      <c r="H5030" s="433"/>
      <c r="I5030" s="278"/>
      <c r="J5030" s="257"/>
      <c r="K5030" s="253"/>
      <c r="L5030" s="253"/>
      <c r="M5030" s="252"/>
      <c r="N5030" s="258"/>
      <c r="O5030" s="259"/>
      <c r="P5030" s="259"/>
      <c r="Q5030" s="262"/>
      <c r="R5030" s="260"/>
      <c r="S5030" s="260"/>
      <c r="T5030" s="260"/>
      <c r="U5030" s="261"/>
      <c r="V5030" s="251"/>
      <c r="W5030" s="35"/>
      <c r="X5030" s="35"/>
      <c r="Y5030" s="35"/>
      <c r="Z5030" s="35"/>
      <c r="AA5030" s="35"/>
      <c r="AB5030" s="35"/>
      <c r="AC5030" s="35"/>
      <c r="AD5030" s="35"/>
      <c r="AE5030" s="35"/>
      <c r="AF5030" s="35"/>
      <c r="AG5030" s="35"/>
      <c r="AH5030" s="35"/>
      <c r="AI5030" s="35"/>
    </row>
    <row r="5031">
      <c r="A5031" s="251"/>
      <c r="B5031" s="252"/>
      <c r="C5031" s="253"/>
      <c r="D5031" s="253"/>
      <c r="E5031" s="252"/>
      <c r="F5031" s="253"/>
      <c r="G5031" s="251"/>
      <c r="H5031" s="433"/>
      <c r="I5031" s="278"/>
      <c r="J5031" s="257"/>
      <c r="K5031" s="253"/>
      <c r="L5031" s="253"/>
      <c r="M5031" s="252"/>
      <c r="N5031" s="258"/>
      <c r="O5031" s="259"/>
      <c r="P5031" s="259"/>
      <c r="Q5031" s="257"/>
      <c r="R5031" s="260"/>
      <c r="S5031" s="260"/>
      <c r="T5031" s="260"/>
      <c r="U5031" s="261"/>
      <c r="V5031" s="251"/>
      <c r="W5031" s="35"/>
      <c r="X5031" s="35"/>
      <c r="Y5031" s="35"/>
      <c r="Z5031" s="35"/>
      <c r="AA5031" s="35"/>
      <c r="AB5031" s="35"/>
      <c r="AC5031" s="35"/>
      <c r="AD5031" s="35"/>
      <c r="AE5031" s="35"/>
      <c r="AF5031" s="35"/>
      <c r="AG5031" s="35"/>
      <c r="AH5031" s="35"/>
      <c r="AI5031" s="35"/>
    </row>
    <row r="5032">
      <c r="A5032" s="251"/>
      <c r="B5032" s="252"/>
      <c r="C5032" s="253"/>
      <c r="D5032" s="253"/>
      <c r="E5032" s="252"/>
      <c r="F5032" s="253"/>
      <c r="G5032" s="251"/>
      <c r="H5032" s="433"/>
      <c r="I5032" s="278"/>
      <c r="J5032" s="257"/>
      <c r="K5032" s="253"/>
      <c r="L5032" s="253"/>
      <c r="M5032" s="252"/>
      <c r="N5032" s="258"/>
      <c r="O5032" s="259"/>
      <c r="P5032" s="259"/>
      <c r="Q5032" s="262"/>
      <c r="R5032" s="260"/>
      <c r="S5032" s="260"/>
      <c r="T5032" s="260"/>
      <c r="U5032" s="261"/>
      <c r="V5032" s="251"/>
      <c r="W5032" s="35"/>
      <c r="X5032" s="35"/>
      <c r="Y5032" s="35"/>
      <c r="Z5032" s="35"/>
      <c r="AA5032" s="35"/>
      <c r="AB5032" s="35"/>
      <c r="AC5032" s="35"/>
      <c r="AD5032" s="35"/>
      <c r="AE5032" s="35"/>
      <c r="AF5032" s="35"/>
      <c r="AG5032" s="35"/>
      <c r="AH5032" s="35"/>
      <c r="AI5032" s="35"/>
    </row>
    <row r="5033">
      <c r="A5033" s="251"/>
      <c r="B5033" s="252"/>
      <c r="C5033" s="253"/>
      <c r="D5033" s="253"/>
      <c r="E5033" s="252"/>
      <c r="F5033" s="253"/>
      <c r="G5033" s="251"/>
      <c r="H5033" s="433"/>
      <c r="I5033" s="278"/>
      <c r="J5033" s="257"/>
      <c r="K5033" s="253"/>
      <c r="L5033" s="253"/>
      <c r="M5033" s="252"/>
      <c r="N5033" s="258"/>
      <c r="O5033" s="259"/>
      <c r="P5033" s="259"/>
      <c r="Q5033" s="257"/>
      <c r="R5033" s="260"/>
      <c r="S5033" s="260"/>
      <c r="T5033" s="260"/>
      <c r="U5033" s="261"/>
      <c r="V5033" s="251"/>
      <c r="W5033" s="35"/>
      <c r="X5033" s="35"/>
      <c r="Y5033" s="35"/>
      <c r="Z5033" s="35"/>
      <c r="AA5033" s="35"/>
      <c r="AB5033" s="35"/>
      <c r="AC5033" s="35"/>
      <c r="AD5033" s="35"/>
      <c r="AE5033" s="35"/>
      <c r="AF5033" s="35"/>
      <c r="AG5033" s="35"/>
      <c r="AH5033" s="35"/>
      <c r="AI5033" s="35"/>
    </row>
    <row r="5034">
      <c r="A5034" s="251"/>
      <c r="B5034" s="252"/>
      <c r="C5034" s="253"/>
      <c r="D5034" s="253"/>
      <c r="E5034" s="252"/>
      <c r="F5034" s="253"/>
      <c r="G5034" s="251"/>
      <c r="H5034" s="433"/>
      <c r="I5034" s="278"/>
      <c r="J5034" s="257"/>
      <c r="K5034" s="253"/>
      <c r="L5034" s="253"/>
      <c r="M5034" s="252"/>
      <c r="N5034" s="258"/>
      <c r="O5034" s="259"/>
      <c r="P5034" s="259"/>
      <c r="Q5034" s="262"/>
      <c r="R5034" s="260"/>
      <c r="S5034" s="260"/>
      <c r="T5034" s="260"/>
      <c r="U5034" s="261"/>
      <c r="V5034" s="276"/>
      <c r="W5034" s="35"/>
      <c r="X5034" s="35"/>
      <c r="Y5034" s="35"/>
      <c r="Z5034" s="35"/>
      <c r="AA5034" s="35"/>
      <c r="AB5034" s="35"/>
      <c r="AC5034" s="35"/>
      <c r="AD5034" s="35"/>
      <c r="AE5034" s="35"/>
      <c r="AF5034" s="35"/>
      <c r="AG5034" s="35"/>
      <c r="AH5034" s="35"/>
      <c r="AI5034" s="35"/>
    </row>
    <row r="5035">
      <c r="A5035" s="251"/>
      <c r="B5035" s="252"/>
      <c r="C5035" s="253"/>
      <c r="D5035" s="253"/>
      <c r="E5035" s="252"/>
      <c r="F5035" s="253"/>
      <c r="G5035" s="251"/>
      <c r="H5035" s="433"/>
      <c r="I5035" s="278"/>
      <c r="J5035" s="257"/>
      <c r="K5035" s="253"/>
      <c r="L5035" s="253"/>
      <c r="M5035" s="275"/>
      <c r="N5035" s="258"/>
      <c r="O5035" s="259"/>
      <c r="P5035" s="259"/>
      <c r="Q5035" s="262"/>
      <c r="R5035" s="260"/>
      <c r="S5035" s="260"/>
      <c r="T5035" s="260"/>
      <c r="U5035" s="261"/>
      <c r="V5035" s="251"/>
      <c r="W5035" s="35"/>
      <c r="X5035" s="35"/>
      <c r="Y5035" s="35"/>
      <c r="Z5035" s="35"/>
      <c r="AA5035" s="35"/>
      <c r="AB5035" s="35"/>
      <c r="AC5035" s="35"/>
      <c r="AD5035" s="35"/>
      <c r="AE5035" s="35"/>
      <c r="AF5035" s="35"/>
      <c r="AG5035" s="35"/>
      <c r="AH5035" s="35"/>
      <c r="AI5035" s="35"/>
    </row>
    <row r="5036">
      <c r="A5036" s="251"/>
      <c r="B5036" s="252"/>
      <c r="C5036" s="253"/>
      <c r="D5036" s="253"/>
      <c r="E5036" s="252"/>
      <c r="F5036" s="253"/>
      <c r="G5036" s="251"/>
      <c r="H5036" s="433"/>
      <c r="I5036" s="278"/>
      <c r="J5036" s="257"/>
      <c r="K5036" s="253"/>
      <c r="L5036" s="253"/>
      <c r="M5036" s="252"/>
      <c r="N5036" s="258"/>
      <c r="O5036" s="259"/>
      <c r="P5036" s="259"/>
      <c r="Q5036" s="257"/>
      <c r="R5036" s="260"/>
      <c r="S5036" s="260"/>
      <c r="T5036" s="260"/>
      <c r="U5036" s="261"/>
      <c r="V5036" s="251"/>
      <c r="W5036" s="35"/>
      <c r="X5036" s="35"/>
      <c r="Y5036" s="35"/>
      <c r="Z5036" s="35"/>
      <c r="AA5036" s="35"/>
      <c r="AB5036" s="35"/>
      <c r="AC5036" s="35"/>
      <c r="AD5036" s="35"/>
      <c r="AE5036" s="35"/>
      <c r="AF5036" s="35"/>
      <c r="AG5036" s="35"/>
      <c r="AH5036" s="35"/>
      <c r="AI5036" s="35"/>
    </row>
    <row r="5037">
      <c r="A5037" s="251"/>
      <c r="B5037" s="252"/>
      <c r="C5037" s="253"/>
      <c r="D5037" s="253"/>
      <c r="E5037" s="252"/>
      <c r="F5037" s="253"/>
      <c r="G5037" s="251"/>
      <c r="H5037" s="433"/>
      <c r="I5037" s="278"/>
      <c r="J5037" s="257"/>
      <c r="K5037" s="253"/>
      <c r="L5037" s="253"/>
      <c r="M5037" s="252"/>
      <c r="N5037" s="258"/>
      <c r="O5037" s="259"/>
      <c r="P5037" s="259"/>
      <c r="Q5037" s="262"/>
      <c r="R5037" s="260"/>
      <c r="S5037" s="260"/>
      <c r="T5037" s="260"/>
      <c r="U5037" s="261"/>
      <c r="V5037" s="251"/>
      <c r="W5037" s="35"/>
      <c r="X5037" s="35"/>
      <c r="Y5037" s="35"/>
      <c r="Z5037" s="35"/>
      <c r="AA5037" s="35"/>
      <c r="AB5037" s="35"/>
      <c r="AC5037" s="35"/>
      <c r="AD5037" s="35"/>
      <c r="AE5037" s="35"/>
      <c r="AF5037" s="35"/>
      <c r="AG5037" s="35"/>
      <c r="AH5037" s="35"/>
      <c r="AI5037" s="35"/>
    </row>
    <row r="5038">
      <c r="A5038" s="251"/>
      <c r="B5038" s="252"/>
      <c r="C5038" s="253"/>
      <c r="D5038" s="253"/>
      <c r="E5038" s="252"/>
      <c r="F5038" s="253"/>
      <c r="G5038" s="251"/>
      <c r="H5038" s="433"/>
      <c r="I5038" s="278"/>
      <c r="J5038" s="257"/>
      <c r="K5038" s="253"/>
      <c r="L5038" s="253"/>
      <c r="M5038" s="252"/>
      <c r="N5038" s="258"/>
      <c r="O5038" s="259"/>
      <c r="P5038" s="259"/>
      <c r="Q5038" s="262"/>
      <c r="R5038" s="260"/>
      <c r="S5038" s="260"/>
      <c r="T5038" s="173"/>
      <c r="U5038" s="174"/>
      <c r="V5038" s="165"/>
      <c r="W5038" s="35"/>
      <c r="X5038" s="35"/>
      <c r="Y5038" s="35"/>
      <c r="Z5038" s="35"/>
      <c r="AA5038" s="35"/>
      <c r="AB5038" s="35"/>
      <c r="AC5038" s="35"/>
      <c r="AD5038" s="35"/>
      <c r="AE5038" s="35"/>
      <c r="AF5038" s="35"/>
      <c r="AG5038" s="35"/>
      <c r="AH5038" s="35"/>
      <c r="AI5038" s="35"/>
    </row>
    <row r="5039">
      <c r="A5039" s="251"/>
      <c r="B5039" s="252"/>
      <c r="C5039" s="253"/>
      <c r="D5039" s="253"/>
      <c r="E5039" s="252"/>
      <c r="F5039" s="253"/>
      <c r="G5039" s="251"/>
      <c r="H5039" s="433"/>
      <c r="I5039" s="278"/>
      <c r="J5039" s="257"/>
      <c r="K5039" s="253"/>
      <c r="L5039" s="253"/>
      <c r="M5039" s="252"/>
      <c r="N5039" s="258"/>
      <c r="O5039" s="259"/>
      <c r="P5039" s="259"/>
      <c r="Q5039" s="262"/>
      <c r="R5039" s="260"/>
      <c r="S5039" s="260"/>
      <c r="T5039" s="273"/>
      <c r="U5039" s="274"/>
      <c r="V5039" s="266"/>
      <c r="W5039" s="35"/>
      <c r="X5039" s="35"/>
      <c r="Y5039" s="35"/>
      <c r="Z5039" s="35"/>
      <c r="AA5039" s="35"/>
      <c r="AB5039" s="35"/>
      <c r="AC5039" s="35"/>
      <c r="AD5039" s="35"/>
      <c r="AE5039" s="35"/>
      <c r="AF5039" s="35"/>
      <c r="AG5039" s="35"/>
      <c r="AH5039" s="35"/>
      <c r="AI5039" s="35"/>
    </row>
    <row r="5040">
      <c r="A5040" s="251"/>
      <c r="B5040" s="252"/>
      <c r="C5040" s="253"/>
      <c r="D5040" s="253"/>
      <c r="E5040" s="252"/>
      <c r="F5040" s="253"/>
      <c r="G5040" s="251"/>
      <c r="H5040" s="433"/>
      <c r="I5040" s="278"/>
      <c r="J5040" s="257"/>
      <c r="K5040" s="253"/>
      <c r="L5040" s="253"/>
      <c r="M5040" s="252"/>
      <c r="N5040" s="258"/>
      <c r="O5040" s="259"/>
      <c r="P5040" s="259"/>
      <c r="Q5040" s="262"/>
      <c r="R5040" s="260"/>
      <c r="S5040" s="260"/>
      <c r="T5040" s="260"/>
      <c r="U5040" s="261"/>
      <c r="V5040" s="251"/>
      <c r="W5040" s="35"/>
      <c r="X5040" s="35"/>
      <c r="Y5040" s="35"/>
      <c r="Z5040" s="35"/>
      <c r="AA5040" s="35"/>
      <c r="AB5040" s="35"/>
      <c r="AC5040" s="35"/>
      <c r="AD5040" s="35"/>
      <c r="AE5040" s="35"/>
      <c r="AF5040" s="35"/>
      <c r="AG5040" s="35"/>
      <c r="AH5040" s="35"/>
      <c r="AI5040" s="35"/>
    </row>
    <row r="5041">
      <c r="A5041" s="251"/>
      <c r="B5041" s="252"/>
      <c r="C5041" s="253"/>
      <c r="D5041" s="253"/>
      <c r="E5041" s="252"/>
      <c r="F5041" s="253"/>
      <c r="G5041" s="251"/>
      <c r="H5041" s="433"/>
      <c r="I5041" s="278"/>
      <c r="J5041" s="257"/>
      <c r="K5041" s="253"/>
      <c r="L5041" s="253"/>
      <c r="M5041" s="252"/>
      <c r="N5041" s="258"/>
      <c r="O5041" s="259"/>
      <c r="P5041" s="259"/>
      <c r="Q5041" s="262"/>
      <c r="R5041" s="260"/>
      <c r="S5041" s="260"/>
      <c r="T5041" s="260"/>
      <c r="U5041" s="261"/>
      <c r="V5041" s="251"/>
      <c r="W5041" s="35"/>
      <c r="X5041" s="35"/>
      <c r="Y5041" s="35"/>
      <c r="Z5041" s="35"/>
      <c r="AA5041" s="35"/>
      <c r="AB5041" s="35"/>
      <c r="AC5041" s="35"/>
      <c r="AD5041" s="35"/>
      <c r="AE5041" s="35"/>
      <c r="AF5041" s="35"/>
      <c r="AG5041" s="35"/>
      <c r="AH5041" s="35"/>
      <c r="AI5041" s="35"/>
    </row>
    <row r="5042">
      <c r="A5042" s="251"/>
      <c r="B5042" s="252"/>
      <c r="C5042" s="253"/>
      <c r="D5042" s="253"/>
      <c r="E5042" s="252"/>
      <c r="F5042" s="253"/>
      <c r="G5042" s="251"/>
      <c r="H5042" s="433"/>
      <c r="I5042" s="278"/>
      <c r="J5042" s="257"/>
      <c r="K5042" s="253"/>
      <c r="L5042" s="253"/>
      <c r="M5042" s="252"/>
      <c r="N5042" s="258"/>
      <c r="O5042" s="259"/>
      <c r="P5042" s="259"/>
      <c r="Q5042" s="257"/>
      <c r="R5042" s="260"/>
      <c r="S5042" s="260"/>
      <c r="T5042" s="260"/>
      <c r="U5042" s="261"/>
      <c r="V5042" s="251"/>
      <c r="W5042" s="35"/>
      <c r="X5042" s="35"/>
      <c r="Y5042" s="35"/>
      <c r="Z5042" s="35"/>
      <c r="AA5042" s="35"/>
      <c r="AB5042" s="35"/>
      <c r="AC5042" s="35"/>
      <c r="AD5042" s="35"/>
      <c r="AE5042" s="35"/>
      <c r="AF5042" s="35"/>
      <c r="AG5042" s="35"/>
      <c r="AH5042" s="35"/>
      <c r="AI5042" s="35"/>
    </row>
    <row r="5043">
      <c r="A5043" s="251"/>
      <c r="B5043" s="252"/>
      <c r="C5043" s="253"/>
      <c r="D5043" s="253"/>
      <c r="E5043" s="252"/>
      <c r="F5043" s="253"/>
      <c r="G5043" s="251"/>
      <c r="H5043" s="433"/>
      <c r="I5043" s="278"/>
      <c r="J5043" s="257"/>
      <c r="K5043" s="253"/>
      <c r="L5043" s="253"/>
      <c r="M5043" s="252"/>
      <c r="N5043" s="258"/>
      <c r="O5043" s="259"/>
      <c r="P5043" s="259"/>
      <c r="Q5043" s="262"/>
      <c r="R5043" s="260"/>
      <c r="S5043" s="260"/>
      <c r="T5043" s="260"/>
      <c r="U5043" s="261"/>
      <c r="V5043" s="251"/>
      <c r="W5043" s="35"/>
      <c r="X5043" s="35"/>
      <c r="Y5043" s="35"/>
      <c r="Z5043" s="35"/>
      <c r="AA5043" s="35"/>
      <c r="AB5043" s="35"/>
      <c r="AC5043" s="35"/>
      <c r="AD5043" s="35"/>
      <c r="AE5043" s="35"/>
      <c r="AF5043" s="35"/>
      <c r="AG5043" s="35"/>
      <c r="AH5043" s="35"/>
      <c r="AI5043" s="35"/>
    </row>
    <row r="5044">
      <c r="A5044" s="251"/>
      <c r="B5044" s="252"/>
      <c r="C5044" s="253"/>
      <c r="D5044" s="253"/>
      <c r="E5044" s="252"/>
      <c r="F5044" s="253"/>
      <c r="G5044" s="251"/>
      <c r="H5044" s="433"/>
      <c r="I5044" s="278"/>
      <c r="J5044" s="257"/>
      <c r="K5044" s="253"/>
      <c r="L5044" s="253"/>
      <c r="M5044" s="252"/>
      <c r="N5044" s="258"/>
      <c r="O5044" s="259"/>
      <c r="P5044" s="259"/>
      <c r="Q5044" s="262"/>
      <c r="R5044" s="260"/>
      <c r="S5044" s="260"/>
      <c r="T5044" s="260"/>
      <c r="U5044" s="261"/>
      <c r="V5044" s="251"/>
      <c r="W5044" s="35"/>
      <c r="X5044" s="35"/>
      <c r="Y5044" s="35"/>
      <c r="Z5044" s="35"/>
      <c r="AA5044" s="35"/>
      <c r="AB5044" s="35"/>
      <c r="AC5044" s="35"/>
      <c r="AD5044" s="35"/>
      <c r="AE5044" s="35"/>
      <c r="AF5044" s="35"/>
      <c r="AG5044" s="35"/>
      <c r="AH5044" s="35"/>
      <c r="AI5044" s="35"/>
    </row>
    <row r="5045">
      <c r="A5045" s="251"/>
      <c r="B5045" s="252"/>
      <c r="C5045" s="253"/>
      <c r="D5045" s="253"/>
      <c r="E5045" s="252"/>
      <c r="F5045" s="253"/>
      <c r="G5045" s="251"/>
      <c r="H5045" s="433"/>
      <c r="I5045" s="278"/>
      <c r="J5045" s="257"/>
      <c r="K5045" s="253"/>
      <c r="L5045" s="253"/>
      <c r="M5045" s="252"/>
      <c r="N5045" s="258"/>
      <c r="O5045" s="259"/>
      <c r="P5045" s="259"/>
      <c r="Q5045" s="257"/>
      <c r="R5045" s="260"/>
      <c r="S5045" s="260"/>
      <c r="T5045" s="260"/>
      <c r="U5045" s="261"/>
      <c r="V5045" s="251"/>
      <c r="W5045" s="35"/>
      <c r="X5045" s="35"/>
      <c r="Y5045" s="35"/>
      <c r="Z5045" s="35"/>
      <c r="AA5045" s="35"/>
      <c r="AB5045" s="35"/>
      <c r="AC5045" s="35"/>
      <c r="AD5045" s="35"/>
      <c r="AE5045" s="35"/>
      <c r="AF5045" s="35"/>
      <c r="AG5045" s="35"/>
      <c r="AH5045" s="35"/>
      <c r="AI5045" s="35"/>
    </row>
    <row r="5046">
      <c r="A5046" s="251"/>
      <c r="B5046" s="252"/>
      <c r="C5046" s="253"/>
      <c r="D5046" s="253"/>
      <c r="E5046" s="252"/>
      <c r="F5046" s="253"/>
      <c r="G5046" s="251"/>
      <c r="H5046" s="433"/>
      <c r="I5046" s="278"/>
      <c r="J5046" s="257"/>
      <c r="K5046" s="253"/>
      <c r="L5046" s="253"/>
      <c r="M5046" s="252"/>
      <c r="N5046" s="258"/>
      <c r="O5046" s="259"/>
      <c r="P5046" s="259"/>
      <c r="Q5046" s="262"/>
      <c r="R5046" s="260"/>
      <c r="S5046" s="260"/>
      <c r="T5046" s="260"/>
      <c r="U5046" s="261"/>
      <c r="V5046" s="251"/>
      <c r="W5046" s="35"/>
      <c r="X5046" s="35"/>
      <c r="Y5046" s="35"/>
      <c r="Z5046" s="35"/>
      <c r="AA5046" s="35"/>
      <c r="AB5046" s="35"/>
      <c r="AC5046" s="35"/>
      <c r="AD5046" s="35"/>
      <c r="AE5046" s="35"/>
      <c r="AF5046" s="35"/>
      <c r="AG5046" s="35"/>
      <c r="AH5046" s="35"/>
      <c r="AI5046" s="35"/>
    </row>
    <row r="5047">
      <c r="A5047" s="251"/>
      <c r="B5047" s="252"/>
      <c r="C5047" s="253"/>
      <c r="D5047" s="253"/>
      <c r="E5047" s="252"/>
      <c r="F5047" s="253"/>
      <c r="G5047" s="251"/>
      <c r="H5047" s="433"/>
      <c r="I5047" s="278"/>
      <c r="J5047" s="257"/>
      <c r="K5047" s="253"/>
      <c r="L5047" s="253"/>
      <c r="M5047" s="252"/>
      <c r="N5047" s="258"/>
      <c r="O5047" s="259"/>
      <c r="P5047" s="259"/>
      <c r="Q5047" s="262"/>
      <c r="R5047" s="260"/>
      <c r="S5047" s="260"/>
      <c r="T5047" s="260"/>
      <c r="U5047" s="261"/>
      <c r="V5047" s="251"/>
      <c r="W5047" s="35"/>
      <c r="X5047" s="35"/>
      <c r="Y5047" s="35"/>
      <c r="Z5047" s="35"/>
      <c r="AA5047" s="35"/>
      <c r="AB5047" s="35"/>
      <c r="AC5047" s="35"/>
      <c r="AD5047" s="35"/>
      <c r="AE5047" s="35"/>
      <c r="AF5047" s="35"/>
      <c r="AG5047" s="35"/>
      <c r="AH5047" s="35"/>
      <c r="AI5047" s="35"/>
    </row>
    <row r="5048">
      <c r="A5048" s="251"/>
      <c r="B5048" s="252"/>
      <c r="C5048" s="253"/>
      <c r="D5048" s="253"/>
      <c r="E5048" s="252"/>
      <c r="F5048" s="253"/>
      <c r="G5048" s="251"/>
      <c r="H5048" s="433"/>
      <c r="I5048" s="278"/>
      <c r="J5048" s="257"/>
      <c r="K5048" s="253"/>
      <c r="L5048" s="253"/>
      <c r="M5048" s="252"/>
      <c r="N5048" s="258"/>
      <c r="O5048" s="259"/>
      <c r="P5048" s="259"/>
      <c r="Q5048" s="262"/>
      <c r="R5048" s="260"/>
      <c r="S5048" s="260"/>
      <c r="T5048" s="260"/>
      <c r="U5048" s="261"/>
      <c r="V5048" s="251"/>
      <c r="W5048" s="35"/>
      <c r="X5048" s="35"/>
      <c r="Y5048" s="35"/>
      <c r="Z5048" s="35"/>
      <c r="AA5048" s="35"/>
      <c r="AB5048" s="35"/>
      <c r="AC5048" s="35"/>
      <c r="AD5048" s="35"/>
      <c r="AE5048" s="35"/>
      <c r="AF5048" s="35"/>
      <c r="AG5048" s="35"/>
      <c r="AH5048" s="35"/>
      <c r="AI5048" s="35"/>
    </row>
    <row r="5049">
      <c r="A5049" s="251"/>
      <c r="B5049" s="252"/>
      <c r="C5049" s="253"/>
      <c r="D5049" s="253"/>
      <c r="E5049" s="252"/>
      <c r="F5049" s="253"/>
      <c r="G5049" s="251"/>
      <c r="H5049" s="433"/>
      <c r="I5049" s="278"/>
      <c r="J5049" s="257"/>
      <c r="K5049" s="253"/>
      <c r="L5049" s="253"/>
      <c r="M5049" s="252"/>
      <c r="N5049" s="258"/>
      <c r="O5049" s="259"/>
      <c r="P5049" s="259"/>
      <c r="Q5049" s="262"/>
      <c r="R5049" s="260"/>
      <c r="S5049" s="260"/>
      <c r="T5049" s="260"/>
      <c r="U5049" s="261"/>
      <c r="V5049" s="251"/>
      <c r="W5049" s="35"/>
      <c r="X5049" s="35"/>
      <c r="Y5049" s="35"/>
      <c r="Z5049" s="35"/>
      <c r="AA5049" s="35"/>
      <c r="AB5049" s="35"/>
      <c r="AC5049" s="35"/>
      <c r="AD5049" s="35"/>
      <c r="AE5049" s="35"/>
      <c r="AF5049" s="35"/>
      <c r="AG5049" s="35"/>
      <c r="AH5049" s="35"/>
      <c r="AI5049" s="35"/>
    </row>
    <row r="5050">
      <c r="A5050" s="251"/>
      <c r="B5050" s="252"/>
      <c r="C5050" s="253"/>
      <c r="D5050" s="253"/>
      <c r="E5050" s="252"/>
      <c r="F5050" s="253"/>
      <c r="G5050" s="251"/>
      <c r="H5050" s="433"/>
      <c r="I5050" s="278"/>
      <c r="J5050" s="257"/>
      <c r="K5050" s="253"/>
      <c r="L5050" s="253"/>
      <c r="M5050" s="252"/>
      <c r="N5050" s="258"/>
      <c r="O5050" s="259"/>
      <c r="P5050" s="259"/>
      <c r="Q5050" s="262"/>
      <c r="R5050" s="260"/>
      <c r="S5050" s="260"/>
      <c r="T5050" s="260"/>
      <c r="U5050" s="261"/>
      <c r="V5050" s="251"/>
      <c r="W5050" s="35"/>
      <c r="X5050" s="35"/>
      <c r="Y5050" s="35"/>
      <c r="Z5050" s="35"/>
      <c r="AA5050" s="35"/>
      <c r="AB5050" s="35"/>
      <c r="AC5050" s="35"/>
      <c r="AD5050" s="35"/>
      <c r="AE5050" s="35"/>
      <c r="AF5050" s="35"/>
      <c r="AG5050" s="35"/>
      <c r="AH5050" s="35"/>
      <c r="AI5050" s="35"/>
    </row>
    <row r="5051">
      <c r="A5051" s="251"/>
      <c r="B5051" s="252"/>
      <c r="C5051" s="253"/>
      <c r="D5051" s="253"/>
      <c r="E5051" s="252"/>
      <c r="F5051" s="253"/>
      <c r="G5051" s="251"/>
      <c r="H5051" s="433"/>
      <c r="I5051" s="278"/>
      <c r="J5051" s="257"/>
      <c r="K5051" s="253"/>
      <c r="L5051" s="253"/>
      <c r="M5051" s="252"/>
      <c r="N5051" s="258"/>
      <c r="O5051" s="259"/>
      <c r="P5051" s="259"/>
      <c r="Q5051" s="262"/>
      <c r="R5051" s="260"/>
      <c r="S5051" s="260"/>
      <c r="T5051" s="260"/>
      <c r="U5051" s="261"/>
      <c r="V5051" s="251"/>
      <c r="W5051" s="35"/>
      <c r="X5051" s="35"/>
      <c r="Y5051" s="35"/>
      <c r="Z5051" s="35"/>
      <c r="AA5051" s="35"/>
      <c r="AB5051" s="35"/>
      <c r="AC5051" s="35"/>
      <c r="AD5051" s="35"/>
      <c r="AE5051" s="35"/>
      <c r="AF5051" s="35"/>
      <c r="AG5051" s="35"/>
      <c r="AH5051" s="35"/>
      <c r="AI5051" s="35"/>
    </row>
    <row r="5052">
      <c r="A5052" s="251"/>
      <c r="B5052" s="252"/>
      <c r="C5052" s="253"/>
      <c r="D5052" s="253"/>
      <c r="E5052" s="252"/>
      <c r="F5052" s="253"/>
      <c r="G5052" s="251"/>
      <c r="H5052" s="433"/>
      <c r="I5052" s="278"/>
      <c r="J5052" s="257"/>
      <c r="K5052" s="253"/>
      <c r="L5052" s="253"/>
      <c r="M5052" s="252"/>
      <c r="N5052" s="258"/>
      <c r="O5052" s="259"/>
      <c r="P5052" s="259"/>
      <c r="Q5052" s="257"/>
      <c r="R5052" s="260"/>
      <c r="S5052" s="260"/>
      <c r="T5052" s="260"/>
      <c r="U5052" s="261"/>
      <c r="V5052" s="251"/>
      <c r="W5052" s="35"/>
      <c r="X5052" s="35"/>
      <c r="Y5052" s="35"/>
      <c r="Z5052" s="35"/>
      <c r="AA5052" s="35"/>
      <c r="AB5052" s="35"/>
      <c r="AC5052" s="35"/>
      <c r="AD5052" s="35"/>
      <c r="AE5052" s="35"/>
      <c r="AF5052" s="35"/>
      <c r="AG5052" s="35"/>
      <c r="AH5052" s="35"/>
      <c r="AI5052" s="35"/>
    </row>
    <row r="5053">
      <c r="A5053" s="251"/>
      <c r="B5053" s="252"/>
      <c r="C5053" s="253"/>
      <c r="D5053" s="253"/>
      <c r="E5053" s="252"/>
      <c r="F5053" s="253"/>
      <c r="G5053" s="251"/>
      <c r="H5053" s="433"/>
      <c r="I5053" s="278"/>
      <c r="J5053" s="257"/>
      <c r="K5053" s="253"/>
      <c r="L5053" s="253"/>
      <c r="M5053" s="275"/>
      <c r="N5053" s="258"/>
      <c r="O5053" s="259"/>
      <c r="P5053" s="259"/>
      <c r="Q5053" s="262"/>
      <c r="R5053" s="260"/>
      <c r="S5053" s="260"/>
      <c r="T5053" s="260"/>
      <c r="U5053" s="261"/>
      <c r="V5053" s="251"/>
      <c r="W5053" s="35"/>
      <c r="X5053" s="35"/>
      <c r="Y5053" s="35"/>
      <c r="Z5053" s="35"/>
      <c r="AA5053" s="35"/>
      <c r="AB5053" s="35"/>
      <c r="AC5053" s="35"/>
      <c r="AD5053" s="35"/>
      <c r="AE5053" s="35"/>
      <c r="AF5053" s="35"/>
      <c r="AG5053" s="35"/>
      <c r="AH5053" s="35"/>
      <c r="AI5053" s="35"/>
    </row>
    <row r="5054">
      <c r="A5054" s="251"/>
      <c r="B5054" s="252"/>
      <c r="C5054" s="253"/>
      <c r="D5054" s="253"/>
      <c r="E5054" s="252"/>
      <c r="F5054" s="253"/>
      <c r="G5054" s="251"/>
      <c r="H5054" s="433"/>
      <c r="I5054" s="278"/>
      <c r="J5054" s="257"/>
      <c r="K5054" s="253"/>
      <c r="L5054" s="253"/>
      <c r="M5054" s="252"/>
      <c r="N5054" s="258"/>
      <c r="O5054" s="259"/>
      <c r="P5054" s="259"/>
      <c r="Q5054" s="262"/>
      <c r="R5054" s="260"/>
      <c r="S5054" s="260"/>
      <c r="T5054" s="260"/>
      <c r="U5054" s="261"/>
      <c r="V5054" s="251"/>
      <c r="W5054" s="35"/>
      <c r="X5054" s="35"/>
      <c r="Y5054" s="35"/>
      <c r="Z5054" s="35"/>
      <c r="AA5054" s="35"/>
      <c r="AB5054" s="35"/>
      <c r="AC5054" s="35"/>
      <c r="AD5054" s="35"/>
      <c r="AE5054" s="35"/>
      <c r="AF5054" s="35"/>
      <c r="AG5054" s="35"/>
      <c r="AH5054" s="35"/>
      <c r="AI5054" s="35"/>
    </row>
    <row r="5055">
      <c r="A5055" s="251"/>
      <c r="B5055" s="252"/>
      <c r="C5055" s="253"/>
      <c r="D5055" s="253"/>
      <c r="E5055" s="252"/>
      <c r="F5055" s="253"/>
      <c r="G5055" s="251"/>
      <c r="H5055" s="433"/>
      <c r="I5055" s="278"/>
      <c r="J5055" s="257"/>
      <c r="K5055" s="253"/>
      <c r="L5055" s="253"/>
      <c r="M5055" s="275"/>
      <c r="N5055" s="258"/>
      <c r="O5055" s="259"/>
      <c r="P5055" s="259"/>
      <c r="Q5055" s="262"/>
      <c r="R5055" s="260"/>
      <c r="S5055" s="260"/>
      <c r="T5055" s="260"/>
      <c r="U5055" s="261"/>
      <c r="V5055" s="251"/>
      <c r="W5055" s="35"/>
      <c r="X5055" s="35"/>
      <c r="Y5055" s="35"/>
      <c r="Z5055" s="35"/>
      <c r="AA5055" s="35"/>
      <c r="AB5055" s="35"/>
      <c r="AC5055" s="35"/>
      <c r="AD5055" s="35"/>
      <c r="AE5055" s="35"/>
      <c r="AF5055" s="35"/>
      <c r="AG5055" s="35"/>
      <c r="AH5055" s="35"/>
      <c r="AI5055" s="35"/>
    </row>
    <row r="5056">
      <c r="A5056" s="251"/>
      <c r="B5056" s="252"/>
      <c r="C5056" s="253"/>
      <c r="D5056" s="253"/>
      <c r="E5056" s="252"/>
      <c r="F5056" s="253"/>
      <c r="G5056" s="251"/>
      <c r="H5056" s="433"/>
      <c r="I5056" s="278"/>
      <c r="J5056" s="257"/>
      <c r="K5056" s="253"/>
      <c r="L5056" s="253"/>
      <c r="M5056" s="252"/>
      <c r="N5056" s="258"/>
      <c r="O5056" s="259"/>
      <c r="P5056" s="259"/>
      <c r="Q5056" s="262"/>
      <c r="R5056" s="260"/>
      <c r="S5056" s="260"/>
      <c r="T5056" s="260"/>
      <c r="U5056" s="261"/>
      <c r="V5056" s="251"/>
      <c r="W5056" s="35"/>
      <c r="X5056" s="35"/>
      <c r="Y5056" s="35"/>
      <c r="Z5056" s="35"/>
      <c r="AA5056" s="35"/>
      <c r="AB5056" s="35"/>
      <c r="AC5056" s="35"/>
      <c r="AD5056" s="35"/>
      <c r="AE5056" s="35"/>
      <c r="AF5056" s="35"/>
      <c r="AG5056" s="35"/>
      <c r="AH5056" s="35"/>
      <c r="AI5056" s="35"/>
    </row>
    <row r="5057">
      <c r="A5057" s="251"/>
      <c r="B5057" s="252"/>
      <c r="C5057" s="253"/>
      <c r="D5057" s="253"/>
      <c r="E5057" s="252"/>
      <c r="F5057" s="253"/>
      <c r="G5057" s="251"/>
      <c r="H5057" s="433"/>
      <c r="I5057" s="278"/>
      <c r="J5057" s="257"/>
      <c r="K5057" s="253"/>
      <c r="L5057" s="253"/>
      <c r="M5057" s="252"/>
      <c r="N5057" s="258"/>
      <c r="O5057" s="259"/>
      <c r="P5057" s="259"/>
      <c r="Q5057" s="262"/>
      <c r="R5057" s="260"/>
      <c r="S5057" s="260"/>
      <c r="T5057" s="260"/>
      <c r="U5057" s="261"/>
      <c r="V5057" s="251"/>
      <c r="W5057" s="35"/>
      <c r="X5057" s="35"/>
      <c r="Y5057" s="35"/>
      <c r="Z5057" s="35"/>
      <c r="AA5057" s="35"/>
      <c r="AB5057" s="35"/>
      <c r="AC5057" s="35"/>
      <c r="AD5057" s="35"/>
      <c r="AE5057" s="35"/>
      <c r="AF5057" s="35"/>
      <c r="AG5057" s="35"/>
      <c r="AH5057" s="35"/>
      <c r="AI5057" s="35"/>
    </row>
    <row r="5058">
      <c r="A5058" s="251"/>
      <c r="B5058" s="252"/>
      <c r="C5058" s="253"/>
      <c r="D5058" s="253"/>
      <c r="E5058" s="252"/>
      <c r="F5058" s="253"/>
      <c r="G5058" s="251"/>
      <c r="H5058" s="433"/>
      <c r="I5058" s="278"/>
      <c r="J5058" s="257"/>
      <c r="K5058" s="253"/>
      <c r="L5058" s="253"/>
      <c r="M5058" s="252"/>
      <c r="N5058" s="258"/>
      <c r="O5058" s="259"/>
      <c r="P5058" s="259"/>
      <c r="Q5058" s="262"/>
      <c r="R5058" s="260"/>
      <c r="S5058" s="260"/>
      <c r="T5058" s="260"/>
      <c r="U5058" s="261"/>
      <c r="V5058" s="251"/>
      <c r="W5058" s="35"/>
      <c r="X5058" s="35"/>
      <c r="Y5058" s="35"/>
      <c r="Z5058" s="35"/>
      <c r="AA5058" s="35"/>
      <c r="AB5058" s="35"/>
      <c r="AC5058" s="35"/>
      <c r="AD5058" s="35"/>
      <c r="AE5058" s="35"/>
      <c r="AF5058" s="35"/>
      <c r="AG5058" s="35"/>
      <c r="AH5058" s="35"/>
      <c r="AI5058" s="35"/>
    </row>
    <row r="5059">
      <c r="A5059" s="251"/>
      <c r="B5059" s="252"/>
      <c r="C5059" s="253"/>
      <c r="D5059" s="253"/>
      <c r="E5059" s="252"/>
      <c r="F5059" s="253"/>
      <c r="G5059" s="251"/>
      <c r="H5059" s="433"/>
      <c r="I5059" s="278"/>
      <c r="J5059" s="257"/>
      <c r="K5059" s="253"/>
      <c r="L5059" s="253"/>
      <c r="M5059" s="252"/>
      <c r="N5059" s="258"/>
      <c r="O5059" s="259"/>
      <c r="P5059" s="259"/>
      <c r="Q5059" s="262"/>
      <c r="R5059" s="260"/>
      <c r="S5059" s="260"/>
      <c r="T5059" s="260"/>
      <c r="U5059" s="261"/>
      <c r="V5059" s="251"/>
      <c r="W5059" s="35"/>
      <c r="X5059" s="35"/>
      <c r="Y5059" s="35"/>
      <c r="Z5059" s="35"/>
      <c r="AA5059" s="35"/>
      <c r="AB5059" s="35"/>
      <c r="AC5059" s="35"/>
      <c r="AD5059" s="35"/>
      <c r="AE5059" s="35"/>
      <c r="AF5059" s="35"/>
      <c r="AG5059" s="35"/>
      <c r="AH5059" s="35"/>
      <c r="AI5059" s="35"/>
    </row>
    <row r="5060">
      <c r="A5060" s="251"/>
      <c r="B5060" s="252"/>
      <c r="C5060" s="253"/>
      <c r="D5060" s="253"/>
      <c r="E5060" s="252"/>
      <c r="F5060" s="253"/>
      <c r="G5060" s="251"/>
      <c r="H5060" s="433"/>
      <c r="I5060" s="278"/>
      <c r="J5060" s="257"/>
      <c r="K5060" s="253"/>
      <c r="L5060" s="253"/>
      <c r="M5060" s="252"/>
      <c r="N5060" s="258"/>
      <c r="O5060" s="259"/>
      <c r="P5060" s="259"/>
      <c r="Q5060" s="262"/>
      <c r="R5060" s="260"/>
      <c r="S5060" s="260"/>
      <c r="T5060" s="260"/>
      <c r="U5060" s="261"/>
      <c r="V5060" s="251"/>
      <c r="W5060" s="35"/>
      <c r="X5060" s="35"/>
      <c r="Y5060" s="35"/>
      <c r="Z5060" s="35"/>
      <c r="AA5060" s="35"/>
      <c r="AB5060" s="35"/>
      <c r="AC5060" s="35"/>
      <c r="AD5060" s="35"/>
      <c r="AE5060" s="35"/>
      <c r="AF5060" s="35"/>
      <c r="AG5060" s="35"/>
      <c r="AH5060" s="35"/>
      <c r="AI5060" s="35"/>
    </row>
    <row r="5061">
      <c r="A5061" s="251"/>
      <c r="B5061" s="252"/>
      <c r="C5061" s="253"/>
      <c r="D5061" s="253"/>
      <c r="E5061" s="252"/>
      <c r="F5061" s="253"/>
      <c r="G5061" s="251"/>
      <c r="H5061" s="433"/>
      <c r="I5061" s="278"/>
      <c r="J5061" s="257"/>
      <c r="K5061" s="253"/>
      <c r="L5061" s="253"/>
      <c r="M5061" s="252"/>
      <c r="N5061" s="258"/>
      <c r="O5061" s="259"/>
      <c r="P5061" s="259"/>
      <c r="Q5061" s="262"/>
      <c r="R5061" s="260"/>
      <c r="S5061" s="260"/>
      <c r="T5061" s="260"/>
      <c r="U5061" s="261"/>
      <c r="V5061" s="251"/>
      <c r="W5061" s="35"/>
      <c r="X5061" s="35"/>
      <c r="Y5061" s="35"/>
      <c r="Z5061" s="35"/>
      <c r="AA5061" s="35"/>
      <c r="AB5061" s="35"/>
      <c r="AC5061" s="35"/>
      <c r="AD5061" s="35"/>
      <c r="AE5061" s="35"/>
      <c r="AF5061" s="35"/>
      <c r="AG5061" s="35"/>
      <c r="AH5061" s="35"/>
      <c r="AI5061" s="35"/>
    </row>
    <row r="5062">
      <c r="A5062" s="251"/>
      <c r="B5062" s="252"/>
      <c r="C5062" s="253"/>
      <c r="D5062" s="253"/>
      <c r="E5062" s="252"/>
      <c r="F5062" s="253"/>
      <c r="G5062" s="251"/>
      <c r="H5062" s="433"/>
      <c r="I5062" s="278"/>
      <c r="J5062" s="257"/>
      <c r="K5062" s="253"/>
      <c r="L5062" s="253"/>
      <c r="M5062" s="275"/>
      <c r="N5062" s="258"/>
      <c r="O5062" s="259"/>
      <c r="P5062" s="259"/>
      <c r="Q5062" s="262"/>
      <c r="R5062" s="260"/>
      <c r="S5062" s="260"/>
      <c r="T5062" s="260"/>
      <c r="U5062" s="261"/>
      <c r="V5062" s="251"/>
      <c r="W5062" s="35"/>
      <c r="X5062" s="35"/>
      <c r="Y5062" s="35"/>
      <c r="Z5062" s="35"/>
      <c r="AA5062" s="35"/>
      <c r="AB5062" s="35"/>
      <c r="AC5062" s="35"/>
      <c r="AD5062" s="35"/>
      <c r="AE5062" s="35"/>
      <c r="AF5062" s="35"/>
      <c r="AG5062" s="35"/>
      <c r="AH5062" s="35"/>
      <c r="AI5062" s="35"/>
    </row>
    <row r="5063">
      <c r="A5063" s="251"/>
      <c r="B5063" s="252"/>
      <c r="C5063" s="253"/>
      <c r="D5063" s="253"/>
      <c r="E5063" s="252"/>
      <c r="F5063" s="253"/>
      <c r="G5063" s="251"/>
      <c r="H5063" s="433"/>
      <c r="I5063" s="278"/>
      <c r="J5063" s="257"/>
      <c r="K5063" s="253"/>
      <c r="L5063" s="253"/>
      <c r="M5063" s="275"/>
      <c r="N5063" s="258"/>
      <c r="O5063" s="259"/>
      <c r="P5063" s="259"/>
      <c r="Q5063" s="262"/>
      <c r="R5063" s="260"/>
      <c r="S5063" s="260"/>
      <c r="T5063" s="260"/>
      <c r="U5063" s="261"/>
      <c r="V5063" s="251"/>
      <c r="W5063" s="35"/>
      <c r="X5063" s="35"/>
      <c r="Y5063" s="35"/>
      <c r="Z5063" s="35"/>
      <c r="AA5063" s="35"/>
      <c r="AB5063" s="35"/>
      <c r="AC5063" s="35"/>
      <c r="AD5063" s="35"/>
      <c r="AE5063" s="35"/>
      <c r="AF5063" s="35"/>
      <c r="AG5063" s="35"/>
      <c r="AH5063" s="35"/>
      <c r="AI5063" s="35"/>
    </row>
    <row r="5064">
      <c r="A5064" s="251"/>
      <c r="B5064" s="252"/>
      <c r="C5064" s="253"/>
      <c r="D5064" s="253"/>
      <c r="E5064" s="252"/>
      <c r="F5064" s="253"/>
      <c r="G5064" s="251"/>
      <c r="H5064" s="433"/>
      <c r="I5064" s="278"/>
      <c r="J5064" s="257"/>
      <c r="K5064" s="253"/>
      <c r="L5064" s="253"/>
      <c r="M5064" s="275"/>
      <c r="N5064" s="258"/>
      <c r="O5064" s="259"/>
      <c r="P5064" s="259"/>
      <c r="Q5064" s="262"/>
      <c r="R5064" s="260"/>
      <c r="S5064" s="260"/>
      <c r="T5064" s="260"/>
      <c r="U5064" s="261"/>
      <c r="V5064" s="251"/>
      <c r="W5064" s="35"/>
      <c r="X5064" s="35"/>
      <c r="Y5064" s="35"/>
      <c r="Z5064" s="35"/>
      <c r="AA5064" s="35"/>
      <c r="AB5064" s="35"/>
      <c r="AC5064" s="35"/>
      <c r="AD5064" s="35"/>
      <c r="AE5064" s="35"/>
      <c r="AF5064" s="35"/>
      <c r="AG5064" s="35"/>
      <c r="AH5064" s="35"/>
      <c r="AI5064" s="35"/>
    </row>
    <row r="5065">
      <c r="A5065" s="251"/>
      <c r="B5065" s="252"/>
      <c r="C5065" s="253"/>
      <c r="D5065" s="253"/>
      <c r="E5065" s="252"/>
      <c r="F5065" s="253"/>
      <c r="G5065" s="251"/>
      <c r="H5065" s="433"/>
      <c r="I5065" s="278"/>
      <c r="J5065" s="257"/>
      <c r="K5065" s="253"/>
      <c r="L5065" s="253"/>
      <c r="M5065" s="252"/>
      <c r="N5065" s="258"/>
      <c r="O5065" s="259"/>
      <c r="P5065" s="259"/>
      <c r="Q5065" s="262"/>
      <c r="R5065" s="260"/>
      <c r="S5065" s="260"/>
      <c r="T5065" s="260"/>
      <c r="U5065" s="261"/>
      <c r="V5065" s="251"/>
      <c r="W5065" s="35"/>
      <c r="X5065" s="35"/>
      <c r="Y5065" s="35"/>
      <c r="Z5065" s="35"/>
      <c r="AA5065" s="35"/>
      <c r="AB5065" s="35"/>
      <c r="AC5065" s="35"/>
      <c r="AD5065" s="35"/>
      <c r="AE5065" s="35"/>
      <c r="AF5065" s="35"/>
      <c r="AG5065" s="35"/>
      <c r="AH5065" s="35"/>
      <c r="AI5065" s="35"/>
    </row>
    <row r="5066">
      <c r="A5066" s="251"/>
      <c r="B5066" s="252"/>
      <c r="C5066" s="253"/>
      <c r="D5066" s="253"/>
      <c r="E5066" s="252"/>
      <c r="F5066" s="253"/>
      <c r="G5066" s="251"/>
      <c r="H5066" s="433"/>
      <c r="I5066" s="278"/>
      <c r="J5066" s="257"/>
      <c r="K5066" s="253"/>
      <c r="L5066" s="253"/>
      <c r="M5066" s="252"/>
      <c r="N5066" s="258"/>
      <c r="O5066" s="259"/>
      <c r="P5066" s="259"/>
      <c r="Q5066" s="262"/>
      <c r="R5066" s="260"/>
      <c r="S5066" s="260"/>
      <c r="T5066" s="260"/>
      <c r="U5066" s="261"/>
      <c r="V5066" s="251"/>
      <c r="W5066" s="35"/>
      <c r="X5066" s="35"/>
      <c r="Y5066" s="35"/>
      <c r="Z5066" s="35"/>
      <c r="AA5066" s="35"/>
      <c r="AB5066" s="35"/>
      <c r="AC5066" s="35"/>
      <c r="AD5066" s="35"/>
      <c r="AE5066" s="35"/>
      <c r="AF5066" s="35"/>
      <c r="AG5066" s="35"/>
      <c r="AH5066" s="35"/>
      <c r="AI5066" s="35"/>
    </row>
    <row r="5067">
      <c r="A5067" s="251"/>
      <c r="B5067" s="252"/>
      <c r="C5067" s="253"/>
      <c r="D5067" s="253"/>
      <c r="E5067" s="252"/>
      <c r="F5067" s="253"/>
      <c r="G5067" s="251"/>
      <c r="H5067" s="433"/>
      <c r="I5067" s="278"/>
      <c r="J5067" s="257"/>
      <c r="K5067" s="253"/>
      <c r="L5067" s="253"/>
      <c r="M5067" s="252"/>
      <c r="N5067" s="258"/>
      <c r="O5067" s="259"/>
      <c r="P5067" s="259"/>
      <c r="Q5067" s="262"/>
      <c r="R5067" s="260"/>
      <c r="S5067" s="260"/>
      <c r="T5067" s="260"/>
      <c r="U5067" s="261"/>
      <c r="V5067" s="251"/>
      <c r="W5067" s="35"/>
      <c r="X5067" s="35"/>
      <c r="Y5067" s="35"/>
      <c r="Z5067" s="35"/>
      <c r="AA5067" s="35"/>
      <c r="AB5067" s="35"/>
      <c r="AC5067" s="35"/>
      <c r="AD5067" s="35"/>
      <c r="AE5067" s="35"/>
      <c r="AF5067" s="35"/>
      <c r="AG5067" s="35"/>
      <c r="AH5067" s="35"/>
      <c r="AI5067" s="35"/>
    </row>
    <row r="5068">
      <c r="A5068" s="251"/>
      <c r="B5068" s="252"/>
      <c r="C5068" s="253"/>
      <c r="D5068" s="253"/>
      <c r="E5068" s="252"/>
      <c r="F5068" s="253"/>
      <c r="G5068" s="251"/>
      <c r="H5068" s="433"/>
      <c r="I5068" s="278"/>
      <c r="J5068" s="257"/>
      <c r="K5068" s="253"/>
      <c r="L5068" s="253"/>
      <c r="M5068" s="252"/>
      <c r="N5068" s="258"/>
      <c r="O5068" s="259"/>
      <c r="P5068" s="259"/>
      <c r="Q5068" s="262"/>
      <c r="R5068" s="260"/>
      <c r="S5068" s="260"/>
      <c r="T5068" s="260"/>
      <c r="U5068" s="261"/>
      <c r="V5068" s="251"/>
      <c r="W5068" s="35"/>
      <c r="X5068" s="35"/>
      <c r="Y5068" s="35"/>
      <c r="Z5068" s="35"/>
      <c r="AA5068" s="35"/>
      <c r="AB5068" s="35"/>
      <c r="AC5068" s="35"/>
      <c r="AD5068" s="35"/>
      <c r="AE5068" s="35"/>
      <c r="AF5068" s="35"/>
      <c r="AG5068" s="35"/>
      <c r="AH5068" s="35"/>
      <c r="AI5068" s="35"/>
    </row>
    <row r="5069">
      <c r="A5069" s="251"/>
      <c r="B5069" s="252"/>
      <c r="C5069" s="253"/>
      <c r="D5069" s="253"/>
      <c r="E5069" s="252"/>
      <c r="F5069" s="253"/>
      <c r="G5069" s="251"/>
      <c r="H5069" s="433"/>
      <c r="I5069" s="278"/>
      <c r="J5069" s="257"/>
      <c r="K5069" s="253"/>
      <c r="L5069" s="253"/>
      <c r="M5069" s="252"/>
      <c r="N5069" s="258"/>
      <c r="O5069" s="259"/>
      <c r="P5069" s="259"/>
      <c r="Q5069" s="262"/>
      <c r="R5069" s="260"/>
      <c r="S5069" s="260"/>
      <c r="T5069" s="260"/>
      <c r="U5069" s="261"/>
      <c r="V5069" s="251"/>
      <c r="W5069" s="35"/>
      <c r="X5069" s="35"/>
      <c r="Y5069" s="35"/>
      <c r="Z5069" s="35"/>
      <c r="AA5069" s="35"/>
      <c r="AB5069" s="35"/>
      <c r="AC5069" s="35"/>
      <c r="AD5069" s="35"/>
      <c r="AE5069" s="35"/>
      <c r="AF5069" s="35"/>
      <c r="AG5069" s="35"/>
      <c r="AH5069" s="35"/>
      <c r="AI5069" s="35"/>
    </row>
    <row r="5070">
      <c r="A5070" s="251"/>
      <c r="B5070" s="252"/>
      <c r="C5070" s="253"/>
      <c r="D5070" s="253"/>
      <c r="E5070" s="252"/>
      <c r="F5070" s="253"/>
      <c r="G5070" s="251"/>
      <c r="H5070" s="433"/>
      <c r="I5070" s="278"/>
      <c r="J5070" s="257"/>
      <c r="K5070" s="253"/>
      <c r="L5070" s="253"/>
      <c r="M5070" s="252"/>
      <c r="N5070" s="258"/>
      <c r="O5070" s="259"/>
      <c r="P5070" s="259"/>
      <c r="Q5070" s="262"/>
      <c r="R5070" s="260"/>
      <c r="S5070" s="260"/>
      <c r="T5070" s="260"/>
      <c r="U5070" s="261"/>
      <c r="V5070" s="251"/>
      <c r="W5070" s="35"/>
      <c r="X5070" s="35"/>
      <c r="Y5070" s="35"/>
      <c r="Z5070" s="35"/>
      <c r="AA5070" s="35"/>
      <c r="AB5070" s="35"/>
      <c r="AC5070" s="35"/>
      <c r="AD5070" s="35"/>
      <c r="AE5070" s="35"/>
      <c r="AF5070" s="35"/>
      <c r="AG5070" s="35"/>
      <c r="AH5070" s="35"/>
      <c r="AI5070" s="35"/>
    </row>
    <row r="5071">
      <c r="A5071" s="251"/>
      <c r="B5071" s="252"/>
      <c r="C5071" s="253"/>
      <c r="D5071" s="253"/>
      <c r="E5071" s="252"/>
      <c r="F5071" s="253"/>
      <c r="G5071" s="251"/>
      <c r="H5071" s="433"/>
      <c r="I5071" s="278"/>
      <c r="J5071" s="257"/>
      <c r="K5071" s="253"/>
      <c r="L5071" s="253"/>
      <c r="M5071" s="275"/>
      <c r="N5071" s="258"/>
      <c r="O5071" s="259"/>
      <c r="P5071" s="259"/>
      <c r="Q5071" s="257"/>
      <c r="R5071" s="260"/>
      <c r="S5071" s="260"/>
      <c r="T5071" s="260"/>
      <c r="U5071" s="261"/>
      <c r="V5071" s="251"/>
      <c r="W5071" s="35"/>
      <c r="X5071" s="35"/>
      <c r="Y5071" s="35"/>
      <c r="Z5071" s="35"/>
      <c r="AA5071" s="35"/>
      <c r="AB5071" s="35"/>
      <c r="AC5071" s="35"/>
      <c r="AD5071" s="35"/>
      <c r="AE5071" s="35"/>
      <c r="AF5071" s="35"/>
      <c r="AG5071" s="35"/>
      <c r="AH5071" s="35"/>
      <c r="AI5071" s="35"/>
    </row>
    <row r="5072">
      <c r="A5072" s="251"/>
      <c r="B5072" s="252"/>
      <c r="C5072" s="253"/>
      <c r="D5072" s="253"/>
      <c r="E5072" s="252"/>
      <c r="F5072" s="253"/>
      <c r="G5072" s="251"/>
      <c r="H5072" s="433"/>
      <c r="I5072" s="278"/>
      <c r="J5072" s="257"/>
      <c r="K5072" s="253"/>
      <c r="L5072" s="253"/>
      <c r="M5072" s="275"/>
      <c r="N5072" s="258"/>
      <c r="O5072" s="259"/>
      <c r="P5072" s="259"/>
      <c r="Q5072" s="262"/>
      <c r="R5072" s="260"/>
      <c r="S5072" s="260"/>
      <c r="T5072" s="260"/>
      <c r="U5072" s="261"/>
      <c r="V5072" s="251"/>
      <c r="W5072" s="35"/>
      <c r="X5072" s="35"/>
      <c r="Y5072" s="35"/>
      <c r="Z5072" s="35"/>
      <c r="AA5072" s="35"/>
      <c r="AB5072" s="35"/>
      <c r="AC5072" s="35"/>
      <c r="AD5072" s="35"/>
      <c r="AE5072" s="35"/>
      <c r="AF5072" s="35"/>
      <c r="AG5072" s="35"/>
      <c r="AH5072" s="35"/>
      <c r="AI5072" s="35"/>
    </row>
    <row r="5073">
      <c r="A5073" s="251"/>
      <c r="B5073" s="252"/>
      <c r="C5073" s="253"/>
      <c r="D5073" s="253"/>
      <c r="E5073" s="252"/>
      <c r="F5073" s="253"/>
      <c r="G5073" s="251"/>
      <c r="H5073" s="433"/>
      <c r="I5073" s="278"/>
      <c r="J5073" s="257"/>
      <c r="K5073" s="253"/>
      <c r="L5073" s="253"/>
      <c r="M5073" s="252"/>
      <c r="N5073" s="258"/>
      <c r="O5073" s="259"/>
      <c r="P5073" s="259"/>
      <c r="Q5073" s="262"/>
      <c r="R5073" s="260"/>
      <c r="S5073" s="260"/>
      <c r="T5073" s="260"/>
      <c r="U5073" s="261"/>
      <c r="V5073" s="251"/>
      <c r="W5073" s="35"/>
      <c r="X5073" s="35"/>
      <c r="Y5073" s="35"/>
      <c r="Z5073" s="35"/>
      <c r="AA5073" s="35"/>
      <c r="AB5073" s="35"/>
      <c r="AC5073" s="35"/>
      <c r="AD5073" s="35"/>
      <c r="AE5073" s="35"/>
      <c r="AF5073" s="35"/>
      <c r="AG5073" s="35"/>
      <c r="AH5073" s="35"/>
      <c r="AI5073" s="35"/>
    </row>
    <row r="5074">
      <c r="A5074" s="251"/>
      <c r="B5074" s="252"/>
      <c r="C5074" s="253"/>
      <c r="D5074" s="253"/>
      <c r="E5074" s="252"/>
      <c r="F5074" s="253"/>
      <c r="G5074" s="251"/>
      <c r="H5074" s="433"/>
      <c r="I5074" s="278"/>
      <c r="J5074" s="257"/>
      <c r="K5074" s="253"/>
      <c r="L5074" s="253"/>
      <c r="M5074" s="252"/>
      <c r="N5074" s="258"/>
      <c r="O5074" s="259"/>
      <c r="P5074" s="259"/>
      <c r="Q5074" s="257"/>
      <c r="R5074" s="260"/>
      <c r="S5074" s="260"/>
      <c r="T5074" s="260"/>
      <c r="U5074" s="261"/>
      <c r="V5074" s="251"/>
      <c r="W5074" s="35"/>
      <c r="X5074" s="35"/>
      <c r="Y5074" s="35"/>
      <c r="Z5074" s="35"/>
      <c r="AA5074" s="35"/>
      <c r="AB5074" s="35"/>
      <c r="AC5074" s="35"/>
      <c r="AD5074" s="35"/>
      <c r="AE5074" s="35"/>
      <c r="AF5074" s="35"/>
      <c r="AG5074" s="35"/>
      <c r="AH5074" s="35"/>
      <c r="AI5074" s="35"/>
    </row>
    <row r="5075">
      <c r="A5075" s="251"/>
      <c r="B5075" s="252"/>
      <c r="C5075" s="253"/>
      <c r="D5075" s="253"/>
      <c r="E5075" s="252"/>
      <c r="F5075" s="253"/>
      <c r="G5075" s="251"/>
      <c r="H5075" s="433"/>
      <c r="I5075" s="278"/>
      <c r="J5075" s="257"/>
      <c r="K5075" s="253"/>
      <c r="L5075" s="253"/>
      <c r="M5075" s="252"/>
      <c r="N5075" s="258"/>
      <c r="O5075" s="259"/>
      <c r="P5075" s="259"/>
      <c r="Q5075" s="262"/>
      <c r="R5075" s="260"/>
      <c r="S5075" s="260"/>
      <c r="T5075" s="260"/>
      <c r="U5075" s="261"/>
      <c r="V5075" s="251"/>
      <c r="W5075" s="35"/>
      <c r="X5075" s="35"/>
      <c r="Y5075" s="35"/>
      <c r="Z5075" s="35"/>
      <c r="AA5075" s="35"/>
      <c r="AB5075" s="35"/>
      <c r="AC5075" s="35"/>
      <c r="AD5075" s="35"/>
      <c r="AE5075" s="35"/>
      <c r="AF5075" s="35"/>
      <c r="AG5075" s="35"/>
      <c r="AH5075" s="35"/>
      <c r="AI5075" s="35"/>
    </row>
    <row r="5076">
      <c r="A5076" s="251"/>
      <c r="B5076" s="252"/>
      <c r="C5076" s="253"/>
      <c r="D5076" s="253"/>
      <c r="E5076" s="252"/>
      <c r="F5076" s="253"/>
      <c r="G5076" s="251"/>
      <c r="H5076" s="433"/>
      <c r="I5076" s="278"/>
      <c r="J5076" s="257"/>
      <c r="K5076" s="253"/>
      <c r="L5076" s="253"/>
      <c r="M5076" s="252"/>
      <c r="N5076" s="258"/>
      <c r="O5076" s="259"/>
      <c r="P5076" s="259"/>
      <c r="Q5076" s="262"/>
      <c r="R5076" s="260"/>
      <c r="S5076" s="260"/>
      <c r="T5076" s="260"/>
      <c r="U5076" s="261"/>
      <c r="V5076" s="251"/>
      <c r="W5076" s="35"/>
      <c r="X5076" s="35"/>
      <c r="Y5076" s="35"/>
      <c r="Z5076" s="35"/>
      <c r="AA5076" s="35"/>
      <c r="AB5076" s="35"/>
      <c r="AC5076" s="35"/>
      <c r="AD5076" s="35"/>
      <c r="AE5076" s="35"/>
      <c r="AF5076" s="35"/>
      <c r="AG5076" s="35"/>
      <c r="AH5076" s="35"/>
      <c r="AI5076" s="35"/>
    </row>
    <row r="5077">
      <c r="A5077" s="251"/>
      <c r="B5077" s="252"/>
      <c r="C5077" s="253"/>
      <c r="D5077" s="253"/>
      <c r="E5077" s="252"/>
      <c r="F5077" s="253"/>
      <c r="G5077" s="251"/>
      <c r="H5077" s="433"/>
      <c r="I5077" s="278"/>
      <c r="J5077" s="257"/>
      <c r="K5077" s="253"/>
      <c r="L5077" s="253"/>
      <c r="M5077" s="252"/>
      <c r="N5077" s="258"/>
      <c r="O5077" s="259"/>
      <c r="P5077" s="259"/>
      <c r="Q5077" s="262"/>
      <c r="R5077" s="260"/>
      <c r="S5077" s="260"/>
      <c r="T5077" s="260"/>
      <c r="U5077" s="261"/>
      <c r="V5077" s="251"/>
      <c r="W5077" s="35"/>
      <c r="X5077" s="35"/>
      <c r="Y5077" s="35"/>
      <c r="Z5077" s="35"/>
      <c r="AA5077" s="35"/>
      <c r="AB5077" s="35"/>
      <c r="AC5077" s="35"/>
      <c r="AD5077" s="35"/>
      <c r="AE5077" s="35"/>
      <c r="AF5077" s="35"/>
      <c r="AG5077" s="35"/>
      <c r="AH5077" s="35"/>
      <c r="AI5077" s="35"/>
    </row>
    <row r="5078">
      <c r="A5078" s="251"/>
      <c r="B5078" s="252"/>
      <c r="C5078" s="253"/>
      <c r="D5078" s="253"/>
      <c r="E5078" s="252"/>
      <c r="F5078" s="253"/>
      <c r="G5078" s="251"/>
      <c r="H5078" s="433"/>
      <c r="I5078" s="278"/>
      <c r="J5078" s="257"/>
      <c r="K5078" s="253"/>
      <c r="L5078" s="253"/>
      <c r="M5078" s="252"/>
      <c r="N5078" s="258"/>
      <c r="O5078" s="259"/>
      <c r="P5078" s="259"/>
      <c r="Q5078" s="262"/>
      <c r="R5078" s="260"/>
      <c r="S5078" s="260"/>
      <c r="T5078" s="260"/>
      <c r="U5078" s="261"/>
      <c r="V5078" s="251"/>
      <c r="W5078" s="35"/>
      <c r="X5078" s="35"/>
      <c r="Y5078" s="35"/>
      <c r="Z5078" s="35"/>
      <c r="AA5078" s="35"/>
      <c r="AB5078" s="35"/>
      <c r="AC5078" s="35"/>
      <c r="AD5078" s="35"/>
      <c r="AE5078" s="35"/>
      <c r="AF5078" s="35"/>
      <c r="AG5078" s="35"/>
      <c r="AH5078" s="35"/>
      <c r="AI5078" s="35"/>
    </row>
    <row r="5079">
      <c r="A5079" s="251"/>
      <c r="B5079" s="252"/>
      <c r="C5079" s="253"/>
      <c r="D5079" s="253"/>
      <c r="E5079" s="252"/>
      <c r="F5079" s="253"/>
      <c r="G5079" s="251"/>
      <c r="H5079" s="433"/>
      <c r="I5079" s="278"/>
      <c r="J5079" s="257"/>
      <c r="K5079" s="253"/>
      <c r="L5079" s="253"/>
      <c r="M5079" s="252"/>
      <c r="N5079" s="258"/>
      <c r="O5079" s="259"/>
      <c r="P5079" s="259"/>
      <c r="Q5079" s="262"/>
      <c r="R5079" s="260"/>
      <c r="S5079" s="260"/>
      <c r="T5079" s="260"/>
      <c r="U5079" s="261"/>
      <c r="V5079" s="251"/>
      <c r="W5079" s="35"/>
      <c r="X5079" s="35"/>
      <c r="Y5079" s="35"/>
      <c r="Z5079" s="35"/>
      <c r="AA5079" s="35"/>
      <c r="AB5079" s="35"/>
      <c r="AC5079" s="35"/>
      <c r="AD5079" s="35"/>
      <c r="AE5079" s="35"/>
      <c r="AF5079" s="35"/>
      <c r="AG5079" s="35"/>
      <c r="AH5079" s="35"/>
      <c r="AI5079" s="35"/>
    </row>
    <row r="5080">
      <c r="A5080" s="251"/>
      <c r="B5080" s="252"/>
      <c r="C5080" s="253"/>
      <c r="D5080" s="253"/>
      <c r="E5080" s="252"/>
      <c r="F5080" s="253"/>
      <c r="G5080" s="251"/>
      <c r="H5080" s="433"/>
      <c r="I5080" s="278"/>
      <c r="J5080" s="257"/>
      <c r="K5080" s="253"/>
      <c r="L5080" s="253"/>
      <c r="M5080" s="252"/>
      <c r="N5080" s="258"/>
      <c r="O5080" s="259"/>
      <c r="P5080" s="259"/>
      <c r="Q5080" s="262"/>
      <c r="R5080" s="260"/>
      <c r="S5080" s="260"/>
      <c r="T5080" s="260"/>
      <c r="U5080" s="261"/>
      <c r="V5080" s="251"/>
      <c r="W5080" s="35"/>
      <c r="X5080" s="35"/>
      <c r="Y5080" s="35"/>
      <c r="Z5080" s="35"/>
      <c r="AA5080" s="35"/>
      <c r="AB5080" s="35"/>
      <c r="AC5080" s="35"/>
      <c r="AD5080" s="35"/>
      <c r="AE5080" s="35"/>
      <c r="AF5080" s="35"/>
      <c r="AG5080" s="35"/>
      <c r="AH5080" s="35"/>
      <c r="AI5080" s="35"/>
    </row>
    <row r="5081">
      <c r="A5081" s="251"/>
      <c r="B5081" s="252"/>
      <c r="C5081" s="253"/>
      <c r="D5081" s="253"/>
      <c r="E5081" s="252"/>
      <c r="F5081" s="253"/>
      <c r="G5081" s="251"/>
      <c r="H5081" s="433"/>
      <c r="I5081" s="278"/>
      <c r="J5081" s="257"/>
      <c r="K5081" s="253"/>
      <c r="L5081" s="253"/>
      <c r="M5081" s="275"/>
      <c r="N5081" s="258"/>
      <c r="O5081" s="259"/>
      <c r="P5081" s="259"/>
      <c r="Q5081" s="262"/>
      <c r="R5081" s="260"/>
      <c r="S5081" s="260"/>
      <c r="T5081" s="260"/>
      <c r="U5081" s="261"/>
      <c r="V5081" s="251"/>
      <c r="W5081" s="35"/>
      <c r="X5081" s="35"/>
      <c r="Y5081" s="35"/>
      <c r="Z5081" s="35"/>
      <c r="AA5081" s="35"/>
      <c r="AB5081" s="35"/>
      <c r="AC5081" s="35"/>
      <c r="AD5081" s="35"/>
      <c r="AE5081" s="35"/>
      <c r="AF5081" s="35"/>
      <c r="AG5081" s="35"/>
      <c r="AH5081" s="35"/>
      <c r="AI5081" s="35"/>
    </row>
    <row r="5082">
      <c r="A5082" s="251"/>
      <c r="B5082" s="252"/>
      <c r="C5082" s="253"/>
      <c r="D5082" s="253"/>
      <c r="E5082" s="252"/>
      <c r="F5082" s="253"/>
      <c r="G5082" s="251"/>
      <c r="H5082" s="433"/>
      <c r="I5082" s="278"/>
      <c r="J5082" s="257"/>
      <c r="K5082" s="253"/>
      <c r="L5082" s="253"/>
      <c r="M5082" s="275"/>
      <c r="N5082" s="258"/>
      <c r="O5082" s="259"/>
      <c r="P5082" s="259"/>
      <c r="Q5082" s="262"/>
      <c r="R5082" s="260"/>
      <c r="S5082" s="260"/>
      <c r="T5082" s="260"/>
      <c r="U5082" s="261"/>
      <c r="V5082" s="251"/>
      <c r="W5082" s="35"/>
      <c r="X5082" s="35"/>
      <c r="Y5082" s="35"/>
      <c r="Z5082" s="35"/>
      <c r="AA5082" s="35"/>
      <c r="AB5082" s="35"/>
      <c r="AC5082" s="35"/>
      <c r="AD5082" s="35"/>
      <c r="AE5082" s="35"/>
      <c r="AF5082" s="35"/>
      <c r="AG5082" s="35"/>
      <c r="AH5082" s="35"/>
      <c r="AI5082" s="35"/>
    </row>
    <row r="5083">
      <c r="A5083" s="251"/>
      <c r="B5083" s="252"/>
      <c r="C5083" s="253"/>
      <c r="D5083" s="253"/>
      <c r="E5083" s="252"/>
      <c r="F5083" s="253"/>
      <c r="G5083" s="251"/>
      <c r="H5083" s="433"/>
      <c r="I5083" s="278"/>
      <c r="J5083" s="257"/>
      <c r="K5083" s="253"/>
      <c r="L5083" s="253"/>
      <c r="M5083" s="252"/>
      <c r="N5083" s="258"/>
      <c r="O5083" s="259"/>
      <c r="P5083" s="259"/>
      <c r="Q5083" s="257"/>
      <c r="R5083" s="260"/>
      <c r="S5083" s="260"/>
      <c r="T5083" s="260"/>
      <c r="U5083" s="261"/>
      <c r="V5083" s="251"/>
      <c r="W5083" s="35"/>
      <c r="X5083" s="35"/>
      <c r="Y5083" s="35"/>
      <c r="Z5083" s="35"/>
      <c r="AA5083" s="35"/>
      <c r="AB5083" s="35"/>
      <c r="AC5083" s="35"/>
      <c r="AD5083" s="35"/>
      <c r="AE5083" s="35"/>
      <c r="AF5083" s="35"/>
      <c r="AG5083" s="35"/>
      <c r="AH5083" s="35"/>
      <c r="AI5083" s="35"/>
    </row>
    <row r="5084">
      <c r="A5084" s="251"/>
      <c r="B5084" s="252"/>
      <c r="C5084" s="253"/>
      <c r="D5084" s="253"/>
      <c r="E5084" s="252"/>
      <c r="F5084" s="253"/>
      <c r="G5084" s="251"/>
      <c r="H5084" s="433"/>
      <c r="I5084" s="278"/>
      <c r="J5084" s="257"/>
      <c r="K5084" s="253"/>
      <c r="L5084" s="253"/>
      <c r="M5084" s="252"/>
      <c r="N5084" s="258"/>
      <c r="O5084" s="259"/>
      <c r="P5084" s="259"/>
      <c r="Q5084" s="262"/>
      <c r="R5084" s="260"/>
      <c r="S5084" s="260"/>
      <c r="T5084" s="260"/>
      <c r="U5084" s="261"/>
      <c r="V5084" s="251"/>
      <c r="W5084" s="35"/>
      <c r="X5084" s="35"/>
      <c r="Y5084" s="35"/>
      <c r="Z5084" s="35"/>
      <c r="AA5084" s="35"/>
      <c r="AB5084" s="35"/>
      <c r="AC5084" s="35"/>
      <c r="AD5084" s="35"/>
      <c r="AE5084" s="35"/>
      <c r="AF5084" s="35"/>
      <c r="AG5084" s="35"/>
      <c r="AH5084" s="35"/>
      <c r="AI5084" s="35"/>
    </row>
    <row r="5085">
      <c r="A5085" s="276"/>
      <c r="B5085" s="252"/>
      <c r="C5085" s="253"/>
      <c r="D5085" s="253"/>
      <c r="E5085" s="252"/>
      <c r="F5085" s="253"/>
      <c r="G5085" s="251"/>
      <c r="H5085" s="433"/>
      <c r="I5085" s="278"/>
      <c r="J5085" s="257"/>
      <c r="K5085" s="253"/>
      <c r="L5085" s="253"/>
      <c r="M5085" s="252"/>
      <c r="N5085" s="258"/>
      <c r="O5085" s="259"/>
      <c r="P5085" s="259"/>
      <c r="Q5085" s="257"/>
      <c r="R5085" s="260"/>
      <c r="S5085" s="260"/>
      <c r="T5085" s="260"/>
      <c r="U5085" s="261"/>
      <c r="V5085" s="251"/>
      <c r="W5085" s="35"/>
      <c r="X5085" s="35"/>
      <c r="Y5085" s="35"/>
      <c r="Z5085" s="35"/>
      <c r="AA5085" s="35"/>
      <c r="AB5085" s="35"/>
      <c r="AC5085" s="35"/>
      <c r="AD5085" s="35"/>
      <c r="AE5085" s="35"/>
      <c r="AF5085" s="35"/>
      <c r="AG5085" s="35"/>
      <c r="AH5085" s="35"/>
      <c r="AI5085" s="35"/>
    </row>
    <row r="5086">
      <c r="A5086" s="251"/>
      <c r="B5086" s="252"/>
      <c r="C5086" s="253"/>
      <c r="D5086" s="253"/>
      <c r="E5086" s="252"/>
      <c r="F5086" s="253"/>
      <c r="G5086" s="251"/>
      <c r="H5086" s="433"/>
      <c r="I5086" s="278"/>
      <c r="J5086" s="257"/>
      <c r="K5086" s="253"/>
      <c r="L5086" s="253"/>
      <c r="M5086" s="252"/>
      <c r="N5086" s="258"/>
      <c r="O5086" s="259"/>
      <c r="P5086" s="259"/>
      <c r="Q5086" s="262"/>
      <c r="R5086" s="260"/>
      <c r="S5086" s="260"/>
      <c r="T5086" s="260"/>
      <c r="U5086" s="261"/>
      <c r="V5086" s="251"/>
      <c r="W5086" s="35"/>
      <c r="X5086" s="35"/>
      <c r="Y5086" s="35"/>
      <c r="Z5086" s="35"/>
      <c r="AA5086" s="35"/>
      <c r="AB5086" s="35"/>
      <c r="AC5086" s="35"/>
      <c r="AD5086" s="35"/>
      <c r="AE5086" s="35"/>
      <c r="AF5086" s="35"/>
      <c r="AG5086" s="35"/>
      <c r="AH5086" s="35"/>
      <c r="AI5086" s="35"/>
    </row>
    <row r="5087">
      <c r="A5087" s="251"/>
      <c r="B5087" s="252"/>
      <c r="C5087" s="253"/>
      <c r="D5087" s="253"/>
      <c r="E5087" s="252"/>
      <c r="F5087" s="253"/>
      <c r="G5087" s="251"/>
      <c r="H5087" s="433"/>
      <c r="I5087" s="278"/>
      <c r="J5087" s="257"/>
      <c r="K5087" s="253"/>
      <c r="L5087" s="253"/>
      <c r="M5087" s="252"/>
      <c r="N5087" s="258"/>
      <c r="O5087" s="259"/>
      <c r="P5087" s="259"/>
      <c r="Q5087" s="262"/>
      <c r="R5087" s="260"/>
      <c r="S5087" s="260"/>
      <c r="T5087" s="260"/>
      <c r="U5087" s="261"/>
      <c r="V5087" s="251"/>
      <c r="W5087" s="35"/>
      <c r="X5087" s="35"/>
      <c r="Y5087" s="35"/>
      <c r="Z5087" s="35"/>
      <c r="AA5087" s="35"/>
      <c r="AB5087" s="35"/>
      <c r="AC5087" s="35"/>
      <c r="AD5087" s="35"/>
      <c r="AE5087" s="35"/>
      <c r="AF5087" s="35"/>
      <c r="AG5087" s="35"/>
      <c r="AH5087" s="35"/>
      <c r="AI5087" s="35"/>
    </row>
    <row r="5088">
      <c r="A5088" s="251"/>
      <c r="B5088" s="252"/>
      <c r="C5088" s="253"/>
      <c r="D5088" s="253"/>
      <c r="E5088" s="252"/>
      <c r="F5088" s="253"/>
      <c r="G5088" s="251"/>
      <c r="H5088" s="433"/>
      <c r="I5088" s="278"/>
      <c r="J5088" s="257"/>
      <c r="K5088" s="253"/>
      <c r="L5088" s="253"/>
      <c r="M5088" s="252"/>
      <c r="N5088" s="258"/>
      <c r="O5088" s="259"/>
      <c r="P5088" s="259"/>
      <c r="Q5088" s="257"/>
      <c r="R5088" s="260"/>
      <c r="S5088" s="260"/>
      <c r="T5088" s="260"/>
      <c r="U5088" s="261"/>
      <c r="V5088" s="251"/>
      <c r="W5088" s="35"/>
      <c r="X5088" s="35"/>
      <c r="Y5088" s="35"/>
      <c r="Z5088" s="35"/>
      <c r="AA5088" s="35"/>
      <c r="AB5088" s="35"/>
      <c r="AC5088" s="35"/>
      <c r="AD5088" s="35"/>
      <c r="AE5088" s="35"/>
      <c r="AF5088" s="35"/>
      <c r="AG5088" s="35"/>
      <c r="AH5088" s="35"/>
      <c r="AI5088" s="35"/>
    </row>
    <row r="5089">
      <c r="A5089" s="251"/>
      <c r="B5089" s="252"/>
      <c r="C5089" s="253"/>
      <c r="D5089" s="253"/>
      <c r="E5089" s="252"/>
      <c r="F5089" s="253"/>
      <c r="G5089" s="251"/>
      <c r="H5089" s="433"/>
      <c r="I5089" s="278"/>
      <c r="J5089" s="257"/>
      <c r="K5089" s="253"/>
      <c r="L5089" s="253"/>
      <c r="M5089" s="275"/>
      <c r="N5089" s="258"/>
      <c r="O5089" s="259"/>
      <c r="P5089" s="259"/>
      <c r="Q5089" s="262"/>
      <c r="R5089" s="260"/>
      <c r="S5089" s="260"/>
      <c r="T5089" s="260"/>
      <c r="U5089" s="261"/>
      <c r="V5089" s="251"/>
      <c r="W5089" s="35"/>
      <c r="X5089" s="35"/>
      <c r="Y5089" s="35"/>
      <c r="Z5089" s="35"/>
      <c r="AA5089" s="35"/>
      <c r="AB5089" s="35"/>
      <c r="AC5089" s="35"/>
      <c r="AD5089" s="35"/>
      <c r="AE5089" s="35"/>
      <c r="AF5089" s="35"/>
      <c r="AG5089" s="35"/>
      <c r="AH5089" s="35"/>
      <c r="AI5089" s="35"/>
    </row>
    <row r="5090">
      <c r="A5090" s="251"/>
      <c r="B5090" s="252"/>
      <c r="C5090" s="253"/>
      <c r="D5090" s="253"/>
      <c r="E5090" s="252"/>
      <c r="F5090" s="253"/>
      <c r="G5090" s="251"/>
      <c r="H5090" s="433"/>
      <c r="I5090" s="278"/>
      <c r="J5090" s="257"/>
      <c r="K5090" s="253"/>
      <c r="L5090" s="253"/>
      <c r="M5090" s="252"/>
      <c r="N5090" s="258"/>
      <c r="O5090" s="259"/>
      <c r="P5090" s="259"/>
      <c r="Q5090" s="257"/>
      <c r="R5090" s="260"/>
      <c r="S5090" s="260"/>
      <c r="T5090" s="260"/>
      <c r="U5090" s="261"/>
      <c r="V5090" s="251"/>
      <c r="W5090" s="35"/>
      <c r="X5090" s="35"/>
      <c r="Y5090" s="35"/>
      <c r="Z5090" s="35"/>
      <c r="AA5090" s="35"/>
      <c r="AB5090" s="35"/>
      <c r="AC5090" s="35"/>
      <c r="AD5090" s="35"/>
      <c r="AE5090" s="35"/>
      <c r="AF5090" s="35"/>
      <c r="AG5090" s="35"/>
      <c r="AH5090" s="35"/>
      <c r="AI5090" s="35"/>
    </row>
    <row r="5091">
      <c r="A5091" s="263"/>
      <c r="B5091" s="264"/>
      <c r="C5091" s="265"/>
      <c r="D5091" s="265"/>
      <c r="E5091" s="264"/>
      <c r="F5091" s="265"/>
      <c r="G5091" s="263"/>
      <c r="H5091" s="432"/>
      <c r="I5091" s="282"/>
      <c r="J5091" s="283"/>
      <c r="K5091" s="265"/>
      <c r="L5091" s="265"/>
      <c r="M5091" s="269"/>
      <c r="N5091" s="270"/>
      <c r="O5091" s="271"/>
      <c r="P5091" s="271"/>
      <c r="Q5091" s="272"/>
      <c r="R5091" s="273"/>
      <c r="S5091" s="273"/>
      <c r="T5091" s="273"/>
      <c r="U5091" s="274"/>
      <c r="V5091" s="263"/>
      <c r="W5091" s="35"/>
      <c r="X5091" s="35"/>
      <c r="Y5091" s="35"/>
      <c r="Z5091" s="35"/>
      <c r="AA5091" s="35"/>
      <c r="AB5091" s="35"/>
      <c r="AC5091" s="35"/>
      <c r="AD5091" s="35"/>
      <c r="AE5091" s="35"/>
      <c r="AF5091" s="35"/>
      <c r="AG5091" s="35"/>
      <c r="AH5091" s="35"/>
      <c r="AI5091" s="35"/>
    </row>
    <row r="5092">
      <c r="A5092" s="251"/>
      <c r="B5092" s="252"/>
      <c r="C5092" s="253"/>
      <c r="D5092" s="253"/>
      <c r="E5092" s="252"/>
      <c r="F5092" s="253"/>
      <c r="G5092" s="251"/>
      <c r="H5092" s="433"/>
      <c r="I5092" s="278"/>
      <c r="J5092" s="257"/>
      <c r="K5092" s="253"/>
      <c r="L5092" s="253"/>
      <c r="M5092" s="252"/>
      <c r="N5092" s="258"/>
      <c r="O5092" s="259"/>
      <c r="P5092" s="259"/>
      <c r="Q5092" s="262"/>
      <c r="R5092" s="260"/>
      <c r="S5092" s="260"/>
      <c r="T5092" s="260"/>
      <c r="U5092" s="261"/>
      <c r="V5092" s="251"/>
      <c r="W5092" s="35"/>
      <c r="X5092" s="35"/>
      <c r="Y5092" s="35"/>
      <c r="Z5092" s="35"/>
      <c r="AA5092" s="35"/>
      <c r="AB5092" s="35"/>
      <c r="AC5092" s="35"/>
      <c r="AD5092" s="35"/>
      <c r="AE5092" s="35"/>
      <c r="AF5092" s="35"/>
      <c r="AG5092" s="35"/>
      <c r="AH5092" s="35"/>
      <c r="AI5092" s="35"/>
    </row>
    <row r="5093">
      <c r="A5093" s="165"/>
      <c r="B5093" s="166"/>
      <c r="C5093" s="166"/>
      <c r="D5093" s="166"/>
      <c r="E5093" s="166"/>
      <c r="F5093" s="166"/>
      <c r="G5093" s="165"/>
      <c r="H5093" s="167"/>
      <c r="I5093" s="168"/>
      <c r="J5093" s="169"/>
      <c r="K5093" s="166"/>
      <c r="L5093" s="166"/>
      <c r="M5093" s="166"/>
      <c r="N5093" s="170"/>
      <c r="O5093" s="171"/>
      <c r="P5093" s="171"/>
      <c r="Q5093" s="172"/>
      <c r="R5093" s="173"/>
      <c r="S5093" s="173"/>
      <c r="T5093" s="173"/>
      <c r="U5093" s="201"/>
      <c r="V5093" s="165"/>
      <c r="W5093" s="35"/>
      <c r="X5093" s="35"/>
      <c r="Y5093" s="35"/>
      <c r="Z5093" s="35"/>
      <c r="AA5093" s="35"/>
      <c r="AB5093" s="35"/>
      <c r="AC5093" s="35"/>
      <c r="AD5093" s="35"/>
      <c r="AE5093" s="35"/>
      <c r="AF5093" s="35"/>
      <c r="AG5093" s="35"/>
      <c r="AH5093" s="35"/>
      <c r="AI5093" s="35"/>
    </row>
    <row r="5094">
      <c r="A5094" s="251"/>
      <c r="B5094" s="252"/>
      <c r="C5094" s="253"/>
      <c r="D5094" s="253"/>
      <c r="E5094" s="252"/>
      <c r="F5094" s="253"/>
      <c r="G5094" s="251"/>
      <c r="H5094" s="433"/>
      <c r="I5094" s="278"/>
      <c r="J5094" s="257"/>
      <c r="K5094" s="253"/>
      <c r="L5094" s="253"/>
      <c r="M5094" s="252"/>
      <c r="N5094" s="258"/>
      <c r="O5094" s="259"/>
      <c r="P5094" s="259"/>
      <c r="Q5094" s="257"/>
      <c r="R5094" s="260"/>
      <c r="S5094" s="260"/>
      <c r="T5094" s="260"/>
      <c r="U5094" s="261"/>
      <c r="V5094" s="251"/>
      <c r="W5094" s="35"/>
      <c r="X5094" s="35"/>
      <c r="Y5094" s="35"/>
      <c r="Z5094" s="35"/>
      <c r="AA5094" s="35"/>
      <c r="AB5094" s="35"/>
      <c r="AC5094" s="35"/>
      <c r="AD5094" s="35"/>
      <c r="AE5094" s="35"/>
      <c r="AF5094" s="35"/>
      <c r="AG5094" s="35"/>
      <c r="AH5094" s="35"/>
      <c r="AI5094" s="35"/>
    </row>
    <row r="5095">
      <c r="A5095" s="251"/>
      <c r="B5095" s="252"/>
      <c r="C5095" s="253"/>
      <c r="D5095" s="253"/>
      <c r="E5095" s="252"/>
      <c r="F5095" s="253"/>
      <c r="G5095" s="251"/>
      <c r="H5095" s="433"/>
      <c r="I5095" s="278"/>
      <c r="J5095" s="257"/>
      <c r="K5095" s="253"/>
      <c r="L5095" s="253"/>
      <c r="M5095" s="252"/>
      <c r="N5095" s="258"/>
      <c r="O5095" s="259"/>
      <c r="P5095" s="259"/>
      <c r="Q5095" s="262"/>
      <c r="R5095" s="260"/>
      <c r="S5095" s="260"/>
      <c r="T5095" s="260"/>
      <c r="U5095" s="261"/>
      <c r="V5095" s="251"/>
      <c r="W5095" s="35"/>
      <c r="X5095" s="35"/>
      <c r="Y5095" s="35"/>
      <c r="Z5095" s="35"/>
      <c r="AA5095" s="35"/>
      <c r="AB5095" s="35"/>
      <c r="AC5095" s="35"/>
      <c r="AD5095" s="35"/>
      <c r="AE5095" s="35"/>
      <c r="AF5095" s="35"/>
      <c r="AG5095" s="35"/>
      <c r="AH5095" s="35"/>
      <c r="AI5095" s="35"/>
    </row>
    <row r="5096">
      <c r="A5096" s="251"/>
      <c r="B5096" s="252"/>
      <c r="C5096" s="253"/>
      <c r="D5096" s="253"/>
      <c r="E5096" s="252"/>
      <c r="F5096" s="253"/>
      <c r="G5096" s="251"/>
      <c r="H5096" s="433"/>
      <c r="I5096" s="278"/>
      <c r="J5096" s="257"/>
      <c r="K5096" s="253"/>
      <c r="L5096" s="253"/>
      <c r="M5096" s="252"/>
      <c r="N5096" s="258"/>
      <c r="O5096" s="259"/>
      <c r="P5096" s="259"/>
      <c r="Q5096" s="262"/>
      <c r="R5096" s="260"/>
      <c r="S5096" s="260"/>
      <c r="T5096" s="260"/>
      <c r="U5096" s="261"/>
      <c r="V5096" s="251"/>
      <c r="W5096" s="35"/>
      <c r="X5096" s="35"/>
      <c r="Y5096" s="35"/>
      <c r="Z5096" s="35"/>
      <c r="AA5096" s="35"/>
      <c r="AB5096" s="35"/>
      <c r="AC5096" s="35"/>
      <c r="AD5096" s="35"/>
      <c r="AE5096" s="35"/>
      <c r="AF5096" s="35"/>
      <c r="AG5096" s="35"/>
      <c r="AH5096" s="35"/>
      <c r="AI5096" s="35"/>
    </row>
    <row r="5097">
      <c r="A5097" s="251"/>
      <c r="B5097" s="252"/>
      <c r="C5097" s="253"/>
      <c r="D5097" s="253"/>
      <c r="E5097" s="252"/>
      <c r="F5097" s="253"/>
      <c r="G5097" s="251"/>
      <c r="H5097" s="433"/>
      <c r="I5097" s="278"/>
      <c r="J5097" s="257"/>
      <c r="K5097" s="253"/>
      <c r="L5097" s="253"/>
      <c r="M5097" s="252"/>
      <c r="N5097" s="258"/>
      <c r="O5097" s="259"/>
      <c r="P5097" s="259"/>
      <c r="Q5097" s="262"/>
      <c r="R5097" s="260"/>
      <c r="S5097" s="260"/>
      <c r="T5097" s="260"/>
      <c r="U5097" s="261"/>
      <c r="V5097" s="251"/>
      <c r="W5097" s="35"/>
      <c r="X5097" s="35"/>
      <c r="Y5097" s="35"/>
      <c r="Z5097" s="35"/>
      <c r="AA5097" s="35"/>
      <c r="AB5097" s="35"/>
      <c r="AC5097" s="35"/>
      <c r="AD5097" s="35"/>
      <c r="AE5097" s="35"/>
      <c r="AF5097" s="35"/>
      <c r="AG5097" s="35"/>
      <c r="AH5097" s="35"/>
      <c r="AI5097" s="35"/>
    </row>
    <row r="5098">
      <c r="A5098" s="251"/>
      <c r="B5098" s="252"/>
      <c r="C5098" s="253"/>
      <c r="D5098" s="253"/>
      <c r="E5098" s="252"/>
      <c r="F5098" s="253"/>
      <c r="G5098" s="251"/>
      <c r="H5098" s="433"/>
      <c r="I5098" s="278"/>
      <c r="J5098" s="257"/>
      <c r="K5098" s="253"/>
      <c r="L5098" s="253"/>
      <c r="M5098" s="252"/>
      <c r="N5098" s="258"/>
      <c r="O5098" s="259"/>
      <c r="P5098" s="259"/>
      <c r="Q5098" s="262"/>
      <c r="R5098" s="260"/>
      <c r="S5098" s="260"/>
      <c r="T5098" s="260"/>
      <c r="U5098" s="261"/>
      <c r="V5098" s="251"/>
      <c r="W5098" s="35"/>
      <c r="X5098" s="35"/>
      <c r="Y5098" s="35"/>
      <c r="Z5098" s="35"/>
      <c r="AA5098" s="35"/>
      <c r="AB5098" s="35"/>
      <c r="AC5098" s="35"/>
      <c r="AD5098" s="35"/>
      <c r="AE5098" s="35"/>
      <c r="AF5098" s="35"/>
      <c r="AG5098" s="35"/>
      <c r="AH5098" s="35"/>
      <c r="AI5098" s="35"/>
    </row>
    <row r="5099">
      <c r="A5099" s="251"/>
      <c r="B5099" s="252"/>
      <c r="C5099" s="253"/>
      <c r="D5099" s="253"/>
      <c r="E5099" s="252"/>
      <c r="F5099" s="253"/>
      <c r="G5099" s="251"/>
      <c r="H5099" s="433"/>
      <c r="I5099" s="278"/>
      <c r="J5099" s="257"/>
      <c r="K5099" s="253"/>
      <c r="L5099" s="253"/>
      <c r="M5099" s="252"/>
      <c r="N5099" s="258"/>
      <c r="O5099" s="259"/>
      <c r="P5099" s="259"/>
      <c r="Q5099" s="262"/>
      <c r="R5099" s="260"/>
      <c r="S5099" s="260"/>
      <c r="T5099" s="260"/>
      <c r="U5099" s="261"/>
      <c r="V5099" s="251"/>
      <c r="W5099" s="35"/>
      <c r="X5099" s="35"/>
      <c r="Y5099" s="35"/>
      <c r="Z5099" s="35"/>
      <c r="AA5099" s="35"/>
      <c r="AB5099" s="35"/>
      <c r="AC5099" s="35"/>
      <c r="AD5099" s="35"/>
      <c r="AE5099" s="35"/>
      <c r="AF5099" s="35"/>
      <c r="AG5099" s="35"/>
      <c r="AH5099" s="35"/>
      <c r="AI5099" s="35"/>
    </row>
    <row r="5100">
      <c r="A5100" s="251"/>
      <c r="B5100" s="252"/>
      <c r="C5100" s="253"/>
      <c r="D5100" s="253"/>
      <c r="E5100" s="252"/>
      <c r="F5100" s="253"/>
      <c r="G5100" s="251"/>
      <c r="H5100" s="433"/>
      <c r="I5100" s="278"/>
      <c r="J5100" s="257"/>
      <c r="K5100" s="253"/>
      <c r="L5100" s="253"/>
      <c r="M5100" s="252"/>
      <c r="N5100" s="258"/>
      <c r="O5100" s="259"/>
      <c r="P5100" s="259"/>
      <c r="Q5100" s="262"/>
      <c r="R5100" s="260"/>
      <c r="S5100" s="260"/>
      <c r="T5100" s="260"/>
      <c r="U5100" s="261"/>
      <c r="V5100" s="251"/>
      <c r="W5100" s="35"/>
      <c r="X5100" s="35"/>
      <c r="Y5100" s="35"/>
      <c r="Z5100" s="35"/>
      <c r="AA5100" s="35"/>
      <c r="AB5100" s="35"/>
      <c r="AC5100" s="35"/>
      <c r="AD5100" s="35"/>
      <c r="AE5100" s="35"/>
      <c r="AF5100" s="35"/>
      <c r="AG5100" s="35"/>
      <c r="AH5100" s="35"/>
      <c r="AI5100" s="35"/>
    </row>
    <row r="5101">
      <c r="A5101" s="251"/>
      <c r="B5101" s="252"/>
      <c r="C5101" s="253"/>
      <c r="D5101" s="253"/>
      <c r="E5101" s="252"/>
      <c r="F5101" s="253"/>
      <c r="G5101" s="251"/>
      <c r="H5101" s="433"/>
      <c r="I5101" s="278"/>
      <c r="J5101" s="257"/>
      <c r="K5101" s="253"/>
      <c r="L5101" s="253"/>
      <c r="M5101" s="252"/>
      <c r="N5101" s="258"/>
      <c r="O5101" s="259"/>
      <c r="P5101" s="259"/>
      <c r="Q5101" s="262"/>
      <c r="R5101" s="260"/>
      <c r="S5101" s="260"/>
      <c r="T5101" s="260"/>
      <c r="U5101" s="261"/>
      <c r="V5101" s="251"/>
      <c r="W5101" s="35"/>
      <c r="X5101" s="35"/>
      <c r="Y5101" s="35"/>
      <c r="Z5101" s="35"/>
      <c r="AA5101" s="35"/>
      <c r="AB5101" s="35"/>
      <c r="AC5101" s="35"/>
      <c r="AD5101" s="35"/>
      <c r="AE5101" s="35"/>
      <c r="AF5101" s="35"/>
      <c r="AG5101" s="35"/>
      <c r="AH5101" s="35"/>
      <c r="AI5101" s="35"/>
    </row>
    <row r="5102">
      <c r="A5102" s="251"/>
      <c r="B5102" s="252"/>
      <c r="C5102" s="253"/>
      <c r="D5102" s="253"/>
      <c r="E5102" s="252"/>
      <c r="F5102" s="253"/>
      <c r="G5102" s="251"/>
      <c r="H5102" s="433"/>
      <c r="I5102" s="278"/>
      <c r="J5102" s="257"/>
      <c r="K5102" s="253"/>
      <c r="L5102" s="253"/>
      <c r="M5102" s="252"/>
      <c r="N5102" s="258"/>
      <c r="O5102" s="259"/>
      <c r="P5102" s="259"/>
      <c r="Q5102" s="257"/>
      <c r="R5102" s="260"/>
      <c r="S5102" s="260"/>
      <c r="T5102" s="260"/>
      <c r="U5102" s="261"/>
      <c r="V5102" s="251"/>
      <c r="W5102" s="35"/>
      <c r="X5102" s="35"/>
      <c r="Y5102" s="35"/>
      <c r="Z5102" s="35"/>
      <c r="AA5102" s="35"/>
      <c r="AB5102" s="35"/>
      <c r="AC5102" s="35"/>
      <c r="AD5102" s="35"/>
      <c r="AE5102" s="35"/>
      <c r="AF5102" s="35"/>
      <c r="AG5102" s="35"/>
      <c r="AH5102" s="35"/>
      <c r="AI5102" s="35"/>
    </row>
    <row r="5103">
      <c r="A5103" s="251"/>
      <c r="B5103" s="252"/>
      <c r="C5103" s="253"/>
      <c r="D5103" s="253"/>
      <c r="E5103" s="252"/>
      <c r="F5103" s="253"/>
      <c r="G5103" s="251"/>
      <c r="H5103" s="433"/>
      <c r="I5103" s="278"/>
      <c r="J5103" s="257"/>
      <c r="K5103" s="253"/>
      <c r="L5103" s="253"/>
      <c r="M5103" s="252"/>
      <c r="N5103" s="258"/>
      <c r="O5103" s="259"/>
      <c r="P5103" s="259"/>
      <c r="Q5103" s="257"/>
      <c r="R5103" s="260"/>
      <c r="S5103" s="260"/>
      <c r="T5103" s="273"/>
      <c r="U5103" s="274"/>
      <c r="V5103" s="266"/>
      <c r="W5103" s="35"/>
      <c r="X5103" s="35"/>
      <c r="Y5103" s="35"/>
      <c r="Z5103" s="35"/>
      <c r="AA5103" s="35"/>
      <c r="AB5103" s="35"/>
      <c r="AC5103" s="35"/>
      <c r="AD5103" s="35"/>
      <c r="AE5103" s="35"/>
      <c r="AF5103" s="35"/>
      <c r="AG5103" s="35"/>
      <c r="AH5103" s="35"/>
      <c r="AI5103" s="35"/>
    </row>
    <row r="5104">
      <c r="A5104" s="251"/>
      <c r="B5104" s="252"/>
      <c r="C5104" s="253"/>
      <c r="D5104" s="253"/>
      <c r="E5104" s="252"/>
      <c r="F5104" s="253"/>
      <c r="G5104" s="251"/>
      <c r="H5104" s="433"/>
      <c r="I5104" s="278"/>
      <c r="J5104" s="257"/>
      <c r="K5104" s="253"/>
      <c r="L5104" s="253"/>
      <c r="M5104" s="252"/>
      <c r="N5104" s="258"/>
      <c r="O5104" s="259"/>
      <c r="P5104" s="259"/>
      <c r="Q5104" s="257"/>
      <c r="R5104" s="260"/>
      <c r="S5104" s="260"/>
      <c r="T5104" s="260"/>
      <c r="U5104" s="261"/>
      <c r="V5104" s="251"/>
      <c r="W5104" s="35"/>
      <c r="X5104" s="35"/>
      <c r="Y5104" s="35"/>
      <c r="Z5104" s="35"/>
      <c r="AA5104" s="35"/>
      <c r="AB5104" s="35"/>
      <c r="AC5104" s="35"/>
      <c r="AD5104" s="35"/>
      <c r="AE5104" s="35"/>
      <c r="AF5104" s="35"/>
      <c r="AG5104" s="35"/>
      <c r="AH5104" s="35"/>
      <c r="AI5104" s="35"/>
    </row>
    <row r="5105">
      <c r="A5105" s="276"/>
      <c r="B5105" s="252"/>
      <c r="C5105" s="253"/>
      <c r="D5105" s="253"/>
      <c r="E5105" s="252"/>
      <c r="F5105" s="253"/>
      <c r="G5105" s="251"/>
      <c r="H5105" s="433"/>
      <c r="I5105" s="278"/>
      <c r="J5105" s="257"/>
      <c r="K5105" s="253"/>
      <c r="L5105" s="253"/>
      <c r="M5105" s="252"/>
      <c r="N5105" s="258"/>
      <c r="O5105" s="259"/>
      <c r="P5105" s="259"/>
      <c r="Q5105" s="262"/>
      <c r="R5105" s="260"/>
      <c r="S5105" s="260"/>
      <c r="T5105" s="260"/>
      <c r="U5105" s="261"/>
      <c r="V5105" s="251"/>
      <c r="W5105" s="35"/>
      <c r="X5105" s="35"/>
      <c r="Y5105" s="35"/>
      <c r="Z5105" s="35"/>
      <c r="AA5105" s="35"/>
      <c r="AB5105" s="35"/>
      <c r="AC5105" s="35"/>
      <c r="AD5105" s="35"/>
      <c r="AE5105" s="35"/>
      <c r="AF5105" s="35"/>
      <c r="AG5105" s="35"/>
      <c r="AH5105" s="35"/>
      <c r="AI5105" s="35"/>
    </row>
    <row r="5106">
      <c r="A5106" s="251"/>
      <c r="B5106" s="252"/>
      <c r="C5106" s="253"/>
      <c r="D5106" s="253"/>
      <c r="E5106" s="252"/>
      <c r="F5106" s="253"/>
      <c r="G5106" s="251"/>
      <c r="H5106" s="433"/>
      <c r="I5106" s="278"/>
      <c r="J5106" s="257"/>
      <c r="K5106" s="253"/>
      <c r="L5106" s="253"/>
      <c r="M5106" s="252"/>
      <c r="N5106" s="258"/>
      <c r="O5106" s="259"/>
      <c r="P5106" s="259"/>
      <c r="Q5106" s="257"/>
      <c r="R5106" s="260"/>
      <c r="S5106" s="260"/>
      <c r="T5106" s="260"/>
      <c r="U5106" s="261"/>
      <c r="V5106" s="251"/>
      <c r="W5106" s="35"/>
      <c r="X5106" s="35"/>
      <c r="Y5106" s="35"/>
      <c r="Z5106" s="35"/>
      <c r="AA5106" s="35"/>
      <c r="AB5106" s="35"/>
      <c r="AC5106" s="35"/>
      <c r="AD5106" s="35"/>
      <c r="AE5106" s="35"/>
      <c r="AF5106" s="35"/>
      <c r="AG5106" s="35"/>
      <c r="AH5106" s="35"/>
      <c r="AI5106" s="35"/>
    </row>
    <row r="5107">
      <c r="A5107" s="251"/>
      <c r="B5107" s="252"/>
      <c r="C5107" s="253"/>
      <c r="D5107" s="253"/>
      <c r="E5107" s="252"/>
      <c r="F5107" s="253"/>
      <c r="G5107" s="251"/>
      <c r="H5107" s="433"/>
      <c r="I5107" s="278"/>
      <c r="J5107" s="257"/>
      <c r="K5107" s="253"/>
      <c r="L5107" s="253"/>
      <c r="M5107" s="252"/>
      <c r="N5107" s="258"/>
      <c r="O5107" s="259"/>
      <c r="P5107" s="259"/>
      <c r="Q5107" s="262"/>
      <c r="R5107" s="260"/>
      <c r="S5107" s="260"/>
      <c r="T5107" s="260"/>
      <c r="U5107" s="261"/>
      <c r="V5107" s="251"/>
      <c r="W5107" s="35"/>
      <c r="X5107" s="35"/>
      <c r="Y5107" s="35"/>
      <c r="Z5107" s="35"/>
      <c r="AA5107" s="35"/>
      <c r="AB5107" s="35"/>
      <c r="AC5107" s="35"/>
      <c r="AD5107" s="35"/>
      <c r="AE5107" s="35"/>
      <c r="AF5107" s="35"/>
      <c r="AG5107" s="35"/>
      <c r="AH5107" s="35"/>
      <c r="AI5107" s="35"/>
    </row>
    <row r="5108">
      <c r="A5108" s="251"/>
      <c r="B5108" s="252"/>
      <c r="C5108" s="253"/>
      <c r="D5108" s="253"/>
      <c r="E5108" s="252"/>
      <c r="F5108" s="253"/>
      <c r="G5108" s="251"/>
      <c r="H5108" s="433"/>
      <c r="I5108" s="278"/>
      <c r="J5108" s="257"/>
      <c r="K5108" s="253"/>
      <c r="L5108" s="253"/>
      <c r="M5108" s="252"/>
      <c r="N5108" s="258"/>
      <c r="O5108" s="259"/>
      <c r="P5108" s="259"/>
      <c r="Q5108" s="262"/>
      <c r="R5108" s="260"/>
      <c r="S5108" s="260"/>
      <c r="T5108" s="260"/>
      <c r="U5108" s="261"/>
      <c r="V5108" s="251"/>
      <c r="W5108" s="35"/>
      <c r="X5108" s="35"/>
      <c r="Y5108" s="35"/>
      <c r="Z5108" s="35"/>
      <c r="AA5108" s="35"/>
      <c r="AB5108" s="35"/>
      <c r="AC5108" s="35"/>
      <c r="AD5108" s="35"/>
      <c r="AE5108" s="35"/>
      <c r="AF5108" s="35"/>
      <c r="AG5108" s="35"/>
      <c r="AH5108" s="35"/>
      <c r="AI5108" s="35"/>
    </row>
    <row r="5109">
      <c r="A5109" s="251"/>
      <c r="B5109" s="252"/>
      <c r="C5109" s="253"/>
      <c r="D5109" s="253"/>
      <c r="E5109" s="252"/>
      <c r="F5109" s="253"/>
      <c r="G5109" s="251"/>
      <c r="H5109" s="433"/>
      <c r="I5109" s="278"/>
      <c r="J5109" s="257"/>
      <c r="K5109" s="253"/>
      <c r="L5109" s="253"/>
      <c r="M5109" s="252"/>
      <c r="N5109" s="258"/>
      <c r="O5109" s="259"/>
      <c r="P5109" s="259"/>
      <c r="Q5109" s="262"/>
      <c r="R5109" s="260"/>
      <c r="S5109" s="260"/>
      <c r="T5109" s="260"/>
      <c r="U5109" s="261"/>
      <c r="V5109" s="251"/>
      <c r="W5109" s="35"/>
      <c r="X5109" s="35"/>
      <c r="Y5109" s="35"/>
      <c r="Z5109" s="35"/>
      <c r="AA5109" s="35"/>
      <c r="AB5109" s="35"/>
      <c r="AC5109" s="35"/>
      <c r="AD5109" s="35"/>
      <c r="AE5109" s="35"/>
      <c r="AF5109" s="35"/>
      <c r="AG5109" s="35"/>
      <c r="AH5109" s="35"/>
      <c r="AI5109" s="35"/>
    </row>
    <row r="5110">
      <c r="A5110" s="251"/>
      <c r="B5110" s="252"/>
      <c r="C5110" s="253"/>
      <c r="D5110" s="253"/>
      <c r="E5110" s="252"/>
      <c r="F5110" s="253"/>
      <c r="G5110" s="251"/>
      <c r="H5110" s="433"/>
      <c r="I5110" s="278"/>
      <c r="J5110" s="257"/>
      <c r="K5110" s="253"/>
      <c r="L5110" s="253"/>
      <c r="M5110" s="252"/>
      <c r="N5110" s="258"/>
      <c r="O5110" s="259"/>
      <c r="P5110" s="259"/>
      <c r="Q5110" s="262"/>
      <c r="R5110" s="260"/>
      <c r="S5110" s="260"/>
      <c r="T5110" s="260"/>
      <c r="U5110" s="261"/>
      <c r="V5110" s="251"/>
      <c r="W5110" s="35"/>
      <c r="X5110" s="35"/>
      <c r="Y5110" s="35"/>
      <c r="Z5110" s="35"/>
      <c r="AA5110" s="35"/>
      <c r="AB5110" s="35"/>
      <c r="AC5110" s="35"/>
      <c r="AD5110" s="35"/>
      <c r="AE5110" s="35"/>
      <c r="AF5110" s="35"/>
      <c r="AG5110" s="35"/>
      <c r="AH5110" s="35"/>
      <c r="AI5110" s="35"/>
    </row>
    <row r="5111">
      <c r="A5111" s="251"/>
      <c r="B5111" s="252"/>
      <c r="C5111" s="253"/>
      <c r="D5111" s="253"/>
      <c r="E5111" s="252"/>
      <c r="F5111" s="253"/>
      <c r="G5111" s="251"/>
      <c r="H5111" s="433"/>
      <c r="I5111" s="278"/>
      <c r="J5111" s="257"/>
      <c r="K5111" s="253"/>
      <c r="L5111" s="253"/>
      <c r="M5111" s="252"/>
      <c r="N5111" s="258"/>
      <c r="O5111" s="259"/>
      <c r="P5111" s="259"/>
      <c r="Q5111" s="257"/>
      <c r="R5111" s="260"/>
      <c r="S5111" s="260"/>
      <c r="T5111" s="260"/>
      <c r="U5111" s="261"/>
      <c r="V5111" s="251"/>
      <c r="W5111" s="35"/>
      <c r="X5111" s="35"/>
      <c r="Y5111" s="35"/>
      <c r="Z5111" s="35"/>
      <c r="AA5111" s="35"/>
      <c r="AB5111" s="35"/>
      <c r="AC5111" s="35"/>
      <c r="AD5111" s="35"/>
      <c r="AE5111" s="35"/>
      <c r="AF5111" s="35"/>
      <c r="AG5111" s="35"/>
      <c r="AH5111" s="35"/>
      <c r="AI5111" s="35"/>
    </row>
    <row r="5112">
      <c r="A5112" s="251"/>
      <c r="B5112" s="252"/>
      <c r="C5112" s="253"/>
      <c r="D5112" s="253"/>
      <c r="E5112" s="252"/>
      <c r="F5112" s="253"/>
      <c r="G5112" s="251"/>
      <c r="H5112" s="433"/>
      <c r="I5112" s="278"/>
      <c r="J5112" s="257"/>
      <c r="K5112" s="253"/>
      <c r="L5112" s="253"/>
      <c r="M5112" s="275"/>
      <c r="N5112" s="258"/>
      <c r="O5112" s="259"/>
      <c r="P5112" s="259"/>
      <c r="Q5112" s="262"/>
      <c r="R5112" s="260"/>
      <c r="S5112" s="260"/>
      <c r="T5112" s="260"/>
      <c r="U5112" s="261"/>
      <c r="V5112" s="251"/>
      <c r="W5112" s="35"/>
      <c r="X5112" s="35"/>
      <c r="Y5112" s="35"/>
      <c r="Z5112" s="35"/>
      <c r="AA5112" s="35"/>
      <c r="AB5112" s="35"/>
      <c r="AC5112" s="35"/>
      <c r="AD5112" s="35"/>
      <c r="AE5112" s="35"/>
      <c r="AF5112" s="35"/>
      <c r="AG5112" s="35"/>
      <c r="AH5112" s="35"/>
      <c r="AI5112" s="35"/>
    </row>
    <row r="5113">
      <c r="A5113" s="251"/>
      <c r="B5113" s="252"/>
      <c r="C5113" s="253"/>
      <c r="D5113" s="253"/>
      <c r="E5113" s="252"/>
      <c r="F5113" s="253"/>
      <c r="G5113" s="251"/>
      <c r="H5113" s="433"/>
      <c r="I5113" s="278"/>
      <c r="J5113" s="257"/>
      <c r="K5113" s="253"/>
      <c r="L5113" s="253"/>
      <c r="M5113" s="252"/>
      <c r="N5113" s="258"/>
      <c r="O5113" s="259"/>
      <c r="P5113" s="259"/>
      <c r="Q5113" s="262"/>
      <c r="R5113" s="260"/>
      <c r="S5113" s="260"/>
      <c r="T5113" s="260"/>
      <c r="U5113" s="261"/>
      <c r="V5113" s="251"/>
      <c r="W5113" s="35"/>
      <c r="X5113" s="35"/>
      <c r="Y5113" s="35"/>
      <c r="Z5113" s="35"/>
      <c r="AA5113" s="35"/>
      <c r="AB5113" s="35"/>
      <c r="AC5113" s="35"/>
      <c r="AD5113" s="35"/>
      <c r="AE5113" s="35"/>
      <c r="AF5113" s="35"/>
      <c r="AG5113" s="35"/>
      <c r="AH5113" s="35"/>
      <c r="AI5113" s="35"/>
    </row>
    <row r="5114">
      <c r="A5114" s="251"/>
      <c r="B5114" s="252"/>
      <c r="C5114" s="253"/>
      <c r="D5114" s="253"/>
      <c r="E5114" s="252"/>
      <c r="F5114" s="253"/>
      <c r="G5114" s="251"/>
      <c r="H5114" s="433"/>
      <c r="I5114" s="278"/>
      <c r="J5114" s="257"/>
      <c r="K5114" s="253"/>
      <c r="L5114" s="253"/>
      <c r="M5114" s="252"/>
      <c r="N5114" s="258"/>
      <c r="O5114" s="259"/>
      <c r="P5114" s="259"/>
      <c r="Q5114" s="257"/>
      <c r="R5114" s="260"/>
      <c r="S5114" s="260"/>
      <c r="T5114" s="260"/>
      <c r="U5114" s="261"/>
      <c r="V5114" s="251"/>
      <c r="W5114" s="35"/>
      <c r="X5114" s="35"/>
      <c r="Y5114" s="35"/>
      <c r="Z5114" s="35"/>
      <c r="AA5114" s="35"/>
      <c r="AB5114" s="35"/>
      <c r="AC5114" s="35"/>
      <c r="AD5114" s="35"/>
      <c r="AE5114" s="35"/>
      <c r="AF5114" s="35"/>
      <c r="AG5114" s="35"/>
      <c r="AH5114" s="35"/>
      <c r="AI5114" s="35"/>
    </row>
    <row r="5115">
      <c r="A5115" s="251"/>
      <c r="B5115" s="252"/>
      <c r="C5115" s="253"/>
      <c r="D5115" s="253"/>
      <c r="E5115" s="252"/>
      <c r="F5115" s="253"/>
      <c r="G5115" s="251"/>
      <c r="H5115" s="433"/>
      <c r="I5115" s="278"/>
      <c r="J5115" s="257"/>
      <c r="K5115" s="253"/>
      <c r="L5115" s="253"/>
      <c r="M5115" s="252"/>
      <c r="N5115" s="258"/>
      <c r="O5115" s="259"/>
      <c r="P5115" s="259"/>
      <c r="Q5115" s="262"/>
      <c r="R5115" s="260"/>
      <c r="S5115" s="260"/>
      <c r="T5115" s="260"/>
      <c r="U5115" s="261"/>
      <c r="V5115" s="251"/>
      <c r="W5115" s="35"/>
      <c r="X5115" s="35"/>
      <c r="Y5115" s="35"/>
      <c r="Z5115" s="35"/>
      <c r="AA5115" s="35"/>
      <c r="AB5115" s="35"/>
      <c r="AC5115" s="35"/>
      <c r="AD5115" s="35"/>
      <c r="AE5115" s="35"/>
      <c r="AF5115" s="35"/>
      <c r="AG5115" s="35"/>
      <c r="AH5115" s="35"/>
      <c r="AI5115" s="35"/>
    </row>
    <row r="5116">
      <c r="A5116" s="251"/>
      <c r="B5116" s="252"/>
      <c r="C5116" s="253"/>
      <c r="D5116" s="253"/>
      <c r="E5116" s="252"/>
      <c r="F5116" s="253"/>
      <c r="G5116" s="251"/>
      <c r="H5116" s="433"/>
      <c r="I5116" s="278"/>
      <c r="J5116" s="257"/>
      <c r="K5116" s="253"/>
      <c r="L5116" s="253"/>
      <c r="M5116" s="252"/>
      <c r="N5116" s="258"/>
      <c r="O5116" s="259"/>
      <c r="P5116" s="259"/>
      <c r="Q5116" s="262"/>
      <c r="R5116" s="260"/>
      <c r="S5116" s="260"/>
      <c r="T5116" s="260"/>
      <c r="U5116" s="261"/>
      <c r="V5116" s="251"/>
      <c r="W5116" s="35"/>
      <c r="X5116" s="35"/>
      <c r="Y5116" s="35"/>
      <c r="Z5116" s="35"/>
      <c r="AA5116" s="35"/>
      <c r="AB5116" s="35"/>
      <c r="AC5116" s="35"/>
      <c r="AD5116" s="35"/>
      <c r="AE5116" s="35"/>
      <c r="AF5116" s="35"/>
      <c r="AG5116" s="35"/>
      <c r="AH5116" s="35"/>
      <c r="AI5116" s="35"/>
    </row>
    <row r="5117">
      <c r="A5117" s="251"/>
      <c r="B5117" s="252"/>
      <c r="C5117" s="253"/>
      <c r="D5117" s="253"/>
      <c r="E5117" s="252"/>
      <c r="F5117" s="253"/>
      <c r="G5117" s="251"/>
      <c r="H5117" s="433"/>
      <c r="I5117" s="278"/>
      <c r="J5117" s="257"/>
      <c r="K5117" s="253"/>
      <c r="L5117" s="253"/>
      <c r="M5117" s="275"/>
      <c r="N5117" s="258"/>
      <c r="O5117" s="259"/>
      <c r="P5117" s="259"/>
      <c r="Q5117" s="262"/>
      <c r="R5117" s="260"/>
      <c r="S5117" s="260"/>
      <c r="T5117" s="260"/>
      <c r="U5117" s="261"/>
      <c r="V5117" s="251"/>
      <c r="W5117" s="35"/>
      <c r="X5117" s="35"/>
      <c r="Y5117" s="35"/>
      <c r="Z5117" s="35"/>
      <c r="AA5117" s="35"/>
      <c r="AB5117" s="35"/>
      <c r="AC5117" s="35"/>
      <c r="AD5117" s="35"/>
      <c r="AE5117" s="35"/>
      <c r="AF5117" s="35"/>
      <c r="AG5117" s="35"/>
      <c r="AH5117" s="35"/>
      <c r="AI5117" s="35"/>
    </row>
    <row r="5118">
      <c r="A5118" s="251"/>
      <c r="B5118" s="252"/>
      <c r="C5118" s="253"/>
      <c r="D5118" s="253"/>
      <c r="E5118" s="252"/>
      <c r="F5118" s="253"/>
      <c r="G5118" s="251"/>
      <c r="H5118" s="433"/>
      <c r="I5118" s="278"/>
      <c r="J5118" s="257"/>
      <c r="K5118" s="253"/>
      <c r="L5118" s="253"/>
      <c r="M5118" s="252"/>
      <c r="N5118" s="258"/>
      <c r="O5118" s="259"/>
      <c r="P5118" s="259"/>
      <c r="Q5118" s="262"/>
      <c r="R5118" s="260"/>
      <c r="S5118" s="260"/>
      <c r="T5118" s="260"/>
      <c r="U5118" s="261"/>
      <c r="V5118" s="251"/>
      <c r="W5118" s="35"/>
      <c r="X5118" s="35"/>
      <c r="Y5118" s="35"/>
      <c r="Z5118" s="35"/>
      <c r="AA5118" s="35"/>
      <c r="AB5118" s="35"/>
      <c r="AC5118" s="35"/>
      <c r="AD5118" s="35"/>
      <c r="AE5118" s="35"/>
      <c r="AF5118" s="35"/>
      <c r="AG5118" s="35"/>
      <c r="AH5118" s="35"/>
      <c r="AI5118" s="35"/>
    </row>
    <row r="5119">
      <c r="A5119" s="251"/>
      <c r="B5119" s="252"/>
      <c r="C5119" s="253"/>
      <c r="D5119" s="253"/>
      <c r="E5119" s="252"/>
      <c r="F5119" s="253"/>
      <c r="G5119" s="251"/>
      <c r="H5119" s="433"/>
      <c r="I5119" s="278"/>
      <c r="J5119" s="257"/>
      <c r="K5119" s="253"/>
      <c r="L5119" s="253"/>
      <c r="M5119" s="252"/>
      <c r="N5119" s="258"/>
      <c r="O5119" s="259"/>
      <c r="P5119" s="259"/>
      <c r="Q5119" s="262"/>
      <c r="R5119" s="260"/>
      <c r="S5119" s="260"/>
      <c r="T5119" s="260"/>
      <c r="U5119" s="261"/>
      <c r="V5119" s="251"/>
      <c r="W5119" s="35"/>
      <c r="X5119" s="35"/>
      <c r="Y5119" s="35"/>
      <c r="Z5119" s="35"/>
      <c r="AA5119" s="35"/>
      <c r="AB5119" s="35"/>
      <c r="AC5119" s="35"/>
      <c r="AD5119" s="35"/>
      <c r="AE5119" s="35"/>
      <c r="AF5119" s="35"/>
      <c r="AG5119" s="35"/>
      <c r="AH5119" s="35"/>
      <c r="AI5119" s="35"/>
    </row>
    <row r="5120">
      <c r="A5120" s="251"/>
      <c r="B5120" s="252"/>
      <c r="C5120" s="253"/>
      <c r="D5120" s="253"/>
      <c r="E5120" s="252"/>
      <c r="F5120" s="253"/>
      <c r="G5120" s="251"/>
      <c r="H5120" s="433"/>
      <c r="I5120" s="278"/>
      <c r="J5120" s="257"/>
      <c r="K5120" s="253"/>
      <c r="L5120" s="253"/>
      <c r="M5120" s="252"/>
      <c r="N5120" s="258"/>
      <c r="O5120" s="259"/>
      <c r="P5120" s="259"/>
      <c r="Q5120" s="257"/>
      <c r="R5120" s="260"/>
      <c r="S5120" s="260"/>
      <c r="T5120" s="260"/>
      <c r="U5120" s="261"/>
      <c r="V5120" s="251"/>
      <c r="W5120" s="35"/>
      <c r="X5120" s="35"/>
      <c r="Y5120" s="35"/>
      <c r="Z5120" s="35"/>
      <c r="AA5120" s="35"/>
      <c r="AB5120" s="35"/>
      <c r="AC5120" s="35"/>
      <c r="AD5120" s="35"/>
      <c r="AE5120" s="35"/>
      <c r="AF5120" s="35"/>
      <c r="AG5120" s="35"/>
      <c r="AH5120" s="35"/>
      <c r="AI5120" s="35"/>
    </row>
    <row r="5121">
      <c r="A5121" s="251"/>
      <c r="B5121" s="252"/>
      <c r="C5121" s="253"/>
      <c r="D5121" s="253"/>
      <c r="E5121" s="252"/>
      <c r="F5121" s="253"/>
      <c r="G5121" s="251"/>
      <c r="H5121" s="433"/>
      <c r="I5121" s="278"/>
      <c r="J5121" s="257"/>
      <c r="K5121" s="253"/>
      <c r="L5121" s="253"/>
      <c r="M5121" s="252"/>
      <c r="N5121" s="258"/>
      <c r="O5121" s="259"/>
      <c r="P5121" s="259"/>
      <c r="Q5121" s="262"/>
      <c r="R5121" s="260"/>
      <c r="S5121" s="260"/>
      <c r="T5121" s="173"/>
      <c r="U5121" s="174"/>
      <c r="V5121" s="165"/>
      <c r="W5121" s="35"/>
      <c r="X5121" s="35"/>
      <c r="Y5121" s="35"/>
      <c r="Z5121" s="35"/>
      <c r="AA5121" s="35"/>
      <c r="AB5121" s="35"/>
      <c r="AC5121" s="35"/>
      <c r="AD5121" s="35"/>
      <c r="AE5121" s="35"/>
      <c r="AF5121" s="35"/>
      <c r="AG5121" s="35"/>
      <c r="AH5121" s="35"/>
      <c r="AI5121" s="35"/>
    </row>
    <row r="5122">
      <c r="A5122" s="251"/>
      <c r="B5122" s="252"/>
      <c r="C5122" s="253"/>
      <c r="D5122" s="253"/>
      <c r="E5122" s="252"/>
      <c r="F5122" s="253"/>
      <c r="G5122" s="251"/>
      <c r="H5122" s="433"/>
      <c r="I5122" s="278"/>
      <c r="J5122" s="257"/>
      <c r="K5122" s="253"/>
      <c r="L5122" s="253"/>
      <c r="M5122" s="252"/>
      <c r="N5122" s="258"/>
      <c r="O5122" s="259"/>
      <c r="P5122" s="259"/>
      <c r="Q5122" s="262"/>
      <c r="R5122" s="260"/>
      <c r="S5122" s="260"/>
      <c r="T5122" s="260"/>
      <c r="U5122" s="261"/>
      <c r="V5122" s="251"/>
      <c r="W5122" s="35"/>
      <c r="X5122" s="35"/>
      <c r="Y5122" s="35"/>
      <c r="Z5122" s="35"/>
      <c r="AA5122" s="35"/>
      <c r="AB5122" s="35"/>
      <c r="AC5122" s="35"/>
      <c r="AD5122" s="35"/>
      <c r="AE5122" s="35"/>
      <c r="AF5122" s="35"/>
      <c r="AG5122" s="35"/>
      <c r="AH5122" s="35"/>
      <c r="AI5122" s="35"/>
    </row>
    <row r="5123">
      <c r="A5123" s="251"/>
      <c r="B5123" s="252"/>
      <c r="C5123" s="253"/>
      <c r="D5123" s="253"/>
      <c r="E5123" s="252"/>
      <c r="F5123" s="253"/>
      <c r="G5123" s="251"/>
      <c r="H5123" s="433"/>
      <c r="I5123" s="278"/>
      <c r="J5123" s="257"/>
      <c r="K5123" s="253"/>
      <c r="L5123" s="253"/>
      <c r="M5123" s="252"/>
      <c r="N5123" s="258"/>
      <c r="O5123" s="259"/>
      <c r="P5123" s="259"/>
      <c r="Q5123" s="262"/>
      <c r="R5123" s="260"/>
      <c r="S5123" s="260"/>
      <c r="T5123" s="260"/>
      <c r="U5123" s="261"/>
      <c r="V5123" s="251"/>
      <c r="W5123" s="35"/>
      <c r="X5123" s="35"/>
      <c r="Y5123" s="35"/>
      <c r="Z5123" s="35"/>
      <c r="AA5123" s="35"/>
      <c r="AB5123" s="35"/>
      <c r="AC5123" s="35"/>
      <c r="AD5123" s="35"/>
      <c r="AE5123" s="35"/>
      <c r="AF5123" s="35"/>
      <c r="AG5123" s="35"/>
      <c r="AH5123" s="35"/>
      <c r="AI5123" s="35"/>
    </row>
    <row r="5124">
      <c r="A5124" s="251"/>
      <c r="B5124" s="252"/>
      <c r="C5124" s="253"/>
      <c r="D5124" s="253"/>
      <c r="E5124" s="252"/>
      <c r="F5124" s="253"/>
      <c r="G5124" s="251"/>
      <c r="H5124" s="433"/>
      <c r="I5124" s="278"/>
      <c r="J5124" s="257"/>
      <c r="K5124" s="253"/>
      <c r="L5124" s="253"/>
      <c r="M5124" s="252"/>
      <c r="N5124" s="258"/>
      <c r="O5124" s="259"/>
      <c r="P5124" s="259"/>
      <c r="Q5124" s="262"/>
      <c r="R5124" s="260"/>
      <c r="S5124" s="260"/>
      <c r="T5124" s="260"/>
      <c r="U5124" s="261"/>
      <c r="V5124" s="251"/>
      <c r="W5124" s="35"/>
      <c r="X5124" s="35"/>
      <c r="Y5124" s="35"/>
      <c r="Z5124" s="35"/>
      <c r="AA5124" s="35"/>
      <c r="AB5124" s="35"/>
      <c r="AC5124" s="35"/>
      <c r="AD5124" s="35"/>
      <c r="AE5124" s="35"/>
      <c r="AF5124" s="35"/>
      <c r="AG5124" s="35"/>
      <c r="AH5124" s="35"/>
      <c r="AI5124" s="35"/>
    </row>
    <row r="5125">
      <c r="A5125" s="251"/>
      <c r="B5125" s="252"/>
      <c r="C5125" s="253"/>
      <c r="D5125" s="253"/>
      <c r="E5125" s="252"/>
      <c r="F5125" s="253"/>
      <c r="G5125" s="251"/>
      <c r="H5125" s="433"/>
      <c r="I5125" s="278"/>
      <c r="J5125" s="257"/>
      <c r="K5125" s="253"/>
      <c r="L5125" s="253"/>
      <c r="M5125" s="252"/>
      <c r="N5125" s="258"/>
      <c r="O5125" s="259"/>
      <c r="P5125" s="259"/>
      <c r="Q5125" s="257"/>
      <c r="R5125" s="260"/>
      <c r="S5125" s="260"/>
      <c r="T5125" s="260"/>
      <c r="U5125" s="261"/>
      <c r="V5125" s="251"/>
      <c r="W5125" s="35"/>
      <c r="X5125" s="35"/>
      <c r="Y5125" s="35"/>
      <c r="Z5125" s="35"/>
      <c r="AA5125" s="35"/>
      <c r="AB5125" s="35"/>
      <c r="AC5125" s="35"/>
      <c r="AD5125" s="35"/>
      <c r="AE5125" s="35"/>
      <c r="AF5125" s="35"/>
      <c r="AG5125" s="35"/>
      <c r="AH5125" s="35"/>
      <c r="AI5125" s="35"/>
    </row>
    <row r="5126">
      <c r="A5126" s="251"/>
      <c r="B5126" s="252"/>
      <c r="C5126" s="253"/>
      <c r="D5126" s="253"/>
      <c r="E5126" s="252"/>
      <c r="F5126" s="253"/>
      <c r="G5126" s="251"/>
      <c r="H5126" s="433"/>
      <c r="I5126" s="278"/>
      <c r="J5126" s="257"/>
      <c r="K5126" s="253"/>
      <c r="L5126" s="253"/>
      <c r="M5126" s="252"/>
      <c r="N5126" s="258"/>
      <c r="O5126" s="259"/>
      <c r="P5126" s="259"/>
      <c r="Q5126" s="262"/>
      <c r="R5126" s="260"/>
      <c r="S5126" s="260"/>
      <c r="T5126" s="260"/>
      <c r="U5126" s="261"/>
      <c r="V5126" s="251"/>
      <c r="W5126" s="35"/>
      <c r="X5126" s="35"/>
      <c r="Y5126" s="35"/>
      <c r="Z5126" s="35"/>
      <c r="AA5126" s="35"/>
      <c r="AB5126" s="35"/>
      <c r="AC5126" s="35"/>
      <c r="AD5126" s="35"/>
      <c r="AE5126" s="35"/>
      <c r="AF5126" s="35"/>
      <c r="AG5126" s="35"/>
      <c r="AH5126" s="35"/>
      <c r="AI5126" s="35"/>
    </row>
    <row r="5127">
      <c r="A5127" s="251"/>
      <c r="B5127" s="252"/>
      <c r="C5127" s="253"/>
      <c r="D5127" s="253"/>
      <c r="E5127" s="252"/>
      <c r="F5127" s="253"/>
      <c r="G5127" s="251"/>
      <c r="H5127" s="433"/>
      <c r="I5127" s="278"/>
      <c r="J5127" s="257"/>
      <c r="K5127" s="253"/>
      <c r="L5127" s="253"/>
      <c r="M5127" s="252"/>
      <c r="N5127" s="258"/>
      <c r="O5127" s="259"/>
      <c r="P5127" s="259"/>
      <c r="Q5127" s="262"/>
      <c r="R5127" s="260"/>
      <c r="S5127" s="260"/>
      <c r="T5127" s="260"/>
      <c r="U5127" s="261"/>
      <c r="V5127" s="251"/>
      <c r="W5127" s="35"/>
      <c r="X5127" s="35"/>
      <c r="Y5127" s="35"/>
      <c r="Z5127" s="35"/>
      <c r="AA5127" s="35"/>
      <c r="AB5127" s="35"/>
      <c r="AC5127" s="35"/>
      <c r="AD5127" s="35"/>
      <c r="AE5127" s="35"/>
      <c r="AF5127" s="35"/>
      <c r="AG5127" s="35"/>
      <c r="AH5127" s="35"/>
      <c r="AI5127" s="35"/>
    </row>
    <row r="5128">
      <c r="A5128" s="251"/>
      <c r="B5128" s="252"/>
      <c r="C5128" s="253"/>
      <c r="D5128" s="253"/>
      <c r="E5128" s="252"/>
      <c r="F5128" s="253"/>
      <c r="G5128" s="251"/>
      <c r="H5128" s="433"/>
      <c r="I5128" s="278"/>
      <c r="J5128" s="257"/>
      <c r="K5128" s="253"/>
      <c r="L5128" s="253"/>
      <c r="M5128" s="275"/>
      <c r="N5128" s="258"/>
      <c r="O5128" s="259"/>
      <c r="P5128" s="259"/>
      <c r="Q5128" s="262"/>
      <c r="R5128" s="260"/>
      <c r="S5128" s="260"/>
      <c r="T5128" s="260"/>
      <c r="U5128" s="261"/>
      <c r="V5128" s="251"/>
      <c r="W5128" s="35"/>
      <c r="X5128" s="35"/>
      <c r="Y5128" s="35"/>
      <c r="Z5128" s="35"/>
      <c r="AA5128" s="35"/>
      <c r="AB5128" s="35"/>
      <c r="AC5128" s="35"/>
      <c r="AD5128" s="35"/>
      <c r="AE5128" s="35"/>
      <c r="AF5128" s="35"/>
      <c r="AG5128" s="35"/>
      <c r="AH5128" s="35"/>
      <c r="AI5128" s="35"/>
    </row>
    <row r="5129">
      <c r="A5129" s="251"/>
      <c r="B5129" s="252"/>
      <c r="C5129" s="253"/>
      <c r="D5129" s="253"/>
      <c r="E5129" s="252"/>
      <c r="F5129" s="253"/>
      <c r="G5129" s="251"/>
      <c r="H5129" s="433"/>
      <c r="I5129" s="278"/>
      <c r="J5129" s="257"/>
      <c r="K5129" s="253"/>
      <c r="L5129" s="253"/>
      <c r="M5129" s="252"/>
      <c r="N5129" s="258"/>
      <c r="O5129" s="259"/>
      <c r="P5129" s="259"/>
      <c r="Q5129" s="262"/>
      <c r="R5129" s="260"/>
      <c r="S5129" s="260"/>
      <c r="T5129" s="260"/>
      <c r="U5129" s="261"/>
      <c r="V5129" s="251"/>
      <c r="W5129" s="35"/>
      <c r="X5129" s="35"/>
      <c r="Y5129" s="35"/>
      <c r="Z5129" s="35"/>
      <c r="AA5129" s="35"/>
      <c r="AB5129" s="35"/>
      <c r="AC5129" s="35"/>
      <c r="AD5129" s="35"/>
      <c r="AE5129" s="35"/>
      <c r="AF5129" s="35"/>
      <c r="AG5129" s="35"/>
      <c r="AH5129" s="35"/>
      <c r="AI5129" s="35"/>
    </row>
    <row r="5130">
      <c r="A5130" s="251"/>
      <c r="B5130" s="252"/>
      <c r="C5130" s="253"/>
      <c r="D5130" s="253"/>
      <c r="E5130" s="252"/>
      <c r="F5130" s="253"/>
      <c r="G5130" s="251"/>
      <c r="H5130" s="433"/>
      <c r="I5130" s="278"/>
      <c r="J5130" s="257"/>
      <c r="K5130" s="253"/>
      <c r="L5130" s="253"/>
      <c r="M5130" s="252"/>
      <c r="N5130" s="258"/>
      <c r="O5130" s="259"/>
      <c r="P5130" s="259"/>
      <c r="Q5130" s="257"/>
      <c r="R5130" s="260"/>
      <c r="S5130" s="260"/>
      <c r="T5130" s="260"/>
      <c r="U5130" s="261"/>
      <c r="V5130" s="251"/>
      <c r="W5130" s="35"/>
      <c r="X5130" s="35"/>
      <c r="Y5130" s="35"/>
      <c r="Z5130" s="35"/>
      <c r="AA5130" s="35"/>
      <c r="AB5130" s="35"/>
      <c r="AC5130" s="35"/>
      <c r="AD5130" s="35"/>
      <c r="AE5130" s="35"/>
      <c r="AF5130" s="35"/>
      <c r="AG5130" s="35"/>
      <c r="AH5130" s="35"/>
      <c r="AI5130" s="35"/>
    </row>
    <row r="5131">
      <c r="A5131" s="251"/>
      <c r="B5131" s="252"/>
      <c r="C5131" s="253"/>
      <c r="D5131" s="253"/>
      <c r="E5131" s="252"/>
      <c r="F5131" s="253"/>
      <c r="G5131" s="251"/>
      <c r="H5131" s="433"/>
      <c r="I5131" s="278"/>
      <c r="J5131" s="257"/>
      <c r="K5131" s="253"/>
      <c r="L5131" s="253"/>
      <c r="M5131" s="252"/>
      <c r="N5131" s="258"/>
      <c r="O5131" s="259"/>
      <c r="P5131" s="259"/>
      <c r="Q5131" s="262"/>
      <c r="R5131" s="260"/>
      <c r="S5131" s="260"/>
      <c r="T5131" s="260"/>
      <c r="U5131" s="261"/>
      <c r="V5131" s="251"/>
      <c r="W5131" s="35"/>
      <c r="X5131" s="35"/>
      <c r="Y5131" s="35"/>
      <c r="Z5131" s="35"/>
      <c r="AA5131" s="35"/>
      <c r="AB5131" s="35"/>
      <c r="AC5131" s="35"/>
      <c r="AD5131" s="35"/>
      <c r="AE5131" s="35"/>
      <c r="AF5131" s="35"/>
      <c r="AG5131" s="35"/>
      <c r="AH5131" s="35"/>
      <c r="AI5131" s="35"/>
    </row>
    <row r="5132">
      <c r="A5132" s="251"/>
      <c r="B5132" s="252"/>
      <c r="C5132" s="253"/>
      <c r="D5132" s="253"/>
      <c r="E5132" s="252"/>
      <c r="F5132" s="253"/>
      <c r="G5132" s="251"/>
      <c r="H5132" s="433"/>
      <c r="I5132" s="278"/>
      <c r="J5132" s="257"/>
      <c r="K5132" s="253"/>
      <c r="L5132" s="253"/>
      <c r="M5132" s="252"/>
      <c r="N5132" s="258"/>
      <c r="O5132" s="259"/>
      <c r="P5132" s="259"/>
      <c r="Q5132" s="262"/>
      <c r="R5132" s="260"/>
      <c r="S5132" s="260"/>
      <c r="T5132" s="260"/>
      <c r="U5132" s="261"/>
      <c r="V5132" s="251"/>
      <c r="W5132" s="35"/>
      <c r="X5132" s="35"/>
      <c r="Y5132" s="35"/>
      <c r="Z5132" s="35"/>
      <c r="AA5132" s="35"/>
      <c r="AB5132" s="35"/>
      <c r="AC5132" s="35"/>
      <c r="AD5132" s="35"/>
      <c r="AE5132" s="35"/>
      <c r="AF5132" s="35"/>
      <c r="AG5132" s="35"/>
      <c r="AH5132" s="35"/>
      <c r="AI5132" s="35"/>
    </row>
    <row r="5133">
      <c r="A5133" s="251"/>
      <c r="B5133" s="252"/>
      <c r="C5133" s="253"/>
      <c r="D5133" s="253"/>
      <c r="E5133" s="252"/>
      <c r="F5133" s="253"/>
      <c r="G5133" s="251"/>
      <c r="H5133" s="433"/>
      <c r="I5133" s="278"/>
      <c r="J5133" s="257"/>
      <c r="K5133" s="253"/>
      <c r="L5133" s="253"/>
      <c r="M5133" s="252"/>
      <c r="N5133" s="258"/>
      <c r="O5133" s="259"/>
      <c r="P5133" s="259"/>
      <c r="Q5133" s="262"/>
      <c r="R5133" s="260"/>
      <c r="S5133" s="260"/>
      <c r="T5133" s="260"/>
      <c r="U5133" s="261"/>
      <c r="V5133" s="251"/>
      <c r="W5133" s="35"/>
      <c r="X5133" s="35"/>
      <c r="Y5133" s="35"/>
      <c r="Z5133" s="35"/>
      <c r="AA5133" s="35"/>
      <c r="AB5133" s="35"/>
      <c r="AC5133" s="35"/>
      <c r="AD5133" s="35"/>
      <c r="AE5133" s="35"/>
      <c r="AF5133" s="35"/>
      <c r="AG5133" s="35"/>
      <c r="AH5133" s="35"/>
      <c r="AI5133" s="35"/>
    </row>
    <row r="5134">
      <c r="A5134" s="251"/>
      <c r="B5134" s="252"/>
      <c r="C5134" s="253"/>
      <c r="D5134" s="253"/>
      <c r="E5134" s="252"/>
      <c r="F5134" s="253"/>
      <c r="G5134" s="251"/>
      <c r="H5134" s="433"/>
      <c r="I5134" s="278"/>
      <c r="J5134" s="257"/>
      <c r="K5134" s="253"/>
      <c r="L5134" s="253"/>
      <c r="M5134" s="252"/>
      <c r="N5134" s="258"/>
      <c r="O5134" s="259"/>
      <c r="P5134" s="259"/>
      <c r="Q5134" s="257"/>
      <c r="R5134" s="260"/>
      <c r="S5134" s="260"/>
      <c r="T5134" s="260"/>
      <c r="U5134" s="261"/>
      <c r="V5134" s="251"/>
      <c r="W5134" s="35"/>
      <c r="X5134" s="35"/>
      <c r="Y5134" s="35"/>
      <c r="Z5134" s="35"/>
      <c r="AA5134" s="35"/>
      <c r="AB5134" s="35"/>
      <c r="AC5134" s="35"/>
      <c r="AD5134" s="35"/>
      <c r="AE5134" s="35"/>
      <c r="AF5134" s="35"/>
      <c r="AG5134" s="35"/>
      <c r="AH5134" s="35"/>
      <c r="AI5134" s="35"/>
    </row>
    <row r="5135">
      <c r="A5135" s="251"/>
      <c r="B5135" s="252"/>
      <c r="C5135" s="253"/>
      <c r="D5135" s="253"/>
      <c r="E5135" s="252"/>
      <c r="F5135" s="253"/>
      <c r="G5135" s="251"/>
      <c r="H5135" s="433"/>
      <c r="I5135" s="278"/>
      <c r="J5135" s="257"/>
      <c r="K5135" s="253"/>
      <c r="L5135" s="253"/>
      <c r="M5135" s="252"/>
      <c r="N5135" s="258"/>
      <c r="O5135" s="259"/>
      <c r="P5135" s="259"/>
      <c r="Q5135" s="257"/>
      <c r="R5135" s="260"/>
      <c r="S5135" s="260"/>
      <c r="T5135" s="260"/>
      <c r="U5135" s="261"/>
      <c r="V5135" s="251"/>
      <c r="W5135" s="35"/>
      <c r="X5135" s="35"/>
      <c r="Y5135" s="35"/>
      <c r="Z5135" s="35"/>
      <c r="AA5135" s="35"/>
      <c r="AB5135" s="35"/>
      <c r="AC5135" s="35"/>
      <c r="AD5135" s="35"/>
      <c r="AE5135" s="35"/>
      <c r="AF5135" s="35"/>
      <c r="AG5135" s="35"/>
      <c r="AH5135" s="35"/>
      <c r="AI5135" s="35"/>
    </row>
  </sheetData>
  <autoFilter ref="$A$1:$AI$5135">
    <sortState ref="A1:AI5135">
      <sortCondition ref="A1:A5135"/>
    </sortState>
  </autoFilter>
  <hyperlinks>
    <hyperlink r:id="rId1" ref="D132"/>
    <hyperlink r:id="rId2" ref="D272"/>
    <hyperlink r:id="rId3" ref="D330"/>
    <hyperlink r:id="rId4" ref="D374"/>
    <hyperlink r:id="rId5" ref="D502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.0"/>
    <col customWidth="1" min="3" max="3" width="10.0"/>
    <col customWidth="1" min="4" max="4" width="2.0"/>
    <col customWidth="1" min="5" max="5" width="5.25"/>
    <col customWidth="1" min="6" max="6" width="41.25"/>
    <col customWidth="1" min="7" max="7" width="12.75"/>
    <col customWidth="1" min="8" max="8" width="7.0"/>
    <col customWidth="1" min="9" max="9" width="6.25"/>
    <col customWidth="1" min="10" max="10" width="10.13"/>
    <col customWidth="1" min="11" max="11" width="28.25"/>
    <col customWidth="1" min="12" max="12" width="3.5"/>
    <col customWidth="1" min="13" max="13" width="3.25"/>
    <col customWidth="1" min="14" max="14" width="20.63"/>
    <col customWidth="1" min="15" max="15" width="4.63"/>
    <col customWidth="1" min="16" max="16" width="4.88"/>
    <col customWidth="1" min="17" max="17" width="5.63"/>
    <col customWidth="1" min="18" max="18" width="3.0"/>
    <col customWidth="1" min="19" max="19" width="6.13"/>
    <col customWidth="1" min="20" max="20" width="25.5"/>
    <col customWidth="1" min="21" max="21" width="10.25"/>
    <col customWidth="1" min="22" max="22" width="30.25"/>
  </cols>
  <sheetData>
    <row r="1">
      <c r="A1" s="314"/>
      <c r="B1" s="315"/>
      <c r="C1" s="316"/>
      <c r="D1" s="314"/>
      <c r="E1" s="314"/>
      <c r="F1" s="317"/>
      <c r="G1" s="317"/>
      <c r="H1" s="317"/>
      <c r="I1" s="317"/>
      <c r="J1" s="318"/>
      <c r="K1" s="317"/>
      <c r="L1" s="317"/>
      <c r="M1" s="317"/>
      <c r="N1" s="317"/>
      <c r="O1" s="317"/>
      <c r="P1" s="317"/>
      <c r="Q1" s="317"/>
      <c r="R1" s="317"/>
      <c r="S1" s="317"/>
      <c r="Y1" s="41" t="s">
        <v>2429</v>
      </c>
      <c r="Z1" s="41" t="s">
        <v>2430</v>
      </c>
    </row>
    <row r="2">
      <c r="A2" s="314"/>
      <c r="B2" s="316"/>
      <c r="C2" s="316"/>
      <c r="D2" s="314"/>
      <c r="E2" s="314"/>
      <c r="F2" s="319" t="s">
        <v>2433</v>
      </c>
      <c r="G2" s="320" t="s">
        <v>65</v>
      </c>
      <c r="H2" s="321" t="s">
        <v>64</v>
      </c>
      <c r="I2" s="321" t="s">
        <v>2435</v>
      </c>
      <c r="J2" s="318" t="s">
        <v>2436</v>
      </c>
      <c r="K2" s="322" t="s">
        <v>2437</v>
      </c>
      <c r="L2" s="317"/>
      <c r="M2" s="317"/>
      <c r="N2" s="317"/>
      <c r="O2" s="317"/>
      <c r="P2" s="317"/>
      <c r="Q2" s="321" t="s">
        <v>2438</v>
      </c>
      <c r="R2" s="321">
        <v>30.0</v>
      </c>
      <c r="S2" s="323" t="s">
        <v>2439</v>
      </c>
      <c r="T2" s="324" t="s">
        <v>2442</v>
      </c>
      <c r="U2" s="41" t="s">
        <v>82</v>
      </c>
      <c r="V2" s="325" t="s">
        <v>2443</v>
      </c>
      <c r="W2" s="323" t="s">
        <v>2446</v>
      </c>
      <c r="X2" s="326">
        <v>0.15</v>
      </c>
      <c r="Y2" s="41" t="b">
        <v>0</v>
      </c>
      <c r="Z2" s="327"/>
    </row>
    <row r="3">
      <c r="A3" s="320" t="s">
        <v>2448</v>
      </c>
      <c r="C3" s="320" t="s">
        <v>2450</v>
      </c>
      <c r="E3" s="314"/>
      <c r="F3" s="328" t="s">
        <v>2452</v>
      </c>
      <c r="G3" s="320" t="s">
        <v>2454</v>
      </c>
      <c r="H3" s="321" t="s">
        <v>79</v>
      </c>
      <c r="I3" s="317"/>
      <c r="J3" s="318" t="s">
        <v>2456</v>
      </c>
      <c r="K3" s="322" t="s">
        <v>2457</v>
      </c>
      <c r="L3" s="321" t="s">
        <v>114</v>
      </c>
      <c r="M3" s="317"/>
      <c r="N3" s="166" t="s">
        <v>36</v>
      </c>
      <c r="O3" s="329">
        <v>0.01</v>
      </c>
      <c r="P3" s="317"/>
      <c r="Q3" s="321" t="s">
        <v>138</v>
      </c>
      <c r="R3" s="321">
        <v>18.0</v>
      </c>
      <c r="S3" s="323" t="s">
        <v>2439</v>
      </c>
      <c r="T3" s="330" t="s">
        <v>2462</v>
      </c>
      <c r="U3" s="41" t="s">
        <v>75</v>
      </c>
      <c r="V3" s="325" t="s">
        <v>2464</v>
      </c>
      <c r="W3" s="323" t="s">
        <v>2446</v>
      </c>
      <c r="X3" s="326">
        <v>0.2</v>
      </c>
    </row>
    <row r="4">
      <c r="A4" s="331">
        <v>43840.0</v>
      </c>
      <c r="B4" s="315">
        <v>3.0</v>
      </c>
      <c r="C4" s="332">
        <v>42370.0</v>
      </c>
      <c r="D4" s="333">
        <v>1.0</v>
      </c>
      <c r="E4" s="317"/>
      <c r="F4" s="328" t="s">
        <v>2469</v>
      </c>
      <c r="G4" s="320" t="s">
        <v>2470</v>
      </c>
      <c r="H4" s="321" t="s">
        <v>79</v>
      </c>
      <c r="I4" s="317"/>
      <c r="J4" s="318" t="s">
        <v>2456</v>
      </c>
      <c r="K4" s="322" t="s">
        <v>2474</v>
      </c>
      <c r="L4" s="321" t="s">
        <v>87</v>
      </c>
      <c r="M4" s="317"/>
      <c r="N4" s="317" t="s">
        <v>103</v>
      </c>
      <c r="O4" s="329">
        <v>0.2</v>
      </c>
      <c r="P4" s="317"/>
      <c r="Q4" s="321" t="s">
        <v>1492</v>
      </c>
      <c r="R4" s="321">
        <v>35.0</v>
      </c>
      <c r="S4" s="323" t="s">
        <v>2439</v>
      </c>
      <c r="T4" s="41" t="s">
        <v>2480</v>
      </c>
      <c r="U4" s="41" t="s">
        <v>89</v>
      </c>
      <c r="V4" s="323" t="s">
        <v>2481</v>
      </c>
      <c r="W4" s="323" t="s">
        <v>2482</v>
      </c>
      <c r="X4" s="326">
        <v>0.2</v>
      </c>
    </row>
    <row r="5">
      <c r="A5" s="331">
        <v>43891.0</v>
      </c>
      <c r="B5" s="315">
        <v>1.0</v>
      </c>
      <c r="C5" s="334">
        <v>43466.0</v>
      </c>
      <c r="D5" s="335">
        <v>2.0</v>
      </c>
      <c r="E5" s="317"/>
      <c r="F5" s="328" t="s">
        <v>2485</v>
      </c>
      <c r="G5" s="321" t="s">
        <v>123</v>
      </c>
      <c r="H5" s="321" t="s">
        <v>79</v>
      </c>
      <c r="I5" s="317"/>
      <c r="J5" s="318" t="s">
        <v>2486</v>
      </c>
      <c r="K5" s="322" t="s">
        <v>2488</v>
      </c>
      <c r="L5" s="321" t="s">
        <v>78</v>
      </c>
      <c r="M5" s="317"/>
      <c r="N5" s="166" t="s">
        <v>35</v>
      </c>
      <c r="O5" s="329">
        <v>0.2</v>
      </c>
      <c r="P5" s="318"/>
      <c r="Q5" s="321" t="s">
        <v>79</v>
      </c>
      <c r="R5" s="321">
        <v>0.0</v>
      </c>
      <c r="S5" s="323" t="s">
        <v>2439</v>
      </c>
      <c r="V5" s="325" t="s">
        <v>2491</v>
      </c>
      <c r="W5" s="323" t="s">
        <v>2493</v>
      </c>
      <c r="X5" s="326">
        <v>0.1</v>
      </c>
    </row>
    <row r="6">
      <c r="A6" s="331">
        <v>43983.0</v>
      </c>
      <c r="B6" s="315">
        <v>2.0</v>
      </c>
      <c r="C6" s="317"/>
      <c r="D6" s="317"/>
      <c r="E6" s="317"/>
      <c r="F6" s="328" t="s">
        <v>2496</v>
      </c>
      <c r="G6" s="321" t="s">
        <v>2497</v>
      </c>
      <c r="H6" s="321" t="s">
        <v>79</v>
      </c>
      <c r="I6" s="317"/>
      <c r="J6" s="318" t="s">
        <v>2456</v>
      </c>
      <c r="K6" s="322" t="s">
        <v>2499</v>
      </c>
      <c r="L6" s="321" t="s">
        <v>87</v>
      </c>
      <c r="M6" s="317"/>
      <c r="N6" s="166" t="s">
        <v>12</v>
      </c>
      <c r="O6" s="329">
        <v>0.2</v>
      </c>
      <c r="P6" s="317"/>
      <c r="Q6" s="321" t="s">
        <v>2438</v>
      </c>
      <c r="R6" s="321">
        <v>30.0</v>
      </c>
      <c r="S6" s="323" t="s">
        <v>2501</v>
      </c>
      <c r="V6" s="325" t="s">
        <v>2503</v>
      </c>
      <c r="W6" s="323" t="s">
        <v>2493</v>
      </c>
      <c r="X6" s="326">
        <v>0.15</v>
      </c>
    </row>
    <row r="7">
      <c r="A7" s="331">
        <v>44044.0</v>
      </c>
      <c r="B7" s="315">
        <v>1.0</v>
      </c>
      <c r="C7" s="317"/>
      <c r="D7" s="317"/>
      <c r="E7" s="317"/>
      <c r="F7" s="328" t="s">
        <v>2506</v>
      </c>
      <c r="G7" s="321" t="s">
        <v>2470</v>
      </c>
      <c r="H7" s="321" t="s">
        <v>138</v>
      </c>
      <c r="I7" s="317"/>
      <c r="J7" s="318" t="s">
        <v>2456</v>
      </c>
      <c r="K7" s="322" t="s">
        <v>2507</v>
      </c>
      <c r="L7" s="321" t="s">
        <v>78</v>
      </c>
      <c r="M7" s="317"/>
      <c r="N7" s="336" t="s">
        <v>2508</v>
      </c>
      <c r="O7" s="329">
        <v>0.0</v>
      </c>
      <c r="P7" s="317"/>
      <c r="Q7" s="321" t="s">
        <v>138</v>
      </c>
      <c r="R7" s="321">
        <v>9.0</v>
      </c>
      <c r="S7" s="323" t="s">
        <v>2501</v>
      </c>
      <c r="V7" s="325" t="s">
        <v>2510</v>
      </c>
      <c r="W7" s="323" t="s">
        <v>2493</v>
      </c>
      <c r="X7" s="326">
        <v>0.1</v>
      </c>
    </row>
    <row r="8">
      <c r="A8" s="331">
        <v>44136.0</v>
      </c>
      <c r="B8" s="315">
        <v>2.0</v>
      </c>
      <c r="C8" s="317"/>
      <c r="D8" s="317"/>
      <c r="E8" s="317"/>
      <c r="F8" s="328" t="s">
        <v>2511</v>
      </c>
      <c r="G8" s="321" t="s">
        <v>2512</v>
      </c>
      <c r="H8" s="321" t="s">
        <v>79</v>
      </c>
      <c r="I8" s="317"/>
      <c r="J8" s="318" t="s">
        <v>2456</v>
      </c>
      <c r="K8" s="322" t="s">
        <v>2514</v>
      </c>
      <c r="L8" s="321" t="s">
        <v>114</v>
      </c>
      <c r="M8" s="317"/>
      <c r="N8" s="229" t="s">
        <v>616</v>
      </c>
      <c r="O8" s="337">
        <v>0.2</v>
      </c>
      <c r="P8" s="317"/>
      <c r="Q8" s="321" t="s">
        <v>1492</v>
      </c>
      <c r="R8" s="321">
        <v>18.0</v>
      </c>
      <c r="S8" s="323" t="s">
        <v>2501</v>
      </c>
      <c r="V8" s="325" t="s">
        <v>2524</v>
      </c>
      <c r="W8" s="323" t="s">
        <v>96</v>
      </c>
      <c r="X8" s="326">
        <v>0.1</v>
      </c>
    </row>
    <row r="9">
      <c r="A9" s="331">
        <v>44185.0</v>
      </c>
      <c r="B9" s="315">
        <v>1.0</v>
      </c>
      <c r="C9" s="317"/>
      <c r="D9" s="317"/>
      <c r="E9" s="317"/>
      <c r="F9" s="328" t="s">
        <v>2526</v>
      </c>
      <c r="G9" s="321" t="s">
        <v>123</v>
      </c>
      <c r="H9" s="321" t="s">
        <v>138</v>
      </c>
      <c r="I9" s="329"/>
      <c r="J9" s="318" t="s">
        <v>2486</v>
      </c>
      <c r="K9" s="338" t="s">
        <v>2527</v>
      </c>
      <c r="L9" s="321" t="s">
        <v>78</v>
      </c>
      <c r="M9" s="317"/>
      <c r="N9" s="166" t="s">
        <v>101</v>
      </c>
      <c r="O9" s="337">
        <v>0.2</v>
      </c>
      <c r="P9" s="317"/>
      <c r="Q9" s="321" t="s">
        <v>79</v>
      </c>
      <c r="R9" s="321">
        <v>0.0</v>
      </c>
      <c r="S9" s="323" t="s">
        <v>2501</v>
      </c>
      <c r="V9" s="325" t="s">
        <v>2529</v>
      </c>
      <c r="W9" s="323" t="s">
        <v>37</v>
      </c>
      <c r="X9" s="326">
        <v>0.05</v>
      </c>
    </row>
    <row r="10">
      <c r="A10" s="331">
        <v>44206.0</v>
      </c>
      <c r="B10" s="315">
        <v>3.0</v>
      </c>
      <c r="C10" s="317"/>
      <c r="D10" s="317"/>
      <c r="E10" s="317"/>
      <c r="F10" s="328" t="s">
        <v>2533</v>
      </c>
      <c r="G10" s="320" t="s">
        <v>2454</v>
      </c>
      <c r="H10" s="321" t="s">
        <v>138</v>
      </c>
      <c r="I10" s="317"/>
      <c r="J10" s="318" t="s">
        <v>2456</v>
      </c>
      <c r="K10" s="338" t="s">
        <v>2535</v>
      </c>
      <c r="L10" s="321" t="s">
        <v>87</v>
      </c>
      <c r="M10" s="317"/>
      <c r="N10" s="229" t="s">
        <v>1190</v>
      </c>
      <c r="O10" s="337">
        <v>0.2</v>
      </c>
      <c r="P10" s="317"/>
      <c r="Q10" s="317"/>
      <c r="R10" s="317"/>
      <c r="S10" s="317"/>
      <c r="V10" s="325" t="s">
        <v>2540</v>
      </c>
      <c r="W10" s="323" t="s">
        <v>96</v>
      </c>
      <c r="X10" s="326">
        <v>0.1</v>
      </c>
    </row>
    <row r="11">
      <c r="A11" s="331">
        <v>44256.0</v>
      </c>
      <c r="B11" s="315">
        <v>1.0</v>
      </c>
      <c r="C11" s="317"/>
      <c r="D11" s="317"/>
      <c r="E11" s="317"/>
      <c r="F11" s="328" t="s">
        <v>2542</v>
      </c>
      <c r="G11" s="321" t="s">
        <v>2497</v>
      </c>
      <c r="H11" s="321" t="s">
        <v>138</v>
      </c>
      <c r="I11" s="317"/>
      <c r="J11" s="318" t="s">
        <v>2456</v>
      </c>
      <c r="K11" s="338" t="s">
        <v>2544</v>
      </c>
      <c r="L11" s="321" t="s">
        <v>114</v>
      </c>
      <c r="M11" s="317"/>
      <c r="N11" s="166" t="s">
        <v>1061</v>
      </c>
      <c r="O11" s="337">
        <v>0.2</v>
      </c>
      <c r="P11" s="317"/>
      <c r="Q11" s="317"/>
      <c r="R11" s="317"/>
      <c r="S11" s="317"/>
      <c r="V11" s="325" t="s">
        <v>2548</v>
      </c>
      <c r="W11" s="323" t="s">
        <v>96</v>
      </c>
      <c r="X11" s="326">
        <v>0.1</v>
      </c>
    </row>
    <row r="12">
      <c r="A12" s="331">
        <v>44348.0</v>
      </c>
      <c r="B12" s="315">
        <v>2.0</v>
      </c>
      <c r="C12" s="317"/>
      <c r="D12" s="317"/>
      <c r="E12" s="317"/>
      <c r="F12" s="340" t="s">
        <v>2549</v>
      </c>
      <c r="G12" s="321" t="s">
        <v>80</v>
      </c>
      <c r="H12" s="321" t="s">
        <v>79</v>
      </c>
      <c r="I12" s="317"/>
      <c r="J12" s="318" t="s">
        <v>2551</v>
      </c>
      <c r="K12" s="338" t="s">
        <v>2552</v>
      </c>
      <c r="L12" s="321" t="s">
        <v>87</v>
      </c>
      <c r="M12" s="317"/>
      <c r="N12" s="166" t="s">
        <v>2553</v>
      </c>
      <c r="O12" s="337">
        <v>0.2</v>
      </c>
      <c r="P12" s="317"/>
      <c r="Q12" s="317"/>
      <c r="R12" s="317"/>
      <c r="S12" s="317"/>
      <c r="V12" s="325" t="s">
        <v>2555</v>
      </c>
      <c r="W12" s="323" t="s">
        <v>2493</v>
      </c>
      <c r="X12" s="326">
        <v>0.1</v>
      </c>
    </row>
    <row r="13">
      <c r="A13" s="331">
        <v>44409.0</v>
      </c>
      <c r="B13" s="315">
        <v>1.0</v>
      </c>
      <c r="C13" s="317"/>
      <c r="D13" s="317"/>
      <c r="E13" s="317"/>
      <c r="F13" s="340" t="s">
        <v>2557</v>
      </c>
      <c r="G13" s="321" t="s">
        <v>80</v>
      </c>
      <c r="H13" s="321" t="s">
        <v>79</v>
      </c>
      <c r="I13" s="317"/>
      <c r="J13" s="318" t="s">
        <v>2551</v>
      </c>
      <c r="K13" s="338" t="s">
        <v>2558</v>
      </c>
      <c r="L13" s="321" t="s">
        <v>114</v>
      </c>
      <c r="M13" s="317"/>
      <c r="N13" s="166" t="s">
        <v>2559</v>
      </c>
      <c r="O13" s="337">
        <v>0.2</v>
      </c>
      <c r="P13" s="317"/>
      <c r="Q13" s="317"/>
      <c r="R13" s="317"/>
      <c r="S13" s="317"/>
      <c r="V13" s="325" t="s">
        <v>2560</v>
      </c>
      <c r="W13" s="323" t="s">
        <v>2446</v>
      </c>
      <c r="X13" s="341">
        <v>0.15</v>
      </c>
    </row>
    <row r="14">
      <c r="A14" s="331">
        <v>44501.0</v>
      </c>
      <c r="B14" s="315">
        <v>2.0</v>
      </c>
      <c r="C14" s="317"/>
      <c r="D14" s="317"/>
      <c r="E14" s="317"/>
      <c r="F14" s="340" t="s">
        <v>2563</v>
      </c>
      <c r="G14" s="321" t="s">
        <v>80</v>
      </c>
      <c r="H14" s="321" t="s">
        <v>79</v>
      </c>
      <c r="I14" s="317"/>
      <c r="J14" s="318" t="s">
        <v>2551</v>
      </c>
      <c r="K14" s="338" t="s">
        <v>2565</v>
      </c>
      <c r="L14" s="321" t="s">
        <v>78</v>
      </c>
      <c r="M14" s="317"/>
      <c r="N14" s="166" t="s">
        <v>421</v>
      </c>
      <c r="O14" s="337">
        <v>0.2</v>
      </c>
      <c r="P14" s="317"/>
      <c r="Q14" s="317"/>
      <c r="R14" s="317"/>
      <c r="S14" s="317"/>
      <c r="V14" s="325" t="s">
        <v>2567</v>
      </c>
      <c r="W14" s="323" t="s">
        <v>37</v>
      </c>
      <c r="X14" s="326">
        <v>0.05</v>
      </c>
    </row>
    <row r="15">
      <c r="A15" s="331">
        <v>44550.0</v>
      </c>
      <c r="B15" s="315">
        <v>3.0</v>
      </c>
      <c r="C15" s="317"/>
      <c r="D15" s="317"/>
      <c r="E15" s="317"/>
      <c r="F15" s="340" t="s">
        <v>2568</v>
      </c>
      <c r="G15" s="321" t="s">
        <v>80</v>
      </c>
      <c r="H15" s="321" t="s">
        <v>79</v>
      </c>
      <c r="I15" s="317"/>
      <c r="J15" s="318" t="s">
        <v>2551</v>
      </c>
      <c r="K15" s="338" t="s">
        <v>2569</v>
      </c>
      <c r="L15" s="321" t="s">
        <v>78</v>
      </c>
      <c r="M15" s="317"/>
      <c r="N15" s="166" t="s">
        <v>1061</v>
      </c>
      <c r="O15" s="337">
        <v>0.2</v>
      </c>
      <c r="P15" s="317"/>
      <c r="Q15" s="317"/>
      <c r="R15" s="317"/>
      <c r="S15" s="317"/>
      <c r="V15" s="325" t="s">
        <v>2572</v>
      </c>
      <c r="W15" s="323" t="s">
        <v>2446</v>
      </c>
      <c r="X15" s="341">
        <v>0.15</v>
      </c>
    </row>
    <row r="16">
      <c r="A16" s="331">
        <v>44571.0</v>
      </c>
      <c r="B16" s="342">
        <v>1.0</v>
      </c>
      <c r="C16" s="317"/>
      <c r="D16" s="317"/>
      <c r="E16" s="317"/>
      <c r="F16" s="340" t="s">
        <v>2573</v>
      </c>
      <c r="G16" s="321" t="s">
        <v>80</v>
      </c>
      <c r="H16" s="321" t="s">
        <v>79</v>
      </c>
      <c r="I16" s="317"/>
      <c r="J16" s="318" t="s">
        <v>2551</v>
      </c>
      <c r="K16" s="338" t="s">
        <v>2574</v>
      </c>
      <c r="L16" s="321" t="s">
        <v>87</v>
      </c>
      <c r="M16" s="317"/>
      <c r="N16" s="166" t="s">
        <v>129</v>
      </c>
      <c r="O16" s="337">
        <v>0.2</v>
      </c>
      <c r="P16" s="317"/>
      <c r="Q16" s="317"/>
      <c r="R16" s="317"/>
      <c r="S16" s="317"/>
    </row>
    <row r="17">
      <c r="A17" s="331">
        <v>44621.0</v>
      </c>
      <c r="B17" s="342">
        <v>2.0</v>
      </c>
      <c r="C17" s="317"/>
      <c r="D17" s="317"/>
      <c r="E17" s="317"/>
      <c r="F17" s="340" t="s">
        <v>2577</v>
      </c>
      <c r="G17" s="321" t="s">
        <v>96</v>
      </c>
      <c r="H17" s="321" t="s">
        <v>79</v>
      </c>
      <c r="I17" s="329">
        <v>0.1</v>
      </c>
      <c r="J17" s="318" t="s">
        <v>2551</v>
      </c>
      <c r="K17" s="336" t="s">
        <v>2580</v>
      </c>
      <c r="L17" s="321" t="s">
        <v>87</v>
      </c>
      <c r="M17" s="317"/>
      <c r="N17" s="166" t="s">
        <v>2582</v>
      </c>
      <c r="O17" s="343">
        <v>0.0</v>
      </c>
      <c r="P17" s="317"/>
      <c r="Q17" s="317"/>
      <c r="R17" s="317"/>
      <c r="S17" s="317"/>
    </row>
    <row r="18">
      <c r="A18" s="331">
        <v>44713.0</v>
      </c>
      <c r="B18" s="342">
        <v>1.0</v>
      </c>
      <c r="C18" s="317"/>
      <c r="D18" s="317"/>
      <c r="E18" s="317"/>
      <c r="F18" s="344" t="s">
        <v>2585</v>
      </c>
      <c r="G18" s="321" t="s">
        <v>96</v>
      </c>
      <c r="H18" s="321" t="s">
        <v>79</v>
      </c>
      <c r="I18" s="329">
        <v>0.1</v>
      </c>
      <c r="J18" s="318" t="s">
        <v>2551</v>
      </c>
      <c r="K18" s="336" t="s">
        <v>2587</v>
      </c>
      <c r="L18" s="321" t="s">
        <v>78</v>
      </c>
      <c r="M18" s="317"/>
      <c r="N18" s="166" t="s">
        <v>94</v>
      </c>
      <c r="O18" s="343">
        <v>0.0</v>
      </c>
      <c r="P18" s="317"/>
      <c r="Q18" s="317"/>
      <c r="R18" s="317"/>
      <c r="S18" s="317"/>
    </row>
    <row r="19">
      <c r="A19" s="331">
        <v>44774.0</v>
      </c>
      <c r="B19" s="342">
        <v>2.0</v>
      </c>
      <c r="C19" s="317"/>
      <c r="D19" s="317"/>
      <c r="E19" s="317"/>
      <c r="F19" s="340" t="s">
        <v>2589</v>
      </c>
      <c r="G19" s="321" t="s">
        <v>96</v>
      </c>
      <c r="H19" s="321" t="s">
        <v>79</v>
      </c>
      <c r="I19" s="329">
        <v>0.1</v>
      </c>
      <c r="J19" s="318" t="s">
        <v>2551</v>
      </c>
      <c r="K19" s="345" t="s">
        <v>2590</v>
      </c>
      <c r="L19" s="321" t="s">
        <v>114</v>
      </c>
      <c r="M19" s="317"/>
      <c r="N19" s="253" t="s">
        <v>275</v>
      </c>
      <c r="O19" s="337">
        <v>0.2</v>
      </c>
      <c r="P19" s="317"/>
      <c r="Q19" s="317"/>
      <c r="R19" s="317"/>
      <c r="S19" s="317"/>
    </row>
    <row r="20">
      <c r="A20" s="331">
        <v>44866.0</v>
      </c>
      <c r="B20" s="315">
        <v>3.0</v>
      </c>
      <c r="C20" s="317"/>
      <c r="D20" s="317"/>
      <c r="E20" s="317"/>
      <c r="F20" s="340" t="s">
        <v>2592</v>
      </c>
      <c r="G20" s="321" t="s">
        <v>96</v>
      </c>
      <c r="H20" s="321" t="s">
        <v>79</v>
      </c>
      <c r="I20" s="329">
        <v>0.05</v>
      </c>
      <c r="J20" s="318" t="s">
        <v>2551</v>
      </c>
      <c r="K20" s="346" t="s">
        <v>2594</v>
      </c>
      <c r="L20" s="321" t="s">
        <v>114</v>
      </c>
      <c r="M20" s="317"/>
      <c r="N20" s="265" t="s">
        <v>109</v>
      </c>
      <c r="O20" s="337">
        <v>0.2</v>
      </c>
      <c r="P20" s="317"/>
      <c r="Q20" s="317"/>
      <c r="R20" s="317"/>
      <c r="S20" s="317"/>
    </row>
    <row r="21">
      <c r="A21" s="331">
        <v>44915.0</v>
      </c>
      <c r="B21" s="342">
        <v>1.0</v>
      </c>
      <c r="C21" s="317"/>
      <c r="D21" s="317"/>
      <c r="E21" s="317"/>
      <c r="F21" s="340" t="s">
        <v>2592</v>
      </c>
      <c r="G21" s="321" t="s">
        <v>96</v>
      </c>
      <c r="H21" s="321" t="s">
        <v>79</v>
      </c>
      <c r="I21" s="329">
        <v>0.05</v>
      </c>
      <c r="J21" s="318" t="s">
        <v>2551</v>
      </c>
      <c r="K21" s="346" t="s">
        <v>2596</v>
      </c>
      <c r="L21" s="321" t="s">
        <v>111</v>
      </c>
      <c r="M21" s="317"/>
      <c r="N21" s="265" t="s">
        <v>1666</v>
      </c>
      <c r="O21" s="337">
        <v>0.2</v>
      </c>
      <c r="P21" s="317"/>
      <c r="Q21" s="317"/>
      <c r="R21" s="317"/>
      <c r="S21" s="317"/>
    </row>
    <row r="22">
      <c r="A22" s="344"/>
      <c r="B22" s="342">
        <v>2.0</v>
      </c>
      <c r="C22" s="317"/>
      <c r="D22" s="317"/>
      <c r="E22" s="317"/>
      <c r="F22" s="344" t="s">
        <v>2598</v>
      </c>
      <c r="G22" s="321" t="s">
        <v>96</v>
      </c>
      <c r="H22" s="321" t="s">
        <v>79</v>
      </c>
      <c r="I22" s="329">
        <v>0.1</v>
      </c>
      <c r="J22" s="318" t="s">
        <v>2551</v>
      </c>
      <c r="K22" s="346" t="s">
        <v>2600</v>
      </c>
      <c r="L22" s="321" t="s">
        <v>91</v>
      </c>
      <c r="M22" s="317"/>
      <c r="N22" s="265" t="s">
        <v>2602</v>
      </c>
      <c r="O22" s="343">
        <v>0.12</v>
      </c>
      <c r="P22" s="317"/>
      <c r="Q22" s="317"/>
      <c r="R22" s="317"/>
      <c r="S22" s="317"/>
    </row>
    <row r="23">
      <c r="A23" s="344"/>
      <c r="B23" s="342">
        <v>1.0</v>
      </c>
      <c r="C23" s="317"/>
      <c r="D23" s="317"/>
      <c r="E23" s="317"/>
      <c r="F23" s="340" t="s">
        <v>2603</v>
      </c>
      <c r="G23" s="321" t="s">
        <v>80</v>
      </c>
      <c r="H23" s="321" t="s">
        <v>79</v>
      </c>
      <c r="I23" s="317"/>
      <c r="J23" s="318" t="s">
        <v>2551</v>
      </c>
      <c r="K23" s="318" t="s">
        <v>2604</v>
      </c>
      <c r="L23" s="318" t="s">
        <v>87</v>
      </c>
      <c r="M23" s="317"/>
      <c r="N23" s="178" t="s">
        <v>2325</v>
      </c>
      <c r="O23" s="343">
        <v>0.15</v>
      </c>
      <c r="P23" s="317"/>
      <c r="Q23" s="317"/>
      <c r="R23" s="317"/>
      <c r="S23" s="317"/>
    </row>
    <row r="24">
      <c r="A24" s="344"/>
      <c r="B24" s="347">
        <v>4.0</v>
      </c>
      <c r="C24" s="317"/>
      <c r="D24" s="317"/>
      <c r="E24" s="317"/>
      <c r="F24" s="340" t="s">
        <v>2607</v>
      </c>
      <c r="G24" s="321" t="s">
        <v>80</v>
      </c>
      <c r="H24" s="321" t="s">
        <v>79</v>
      </c>
      <c r="I24" s="317"/>
      <c r="J24" s="318" t="s">
        <v>2551</v>
      </c>
      <c r="K24" s="318" t="s">
        <v>2609</v>
      </c>
      <c r="L24" s="321" t="s">
        <v>78</v>
      </c>
      <c r="M24" s="317"/>
      <c r="N24" s="317"/>
      <c r="O24" s="317"/>
      <c r="P24" s="317"/>
      <c r="Q24" s="317"/>
      <c r="R24" s="317"/>
      <c r="S24" s="317"/>
    </row>
    <row r="25">
      <c r="A25" s="344"/>
      <c r="B25" s="348">
        <v>1.0</v>
      </c>
      <c r="C25" s="317"/>
      <c r="D25" s="317"/>
      <c r="E25" s="317"/>
      <c r="F25" s="340" t="s">
        <v>2612</v>
      </c>
      <c r="G25" s="321" t="s">
        <v>80</v>
      </c>
      <c r="H25" s="321" t="s">
        <v>79</v>
      </c>
      <c r="I25" s="317"/>
      <c r="J25" s="318" t="s">
        <v>2551</v>
      </c>
      <c r="K25" s="318" t="s">
        <v>2613</v>
      </c>
      <c r="L25" s="321" t="s">
        <v>78</v>
      </c>
      <c r="M25" s="317"/>
      <c r="N25" s="317"/>
      <c r="O25" s="317"/>
      <c r="P25" s="317"/>
      <c r="Q25" s="317"/>
      <c r="R25" s="317"/>
      <c r="S25" s="317"/>
    </row>
    <row r="26">
      <c r="A26" s="344"/>
      <c r="B26" s="347">
        <v>3.0</v>
      </c>
      <c r="C26" s="317"/>
      <c r="D26" s="317"/>
      <c r="E26" s="317"/>
      <c r="F26" s="340" t="s">
        <v>2615</v>
      </c>
      <c r="G26" s="321" t="s">
        <v>80</v>
      </c>
      <c r="H26" s="321" t="s">
        <v>79</v>
      </c>
      <c r="I26" s="317"/>
      <c r="J26" s="318" t="s">
        <v>2551</v>
      </c>
      <c r="K26" s="349" t="s">
        <v>2617</v>
      </c>
      <c r="L26" s="321" t="s">
        <v>111</v>
      </c>
      <c r="M26" s="317"/>
      <c r="N26" s="317"/>
      <c r="O26" s="317"/>
      <c r="P26" s="317"/>
      <c r="Q26" s="317"/>
      <c r="R26" s="317"/>
      <c r="S26" s="317"/>
    </row>
    <row r="27">
      <c r="A27" s="344"/>
      <c r="B27" s="342">
        <v>1.0</v>
      </c>
      <c r="C27" s="317"/>
      <c r="D27" s="317"/>
      <c r="E27" s="317"/>
      <c r="F27" s="340" t="s">
        <v>2619</v>
      </c>
      <c r="G27" s="321" t="s">
        <v>80</v>
      </c>
      <c r="H27" s="321" t="s">
        <v>79</v>
      </c>
      <c r="I27" s="317"/>
      <c r="J27" s="318" t="s">
        <v>2551</v>
      </c>
      <c r="K27" s="349" t="s">
        <v>2621</v>
      </c>
      <c r="L27" s="321" t="s">
        <v>111</v>
      </c>
      <c r="M27" s="317"/>
      <c r="N27" s="317"/>
      <c r="O27" s="317"/>
      <c r="P27" s="317"/>
      <c r="Q27" s="317"/>
      <c r="R27" s="317"/>
      <c r="S27" s="317"/>
    </row>
    <row r="28">
      <c r="A28" s="344"/>
      <c r="B28" s="342">
        <v>2.0</v>
      </c>
      <c r="C28" s="317"/>
      <c r="D28" s="317"/>
      <c r="E28" s="317"/>
      <c r="F28" s="340" t="s">
        <v>1645</v>
      </c>
      <c r="G28" s="321" t="s">
        <v>80</v>
      </c>
      <c r="H28" s="321" t="s">
        <v>138</v>
      </c>
      <c r="I28" s="317"/>
      <c r="J28" s="318" t="s">
        <v>2551</v>
      </c>
      <c r="K28" s="349" t="s">
        <v>2624</v>
      </c>
      <c r="L28" s="321" t="s">
        <v>91</v>
      </c>
      <c r="M28" s="317"/>
      <c r="N28" s="317"/>
      <c r="O28" s="317"/>
      <c r="P28" s="317"/>
      <c r="Q28" s="317"/>
      <c r="R28" s="317"/>
      <c r="S28" s="317"/>
    </row>
    <row r="29">
      <c r="A29" s="344"/>
      <c r="B29" s="342">
        <v>1.0</v>
      </c>
      <c r="C29" s="317"/>
      <c r="D29" s="317"/>
      <c r="E29" s="317"/>
      <c r="F29" s="340" t="s">
        <v>2626</v>
      </c>
      <c r="G29" s="321" t="s">
        <v>2627</v>
      </c>
      <c r="H29" s="321" t="s">
        <v>79</v>
      </c>
      <c r="I29" s="329">
        <v>0.1</v>
      </c>
      <c r="J29" s="318" t="s">
        <v>2551</v>
      </c>
      <c r="K29" s="318" t="s">
        <v>2628</v>
      </c>
      <c r="L29" s="321" t="s">
        <v>87</v>
      </c>
      <c r="M29" s="317"/>
      <c r="N29" s="317"/>
      <c r="O29" s="317"/>
      <c r="P29" s="317"/>
      <c r="Q29" s="317"/>
      <c r="R29" s="317"/>
      <c r="S29" s="317"/>
    </row>
    <row r="30">
      <c r="A30" s="344"/>
      <c r="B30" s="347">
        <v>4.0</v>
      </c>
      <c r="C30" s="317"/>
      <c r="D30" s="317"/>
      <c r="E30" s="317"/>
      <c r="F30" s="340" t="s">
        <v>2631</v>
      </c>
      <c r="G30" s="321" t="s">
        <v>2627</v>
      </c>
      <c r="H30" s="321" t="s">
        <v>79</v>
      </c>
      <c r="I30" s="329">
        <v>0.1</v>
      </c>
      <c r="J30" s="318" t="s">
        <v>2551</v>
      </c>
      <c r="K30" s="318" t="s">
        <v>2632</v>
      </c>
      <c r="L30" s="321" t="s">
        <v>87</v>
      </c>
      <c r="M30" s="317"/>
      <c r="N30" s="317"/>
      <c r="O30" s="317"/>
      <c r="P30" s="317"/>
      <c r="Q30" s="317"/>
      <c r="R30" s="317"/>
      <c r="S30" s="317"/>
    </row>
    <row r="31">
      <c r="A31" s="344"/>
      <c r="B31" s="348">
        <v>1.0</v>
      </c>
      <c r="C31" s="317"/>
      <c r="D31" s="317"/>
      <c r="E31" s="317"/>
      <c r="F31" s="340" t="s">
        <v>2635</v>
      </c>
      <c r="G31" s="321" t="s">
        <v>2627</v>
      </c>
      <c r="H31" s="321" t="s">
        <v>79</v>
      </c>
      <c r="I31" s="329">
        <v>0.12</v>
      </c>
      <c r="J31" s="318" t="s">
        <v>2551</v>
      </c>
      <c r="K31" s="349" t="s">
        <v>2636</v>
      </c>
      <c r="L31" s="321" t="s">
        <v>111</v>
      </c>
      <c r="M31" s="317"/>
      <c r="N31" s="317"/>
      <c r="O31" s="317"/>
      <c r="P31" s="317"/>
      <c r="Q31" s="317"/>
      <c r="R31" s="317"/>
      <c r="S31" s="317"/>
    </row>
    <row r="32">
      <c r="A32" s="344"/>
      <c r="B32" s="347">
        <v>3.0</v>
      </c>
      <c r="C32" s="317"/>
      <c r="D32" s="317"/>
      <c r="E32" s="317"/>
      <c r="F32" s="340" t="s">
        <v>2639</v>
      </c>
      <c r="G32" s="321" t="s">
        <v>80</v>
      </c>
      <c r="H32" s="321" t="s">
        <v>79</v>
      </c>
      <c r="I32" s="317"/>
      <c r="J32" s="318" t="s">
        <v>2551</v>
      </c>
      <c r="K32" s="349" t="s">
        <v>2641</v>
      </c>
      <c r="L32" s="321" t="s">
        <v>87</v>
      </c>
      <c r="M32" s="317"/>
      <c r="N32" s="317"/>
      <c r="O32" s="317"/>
      <c r="P32" s="317"/>
      <c r="Q32" s="317"/>
      <c r="R32" s="317"/>
      <c r="S32" s="317"/>
    </row>
    <row r="33">
      <c r="A33" s="344"/>
      <c r="B33" s="315"/>
      <c r="C33" s="317"/>
      <c r="D33" s="317"/>
      <c r="E33" s="317"/>
      <c r="F33" s="340" t="s">
        <v>1825</v>
      </c>
      <c r="G33" s="321" t="s">
        <v>2643</v>
      </c>
      <c r="H33" s="321" t="s">
        <v>79</v>
      </c>
      <c r="I33" s="329">
        <v>0.05</v>
      </c>
      <c r="J33" s="318" t="s">
        <v>2551</v>
      </c>
      <c r="K33" s="349" t="s">
        <v>2644</v>
      </c>
      <c r="L33" s="318" t="s">
        <v>78</v>
      </c>
      <c r="M33" s="317"/>
      <c r="N33" s="317"/>
      <c r="O33" s="317"/>
      <c r="P33" s="317"/>
      <c r="Q33" s="317"/>
      <c r="R33" s="317"/>
      <c r="S33" s="317"/>
    </row>
    <row r="34">
      <c r="A34" s="344"/>
      <c r="B34" s="315"/>
      <c r="C34" s="317"/>
      <c r="D34" s="317"/>
      <c r="E34" s="317"/>
      <c r="F34" s="340" t="s">
        <v>2646</v>
      </c>
      <c r="G34" s="321" t="s">
        <v>2643</v>
      </c>
      <c r="H34" s="321" t="s">
        <v>79</v>
      </c>
      <c r="I34" s="329">
        <v>0.1</v>
      </c>
      <c r="J34" s="318" t="s">
        <v>2551</v>
      </c>
      <c r="K34" s="350" t="s">
        <v>2647</v>
      </c>
      <c r="L34" s="321" t="s">
        <v>91</v>
      </c>
      <c r="M34" s="317"/>
      <c r="N34" s="317"/>
      <c r="O34" s="317"/>
      <c r="P34" s="317"/>
      <c r="Q34" s="317"/>
      <c r="R34" s="317"/>
      <c r="S34" s="317"/>
    </row>
    <row r="35">
      <c r="A35" s="317"/>
      <c r="B35" s="315"/>
      <c r="C35" s="317"/>
      <c r="D35" s="317"/>
      <c r="E35" s="317"/>
      <c r="F35" s="340" t="s">
        <v>2650</v>
      </c>
      <c r="G35" s="321" t="s">
        <v>2643</v>
      </c>
      <c r="H35" s="321" t="s">
        <v>79</v>
      </c>
      <c r="I35" s="329">
        <v>0.15</v>
      </c>
      <c r="J35" s="318" t="s">
        <v>2551</v>
      </c>
      <c r="K35" s="349" t="s">
        <v>2651</v>
      </c>
      <c r="L35" s="318" t="s">
        <v>78</v>
      </c>
      <c r="M35" s="317"/>
      <c r="N35" s="317"/>
      <c r="O35" s="317"/>
      <c r="P35" s="317"/>
      <c r="Q35" s="317"/>
      <c r="R35" s="317"/>
      <c r="S35" s="317"/>
    </row>
    <row r="36">
      <c r="A36" s="317"/>
      <c r="B36" s="315"/>
      <c r="C36" s="317"/>
      <c r="D36" s="317"/>
      <c r="E36" s="317"/>
      <c r="F36" s="340" t="s">
        <v>2653</v>
      </c>
      <c r="G36" s="321" t="s">
        <v>2654</v>
      </c>
      <c r="H36" s="321" t="s">
        <v>79</v>
      </c>
      <c r="I36" s="329">
        <v>0.1</v>
      </c>
      <c r="J36" s="318" t="s">
        <v>2551</v>
      </c>
      <c r="K36" s="349" t="s">
        <v>2655</v>
      </c>
      <c r="L36" s="318" t="s">
        <v>114</v>
      </c>
      <c r="M36" s="317"/>
      <c r="N36" s="317"/>
      <c r="O36" s="317"/>
      <c r="P36" s="317"/>
      <c r="Q36" s="317"/>
      <c r="R36" s="317"/>
      <c r="S36" s="317"/>
    </row>
    <row r="37">
      <c r="A37" s="317"/>
      <c r="B37" s="315"/>
      <c r="C37" s="317"/>
      <c r="D37" s="317"/>
      <c r="E37" s="317"/>
      <c r="F37" s="340" t="s">
        <v>2656</v>
      </c>
      <c r="G37" s="321" t="s">
        <v>80</v>
      </c>
      <c r="H37" s="321" t="s">
        <v>79</v>
      </c>
      <c r="I37" s="317"/>
      <c r="J37" s="318" t="s">
        <v>2551</v>
      </c>
      <c r="K37" s="349" t="s">
        <v>2658</v>
      </c>
      <c r="L37" s="318" t="s">
        <v>87</v>
      </c>
      <c r="M37" s="317"/>
      <c r="N37" s="317"/>
      <c r="O37" s="317"/>
      <c r="P37" s="317"/>
      <c r="Q37" s="317"/>
      <c r="R37" s="317"/>
      <c r="S37" s="317"/>
    </row>
    <row r="38">
      <c r="A38" s="317"/>
      <c r="B38" s="317"/>
      <c r="C38" s="317"/>
      <c r="D38" s="317"/>
      <c r="E38" s="317"/>
      <c r="F38" s="340" t="s">
        <v>2660</v>
      </c>
      <c r="G38" s="321" t="s">
        <v>80</v>
      </c>
      <c r="H38" s="321" t="s">
        <v>1492</v>
      </c>
      <c r="I38" s="317"/>
      <c r="J38" s="318" t="s">
        <v>2551</v>
      </c>
      <c r="K38" s="349" t="s">
        <v>2661</v>
      </c>
      <c r="L38" s="321" t="s">
        <v>78</v>
      </c>
      <c r="M38" s="317"/>
      <c r="N38" s="317"/>
      <c r="O38" s="317"/>
      <c r="P38" s="317"/>
      <c r="Q38" s="317"/>
      <c r="R38" s="317"/>
      <c r="S38" s="317"/>
    </row>
    <row r="39">
      <c r="A39" s="317"/>
      <c r="B39" s="317"/>
      <c r="C39" s="317"/>
      <c r="D39" s="317"/>
      <c r="E39" s="317"/>
      <c r="F39" s="344" t="s">
        <v>2664</v>
      </c>
      <c r="G39" s="321" t="s">
        <v>2654</v>
      </c>
      <c r="H39" s="321" t="s">
        <v>79</v>
      </c>
      <c r="I39" s="329">
        <v>0.2</v>
      </c>
      <c r="J39" s="318" t="s">
        <v>2551</v>
      </c>
      <c r="K39" s="349" t="s">
        <v>2665</v>
      </c>
      <c r="L39" s="318" t="s">
        <v>114</v>
      </c>
      <c r="M39" s="317"/>
      <c r="N39" s="317"/>
      <c r="O39" s="317"/>
      <c r="P39" s="317"/>
      <c r="Q39" s="317"/>
      <c r="R39" s="317"/>
      <c r="S39" s="317"/>
    </row>
    <row r="40">
      <c r="A40" s="317"/>
      <c r="B40" s="317"/>
      <c r="C40" s="317"/>
      <c r="D40" s="317"/>
      <c r="E40" s="317"/>
      <c r="F40" s="340" t="s">
        <v>2668</v>
      </c>
      <c r="G40" s="321" t="s">
        <v>80</v>
      </c>
      <c r="H40" s="321" t="s">
        <v>79</v>
      </c>
      <c r="I40" s="317"/>
      <c r="J40" s="318" t="s">
        <v>2551</v>
      </c>
      <c r="K40" s="349" t="s">
        <v>2670</v>
      </c>
      <c r="L40" s="321" t="s">
        <v>78</v>
      </c>
      <c r="M40" s="317"/>
      <c r="N40" s="317"/>
      <c r="O40" s="317"/>
      <c r="P40" s="317"/>
      <c r="Q40" s="317"/>
      <c r="R40" s="317"/>
      <c r="S40" s="317"/>
    </row>
    <row r="41">
      <c r="A41" s="317"/>
      <c r="B41" s="344"/>
      <c r="C41" s="344"/>
      <c r="D41" s="344"/>
      <c r="E41" s="344"/>
      <c r="F41" s="340" t="s">
        <v>2672</v>
      </c>
      <c r="G41" s="321" t="s">
        <v>80</v>
      </c>
      <c r="H41" s="321" t="s">
        <v>79</v>
      </c>
      <c r="I41" s="317"/>
      <c r="J41" s="318" t="s">
        <v>2551</v>
      </c>
      <c r="K41" s="349" t="s">
        <v>2673</v>
      </c>
      <c r="L41" s="318" t="s">
        <v>87</v>
      </c>
      <c r="M41" s="344"/>
      <c r="N41" s="344"/>
      <c r="O41" s="344"/>
      <c r="P41" s="344"/>
      <c r="Q41" s="344"/>
      <c r="R41" s="344"/>
      <c r="S41" s="344"/>
    </row>
    <row r="42">
      <c r="A42" s="317"/>
      <c r="B42" s="344"/>
      <c r="C42" s="344"/>
      <c r="D42" s="344"/>
      <c r="E42" s="344"/>
      <c r="F42" s="328" t="s">
        <v>1462</v>
      </c>
      <c r="G42" s="321" t="s">
        <v>80</v>
      </c>
      <c r="H42" s="321" t="s">
        <v>79</v>
      </c>
      <c r="I42" s="344"/>
      <c r="J42" s="318" t="s">
        <v>2551</v>
      </c>
      <c r="K42" s="349" t="s">
        <v>2677</v>
      </c>
      <c r="L42" s="321" t="s">
        <v>78</v>
      </c>
      <c r="M42" s="344"/>
      <c r="N42" s="344"/>
      <c r="O42" s="344"/>
      <c r="P42" s="344"/>
      <c r="Q42" s="344"/>
      <c r="R42" s="344"/>
      <c r="S42" s="344"/>
    </row>
    <row r="43">
      <c r="A43" s="317"/>
      <c r="B43" s="344"/>
      <c r="C43" s="344"/>
      <c r="D43" s="344"/>
      <c r="E43" s="344"/>
      <c r="F43" s="328" t="s">
        <v>2678</v>
      </c>
      <c r="G43" s="321" t="s">
        <v>96</v>
      </c>
      <c r="H43" s="321" t="s">
        <v>79</v>
      </c>
      <c r="I43" s="329">
        <v>0.1</v>
      </c>
      <c r="J43" s="318" t="s">
        <v>2551</v>
      </c>
      <c r="K43" s="349" t="s">
        <v>2680</v>
      </c>
      <c r="L43" s="355" t="s">
        <v>111</v>
      </c>
      <c r="M43" s="344"/>
      <c r="N43" s="344"/>
      <c r="O43" s="344"/>
      <c r="P43" s="344"/>
      <c r="Q43" s="344"/>
      <c r="R43" s="344"/>
      <c r="S43" s="344"/>
    </row>
    <row r="44">
      <c r="A44" s="317"/>
      <c r="B44" s="344"/>
      <c r="C44" s="344"/>
      <c r="D44" s="344"/>
      <c r="E44" s="344"/>
      <c r="F44" s="328" t="s">
        <v>2683</v>
      </c>
      <c r="G44" s="321" t="s">
        <v>80</v>
      </c>
      <c r="H44" s="321" t="s">
        <v>79</v>
      </c>
      <c r="I44" s="344"/>
      <c r="J44" s="318" t="s">
        <v>2551</v>
      </c>
      <c r="K44" s="349" t="s">
        <v>2685</v>
      </c>
      <c r="L44" s="321" t="s">
        <v>91</v>
      </c>
      <c r="M44" s="344"/>
      <c r="N44" s="344"/>
      <c r="O44" s="344"/>
      <c r="P44" s="344"/>
      <c r="Q44" s="344"/>
      <c r="R44" s="344"/>
      <c r="S44" s="344"/>
    </row>
    <row r="45">
      <c r="A45" s="317"/>
      <c r="B45" s="344"/>
      <c r="C45" s="344"/>
      <c r="D45" s="344"/>
      <c r="E45" s="344"/>
      <c r="F45" s="328" t="s">
        <v>2686</v>
      </c>
      <c r="G45" s="321" t="s">
        <v>80</v>
      </c>
      <c r="H45" s="321" t="s">
        <v>1492</v>
      </c>
      <c r="I45" s="344"/>
      <c r="J45" s="318" t="s">
        <v>2551</v>
      </c>
      <c r="K45" s="349" t="s">
        <v>2687</v>
      </c>
      <c r="L45" s="355" t="s">
        <v>111</v>
      </c>
      <c r="M45" s="344"/>
      <c r="N45" s="344"/>
      <c r="O45" s="344"/>
      <c r="P45" s="344"/>
      <c r="Q45" s="344"/>
      <c r="R45" s="344"/>
      <c r="S45" s="344"/>
    </row>
    <row r="46">
      <c r="A46" s="317"/>
      <c r="B46" s="344"/>
      <c r="C46" s="344"/>
      <c r="D46" s="344"/>
      <c r="E46" s="344"/>
      <c r="F46" s="346" t="s">
        <v>2689</v>
      </c>
      <c r="G46" s="321" t="s">
        <v>2643</v>
      </c>
      <c r="H46" s="321" t="s">
        <v>79</v>
      </c>
      <c r="I46" s="356">
        <v>0.3</v>
      </c>
      <c r="J46" s="318" t="s">
        <v>2551</v>
      </c>
      <c r="K46" s="349" t="s">
        <v>2680</v>
      </c>
      <c r="L46" s="355" t="s">
        <v>111</v>
      </c>
      <c r="M46" s="344"/>
      <c r="N46" s="344"/>
      <c r="O46" s="344"/>
      <c r="P46" s="344"/>
      <c r="Q46" s="344"/>
      <c r="R46" s="344"/>
      <c r="S46" s="344"/>
    </row>
    <row r="47">
      <c r="A47" s="317"/>
      <c r="B47" s="344"/>
      <c r="C47" s="344"/>
      <c r="D47" s="344"/>
      <c r="E47" s="344"/>
      <c r="F47" s="357" t="s">
        <v>2691</v>
      </c>
      <c r="G47" s="358" t="s">
        <v>1836</v>
      </c>
      <c r="H47" s="355" t="s">
        <v>79</v>
      </c>
      <c r="I47" s="344"/>
      <c r="J47" s="318" t="s">
        <v>2551</v>
      </c>
      <c r="K47" s="349" t="s">
        <v>2694</v>
      </c>
      <c r="L47" s="355" t="s">
        <v>87</v>
      </c>
      <c r="M47" s="344"/>
      <c r="N47" s="344"/>
      <c r="O47" s="344"/>
      <c r="P47" s="344"/>
      <c r="Q47" s="344"/>
      <c r="R47" s="344"/>
      <c r="S47" s="344"/>
    </row>
    <row r="48">
      <c r="A48" s="317"/>
      <c r="B48" s="344"/>
      <c r="C48" s="344"/>
      <c r="D48" s="344"/>
      <c r="E48" s="344"/>
      <c r="F48" s="355" t="s">
        <v>2695</v>
      </c>
      <c r="G48" s="321" t="s">
        <v>2627</v>
      </c>
      <c r="H48" s="321" t="s">
        <v>79</v>
      </c>
      <c r="I48" s="329">
        <v>0.12</v>
      </c>
      <c r="J48" s="318" t="s">
        <v>2551</v>
      </c>
      <c r="K48" s="349" t="s">
        <v>2697</v>
      </c>
      <c r="L48" s="355" t="s">
        <v>111</v>
      </c>
      <c r="M48" s="344"/>
      <c r="N48" s="344"/>
      <c r="O48" s="344"/>
      <c r="P48" s="344"/>
      <c r="Q48" s="344"/>
      <c r="R48" s="344"/>
      <c r="S48" s="344"/>
    </row>
    <row r="49">
      <c r="A49" s="317"/>
      <c r="B49" s="344"/>
      <c r="C49" s="344"/>
      <c r="D49" s="344"/>
      <c r="E49" s="344"/>
      <c r="F49" s="355" t="s">
        <v>2699</v>
      </c>
      <c r="G49" s="358" t="s">
        <v>1836</v>
      </c>
      <c r="H49" s="355" t="s">
        <v>79</v>
      </c>
      <c r="I49" s="344"/>
      <c r="J49" s="318" t="s">
        <v>2551</v>
      </c>
      <c r="K49" s="349" t="s">
        <v>2700</v>
      </c>
      <c r="L49" s="355" t="s">
        <v>78</v>
      </c>
      <c r="M49" s="344"/>
      <c r="N49" s="344"/>
      <c r="O49" s="344"/>
      <c r="P49" s="344"/>
      <c r="Q49" s="344"/>
      <c r="R49" s="344"/>
      <c r="S49" s="344"/>
    </row>
    <row r="50">
      <c r="A50" s="317"/>
      <c r="B50" s="344"/>
      <c r="C50" s="344"/>
      <c r="D50" s="344"/>
      <c r="E50" s="344"/>
      <c r="F50" s="355" t="s">
        <v>2702</v>
      </c>
      <c r="G50" s="321" t="s">
        <v>2627</v>
      </c>
      <c r="H50" s="321" t="s">
        <v>79</v>
      </c>
      <c r="I50" s="329">
        <v>0.12</v>
      </c>
      <c r="J50" s="318" t="s">
        <v>2551</v>
      </c>
      <c r="K50" s="349" t="s">
        <v>2704</v>
      </c>
      <c r="L50" s="355" t="s">
        <v>114</v>
      </c>
      <c r="M50" s="344"/>
      <c r="N50" s="344"/>
      <c r="O50" s="344"/>
      <c r="P50" s="344"/>
      <c r="Q50" s="344"/>
      <c r="R50" s="344"/>
      <c r="S50" s="344"/>
    </row>
    <row r="51">
      <c r="A51" s="317"/>
      <c r="B51" s="344"/>
      <c r="C51" s="344"/>
      <c r="D51" s="344"/>
      <c r="E51" s="344"/>
      <c r="F51" s="355" t="s">
        <v>2705</v>
      </c>
      <c r="G51" s="358" t="s">
        <v>1836</v>
      </c>
      <c r="H51" s="355" t="s">
        <v>79</v>
      </c>
      <c r="I51" s="344"/>
      <c r="J51" s="318" t="s">
        <v>2551</v>
      </c>
      <c r="K51" s="349" t="s">
        <v>2707</v>
      </c>
      <c r="L51" s="355" t="s">
        <v>78</v>
      </c>
      <c r="M51" s="344"/>
      <c r="N51" s="344"/>
      <c r="O51" s="344"/>
      <c r="P51" s="344"/>
      <c r="Q51" s="344"/>
      <c r="R51" s="344"/>
      <c r="S51" s="344"/>
    </row>
    <row r="52">
      <c r="A52" s="317"/>
      <c r="B52" s="344"/>
      <c r="C52" s="344"/>
      <c r="D52" s="344"/>
      <c r="E52" s="344"/>
      <c r="F52" s="349" t="s">
        <v>2709</v>
      </c>
      <c r="G52" s="358" t="s">
        <v>1836</v>
      </c>
      <c r="H52" s="355" t="s">
        <v>79</v>
      </c>
      <c r="I52" s="344"/>
      <c r="J52" s="318" t="s">
        <v>2551</v>
      </c>
      <c r="K52" s="349" t="s">
        <v>2710</v>
      </c>
      <c r="L52" s="355" t="s">
        <v>111</v>
      </c>
      <c r="M52" s="344"/>
      <c r="N52" s="344"/>
      <c r="O52" s="344"/>
      <c r="P52" s="344"/>
      <c r="Q52" s="344"/>
      <c r="R52" s="344"/>
      <c r="S52" s="344"/>
    </row>
    <row r="53">
      <c r="A53" s="317"/>
      <c r="B53" s="344"/>
      <c r="C53" s="344"/>
      <c r="D53" s="344"/>
      <c r="E53" s="344"/>
      <c r="F53" s="349" t="s">
        <v>2712</v>
      </c>
      <c r="G53" s="355" t="s">
        <v>103</v>
      </c>
      <c r="H53" s="355" t="s">
        <v>79</v>
      </c>
      <c r="I53" s="344"/>
      <c r="J53" s="318" t="s">
        <v>2551</v>
      </c>
      <c r="K53" s="349" t="s">
        <v>2713</v>
      </c>
      <c r="L53" s="355" t="s">
        <v>78</v>
      </c>
      <c r="M53" s="344"/>
      <c r="N53" s="344"/>
      <c r="O53" s="344"/>
      <c r="P53" s="344"/>
      <c r="Q53" s="344"/>
      <c r="R53" s="344"/>
      <c r="S53" s="344"/>
    </row>
    <row r="54">
      <c r="A54" s="317"/>
      <c r="B54" s="344"/>
      <c r="C54" s="344"/>
      <c r="D54" s="344"/>
      <c r="E54" s="344"/>
      <c r="F54" s="349" t="s">
        <v>2715</v>
      </c>
      <c r="G54" s="358" t="s">
        <v>96</v>
      </c>
      <c r="H54" s="321" t="s">
        <v>79</v>
      </c>
      <c r="I54" s="344"/>
      <c r="J54" s="318" t="s">
        <v>2551</v>
      </c>
      <c r="K54" s="349" t="s">
        <v>2716</v>
      </c>
      <c r="L54" s="355" t="s">
        <v>78</v>
      </c>
      <c r="M54" s="344"/>
      <c r="N54" s="344"/>
      <c r="O54" s="344"/>
      <c r="P54" s="344"/>
      <c r="Q54" s="344"/>
      <c r="R54" s="344"/>
      <c r="S54" s="344"/>
    </row>
    <row r="55">
      <c r="A55" s="317"/>
      <c r="B55" s="344"/>
      <c r="C55" s="344"/>
      <c r="D55" s="344"/>
      <c r="E55" s="344"/>
      <c r="F55" s="349" t="s">
        <v>2718</v>
      </c>
      <c r="G55" s="358" t="s">
        <v>1836</v>
      </c>
      <c r="H55" s="355" t="s">
        <v>79</v>
      </c>
      <c r="I55" s="344"/>
      <c r="J55" s="318" t="s">
        <v>2551</v>
      </c>
      <c r="K55" s="349" t="s">
        <v>2720</v>
      </c>
      <c r="L55" s="355" t="s">
        <v>91</v>
      </c>
      <c r="M55" s="344"/>
      <c r="N55" s="344"/>
      <c r="O55" s="344"/>
      <c r="P55" s="344"/>
      <c r="Q55" s="344"/>
      <c r="R55" s="344"/>
      <c r="S55" s="344"/>
    </row>
    <row r="56">
      <c r="A56" s="317"/>
      <c r="B56" s="344"/>
      <c r="C56" s="344"/>
      <c r="D56" s="344"/>
      <c r="E56" s="344"/>
      <c r="F56" s="349" t="s">
        <v>2722</v>
      </c>
      <c r="G56" s="358" t="s">
        <v>1836</v>
      </c>
      <c r="H56" s="355" t="s">
        <v>79</v>
      </c>
      <c r="I56" s="344"/>
      <c r="J56" s="318" t="s">
        <v>2551</v>
      </c>
      <c r="K56" s="349" t="s">
        <v>2723</v>
      </c>
      <c r="L56" s="355" t="s">
        <v>91</v>
      </c>
      <c r="M56" s="344"/>
      <c r="N56" s="344"/>
      <c r="O56" s="344"/>
      <c r="P56" s="344"/>
      <c r="Q56" s="344"/>
      <c r="R56" s="344"/>
      <c r="S56" s="344"/>
    </row>
    <row r="57">
      <c r="A57" s="317"/>
      <c r="B57" s="344"/>
      <c r="C57" s="344"/>
      <c r="D57" s="344"/>
      <c r="E57" s="344"/>
      <c r="F57" s="349" t="s">
        <v>2726</v>
      </c>
      <c r="G57" s="321" t="s">
        <v>80</v>
      </c>
      <c r="H57" s="355" t="s">
        <v>79</v>
      </c>
      <c r="I57" s="344"/>
      <c r="J57" s="318" t="s">
        <v>2551</v>
      </c>
      <c r="K57" s="349" t="s">
        <v>2728</v>
      </c>
      <c r="L57" s="355" t="s">
        <v>111</v>
      </c>
      <c r="M57" s="344"/>
      <c r="N57" s="344"/>
      <c r="O57" s="344"/>
      <c r="P57" s="344"/>
      <c r="Q57" s="344"/>
      <c r="R57" s="344"/>
      <c r="S57" s="344"/>
    </row>
    <row r="58">
      <c r="A58" s="317"/>
      <c r="B58" s="317"/>
      <c r="C58" s="317"/>
      <c r="D58" s="317"/>
      <c r="E58" s="317"/>
      <c r="F58" s="349" t="s">
        <v>2729</v>
      </c>
      <c r="G58" s="358" t="s">
        <v>2731</v>
      </c>
      <c r="H58" s="355" t="s">
        <v>79</v>
      </c>
      <c r="I58" s="359">
        <v>0.2</v>
      </c>
      <c r="J58" s="318" t="s">
        <v>2551</v>
      </c>
      <c r="K58" s="349" t="s">
        <v>2732</v>
      </c>
      <c r="L58" s="318" t="s">
        <v>114</v>
      </c>
      <c r="M58" s="317"/>
      <c r="N58" s="317"/>
      <c r="O58" s="317"/>
      <c r="P58" s="317"/>
      <c r="Q58" s="317"/>
      <c r="R58" s="317"/>
      <c r="S58" s="317"/>
    </row>
    <row r="59">
      <c r="A59" s="317"/>
      <c r="B59" s="317"/>
      <c r="C59" s="317"/>
      <c r="D59" s="317"/>
      <c r="E59" s="317"/>
      <c r="F59" s="349" t="s">
        <v>2735</v>
      </c>
      <c r="G59" s="321" t="s">
        <v>80</v>
      </c>
      <c r="H59" s="355" t="s">
        <v>79</v>
      </c>
      <c r="I59" s="344"/>
      <c r="J59" s="318" t="s">
        <v>2551</v>
      </c>
      <c r="K59" s="349" t="s">
        <v>2736</v>
      </c>
      <c r="L59" s="355" t="s">
        <v>91</v>
      </c>
      <c r="M59" s="317"/>
      <c r="N59" s="317"/>
      <c r="O59" s="317"/>
      <c r="P59" s="317"/>
      <c r="Q59" s="317"/>
      <c r="R59" s="317"/>
      <c r="S59" s="317"/>
    </row>
    <row r="60">
      <c r="A60" s="317"/>
      <c r="B60" s="317"/>
      <c r="C60" s="317"/>
      <c r="D60" s="317"/>
      <c r="E60" s="317"/>
      <c r="F60" s="361" t="s">
        <v>2739</v>
      </c>
      <c r="G60" s="320" t="s">
        <v>2454</v>
      </c>
      <c r="H60" s="318" t="s">
        <v>1492</v>
      </c>
      <c r="I60" s="317"/>
      <c r="J60" s="318" t="s">
        <v>2456</v>
      </c>
      <c r="K60" s="349" t="s">
        <v>2740</v>
      </c>
      <c r="L60" s="355" t="s">
        <v>91</v>
      </c>
      <c r="M60" s="317"/>
      <c r="N60" s="317"/>
      <c r="O60" s="317"/>
      <c r="P60" s="317"/>
      <c r="Q60" s="317"/>
      <c r="R60" s="317"/>
      <c r="S60" s="317"/>
    </row>
    <row r="61">
      <c r="A61" s="317"/>
      <c r="B61" s="317"/>
      <c r="C61" s="317"/>
      <c r="D61" s="317"/>
      <c r="E61" s="317"/>
      <c r="F61" s="349" t="s">
        <v>2743</v>
      </c>
      <c r="G61" s="321" t="s">
        <v>123</v>
      </c>
      <c r="H61" s="321" t="s">
        <v>79</v>
      </c>
      <c r="I61" s="317"/>
      <c r="J61" s="318" t="s">
        <v>2486</v>
      </c>
      <c r="K61" s="349" t="s">
        <v>2744</v>
      </c>
      <c r="L61" s="321" t="s">
        <v>78</v>
      </c>
      <c r="M61" s="317"/>
      <c r="N61" s="317"/>
      <c r="O61" s="317"/>
      <c r="P61" s="317"/>
      <c r="Q61" s="317"/>
      <c r="R61" s="317"/>
      <c r="S61" s="317"/>
    </row>
    <row r="62">
      <c r="A62" s="317"/>
      <c r="B62" s="317"/>
      <c r="C62" s="317"/>
      <c r="D62" s="317"/>
      <c r="E62" s="317"/>
      <c r="F62" s="349" t="s">
        <v>2746</v>
      </c>
      <c r="G62" s="358" t="s">
        <v>2731</v>
      </c>
      <c r="H62" s="355" t="s">
        <v>79</v>
      </c>
      <c r="I62" s="359">
        <v>0.4</v>
      </c>
      <c r="J62" s="318" t="s">
        <v>2551</v>
      </c>
      <c r="K62" s="361" t="s">
        <v>2748</v>
      </c>
      <c r="L62" s="355" t="s">
        <v>87</v>
      </c>
      <c r="M62" s="317"/>
      <c r="N62" s="317"/>
      <c r="O62" s="317"/>
      <c r="P62" s="317"/>
      <c r="Q62" s="317"/>
      <c r="R62" s="317"/>
      <c r="S62" s="317"/>
    </row>
    <row r="63">
      <c r="A63" s="317"/>
      <c r="B63" s="317"/>
      <c r="C63" s="317"/>
      <c r="D63" s="317"/>
      <c r="E63" s="317"/>
      <c r="F63" s="349" t="s">
        <v>2752</v>
      </c>
      <c r="G63" s="358" t="s">
        <v>2731</v>
      </c>
      <c r="H63" s="355" t="s">
        <v>79</v>
      </c>
      <c r="I63" s="359">
        <v>0.1</v>
      </c>
      <c r="J63" s="318" t="s">
        <v>2551</v>
      </c>
      <c r="K63" s="361" t="s">
        <v>2753</v>
      </c>
      <c r="L63" s="355" t="s">
        <v>111</v>
      </c>
      <c r="M63" s="317"/>
      <c r="N63" s="317"/>
      <c r="O63" s="317"/>
      <c r="P63" s="317"/>
      <c r="Q63" s="317"/>
      <c r="R63" s="317"/>
      <c r="S63" s="317"/>
    </row>
    <row r="64">
      <c r="A64" s="317"/>
      <c r="B64" s="317"/>
      <c r="C64" s="317"/>
      <c r="D64" s="317"/>
      <c r="E64" s="317"/>
      <c r="F64" s="349" t="s">
        <v>2755</v>
      </c>
      <c r="G64" s="358" t="s">
        <v>96</v>
      </c>
      <c r="H64" s="321" t="s">
        <v>79</v>
      </c>
      <c r="I64" s="344"/>
      <c r="J64" s="318" t="s">
        <v>2551</v>
      </c>
      <c r="K64" s="349" t="s">
        <v>2756</v>
      </c>
      <c r="L64" s="318" t="s">
        <v>114</v>
      </c>
      <c r="M64" s="317"/>
      <c r="N64" s="317"/>
      <c r="O64" s="317"/>
      <c r="P64" s="317"/>
      <c r="Q64" s="317"/>
      <c r="R64" s="317"/>
      <c r="S64" s="317"/>
    </row>
    <row r="65">
      <c r="A65" s="317"/>
      <c r="B65" s="317"/>
      <c r="C65" s="317"/>
      <c r="D65" s="317"/>
      <c r="E65" s="317"/>
      <c r="F65" s="362" t="s">
        <v>2759</v>
      </c>
      <c r="G65" s="358" t="s">
        <v>2731</v>
      </c>
      <c r="H65" s="355" t="s">
        <v>79</v>
      </c>
      <c r="I65" s="359">
        <v>0.1</v>
      </c>
      <c r="J65" s="318" t="s">
        <v>2551</v>
      </c>
      <c r="K65" s="363" t="s">
        <v>2761</v>
      </c>
      <c r="L65" s="318" t="s">
        <v>78</v>
      </c>
      <c r="M65" s="317"/>
      <c r="N65" s="317"/>
      <c r="O65" s="317"/>
      <c r="P65" s="317"/>
      <c r="Q65" s="317"/>
      <c r="R65" s="317"/>
      <c r="S65" s="317"/>
    </row>
    <row r="66">
      <c r="A66" s="317"/>
      <c r="B66" s="317"/>
      <c r="C66" s="317"/>
      <c r="D66" s="317"/>
      <c r="E66" s="317"/>
      <c r="F66" s="349" t="s">
        <v>2764</v>
      </c>
      <c r="G66" s="321" t="s">
        <v>123</v>
      </c>
      <c r="H66" s="321" t="s">
        <v>79</v>
      </c>
      <c r="I66" s="317"/>
      <c r="J66" s="318" t="s">
        <v>2486</v>
      </c>
      <c r="K66" s="364" t="s">
        <v>2765</v>
      </c>
      <c r="L66" s="318" t="s">
        <v>111</v>
      </c>
      <c r="M66" s="317"/>
      <c r="N66" s="317"/>
      <c r="O66" s="317"/>
      <c r="P66" s="317"/>
      <c r="Q66" s="317"/>
      <c r="R66" s="317"/>
      <c r="S66" s="317"/>
    </row>
    <row r="67">
      <c r="A67" s="317"/>
      <c r="B67" s="317"/>
      <c r="C67" s="317"/>
      <c r="D67" s="317"/>
      <c r="E67" s="317"/>
      <c r="F67" s="362" t="s">
        <v>2768</v>
      </c>
      <c r="G67" s="321" t="s">
        <v>96</v>
      </c>
      <c r="H67" s="321" t="s">
        <v>79</v>
      </c>
      <c r="I67" s="359">
        <v>0.1</v>
      </c>
      <c r="J67" s="318" t="s">
        <v>2551</v>
      </c>
      <c r="K67" s="41" t="s">
        <v>2770</v>
      </c>
      <c r="L67" s="318" t="s">
        <v>78</v>
      </c>
      <c r="M67" s="317"/>
      <c r="N67" s="317"/>
      <c r="O67" s="317"/>
      <c r="P67" s="317"/>
      <c r="Q67" s="317"/>
      <c r="R67" s="317"/>
      <c r="S67" s="317"/>
    </row>
    <row r="68">
      <c r="A68" s="317"/>
      <c r="B68" s="317"/>
      <c r="C68" s="317"/>
      <c r="D68" s="317"/>
      <c r="E68" s="317"/>
      <c r="F68" s="349" t="s">
        <v>2773</v>
      </c>
      <c r="G68" s="358" t="s">
        <v>2731</v>
      </c>
      <c r="H68" s="355" t="s">
        <v>79</v>
      </c>
      <c r="I68" s="359">
        <v>0.15</v>
      </c>
      <c r="J68" s="318" t="s">
        <v>2551</v>
      </c>
      <c r="K68" s="41" t="s">
        <v>2775</v>
      </c>
      <c r="L68" s="355" t="s">
        <v>111</v>
      </c>
      <c r="M68" s="317"/>
      <c r="N68" s="317"/>
      <c r="O68" s="317"/>
      <c r="P68" s="317"/>
      <c r="Q68" s="317"/>
      <c r="R68" s="317"/>
      <c r="S68" s="317"/>
    </row>
    <row r="69">
      <c r="A69" s="317"/>
      <c r="B69" s="317"/>
      <c r="C69" s="317"/>
      <c r="D69" s="317"/>
      <c r="E69" s="317"/>
      <c r="F69" s="349" t="s">
        <v>2777</v>
      </c>
      <c r="G69" s="358" t="s">
        <v>2731</v>
      </c>
      <c r="H69" s="355" t="s">
        <v>79</v>
      </c>
      <c r="I69" s="359">
        <v>0.2</v>
      </c>
      <c r="J69" s="318" t="s">
        <v>2551</v>
      </c>
      <c r="K69" s="365" t="s">
        <v>2779</v>
      </c>
      <c r="L69" s="318" t="s">
        <v>78</v>
      </c>
      <c r="M69" s="317"/>
      <c r="N69" s="317"/>
      <c r="O69" s="317"/>
      <c r="P69" s="317"/>
      <c r="Q69" s="317"/>
      <c r="R69" s="317"/>
      <c r="S69" s="317"/>
    </row>
    <row r="70">
      <c r="A70" s="317"/>
      <c r="B70" s="317"/>
      <c r="C70" s="317"/>
      <c r="D70" s="317"/>
      <c r="E70" s="317"/>
      <c r="F70" s="349" t="s">
        <v>2782</v>
      </c>
      <c r="G70" s="358" t="s">
        <v>2731</v>
      </c>
      <c r="H70" s="318" t="s">
        <v>138</v>
      </c>
      <c r="I70" s="317"/>
      <c r="J70" s="318" t="s">
        <v>2551</v>
      </c>
      <c r="K70" s="41" t="s">
        <v>2784</v>
      </c>
      <c r="L70" s="318" t="s">
        <v>78</v>
      </c>
      <c r="M70" s="317"/>
      <c r="N70" s="317"/>
      <c r="O70" s="317"/>
      <c r="P70" s="317"/>
      <c r="Q70" s="317"/>
      <c r="R70" s="317"/>
      <c r="S70" s="317"/>
    </row>
    <row r="71">
      <c r="A71" s="317"/>
      <c r="B71" s="317"/>
      <c r="C71" s="317"/>
      <c r="D71" s="317"/>
      <c r="E71" s="317"/>
      <c r="F71" s="349" t="s">
        <v>2786</v>
      </c>
      <c r="G71" s="358" t="s">
        <v>2731</v>
      </c>
      <c r="H71" s="355" t="s">
        <v>79</v>
      </c>
      <c r="I71" s="359">
        <v>0.2</v>
      </c>
      <c r="J71" s="318" t="s">
        <v>2551</v>
      </c>
      <c r="K71" s="41" t="s">
        <v>2788</v>
      </c>
      <c r="L71" s="318" t="s">
        <v>114</v>
      </c>
      <c r="M71" s="317"/>
      <c r="N71" s="317"/>
      <c r="O71" s="317"/>
      <c r="P71" s="317"/>
      <c r="Q71" s="317"/>
      <c r="R71" s="317"/>
      <c r="S71" s="317"/>
    </row>
    <row r="72">
      <c r="A72" s="317"/>
      <c r="B72" s="317"/>
      <c r="C72" s="317"/>
      <c r="D72" s="317"/>
      <c r="E72" s="317"/>
      <c r="F72" s="349" t="s">
        <v>2790</v>
      </c>
      <c r="G72" s="321" t="s">
        <v>96</v>
      </c>
      <c r="H72" s="318" t="s">
        <v>138</v>
      </c>
      <c r="I72" s="359">
        <v>0.0</v>
      </c>
      <c r="J72" s="318" t="s">
        <v>2486</v>
      </c>
      <c r="K72" s="41" t="s">
        <v>2791</v>
      </c>
      <c r="L72" s="355" t="s">
        <v>111</v>
      </c>
      <c r="M72" s="317"/>
      <c r="N72" s="317"/>
      <c r="O72" s="317"/>
      <c r="P72" s="317"/>
      <c r="Q72" s="317"/>
      <c r="R72" s="317"/>
      <c r="S72" s="317"/>
    </row>
    <row r="73">
      <c r="A73" s="317"/>
      <c r="B73" s="317"/>
      <c r="C73" s="317"/>
      <c r="D73" s="317"/>
      <c r="E73" s="317"/>
      <c r="F73" s="349" t="s">
        <v>2793</v>
      </c>
      <c r="G73" s="358" t="s">
        <v>2731</v>
      </c>
      <c r="H73" s="318" t="s">
        <v>79</v>
      </c>
      <c r="I73" s="343">
        <v>0.15</v>
      </c>
      <c r="J73" s="318" t="s">
        <v>2551</v>
      </c>
      <c r="K73" s="41" t="s">
        <v>2794</v>
      </c>
      <c r="L73" s="355" t="s">
        <v>87</v>
      </c>
      <c r="M73" s="317"/>
      <c r="N73" s="317"/>
      <c r="O73" s="317"/>
      <c r="P73" s="317"/>
      <c r="Q73" s="317"/>
      <c r="R73" s="317"/>
      <c r="S73" s="317"/>
    </row>
    <row r="74">
      <c r="A74" s="317"/>
      <c r="B74" s="317"/>
      <c r="C74" s="317"/>
      <c r="D74" s="317"/>
      <c r="E74" s="317"/>
      <c r="F74" s="349" t="s">
        <v>2797</v>
      </c>
      <c r="G74" s="321" t="s">
        <v>80</v>
      </c>
      <c r="H74" s="355" t="s">
        <v>79</v>
      </c>
      <c r="I74" s="344"/>
      <c r="J74" s="318" t="s">
        <v>2486</v>
      </c>
      <c r="K74" s="41" t="s">
        <v>2799</v>
      </c>
      <c r="L74" s="355" t="s">
        <v>87</v>
      </c>
      <c r="M74" s="317"/>
      <c r="N74" s="317"/>
      <c r="O74" s="317"/>
      <c r="P74" s="317"/>
      <c r="Q74" s="317"/>
      <c r="R74" s="317"/>
      <c r="S74" s="317"/>
    </row>
    <row r="75">
      <c r="A75" s="317"/>
      <c r="B75" s="317"/>
      <c r="C75" s="317"/>
      <c r="D75" s="317"/>
      <c r="E75" s="317"/>
      <c r="F75" s="349" t="s">
        <v>2802</v>
      </c>
      <c r="G75" s="358" t="s">
        <v>2731</v>
      </c>
      <c r="H75" s="318" t="s">
        <v>79</v>
      </c>
      <c r="I75" s="343">
        <v>0.15</v>
      </c>
      <c r="J75" s="318" t="s">
        <v>2551</v>
      </c>
      <c r="K75" s="41" t="s">
        <v>2805</v>
      </c>
      <c r="L75" s="355" t="s">
        <v>87</v>
      </c>
      <c r="M75" s="317"/>
      <c r="N75" s="317"/>
      <c r="O75" s="317"/>
      <c r="P75" s="317"/>
      <c r="Q75" s="317"/>
      <c r="R75" s="317"/>
      <c r="S75" s="317"/>
    </row>
    <row r="76">
      <c r="A76" s="317"/>
      <c r="B76" s="317"/>
      <c r="C76" s="317"/>
      <c r="D76" s="317"/>
      <c r="E76" s="317"/>
      <c r="F76" s="349" t="s">
        <v>2809</v>
      </c>
      <c r="G76" s="358" t="s">
        <v>2731</v>
      </c>
      <c r="H76" s="318" t="s">
        <v>1492</v>
      </c>
      <c r="I76" s="343">
        <v>0.1</v>
      </c>
      <c r="J76" s="318" t="s">
        <v>2551</v>
      </c>
      <c r="K76" s="41" t="s">
        <v>2811</v>
      </c>
      <c r="L76" s="355" t="s">
        <v>87</v>
      </c>
      <c r="M76" s="317"/>
      <c r="N76" s="317"/>
      <c r="O76" s="317"/>
      <c r="P76" s="317"/>
      <c r="Q76" s="317"/>
      <c r="R76" s="317"/>
      <c r="S76" s="317"/>
    </row>
    <row r="77">
      <c r="A77" s="317"/>
      <c r="B77" s="317"/>
      <c r="C77" s="317"/>
      <c r="D77" s="317"/>
      <c r="E77" s="317"/>
      <c r="F77" s="362" t="s">
        <v>1396</v>
      </c>
      <c r="G77" s="321" t="s">
        <v>96</v>
      </c>
      <c r="H77" s="355" t="s">
        <v>79</v>
      </c>
      <c r="I77" s="343">
        <v>0.25</v>
      </c>
      <c r="J77" s="318" t="s">
        <v>2551</v>
      </c>
      <c r="K77" s="41" t="s">
        <v>2812</v>
      </c>
      <c r="L77" s="355" t="s">
        <v>87</v>
      </c>
      <c r="M77" s="317"/>
      <c r="N77" s="317"/>
      <c r="O77" s="317"/>
      <c r="P77" s="317"/>
      <c r="Q77" s="317"/>
      <c r="R77" s="317"/>
      <c r="S77" s="317"/>
    </row>
    <row r="78">
      <c r="A78" s="317"/>
      <c r="B78" s="317"/>
      <c r="C78" s="317"/>
      <c r="D78" s="317"/>
      <c r="E78" s="317"/>
      <c r="F78" s="349" t="s">
        <v>2814</v>
      </c>
      <c r="G78" s="321" t="s">
        <v>80</v>
      </c>
      <c r="H78" s="355" t="s">
        <v>79</v>
      </c>
      <c r="I78" s="343">
        <v>0.15</v>
      </c>
      <c r="J78" s="318" t="s">
        <v>2551</v>
      </c>
      <c r="K78" s="318" t="s">
        <v>2816</v>
      </c>
      <c r="L78" s="318" t="s">
        <v>87</v>
      </c>
      <c r="M78" s="317"/>
      <c r="N78" s="317"/>
      <c r="O78" s="317"/>
      <c r="P78" s="317"/>
      <c r="Q78" s="317"/>
      <c r="R78" s="317"/>
      <c r="S78" s="317"/>
    </row>
    <row r="79">
      <c r="A79" s="317"/>
      <c r="B79" s="317"/>
      <c r="C79" s="317"/>
      <c r="D79" s="317"/>
      <c r="E79" s="317"/>
      <c r="F79" s="349" t="s">
        <v>2047</v>
      </c>
      <c r="G79" s="321" t="s">
        <v>96</v>
      </c>
      <c r="H79" s="355" t="s">
        <v>79</v>
      </c>
      <c r="I79" s="343">
        <v>0.25</v>
      </c>
      <c r="J79" s="318" t="s">
        <v>2551</v>
      </c>
      <c r="K79" s="318" t="s">
        <v>2819</v>
      </c>
      <c r="L79" s="318" t="s">
        <v>114</v>
      </c>
      <c r="M79" s="317"/>
      <c r="N79" s="317"/>
      <c r="O79" s="317"/>
      <c r="P79" s="317"/>
      <c r="Q79" s="317"/>
      <c r="R79" s="317"/>
      <c r="S79" s="317"/>
    </row>
    <row r="80">
      <c r="A80" s="317"/>
      <c r="B80" s="317"/>
      <c r="C80" s="317"/>
      <c r="D80" s="317"/>
      <c r="E80" s="317"/>
      <c r="F80" s="349" t="s">
        <v>2821</v>
      </c>
      <c r="G80" s="321" t="s">
        <v>80</v>
      </c>
      <c r="H80" s="355" t="s">
        <v>79</v>
      </c>
      <c r="I80" s="343">
        <v>0.2</v>
      </c>
      <c r="J80" s="318" t="s">
        <v>2551</v>
      </c>
      <c r="K80" s="318" t="s">
        <v>2823</v>
      </c>
      <c r="L80" s="318" t="s">
        <v>78</v>
      </c>
      <c r="M80" s="317"/>
      <c r="N80" s="317"/>
      <c r="O80" s="317"/>
      <c r="P80" s="317"/>
      <c r="Q80" s="317"/>
      <c r="R80" s="317"/>
      <c r="S80" s="317"/>
    </row>
    <row r="81">
      <c r="A81" s="317"/>
      <c r="B81" s="317"/>
      <c r="C81" s="317"/>
      <c r="D81" s="317"/>
      <c r="E81" s="317"/>
      <c r="F81" s="349" t="s">
        <v>2825</v>
      </c>
      <c r="G81" s="321" t="s">
        <v>80</v>
      </c>
      <c r="H81" s="355" t="s">
        <v>79</v>
      </c>
      <c r="I81" s="343">
        <v>0.15</v>
      </c>
      <c r="J81" s="318" t="s">
        <v>2551</v>
      </c>
      <c r="K81" s="318" t="s">
        <v>2826</v>
      </c>
      <c r="L81" s="318" t="s">
        <v>78</v>
      </c>
      <c r="M81" s="317"/>
      <c r="N81" s="317"/>
      <c r="O81" s="317"/>
      <c r="P81" s="317"/>
      <c r="Q81" s="317"/>
      <c r="R81" s="317"/>
      <c r="S81" s="317"/>
    </row>
    <row r="82">
      <c r="A82" s="317"/>
      <c r="B82" s="317"/>
      <c r="C82" s="317"/>
      <c r="D82" s="317"/>
      <c r="E82" s="317"/>
      <c r="F82" s="349" t="s">
        <v>2829</v>
      </c>
      <c r="G82" s="321" t="s">
        <v>96</v>
      </c>
      <c r="H82" s="355" t="s">
        <v>79</v>
      </c>
      <c r="I82" s="359">
        <v>0.2</v>
      </c>
      <c r="J82" s="318" t="s">
        <v>2551</v>
      </c>
      <c r="K82" s="318" t="s">
        <v>2830</v>
      </c>
      <c r="L82" s="318" t="s">
        <v>87</v>
      </c>
      <c r="M82" s="317"/>
      <c r="N82" s="317"/>
      <c r="O82" s="317"/>
      <c r="P82" s="317"/>
      <c r="Q82" s="317"/>
      <c r="R82" s="317"/>
      <c r="S82" s="317"/>
    </row>
    <row r="83">
      <c r="A83" s="317"/>
      <c r="B83" s="317"/>
      <c r="C83" s="317"/>
      <c r="D83" s="317"/>
      <c r="E83" s="317"/>
      <c r="F83" s="367" t="s">
        <v>2833</v>
      </c>
      <c r="G83" s="321" t="s">
        <v>80</v>
      </c>
      <c r="H83" s="355" t="s">
        <v>79</v>
      </c>
      <c r="I83" s="359">
        <v>0.2</v>
      </c>
      <c r="J83" s="318" t="s">
        <v>2551</v>
      </c>
      <c r="K83" s="318" t="s">
        <v>2834</v>
      </c>
      <c r="L83" s="318" t="s">
        <v>78</v>
      </c>
      <c r="M83" s="317"/>
      <c r="N83" s="317"/>
      <c r="O83" s="317"/>
      <c r="P83" s="317"/>
      <c r="Q83" s="317"/>
      <c r="R83" s="317"/>
      <c r="S83" s="317"/>
    </row>
    <row r="84">
      <c r="A84" s="317"/>
      <c r="B84" s="317"/>
      <c r="C84" s="317"/>
      <c r="D84" s="317"/>
      <c r="E84" s="317"/>
      <c r="F84" s="368" t="s">
        <v>2836</v>
      </c>
      <c r="G84" s="321" t="s">
        <v>96</v>
      </c>
      <c r="H84" s="355" t="s">
        <v>79</v>
      </c>
      <c r="I84" s="359">
        <v>0.2</v>
      </c>
      <c r="J84" s="318" t="s">
        <v>2551</v>
      </c>
      <c r="K84" s="318" t="s">
        <v>2837</v>
      </c>
      <c r="L84" s="318" t="s">
        <v>91</v>
      </c>
      <c r="M84" s="317"/>
      <c r="N84" s="317"/>
      <c r="O84" s="317"/>
      <c r="P84" s="317"/>
      <c r="Q84" s="317"/>
      <c r="R84" s="317"/>
      <c r="S84" s="317"/>
    </row>
    <row r="85">
      <c r="A85" s="317"/>
      <c r="B85" s="317"/>
      <c r="C85" s="317"/>
      <c r="D85" s="317"/>
      <c r="E85" s="317"/>
      <c r="F85" s="41" t="s">
        <v>2840</v>
      </c>
      <c r="G85" s="321" t="s">
        <v>80</v>
      </c>
      <c r="H85" s="318" t="s">
        <v>138</v>
      </c>
      <c r="I85" s="359">
        <v>0.2</v>
      </c>
      <c r="J85" s="318" t="s">
        <v>2551</v>
      </c>
      <c r="K85" s="317"/>
      <c r="L85" s="317"/>
      <c r="M85" s="317"/>
      <c r="N85" s="317"/>
      <c r="O85" s="317"/>
      <c r="P85" s="317"/>
      <c r="Q85" s="317"/>
      <c r="R85" s="317"/>
      <c r="S85" s="317"/>
    </row>
    <row r="86">
      <c r="A86" s="317"/>
      <c r="B86" s="317"/>
      <c r="C86" s="317"/>
      <c r="D86" s="317"/>
      <c r="E86" s="317"/>
      <c r="F86" s="41" t="s">
        <v>2843</v>
      </c>
      <c r="G86" s="321" t="s">
        <v>80</v>
      </c>
      <c r="H86" s="355" t="s">
        <v>79</v>
      </c>
      <c r="I86" s="359">
        <v>0.2</v>
      </c>
      <c r="J86" s="318" t="s">
        <v>2551</v>
      </c>
      <c r="K86" s="317"/>
      <c r="L86" s="317"/>
      <c r="M86" s="317"/>
      <c r="N86" s="317"/>
      <c r="O86" s="317"/>
      <c r="P86" s="317"/>
      <c r="Q86" s="317"/>
      <c r="R86" s="317"/>
      <c r="S86" s="317"/>
    </row>
    <row r="87">
      <c r="A87" s="317"/>
      <c r="B87" s="317"/>
      <c r="C87" s="317"/>
      <c r="D87" s="317"/>
      <c r="E87" s="317"/>
      <c r="F87" s="41" t="s">
        <v>2845</v>
      </c>
      <c r="G87" s="321" t="s">
        <v>80</v>
      </c>
      <c r="H87" s="355" t="s">
        <v>79</v>
      </c>
      <c r="I87" s="359">
        <v>0.2</v>
      </c>
      <c r="J87" s="318" t="s">
        <v>2551</v>
      </c>
      <c r="K87" s="317"/>
      <c r="L87" s="317"/>
      <c r="M87" s="317"/>
      <c r="N87" s="317"/>
      <c r="O87" s="317"/>
      <c r="P87" s="317"/>
      <c r="Q87" s="317"/>
      <c r="R87" s="317"/>
      <c r="S87" s="317"/>
    </row>
    <row r="88">
      <c r="A88" s="317"/>
      <c r="B88" s="317"/>
      <c r="C88" s="317"/>
      <c r="D88" s="317"/>
      <c r="E88" s="317"/>
      <c r="F88" s="368" t="s">
        <v>2847</v>
      </c>
      <c r="G88" s="321" t="s">
        <v>80</v>
      </c>
      <c r="H88" s="355" t="s">
        <v>79</v>
      </c>
      <c r="I88" s="359">
        <v>0.2</v>
      </c>
      <c r="J88" s="318" t="s">
        <v>2551</v>
      </c>
      <c r="K88" s="317"/>
      <c r="L88" s="317"/>
      <c r="M88" s="317"/>
      <c r="N88" s="317"/>
      <c r="O88" s="317"/>
      <c r="P88" s="317"/>
      <c r="Q88" s="317"/>
      <c r="R88" s="317"/>
      <c r="S88" s="317"/>
    </row>
    <row r="89">
      <c r="A89" s="317"/>
      <c r="B89" s="317"/>
      <c r="C89" s="317"/>
      <c r="D89" s="317"/>
      <c r="E89" s="317"/>
      <c r="F89" s="41" t="s">
        <v>2848</v>
      </c>
      <c r="G89" s="321" t="s">
        <v>80</v>
      </c>
      <c r="H89" s="355" t="s">
        <v>79</v>
      </c>
      <c r="I89" s="359">
        <v>0.2</v>
      </c>
      <c r="J89" s="318" t="s">
        <v>2551</v>
      </c>
      <c r="K89" s="317"/>
      <c r="L89" s="317"/>
      <c r="M89" s="317"/>
      <c r="N89" s="317"/>
      <c r="O89" s="317"/>
      <c r="P89" s="317"/>
      <c r="Q89" s="317"/>
      <c r="R89" s="317"/>
      <c r="S89" s="317"/>
    </row>
    <row r="90">
      <c r="A90" s="317"/>
      <c r="B90" s="317"/>
      <c r="C90" s="317"/>
      <c r="D90" s="317"/>
      <c r="E90" s="317"/>
      <c r="F90" s="41" t="s">
        <v>2851</v>
      </c>
      <c r="G90" s="321" t="s">
        <v>80</v>
      </c>
      <c r="H90" s="355" t="s">
        <v>79</v>
      </c>
      <c r="I90" s="359">
        <v>0.2</v>
      </c>
      <c r="J90" s="318" t="s">
        <v>2551</v>
      </c>
      <c r="K90" s="317"/>
      <c r="L90" s="317"/>
      <c r="M90" s="317"/>
      <c r="N90" s="317"/>
      <c r="O90" s="317"/>
      <c r="P90" s="317"/>
      <c r="Q90" s="317"/>
      <c r="R90" s="317"/>
      <c r="S90" s="317"/>
    </row>
    <row r="91">
      <c r="A91" s="317"/>
      <c r="B91" s="317"/>
      <c r="C91" s="317"/>
      <c r="D91" s="317"/>
      <c r="E91" s="317"/>
      <c r="F91" s="369" t="s">
        <v>123</v>
      </c>
      <c r="G91" s="321" t="s">
        <v>80</v>
      </c>
      <c r="H91" s="355" t="s">
        <v>79</v>
      </c>
      <c r="I91" s="359"/>
      <c r="J91" s="318" t="s">
        <v>2486</v>
      </c>
      <c r="K91" s="317"/>
      <c r="L91" s="317"/>
      <c r="M91" s="317"/>
      <c r="N91" s="317"/>
      <c r="O91" s="317"/>
      <c r="P91" s="317"/>
      <c r="Q91" s="317"/>
      <c r="R91" s="317"/>
      <c r="S91" s="317"/>
    </row>
    <row r="92">
      <c r="A92" s="317"/>
      <c r="B92" s="317"/>
      <c r="C92" s="317"/>
      <c r="D92" s="317"/>
      <c r="E92" s="317"/>
      <c r="F92" s="318" t="s">
        <v>2854</v>
      </c>
      <c r="G92" s="321" t="s">
        <v>80</v>
      </c>
      <c r="H92" s="355" t="s">
        <v>79</v>
      </c>
      <c r="I92" s="359">
        <v>0.2</v>
      </c>
      <c r="J92" s="318" t="s">
        <v>2551</v>
      </c>
      <c r="K92" s="317"/>
      <c r="L92" s="317"/>
      <c r="M92" s="317"/>
      <c r="N92" s="317"/>
      <c r="O92" s="317"/>
      <c r="P92" s="317"/>
      <c r="Q92" s="317"/>
      <c r="R92" s="317"/>
      <c r="S92" s="317"/>
    </row>
    <row r="93">
      <c r="A93" s="317"/>
      <c r="B93" s="317"/>
      <c r="C93" s="317"/>
      <c r="D93" s="317"/>
      <c r="E93" s="317"/>
      <c r="F93" s="318" t="s">
        <v>2857</v>
      </c>
      <c r="G93" s="321" t="s">
        <v>80</v>
      </c>
      <c r="H93" s="318" t="s">
        <v>138</v>
      </c>
      <c r="I93" s="359">
        <v>0.2</v>
      </c>
      <c r="J93" s="318" t="s">
        <v>2551</v>
      </c>
      <c r="K93" s="317"/>
      <c r="L93" s="317"/>
      <c r="M93" s="317"/>
      <c r="N93" s="317"/>
      <c r="O93" s="317"/>
      <c r="P93" s="317"/>
      <c r="Q93" s="317"/>
      <c r="R93" s="317"/>
      <c r="S93" s="317"/>
    </row>
    <row r="94">
      <c r="A94" s="317"/>
      <c r="B94" s="317"/>
      <c r="C94" s="317"/>
      <c r="D94" s="317"/>
      <c r="E94" s="317"/>
      <c r="F94" s="318" t="s">
        <v>2854</v>
      </c>
      <c r="G94" s="321" t="s">
        <v>80</v>
      </c>
      <c r="H94" s="370" t="s">
        <v>79</v>
      </c>
      <c r="I94" s="371">
        <v>0.2</v>
      </c>
      <c r="J94" s="372" t="s">
        <v>2551</v>
      </c>
      <c r="K94" s="317"/>
      <c r="L94" s="317"/>
      <c r="M94" s="317"/>
      <c r="N94" s="317"/>
      <c r="O94" s="317"/>
      <c r="P94" s="317"/>
      <c r="Q94" s="317"/>
      <c r="R94" s="317"/>
      <c r="S94" s="317"/>
    </row>
    <row r="95">
      <c r="A95" s="317"/>
      <c r="B95" s="317"/>
      <c r="C95" s="317"/>
      <c r="D95" s="317"/>
      <c r="E95" s="317"/>
      <c r="F95" s="318" t="s">
        <v>2857</v>
      </c>
      <c r="G95" s="321" t="s">
        <v>80</v>
      </c>
      <c r="H95" s="318" t="s">
        <v>138</v>
      </c>
      <c r="I95" s="371">
        <v>0.2</v>
      </c>
      <c r="J95" s="317" t="s">
        <v>2551</v>
      </c>
      <c r="K95" s="317"/>
      <c r="L95" s="317"/>
      <c r="M95" s="317"/>
      <c r="N95" s="317"/>
      <c r="O95" s="317"/>
      <c r="P95" s="317"/>
      <c r="Q95" s="317"/>
      <c r="R95" s="317"/>
      <c r="S95" s="317"/>
    </row>
    <row r="96">
      <c r="A96" s="317"/>
      <c r="B96" s="317"/>
      <c r="C96" s="317"/>
      <c r="D96" s="317"/>
      <c r="E96" s="317"/>
      <c r="F96" s="373" t="s">
        <v>2868</v>
      </c>
      <c r="G96" s="321" t="s">
        <v>96</v>
      </c>
      <c r="H96" s="355" t="s">
        <v>79</v>
      </c>
      <c r="I96" s="317"/>
      <c r="J96" s="317" t="s">
        <v>2551</v>
      </c>
      <c r="K96" s="317"/>
      <c r="L96" s="317"/>
      <c r="M96" s="317"/>
      <c r="N96" s="317"/>
      <c r="O96" s="317"/>
      <c r="P96" s="317"/>
      <c r="Q96" s="317"/>
      <c r="R96" s="317"/>
      <c r="S96" s="317"/>
    </row>
    <row r="97">
      <c r="A97" s="317"/>
      <c r="B97" s="317"/>
      <c r="C97" s="317"/>
      <c r="D97" s="317"/>
      <c r="E97" s="317"/>
      <c r="F97" s="318" t="s">
        <v>2873</v>
      </c>
      <c r="G97" s="358" t="s">
        <v>80</v>
      </c>
      <c r="H97" s="318" t="s">
        <v>1492</v>
      </c>
      <c r="I97" s="317"/>
      <c r="J97" s="317" t="s">
        <v>2551</v>
      </c>
      <c r="K97" s="317"/>
      <c r="L97" s="317"/>
      <c r="M97" s="317"/>
      <c r="N97" s="317"/>
      <c r="O97" s="317"/>
      <c r="P97" s="317"/>
      <c r="Q97" s="317"/>
      <c r="R97" s="317"/>
      <c r="S97" s="317"/>
    </row>
    <row r="98">
      <c r="A98" s="317"/>
      <c r="B98" s="317"/>
      <c r="C98" s="317"/>
      <c r="D98" s="317"/>
      <c r="E98" s="317"/>
      <c r="F98" s="318" t="s">
        <v>2876</v>
      </c>
      <c r="G98" s="358" t="s">
        <v>80</v>
      </c>
      <c r="H98" s="318" t="s">
        <v>138</v>
      </c>
      <c r="I98" s="317"/>
      <c r="J98" s="317" t="s">
        <v>2551</v>
      </c>
      <c r="K98" s="317"/>
      <c r="L98" s="317"/>
      <c r="M98" s="317"/>
      <c r="N98" s="317"/>
      <c r="O98" s="317"/>
      <c r="P98" s="317"/>
      <c r="Q98" s="317"/>
      <c r="R98" s="317"/>
      <c r="S98" s="317"/>
    </row>
    <row r="99">
      <c r="A99" s="317"/>
      <c r="B99" s="317"/>
      <c r="C99" s="317"/>
      <c r="D99" s="317"/>
      <c r="E99" s="317"/>
      <c r="F99" s="318" t="s">
        <v>2879</v>
      </c>
      <c r="G99" s="321" t="s">
        <v>80</v>
      </c>
      <c r="H99" s="370" t="s">
        <v>79</v>
      </c>
      <c r="I99" s="317"/>
      <c r="J99" s="318" t="s">
        <v>2551</v>
      </c>
      <c r="K99" s="317"/>
      <c r="L99" s="317"/>
      <c r="M99" s="317"/>
      <c r="N99" s="317"/>
      <c r="O99" s="317"/>
      <c r="P99" s="317"/>
      <c r="Q99" s="317"/>
      <c r="R99" s="317"/>
      <c r="S99" s="317"/>
    </row>
    <row r="100">
      <c r="A100" s="317"/>
      <c r="B100" s="317"/>
      <c r="C100" s="317"/>
      <c r="D100" s="317"/>
      <c r="E100" s="317"/>
      <c r="F100" s="317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</row>
    <row r="101">
      <c r="A101" s="317"/>
      <c r="B101" s="317"/>
      <c r="C101" s="317"/>
      <c r="D101" s="317"/>
      <c r="E101" s="317"/>
      <c r="F101" s="317"/>
      <c r="G101" s="317"/>
      <c r="H101" s="317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</row>
    <row r="102">
      <c r="A102" s="317"/>
      <c r="B102" s="317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</row>
    <row r="103">
      <c r="A103" s="317"/>
      <c r="B103" s="317"/>
      <c r="C103" s="317"/>
      <c r="D103" s="317"/>
      <c r="E103" s="317"/>
      <c r="F103" s="317"/>
      <c r="G103" s="317"/>
      <c r="H103" s="317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</row>
    <row r="104">
      <c r="A104" s="317"/>
      <c r="B104" s="317"/>
      <c r="C104" s="317"/>
      <c r="D104" s="317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</row>
    <row r="105">
      <c r="A105" s="317"/>
      <c r="B105" s="317"/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</row>
    <row r="106">
      <c r="A106" s="317"/>
      <c r="B106" s="317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</row>
    <row r="107">
      <c r="A107" s="317"/>
      <c r="B107" s="317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</row>
    <row r="108">
      <c r="A108" s="317"/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</row>
    <row r="109">
      <c r="A109" s="317"/>
      <c r="B109" s="317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</row>
    <row r="110">
      <c r="A110" s="317"/>
      <c r="B110" s="317"/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</row>
    <row r="111">
      <c r="A111" s="317"/>
      <c r="B111" s="317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</row>
    <row r="112">
      <c r="A112" s="317"/>
      <c r="B112" s="317"/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</row>
    <row r="113">
      <c r="A113" s="317"/>
      <c r="B113" s="317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</row>
    <row r="114">
      <c r="A114" s="317"/>
      <c r="B114" s="317"/>
      <c r="C114" s="317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</row>
    <row r="115">
      <c r="A115" s="317"/>
      <c r="B115" s="317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</row>
    <row r="116">
      <c r="A116" s="317"/>
      <c r="B116" s="317"/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</row>
    <row r="117">
      <c r="A117" s="317"/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</row>
    <row r="118">
      <c r="A118" s="317"/>
      <c r="B118" s="317"/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</row>
    <row r="119">
      <c r="A119" s="317"/>
      <c r="B119" s="317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</row>
    <row r="120">
      <c r="A120" s="317"/>
      <c r="B120" s="317"/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</row>
    <row r="121">
      <c r="A121" s="317"/>
      <c r="B121" s="317"/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</row>
    <row r="122">
      <c r="A122" s="317"/>
      <c r="B122" s="317"/>
      <c r="C122" s="317"/>
      <c r="D122" s="317"/>
      <c r="E122" s="317"/>
      <c r="F122" s="317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</row>
    <row r="123">
      <c r="A123" s="317"/>
      <c r="B123" s="317"/>
      <c r="C123" s="317"/>
      <c r="D123" s="317"/>
      <c r="E123" s="317"/>
      <c r="F123" s="317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</row>
    <row r="124">
      <c r="A124" s="317"/>
      <c r="B124" s="317"/>
      <c r="C124" s="317"/>
      <c r="D124" s="317"/>
      <c r="E124" s="317"/>
      <c r="F124" s="317"/>
      <c r="G124" s="317"/>
      <c r="H124" s="317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</row>
    <row r="125">
      <c r="A125" s="317"/>
      <c r="B125" s="317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</row>
    <row r="126">
      <c r="A126" s="317"/>
      <c r="B126" s="317"/>
      <c r="C126" s="317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</row>
    <row r="127">
      <c r="A127" s="317"/>
      <c r="B127" s="317"/>
      <c r="C127" s="317"/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</row>
    <row r="128">
      <c r="A128" s="317"/>
      <c r="B128" s="317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</row>
    <row r="129">
      <c r="A129" s="317"/>
      <c r="B129" s="317"/>
      <c r="C129" s="317"/>
      <c r="D129" s="317"/>
      <c r="E129" s="317"/>
      <c r="F129" s="317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</row>
    <row r="130">
      <c r="A130" s="317"/>
      <c r="B130" s="317"/>
      <c r="C130" s="317"/>
      <c r="D130" s="317"/>
      <c r="E130" s="317"/>
      <c r="F130" s="317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</row>
    <row r="131">
      <c r="A131" s="317"/>
      <c r="B131" s="317"/>
      <c r="C131" s="317"/>
      <c r="D131" s="317"/>
      <c r="E131" s="317"/>
      <c r="F131" s="317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</row>
    <row r="132">
      <c r="A132" s="317"/>
      <c r="B132" s="317"/>
      <c r="C132" s="317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</row>
    <row r="133">
      <c r="A133" s="317"/>
      <c r="B133" s="317"/>
      <c r="C133" s="317"/>
      <c r="D133" s="317"/>
      <c r="E133" s="317"/>
      <c r="F133" s="317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</row>
    <row r="134">
      <c r="A134" s="317"/>
      <c r="B134" s="317"/>
      <c r="C134" s="317"/>
      <c r="D134" s="317"/>
      <c r="E134" s="317"/>
      <c r="F134" s="317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</row>
    <row r="135">
      <c r="A135" s="317"/>
      <c r="B135" s="317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</row>
    <row r="136">
      <c r="A136" s="317"/>
      <c r="B136" s="317"/>
      <c r="C136" s="317"/>
      <c r="D136" s="317"/>
      <c r="E136" s="317"/>
      <c r="F136" s="317"/>
      <c r="G136" s="317"/>
      <c r="H136" s="317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</row>
    <row r="137">
      <c r="A137" s="317"/>
      <c r="B137" s="317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</row>
    <row r="138">
      <c r="A138" s="317"/>
      <c r="B138" s="317"/>
      <c r="C138" s="317"/>
      <c r="D138" s="317"/>
      <c r="E138" s="317"/>
      <c r="F138" s="317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</row>
    <row r="139">
      <c r="A139" s="317"/>
      <c r="B139" s="317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</row>
    <row r="140">
      <c r="A140" s="317"/>
      <c r="B140" s="317"/>
      <c r="C140" s="317"/>
      <c r="D140" s="317"/>
      <c r="E140" s="317"/>
      <c r="F140" s="317"/>
      <c r="G140" s="317"/>
      <c r="H140" s="317"/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</row>
    <row r="141">
      <c r="A141" s="317"/>
      <c r="B141" s="317"/>
      <c r="C141" s="317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</row>
    <row r="142">
      <c r="A142" s="317"/>
      <c r="B142" s="317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</row>
    <row r="143">
      <c r="A143" s="317"/>
      <c r="B143" s="317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</row>
    <row r="144">
      <c r="A144" s="317"/>
      <c r="B144" s="317"/>
      <c r="C144" s="317"/>
      <c r="D144" s="317"/>
      <c r="E144" s="317"/>
      <c r="F144" s="317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</row>
    <row r="145">
      <c r="A145" s="317"/>
      <c r="B145" s="317"/>
      <c r="C145" s="317"/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</row>
    <row r="146">
      <c r="A146" s="317"/>
      <c r="B146" s="317"/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</row>
    <row r="147">
      <c r="A147" s="317"/>
      <c r="B147" s="317"/>
      <c r="C147" s="317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</row>
    <row r="148">
      <c r="A148" s="317"/>
      <c r="B148" s="317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</row>
    <row r="149">
      <c r="A149" s="317"/>
      <c r="B149" s="317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</row>
    <row r="150">
      <c r="A150" s="317"/>
      <c r="B150" s="317"/>
      <c r="C150" s="317"/>
      <c r="D150" s="317"/>
      <c r="E150" s="317"/>
      <c r="F150" s="317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</row>
    <row r="151">
      <c r="A151" s="317"/>
      <c r="B151" s="317"/>
      <c r="C151" s="317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</row>
    <row r="152">
      <c r="A152" s="317"/>
      <c r="B152" s="317"/>
      <c r="C152" s="317"/>
      <c r="D152" s="317"/>
      <c r="E152" s="317"/>
      <c r="F152" s="317"/>
      <c r="G152" s="317"/>
      <c r="H152" s="317"/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</row>
    <row r="153">
      <c r="A153" s="317"/>
      <c r="B153" s="317"/>
      <c r="C153" s="317"/>
      <c r="D153" s="317"/>
      <c r="E153" s="317"/>
      <c r="F153" s="317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</row>
    <row r="154">
      <c r="A154" s="317"/>
      <c r="B154" s="317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</row>
    <row r="155">
      <c r="A155" s="317"/>
      <c r="B155" s="317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</row>
    <row r="156">
      <c r="A156" s="317"/>
      <c r="B156" s="317"/>
      <c r="C156" s="317"/>
      <c r="D156" s="317"/>
      <c r="E156" s="317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</row>
    <row r="157">
      <c r="A157" s="317"/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</row>
    <row r="158">
      <c r="A158" s="317"/>
      <c r="B158" s="317"/>
      <c r="C158" s="317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</row>
    <row r="159">
      <c r="A159" s="317"/>
      <c r="B159" s="317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</row>
    <row r="160">
      <c r="A160" s="317"/>
      <c r="B160" s="317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</row>
    <row r="161">
      <c r="A161" s="317"/>
      <c r="B161" s="317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</row>
    <row r="162">
      <c r="A162" s="317"/>
      <c r="B162" s="317"/>
      <c r="C162" s="317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</row>
    <row r="163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</row>
    <row r="164">
      <c r="A164" s="317"/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</row>
    <row r="165">
      <c r="A165" s="317"/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</row>
    <row r="166">
      <c r="A166" s="317"/>
      <c r="B166" s="317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</row>
    <row r="167">
      <c r="A167" s="317"/>
      <c r="B167" s="317"/>
      <c r="C167" s="317"/>
      <c r="D167" s="317"/>
      <c r="E167" s="317"/>
      <c r="F167" s="317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</row>
    <row r="168">
      <c r="A168" s="317"/>
      <c r="B168" s="317"/>
      <c r="C168" s="317"/>
      <c r="D168" s="317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</row>
    <row r="169">
      <c r="A169" s="317"/>
      <c r="B169" s="317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</row>
    <row r="170">
      <c r="A170" s="317"/>
      <c r="B170" s="317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</row>
    <row r="171">
      <c r="A171" s="317"/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</row>
    <row r="172">
      <c r="A172" s="317"/>
      <c r="B172" s="317"/>
      <c r="C172" s="317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</row>
    <row r="173">
      <c r="A173" s="317"/>
      <c r="B173" s="317"/>
      <c r="C173" s="317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</row>
    <row r="174">
      <c r="A174" s="317"/>
      <c r="B174" s="317"/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</row>
    <row r="175">
      <c r="A175" s="317"/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</row>
    <row r="176">
      <c r="A176" s="317"/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</row>
    <row r="177">
      <c r="A177" s="317"/>
      <c r="B177" s="317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</row>
    <row r="178">
      <c r="A178" s="317"/>
      <c r="B178" s="317"/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</row>
    <row r="179">
      <c r="A179" s="317"/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</row>
    <row r="180">
      <c r="A180" s="317"/>
      <c r="B180" s="317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</row>
    <row r="181">
      <c r="A181" s="317"/>
      <c r="B181" s="317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</row>
    <row r="182">
      <c r="A182" s="317"/>
      <c r="B182" s="317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</row>
    <row r="183">
      <c r="A183" s="317"/>
      <c r="B183" s="317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</row>
    <row r="184">
      <c r="A184" s="317"/>
      <c r="B184" s="317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</row>
    <row r="185">
      <c r="A185" s="317"/>
      <c r="B185" s="317"/>
      <c r="C185" s="317"/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</row>
    <row r="186">
      <c r="A186" s="317"/>
      <c r="B186" s="317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</row>
    <row r="187">
      <c r="A187" s="317"/>
      <c r="B187" s="317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</row>
    <row r="188">
      <c r="A188" s="317"/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</row>
    <row r="189">
      <c r="A189" s="317"/>
      <c r="B189" s="317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</row>
    <row r="190">
      <c r="A190" s="317"/>
      <c r="B190" s="317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</row>
    <row r="191">
      <c r="A191" s="317"/>
      <c r="B191" s="317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</row>
    <row r="192">
      <c r="A192" s="317"/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</row>
    <row r="193">
      <c r="A193" s="317"/>
      <c r="B193" s="317"/>
      <c r="C193" s="317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</row>
    <row r="194">
      <c r="A194" s="317"/>
      <c r="B194" s="317"/>
      <c r="C194" s="317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</row>
    <row r="195">
      <c r="A195" s="317"/>
      <c r="B195" s="317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</row>
    <row r="196">
      <c r="A196" s="317"/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</row>
    <row r="197">
      <c r="A197" s="317"/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</row>
    <row r="198">
      <c r="A198" s="317"/>
      <c r="B198" s="317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</row>
    <row r="199">
      <c r="A199" s="317"/>
      <c r="B199" s="317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</row>
    <row r="200">
      <c r="A200" s="317"/>
      <c r="B200" s="317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</row>
    <row r="201">
      <c r="A201" s="317"/>
      <c r="B201" s="317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</row>
    <row r="202">
      <c r="A202" s="317"/>
      <c r="B202" s="317"/>
      <c r="C202" s="317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</row>
    <row r="203">
      <c r="A203" s="317"/>
      <c r="B203" s="317"/>
      <c r="C203" s="317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</row>
    <row r="204">
      <c r="A204" s="317"/>
      <c r="B204" s="317"/>
      <c r="C204" s="317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</row>
    <row r="205">
      <c r="A205" s="317"/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</row>
    <row r="206">
      <c r="A206" s="317"/>
      <c r="B206" s="317"/>
      <c r="C206" s="317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</row>
    <row r="207">
      <c r="A207" s="317"/>
      <c r="B207" s="317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</row>
    <row r="208">
      <c r="A208" s="317"/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</row>
    <row r="209">
      <c r="A209" s="317"/>
      <c r="B209" s="317"/>
      <c r="C209" s="317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</row>
    <row r="210">
      <c r="A210" s="317"/>
      <c r="B210" s="317"/>
      <c r="C210" s="317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</row>
    <row r="211">
      <c r="A211" s="317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</row>
    <row r="212">
      <c r="A212" s="317"/>
      <c r="B212" s="317"/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</row>
    <row r="213">
      <c r="A213" s="317"/>
      <c r="B213" s="317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</row>
    <row r="214">
      <c r="A214" s="317"/>
      <c r="B214" s="317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</row>
    <row r="215">
      <c r="A215" s="317"/>
      <c r="B215" s="317"/>
      <c r="C215" s="317"/>
      <c r="D215" s="317"/>
      <c r="E215" s="317"/>
      <c r="F215" s="317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</row>
    <row r="216">
      <c r="A216" s="317"/>
      <c r="B216" s="317"/>
      <c r="C216" s="317"/>
      <c r="D216" s="317"/>
      <c r="E216" s="317"/>
      <c r="F216" s="317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</row>
    <row r="217">
      <c r="A217" s="317"/>
      <c r="B217" s="317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</row>
    <row r="218">
      <c r="A218" s="317"/>
      <c r="B218" s="317"/>
      <c r="C218" s="317"/>
      <c r="D218" s="317"/>
      <c r="E218" s="317"/>
      <c r="F218" s="317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</row>
    <row r="219">
      <c r="A219" s="317"/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</row>
    <row r="220">
      <c r="A220" s="317"/>
      <c r="B220" s="317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</row>
    <row r="221">
      <c r="A221" s="317"/>
      <c r="B221" s="317"/>
      <c r="C221" s="317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</row>
    <row r="222">
      <c r="A222" s="317"/>
      <c r="B222" s="317"/>
      <c r="C222" s="317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</row>
    <row r="223">
      <c r="A223" s="317"/>
      <c r="B223" s="317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</row>
    <row r="224">
      <c r="A224" s="317"/>
      <c r="B224" s="317"/>
      <c r="C224" s="317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</row>
    <row r="225">
      <c r="A225" s="317"/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</row>
    <row r="226">
      <c r="A226" s="317"/>
      <c r="B226" s="317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</row>
    <row r="227">
      <c r="A227" s="317"/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</row>
    <row r="228">
      <c r="A228" s="317"/>
      <c r="B228" s="317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</row>
    <row r="229">
      <c r="A229" s="317"/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</row>
    <row r="230">
      <c r="A230" s="317"/>
      <c r="B230" s="317"/>
      <c r="C230" s="317"/>
      <c r="D230" s="317"/>
      <c r="E230" s="317"/>
      <c r="F230" s="317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</row>
    <row r="231">
      <c r="A231" s="317"/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</row>
    <row r="232">
      <c r="A232" s="317"/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</row>
    <row r="233">
      <c r="A233" s="317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</row>
    <row r="234">
      <c r="A234" s="317"/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</row>
    <row r="235">
      <c r="A235" s="317"/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</row>
    <row r="236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</row>
    <row r="237">
      <c r="A237" s="317"/>
      <c r="B237" s="317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</row>
    <row r="238">
      <c r="A238" s="317"/>
      <c r="B238" s="317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</row>
    <row r="239">
      <c r="A239" s="317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</row>
    <row r="240">
      <c r="A240" s="317"/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</row>
    <row r="241">
      <c r="A241" s="317"/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</row>
    <row r="242">
      <c r="A242" s="317"/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</row>
    <row r="243">
      <c r="A243" s="317"/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</row>
    <row r="244">
      <c r="A244" s="317"/>
      <c r="B244" s="317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</row>
    <row r="245">
      <c r="A245" s="317"/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</row>
    <row r="246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</row>
    <row r="247">
      <c r="A247" s="317"/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</row>
    <row r="248">
      <c r="A248" s="317"/>
      <c r="B248" s="317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</row>
    <row r="249">
      <c r="A249" s="317"/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</row>
    <row r="250">
      <c r="A250" s="317"/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</row>
    <row r="251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</row>
    <row r="252">
      <c r="A252" s="317"/>
      <c r="B252" s="317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</row>
    <row r="253">
      <c r="A253" s="317"/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</row>
    <row r="254">
      <c r="A254" s="317"/>
      <c r="B254" s="317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</row>
    <row r="255">
      <c r="A255" s="317"/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</row>
    <row r="256">
      <c r="A256" s="317"/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</row>
    <row r="257">
      <c r="A257" s="317"/>
      <c r="B257" s="317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</row>
    <row r="258">
      <c r="A258" s="317"/>
      <c r="B258" s="317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</row>
    <row r="259">
      <c r="A259" s="317"/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</row>
    <row r="260">
      <c r="A260" s="317"/>
      <c r="B260" s="317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</row>
    <row r="261">
      <c r="A261" s="317"/>
      <c r="B261" s="317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</row>
    <row r="262">
      <c r="A262" s="317"/>
      <c r="B262" s="317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</row>
    <row r="263">
      <c r="A263" s="317"/>
      <c r="B263" s="317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</row>
    <row r="264">
      <c r="A264" s="317"/>
      <c r="B264" s="317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</row>
    <row r="265">
      <c r="A265" s="317"/>
      <c r="B265" s="317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</row>
    <row r="266">
      <c r="A266" s="317"/>
      <c r="B266" s="317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</row>
    <row r="267">
      <c r="A267" s="317"/>
      <c r="B267" s="317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</row>
    <row r="268">
      <c r="A268" s="317"/>
      <c r="B268" s="317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</row>
    <row r="269">
      <c r="A269" s="317"/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</row>
    <row r="270">
      <c r="A270" s="317"/>
      <c r="B270" s="317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</row>
    <row r="271">
      <c r="A271" s="317"/>
      <c r="B271" s="317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</row>
    <row r="272">
      <c r="A272" s="317"/>
      <c r="B272" s="317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</row>
    <row r="273">
      <c r="A273" s="317"/>
      <c r="B273" s="317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</row>
    <row r="274">
      <c r="A274" s="317"/>
      <c r="B274" s="317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</row>
    <row r="275">
      <c r="A275" s="317"/>
      <c r="B275" s="317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</row>
    <row r="276">
      <c r="A276" s="317"/>
      <c r="B276" s="317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</row>
    <row r="277">
      <c r="A277" s="317"/>
      <c r="B277" s="317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</row>
    <row r="278">
      <c r="A278" s="317"/>
      <c r="B278" s="317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</row>
    <row r="279">
      <c r="A279" s="317"/>
      <c r="B279" s="317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</row>
    <row r="280">
      <c r="A280" s="317"/>
      <c r="B280" s="317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</row>
    <row r="281">
      <c r="A281" s="31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</row>
    <row r="282">
      <c r="A282" s="317"/>
      <c r="B282" s="317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</row>
    <row r="283">
      <c r="A283" s="317"/>
      <c r="B283" s="317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</row>
    <row r="284">
      <c r="A284" s="317"/>
      <c r="B284" s="317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</row>
    <row r="285">
      <c r="A285" s="317"/>
      <c r="B285" s="317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</row>
    <row r="286">
      <c r="A286" s="317"/>
      <c r="B286" s="317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</row>
    <row r="287">
      <c r="A287" s="317"/>
      <c r="B287" s="317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</row>
    <row r="288">
      <c r="A288" s="317"/>
      <c r="B288" s="317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</row>
    <row r="289">
      <c r="A289" s="317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</row>
    <row r="290">
      <c r="A290" s="317"/>
      <c r="B290" s="317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</row>
    <row r="291">
      <c r="A291" s="317"/>
      <c r="B291" s="317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</row>
    <row r="292">
      <c r="A292" s="317"/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</row>
    <row r="293">
      <c r="A293" s="317"/>
      <c r="B293" s="317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</row>
    <row r="294">
      <c r="A294" s="317"/>
      <c r="B294" s="317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</row>
    <row r="295">
      <c r="A295" s="317"/>
      <c r="B295" s="317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</row>
    <row r="296">
      <c r="A296" s="317"/>
      <c r="B296" s="317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</row>
    <row r="297">
      <c r="A297" s="317"/>
      <c r="B297" s="317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</row>
    <row r="298">
      <c r="A298" s="317"/>
      <c r="B298" s="317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</row>
    <row r="299">
      <c r="A299" s="317"/>
      <c r="B299" s="317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</row>
    <row r="300">
      <c r="A300" s="317"/>
      <c r="B300" s="317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</row>
    <row r="301">
      <c r="A301" s="317"/>
      <c r="B301" s="317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</row>
    <row r="302">
      <c r="A302" s="317"/>
      <c r="B302" s="317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</row>
    <row r="303">
      <c r="A303" s="317"/>
      <c r="B303" s="317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</row>
    <row r="304">
      <c r="A304" s="317"/>
      <c r="B304" s="317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</row>
    <row r="305">
      <c r="A305" s="317"/>
      <c r="B305" s="317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</row>
    <row r="306">
      <c r="A306" s="317"/>
      <c r="B306" s="317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</row>
    <row r="307">
      <c r="A307" s="317"/>
      <c r="B307" s="317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</row>
    <row r="308">
      <c r="A308" s="317"/>
      <c r="B308" s="317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</row>
    <row r="309">
      <c r="A309" s="317"/>
      <c r="B309" s="317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</row>
    <row r="310">
      <c r="A310" s="317"/>
      <c r="B310" s="317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</row>
    <row r="311">
      <c r="A311" s="317"/>
      <c r="B311" s="317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</row>
    <row r="312">
      <c r="A312" s="317"/>
      <c r="B312" s="317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</row>
    <row r="313">
      <c r="A313" s="317"/>
      <c r="B313" s="317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</row>
    <row r="314">
      <c r="A314" s="317"/>
      <c r="B314" s="317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</row>
    <row r="315">
      <c r="A315" s="317"/>
      <c r="B315" s="317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</row>
    <row r="316">
      <c r="A316" s="317"/>
      <c r="B316" s="317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</row>
    <row r="317">
      <c r="A317" s="317"/>
      <c r="B317" s="317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</row>
    <row r="318">
      <c r="A318" s="317"/>
      <c r="B318" s="317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</row>
    <row r="319">
      <c r="A319" s="317"/>
      <c r="B319" s="317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</row>
    <row r="320">
      <c r="A320" s="317"/>
      <c r="B320" s="317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</row>
    <row r="321">
      <c r="A321" s="317"/>
      <c r="B321" s="317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</row>
    <row r="322">
      <c r="A322" s="317"/>
      <c r="B322" s="317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</row>
    <row r="323">
      <c r="A323" s="317"/>
      <c r="B323" s="317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</row>
    <row r="324">
      <c r="A324" s="317"/>
      <c r="B324" s="317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</row>
    <row r="325">
      <c r="A325" s="317"/>
      <c r="B325" s="317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</row>
    <row r="326">
      <c r="A326" s="317"/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</row>
    <row r="327">
      <c r="A327" s="317"/>
      <c r="B327" s="317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</row>
    <row r="328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</row>
    <row r="329">
      <c r="A329" s="317"/>
      <c r="B329" s="317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</row>
    <row r="330">
      <c r="A330" s="317"/>
      <c r="B330" s="317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</row>
    <row r="331">
      <c r="A331" s="317"/>
      <c r="B331" s="317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</row>
    <row r="332">
      <c r="A332" s="317"/>
      <c r="B332" s="317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</row>
    <row r="333">
      <c r="A333" s="317"/>
      <c r="B333" s="317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</row>
    <row r="334">
      <c r="A334" s="317"/>
      <c r="B334" s="317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</row>
    <row r="335">
      <c r="A335" s="317"/>
      <c r="B335" s="317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</row>
    <row r="336">
      <c r="A336" s="317"/>
      <c r="B336" s="317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</row>
    <row r="337">
      <c r="A337" s="317"/>
      <c r="B337" s="317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</row>
    <row r="338">
      <c r="A338" s="317"/>
      <c r="B338" s="317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</row>
    <row r="339">
      <c r="A339" s="317"/>
      <c r="B339" s="317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</row>
    <row r="340">
      <c r="A340" s="317"/>
      <c r="B340" s="317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</row>
    <row r="341">
      <c r="A341" s="317"/>
      <c r="B341" s="317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</row>
    <row r="342">
      <c r="A342" s="317"/>
      <c r="B342" s="317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</row>
    <row r="343">
      <c r="A343" s="317"/>
      <c r="B343" s="317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</row>
    <row r="344">
      <c r="A344" s="317"/>
      <c r="B344" s="317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</row>
    <row r="345">
      <c r="A345" s="317"/>
      <c r="B345" s="317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</row>
    <row r="346">
      <c r="A346" s="317"/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</row>
    <row r="347">
      <c r="A347" s="317"/>
      <c r="B347" s="317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</row>
    <row r="348">
      <c r="A348" s="317"/>
      <c r="B348" s="317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</row>
    <row r="349">
      <c r="A349" s="317"/>
      <c r="B349" s="317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</row>
    <row r="350">
      <c r="A350" s="317"/>
      <c r="B350" s="317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</row>
    <row r="351">
      <c r="A351" s="317"/>
      <c r="B351" s="317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</row>
    <row r="352">
      <c r="A352" s="317"/>
      <c r="B352" s="317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</row>
    <row r="353">
      <c r="A353" s="317"/>
      <c r="B353" s="317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</row>
    <row r="354">
      <c r="A354" s="317"/>
      <c r="B354" s="317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</row>
    <row r="355">
      <c r="A355" s="317"/>
      <c r="B355" s="317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</row>
    <row r="356">
      <c r="A356" s="317"/>
      <c r="B356" s="317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</row>
    <row r="357">
      <c r="A357" s="317"/>
      <c r="B357" s="317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</row>
    <row r="358">
      <c r="A358" s="317"/>
      <c r="B358" s="317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</row>
    <row r="359">
      <c r="A359" s="317"/>
      <c r="B359" s="317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</row>
    <row r="360">
      <c r="A360" s="317"/>
      <c r="B360" s="317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</row>
    <row r="361">
      <c r="A361" s="317"/>
      <c r="B361" s="317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</row>
    <row r="362">
      <c r="A362" s="317"/>
      <c r="B362" s="317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</row>
    <row r="363">
      <c r="A363" s="317"/>
      <c r="B363" s="317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</row>
    <row r="364">
      <c r="A364" s="317"/>
      <c r="B364" s="317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</row>
    <row r="365">
      <c r="A365" s="317"/>
      <c r="B365" s="317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</row>
    <row r="366">
      <c r="A366" s="317"/>
      <c r="B366" s="317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</row>
    <row r="367">
      <c r="A367" s="317"/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</row>
    <row r="368">
      <c r="A368" s="317"/>
      <c r="B368" s="317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</row>
    <row r="369">
      <c r="A369" s="317"/>
      <c r="B369" s="317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</row>
    <row r="370">
      <c r="A370" s="317"/>
      <c r="B370" s="317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</row>
    <row r="371">
      <c r="A371" s="317"/>
      <c r="B371" s="317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</row>
    <row r="372">
      <c r="A372" s="317"/>
      <c r="B372" s="317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</row>
    <row r="373">
      <c r="A373" s="317"/>
      <c r="B373" s="317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</row>
    <row r="374">
      <c r="A374" s="317"/>
      <c r="B374" s="317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</row>
    <row r="375">
      <c r="A375" s="317"/>
      <c r="B375" s="317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</row>
    <row r="376">
      <c r="A376" s="317"/>
      <c r="B376" s="317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</row>
    <row r="377">
      <c r="A377" s="317"/>
      <c r="B377" s="317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</row>
    <row r="378">
      <c r="A378" s="317"/>
      <c r="B378" s="317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</row>
    <row r="379">
      <c r="A379" s="317"/>
      <c r="B379" s="317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</row>
    <row r="380">
      <c r="A380" s="317"/>
      <c r="B380" s="317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</row>
    <row r="381">
      <c r="A381" s="317"/>
      <c r="B381" s="317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</row>
    <row r="382">
      <c r="A382" s="317"/>
      <c r="B382" s="317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</row>
    <row r="383">
      <c r="A383" s="317"/>
      <c r="B383" s="317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</row>
    <row r="384">
      <c r="A384" s="317"/>
      <c r="B384" s="317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</row>
    <row r="385">
      <c r="A385" s="317"/>
      <c r="B385" s="317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</row>
    <row r="386">
      <c r="A386" s="317"/>
      <c r="B386" s="317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</row>
    <row r="387">
      <c r="A387" s="317"/>
      <c r="B387" s="317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</row>
    <row r="388">
      <c r="A388" s="317"/>
      <c r="B388" s="317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</row>
    <row r="389">
      <c r="A389" s="317"/>
      <c r="B389" s="317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</row>
    <row r="390">
      <c r="A390" s="317"/>
      <c r="B390" s="317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</row>
    <row r="391">
      <c r="A391" s="317"/>
      <c r="B391" s="317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</row>
    <row r="392">
      <c r="A392" s="317"/>
      <c r="B392" s="317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</row>
    <row r="393">
      <c r="A393" s="317"/>
      <c r="B393" s="317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</row>
    <row r="394">
      <c r="A394" s="317"/>
      <c r="B394" s="317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</row>
    <row r="395">
      <c r="A395" s="317"/>
      <c r="B395" s="317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</row>
    <row r="396">
      <c r="A396" s="317"/>
      <c r="B396" s="317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</row>
    <row r="397">
      <c r="A397" s="317"/>
      <c r="B397" s="317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</row>
    <row r="398">
      <c r="A398" s="317"/>
      <c r="B398" s="317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</row>
    <row r="399">
      <c r="A399" s="317"/>
      <c r="B399" s="317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</row>
    <row r="400">
      <c r="A400" s="317"/>
      <c r="B400" s="317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</row>
    <row r="401">
      <c r="A401" s="317"/>
      <c r="B401" s="317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</row>
    <row r="402">
      <c r="A402" s="317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</row>
    <row r="403">
      <c r="A403" s="317"/>
      <c r="B403" s="317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</row>
    <row r="404">
      <c r="A404" s="317"/>
      <c r="B404" s="317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</row>
    <row r="405">
      <c r="A405" s="317"/>
      <c r="B405" s="317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</row>
    <row r="406">
      <c r="A406" s="317"/>
      <c r="B406" s="317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</row>
    <row r="407">
      <c r="A407" s="317"/>
      <c r="B407" s="317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</row>
    <row r="408">
      <c r="A408" s="317"/>
      <c r="B408" s="317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</row>
    <row r="409">
      <c r="A409" s="317"/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</row>
    <row r="410">
      <c r="A410" s="317"/>
      <c r="B410" s="317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</row>
    <row r="411">
      <c r="A411" s="317"/>
      <c r="B411" s="317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</row>
    <row r="412">
      <c r="A412" s="317"/>
      <c r="B412" s="317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</row>
    <row r="413">
      <c r="A413" s="317"/>
      <c r="B413" s="317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</row>
    <row r="414">
      <c r="A414" s="317"/>
      <c r="B414" s="317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</row>
    <row r="415">
      <c r="A415" s="317"/>
      <c r="B415" s="317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</row>
    <row r="416">
      <c r="A416" s="317"/>
      <c r="B416" s="317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</row>
    <row r="417">
      <c r="A417" s="317"/>
      <c r="B417" s="317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</row>
    <row r="418">
      <c r="A418" s="317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</row>
    <row r="419">
      <c r="A419" s="317"/>
      <c r="B419" s="317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</row>
    <row r="420">
      <c r="A420" s="317"/>
      <c r="B420" s="317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</row>
    <row r="421">
      <c r="A421" s="317"/>
      <c r="B421" s="317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</row>
    <row r="422">
      <c r="A422" s="317"/>
      <c r="B422" s="317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</row>
    <row r="423">
      <c r="A423" s="317"/>
      <c r="B423" s="317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</row>
    <row r="424">
      <c r="A424" s="317"/>
      <c r="B424" s="317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</row>
    <row r="425">
      <c r="A425" s="317"/>
      <c r="B425" s="317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</row>
    <row r="426">
      <c r="A426" s="317"/>
      <c r="B426" s="317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</row>
    <row r="427">
      <c r="A427" s="317"/>
      <c r="B427" s="317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</row>
    <row r="428">
      <c r="A428" s="317"/>
      <c r="B428" s="317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</row>
    <row r="429">
      <c r="A429" s="317"/>
      <c r="B429" s="317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</row>
    <row r="430">
      <c r="A430" s="317"/>
      <c r="B430" s="317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</row>
    <row r="431">
      <c r="A431" s="317"/>
      <c r="B431" s="317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</row>
    <row r="432">
      <c r="A432" s="317"/>
      <c r="B432" s="317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</row>
    <row r="433">
      <c r="A433" s="317"/>
      <c r="B433" s="317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</row>
    <row r="434">
      <c r="A434" s="317"/>
      <c r="B434" s="317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</row>
    <row r="435">
      <c r="A435" s="317"/>
      <c r="B435" s="317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</row>
    <row r="436">
      <c r="A436" s="317"/>
      <c r="B436" s="317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</row>
    <row r="437">
      <c r="A437" s="317"/>
      <c r="B437" s="317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</row>
    <row r="438">
      <c r="A438" s="317"/>
      <c r="B438" s="317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</row>
    <row r="439">
      <c r="A439" s="317"/>
      <c r="B439" s="317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</row>
    <row r="440">
      <c r="A440" s="317"/>
      <c r="B440" s="317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</row>
    <row r="441">
      <c r="A441" s="317"/>
      <c r="B441" s="317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</row>
    <row r="442">
      <c r="A442" s="317"/>
      <c r="B442" s="317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</row>
    <row r="443">
      <c r="A443" s="317"/>
      <c r="B443" s="317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</row>
    <row r="444">
      <c r="A444" s="317"/>
      <c r="B444" s="317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</row>
    <row r="445">
      <c r="A445" s="317"/>
      <c r="B445" s="317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</row>
    <row r="446">
      <c r="A446" s="317"/>
      <c r="B446" s="317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</row>
    <row r="447">
      <c r="A447" s="317"/>
      <c r="B447" s="317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</row>
    <row r="448">
      <c r="A448" s="317"/>
      <c r="B448" s="317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</row>
    <row r="449">
      <c r="A449" s="317"/>
      <c r="B449" s="317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</row>
    <row r="450">
      <c r="A450" s="317"/>
      <c r="B450" s="317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</row>
    <row r="451">
      <c r="A451" s="317"/>
      <c r="B451" s="317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</row>
    <row r="452">
      <c r="A452" s="317"/>
      <c r="B452" s="317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</row>
    <row r="453">
      <c r="A453" s="317"/>
      <c r="B453" s="317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</row>
    <row r="454">
      <c r="A454" s="317"/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</row>
    <row r="455">
      <c r="A455" s="317"/>
      <c r="B455" s="317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</row>
    <row r="456">
      <c r="A456" s="317"/>
      <c r="B456" s="317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</row>
    <row r="457">
      <c r="A457" s="317"/>
      <c r="B457" s="317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</row>
    <row r="458">
      <c r="A458" s="317"/>
      <c r="B458" s="317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</row>
    <row r="459">
      <c r="A459" s="317"/>
      <c r="B459" s="317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</row>
    <row r="460">
      <c r="A460" s="317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</row>
    <row r="461">
      <c r="A461" s="317"/>
      <c r="B461" s="317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</row>
    <row r="462">
      <c r="A462" s="317"/>
      <c r="B462" s="317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</row>
    <row r="463">
      <c r="A463" s="317"/>
      <c r="B463" s="317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</row>
    <row r="464">
      <c r="A464" s="317"/>
      <c r="B464" s="317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</row>
    <row r="465">
      <c r="A465" s="317"/>
      <c r="B465" s="317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</row>
    <row r="466">
      <c r="A466" s="317"/>
      <c r="B466" s="317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</row>
    <row r="467">
      <c r="A467" s="317"/>
      <c r="B467" s="317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</row>
    <row r="468">
      <c r="A468" s="317"/>
      <c r="B468" s="317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</row>
    <row r="469">
      <c r="A469" s="317"/>
      <c r="B469" s="317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</row>
    <row r="470">
      <c r="A470" s="317"/>
      <c r="B470" s="317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</row>
    <row r="471">
      <c r="A471" s="317"/>
      <c r="B471" s="317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</row>
    <row r="472">
      <c r="A472" s="317"/>
      <c r="B472" s="317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</row>
    <row r="473">
      <c r="A473" s="317"/>
      <c r="B473" s="317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</row>
    <row r="474">
      <c r="A474" s="317"/>
      <c r="B474" s="317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</row>
    <row r="475">
      <c r="A475" s="317"/>
      <c r="B475" s="317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</row>
    <row r="476">
      <c r="A476" s="317"/>
      <c r="B476" s="317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</row>
    <row r="477">
      <c r="A477" s="317"/>
      <c r="B477" s="317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</row>
    <row r="478">
      <c r="A478" s="317"/>
      <c r="B478" s="317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</row>
    <row r="479">
      <c r="A479" s="317"/>
      <c r="B479" s="317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</row>
    <row r="480">
      <c r="A480" s="317"/>
      <c r="B480" s="317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</row>
    <row r="481">
      <c r="A481" s="317"/>
      <c r="B481" s="317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</row>
    <row r="482">
      <c r="A482" s="317"/>
      <c r="B482" s="317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</row>
    <row r="483">
      <c r="A483" s="317"/>
      <c r="B483" s="317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</row>
    <row r="484">
      <c r="A484" s="317"/>
      <c r="B484" s="317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</row>
    <row r="485">
      <c r="A485" s="317"/>
      <c r="B485" s="317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</row>
    <row r="486">
      <c r="A486" s="317"/>
      <c r="B486" s="317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</row>
    <row r="487">
      <c r="A487" s="317"/>
      <c r="B487" s="317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</row>
    <row r="488">
      <c r="A488" s="317"/>
      <c r="B488" s="317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</row>
    <row r="489">
      <c r="A489" s="317"/>
      <c r="B489" s="317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</row>
    <row r="490">
      <c r="A490" s="317"/>
      <c r="B490" s="317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</row>
    <row r="491">
      <c r="A491" s="317"/>
      <c r="B491" s="317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</row>
    <row r="492">
      <c r="A492" s="317"/>
      <c r="B492" s="317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</row>
    <row r="493">
      <c r="A493" s="317"/>
      <c r="B493" s="317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</row>
    <row r="494">
      <c r="A494" s="317"/>
      <c r="B494" s="317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</row>
    <row r="495">
      <c r="A495" s="317"/>
      <c r="B495" s="317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</row>
    <row r="496">
      <c r="A496" s="317"/>
      <c r="B496" s="317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</row>
    <row r="497">
      <c r="A497" s="317"/>
      <c r="B497" s="317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</row>
    <row r="498">
      <c r="A498" s="317"/>
      <c r="B498" s="317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</row>
    <row r="499">
      <c r="A499" s="317"/>
      <c r="B499" s="317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</row>
    <row r="500">
      <c r="A500" s="317"/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</row>
    <row r="501">
      <c r="A501" s="317"/>
      <c r="B501" s="317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</row>
    <row r="502">
      <c r="A502" s="317"/>
      <c r="B502" s="317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</row>
    <row r="503">
      <c r="A503" s="317"/>
      <c r="B503" s="317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</row>
    <row r="504">
      <c r="A504" s="317"/>
      <c r="B504" s="317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</row>
    <row r="505">
      <c r="A505" s="317"/>
      <c r="B505" s="317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</row>
    <row r="506">
      <c r="A506" s="317"/>
      <c r="B506" s="317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</row>
    <row r="507">
      <c r="A507" s="317"/>
      <c r="B507" s="317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</row>
    <row r="508">
      <c r="A508" s="317"/>
      <c r="B508" s="317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</row>
    <row r="509">
      <c r="A509" s="317"/>
      <c r="B509" s="317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</row>
    <row r="510">
      <c r="A510" s="317"/>
      <c r="B510" s="317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</row>
    <row r="511">
      <c r="A511" s="317"/>
      <c r="B511" s="317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</row>
    <row r="512">
      <c r="A512" s="317"/>
      <c r="B512" s="317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</row>
    <row r="513">
      <c r="A513" s="317"/>
      <c r="B513" s="317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</row>
    <row r="514">
      <c r="A514" s="317"/>
      <c r="B514" s="317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</row>
    <row r="515">
      <c r="A515" s="317"/>
      <c r="B515" s="317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</row>
    <row r="516">
      <c r="A516" s="317"/>
      <c r="B516" s="317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</row>
    <row r="517">
      <c r="A517" s="317"/>
      <c r="B517" s="317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</row>
    <row r="518">
      <c r="A518" s="317"/>
      <c r="B518" s="317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</row>
    <row r="519">
      <c r="A519" s="317"/>
      <c r="B519" s="317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</row>
    <row r="520">
      <c r="A520" s="317"/>
      <c r="B520" s="317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</row>
    <row r="521">
      <c r="A521" s="317"/>
      <c r="B521" s="317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</row>
    <row r="522">
      <c r="A522" s="317"/>
      <c r="B522" s="317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</row>
    <row r="523">
      <c r="A523" s="317"/>
      <c r="B523" s="317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</row>
    <row r="524">
      <c r="A524" s="317"/>
      <c r="B524" s="317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</row>
    <row r="525">
      <c r="A525" s="317"/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</row>
    <row r="526">
      <c r="A526" s="317"/>
      <c r="B526" s="317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</row>
    <row r="527">
      <c r="A527" s="317"/>
      <c r="B527" s="317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</row>
    <row r="528">
      <c r="A528" s="317"/>
      <c r="B528" s="317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</row>
    <row r="529">
      <c r="A529" s="317"/>
      <c r="B529" s="317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</row>
    <row r="530">
      <c r="A530" s="317"/>
      <c r="B530" s="317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</row>
    <row r="531">
      <c r="A531" s="317"/>
      <c r="B531" s="317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</row>
    <row r="532">
      <c r="A532" s="317"/>
      <c r="B532" s="317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</row>
    <row r="533">
      <c r="A533" s="317"/>
      <c r="B533" s="317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</row>
    <row r="534">
      <c r="A534" s="317"/>
      <c r="B534" s="317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</row>
    <row r="535">
      <c r="A535" s="317"/>
      <c r="B535" s="317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</row>
    <row r="536">
      <c r="A536" s="317"/>
      <c r="B536" s="317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</row>
    <row r="537">
      <c r="A537" s="317"/>
      <c r="B537" s="317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</row>
    <row r="538">
      <c r="A538" s="317"/>
      <c r="B538" s="317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</row>
    <row r="539">
      <c r="A539" s="317"/>
      <c r="B539" s="317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</row>
    <row r="540">
      <c r="A540" s="317"/>
      <c r="B540" s="317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</row>
    <row r="541">
      <c r="A541" s="317"/>
      <c r="B541" s="317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</row>
    <row r="542">
      <c r="A542" s="317"/>
      <c r="B542" s="317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</row>
    <row r="543">
      <c r="A543" s="317"/>
      <c r="B543" s="317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</row>
    <row r="544">
      <c r="A544" s="317"/>
      <c r="B544" s="317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</row>
    <row r="545">
      <c r="A545" s="317"/>
      <c r="B545" s="317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</row>
    <row r="546">
      <c r="A546" s="317"/>
      <c r="B546" s="317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</row>
    <row r="547">
      <c r="A547" s="317"/>
      <c r="B547" s="317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</row>
    <row r="548">
      <c r="A548" s="317"/>
      <c r="B548" s="317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</row>
    <row r="549">
      <c r="A549" s="317"/>
      <c r="B549" s="317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</row>
    <row r="550">
      <c r="A550" s="317"/>
      <c r="B550" s="317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</row>
    <row r="551">
      <c r="A551" s="317"/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</row>
    <row r="552">
      <c r="A552" s="317"/>
      <c r="B552" s="317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</row>
    <row r="553">
      <c r="A553" s="317"/>
      <c r="B553" s="317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</row>
    <row r="554">
      <c r="A554" s="317"/>
      <c r="B554" s="317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</row>
    <row r="555">
      <c r="A555" s="317"/>
      <c r="B555" s="317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</row>
    <row r="556">
      <c r="A556" s="317"/>
      <c r="B556" s="317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</row>
    <row r="557">
      <c r="A557" s="317"/>
      <c r="B557" s="317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</row>
    <row r="558">
      <c r="A558" s="317"/>
      <c r="B558" s="317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</row>
    <row r="559">
      <c r="A559" s="317"/>
      <c r="B559" s="317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</row>
    <row r="560">
      <c r="A560" s="317"/>
      <c r="B560" s="317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</row>
    <row r="561">
      <c r="A561" s="317"/>
      <c r="B561" s="317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</row>
    <row r="562">
      <c r="A562" s="317"/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</row>
    <row r="563">
      <c r="A563" s="317"/>
      <c r="B563" s="317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</row>
    <row r="564">
      <c r="A564" s="317"/>
      <c r="B564" s="317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</row>
    <row r="565">
      <c r="A565" s="317"/>
      <c r="B565" s="317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</row>
    <row r="566">
      <c r="A566" s="317"/>
      <c r="B566" s="317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</row>
    <row r="567">
      <c r="A567" s="317"/>
      <c r="B567" s="317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</row>
    <row r="568">
      <c r="A568" s="317"/>
      <c r="B568" s="317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</row>
    <row r="569">
      <c r="A569" s="317"/>
      <c r="B569" s="317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</row>
    <row r="570">
      <c r="A570" s="317"/>
      <c r="B570" s="317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</row>
    <row r="571">
      <c r="A571" s="317"/>
      <c r="B571" s="317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</row>
    <row r="572">
      <c r="A572" s="317"/>
      <c r="B572" s="317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</row>
    <row r="573">
      <c r="A573" s="317"/>
      <c r="B573" s="317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</row>
    <row r="574">
      <c r="A574" s="317"/>
      <c r="B574" s="317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</row>
    <row r="575">
      <c r="A575" s="317"/>
      <c r="B575" s="317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</row>
    <row r="576">
      <c r="A576" s="317"/>
      <c r="B576" s="317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</row>
    <row r="577">
      <c r="A577" s="317"/>
      <c r="B577" s="317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</row>
    <row r="578">
      <c r="A578" s="317"/>
      <c r="B578" s="317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</row>
    <row r="579">
      <c r="A579" s="317"/>
      <c r="B579" s="317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</row>
    <row r="580">
      <c r="A580" s="317"/>
      <c r="B580" s="317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</row>
    <row r="581">
      <c r="A581" s="317"/>
      <c r="B581" s="317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</row>
    <row r="582">
      <c r="A582" s="317"/>
      <c r="B582" s="317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</row>
    <row r="583">
      <c r="A583" s="317"/>
      <c r="B583" s="317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</row>
    <row r="584">
      <c r="A584" s="317"/>
      <c r="B584" s="317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</row>
    <row r="585">
      <c r="A585" s="317"/>
      <c r="B585" s="317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</row>
    <row r="586">
      <c r="A586" s="317"/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</row>
    <row r="587">
      <c r="A587" s="317"/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</row>
    <row r="588">
      <c r="A588" s="317"/>
      <c r="B588" s="317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</row>
    <row r="589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</row>
    <row r="590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</row>
    <row r="59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</row>
    <row r="592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</row>
    <row r="593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</row>
    <row r="594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</row>
    <row r="595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</row>
    <row r="596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</row>
    <row r="597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</row>
    <row r="598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</row>
    <row r="599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</row>
    <row r="600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</row>
    <row r="60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</row>
    <row r="602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</row>
    <row r="603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</row>
    <row r="604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</row>
    <row r="605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</row>
    <row r="606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</row>
    <row r="607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</row>
    <row r="608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</row>
    <row r="609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</row>
    <row r="610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</row>
    <row r="61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</row>
    <row r="612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</row>
    <row r="613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</row>
    <row r="614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</row>
    <row r="615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</row>
    <row r="616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</row>
    <row r="617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</row>
    <row r="618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</row>
    <row r="619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</row>
    <row r="620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</row>
    <row r="62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</row>
    <row r="622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</row>
    <row r="623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</row>
    <row r="624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</row>
    <row r="625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</row>
    <row r="626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</row>
    <row r="627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</row>
    <row r="628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</row>
    <row r="629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</row>
    <row r="630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</row>
    <row r="631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</row>
    <row r="632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</row>
    <row r="633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</row>
    <row r="634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</row>
    <row r="635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</row>
    <row r="636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</row>
    <row r="637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</row>
    <row r="638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</row>
    <row r="639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</row>
    <row r="640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</row>
    <row r="641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</row>
    <row r="642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</row>
    <row r="643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</row>
    <row r="644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</row>
    <row r="645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</row>
    <row r="646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</row>
    <row r="647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</row>
    <row r="648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</row>
    <row r="649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</row>
    <row r="650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</row>
    <row r="651">
      <c r="A651" s="317"/>
      <c r="B651" s="317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</row>
    <row r="652">
      <c r="A652" s="317"/>
      <c r="B652" s="317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</row>
    <row r="653">
      <c r="A653" s="317"/>
      <c r="B653" s="317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</row>
    <row r="654">
      <c r="A654" s="317"/>
      <c r="B654" s="317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</row>
    <row r="655">
      <c r="A655" s="317"/>
      <c r="B655" s="317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</row>
    <row r="656">
      <c r="A656" s="317"/>
      <c r="B656" s="317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</row>
    <row r="657">
      <c r="A657" s="317"/>
      <c r="B657" s="317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</row>
    <row r="658">
      <c r="A658" s="317"/>
      <c r="B658" s="317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</row>
    <row r="659">
      <c r="A659" s="317"/>
      <c r="B659" s="317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</row>
    <row r="660">
      <c r="A660" s="317"/>
      <c r="B660" s="317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</row>
    <row r="661">
      <c r="A661" s="317"/>
      <c r="B661" s="317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</row>
    <row r="662">
      <c r="A662" s="317"/>
      <c r="B662" s="317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</row>
    <row r="663">
      <c r="A663" s="317"/>
      <c r="B663" s="317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</row>
    <row r="664">
      <c r="A664" s="317"/>
      <c r="B664" s="317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</row>
    <row r="665">
      <c r="A665" s="317"/>
      <c r="B665" s="317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</row>
    <row r="666">
      <c r="A666" s="317"/>
      <c r="B666" s="317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</row>
    <row r="667">
      <c r="A667" s="317"/>
      <c r="B667" s="317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</row>
    <row r="668">
      <c r="A668" s="317"/>
      <c r="B668" s="317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</row>
    <row r="669">
      <c r="A669" s="317"/>
      <c r="B669" s="317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</row>
    <row r="670">
      <c r="A670" s="317"/>
      <c r="B670" s="317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</row>
    <row r="671">
      <c r="A671" s="317"/>
      <c r="B671" s="317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</row>
    <row r="672">
      <c r="A672" s="317"/>
      <c r="B672" s="317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</row>
    <row r="673">
      <c r="A673" s="317"/>
      <c r="B673" s="317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</row>
    <row r="674">
      <c r="A674" s="317"/>
      <c r="B674" s="317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</row>
    <row r="675">
      <c r="A675" s="317"/>
      <c r="B675" s="317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</row>
    <row r="676">
      <c r="A676" s="317"/>
      <c r="B676" s="317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</row>
    <row r="677">
      <c r="A677" s="317"/>
      <c r="B677" s="317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</row>
    <row r="678">
      <c r="A678" s="317"/>
      <c r="B678" s="317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</row>
    <row r="679">
      <c r="A679" s="317"/>
      <c r="B679" s="317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</row>
    <row r="680">
      <c r="A680" s="317"/>
      <c r="B680" s="317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</row>
    <row r="681">
      <c r="A681" s="317"/>
      <c r="B681" s="317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</row>
    <row r="682">
      <c r="A682" s="317"/>
      <c r="B682" s="317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</row>
    <row r="683">
      <c r="A683" s="317"/>
      <c r="B683" s="317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</row>
    <row r="684">
      <c r="A684" s="317"/>
      <c r="B684" s="317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</row>
    <row r="685">
      <c r="A685" s="317"/>
      <c r="B685" s="317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</row>
    <row r="686">
      <c r="A686" s="317"/>
      <c r="B686" s="317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</row>
    <row r="687">
      <c r="A687" s="317"/>
      <c r="B687" s="317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</row>
    <row r="688">
      <c r="A688" s="317"/>
      <c r="B688" s="317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</row>
    <row r="689">
      <c r="A689" s="317"/>
      <c r="B689" s="317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</row>
    <row r="690">
      <c r="A690" s="317"/>
      <c r="B690" s="317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</row>
    <row r="691">
      <c r="A691" s="317"/>
      <c r="B691" s="317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</row>
    <row r="692">
      <c r="A692" s="317"/>
      <c r="B692" s="317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</row>
    <row r="693">
      <c r="A693" s="317"/>
      <c r="B693" s="317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</row>
    <row r="694">
      <c r="A694" s="317"/>
      <c r="B694" s="317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</row>
    <row r="695">
      <c r="A695" s="317"/>
      <c r="B695" s="317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</row>
    <row r="696">
      <c r="A696" s="317"/>
      <c r="B696" s="317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</row>
    <row r="697">
      <c r="A697" s="317"/>
      <c r="B697" s="317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</row>
    <row r="698">
      <c r="A698" s="317"/>
      <c r="B698" s="317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</row>
    <row r="699">
      <c r="A699" s="317"/>
      <c r="B699" s="317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</row>
    <row r="700">
      <c r="A700" s="317"/>
      <c r="B700" s="317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</row>
    <row r="701">
      <c r="A701" s="317"/>
      <c r="B701" s="317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</row>
    <row r="702">
      <c r="A702" s="317"/>
      <c r="B702" s="317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</row>
    <row r="703">
      <c r="A703" s="317"/>
      <c r="B703" s="317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</row>
    <row r="704">
      <c r="A704" s="317"/>
      <c r="B704" s="317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</row>
    <row r="705">
      <c r="A705" s="317"/>
      <c r="B705" s="317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</row>
    <row r="706">
      <c r="A706" s="317"/>
      <c r="B706" s="317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</row>
    <row r="707">
      <c r="A707" s="317"/>
      <c r="B707" s="317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</row>
    <row r="708">
      <c r="A708" s="317"/>
      <c r="B708" s="317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</row>
    <row r="709">
      <c r="A709" s="317"/>
      <c r="B709" s="317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</row>
    <row r="710">
      <c r="A710" s="317"/>
      <c r="B710" s="317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</row>
    <row r="711">
      <c r="A711" s="317"/>
      <c r="B711" s="317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</row>
    <row r="712">
      <c r="A712" s="317"/>
      <c r="B712" s="317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</row>
    <row r="713">
      <c r="A713" s="317"/>
      <c r="B713" s="317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</row>
    <row r="714">
      <c r="A714" s="317"/>
      <c r="B714" s="317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</row>
    <row r="715">
      <c r="A715" s="317"/>
      <c r="B715" s="317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</row>
    <row r="716">
      <c r="A716" s="317"/>
      <c r="B716" s="317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</row>
    <row r="717">
      <c r="A717" s="317"/>
      <c r="B717" s="317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</row>
    <row r="718">
      <c r="A718" s="317"/>
      <c r="B718" s="317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</row>
    <row r="719">
      <c r="A719" s="317"/>
      <c r="B719" s="317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</row>
    <row r="720">
      <c r="A720" s="317"/>
      <c r="B720" s="317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</row>
    <row r="721">
      <c r="A721" s="317"/>
      <c r="B721" s="317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</row>
    <row r="722">
      <c r="A722" s="317"/>
      <c r="B722" s="317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</row>
    <row r="723">
      <c r="A723" s="317"/>
      <c r="B723" s="317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</row>
    <row r="724">
      <c r="A724" s="317"/>
      <c r="B724" s="317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</row>
    <row r="725">
      <c r="A725" s="317"/>
      <c r="B725" s="317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</row>
    <row r="726">
      <c r="A726" s="317"/>
      <c r="B726" s="317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</row>
    <row r="727">
      <c r="A727" s="317"/>
      <c r="B727" s="317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</row>
    <row r="728">
      <c r="A728" s="317"/>
      <c r="B728" s="317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</row>
    <row r="729">
      <c r="A729" s="317"/>
      <c r="B729" s="317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</row>
    <row r="730">
      <c r="A730" s="317"/>
      <c r="B730" s="317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</row>
    <row r="731">
      <c r="A731" s="317"/>
      <c r="B731" s="317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</row>
    <row r="732">
      <c r="A732" s="317"/>
      <c r="B732" s="317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</row>
    <row r="733">
      <c r="A733" s="317"/>
      <c r="B733" s="317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</row>
    <row r="734">
      <c r="A734" s="317"/>
      <c r="B734" s="317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</row>
    <row r="735">
      <c r="A735" s="317"/>
      <c r="B735" s="317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</row>
    <row r="736">
      <c r="A736" s="317"/>
      <c r="B736" s="317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</row>
    <row r="737">
      <c r="A737" s="317"/>
      <c r="B737" s="317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</row>
    <row r="738">
      <c r="A738" s="317"/>
      <c r="B738" s="317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</row>
    <row r="739">
      <c r="A739" s="317"/>
      <c r="B739" s="317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</row>
    <row r="740">
      <c r="A740" s="317"/>
      <c r="B740" s="317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</row>
    <row r="741">
      <c r="A741" s="317"/>
      <c r="B741" s="317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</row>
    <row r="742">
      <c r="A742" s="317"/>
      <c r="B742" s="317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</row>
    <row r="743">
      <c r="A743" s="317"/>
      <c r="B743" s="317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</row>
    <row r="744">
      <c r="A744" s="317"/>
      <c r="B744" s="317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</row>
    <row r="745">
      <c r="A745" s="317"/>
      <c r="B745" s="317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</row>
    <row r="746">
      <c r="A746" s="317"/>
      <c r="B746" s="317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</row>
    <row r="747">
      <c r="A747" s="317"/>
      <c r="B747" s="317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</row>
    <row r="748">
      <c r="A748" s="317"/>
      <c r="B748" s="317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</row>
    <row r="749">
      <c r="A749" s="317"/>
      <c r="B749" s="317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</row>
    <row r="750">
      <c r="A750" s="317"/>
      <c r="B750" s="317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</row>
    <row r="751">
      <c r="A751" s="317"/>
      <c r="B751" s="317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</row>
    <row r="752">
      <c r="A752" s="317"/>
      <c r="B752" s="317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</row>
    <row r="753">
      <c r="A753" s="317"/>
      <c r="B753" s="317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</row>
    <row r="754">
      <c r="A754" s="317"/>
      <c r="B754" s="317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</row>
    <row r="755">
      <c r="A755" s="317"/>
      <c r="B755" s="317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</row>
    <row r="756">
      <c r="A756" s="317"/>
      <c r="B756" s="317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</row>
    <row r="757">
      <c r="A757" s="317"/>
      <c r="B757" s="317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</row>
    <row r="758">
      <c r="A758" s="317"/>
      <c r="B758" s="317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</row>
    <row r="759">
      <c r="A759" s="317"/>
      <c r="B759" s="317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</row>
    <row r="760">
      <c r="A760" s="317"/>
      <c r="B760" s="317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</row>
    <row r="761">
      <c r="A761" s="317"/>
      <c r="B761" s="317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</row>
    <row r="762">
      <c r="A762" s="317"/>
      <c r="B762" s="317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</row>
    <row r="763">
      <c r="A763" s="317"/>
      <c r="B763" s="317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</row>
    <row r="764">
      <c r="A764" s="317"/>
      <c r="B764" s="317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</row>
    <row r="765">
      <c r="A765" s="317"/>
      <c r="B765" s="317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</row>
    <row r="766">
      <c r="A766" s="317"/>
      <c r="B766" s="317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</row>
    <row r="767">
      <c r="A767" s="317"/>
      <c r="B767" s="317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</row>
    <row r="768">
      <c r="A768" s="317"/>
      <c r="B768" s="317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</row>
    <row r="769">
      <c r="A769" s="317"/>
      <c r="B769" s="317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</row>
    <row r="770">
      <c r="A770" s="317"/>
      <c r="B770" s="317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</row>
    <row r="771">
      <c r="A771" s="317"/>
      <c r="B771" s="317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</row>
    <row r="772">
      <c r="A772" s="317"/>
      <c r="B772" s="317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</row>
    <row r="773">
      <c r="A773" s="317"/>
      <c r="B773" s="317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</row>
    <row r="774">
      <c r="A774" s="317"/>
      <c r="B774" s="317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</row>
    <row r="775">
      <c r="A775" s="317"/>
      <c r="B775" s="317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</row>
    <row r="776">
      <c r="A776" s="317"/>
      <c r="B776" s="317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</row>
    <row r="777">
      <c r="A777" s="317"/>
      <c r="B777" s="317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</row>
    <row r="778">
      <c r="A778" s="317"/>
      <c r="B778" s="317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</row>
    <row r="779">
      <c r="A779" s="317"/>
      <c r="B779" s="317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</row>
    <row r="780">
      <c r="A780" s="317"/>
      <c r="B780" s="317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</row>
    <row r="781">
      <c r="A781" s="317"/>
      <c r="B781" s="317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</row>
    <row r="782">
      <c r="A782" s="317"/>
      <c r="B782" s="317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</row>
    <row r="783">
      <c r="A783" s="317"/>
      <c r="B783" s="317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</row>
    <row r="784">
      <c r="A784" s="317"/>
      <c r="B784" s="317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</row>
    <row r="785">
      <c r="A785" s="317"/>
      <c r="B785" s="317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</row>
    <row r="786">
      <c r="A786" s="317"/>
      <c r="B786" s="317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</row>
    <row r="787">
      <c r="A787" s="317"/>
      <c r="B787" s="317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</row>
    <row r="788">
      <c r="A788" s="317"/>
      <c r="B788" s="317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</row>
    <row r="789">
      <c r="A789" s="317"/>
      <c r="B789" s="317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</row>
    <row r="790">
      <c r="A790" s="317"/>
      <c r="B790" s="317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</row>
    <row r="791">
      <c r="A791" s="317"/>
      <c r="B791" s="317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</row>
    <row r="792">
      <c r="A792" s="317"/>
      <c r="B792" s="317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</row>
    <row r="793">
      <c r="A793" s="317"/>
      <c r="B793" s="317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</row>
    <row r="794">
      <c r="A794" s="317"/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</row>
    <row r="795">
      <c r="A795" s="317"/>
      <c r="B795" s="317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</row>
    <row r="796">
      <c r="A796" s="317"/>
      <c r="B796" s="317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</row>
    <row r="797">
      <c r="A797" s="317"/>
      <c r="B797" s="317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</row>
    <row r="798">
      <c r="A798" s="317"/>
      <c r="B798" s="317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</row>
    <row r="799">
      <c r="A799" s="317"/>
      <c r="B799" s="317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</row>
    <row r="800">
      <c r="A800" s="317"/>
      <c r="B800" s="317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</row>
    <row r="801">
      <c r="A801" s="317"/>
      <c r="B801" s="317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</row>
    <row r="802">
      <c r="A802" s="317"/>
      <c r="B802" s="317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</row>
    <row r="803">
      <c r="A803" s="317"/>
      <c r="B803" s="317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</row>
    <row r="804">
      <c r="A804" s="317"/>
      <c r="B804" s="317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</row>
    <row r="805">
      <c r="A805" s="317"/>
      <c r="B805" s="317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</row>
    <row r="806">
      <c r="A806" s="317"/>
      <c r="B806" s="317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</row>
    <row r="807">
      <c r="A807" s="317"/>
      <c r="B807" s="317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</row>
    <row r="808">
      <c r="A808" s="317"/>
      <c r="B808" s="317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</row>
    <row r="809">
      <c r="A809" s="317"/>
      <c r="B809" s="317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</row>
    <row r="810">
      <c r="A810" s="317"/>
      <c r="B810" s="317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</row>
    <row r="811">
      <c r="A811" s="317"/>
      <c r="B811" s="317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</row>
    <row r="812">
      <c r="A812" s="317"/>
      <c r="B812" s="317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</row>
    <row r="813">
      <c r="A813" s="317"/>
      <c r="B813" s="317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</row>
    <row r="814">
      <c r="A814" s="317"/>
      <c r="B814" s="317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</row>
    <row r="815">
      <c r="A815" s="317"/>
      <c r="B815" s="317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</row>
    <row r="816">
      <c r="A816" s="317"/>
      <c r="B816" s="317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</row>
    <row r="817">
      <c r="A817" s="317"/>
      <c r="B817" s="317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</row>
    <row r="818">
      <c r="A818" s="317"/>
      <c r="B818" s="317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</row>
    <row r="819">
      <c r="A819" s="317"/>
      <c r="B819" s="317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</row>
    <row r="820">
      <c r="A820" s="317"/>
      <c r="B820" s="317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</row>
    <row r="821">
      <c r="A821" s="317"/>
      <c r="B821" s="317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</row>
    <row r="822">
      <c r="A822" s="317"/>
      <c r="B822" s="317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</row>
    <row r="823">
      <c r="A823" s="317"/>
      <c r="B823" s="317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</row>
    <row r="824">
      <c r="A824" s="317"/>
      <c r="B824" s="317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</row>
    <row r="825">
      <c r="A825" s="317"/>
      <c r="B825" s="317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</row>
    <row r="826">
      <c r="A826" s="317"/>
      <c r="B826" s="317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</row>
    <row r="827">
      <c r="A827" s="317"/>
      <c r="B827" s="317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</row>
    <row r="828">
      <c r="A828" s="317"/>
      <c r="B828" s="317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</row>
    <row r="829">
      <c r="A829" s="317"/>
      <c r="B829" s="317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</row>
    <row r="830">
      <c r="A830" s="317"/>
      <c r="B830" s="317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</row>
    <row r="831">
      <c r="A831" s="317"/>
      <c r="B831" s="317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</row>
    <row r="832">
      <c r="A832" s="317"/>
      <c r="B832" s="317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</row>
    <row r="833">
      <c r="A833" s="317"/>
      <c r="B833" s="317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</row>
    <row r="834">
      <c r="A834" s="317"/>
      <c r="B834" s="317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</row>
    <row r="835">
      <c r="A835" s="317"/>
      <c r="B835" s="317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</row>
    <row r="836">
      <c r="A836" s="317"/>
      <c r="B836" s="317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</row>
    <row r="837">
      <c r="A837" s="317"/>
      <c r="B837" s="317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</row>
    <row r="838">
      <c r="A838" s="317"/>
      <c r="B838" s="317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</row>
    <row r="839">
      <c r="A839" s="317"/>
      <c r="B839" s="317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</row>
    <row r="840">
      <c r="A840" s="317"/>
      <c r="B840" s="317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</row>
    <row r="841">
      <c r="A841" s="317"/>
      <c r="B841" s="317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</row>
    <row r="842">
      <c r="A842" s="317"/>
      <c r="B842" s="317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</row>
    <row r="843">
      <c r="A843" s="317"/>
      <c r="B843" s="317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</row>
    <row r="844">
      <c r="A844" s="317"/>
      <c r="B844" s="317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</row>
    <row r="845">
      <c r="A845" s="317"/>
      <c r="B845" s="317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</row>
    <row r="846">
      <c r="A846" s="317"/>
      <c r="B846" s="317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</row>
    <row r="847">
      <c r="A847" s="317"/>
      <c r="B847" s="317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</row>
    <row r="848">
      <c r="A848" s="317"/>
      <c r="B848" s="317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</row>
    <row r="849">
      <c r="A849" s="317"/>
      <c r="B849" s="317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</row>
    <row r="850">
      <c r="A850" s="317"/>
      <c r="B850" s="317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</row>
    <row r="851">
      <c r="A851" s="317"/>
      <c r="B851" s="317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</row>
    <row r="852">
      <c r="A852" s="317"/>
      <c r="B852" s="317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</row>
    <row r="853">
      <c r="A853" s="317"/>
      <c r="B853" s="317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</row>
    <row r="854">
      <c r="A854" s="317"/>
      <c r="B854" s="317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</row>
    <row r="855">
      <c r="A855" s="317"/>
      <c r="B855" s="317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</row>
    <row r="856">
      <c r="A856" s="317"/>
      <c r="B856" s="317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</row>
    <row r="857">
      <c r="A857" s="317"/>
      <c r="B857" s="317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</row>
    <row r="858">
      <c r="A858" s="317"/>
      <c r="B858" s="317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</row>
    <row r="859">
      <c r="A859" s="317"/>
      <c r="B859" s="317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</row>
    <row r="860">
      <c r="A860" s="317"/>
      <c r="B860" s="317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</row>
    <row r="861">
      <c r="A861" s="317"/>
      <c r="B861" s="317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</row>
    <row r="862">
      <c r="A862" s="317"/>
      <c r="B862" s="317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</row>
    <row r="863">
      <c r="A863" s="317"/>
      <c r="B863" s="317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</row>
    <row r="864">
      <c r="A864" s="317"/>
      <c r="B864" s="317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</row>
    <row r="865">
      <c r="A865" s="317"/>
      <c r="B865" s="317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</row>
    <row r="866">
      <c r="A866" s="317"/>
      <c r="B866" s="317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</row>
    <row r="867">
      <c r="A867" s="317"/>
      <c r="B867" s="317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</row>
    <row r="868">
      <c r="A868" s="317"/>
      <c r="B868" s="317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</row>
    <row r="869">
      <c r="A869" s="317"/>
      <c r="B869" s="317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</row>
    <row r="870">
      <c r="A870" s="317"/>
      <c r="B870" s="317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</row>
    <row r="871">
      <c r="A871" s="317"/>
      <c r="B871" s="317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</row>
    <row r="872">
      <c r="A872" s="317"/>
      <c r="B872" s="317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</row>
    <row r="873">
      <c r="A873" s="317"/>
      <c r="B873" s="317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</row>
    <row r="874">
      <c r="A874" s="317"/>
      <c r="B874" s="317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</row>
    <row r="875">
      <c r="A875" s="317"/>
      <c r="B875" s="317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</row>
    <row r="876">
      <c r="A876" s="317"/>
      <c r="B876" s="317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</row>
    <row r="877">
      <c r="A877" s="317"/>
      <c r="B877" s="317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</row>
    <row r="878">
      <c r="A878" s="317"/>
      <c r="B878" s="317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</row>
    <row r="879">
      <c r="A879" s="317"/>
      <c r="B879" s="317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</row>
    <row r="880">
      <c r="A880" s="317"/>
      <c r="B880" s="317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</row>
    <row r="881">
      <c r="A881" s="317"/>
      <c r="B881" s="317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</row>
    <row r="882">
      <c r="A882" s="317"/>
      <c r="B882" s="317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</row>
    <row r="883">
      <c r="A883" s="317"/>
      <c r="B883" s="317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</row>
    <row r="884">
      <c r="A884" s="317"/>
      <c r="B884" s="317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</row>
    <row r="885">
      <c r="A885" s="317"/>
      <c r="B885" s="317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</row>
    <row r="886">
      <c r="A886" s="317"/>
      <c r="B886" s="317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</row>
    <row r="887">
      <c r="A887" s="317"/>
      <c r="B887" s="317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</row>
    <row r="888">
      <c r="A888" s="317"/>
      <c r="B888" s="317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</row>
    <row r="889">
      <c r="A889" s="317"/>
      <c r="B889" s="317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</row>
    <row r="890">
      <c r="A890" s="317"/>
      <c r="B890" s="317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</row>
    <row r="891">
      <c r="A891" s="317"/>
      <c r="B891" s="317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</row>
    <row r="892">
      <c r="A892" s="317"/>
      <c r="B892" s="317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</row>
    <row r="893">
      <c r="A893" s="317"/>
      <c r="B893" s="317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</row>
    <row r="894">
      <c r="A894" s="317"/>
      <c r="B894" s="317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</row>
    <row r="895">
      <c r="A895" s="317"/>
      <c r="B895" s="317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</row>
    <row r="896">
      <c r="A896" s="317"/>
      <c r="B896" s="317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</row>
    <row r="897">
      <c r="A897" s="317"/>
      <c r="B897" s="317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</row>
    <row r="898">
      <c r="A898" s="317"/>
      <c r="B898" s="317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</row>
    <row r="899">
      <c r="A899" s="317"/>
      <c r="B899" s="317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</row>
    <row r="900">
      <c r="A900" s="317"/>
      <c r="B900" s="317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</row>
    <row r="901">
      <c r="A901" s="317"/>
      <c r="B901" s="317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</row>
    <row r="902">
      <c r="A902" s="317"/>
      <c r="B902" s="317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</row>
    <row r="903">
      <c r="A903" s="317"/>
      <c r="B903" s="317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</row>
    <row r="904">
      <c r="A904" s="317"/>
      <c r="B904" s="317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</row>
    <row r="905">
      <c r="A905" s="317"/>
      <c r="B905" s="317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</row>
    <row r="906">
      <c r="A906" s="317"/>
      <c r="B906" s="317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</row>
    <row r="907">
      <c r="A907" s="317"/>
      <c r="B907" s="317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</row>
    <row r="908">
      <c r="A908" s="317"/>
      <c r="B908" s="317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</row>
    <row r="909">
      <c r="A909" s="317"/>
      <c r="B909" s="317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</row>
    <row r="910">
      <c r="A910" s="317"/>
      <c r="B910" s="317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</row>
    <row r="911">
      <c r="A911" s="317"/>
      <c r="B911" s="317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</row>
    <row r="912">
      <c r="A912" s="317"/>
      <c r="B912" s="317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</row>
    <row r="913">
      <c r="A913" s="317"/>
      <c r="B913" s="317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</row>
    <row r="914">
      <c r="A914" s="317"/>
      <c r="B914" s="317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</row>
    <row r="915">
      <c r="A915" s="317"/>
      <c r="B915" s="317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</row>
    <row r="916">
      <c r="A916" s="317"/>
      <c r="B916" s="317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</row>
    <row r="917">
      <c r="A917" s="317"/>
      <c r="B917" s="317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</row>
    <row r="918">
      <c r="A918" s="317"/>
      <c r="B918" s="317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</row>
    <row r="919">
      <c r="A919" s="317"/>
      <c r="B919" s="317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</row>
    <row r="920">
      <c r="A920" s="317"/>
      <c r="B920" s="317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</row>
    <row r="921">
      <c r="A921" s="317"/>
      <c r="B921" s="317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</row>
    <row r="922">
      <c r="A922" s="317"/>
      <c r="B922" s="317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</row>
    <row r="923">
      <c r="A923" s="317"/>
      <c r="B923" s="317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</row>
    <row r="924">
      <c r="A924" s="317"/>
      <c r="B924" s="317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</row>
    <row r="925">
      <c r="A925" s="317"/>
      <c r="B925" s="317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</row>
    <row r="926">
      <c r="A926" s="317"/>
      <c r="B926" s="317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</row>
    <row r="927">
      <c r="A927" s="317"/>
      <c r="B927" s="317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</row>
    <row r="928">
      <c r="A928" s="317"/>
      <c r="B928" s="317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</row>
    <row r="929">
      <c r="A929" s="317"/>
      <c r="B929" s="317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</row>
    <row r="930">
      <c r="A930" s="317"/>
      <c r="B930" s="317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</row>
    <row r="931">
      <c r="A931" s="317"/>
      <c r="B931" s="317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</row>
    <row r="932">
      <c r="A932" s="317"/>
      <c r="B932" s="317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</row>
    <row r="933">
      <c r="A933" s="317"/>
      <c r="B933" s="317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</row>
    <row r="934">
      <c r="A934" s="317"/>
      <c r="B934" s="317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</row>
    <row r="935">
      <c r="A935" s="317"/>
      <c r="B935" s="317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</row>
    <row r="936">
      <c r="A936" s="317"/>
      <c r="B936" s="317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</row>
    <row r="937">
      <c r="A937" s="317"/>
      <c r="B937" s="317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</row>
    <row r="938">
      <c r="A938" s="317"/>
      <c r="B938" s="317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</row>
    <row r="939">
      <c r="A939" s="317"/>
      <c r="B939" s="317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</row>
    <row r="940">
      <c r="A940" s="317"/>
      <c r="B940" s="317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</row>
    <row r="941">
      <c r="A941" s="317"/>
      <c r="B941" s="317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</row>
    <row r="942">
      <c r="A942" s="317"/>
      <c r="B942" s="317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</row>
    <row r="943">
      <c r="A943" s="317"/>
      <c r="B943" s="317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</row>
    <row r="944">
      <c r="A944" s="317"/>
      <c r="B944" s="317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</row>
    <row r="945">
      <c r="A945" s="317"/>
      <c r="B945" s="317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</row>
    <row r="946">
      <c r="A946" s="317"/>
      <c r="B946" s="317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</row>
    <row r="947">
      <c r="A947" s="317"/>
      <c r="B947" s="317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</row>
    <row r="948">
      <c r="A948" s="317"/>
      <c r="B948" s="317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</row>
    <row r="949">
      <c r="A949" s="317"/>
      <c r="B949" s="317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</row>
    <row r="950">
      <c r="A950" s="317"/>
      <c r="B950" s="317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</row>
    <row r="951">
      <c r="A951" s="317"/>
      <c r="B951" s="317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</row>
    <row r="952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</row>
    <row r="953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</row>
    <row r="954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</row>
    <row r="955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</row>
    <row r="956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</row>
    <row r="957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</row>
    <row r="958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</row>
    <row r="959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</row>
    <row r="960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</row>
    <row r="96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</row>
    <row r="962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</row>
    <row r="963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</row>
    <row r="964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</row>
    <row r="965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</row>
    <row r="966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</row>
    <row r="967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</row>
    <row r="968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</row>
    <row r="969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</row>
    <row r="970">
      <c r="A970" s="317"/>
      <c r="B970" s="317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</row>
    <row r="971">
      <c r="A971" s="317"/>
      <c r="B971" s="317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</row>
    <row r="972">
      <c r="B972" s="317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</row>
    <row r="973">
      <c r="B973" s="317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</row>
    <row r="974">
      <c r="B974" s="317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</row>
    <row r="975">
      <c r="B975" s="317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</row>
    <row r="976">
      <c r="B976" s="317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</row>
    <row r="977">
      <c r="B977" s="317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</row>
    <row r="978">
      <c r="B978" s="317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</row>
    <row r="979">
      <c r="B979" s="317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</row>
    <row r="980">
      <c r="B980" s="317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</row>
    <row r="981">
      <c r="B981" s="317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</row>
    <row r="982">
      <c r="B982" s="317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</row>
    <row r="983">
      <c r="B983" s="317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</row>
    <row r="984">
      <c r="B984" s="317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</row>
    <row r="985">
      <c r="B985" s="317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</row>
    <row r="986">
      <c r="B986" s="317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</row>
    <row r="987">
      <c r="B987" s="317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</row>
    <row r="988">
      <c r="B988" s="317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</row>
    <row r="989">
      <c r="B989" s="317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</row>
    <row r="990">
      <c r="B990" s="317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</row>
    <row r="991">
      <c r="B991" s="317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</row>
    <row r="992">
      <c r="B992" s="317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</row>
    <row r="993">
      <c r="B993" s="317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</row>
    <row r="994">
      <c r="B994" s="317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</row>
  </sheetData>
  <mergeCells count="2">
    <mergeCell ref="A3:B3"/>
    <mergeCell ref="C3:D3"/>
  </mergeCells>
  <hyperlinks>
    <hyperlink r:id="rId1" ref="N8"/>
    <hyperlink r:id="rId2" ref="N10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9" max="9" width="20.25"/>
    <col customWidth="1" min="13" max="13" width="6.75"/>
    <col customWidth="1" min="14" max="14" width="34.5"/>
  </cols>
  <sheetData>
    <row r="1">
      <c r="A1" s="405" t="s">
        <v>3706</v>
      </c>
      <c r="B1" s="406" t="s">
        <v>3708</v>
      </c>
      <c r="C1" s="317"/>
      <c r="D1" s="407" t="s">
        <v>3711</v>
      </c>
      <c r="E1" s="407" t="s">
        <v>3712</v>
      </c>
      <c r="F1" s="408" t="s">
        <v>3714</v>
      </c>
      <c r="G1" s="408" t="s">
        <v>3716</v>
      </c>
      <c r="H1" s="409" t="s">
        <v>3717</v>
      </c>
      <c r="I1" s="407" t="s">
        <v>3718</v>
      </c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86" t="s">
        <v>3719</v>
      </c>
    </row>
    <row r="2">
      <c r="A2" s="410">
        <v>1.0</v>
      </c>
      <c r="B2" s="411" t="s">
        <v>2497</v>
      </c>
      <c r="C2" s="333">
        <v>2.0</v>
      </c>
      <c r="D2" s="323" t="s">
        <v>3720</v>
      </c>
      <c r="E2" s="323" t="s">
        <v>87</v>
      </c>
      <c r="F2" s="333">
        <v>56.0</v>
      </c>
      <c r="G2" s="333">
        <v>64.0</v>
      </c>
      <c r="H2" s="333">
        <v>70.0</v>
      </c>
      <c r="I2" s="317"/>
      <c r="J2" s="317"/>
      <c r="K2" s="323" t="s">
        <v>138</v>
      </c>
      <c r="L2" s="333">
        <v>18.0</v>
      </c>
      <c r="N2" s="325" t="s">
        <v>2443</v>
      </c>
      <c r="O2" s="323" t="s">
        <v>2446</v>
      </c>
      <c r="P2" s="326">
        <v>0.15</v>
      </c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</row>
    <row r="3">
      <c r="A3" s="410">
        <v>1.0</v>
      </c>
      <c r="B3" s="411" t="s">
        <v>2497</v>
      </c>
      <c r="C3" s="333">
        <v>2.0</v>
      </c>
      <c r="D3" s="323" t="s">
        <v>3723</v>
      </c>
      <c r="E3" s="323" t="s">
        <v>78</v>
      </c>
      <c r="F3" s="333">
        <v>70.0</v>
      </c>
      <c r="G3" s="333">
        <v>84.0</v>
      </c>
      <c r="H3" s="333">
        <v>95.0</v>
      </c>
      <c r="I3" s="317"/>
      <c r="J3" s="317"/>
      <c r="K3" s="323" t="s">
        <v>1492</v>
      </c>
      <c r="L3" s="333">
        <v>35.0</v>
      </c>
      <c r="N3" s="325" t="s">
        <v>2464</v>
      </c>
      <c r="O3" s="323" t="s">
        <v>2446</v>
      </c>
      <c r="P3" s="326">
        <v>0.2</v>
      </c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</row>
    <row r="4">
      <c r="A4" s="410">
        <v>1.0</v>
      </c>
      <c r="B4" s="411" t="s">
        <v>2497</v>
      </c>
      <c r="C4" s="333">
        <v>2.0</v>
      </c>
      <c r="D4" s="412"/>
      <c r="E4" s="413" t="s">
        <v>114</v>
      </c>
      <c r="F4" s="333">
        <v>82.0</v>
      </c>
      <c r="G4" s="333">
        <v>97.0</v>
      </c>
      <c r="H4" s="414">
        <v>115.0</v>
      </c>
      <c r="I4" s="412"/>
      <c r="J4" s="317"/>
      <c r="K4" s="323" t="s">
        <v>3728</v>
      </c>
      <c r="L4" s="333">
        <v>30.0</v>
      </c>
      <c r="N4" s="323" t="s">
        <v>2481</v>
      </c>
      <c r="O4" s="323" t="s">
        <v>2482</v>
      </c>
      <c r="P4" s="326">
        <v>0.2</v>
      </c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</row>
    <row r="5">
      <c r="A5" s="410">
        <v>1.0</v>
      </c>
      <c r="B5" s="415" t="s">
        <v>2512</v>
      </c>
      <c r="C5" s="333">
        <v>5.0</v>
      </c>
      <c r="D5" s="323" t="s">
        <v>3720</v>
      </c>
      <c r="E5" s="323" t="s">
        <v>87</v>
      </c>
      <c r="F5" s="333">
        <v>56.0</v>
      </c>
      <c r="G5" s="333">
        <v>64.0</v>
      </c>
      <c r="H5" s="333">
        <v>70.0</v>
      </c>
      <c r="I5" s="317"/>
      <c r="J5" s="317"/>
      <c r="N5" s="325" t="s">
        <v>2491</v>
      </c>
      <c r="O5" s="323" t="s">
        <v>2493</v>
      </c>
      <c r="P5" s="326">
        <v>0.1</v>
      </c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</row>
    <row r="6">
      <c r="A6" s="410">
        <v>1.0</v>
      </c>
      <c r="B6" s="415" t="s">
        <v>2512</v>
      </c>
      <c r="C6" s="333">
        <v>5.0</v>
      </c>
      <c r="D6" s="323" t="s">
        <v>3723</v>
      </c>
      <c r="E6" s="323" t="s">
        <v>78</v>
      </c>
      <c r="F6" s="333">
        <v>70.0</v>
      </c>
      <c r="G6" s="333">
        <v>84.0</v>
      </c>
      <c r="H6" s="333">
        <v>95.0</v>
      </c>
      <c r="I6" s="317"/>
      <c r="J6" s="317"/>
      <c r="N6" s="325" t="s">
        <v>2503</v>
      </c>
      <c r="O6" s="323" t="s">
        <v>2493</v>
      </c>
      <c r="P6" s="326">
        <v>0.15</v>
      </c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</row>
    <row r="7">
      <c r="A7" s="410">
        <v>1.0</v>
      </c>
      <c r="B7" s="415" t="s">
        <v>2512</v>
      </c>
      <c r="C7" s="333">
        <v>5.0</v>
      </c>
      <c r="D7" s="412"/>
      <c r="E7" s="413" t="s">
        <v>114</v>
      </c>
      <c r="F7" s="333">
        <v>82.0</v>
      </c>
      <c r="G7" s="333">
        <v>97.0</v>
      </c>
      <c r="H7" s="414">
        <v>115.0</v>
      </c>
      <c r="I7" s="412"/>
      <c r="J7" s="317"/>
      <c r="N7" s="325" t="s">
        <v>2510</v>
      </c>
      <c r="O7" s="323" t="s">
        <v>2493</v>
      </c>
      <c r="P7" s="326">
        <v>0.1</v>
      </c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</row>
    <row r="8">
      <c r="A8" s="410">
        <v>1.0</v>
      </c>
      <c r="B8" s="411" t="s">
        <v>2454</v>
      </c>
      <c r="C8" s="333">
        <v>5.0</v>
      </c>
      <c r="D8" s="323" t="s">
        <v>3720</v>
      </c>
      <c r="E8" s="323" t="s">
        <v>87</v>
      </c>
      <c r="F8" s="333">
        <v>56.0</v>
      </c>
      <c r="G8" s="333">
        <v>64.0</v>
      </c>
      <c r="H8" s="333">
        <v>70.0</v>
      </c>
      <c r="I8" s="317"/>
      <c r="J8" s="317"/>
      <c r="N8" s="325" t="s">
        <v>2524</v>
      </c>
      <c r="O8" s="323" t="s">
        <v>96</v>
      </c>
      <c r="P8" s="326">
        <v>0.1</v>
      </c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</row>
    <row r="9">
      <c r="A9" s="410">
        <v>1.0</v>
      </c>
      <c r="B9" s="411" t="s">
        <v>2454</v>
      </c>
      <c r="C9" s="333">
        <v>5.0</v>
      </c>
      <c r="D9" s="323" t="s">
        <v>3723</v>
      </c>
      <c r="E9" s="323" t="s">
        <v>78</v>
      </c>
      <c r="F9" s="333">
        <v>70.0</v>
      </c>
      <c r="G9" s="333">
        <v>84.0</v>
      </c>
      <c r="H9" s="333">
        <v>95.0</v>
      </c>
      <c r="I9" s="317"/>
      <c r="J9" s="317"/>
      <c r="N9" s="325" t="s">
        <v>2529</v>
      </c>
      <c r="O9" s="323" t="s">
        <v>37</v>
      </c>
      <c r="P9" s="326">
        <v>0.05</v>
      </c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</row>
    <row r="10">
      <c r="A10" s="410">
        <v>1.0</v>
      </c>
      <c r="B10" s="411" t="s">
        <v>2454</v>
      </c>
      <c r="C10" s="333">
        <v>5.0</v>
      </c>
      <c r="D10" s="412"/>
      <c r="E10" s="413" t="s">
        <v>114</v>
      </c>
      <c r="F10" s="333">
        <v>82.0</v>
      </c>
      <c r="G10" s="333">
        <v>97.0</v>
      </c>
      <c r="H10" s="414">
        <v>115.0</v>
      </c>
      <c r="I10" s="412"/>
      <c r="J10" s="317"/>
      <c r="N10" s="325" t="s">
        <v>2540</v>
      </c>
      <c r="O10" s="323" t="s">
        <v>96</v>
      </c>
      <c r="P10" s="326">
        <v>0.1</v>
      </c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</row>
    <row r="11">
      <c r="A11" s="410">
        <v>1.0</v>
      </c>
      <c r="B11" s="411" t="s">
        <v>123</v>
      </c>
      <c r="C11" s="333">
        <v>8.0</v>
      </c>
      <c r="D11" s="323" t="s">
        <v>3720</v>
      </c>
      <c r="E11" s="323" t="s">
        <v>87</v>
      </c>
      <c r="F11" s="333">
        <v>65.0</v>
      </c>
      <c r="G11" s="333">
        <v>80.0</v>
      </c>
      <c r="H11" s="333">
        <v>90.0</v>
      </c>
      <c r="I11" s="333">
        <v>70.0</v>
      </c>
      <c r="J11" s="317"/>
      <c r="N11" s="325" t="s">
        <v>2548</v>
      </c>
      <c r="O11" s="323" t="s">
        <v>96</v>
      </c>
      <c r="P11" s="326">
        <v>0.1</v>
      </c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</row>
    <row r="12">
      <c r="A12" s="410">
        <v>1.0</v>
      </c>
      <c r="B12" s="411" t="s">
        <v>123</v>
      </c>
      <c r="C12" s="333">
        <v>8.0</v>
      </c>
      <c r="D12" s="323" t="s">
        <v>3723</v>
      </c>
      <c r="E12" s="323" t="s">
        <v>78</v>
      </c>
      <c r="F12" s="333">
        <v>70.0</v>
      </c>
      <c r="G12" s="333">
        <v>105.0</v>
      </c>
      <c r="H12" s="333">
        <v>120.0</v>
      </c>
      <c r="I12" s="333">
        <v>85.0</v>
      </c>
      <c r="J12" s="317"/>
      <c r="N12" s="325" t="s">
        <v>2555</v>
      </c>
      <c r="O12" s="323" t="s">
        <v>2493</v>
      </c>
      <c r="P12" s="326">
        <v>0.1</v>
      </c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</row>
    <row r="13">
      <c r="A13" s="410">
        <v>1.0</v>
      </c>
      <c r="B13" s="411" t="s">
        <v>123</v>
      </c>
      <c r="C13" s="333">
        <v>8.0</v>
      </c>
      <c r="D13" s="412"/>
      <c r="E13" s="413" t="s">
        <v>114</v>
      </c>
      <c r="F13" s="333">
        <v>82.0</v>
      </c>
      <c r="G13" s="333">
        <v>120.0</v>
      </c>
      <c r="H13" s="414">
        <v>145.0</v>
      </c>
      <c r="I13" s="414">
        <v>100.0</v>
      </c>
      <c r="J13" s="317"/>
      <c r="N13" s="325" t="s">
        <v>2560</v>
      </c>
      <c r="O13" s="323" t="s">
        <v>2446</v>
      </c>
      <c r="P13" s="341">
        <v>0.15</v>
      </c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</row>
    <row r="14">
      <c r="A14" s="410">
        <v>1.0</v>
      </c>
      <c r="B14" s="411" t="s">
        <v>2470</v>
      </c>
      <c r="C14" s="333">
        <v>11.0</v>
      </c>
      <c r="D14" s="323" t="s">
        <v>3742</v>
      </c>
      <c r="E14" s="323" t="s">
        <v>87</v>
      </c>
      <c r="F14" s="333">
        <v>47.0</v>
      </c>
      <c r="G14" s="333">
        <v>54.0</v>
      </c>
      <c r="H14" s="333">
        <v>63.0</v>
      </c>
      <c r="I14" s="317"/>
      <c r="J14" s="317"/>
      <c r="N14" s="325" t="s">
        <v>2567</v>
      </c>
      <c r="O14" s="323" t="s">
        <v>37</v>
      </c>
      <c r="P14" s="326">
        <v>0.05</v>
      </c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</row>
    <row r="15">
      <c r="A15" s="410">
        <v>1.0</v>
      </c>
      <c r="B15" s="411" t="s">
        <v>2470</v>
      </c>
      <c r="C15" s="333">
        <v>11.0</v>
      </c>
      <c r="D15" s="323" t="s">
        <v>3745</v>
      </c>
      <c r="E15" s="323" t="s">
        <v>78</v>
      </c>
      <c r="F15" s="333">
        <v>65.0</v>
      </c>
      <c r="G15" s="333">
        <v>74.0</v>
      </c>
      <c r="H15" s="333">
        <v>80.0</v>
      </c>
      <c r="I15" s="317"/>
      <c r="J15" s="317"/>
      <c r="N15" s="325" t="s">
        <v>2572</v>
      </c>
      <c r="O15" s="323" t="s">
        <v>2446</v>
      </c>
      <c r="P15" s="341">
        <v>0.15</v>
      </c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</row>
    <row r="16">
      <c r="A16" s="410">
        <v>1.0</v>
      </c>
      <c r="B16" s="416" t="s">
        <v>2470</v>
      </c>
      <c r="C16" s="333">
        <v>11.0</v>
      </c>
      <c r="D16" s="412"/>
      <c r="E16" s="413" t="s">
        <v>114</v>
      </c>
      <c r="F16" s="333">
        <v>70.0</v>
      </c>
      <c r="G16" s="333">
        <v>81.0</v>
      </c>
      <c r="H16" s="414">
        <v>94.0</v>
      </c>
      <c r="I16" s="412"/>
      <c r="J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</row>
    <row r="17">
      <c r="A17" s="417"/>
      <c r="B17" s="418"/>
      <c r="C17" s="317"/>
      <c r="D17" s="317"/>
      <c r="E17" s="317"/>
      <c r="F17" s="419"/>
      <c r="G17" s="419"/>
      <c r="H17" s="317"/>
      <c r="I17" s="317"/>
      <c r="J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</row>
    <row r="18">
      <c r="A18" s="420"/>
      <c r="B18" s="420"/>
      <c r="C18" s="317"/>
      <c r="D18" s="317"/>
      <c r="E18" s="317"/>
      <c r="F18" s="421"/>
      <c r="G18" s="421"/>
      <c r="H18" s="317"/>
      <c r="I18" s="317"/>
      <c r="J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</row>
    <row r="19">
      <c r="A19" s="417"/>
      <c r="B19" s="417"/>
      <c r="C19" s="317"/>
      <c r="D19" s="317"/>
      <c r="E19" s="317"/>
      <c r="F19" s="421"/>
      <c r="G19" s="421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</row>
    <row r="20">
      <c r="A20" s="405" t="s">
        <v>3706</v>
      </c>
      <c r="B20" s="422" t="s">
        <v>3755</v>
      </c>
      <c r="C20" s="317"/>
      <c r="D20" s="407" t="s">
        <v>3711</v>
      </c>
      <c r="E20" s="407" t="s">
        <v>3712</v>
      </c>
      <c r="F20" s="408" t="s">
        <v>3714</v>
      </c>
      <c r="G20" s="408" t="s">
        <v>3716</v>
      </c>
      <c r="H20" s="409" t="s">
        <v>3717</v>
      </c>
      <c r="I20" s="407" t="s">
        <v>3718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</row>
    <row r="21">
      <c r="A21" s="410">
        <v>2.0</v>
      </c>
      <c r="B21" s="411" t="s">
        <v>2497</v>
      </c>
      <c r="C21" s="333">
        <v>2.0</v>
      </c>
      <c r="D21" s="423"/>
      <c r="E21" s="423" t="s">
        <v>87</v>
      </c>
      <c r="F21" s="424">
        <v>72.0</v>
      </c>
      <c r="G21" s="425">
        <v>94.0</v>
      </c>
      <c r="H21" s="425">
        <v>115.0</v>
      </c>
      <c r="I21" s="425">
        <v>86.0</v>
      </c>
      <c r="J21" s="426"/>
      <c r="K21" s="427"/>
      <c r="O21" s="42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</row>
    <row r="22">
      <c r="A22" s="410">
        <v>2.0</v>
      </c>
      <c r="B22" s="411" t="s">
        <v>2497</v>
      </c>
      <c r="C22" s="333">
        <v>2.0</v>
      </c>
      <c r="D22" s="423"/>
      <c r="E22" s="423" t="s">
        <v>78</v>
      </c>
      <c r="F22" s="424">
        <v>84.0</v>
      </c>
      <c r="G22" s="425">
        <v>109.0</v>
      </c>
      <c r="H22" s="425">
        <v>134.0</v>
      </c>
      <c r="I22" s="425">
        <v>101.0</v>
      </c>
      <c r="J22" s="426"/>
      <c r="K22" s="427"/>
      <c r="O22" s="426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</row>
    <row r="23">
      <c r="A23" s="410">
        <v>2.0</v>
      </c>
      <c r="B23" s="411" t="s">
        <v>2497</v>
      </c>
      <c r="C23" s="333">
        <v>2.0</v>
      </c>
      <c r="D23" s="423"/>
      <c r="E23" s="423" t="s">
        <v>114</v>
      </c>
      <c r="F23" s="424">
        <v>96.0</v>
      </c>
      <c r="G23" s="425">
        <v>125.0</v>
      </c>
      <c r="H23" s="425">
        <v>154.0</v>
      </c>
      <c r="I23" s="425">
        <v>115.0</v>
      </c>
      <c r="J23" s="426"/>
      <c r="K23" s="427"/>
      <c r="O23" s="426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</row>
    <row r="24">
      <c r="A24" s="410">
        <v>2.0</v>
      </c>
      <c r="B24" s="411" t="s">
        <v>2497</v>
      </c>
      <c r="C24" s="333">
        <v>2.0</v>
      </c>
      <c r="D24" s="423"/>
      <c r="E24" s="423" t="s">
        <v>111</v>
      </c>
      <c r="F24" s="424">
        <v>112.0</v>
      </c>
      <c r="G24" s="425">
        <v>146.0</v>
      </c>
      <c r="H24" s="425">
        <v>179.0</v>
      </c>
      <c r="I24" s="425">
        <v>134.0</v>
      </c>
      <c r="J24" s="426"/>
      <c r="K24" s="427"/>
      <c r="O24" s="426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</row>
    <row r="25">
      <c r="A25" s="410">
        <v>2.0</v>
      </c>
      <c r="B25" s="411" t="s">
        <v>2497</v>
      </c>
      <c r="C25" s="333">
        <v>2.0</v>
      </c>
      <c r="D25" s="423"/>
      <c r="E25" s="423" t="s">
        <v>91</v>
      </c>
      <c r="F25" s="424">
        <v>152.0</v>
      </c>
      <c r="G25" s="425">
        <v>198.0</v>
      </c>
      <c r="H25" s="425">
        <v>243.0</v>
      </c>
      <c r="I25" s="425">
        <v>182.0</v>
      </c>
      <c r="J25" s="426"/>
      <c r="K25" s="42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</row>
    <row r="26">
      <c r="A26" s="410">
        <v>2.0</v>
      </c>
      <c r="B26" s="415" t="s">
        <v>2512</v>
      </c>
      <c r="C26" s="335">
        <v>7.0</v>
      </c>
      <c r="D26" s="423"/>
      <c r="E26" s="423" t="s">
        <v>87</v>
      </c>
      <c r="F26" s="424">
        <v>72.0</v>
      </c>
      <c r="G26" s="425">
        <v>94.0</v>
      </c>
      <c r="H26" s="425">
        <v>115.0</v>
      </c>
      <c r="I26" s="425">
        <v>86.0</v>
      </c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</row>
    <row r="27">
      <c r="A27" s="410">
        <v>2.0</v>
      </c>
      <c r="B27" s="415" t="s">
        <v>2512</v>
      </c>
      <c r="C27" s="335">
        <v>7.0</v>
      </c>
      <c r="D27" s="423"/>
      <c r="E27" s="423" t="s">
        <v>78</v>
      </c>
      <c r="F27" s="424">
        <v>84.0</v>
      </c>
      <c r="G27" s="425">
        <v>109.0</v>
      </c>
      <c r="H27" s="425">
        <v>134.0</v>
      </c>
      <c r="I27" s="425">
        <v>101.0</v>
      </c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</row>
    <row r="28">
      <c r="A28" s="410">
        <v>2.0</v>
      </c>
      <c r="B28" s="415" t="s">
        <v>2512</v>
      </c>
      <c r="C28" s="335">
        <v>7.0</v>
      </c>
      <c r="D28" s="423"/>
      <c r="E28" s="423" t="s">
        <v>114</v>
      </c>
      <c r="F28" s="424">
        <v>96.0</v>
      </c>
      <c r="G28" s="425">
        <v>125.0</v>
      </c>
      <c r="H28" s="425">
        <v>154.0</v>
      </c>
      <c r="I28" s="425">
        <v>115.0</v>
      </c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</row>
    <row r="29">
      <c r="A29" s="410">
        <v>2.0</v>
      </c>
      <c r="B29" s="415" t="s">
        <v>3772</v>
      </c>
      <c r="C29" s="335">
        <v>7.0</v>
      </c>
      <c r="D29" s="423"/>
      <c r="E29" s="423" t="s">
        <v>111</v>
      </c>
      <c r="F29" s="424">
        <v>112.0</v>
      </c>
      <c r="G29" s="425">
        <v>146.0</v>
      </c>
      <c r="H29" s="425">
        <v>179.0</v>
      </c>
      <c r="I29" s="425">
        <v>134.0</v>
      </c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</row>
    <row r="30">
      <c r="A30" s="410">
        <v>2.0</v>
      </c>
      <c r="B30" s="415" t="s">
        <v>3774</v>
      </c>
      <c r="C30" s="335">
        <v>7.0</v>
      </c>
      <c r="D30" s="423"/>
      <c r="E30" s="423" t="s">
        <v>91</v>
      </c>
      <c r="F30" s="424">
        <v>152.0</v>
      </c>
      <c r="G30" s="425">
        <v>198.0</v>
      </c>
      <c r="H30" s="425">
        <v>243.0</v>
      </c>
      <c r="I30" s="425">
        <v>182.0</v>
      </c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</row>
    <row r="31">
      <c r="A31" s="410">
        <v>2.0</v>
      </c>
      <c r="B31" s="411" t="s">
        <v>2454</v>
      </c>
      <c r="C31" s="335">
        <v>12.0</v>
      </c>
      <c r="D31" s="423"/>
      <c r="E31" s="423" t="s">
        <v>87</v>
      </c>
      <c r="F31" s="424">
        <v>72.0</v>
      </c>
      <c r="G31" s="425">
        <v>94.0</v>
      </c>
      <c r="H31" s="425">
        <v>115.0</v>
      </c>
      <c r="I31" s="425">
        <v>86.0</v>
      </c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</row>
    <row r="32">
      <c r="A32" s="410">
        <v>2.0</v>
      </c>
      <c r="B32" s="411" t="s">
        <v>2454</v>
      </c>
      <c r="C32" s="335">
        <v>12.0</v>
      </c>
      <c r="D32" s="423"/>
      <c r="E32" s="423" t="s">
        <v>78</v>
      </c>
      <c r="F32" s="424">
        <v>84.0</v>
      </c>
      <c r="G32" s="425">
        <v>109.0</v>
      </c>
      <c r="H32" s="425">
        <v>134.0</v>
      </c>
      <c r="I32" s="425">
        <v>101.0</v>
      </c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</row>
    <row r="33">
      <c r="A33" s="410">
        <v>2.0</v>
      </c>
      <c r="B33" s="411" t="s">
        <v>2454</v>
      </c>
      <c r="C33" s="335">
        <v>12.0</v>
      </c>
      <c r="D33" s="423"/>
      <c r="E33" s="423" t="s">
        <v>114</v>
      </c>
      <c r="F33" s="424">
        <v>96.0</v>
      </c>
      <c r="G33" s="425">
        <v>125.0</v>
      </c>
      <c r="H33" s="425">
        <v>154.0</v>
      </c>
      <c r="I33" s="425">
        <v>115.0</v>
      </c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</row>
    <row r="34">
      <c r="A34" s="410">
        <v>2.0</v>
      </c>
      <c r="B34" s="411" t="s">
        <v>2454</v>
      </c>
      <c r="C34" s="335">
        <v>12.0</v>
      </c>
      <c r="D34" s="423"/>
      <c r="E34" s="423" t="s">
        <v>111</v>
      </c>
      <c r="F34" s="424">
        <v>112.0</v>
      </c>
      <c r="G34" s="425">
        <v>146.0</v>
      </c>
      <c r="H34" s="425">
        <v>179.0</v>
      </c>
      <c r="I34" s="425">
        <v>134.0</v>
      </c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</row>
    <row r="35">
      <c r="A35" s="410">
        <v>2.0</v>
      </c>
      <c r="B35" s="411" t="s">
        <v>2454</v>
      </c>
      <c r="C35" s="335">
        <v>12.0</v>
      </c>
      <c r="D35" s="423"/>
      <c r="E35" s="423" t="s">
        <v>91</v>
      </c>
      <c r="F35" s="424">
        <v>152.0</v>
      </c>
      <c r="G35" s="425">
        <v>198.0</v>
      </c>
      <c r="H35" s="425">
        <v>243.0</v>
      </c>
      <c r="I35" s="425">
        <v>182.0</v>
      </c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</row>
    <row r="36">
      <c r="A36" s="429"/>
      <c r="B36" s="429"/>
      <c r="C36" s="317"/>
      <c r="D36" s="317"/>
      <c r="E36" s="317"/>
      <c r="F36" s="430"/>
      <c r="G36" s="426"/>
      <c r="H36" s="426"/>
      <c r="I36" s="426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</row>
    <row r="37">
      <c r="A37" s="429"/>
      <c r="B37" s="429"/>
      <c r="C37" s="317"/>
      <c r="D37" s="317"/>
      <c r="E37" s="317"/>
      <c r="F37" s="430"/>
      <c r="G37" s="426"/>
      <c r="H37" s="426"/>
      <c r="I37" s="426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</row>
    <row r="38">
      <c r="A38" s="429"/>
      <c r="B38" s="429"/>
      <c r="C38" s="317"/>
      <c r="D38" s="317"/>
      <c r="E38" s="317"/>
      <c r="F38" s="430"/>
      <c r="G38" s="426"/>
      <c r="H38" s="426"/>
      <c r="I38" s="426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</row>
    <row r="39">
      <c r="A39" s="429"/>
      <c r="B39" s="429"/>
      <c r="C39" s="317"/>
      <c r="D39" s="317"/>
      <c r="E39" s="317"/>
      <c r="F39" s="431">
        <v>65.0</v>
      </c>
      <c r="G39" s="425">
        <v>84.0</v>
      </c>
      <c r="H39" s="425">
        <v>104.0</v>
      </c>
      <c r="I39" s="425">
        <v>78.0</v>
      </c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</row>
    <row r="40">
      <c r="A40" s="429"/>
      <c r="B40" s="429"/>
      <c r="C40" s="317"/>
      <c r="D40" s="317"/>
      <c r="E40" s="317"/>
      <c r="F40" s="424">
        <v>76.0</v>
      </c>
      <c r="G40" s="425">
        <v>98.0</v>
      </c>
      <c r="H40" s="425">
        <v>121.0</v>
      </c>
      <c r="I40" s="425">
        <v>91.0</v>
      </c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</row>
    <row r="41">
      <c r="A41" s="429"/>
      <c r="B41" s="429"/>
      <c r="C41" s="317"/>
      <c r="D41" s="317"/>
      <c r="E41" s="317"/>
      <c r="F41" s="424">
        <v>86.0</v>
      </c>
      <c r="G41" s="425">
        <v>112.0</v>
      </c>
      <c r="H41" s="425">
        <v>138.0</v>
      </c>
      <c r="I41" s="425">
        <v>104.0</v>
      </c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</row>
    <row r="42">
      <c r="A42" s="429"/>
      <c r="B42" s="429"/>
      <c r="C42" s="317"/>
      <c r="D42" s="317"/>
      <c r="E42" s="317"/>
      <c r="F42" s="424">
        <v>101.0</v>
      </c>
      <c r="G42" s="425">
        <v>131.0</v>
      </c>
      <c r="H42" s="425">
        <v>161.0</v>
      </c>
      <c r="I42" s="425">
        <v>121.0</v>
      </c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</row>
    <row r="43">
      <c r="A43" s="429"/>
      <c r="B43" s="429"/>
      <c r="C43" s="317"/>
      <c r="D43" s="317"/>
      <c r="E43" s="317"/>
      <c r="F43" s="424">
        <v>137.0</v>
      </c>
      <c r="G43" s="425">
        <v>178.0</v>
      </c>
      <c r="H43" s="425">
        <v>219.0</v>
      </c>
      <c r="I43" s="425">
        <v>164.0</v>
      </c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</row>
    <row r="44">
      <c r="A44" s="429"/>
      <c r="B44" s="429"/>
      <c r="C44" s="317"/>
      <c r="D44" s="317"/>
      <c r="E44" s="317"/>
      <c r="F44" s="421"/>
      <c r="G44" s="419"/>
      <c r="H44" s="317"/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</row>
    <row r="45">
      <c r="A45" s="429"/>
      <c r="B45" s="429"/>
      <c r="C45" s="317"/>
      <c r="D45" s="317"/>
      <c r="E45" s="317"/>
      <c r="F45" s="421"/>
      <c r="G45" s="421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</row>
    <row r="46">
      <c r="A46" s="429"/>
      <c r="B46" s="429"/>
      <c r="C46" s="317"/>
      <c r="D46" s="317"/>
      <c r="E46" s="317"/>
      <c r="F46" s="421"/>
      <c r="G46" s="419"/>
      <c r="H46" s="317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</row>
    <row r="47">
      <c r="A47" s="429"/>
      <c r="B47" s="429"/>
      <c r="C47" s="317"/>
      <c r="D47" s="317"/>
      <c r="E47" s="317"/>
      <c r="F47" s="419"/>
      <c r="G47" s="421"/>
      <c r="H47" s="317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</row>
    <row r="48">
      <c r="A48" s="429"/>
      <c r="B48" s="429"/>
      <c r="C48" s="317"/>
      <c r="D48" s="317"/>
      <c r="E48" s="317"/>
      <c r="F48" s="419"/>
      <c r="G48" s="419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</row>
    <row r="49">
      <c r="A49" s="429"/>
      <c r="B49" s="429"/>
      <c r="C49" s="317"/>
      <c r="D49" s="317"/>
      <c r="E49" s="317"/>
      <c r="F49" s="421"/>
      <c r="G49" s="421"/>
      <c r="H49" s="317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</row>
    <row r="50">
      <c r="A50" s="429"/>
      <c r="B50" s="429"/>
      <c r="C50" s="317"/>
      <c r="D50" s="317"/>
      <c r="E50" s="317"/>
      <c r="F50" s="421"/>
      <c r="G50" s="421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</row>
    <row r="51">
      <c r="A51" s="429"/>
      <c r="B51" s="429"/>
      <c r="C51" s="317"/>
      <c r="D51" s="317"/>
      <c r="E51" s="317"/>
      <c r="F51" s="421"/>
      <c r="G51" s="419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317"/>
    </row>
    <row r="52">
      <c r="A52" s="429"/>
      <c r="B52" s="429"/>
      <c r="C52" s="317"/>
      <c r="D52" s="317"/>
      <c r="E52" s="317"/>
      <c r="F52" s="419"/>
      <c r="G52" s="419"/>
      <c r="H52" s="317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17"/>
    </row>
    <row r="53">
      <c r="A53" s="429"/>
      <c r="B53" s="429"/>
      <c r="C53" s="317"/>
      <c r="D53" s="317"/>
      <c r="E53" s="317"/>
      <c r="F53" s="419"/>
      <c r="G53" s="419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</row>
    <row r="54">
      <c r="A54" s="429"/>
      <c r="B54" s="429"/>
      <c r="C54" s="317"/>
      <c r="D54" s="317"/>
      <c r="E54" s="317"/>
      <c r="F54" s="421"/>
      <c r="G54" s="421"/>
      <c r="H54" s="317"/>
      <c r="I54" s="317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</row>
    <row r="55">
      <c r="A55" s="429"/>
      <c r="B55" s="429"/>
      <c r="C55" s="317"/>
      <c r="D55" s="317"/>
      <c r="E55" s="317"/>
      <c r="F55" s="421"/>
      <c r="G55" s="421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</row>
    <row r="56">
      <c r="A56" s="429"/>
      <c r="B56" s="429"/>
      <c r="C56" s="317"/>
      <c r="D56" s="317"/>
      <c r="E56" s="317"/>
      <c r="F56" s="419"/>
      <c r="G56" s="419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7"/>
    </row>
    <row r="57">
      <c r="A57" s="429"/>
      <c r="B57" s="429"/>
      <c r="C57" s="317"/>
      <c r="D57" s="317"/>
      <c r="E57" s="317"/>
      <c r="F57" s="421"/>
      <c r="G57" s="421"/>
      <c r="H57" s="317"/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</row>
    <row r="58">
      <c r="A58" s="429"/>
      <c r="B58" s="429"/>
      <c r="C58" s="317"/>
      <c r="D58" s="317"/>
      <c r="E58" s="317"/>
      <c r="F58" s="421"/>
      <c r="G58" s="421"/>
      <c r="H58" s="317"/>
      <c r="I58" s="317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</row>
    <row r="59">
      <c r="A59" s="429"/>
      <c r="B59" s="429"/>
      <c r="C59" s="317"/>
      <c r="D59" s="317"/>
      <c r="E59" s="317"/>
      <c r="F59" s="421"/>
      <c r="G59" s="419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317"/>
    </row>
    <row r="60">
      <c r="A60" s="429"/>
      <c r="B60" s="429"/>
      <c r="C60" s="317"/>
      <c r="D60" s="317"/>
      <c r="E60" s="317"/>
      <c r="F60" s="421"/>
      <c r="G60" s="419"/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</row>
    <row r="61">
      <c r="A61" s="429"/>
      <c r="B61" s="429"/>
      <c r="C61" s="317"/>
      <c r="D61" s="317"/>
      <c r="E61" s="317"/>
      <c r="F61" s="421"/>
      <c r="G61" s="419"/>
      <c r="H61" s="317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</row>
    <row r="62">
      <c r="A62" s="429"/>
      <c r="B62" s="429"/>
      <c r="C62" s="317"/>
      <c r="D62" s="317"/>
      <c r="E62" s="317"/>
      <c r="F62" s="421"/>
      <c r="G62" s="419"/>
      <c r="H62" s="317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</row>
    <row r="63">
      <c r="A63" s="344"/>
      <c r="B63" s="344"/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</row>
    <row r="64">
      <c r="A64" s="344"/>
      <c r="B64" s="344"/>
      <c r="C64" s="317"/>
      <c r="D64" s="317"/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</row>
    <row r="65">
      <c r="A65" s="344"/>
      <c r="B65" s="344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</row>
    <row r="66">
      <c r="A66" s="344"/>
      <c r="B66" s="344"/>
      <c r="C66" s="317"/>
      <c r="D66" s="317"/>
      <c r="E66" s="317"/>
      <c r="F66" s="317"/>
      <c r="G66" s="317"/>
      <c r="H66" s="317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</row>
    <row r="67">
      <c r="A67" s="344"/>
      <c r="B67" s="344"/>
      <c r="C67" s="317"/>
      <c r="D67" s="317"/>
      <c r="E67" s="317"/>
      <c r="F67" s="317"/>
      <c r="G67" s="317"/>
      <c r="H67" s="317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</row>
    <row r="68">
      <c r="A68" s="344"/>
      <c r="B68" s="344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</row>
    <row r="69">
      <c r="A69" s="344"/>
      <c r="B69" s="344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</row>
    <row r="70">
      <c r="A70" s="344"/>
      <c r="B70" s="344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</row>
    <row r="71">
      <c r="A71" s="344"/>
      <c r="B71" s="344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7"/>
      <c r="Q71" s="317"/>
      <c r="R71" s="317"/>
      <c r="S71" s="317"/>
      <c r="T71" s="317"/>
      <c r="U71" s="317"/>
      <c r="V71" s="317"/>
      <c r="W71" s="317"/>
      <c r="X71" s="317"/>
      <c r="Y71" s="317"/>
      <c r="Z71" s="317"/>
      <c r="AA71" s="317"/>
    </row>
    <row r="72">
      <c r="A72" s="344"/>
      <c r="B72" s="344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317"/>
    </row>
    <row r="73">
      <c r="A73" s="344"/>
      <c r="B73" s="344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17"/>
    </row>
    <row r="74">
      <c r="A74" s="344"/>
      <c r="B74" s="344"/>
      <c r="C74" s="317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</row>
    <row r="75">
      <c r="A75" s="344"/>
      <c r="B75" s="344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317"/>
    </row>
    <row r="76">
      <c r="A76" s="344"/>
      <c r="B76" s="344"/>
      <c r="C76" s="317"/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</row>
    <row r="77">
      <c r="A77" s="344"/>
      <c r="B77" s="344"/>
      <c r="C77" s="317"/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17"/>
      <c r="V77" s="317"/>
      <c r="W77" s="317"/>
      <c r="X77" s="317"/>
      <c r="Y77" s="317"/>
      <c r="Z77" s="317"/>
      <c r="AA77" s="317"/>
    </row>
    <row r="78">
      <c r="A78" s="344"/>
      <c r="B78" s="344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</row>
    <row r="79">
      <c r="A79" s="344"/>
      <c r="B79" s="344"/>
      <c r="C79" s="317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  <c r="AA79" s="317"/>
    </row>
    <row r="80">
      <c r="A80" s="344"/>
      <c r="B80" s="344"/>
      <c r="C80" s="317"/>
      <c r="D80" s="317"/>
      <c r="E80" s="317"/>
      <c r="F80" s="317"/>
      <c r="G80" s="317"/>
      <c r="H80" s="317"/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17"/>
      <c r="V80" s="317"/>
      <c r="W80" s="317"/>
      <c r="X80" s="317"/>
      <c r="Y80" s="317"/>
      <c r="Z80" s="317"/>
      <c r="AA80" s="317"/>
    </row>
    <row r="81">
      <c r="A81" s="344"/>
      <c r="B81" s="344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</row>
    <row r="82">
      <c r="A82" s="344"/>
      <c r="B82" s="344"/>
      <c r="C82" s="317"/>
      <c r="D82" s="317"/>
      <c r="E82" s="317"/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  <c r="AA82" s="317"/>
    </row>
    <row r="83">
      <c r="A83" s="344"/>
      <c r="B83" s="344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317"/>
    </row>
    <row r="84">
      <c r="A84" s="344"/>
      <c r="B84" s="344"/>
      <c r="C84" s="317"/>
      <c r="D84" s="317"/>
      <c r="E84" s="317"/>
      <c r="F84" s="317"/>
      <c r="G84" s="317"/>
      <c r="H84" s="317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</row>
    <row r="85">
      <c r="A85" s="344"/>
      <c r="B85" s="344"/>
      <c r="C85" s="317"/>
      <c r="D85" s="317"/>
      <c r="E85" s="317"/>
      <c r="F85" s="317"/>
      <c r="G85" s="317"/>
      <c r="H85" s="317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</row>
    <row r="86">
      <c r="A86" s="344"/>
      <c r="B86" s="344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</row>
    <row r="87">
      <c r="A87" s="344"/>
      <c r="B87" s="344"/>
      <c r="C87" s="317"/>
      <c r="D87" s="317"/>
      <c r="E87" s="317"/>
      <c r="F87" s="317"/>
      <c r="G87" s="317"/>
      <c r="H87" s="317"/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</row>
    <row r="88">
      <c r="A88" s="344"/>
      <c r="B88" s="344"/>
      <c r="C88" s="317"/>
      <c r="D88" s="317"/>
      <c r="E88" s="317"/>
      <c r="F88" s="317"/>
      <c r="G88" s="317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</row>
    <row r="89">
      <c r="A89" s="344"/>
      <c r="B89" s="344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</row>
    <row r="90">
      <c r="A90" s="344"/>
      <c r="B90" s="344"/>
      <c r="C90" s="317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317"/>
    </row>
    <row r="91">
      <c r="A91" s="344"/>
      <c r="B91" s="344"/>
      <c r="C91" s="317"/>
      <c r="D91" s="317"/>
      <c r="E91" s="317"/>
      <c r="F91" s="317"/>
      <c r="G91" s="317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</row>
    <row r="92">
      <c r="A92" s="344"/>
      <c r="B92" s="344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317"/>
    </row>
    <row r="93">
      <c r="A93" s="344"/>
      <c r="B93" s="344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</row>
    <row r="94">
      <c r="A94" s="344"/>
      <c r="B94" s="344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  <c r="AA94" s="317"/>
    </row>
    <row r="95">
      <c r="A95" s="344"/>
      <c r="B95" s="344"/>
      <c r="C95" s="317"/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  <c r="AA95" s="317"/>
    </row>
    <row r="96">
      <c r="A96" s="344"/>
      <c r="B96" s="344"/>
      <c r="C96" s="317"/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317"/>
    </row>
    <row r="97">
      <c r="A97" s="344"/>
      <c r="B97" s="344"/>
      <c r="C97" s="317"/>
      <c r="D97" s="317"/>
      <c r="E97" s="317"/>
      <c r="F97" s="317"/>
      <c r="G97" s="317"/>
      <c r="H97" s="317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7"/>
    </row>
    <row r="98">
      <c r="A98" s="344"/>
      <c r="B98" s="344"/>
      <c r="C98" s="317"/>
      <c r="D98" s="317"/>
      <c r="E98" s="317"/>
      <c r="F98" s="317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</row>
    <row r="99">
      <c r="A99" s="344"/>
      <c r="B99" s="344"/>
      <c r="C99" s="317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317"/>
    </row>
    <row r="100">
      <c r="A100" s="344"/>
      <c r="B100" s="344"/>
      <c r="C100" s="317"/>
      <c r="D100" s="317"/>
      <c r="E100" s="317"/>
      <c r="F100" s="317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7"/>
    </row>
    <row r="101">
      <c r="A101" s="344"/>
      <c r="B101" s="344"/>
      <c r="C101" s="317"/>
      <c r="D101" s="317"/>
      <c r="E101" s="317"/>
      <c r="F101" s="317"/>
      <c r="G101" s="317"/>
      <c r="H101" s="317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</row>
    <row r="102">
      <c r="A102" s="344"/>
      <c r="B102" s="344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317"/>
    </row>
    <row r="103">
      <c r="A103" s="344"/>
      <c r="B103" s="344"/>
      <c r="C103" s="317"/>
      <c r="D103" s="317"/>
      <c r="E103" s="317"/>
      <c r="F103" s="317"/>
      <c r="G103" s="317"/>
      <c r="H103" s="317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  <c r="AA103" s="317"/>
    </row>
    <row r="104">
      <c r="A104" s="344"/>
      <c r="B104" s="344"/>
      <c r="C104" s="317"/>
      <c r="D104" s="317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</row>
    <row r="105">
      <c r="A105" s="344"/>
      <c r="B105" s="344"/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7"/>
    </row>
    <row r="106">
      <c r="A106" s="344"/>
      <c r="B106" s="344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</row>
    <row r="107">
      <c r="A107" s="344"/>
      <c r="B107" s="344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</row>
    <row r="108">
      <c r="A108" s="344"/>
      <c r="B108" s="344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</row>
    <row r="109">
      <c r="A109" s="344"/>
      <c r="B109" s="344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</row>
    <row r="110">
      <c r="A110" s="344"/>
      <c r="B110" s="344"/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</row>
    <row r="111">
      <c r="A111" s="344"/>
      <c r="B111" s="344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  <c r="AA111" s="317"/>
    </row>
    <row r="112">
      <c r="A112" s="344"/>
      <c r="B112" s="344"/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7"/>
    </row>
    <row r="113">
      <c r="A113" s="344"/>
      <c r="B113" s="344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</row>
    <row r="114">
      <c r="A114" s="344"/>
      <c r="B114" s="344"/>
      <c r="C114" s="317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  <c r="AA114" s="317"/>
    </row>
    <row r="115">
      <c r="A115" s="344"/>
      <c r="B115" s="344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</row>
    <row r="116">
      <c r="A116" s="344"/>
      <c r="B116" s="344"/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7"/>
    </row>
    <row r="117">
      <c r="A117" s="344"/>
      <c r="B117" s="344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</row>
    <row r="118">
      <c r="A118" s="344"/>
      <c r="B118" s="344"/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7"/>
    </row>
    <row r="119">
      <c r="A119" s="344"/>
      <c r="B119" s="344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</row>
    <row r="120">
      <c r="A120" s="344"/>
      <c r="B120" s="344"/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  <c r="AA120" s="317"/>
    </row>
    <row r="121">
      <c r="A121" s="344"/>
      <c r="B121" s="344"/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</row>
    <row r="122">
      <c r="A122" s="344"/>
      <c r="B122" s="344"/>
      <c r="C122" s="317"/>
      <c r="D122" s="317"/>
      <c r="E122" s="317"/>
      <c r="F122" s="317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</row>
    <row r="123">
      <c r="A123" s="344"/>
      <c r="B123" s="344"/>
      <c r="C123" s="317"/>
      <c r="D123" s="317"/>
      <c r="E123" s="317"/>
      <c r="F123" s="317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7"/>
    </row>
    <row r="124">
      <c r="A124" s="344"/>
      <c r="B124" s="344"/>
      <c r="C124" s="317"/>
      <c r="D124" s="317"/>
      <c r="E124" s="317"/>
      <c r="F124" s="317"/>
      <c r="G124" s="317"/>
      <c r="H124" s="317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</row>
    <row r="125">
      <c r="A125" s="344"/>
      <c r="B125" s="344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317"/>
    </row>
    <row r="126">
      <c r="A126" s="344"/>
      <c r="B126" s="344"/>
      <c r="C126" s="317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</row>
    <row r="127">
      <c r="A127" s="344"/>
      <c r="B127" s="344"/>
      <c r="C127" s="317"/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  <c r="AA127" s="317"/>
    </row>
    <row r="128">
      <c r="A128" s="344"/>
      <c r="B128" s="344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</row>
    <row r="129">
      <c r="A129" s="344"/>
      <c r="B129" s="344"/>
      <c r="C129" s="317"/>
      <c r="D129" s="317"/>
      <c r="E129" s="317"/>
      <c r="F129" s="317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  <c r="AA129" s="317"/>
    </row>
    <row r="130">
      <c r="A130" s="344"/>
      <c r="B130" s="344"/>
      <c r="C130" s="317"/>
      <c r="D130" s="317"/>
      <c r="E130" s="317"/>
      <c r="F130" s="317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</row>
    <row r="131">
      <c r="A131" s="344"/>
      <c r="B131" s="344"/>
      <c r="C131" s="317"/>
      <c r="D131" s="317"/>
      <c r="E131" s="317"/>
      <c r="F131" s="317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  <c r="AA131" s="317"/>
    </row>
    <row r="132">
      <c r="A132" s="344"/>
      <c r="B132" s="344"/>
      <c r="C132" s="317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317"/>
    </row>
    <row r="133">
      <c r="A133" s="344"/>
      <c r="B133" s="344"/>
      <c r="C133" s="317"/>
      <c r="D133" s="317"/>
      <c r="E133" s="317"/>
      <c r="F133" s="317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  <c r="AA133" s="317"/>
    </row>
    <row r="134">
      <c r="A134" s="344"/>
      <c r="B134" s="344"/>
      <c r="C134" s="317"/>
      <c r="D134" s="317"/>
      <c r="E134" s="317"/>
      <c r="F134" s="317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7"/>
    </row>
    <row r="135">
      <c r="A135" s="344"/>
      <c r="B135" s="344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</row>
    <row r="136">
      <c r="A136" s="344"/>
      <c r="B136" s="344"/>
      <c r="C136" s="317"/>
      <c r="D136" s="317"/>
      <c r="E136" s="317"/>
      <c r="F136" s="317"/>
      <c r="G136" s="317"/>
      <c r="H136" s="317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  <c r="AA136" s="317"/>
    </row>
    <row r="137">
      <c r="A137" s="344"/>
      <c r="B137" s="344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</row>
    <row r="138">
      <c r="A138" s="344"/>
      <c r="B138" s="344"/>
      <c r="C138" s="317"/>
      <c r="D138" s="317"/>
      <c r="E138" s="317"/>
      <c r="F138" s="317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</row>
    <row r="139">
      <c r="A139" s="344"/>
      <c r="B139" s="344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</row>
    <row r="140">
      <c r="A140" s="344"/>
      <c r="B140" s="344"/>
      <c r="C140" s="317"/>
      <c r="D140" s="317"/>
      <c r="E140" s="317"/>
      <c r="F140" s="317"/>
      <c r="G140" s="317"/>
      <c r="H140" s="317"/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  <c r="T140" s="317"/>
      <c r="U140" s="317"/>
      <c r="V140" s="317"/>
      <c r="W140" s="317"/>
      <c r="X140" s="317"/>
      <c r="Y140" s="317"/>
      <c r="Z140" s="317"/>
      <c r="AA140" s="317"/>
    </row>
    <row r="141">
      <c r="A141" s="344"/>
      <c r="B141" s="344"/>
      <c r="C141" s="317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  <c r="AA141" s="317"/>
    </row>
    <row r="142">
      <c r="A142" s="344"/>
      <c r="B142" s="344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317"/>
    </row>
    <row r="143">
      <c r="A143" s="344"/>
      <c r="B143" s="344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317"/>
    </row>
    <row r="144">
      <c r="A144" s="344"/>
      <c r="B144" s="344"/>
      <c r="C144" s="317"/>
      <c r="D144" s="317"/>
      <c r="E144" s="317"/>
      <c r="F144" s="317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17"/>
      <c r="V144" s="317"/>
      <c r="W144" s="317"/>
      <c r="X144" s="317"/>
      <c r="Y144" s="317"/>
      <c r="Z144" s="317"/>
      <c r="AA144" s="317"/>
    </row>
    <row r="145">
      <c r="A145" s="344"/>
      <c r="B145" s="344"/>
      <c r="C145" s="317"/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</row>
    <row r="146">
      <c r="A146" s="344"/>
      <c r="B146" s="344"/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</row>
    <row r="147">
      <c r="A147" s="344"/>
      <c r="B147" s="344"/>
      <c r="C147" s="317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</row>
    <row r="148">
      <c r="A148" s="344"/>
      <c r="B148" s="344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317"/>
    </row>
    <row r="149">
      <c r="A149" s="344"/>
      <c r="B149" s="344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317"/>
    </row>
    <row r="150">
      <c r="A150" s="344"/>
      <c r="B150" s="344"/>
      <c r="C150" s="317"/>
      <c r="D150" s="317"/>
      <c r="E150" s="317"/>
      <c r="F150" s="317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17"/>
      <c r="V150" s="317"/>
      <c r="W150" s="317"/>
      <c r="X150" s="317"/>
      <c r="Y150" s="317"/>
      <c r="Z150" s="317"/>
      <c r="AA150" s="317"/>
    </row>
    <row r="151">
      <c r="A151" s="344"/>
      <c r="B151" s="344"/>
      <c r="C151" s="317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  <c r="AA151" s="317"/>
    </row>
    <row r="152">
      <c r="A152" s="344"/>
      <c r="B152" s="344"/>
      <c r="C152" s="317"/>
      <c r="D152" s="317"/>
      <c r="E152" s="317"/>
      <c r="F152" s="317"/>
      <c r="G152" s="317"/>
      <c r="H152" s="317"/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  <c r="AA152" s="317"/>
    </row>
    <row r="153">
      <c r="A153" s="344"/>
      <c r="B153" s="344"/>
      <c r="C153" s="317"/>
      <c r="D153" s="317"/>
      <c r="E153" s="317"/>
      <c r="F153" s="317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  <c r="AA153" s="317"/>
    </row>
    <row r="154">
      <c r="A154" s="344"/>
      <c r="B154" s="344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317"/>
    </row>
    <row r="155">
      <c r="A155" s="344"/>
      <c r="B155" s="344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317"/>
    </row>
    <row r="156">
      <c r="A156" s="344"/>
      <c r="B156" s="344"/>
      <c r="C156" s="317"/>
      <c r="D156" s="317"/>
      <c r="E156" s="317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7"/>
      <c r="Z156" s="317"/>
      <c r="AA156" s="317"/>
    </row>
    <row r="157">
      <c r="A157" s="344"/>
      <c r="B157" s="344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</row>
    <row r="158">
      <c r="A158" s="344"/>
      <c r="B158" s="344"/>
      <c r="C158" s="317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  <c r="AA158" s="317"/>
    </row>
    <row r="159">
      <c r="A159" s="344"/>
      <c r="B159" s="344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</row>
    <row r="160">
      <c r="A160" s="344"/>
      <c r="B160" s="344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</row>
    <row r="161">
      <c r="A161" s="344"/>
      <c r="B161" s="344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317"/>
    </row>
    <row r="162">
      <c r="A162" s="344"/>
      <c r="B162" s="344"/>
      <c r="C162" s="317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</row>
    <row r="163">
      <c r="A163" s="344"/>
      <c r="B163" s="344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</row>
    <row r="164">
      <c r="A164" s="344"/>
      <c r="B164" s="344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</row>
    <row r="165">
      <c r="A165" s="344"/>
      <c r="B165" s="344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317"/>
    </row>
    <row r="166">
      <c r="A166" s="344"/>
      <c r="B166" s="344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317"/>
    </row>
    <row r="167">
      <c r="A167" s="344"/>
      <c r="B167" s="344"/>
      <c r="C167" s="317"/>
      <c r="D167" s="317"/>
      <c r="E167" s="317"/>
      <c r="F167" s="317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</row>
    <row r="168">
      <c r="A168" s="344"/>
      <c r="B168" s="344"/>
      <c r="C168" s="317"/>
      <c r="D168" s="317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</row>
    <row r="169">
      <c r="A169" s="344"/>
      <c r="B169" s="344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317"/>
    </row>
    <row r="170">
      <c r="A170" s="344"/>
      <c r="B170" s="344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</row>
    <row r="171">
      <c r="A171" s="344"/>
      <c r="B171" s="344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</row>
    <row r="172">
      <c r="A172" s="344"/>
      <c r="B172" s="344"/>
      <c r="C172" s="317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</row>
    <row r="173">
      <c r="A173" s="344"/>
      <c r="B173" s="344"/>
      <c r="C173" s="317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</row>
    <row r="174">
      <c r="A174" s="344"/>
      <c r="B174" s="344"/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  <c r="AA174" s="317"/>
    </row>
    <row r="175">
      <c r="A175" s="344"/>
      <c r="B175" s="344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</row>
    <row r="176">
      <c r="A176" s="344"/>
      <c r="B176" s="344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317"/>
    </row>
    <row r="177">
      <c r="A177" s="344"/>
      <c r="B177" s="344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317"/>
    </row>
    <row r="178">
      <c r="A178" s="344"/>
      <c r="B178" s="344"/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  <c r="AA178" s="317"/>
    </row>
    <row r="179">
      <c r="A179" s="344"/>
      <c r="B179" s="344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317"/>
    </row>
    <row r="180">
      <c r="A180" s="344"/>
      <c r="B180" s="344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</row>
    <row r="181">
      <c r="A181" s="344"/>
      <c r="B181" s="344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  <c r="AA181" s="317"/>
    </row>
    <row r="182">
      <c r="A182" s="344"/>
      <c r="B182" s="344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317"/>
    </row>
    <row r="183">
      <c r="A183" s="344"/>
      <c r="B183" s="344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  <c r="AA183" s="317"/>
    </row>
    <row r="184">
      <c r="A184" s="344"/>
      <c r="B184" s="344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</row>
    <row r="185">
      <c r="A185" s="344"/>
      <c r="B185" s="344"/>
      <c r="C185" s="317"/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  <c r="AA185" s="317"/>
    </row>
    <row r="186">
      <c r="A186" s="344"/>
      <c r="B186" s="344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</row>
    <row r="187">
      <c r="A187" s="344"/>
      <c r="B187" s="344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317"/>
    </row>
    <row r="188">
      <c r="A188" s="344"/>
      <c r="B188" s="344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317"/>
    </row>
    <row r="189">
      <c r="A189" s="344"/>
      <c r="B189" s="344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</row>
    <row r="190">
      <c r="A190" s="344"/>
      <c r="B190" s="344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317"/>
    </row>
    <row r="191">
      <c r="A191" s="344"/>
      <c r="B191" s="344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317"/>
    </row>
    <row r="192">
      <c r="A192" s="344"/>
      <c r="B192" s="344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</row>
    <row r="193">
      <c r="A193" s="344"/>
      <c r="B193" s="344"/>
      <c r="C193" s="317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  <c r="AA193" s="317"/>
    </row>
    <row r="194">
      <c r="A194" s="344"/>
      <c r="B194" s="344"/>
      <c r="C194" s="317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  <c r="AA194" s="317"/>
    </row>
    <row r="195">
      <c r="A195" s="344"/>
      <c r="B195" s="344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</row>
    <row r="196">
      <c r="A196" s="344"/>
      <c r="B196" s="344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317"/>
    </row>
    <row r="197">
      <c r="A197" s="344"/>
      <c r="B197" s="344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317"/>
    </row>
    <row r="198">
      <c r="A198" s="344"/>
      <c r="B198" s="344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</row>
    <row r="199">
      <c r="A199" s="344"/>
      <c r="B199" s="344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317"/>
    </row>
    <row r="200">
      <c r="A200" s="344"/>
      <c r="B200" s="344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317"/>
    </row>
    <row r="201">
      <c r="A201" s="344"/>
      <c r="B201" s="344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317"/>
    </row>
    <row r="202">
      <c r="A202" s="344"/>
      <c r="B202" s="344"/>
      <c r="C202" s="317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  <c r="AA202" s="317"/>
    </row>
    <row r="203">
      <c r="A203" s="344"/>
      <c r="B203" s="344"/>
      <c r="C203" s="317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  <c r="AA203" s="317"/>
    </row>
    <row r="204">
      <c r="A204" s="344"/>
      <c r="B204" s="344"/>
      <c r="C204" s="317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  <c r="AA204" s="317"/>
    </row>
    <row r="205">
      <c r="A205" s="344"/>
      <c r="B205" s="344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317"/>
    </row>
    <row r="206">
      <c r="A206" s="344"/>
      <c r="B206" s="344"/>
      <c r="C206" s="317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</row>
    <row r="207">
      <c r="A207" s="344"/>
      <c r="B207" s="344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317"/>
    </row>
    <row r="208">
      <c r="A208" s="344"/>
      <c r="B208" s="344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</row>
    <row r="209">
      <c r="A209" s="344"/>
      <c r="B209" s="344"/>
      <c r="C209" s="317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</row>
    <row r="210">
      <c r="A210" s="344"/>
      <c r="B210" s="344"/>
      <c r="C210" s="317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  <c r="AA210" s="317"/>
    </row>
    <row r="211">
      <c r="A211" s="344"/>
      <c r="B211" s="344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</row>
    <row r="212">
      <c r="A212" s="344"/>
      <c r="B212" s="344"/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</row>
    <row r="213">
      <c r="A213" s="344"/>
      <c r="B213" s="344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317"/>
    </row>
    <row r="214">
      <c r="A214" s="344"/>
      <c r="B214" s="344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317"/>
    </row>
    <row r="215">
      <c r="A215" s="344"/>
      <c r="B215" s="344"/>
      <c r="C215" s="317"/>
      <c r="D215" s="317"/>
      <c r="E215" s="317"/>
      <c r="F215" s="317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</row>
    <row r="216">
      <c r="A216" s="344"/>
      <c r="B216" s="344"/>
      <c r="C216" s="317"/>
      <c r="D216" s="317"/>
      <c r="E216" s="317"/>
      <c r="F216" s="317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  <c r="AA216" s="317"/>
    </row>
    <row r="217">
      <c r="A217" s="344"/>
      <c r="B217" s="344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317"/>
    </row>
    <row r="218">
      <c r="A218" s="344"/>
      <c r="B218" s="344"/>
      <c r="C218" s="317"/>
      <c r="D218" s="317"/>
      <c r="E218" s="317"/>
      <c r="F218" s="317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  <c r="AA218" s="317"/>
    </row>
    <row r="219">
      <c r="A219" s="344"/>
      <c r="B219" s="344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</row>
    <row r="220">
      <c r="A220" s="344"/>
      <c r="B220" s="344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</row>
    <row r="221">
      <c r="A221" s="344"/>
      <c r="B221" s="344"/>
      <c r="C221" s="317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  <c r="AA221" s="317"/>
    </row>
    <row r="222">
      <c r="A222" s="344"/>
      <c r="B222" s="344"/>
      <c r="C222" s="317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  <c r="AA222" s="317"/>
    </row>
    <row r="223">
      <c r="A223" s="344"/>
      <c r="B223" s="344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317"/>
    </row>
    <row r="224">
      <c r="A224" s="344"/>
      <c r="B224" s="344"/>
      <c r="C224" s="317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</row>
    <row r="225">
      <c r="A225" s="344"/>
      <c r="B225" s="344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317"/>
    </row>
    <row r="226">
      <c r="A226" s="344"/>
      <c r="B226" s="344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317"/>
    </row>
    <row r="227">
      <c r="A227" s="344"/>
      <c r="B227" s="344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317"/>
    </row>
    <row r="228">
      <c r="A228" s="344"/>
      <c r="B228" s="344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317"/>
    </row>
    <row r="229">
      <c r="A229" s="344"/>
      <c r="B229" s="344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317"/>
    </row>
    <row r="230">
      <c r="A230" s="344"/>
      <c r="B230" s="344"/>
      <c r="C230" s="317"/>
      <c r="D230" s="317"/>
      <c r="E230" s="317"/>
      <c r="F230" s="317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</row>
    <row r="231">
      <c r="A231" s="344"/>
      <c r="B231" s="344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317"/>
    </row>
    <row r="232">
      <c r="A232" s="344"/>
      <c r="B232" s="344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</row>
    <row r="233">
      <c r="A233" s="344"/>
      <c r="B233" s="344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</row>
    <row r="234">
      <c r="A234" s="344"/>
      <c r="B234" s="344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</row>
    <row r="235">
      <c r="A235" s="344"/>
      <c r="B235" s="344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</row>
    <row r="236">
      <c r="A236" s="344"/>
      <c r="B236" s="344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</row>
    <row r="237">
      <c r="A237" s="344"/>
      <c r="B237" s="344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</row>
    <row r="238">
      <c r="A238" s="344"/>
      <c r="B238" s="344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</row>
    <row r="239">
      <c r="A239" s="344"/>
      <c r="B239" s="344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</row>
    <row r="240">
      <c r="A240" s="344"/>
      <c r="B240" s="344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</row>
    <row r="241">
      <c r="A241" s="344"/>
      <c r="B241" s="344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</row>
    <row r="242">
      <c r="A242" s="344"/>
      <c r="B242" s="344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</row>
    <row r="243">
      <c r="A243" s="344"/>
      <c r="B243" s="344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</row>
    <row r="244">
      <c r="A244" s="344"/>
      <c r="B244" s="344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</row>
    <row r="245">
      <c r="A245" s="344"/>
      <c r="B245" s="344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</row>
    <row r="246">
      <c r="A246" s="344"/>
      <c r="B246" s="344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</row>
    <row r="247">
      <c r="A247" s="344"/>
      <c r="B247" s="344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</row>
    <row r="248">
      <c r="A248" s="344"/>
      <c r="B248" s="344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</row>
    <row r="249">
      <c r="A249" s="344"/>
      <c r="B249" s="344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</row>
    <row r="250">
      <c r="A250" s="344"/>
      <c r="B250" s="344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</row>
    <row r="251">
      <c r="A251" s="344"/>
      <c r="B251" s="344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</row>
    <row r="252">
      <c r="A252" s="344"/>
      <c r="B252" s="344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</row>
    <row r="253">
      <c r="A253" s="344"/>
      <c r="B253" s="344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</row>
    <row r="254">
      <c r="A254" s="344"/>
      <c r="B254" s="344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</row>
    <row r="255">
      <c r="A255" s="344"/>
      <c r="B255" s="344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</row>
    <row r="256">
      <c r="A256" s="344"/>
      <c r="B256" s="344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</row>
    <row r="257">
      <c r="A257" s="344"/>
      <c r="B257" s="344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</row>
    <row r="258">
      <c r="A258" s="344"/>
      <c r="B258" s="344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</row>
    <row r="259">
      <c r="A259" s="344"/>
      <c r="B259" s="344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</row>
    <row r="260">
      <c r="A260" s="344"/>
      <c r="B260" s="344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</row>
    <row r="261">
      <c r="A261" s="344"/>
      <c r="B261" s="344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</row>
    <row r="262">
      <c r="A262" s="344"/>
      <c r="B262" s="344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</row>
    <row r="263">
      <c r="A263" s="344"/>
      <c r="B263" s="344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</row>
    <row r="264">
      <c r="A264" s="344"/>
      <c r="B264" s="344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</row>
    <row r="265">
      <c r="A265" s="344"/>
      <c r="B265" s="344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</row>
    <row r="266">
      <c r="A266" s="344"/>
      <c r="B266" s="344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</row>
    <row r="267">
      <c r="A267" s="344"/>
      <c r="B267" s="344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</row>
    <row r="268">
      <c r="A268" s="344"/>
      <c r="B268" s="344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</row>
    <row r="269">
      <c r="A269" s="344"/>
      <c r="B269" s="344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</row>
    <row r="270">
      <c r="A270" s="344"/>
      <c r="B270" s="344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</row>
    <row r="271">
      <c r="A271" s="344"/>
      <c r="B271" s="344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</row>
    <row r="272">
      <c r="A272" s="344"/>
      <c r="B272" s="344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</row>
    <row r="273">
      <c r="A273" s="344"/>
      <c r="B273" s="344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</row>
    <row r="274">
      <c r="A274" s="344"/>
      <c r="B274" s="344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</row>
    <row r="275">
      <c r="A275" s="344"/>
      <c r="B275" s="344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</row>
    <row r="276">
      <c r="A276" s="344"/>
      <c r="B276" s="344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</row>
    <row r="277">
      <c r="A277" s="344"/>
      <c r="B277" s="344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</row>
    <row r="278">
      <c r="A278" s="344"/>
      <c r="B278" s="344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</row>
    <row r="279">
      <c r="A279" s="344"/>
      <c r="B279" s="344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</row>
    <row r="280">
      <c r="A280" s="344"/>
      <c r="B280" s="344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</row>
    <row r="281">
      <c r="A281" s="344"/>
      <c r="B281" s="344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</row>
    <row r="282">
      <c r="A282" s="344"/>
      <c r="B282" s="344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</row>
    <row r="283">
      <c r="A283" s="344"/>
      <c r="B283" s="344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</row>
    <row r="284">
      <c r="A284" s="344"/>
      <c r="B284" s="344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</row>
    <row r="285">
      <c r="A285" s="344"/>
      <c r="B285" s="344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</row>
    <row r="286">
      <c r="A286" s="344"/>
      <c r="B286" s="344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</row>
    <row r="287">
      <c r="A287" s="344"/>
      <c r="B287" s="344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</row>
    <row r="288">
      <c r="A288" s="344"/>
      <c r="B288" s="344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</row>
    <row r="289">
      <c r="A289" s="344"/>
      <c r="B289" s="344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</row>
    <row r="290">
      <c r="A290" s="344"/>
      <c r="B290" s="344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</row>
    <row r="291">
      <c r="A291" s="344"/>
      <c r="B291" s="344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</row>
    <row r="292">
      <c r="A292" s="344"/>
      <c r="B292" s="344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</row>
    <row r="293">
      <c r="A293" s="344"/>
      <c r="B293" s="344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</row>
    <row r="294">
      <c r="A294" s="344"/>
      <c r="B294" s="344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</row>
    <row r="295">
      <c r="A295" s="344"/>
      <c r="B295" s="344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</row>
    <row r="296">
      <c r="A296" s="344"/>
      <c r="B296" s="344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</row>
    <row r="297">
      <c r="A297" s="344"/>
      <c r="B297" s="344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</row>
    <row r="298">
      <c r="A298" s="344"/>
      <c r="B298" s="344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</row>
    <row r="299">
      <c r="A299" s="344"/>
      <c r="B299" s="344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</row>
    <row r="300">
      <c r="A300" s="344"/>
      <c r="B300" s="344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</row>
    <row r="301">
      <c r="A301" s="344"/>
      <c r="B301" s="344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</row>
    <row r="302">
      <c r="A302" s="344"/>
      <c r="B302" s="344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</row>
    <row r="303">
      <c r="A303" s="344"/>
      <c r="B303" s="344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</row>
    <row r="304">
      <c r="A304" s="344"/>
      <c r="B304" s="344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</row>
    <row r="305">
      <c r="A305" s="344"/>
      <c r="B305" s="344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</row>
    <row r="306">
      <c r="A306" s="344"/>
      <c r="B306" s="344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</row>
    <row r="307">
      <c r="A307" s="344"/>
      <c r="B307" s="344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</row>
    <row r="308">
      <c r="A308" s="344"/>
      <c r="B308" s="344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</row>
    <row r="309">
      <c r="A309" s="344"/>
      <c r="B309" s="344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</row>
    <row r="310">
      <c r="A310" s="344"/>
      <c r="B310" s="344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</row>
    <row r="311">
      <c r="A311" s="344"/>
      <c r="B311" s="344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</row>
    <row r="312">
      <c r="A312" s="344"/>
      <c r="B312" s="344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</row>
    <row r="313">
      <c r="A313" s="344"/>
      <c r="B313" s="344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</row>
    <row r="314">
      <c r="A314" s="344"/>
      <c r="B314" s="344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</row>
    <row r="315">
      <c r="A315" s="344"/>
      <c r="B315" s="344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</row>
    <row r="316">
      <c r="A316" s="344"/>
      <c r="B316" s="344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</row>
    <row r="317">
      <c r="A317" s="344"/>
      <c r="B317" s="344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</row>
    <row r="318">
      <c r="A318" s="344"/>
      <c r="B318" s="344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</row>
    <row r="319">
      <c r="A319" s="344"/>
      <c r="B319" s="344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</row>
    <row r="320">
      <c r="A320" s="344"/>
      <c r="B320" s="344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</row>
    <row r="321">
      <c r="A321" s="344"/>
      <c r="B321" s="344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</row>
    <row r="322">
      <c r="A322" s="344"/>
      <c r="B322" s="344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</row>
    <row r="323">
      <c r="A323" s="344"/>
      <c r="B323" s="344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</row>
    <row r="324">
      <c r="A324" s="344"/>
      <c r="B324" s="344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</row>
    <row r="325">
      <c r="A325" s="344"/>
      <c r="B325" s="344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</row>
    <row r="326">
      <c r="A326" s="344"/>
      <c r="B326" s="344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</row>
    <row r="327">
      <c r="A327" s="344"/>
      <c r="B327" s="344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</row>
    <row r="328">
      <c r="A328" s="344"/>
      <c r="B328" s="344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</row>
    <row r="329">
      <c r="A329" s="344"/>
      <c r="B329" s="344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</row>
    <row r="330">
      <c r="A330" s="344"/>
      <c r="B330" s="344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</row>
    <row r="331">
      <c r="A331" s="344"/>
      <c r="B331" s="344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</row>
    <row r="332">
      <c r="A332" s="344"/>
      <c r="B332" s="344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</row>
    <row r="333">
      <c r="A333" s="344"/>
      <c r="B333" s="344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</row>
    <row r="334">
      <c r="A334" s="344"/>
      <c r="B334" s="344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</row>
    <row r="335">
      <c r="A335" s="344"/>
      <c r="B335" s="344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</row>
    <row r="336">
      <c r="A336" s="344"/>
      <c r="B336" s="344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</row>
    <row r="337">
      <c r="A337" s="344"/>
      <c r="B337" s="344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</row>
    <row r="338">
      <c r="A338" s="344"/>
      <c r="B338" s="344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</row>
    <row r="339">
      <c r="A339" s="344"/>
      <c r="B339" s="344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</row>
    <row r="340">
      <c r="A340" s="344"/>
      <c r="B340" s="344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</row>
    <row r="341">
      <c r="A341" s="344"/>
      <c r="B341" s="344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</row>
    <row r="342">
      <c r="A342" s="344"/>
      <c r="B342" s="344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</row>
    <row r="343">
      <c r="A343" s="344"/>
      <c r="B343" s="344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</row>
    <row r="344">
      <c r="A344" s="344"/>
      <c r="B344" s="344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</row>
    <row r="345">
      <c r="A345" s="344"/>
      <c r="B345" s="344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</row>
    <row r="346">
      <c r="A346" s="344"/>
      <c r="B346" s="344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</row>
    <row r="347">
      <c r="A347" s="344"/>
      <c r="B347" s="344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</row>
    <row r="348">
      <c r="A348" s="344"/>
      <c r="B348" s="344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</row>
    <row r="349">
      <c r="A349" s="344"/>
      <c r="B349" s="344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</row>
    <row r="350">
      <c r="A350" s="344"/>
      <c r="B350" s="344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</row>
    <row r="351">
      <c r="A351" s="344"/>
      <c r="B351" s="344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</row>
    <row r="352">
      <c r="A352" s="344"/>
      <c r="B352" s="344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</row>
    <row r="353">
      <c r="A353" s="344"/>
      <c r="B353" s="344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</row>
    <row r="354">
      <c r="A354" s="344"/>
      <c r="B354" s="344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</row>
    <row r="355">
      <c r="A355" s="344"/>
      <c r="B355" s="344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</row>
    <row r="356">
      <c r="A356" s="344"/>
      <c r="B356" s="344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</row>
    <row r="357">
      <c r="A357" s="344"/>
      <c r="B357" s="344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</row>
    <row r="358">
      <c r="A358" s="344"/>
      <c r="B358" s="344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</row>
    <row r="359">
      <c r="A359" s="344"/>
      <c r="B359" s="344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</row>
    <row r="360">
      <c r="A360" s="344"/>
      <c r="B360" s="344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</row>
    <row r="361">
      <c r="A361" s="344"/>
      <c r="B361" s="344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</row>
    <row r="362">
      <c r="A362" s="344"/>
      <c r="B362" s="344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</row>
    <row r="363">
      <c r="A363" s="344"/>
      <c r="B363" s="344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</row>
    <row r="364">
      <c r="A364" s="344"/>
      <c r="B364" s="344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</row>
    <row r="365">
      <c r="A365" s="344"/>
      <c r="B365" s="344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</row>
    <row r="366">
      <c r="A366" s="344"/>
      <c r="B366" s="344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</row>
    <row r="367">
      <c r="A367" s="344"/>
      <c r="B367" s="344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</row>
    <row r="368">
      <c r="A368" s="344"/>
      <c r="B368" s="344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</row>
    <row r="369">
      <c r="A369" s="344"/>
      <c r="B369" s="344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</row>
    <row r="370">
      <c r="A370" s="344"/>
      <c r="B370" s="344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</row>
    <row r="371">
      <c r="A371" s="344"/>
      <c r="B371" s="344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</row>
    <row r="372">
      <c r="A372" s="344"/>
      <c r="B372" s="344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</row>
    <row r="373">
      <c r="A373" s="344"/>
      <c r="B373" s="344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</row>
    <row r="374">
      <c r="A374" s="344"/>
      <c r="B374" s="344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</row>
    <row r="375">
      <c r="A375" s="344"/>
      <c r="B375" s="344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</row>
    <row r="376">
      <c r="A376" s="344"/>
      <c r="B376" s="344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</row>
    <row r="377">
      <c r="A377" s="344"/>
      <c r="B377" s="344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</row>
    <row r="378">
      <c r="A378" s="344"/>
      <c r="B378" s="344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</row>
    <row r="379">
      <c r="A379" s="344"/>
      <c r="B379" s="344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</row>
    <row r="380">
      <c r="A380" s="344"/>
      <c r="B380" s="344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</row>
    <row r="381">
      <c r="A381" s="344"/>
      <c r="B381" s="344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</row>
    <row r="382">
      <c r="A382" s="344"/>
      <c r="B382" s="344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</row>
    <row r="383">
      <c r="A383" s="344"/>
      <c r="B383" s="344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</row>
    <row r="384">
      <c r="A384" s="344"/>
      <c r="B384" s="344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</row>
    <row r="385">
      <c r="A385" s="344"/>
      <c r="B385" s="344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</row>
    <row r="386">
      <c r="A386" s="344"/>
      <c r="B386" s="344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</row>
    <row r="387">
      <c r="A387" s="344"/>
      <c r="B387" s="344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</row>
    <row r="388">
      <c r="A388" s="344"/>
      <c r="B388" s="344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</row>
    <row r="389">
      <c r="A389" s="344"/>
      <c r="B389" s="344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</row>
    <row r="390">
      <c r="A390" s="344"/>
      <c r="B390" s="344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</row>
    <row r="391">
      <c r="A391" s="344"/>
      <c r="B391" s="344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</row>
    <row r="392">
      <c r="A392" s="344"/>
      <c r="B392" s="344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</row>
    <row r="393">
      <c r="A393" s="344"/>
      <c r="B393" s="344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</row>
    <row r="394">
      <c r="A394" s="344"/>
      <c r="B394" s="344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</row>
    <row r="395">
      <c r="A395" s="344"/>
      <c r="B395" s="344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</row>
    <row r="396">
      <c r="A396" s="344"/>
      <c r="B396" s="344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</row>
    <row r="397">
      <c r="A397" s="344"/>
      <c r="B397" s="344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</row>
    <row r="398">
      <c r="A398" s="344"/>
      <c r="B398" s="344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</row>
    <row r="399">
      <c r="A399" s="344"/>
      <c r="B399" s="344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</row>
    <row r="400">
      <c r="A400" s="344"/>
      <c r="B400" s="344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</row>
    <row r="401">
      <c r="A401" s="344"/>
      <c r="B401" s="344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</row>
    <row r="402">
      <c r="A402" s="344"/>
      <c r="B402" s="344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</row>
    <row r="403">
      <c r="A403" s="344"/>
      <c r="B403" s="344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</row>
    <row r="404">
      <c r="A404" s="344"/>
      <c r="B404" s="344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</row>
    <row r="405">
      <c r="A405" s="344"/>
      <c r="B405" s="344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</row>
    <row r="406">
      <c r="A406" s="344"/>
      <c r="B406" s="344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</row>
    <row r="407">
      <c r="A407" s="344"/>
      <c r="B407" s="344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</row>
    <row r="408">
      <c r="A408" s="344"/>
      <c r="B408" s="344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</row>
    <row r="409">
      <c r="A409" s="344"/>
      <c r="B409" s="344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</row>
    <row r="410">
      <c r="A410" s="344"/>
      <c r="B410" s="344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</row>
    <row r="411">
      <c r="A411" s="344"/>
      <c r="B411" s="344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</row>
    <row r="412">
      <c r="A412" s="344"/>
      <c r="B412" s="344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</row>
    <row r="413">
      <c r="A413" s="344"/>
      <c r="B413" s="344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</row>
    <row r="414">
      <c r="A414" s="344"/>
      <c r="B414" s="344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</row>
    <row r="415">
      <c r="A415" s="344"/>
      <c r="B415" s="344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</row>
    <row r="416">
      <c r="A416" s="344"/>
      <c r="B416" s="344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</row>
    <row r="417">
      <c r="A417" s="344"/>
      <c r="B417" s="344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</row>
    <row r="418">
      <c r="A418" s="344"/>
      <c r="B418" s="344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</row>
    <row r="419">
      <c r="A419" s="344"/>
      <c r="B419" s="344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</row>
    <row r="420">
      <c r="A420" s="344"/>
      <c r="B420" s="344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</row>
    <row r="421">
      <c r="A421" s="344"/>
      <c r="B421" s="344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</row>
    <row r="422">
      <c r="A422" s="344"/>
      <c r="B422" s="344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</row>
    <row r="423">
      <c r="A423" s="344"/>
      <c r="B423" s="344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</row>
    <row r="424">
      <c r="A424" s="344"/>
      <c r="B424" s="344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</row>
    <row r="425">
      <c r="A425" s="344"/>
      <c r="B425" s="344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</row>
    <row r="426">
      <c r="A426" s="344"/>
      <c r="B426" s="344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</row>
    <row r="427">
      <c r="A427" s="344"/>
      <c r="B427" s="344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</row>
    <row r="428">
      <c r="A428" s="344"/>
      <c r="B428" s="344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</row>
    <row r="429">
      <c r="A429" s="344"/>
      <c r="B429" s="344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</row>
    <row r="430">
      <c r="A430" s="344"/>
      <c r="B430" s="344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</row>
    <row r="431">
      <c r="A431" s="344"/>
      <c r="B431" s="344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</row>
    <row r="432">
      <c r="A432" s="344"/>
      <c r="B432" s="344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</row>
    <row r="433">
      <c r="A433" s="344"/>
      <c r="B433" s="344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</row>
    <row r="434">
      <c r="A434" s="344"/>
      <c r="B434" s="344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</row>
    <row r="435">
      <c r="A435" s="344"/>
      <c r="B435" s="344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</row>
    <row r="436">
      <c r="A436" s="344"/>
      <c r="B436" s="344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</row>
    <row r="437">
      <c r="A437" s="344"/>
      <c r="B437" s="344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</row>
    <row r="438">
      <c r="A438" s="344"/>
      <c r="B438" s="344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</row>
    <row r="439">
      <c r="A439" s="344"/>
      <c r="B439" s="344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</row>
    <row r="440">
      <c r="A440" s="344"/>
      <c r="B440" s="344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</row>
    <row r="441">
      <c r="A441" s="344"/>
      <c r="B441" s="344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</row>
    <row r="442">
      <c r="A442" s="344"/>
      <c r="B442" s="344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</row>
    <row r="443">
      <c r="A443" s="344"/>
      <c r="B443" s="344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</row>
    <row r="444">
      <c r="A444" s="344"/>
      <c r="B444" s="344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</row>
    <row r="445">
      <c r="A445" s="344"/>
      <c r="B445" s="344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</row>
    <row r="446">
      <c r="A446" s="344"/>
      <c r="B446" s="344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</row>
    <row r="447">
      <c r="A447" s="344"/>
      <c r="B447" s="344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</row>
    <row r="448">
      <c r="A448" s="344"/>
      <c r="B448" s="344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</row>
    <row r="449">
      <c r="A449" s="344"/>
      <c r="B449" s="344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</row>
    <row r="450">
      <c r="A450" s="344"/>
      <c r="B450" s="344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</row>
    <row r="451">
      <c r="A451" s="344"/>
      <c r="B451" s="344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</row>
    <row r="452">
      <c r="A452" s="344"/>
      <c r="B452" s="344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</row>
    <row r="453">
      <c r="A453" s="344"/>
      <c r="B453" s="344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</row>
    <row r="454">
      <c r="A454" s="344"/>
      <c r="B454" s="344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</row>
    <row r="455">
      <c r="A455" s="344"/>
      <c r="B455" s="344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</row>
    <row r="456">
      <c r="A456" s="344"/>
      <c r="B456" s="344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</row>
    <row r="457">
      <c r="A457" s="344"/>
      <c r="B457" s="344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</row>
    <row r="458">
      <c r="A458" s="344"/>
      <c r="B458" s="344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</row>
    <row r="459">
      <c r="A459" s="344"/>
      <c r="B459" s="344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</row>
    <row r="460">
      <c r="A460" s="344"/>
      <c r="B460" s="344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</row>
    <row r="461">
      <c r="A461" s="344"/>
      <c r="B461" s="344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</row>
    <row r="462">
      <c r="A462" s="344"/>
      <c r="B462" s="344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</row>
    <row r="463">
      <c r="A463" s="344"/>
      <c r="B463" s="344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</row>
    <row r="464">
      <c r="A464" s="344"/>
      <c r="B464" s="344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</row>
    <row r="465">
      <c r="A465" s="344"/>
      <c r="B465" s="344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</row>
    <row r="466">
      <c r="A466" s="344"/>
      <c r="B466" s="344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</row>
    <row r="467">
      <c r="A467" s="344"/>
      <c r="B467" s="344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</row>
    <row r="468">
      <c r="A468" s="344"/>
      <c r="B468" s="344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</row>
    <row r="469">
      <c r="A469" s="344"/>
      <c r="B469" s="344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</row>
    <row r="470">
      <c r="A470" s="344"/>
      <c r="B470" s="344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</row>
    <row r="471">
      <c r="A471" s="344"/>
      <c r="B471" s="344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</row>
    <row r="472">
      <c r="A472" s="344"/>
      <c r="B472" s="344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</row>
    <row r="473">
      <c r="A473" s="344"/>
      <c r="B473" s="344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</row>
    <row r="474">
      <c r="A474" s="344"/>
      <c r="B474" s="344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</row>
    <row r="475">
      <c r="A475" s="344"/>
      <c r="B475" s="344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</row>
    <row r="476">
      <c r="A476" s="344"/>
      <c r="B476" s="344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</row>
    <row r="477">
      <c r="A477" s="344"/>
      <c r="B477" s="344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</row>
    <row r="478">
      <c r="A478" s="344"/>
      <c r="B478" s="344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</row>
    <row r="479">
      <c r="A479" s="344"/>
      <c r="B479" s="344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</row>
    <row r="480">
      <c r="A480" s="344"/>
      <c r="B480" s="344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</row>
    <row r="481">
      <c r="A481" s="344"/>
      <c r="B481" s="344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</row>
    <row r="482">
      <c r="A482" s="344"/>
      <c r="B482" s="344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</row>
    <row r="483">
      <c r="A483" s="344"/>
      <c r="B483" s="344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</row>
    <row r="484">
      <c r="A484" s="344"/>
      <c r="B484" s="344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</row>
    <row r="485">
      <c r="A485" s="344"/>
      <c r="B485" s="344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</row>
    <row r="486">
      <c r="A486" s="344"/>
      <c r="B486" s="344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</row>
    <row r="487">
      <c r="A487" s="344"/>
      <c r="B487" s="344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</row>
    <row r="488">
      <c r="A488" s="344"/>
      <c r="B488" s="344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</row>
    <row r="489">
      <c r="A489" s="344"/>
      <c r="B489" s="344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</row>
    <row r="490">
      <c r="A490" s="344"/>
      <c r="B490" s="344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</row>
    <row r="491">
      <c r="A491" s="344"/>
      <c r="B491" s="344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</row>
    <row r="492">
      <c r="A492" s="344"/>
      <c r="B492" s="344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</row>
    <row r="493">
      <c r="A493" s="344"/>
      <c r="B493" s="344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</row>
    <row r="494">
      <c r="A494" s="344"/>
      <c r="B494" s="344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</row>
    <row r="495">
      <c r="A495" s="344"/>
      <c r="B495" s="344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</row>
    <row r="496">
      <c r="A496" s="344"/>
      <c r="B496" s="344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</row>
    <row r="497">
      <c r="A497" s="344"/>
      <c r="B497" s="344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</row>
    <row r="498">
      <c r="A498" s="344"/>
      <c r="B498" s="344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</row>
    <row r="499">
      <c r="A499" s="344"/>
      <c r="B499" s="344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</row>
    <row r="500">
      <c r="A500" s="344"/>
      <c r="B500" s="344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</row>
    <row r="501">
      <c r="A501" s="344"/>
      <c r="B501" s="344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</row>
    <row r="502">
      <c r="A502" s="344"/>
      <c r="B502" s="344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</row>
    <row r="503">
      <c r="A503" s="344"/>
      <c r="B503" s="344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</row>
    <row r="504">
      <c r="A504" s="344"/>
      <c r="B504" s="344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</row>
    <row r="505">
      <c r="A505" s="344"/>
      <c r="B505" s="344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</row>
    <row r="506">
      <c r="A506" s="344"/>
      <c r="B506" s="344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</row>
    <row r="507">
      <c r="A507" s="344"/>
      <c r="B507" s="344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</row>
    <row r="508">
      <c r="A508" s="344"/>
      <c r="B508" s="344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</row>
    <row r="509">
      <c r="A509" s="344"/>
      <c r="B509" s="344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</row>
    <row r="510">
      <c r="A510" s="344"/>
      <c r="B510" s="344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</row>
    <row r="511">
      <c r="A511" s="344"/>
      <c r="B511" s="344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</row>
    <row r="512">
      <c r="A512" s="344"/>
      <c r="B512" s="344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</row>
    <row r="513">
      <c r="A513" s="344"/>
      <c r="B513" s="344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</row>
    <row r="514">
      <c r="A514" s="344"/>
      <c r="B514" s="344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</row>
    <row r="515">
      <c r="A515" s="344"/>
      <c r="B515" s="344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</row>
    <row r="516">
      <c r="A516" s="344"/>
      <c r="B516" s="344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</row>
    <row r="517">
      <c r="A517" s="344"/>
      <c r="B517" s="344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</row>
    <row r="518">
      <c r="A518" s="344"/>
      <c r="B518" s="344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</row>
    <row r="519">
      <c r="A519" s="344"/>
      <c r="B519" s="344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</row>
    <row r="520">
      <c r="A520" s="344"/>
      <c r="B520" s="344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</row>
    <row r="521">
      <c r="A521" s="344"/>
      <c r="B521" s="344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</row>
    <row r="522">
      <c r="A522" s="344"/>
      <c r="B522" s="344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</row>
    <row r="523">
      <c r="A523" s="344"/>
      <c r="B523" s="344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</row>
    <row r="524">
      <c r="A524" s="344"/>
      <c r="B524" s="344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</row>
    <row r="525">
      <c r="A525" s="344"/>
      <c r="B525" s="344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</row>
    <row r="526">
      <c r="A526" s="344"/>
      <c r="B526" s="344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</row>
    <row r="527">
      <c r="A527" s="344"/>
      <c r="B527" s="344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</row>
    <row r="528">
      <c r="A528" s="344"/>
      <c r="B528" s="344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</row>
    <row r="529">
      <c r="A529" s="344"/>
      <c r="B529" s="344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</row>
    <row r="530">
      <c r="A530" s="344"/>
      <c r="B530" s="344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</row>
    <row r="531">
      <c r="A531" s="344"/>
      <c r="B531" s="344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</row>
    <row r="532">
      <c r="A532" s="344"/>
      <c r="B532" s="344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</row>
    <row r="533">
      <c r="A533" s="344"/>
      <c r="B533" s="344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</row>
    <row r="534">
      <c r="A534" s="344"/>
      <c r="B534" s="344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</row>
    <row r="535">
      <c r="A535" s="344"/>
      <c r="B535" s="344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</row>
    <row r="536">
      <c r="A536" s="344"/>
      <c r="B536" s="344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</row>
    <row r="537">
      <c r="A537" s="344"/>
      <c r="B537" s="344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</row>
    <row r="538">
      <c r="A538" s="344"/>
      <c r="B538" s="344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</row>
    <row r="539">
      <c r="A539" s="344"/>
      <c r="B539" s="344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</row>
    <row r="540">
      <c r="A540" s="344"/>
      <c r="B540" s="344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</row>
    <row r="541">
      <c r="A541" s="344"/>
      <c r="B541" s="344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</row>
    <row r="542">
      <c r="A542" s="344"/>
      <c r="B542" s="344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</row>
    <row r="543">
      <c r="A543" s="344"/>
      <c r="B543" s="344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</row>
    <row r="544">
      <c r="A544" s="344"/>
      <c r="B544" s="344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</row>
    <row r="545">
      <c r="A545" s="344"/>
      <c r="B545" s="344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</row>
    <row r="546">
      <c r="A546" s="344"/>
      <c r="B546" s="344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</row>
    <row r="547">
      <c r="A547" s="344"/>
      <c r="B547" s="344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</row>
    <row r="548">
      <c r="A548" s="344"/>
      <c r="B548" s="344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</row>
    <row r="549">
      <c r="A549" s="344"/>
      <c r="B549" s="344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</row>
    <row r="550">
      <c r="A550" s="344"/>
      <c r="B550" s="344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</row>
    <row r="551">
      <c r="A551" s="344"/>
      <c r="B551" s="344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</row>
    <row r="552">
      <c r="A552" s="344"/>
      <c r="B552" s="344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</row>
    <row r="553">
      <c r="A553" s="344"/>
      <c r="B553" s="344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</row>
    <row r="554">
      <c r="A554" s="344"/>
      <c r="B554" s="344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</row>
    <row r="555">
      <c r="A555" s="344"/>
      <c r="B555" s="344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</row>
    <row r="556">
      <c r="A556" s="344"/>
      <c r="B556" s="344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</row>
    <row r="557">
      <c r="A557" s="344"/>
      <c r="B557" s="344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</row>
    <row r="558">
      <c r="A558" s="344"/>
      <c r="B558" s="344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</row>
    <row r="559">
      <c r="A559" s="344"/>
      <c r="B559" s="344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</row>
    <row r="560">
      <c r="A560" s="344"/>
      <c r="B560" s="344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</row>
    <row r="561">
      <c r="A561" s="344"/>
      <c r="B561" s="344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</row>
    <row r="562">
      <c r="A562" s="344"/>
      <c r="B562" s="344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</row>
    <row r="563">
      <c r="A563" s="344"/>
      <c r="B563" s="344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</row>
    <row r="564">
      <c r="A564" s="344"/>
      <c r="B564" s="344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</row>
    <row r="565">
      <c r="A565" s="344"/>
      <c r="B565" s="344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</row>
    <row r="566">
      <c r="A566" s="344"/>
      <c r="B566" s="344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</row>
    <row r="567">
      <c r="A567" s="344"/>
      <c r="B567" s="344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</row>
    <row r="568">
      <c r="A568" s="344"/>
      <c r="B568" s="344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</row>
    <row r="569">
      <c r="A569" s="344"/>
      <c r="B569" s="344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</row>
    <row r="570">
      <c r="A570" s="344"/>
      <c r="B570" s="344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</row>
    <row r="571">
      <c r="A571" s="344"/>
      <c r="B571" s="344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</row>
    <row r="572">
      <c r="A572" s="344"/>
      <c r="B572" s="344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</row>
    <row r="573">
      <c r="A573" s="344"/>
      <c r="B573" s="344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</row>
    <row r="574">
      <c r="A574" s="344"/>
      <c r="B574" s="344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</row>
    <row r="575">
      <c r="A575" s="344"/>
      <c r="B575" s="344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</row>
    <row r="576">
      <c r="A576" s="344"/>
      <c r="B576" s="344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</row>
    <row r="577">
      <c r="A577" s="344"/>
      <c r="B577" s="344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</row>
    <row r="578">
      <c r="A578" s="344"/>
      <c r="B578" s="344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</row>
    <row r="579">
      <c r="A579" s="344"/>
      <c r="B579" s="344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</row>
    <row r="580">
      <c r="A580" s="344"/>
      <c r="B580" s="344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</row>
    <row r="581">
      <c r="A581" s="344"/>
      <c r="B581" s="344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</row>
    <row r="582">
      <c r="A582" s="344"/>
      <c r="B582" s="344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</row>
    <row r="583">
      <c r="A583" s="344"/>
      <c r="B583" s="344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</row>
    <row r="584">
      <c r="A584" s="344"/>
      <c r="B584" s="344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</row>
    <row r="585">
      <c r="A585" s="344"/>
      <c r="B585" s="344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</row>
    <row r="586">
      <c r="A586" s="344"/>
      <c r="B586" s="344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</row>
    <row r="587">
      <c r="A587" s="344"/>
      <c r="B587" s="344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</row>
    <row r="588">
      <c r="A588" s="344"/>
      <c r="B588" s="344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</row>
    <row r="589">
      <c r="A589" s="344"/>
      <c r="B589" s="344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</row>
    <row r="590">
      <c r="A590" s="344"/>
      <c r="B590" s="344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</row>
    <row r="591">
      <c r="A591" s="344"/>
      <c r="B591" s="344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</row>
    <row r="592">
      <c r="A592" s="344"/>
      <c r="B592" s="344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</row>
    <row r="593">
      <c r="A593" s="344"/>
      <c r="B593" s="344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</row>
    <row r="594">
      <c r="A594" s="344"/>
      <c r="B594" s="344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</row>
    <row r="595">
      <c r="A595" s="344"/>
      <c r="B595" s="344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</row>
    <row r="596">
      <c r="A596" s="344"/>
      <c r="B596" s="344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</row>
    <row r="597">
      <c r="A597" s="344"/>
      <c r="B597" s="344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</row>
    <row r="598">
      <c r="A598" s="344"/>
      <c r="B598" s="344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</row>
    <row r="599">
      <c r="A599" s="344"/>
      <c r="B599" s="344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</row>
    <row r="600">
      <c r="A600" s="344"/>
      <c r="B600" s="344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</row>
    <row r="601">
      <c r="A601" s="344"/>
      <c r="B601" s="344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</row>
    <row r="602">
      <c r="A602" s="344"/>
      <c r="B602" s="344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</row>
    <row r="603">
      <c r="A603" s="344"/>
      <c r="B603" s="344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</row>
    <row r="604">
      <c r="A604" s="344"/>
      <c r="B604" s="344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</row>
    <row r="605">
      <c r="A605" s="344"/>
      <c r="B605" s="344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</row>
    <row r="606">
      <c r="A606" s="344"/>
      <c r="B606" s="344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</row>
    <row r="607">
      <c r="A607" s="344"/>
      <c r="B607" s="344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</row>
    <row r="608">
      <c r="A608" s="344"/>
      <c r="B608" s="344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</row>
    <row r="609">
      <c r="A609" s="344"/>
      <c r="B609" s="344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</row>
    <row r="610">
      <c r="A610" s="344"/>
      <c r="B610" s="344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</row>
    <row r="611">
      <c r="A611" s="344"/>
      <c r="B611" s="344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</row>
    <row r="612">
      <c r="A612" s="344"/>
      <c r="B612" s="344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</row>
    <row r="613">
      <c r="A613" s="344"/>
      <c r="B613" s="344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</row>
    <row r="614">
      <c r="A614" s="344"/>
      <c r="B614" s="344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</row>
    <row r="615">
      <c r="A615" s="344"/>
      <c r="B615" s="344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</row>
    <row r="616">
      <c r="A616" s="344"/>
      <c r="B616" s="344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</row>
    <row r="617">
      <c r="A617" s="344"/>
      <c r="B617" s="344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</row>
    <row r="618">
      <c r="A618" s="344"/>
      <c r="B618" s="344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</row>
    <row r="619">
      <c r="A619" s="344"/>
      <c r="B619" s="344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</row>
    <row r="620">
      <c r="A620" s="344"/>
      <c r="B620" s="344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</row>
    <row r="621">
      <c r="A621" s="344"/>
      <c r="B621" s="344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</row>
    <row r="622">
      <c r="A622" s="344"/>
      <c r="B622" s="344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</row>
    <row r="623">
      <c r="A623" s="344"/>
      <c r="B623" s="344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</row>
    <row r="624">
      <c r="A624" s="344"/>
      <c r="B624" s="344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</row>
    <row r="625">
      <c r="A625" s="344"/>
      <c r="B625" s="344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</row>
    <row r="626">
      <c r="A626" s="344"/>
      <c r="B626" s="344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</row>
    <row r="627">
      <c r="A627" s="344"/>
      <c r="B627" s="344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</row>
    <row r="628">
      <c r="A628" s="344"/>
      <c r="B628" s="344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</row>
    <row r="629">
      <c r="A629" s="344"/>
      <c r="B629" s="344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</row>
    <row r="630">
      <c r="A630" s="344"/>
      <c r="B630" s="344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</row>
    <row r="631">
      <c r="A631" s="344"/>
      <c r="B631" s="344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</row>
    <row r="632">
      <c r="A632" s="344"/>
      <c r="B632" s="344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</row>
    <row r="633">
      <c r="A633" s="344"/>
      <c r="B633" s="344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</row>
    <row r="634">
      <c r="A634" s="344"/>
      <c r="B634" s="344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</row>
    <row r="635">
      <c r="A635" s="344"/>
      <c r="B635" s="344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</row>
    <row r="636">
      <c r="A636" s="344"/>
      <c r="B636" s="344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</row>
    <row r="637">
      <c r="A637" s="344"/>
      <c r="B637" s="344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</row>
    <row r="638">
      <c r="A638" s="344"/>
      <c r="B638" s="344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</row>
    <row r="639">
      <c r="A639" s="344"/>
      <c r="B639" s="344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</row>
    <row r="640">
      <c r="A640" s="344"/>
      <c r="B640" s="344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</row>
    <row r="641">
      <c r="A641" s="344"/>
      <c r="B641" s="344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</row>
    <row r="642">
      <c r="A642" s="344"/>
      <c r="B642" s="344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</row>
    <row r="643">
      <c r="A643" s="344"/>
      <c r="B643" s="344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</row>
    <row r="644">
      <c r="A644" s="344"/>
      <c r="B644" s="344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</row>
    <row r="645">
      <c r="A645" s="344"/>
      <c r="B645" s="344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</row>
    <row r="646">
      <c r="A646" s="344"/>
      <c r="B646" s="344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</row>
    <row r="647">
      <c r="A647" s="344"/>
      <c r="B647" s="344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</row>
    <row r="648">
      <c r="A648" s="344"/>
      <c r="B648" s="344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</row>
    <row r="649">
      <c r="A649" s="344"/>
      <c r="B649" s="344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</row>
    <row r="650">
      <c r="A650" s="344"/>
      <c r="B650" s="344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</row>
    <row r="651">
      <c r="A651" s="344"/>
      <c r="B651" s="344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</row>
    <row r="652">
      <c r="A652" s="344"/>
      <c r="B652" s="344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</row>
    <row r="653">
      <c r="A653" s="344"/>
      <c r="B653" s="344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</row>
    <row r="654">
      <c r="A654" s="344"/>
      <c r="B654" s="344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</row>
    <row r="655">
      <c r="A655" s="344"/>
      <c r="B655" s="344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</row>
    <row r="656">
      <c r="A656" s="344"/>
      <c r="B656" s="344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</row>
    <row r="657">
      <c r="A657" s="344"/>
      <c r="B657" s="344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</row>
    <row r="658">
      <c r="A658" s="344"/>
      <c r="B658" s="344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</row>
    <row r="659">
      <c r="A659" s="344"/>
      <c r="B659" s="344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</row>
    <row r="660">
      <c r="A660" s="344"/>
      <c r="B660" s="344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</row>
    <row r="661">
      <c r="A661" s="344"/>
      <c r="B661" s="344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</row>
    <row r="662">
      <c r="A662" s="344"/>
      <c r="B662" s="344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</row>
    <row r="663">
      <c r="A663" s="344"/>
      <c r="B663" s="344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</row>
    <row r="664">
      <c r="A664" s="344"/>
      <c r="B664" s="344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</row>
    <row r="665">
      <c r="A665" s="344"/>
      <c r="B665" s="344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</row>
    <row r="666">
      <c r="A666" s="344"/>
      <c r="B666" s="344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</row>
    <row r="667">
      <c r="A667" s="344"/>
      <c r="B667" s="344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</row>
    <row r="668">
      <c r="A668" s="344"/>
      <c r="B668" s="344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</row>
    <row r="669">
      <c r="A669" s="344"/>
      <c r="B669" s="344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</row>
    <row r="670">
      <c r="A670" s="344"/>
      <c r="B670" s="344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</row>
    <row r="671">
      <c r="A671" s="344"/>
      <c r="B671" s="344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</row>
    <row r="672">
      <c r="A672" s="344"/>
      <c r="B672" s="344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</row>
    <row r="673">
      <c r="A673" s="344"/>
      <c r="B673" s="344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</row>
    <row r="674">
      <c r="A674" s="344"/>
      <c r="B674" s="344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</row>
    <row r="675">
      <c r="A675" s="344"/>
      <c r="B675" s="344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</row>
    <row r="676">
      <c r="A676" s="344"/>
      <c r="B676" s="344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</row>
    <row r="677">
      <c r="A677" s="344"/>
      <c r="B677" s="344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</row>
    <row r="678">
      <c r="A678" s="344"/>
      <c r="B678" s="344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</row>
    <row r="679">
      <c r="A679" s="344"/>
      <c r="B679" s="344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</row>
    <row r="680">
      <c r="A680" s="344"/>
      <c r="B680" s="344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</row>
    <row r="681">
      <c r="A681" s="344"/>
      <c r="B681" s="344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</row>
    <row r="682">
      <c r="A682" s="344"/>
      <c r="B682" s="344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</row>
    <row r="683">
      <c r="A683" s="344"/>
      <c r="B683" s="344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</row>
    <row r="684">
      <c r="A684" s="344"/>
      <c r="B684" s="344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</row>
    <row r="685">
      <c r="A685" s="344"/>
      <c r="B685" s="344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</row>
    <row r="686">
      <c r="A686" s="344"/>
      <c r="B686" s="344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</row>
    <row r="687">
      <c r="A687" s="344"/>
      <c r="B687" s="344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</row>
    <row r="688">
      <c r="A688" s="344"/>
      <c r="B688" s="344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</row>
    <row r="689">
      <c r="A689" s="344"/>
      <c r="B689" s="344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</row>
    <row r="690">
      <c r="A690" s="344"/>
      <c r="B690" s="344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</row>
    <row r="691">
      <c r="A691" s="344"/>
      <c r="B691" s="344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</row>
    <row r="692">
      <c r="A692" s="344"/>
      <c r="B692" s="344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</row>
    <row r="693">
      <c r="A693" s="344"/>
      <c r="B693" s="344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</row>
    <row r="694">
      <c r="A694" s="344"/>
      <c r="B694" s="344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</row>
    <row r="695">
      <c r="A695" s="344"/>
      <c r="B695" s="344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</row>
    <row r="696">
      <c r="A696" s="344"/>
      <c r="B696" s="344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</row>
    <row r="697">
      <c r="A697" s="344"/>
      <c r="B697" s="344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</row>
    <row r="698">
      <c r="A698" s="344"/>
      <c r="B698" s="344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</row>
    <row r="699">
      <c r="A699" s="344"/>
      <c r="B699" s="344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</row>
    <row r="700">
      <c r="A700" s="344"/>
      <c r="B700" s="344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</row>
    <row r="701">
      <c r="A701" s="344"/>
      <c r="B701" s="344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</row>
    <row r="702">
      <c r="A702" s="344"/>
      <c r="B702" s="344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</row>
    <row r="703">
      <c r="A703" s="344"/>
      <c r="B703" s="344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</row>
    <row r="704">
      <c r="A704" s="344"/>
      <c r="B704" s="344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</row>
    <row r="705">
      <c r="A705" s="344"/>
      <c r="B705" s="344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</row>
    <row r="706">
      <c r="A706" s="344"/>
      <c r="B706" s="344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</row>
    <row r="707">
      <c r="A707" s="344"/>
      <c r="B707" s="344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</row>
    <row r="708">
      <c r="A708" s="344"/>
      <c r="B708" s="344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</row>
    <row r="709">
      <c r="A709" s="344"/>
      <c r="B709" s="344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</row>
    <row r="710">
      <c r="A710" s="344"/>
      <c r="B710" s="344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</row>
    <row r="711">
      <c r="A711" s="344"/>
      <c r="B711" s="344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</row>
    <row r="712">
      <c r="A712" s="344"/>
      <c r="B712" s="344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</row>
    <row r="713">
      <c r="A713" s="344"/>
      <c r="B713" s="344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</row>
    <row r="714">
      <c r="A714" s="344"/>
      <c r="B714" s="344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</row>
    <row r="715">
      <c r="A715" s="344"/>
      <c r="B715" s="344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</row>
    <row r="716">
      <c r="A716" s="344"/>
      <c r="B716" s="344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</row>
    <row r="717">
      <c r="A717" s="344"/>
      <c r="B717" s="344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</row>
    <row r="718">
      <c r="A718" s="344"/>
      <c r="B718" s="344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</row>
    <row r="719">
      <c r="A719" s="344"/>
      <c r="B719" s="344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</row>
    <row r="720">
      <c r="A720" s="344"/>
      <c r="B720" s="344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</row>
    <row r="721">
      <c r="A721" s="344"/>
      <c r="B721" s="344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</row>
    <row r="722">
      <c r="A722" s="344"/>
      <c r="B722" s="344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</row>
    <row r="723">
      <c r="A723" s="344"/>
      <c r="B723" s="344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</row>
    <row r="724">
      <c r="A724" s="344"/>
      <c r="B724" s="344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</row>
    <row r="725">
      <c r="A725" s="344"/>
      <c r="B725" s="344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</row>
    <row r="726">
      <c r="A726" s="344"/>
      <c r="B726" s="344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</row>
    <row r="727">
      <c r="A727" s="344"/>
      <c r="B727" s="344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</row>
    <row r="728">
      <c r="A728" s="344"/>
      <c r="B728" s="344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</row>
    <row r="729">
      <c r="A729" s="344"/>
      <c r="B729" s="344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</row>
    <row r="730">
      <c r="A730" s="344"/>
      <c r="B730" s="344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</row>
    <row r="731">
      <c r="A731" s="344"/>
      <c r="B731" s="344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</row>
    <row r="732">
      <c r="A732" s="344"/>
      <c r="B732" s="344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</row>
    <row r="733">
      <c r="A733" s="344"/>
      <c r="B733" s="344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</row>
    <row r="734">
      <c r="A734" s="344"/>
      <c r="B734" s="344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</row>
    <row r="735">
      <c r="A735" s="344"/>
      <c r="B735" s="344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</row>
    <row r="736">
      <c r="A736" s="344"/>
      <c r="B736" s="344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</row>
    <row r="737">
      <c r="A737" s="344"/>
      <c r="B737" s="344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</row>
    <row r="738">
      <c r="A738" s="344"/>
      <c r="B738" s="344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</row>
    <row r="739">
      <c r="A739" s="344"/>
      <c r="B739" s="344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</row>
    <row r="740">
      <c r="A740" s="344"/>
      <c r="B740" s="344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</row>
    <row r="741">
      <c r="A741" s="344"/>
      <c r="B741" s="344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</row>
    <row r="742">
      <c r="A742" s="344"/>
      <c r="B742" s="344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</row>
    <row r="743">
      <c r="A743" s="344"/>
      <c r="B743" s="344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</row>
    <row r="744">
      <c r="A744" s="344"/>
      <c r="B744" s="344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</row>
    <row r="745">
      <c r="A745" s="344"/>
      <c r="B745" s="344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</row>
    <row r="746">
      <c r="A746" s="344"/>
      <c r="B746" s="344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</row>
    <row r="747">
      <c r="A747" s="344"/>
      <c r="B747" s="344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</row>
    <row r="748">
      <c r="A748" s="344"/>
      <c r="B748" s="344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</row>
    <row r="749">
      <c r="A749" s="344"/>
      <c r="B749" s="344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</row>
    <row r="750">
      <c r="A750" s="344"/>
      <c r="B750" s="344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</row>
    <row r="751">
      <c r="A751" s="344"/>
      <c r="B751" s="344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</row>
    <row r="752">
      <c r="A752" s="344"/>
      <c r="B752" s="344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</row>
    <row r="753">
      <c r="A753" s="344"/>
      <c r="B753" s="344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</row>
    <row r="754">
      <c r="A754" s="344"/>
      <c r="B754" s="344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</row>
    <row r="755">
      <c r="A755" s="344"/>
      <c r="B755" s="344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</row>
    <row r="756">
      <c r="A756" s="344"/>
      <c r="B756" s="344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</row>
    <row r="757">
      <c r="A757" s="344"/>
      <c r="B757" s="344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</row>
    <row r="758">
      <c r="A758" s="344"/>
      <c r="B758" s="344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</row>
    <row r="759">
      <c r="A759" s="344"/>
      <c r="B759" s="344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</row>
    <row r="760">
      <c r="A760" s="344"/>
      <c r="B760" s="344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</row>
    <row r="761">
      <c r="A761" s="344"/>
      <c r="B761" s="344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</row>
    <row r="762">
      <c r="A762" s="344"/>
      <c r="B762" s="344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</row>
    <row r="763">
      <c r="A763" s="344"/>
      <c r="B763" s="344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</row>
    <row r="764">
      <c r="A764" s="344"/>
      <c r="B764" s="344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</row>
    <row r="765">
      <c r="A765" s="344"/>
      <c r="B765" s="344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</row>
    <row r="766">
      <c r="A766" s="344"/>
      <c r="B766" s="344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</row>
    <row r="767">
      <c r="A767" s="344"/>
      <c r="B767" s="344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</row>
    <row r="768">
      <c r="A768" s="344"/>
      <c r="B768" s="344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</row>
    <row r="769">
      <c r="A769" s="344"/>
      <c r="B769" s="344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</row>
    <row r="770">
      <c r="A770" s="344"/>
      <c r="B770" s="344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</row>
    <row r="771">
      <c r="A771" s="344"/>
      <c r="B771" s="344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</row>
    <row r="772">
      <c r="A772" s="344"/>
      <c r="B772" s="344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</row>
    <row r="773">
      <c r="A773" s="344"/>
      <c r="B773" s="344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</row>
    <row r="774">
      <c r="A774" s="344"/>
      <c r="B774" s="344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</row>
    <row r="775">
      <c r="A775" s="344"/>
      <c r="B775" s="344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</row>
    <row r="776">
      <c r="A776" s="344"/>
      <c r="B776" s="344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</row>
    <row r="777">
      <c r="A777" s="344"/>
      <c r="B777" s="344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</row>
    <row r="778">
      <c r="A778" s="344"/>
      <c r="B778" s="344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</row>
    <row r="779">
      <c r="A779" s="344"/>
      <c r="B779" s="344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</row>
    <row r="780">
      <c r="A780" s="344"/>
      <c r="B780" s="344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</row>
    <row r="781">
      <c r="A781" s="344"/>
      <c r="B781" s="344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</row>
    <row r="782">
      <c r="A782" s="344"/>
      <c r="B782" s="344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</row>
    <row r="783">
      <c r="A783" s="344"/>
      <c r="B783" s="344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</row>
    <row r="784">
      <c r="A784" s="344"/>
      <c r="B784" s="344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</row>
    <row r="785">
      <c r="A785" s="344"/>
      <c r="B785" s="344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</row>
    <row r="786">
      <c r="A786" s="344"/>
      <c r="B786" s="344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</row>
    <row r="787">
      <c r="A787" s="344"/>
      <c r="B787" s="344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</row>
    <row r="788">
      <c r="A788" s="344"/>
      <c r="B788" s="344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</row>
    <row r="789">
      <c r="A789" s="344"/>
      <c r="B789" s="344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</row>
    <row r="790">
      <c r="A790" s="344"/>
      <c r="B790" s="344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</row>
    <row r="791">
      <c r="A791" s="344"/>
      <c r="B791" s="344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</row>
    <row r="792">
      <c r="A792" s="344"/>
      <c r="B792" s="344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</row>
    <row r="793">
      <c r="A793" s="344"/>
      <c r="B793" s="344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</row>
    <row r="794">
      <c r="A794" s="344"/>
      <c r="B794" s="344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</row>
    <row r="795">
      <c r="A795" s="344"/>
      <c r="B795" s="344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</row>
    <row r="796">
      <c r="A796" s="344"/>
      <c r="B796" s="344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</row>
    <row r="797">
      <c r="A797" s="344"/>
      <c r="B797" s="344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</row>
    <row r="798">
      <c r="A798" s="344"/>
      <c r="B798" s="344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</row>
    <row r="799">
      <c r="A799" s="344"/>
      <c r="B799" s="344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</row>
    <row r="800">
      <c r="A800" s="344"/>
      <c r="B800" s="344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</row>
    <row r="801">
      <c r="A801" s="344"/>
      <c r="B801" s="344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</row>
    <row r="802">
      <c r="A802" s="344"/>
      <c r="B802" s="344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</row>
    <row r="803">
      <c r="A803" s="344"/>
      <c r="B803" s="344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</row>
    <row r="804">
      <c r="A804" s="344"/>
      <c r="B804" s="344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</row>
    <row r="805">
      <c r="A805" s="344"/>
      <c r="B805" s="344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</row>
    <row r="806">
      <c r="A806" s="344"/>
      <c r="B806" s="344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</row>
    <row r="807">
      <c r="A807" s="344"/>
      <c r="B807" s="344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</row>
    <row r="808">
      <c r="A808" s="344"/>
      <c r="B808" s="344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</row>
    <row r="809">
      <c r="A809" s="344"/>
      <c r="B809" s="344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</row>
    <row r="810">
      <c r="A810" s="344"/>
      <c r="B810" s="344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</row>
    <row r="811">
      <c r="A811" s="344"/>
      <c r="B811" s="344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</row>
    <row r="812">
      <c r="A812" s="344"/>
      <c r="B812" s="344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</row>
    <row r="813">
      <c r="A813" s="344"/>
      <c r="B813" s="344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</row>
    <row r="814">
      <c r="A814" s="344"/>
      <c r="B814" s="344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</row>
    <row r="815">
      <c r="A815" s="344"/>
      <c r="B815" s="344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</row>
    <row r="816">
      <c r="A816" s="344"/>
      <c r="B816" s="344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</row>
    <row r="817">
      <c r="A817" s="344"/>
      <c r="B817" s="344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</row>
    <row r="818">
      <c r="A818" s="344"/>
      <c r="B818" s="344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</row>
    <row r="819">
      <c r="A819" s="344"/>
      <c r="B819" s="344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</row>
    <row r="820">
      <c r="A820" s="344"/>
      <c r="B820" s="344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</row>
    <row r="821">
      <c r="A821" s="344"/>
      <c r="B821" s="344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</row>
    <row r="822">
      <c r="A822" s="344"/>
      <c r="B822" s="344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</row>
    <row r="823">
      <c r="A823" s="344"/>
      <c r="B823" s="344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</row>
    <row r="824">
      <c r="A824" s="344"/>
      <c r="B824" s="344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</row>
    <row r="825">
      <c r="A825" s="344"/>
      <c r="B825" s="344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</row>
    <row r="826">
      <c r="A826" s="344"/>
      <c r="B826" s="344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</row>
    <row r="827">
      <c r="A827" s="344"/>
      <c r="B827" s="344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</row>
    <row r="828">
      <c r="A828" s="344"/>
      <c r="B828" s="344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</row>
    <row r="829">
      <c r="A829" s="344"/>
      <c r="B829" s="344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</row>
    <row r="830">
      <c r="A830" s="344"/>
      <c r="B830" s="344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</row>
    <row r="831">
      <c r="A831" s="344"/>
      <c r="B831" s="344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</row>
    <row r="832">
      <c r="A832" s="344"/>
      <c r="B832" s="344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</row>
    <row r="833">
      <c r="A833" s="344"/>
      <c r="B833" s="344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</row>
    <row r="834">
      <c r="A834" s="344"/>
      <c r="B834" s="344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</row>
    <row r="835">
      <c r="A835" s="344"/>
      <c r="B835" s="344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</row>
    <row r="836">
      <c r="A836" s="344"/>
      <c r="B836" s="344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</row>
    <row r="837">
      <c r="A837" s="344"/>
      <c r="B837" s="344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</row>
    <row r="838">
      <c r="A838" s="344"/>
      <c r="B838" s="344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</row>
    <row r="839">
      <c r="A839" s="344"/>
      <c r="B839" s="344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</row>
    <row r="840">
      <c r="A840" s="344"/>
      <c r="B840" s="344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</row>
    <row r="841">
      <c r="A841" s="344"/>
      <c r="B841" s="344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</row>
    <row r="842">
      <c r="A842" s="344"/>
      <c r="B842" s="344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</row>
    <row r="843">
      <c r="A843" s="344"/>
      <c r="B843" s="344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</row>
    <row r="844">
      <c r="A844" s="344"/>
      <c r="B844" s="344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</row>
    <row r="845">
      <c r="A845" s="344"/>
      <c r="B845" s="344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</row>
    <row r="846">
      <c r="A846" s="344"/>
      <c r="B846" s="344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</row>
    <row r="847">
      <c r="A847" s="344"/>
      <c r="B847" s="344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</row>
    <row r="848">
      <c r="A848" s="344"/>
      <c r="B848" s="344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</row>
    <row r="849">
      <c r="A849" s="344"/>
      <c r="B849" s="344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</row>
    <row r="850">
      <c r="A850" s="344"/>
      <c r="B850" s="344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</row>
    <row r="851">
      <c r="A851" s="344"/>
      <c r="B851" s="344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</row>
    <row r="852">
      <c r="A852" s="344"/>
      <c r="B852" s="344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</row>
    <row r="853">
      <c r="A853" s="344"/>
      <c r="B853" s="344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</row>
    <row r="854">
      <c r="A854" s="344"/>
      <c r="B854" s="344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</row>
    <row r="855">
      <c r="A855" s="344"/>
      <c r="B855" s="344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</row>
    <row r="856">
      <c r="A856" s="344"/>
      <c r="B856" s="344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</row>
    <row r="857">
      <c r="A857" s="344"/>
      <c r="B857" s="344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</row>
    <row r="858">
      <c r="A858" s="344"/>
      <c r="B858" s="344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</row>
    <row r="859">
      <c r="A859" s="344"/>
      <c r="B859" s="344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</row>
    <row r="860">
      <c r="A860" s="344"/>
      <c r="B860" s="344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</row>
    <row r="861">
      <c r="A861" s="344"/>
      <c r="B861" s="344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</row>
    <row r="862">
      <c r="A862" s="344"/>
      <c r="B862" s="344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</row>
    <row r="863">
      <c r="A863" s="344"/>
      <c r="B863" s="344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</row>
    <row r="864">
      <c r="A864" s="344"/>
      <c r="B864" s="344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</row>
    <row r="865">
      <c r="A865" s="344"/>
      <c r="B865" s="344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</row>
    <row r="866">
      <c r="A866" s="344"/>
      <c r="B866" s="344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</row>
    <row r="867">
      <c r="A867" s="344"/>
      <c r="B867" s="344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</row>
    <row r="868">
      <c r="A868" s="344"/>
      <c r="B868" s="344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</row>
    <row r="869">
      <c r="A869" s="344"/>
      <c r="B869" s="344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</row>
    <row r="870">
      <c r="A870" s="344"/>
      <c r="B870" s="344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</row>
    <row r="871">
      <c r="A871" s="344"/>
      <c r="B871" s="344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</row>
    <row r="872">
      <c r="A872" s="344"/>
      <c r="B872" s="344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</row>
    <row r="873">
      <c r="A873" s="344"/>
      <c r="B873" s="344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</row>
    <row r="874">
      <c r="A874" s="344"/>
      <c r="B874" s="344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</row>
    <row r="875">
      <c r="A875" s="344"/>
      <c r="B875" s="344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</row>
    <row r="876">
      <c r="A876" s="344"/>
      <c r="B876" s="344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</row>
    <row r="877">
      <c r="A877" s="344"/>
      <c r="B877" s="344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</row>
    <row r="878">
      <c r="A878" s="344"/>
      <c r="B878" s="344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</row>
    <row r="879">
      <c r="A879" s="344"/>
      <c r="B879" s="344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</row>
    <row r="880">
      <c r="A880" s="344"/>
      <c r="B880" s="344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</row>
    <row r="881">
      <c r="A881" s="344"/>
      <c r="B881" s="344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</row>
    <row r="882">
      <c r="A882" s="344"/>
      <c r="B882" s="344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</row>
    <row r="883">
      <c r="A883" s="344"/>
      <c r="B883" s="344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</row>
    <row r="884">
      <c r="A884" s="344"/>
      <c r="B884" s="344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</row>
    <row r="885">
      <c r="A885" s="344"/>
      <c r="B885" s="344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</row>
    <row r="886">
      <c r="A886" s="344"/>
      <c r="B886" s="344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</row>
    <row r="887">
      <c r="A887" s="344"/>
      <c r="B887" s="344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</row>
    <row r="888">
      <c r="A888" s="344"/>
      <c r="B888" s="344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</row>
    <row r="889">
      <c r="A889" s="344"/>
      <c r="B889" s="344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</row>
    <row r="890">
      <c r="A890" s="344"/>
      <c r="B890" s="344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</row>
    <row r="891">
      <c r="A891" s="344"/>
      <c r="B891" s="344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</row>
    <row r="892">
      <c r="A892" s="344"/>
      <c r="B892" s="344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</row>
    <row r="893">
      <c r="A893" s="344"/>
      <c r="B893" s="344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</row>
    <row r="894">
      <c r="A894" s="344"/>
      <c r="B894" s="344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</row>
    <row r="895">
      <c r="A895" s="344"/>
      <c r="B895" s="344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</row>
    <row r="896">
      <c r="A896" s="344"/>
      <c r="B896" s="344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</row>
    <row r="897">
      <c r="A897" s="344"/>
      <c r="B897" s="344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</row>
    <row r="898">
      <c r="A898" s="344"/>
      <c r="B898" s="344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</row>
    <row r="899">
      <c r="A899" s="344"/>
      <c r="B899" s="344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</row>
    <row r="900">
      <c r="A900" s="344"/>
      <c r="B900" s="344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</row>
    <row r="901">
      <c r="A901" s="344"/>
      <c r="B901" s="344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</row>
    <row r="902">
      <c r="A902" s="344"/>
      <c r="B902" s="344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</row>
    <row r="903">
      <c r="A903" s="344"/>
      <c r="B903" s="344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</row>
    <row r="904">
      <c r="A904" s="344"/>
      <c r="B904" s="344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</row>
    <row r="905">
      <c r="A905" s="344"/>
      <c r="B905" s="344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</row>
    <row r="906">
      <c r="A906" s="344"/>
      <c r="B906" s="344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</row>
    <row r="907">
      <c r="A907" s="344"/>
      <c r="B907" s="344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</row>
    <row r="908">
      <c r="A908" s="344"/>
      <c r="B908" s="344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</row>
    <row r="909">
      <c r="A909" s="344"/>
      <c r="B909" s="344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</row>
    <row r="910">
      <c r="A910" s="344"/>
      <c r="B910" s="344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</row>
    <row r="911">
      <c r="A911" s="344"/>
      <c r="B911" s="344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</row>
    <row r="912">
      <c r="A912" s="344"/>
      <c r="B912" s="344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</row>
    <row r="913">
      <c r="A913" s="344"/>
      <c r="B913" s="344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</row>
    <row r="914">
      <c r="A914" s="344"/>
      <c r="B914" s="344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</row>
    <row r="915">
      <c r="A915" s="344"/>
      <c r="B915" s="344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</row>
    <row r="916">
      <c r="A916" s="344"/>
      <c r="B916" s="344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</row>
    <row r="917">
      <c r="A917" s="344"/>
      <c r="B917" s="344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</row>
    <row r="918">
      <c r="A918" s="344"/>
      <c r="B918" s="344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</row>
    <row r="919">
      <c r="A919" s="344"/>
      <c r="B919" s="344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</row>
    <row r="920">
      <c r="A920" s="344"/>
      <c r="B920" s="344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</row>
    <row r="921">
      <c r="A921" s="344"/>
      <c r="B921" s="344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</row>
    <row r="922">
      <c r="A922" s="344"/>
      <c r="B922" s="344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</row>
    <row r="923">
      <c r="A923" s="344"/>
      <c r="B923" s="344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</row>
    <row r="924">
      <c r="A924" s="344"/>
      <c r="B924" s="344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</row>
    <row r="925">
      <c r="A925" s="344"/>
      <c r="B925" s="344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</row>
    <row r="926">
      <c r="A926" s="344"/>
      <c r="B926" s="344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</row>
    <row r="927">
      <c r="A927" s="344"/>
      <c r="B927" s="344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</row>
    <row r="928">
      <c r="A928" s="344"/>
      <c r="B928" s="344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</row>
    <row r="929">
      <c r="A929" s="344"/>
      <c r="B929" s="344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</row>
    <row r="930">
      <c r="A930" s="344"/>
      <c r="B930" s="344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</row>
    <row r="931">
      <c r="A931" s="344"/>
      <c r="B931" s="344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</row>
    <row r="932">
      <c r="A932" s="344"/>
      <c r="B932" s="344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</row>
    <row r="933">
      <c r="A933" s="344"/>
      <c r="B933" s="344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</row>
    <row r="934">
      <c r="A934" s="344"/>
      <c r="B934" s="344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</row>
    <row r="935">
      <c r="A935" s="344"/>
      <c r="B935" s="344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</row>
    <row r="936">
      <c r="A936" s="344"/>
      <c r="B936" s="344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</row>
    <row r="937">
      <c r="A937" s="344"/>
      <c r="B937" s="344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</row>
    <row r="938">
      <c r="A938" s="344"/>
      <c r="B938" s="344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</row>
    <row r="939">
      <c r="A939" s="344"/>
      <c r="B939" s="344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</row>
    <row r="940">
      <c r="A940" s="344"/>
      <c r="B940" s="344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</row>
    <row r="941">
      <c r="A941" s="344"/>
      <c r="B941" s="344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</row>
    <row r="942">
      <c r="A942" s="344"/>
      <c r="B942" s="344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</row>
    <row r="943">
      <c r="A943" s="344"/>
      <c r="B943" s="344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</row>
    <row r="944">
      <c r="A944" s="344"/>
      <c r="B944" s="344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</row>
    <row r="945">
      <c r="A945" s="344"/>
      <c r="B945" s="344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</row>
    <row r="946">
      <c r="A946" s="344"/>
      <c r="B946" s="344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</row>
    <row r="947">
      <c r="A947" s="344"/>
      <c r="B947" s="344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</row>
    <row r="948">
      <c r="A948" s="344"/>
      <c r="B948" s="344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</row>
    <row r="949">
      <c r="A949" s="344"/>
      <c r="B949" s="344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</row>
    <row r="950">
      <c r="A950" s="344"/>
      <c r="B950" s="344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</row>
    <row r="951">
      <c r="A951" s="344"/>
      <c r="B951" s="344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</row>
    <row r="952">
      <c r="A952" s="344"/>
      <c r="B952" s="344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</row>
    <row r="953">
      <c r="A953" s="344"/>
      <c r="B953" s="344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</row>
    <row r="954">
      <c r="A954" s="344"/>
      <c r="B954" s="344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</row>
    <row r="955">
      <c r="A955" s="344"/>
      <c r="B955" s="344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</row>
    <row r="956">
      <c r="A956" s="344"/>
      <c r="B956" s="344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</row>
    <row r="957">
      <c r="A957" s="344"/>
      <c r="B957" s="344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</row>
    <row r="958">
      <c r="A958" s="344"/>
      <c r="B958" s="344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</row>
    <row r="959">
      <c r="A959" s="344"/>
      <c r="B959" s="344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</row>
    <row r="960">
      <c r="A960" s="344"/>
      <c r="B960" s="344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</row>
    <row r="961">
      <c r="A961" s="344"/>
      <c r="B961" s="344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</row>
    <row r="962">
      <c r="A962" s="344"/>
      <c r="B962" s="344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</row>
    <row r="963">
      <c r="A963" s="344"/>
      <c r="B963" s="344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</row>
    <row r="964">
      <c r="A964" s="344"/>
      <c r="B964" s="344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</row>
    <row r="965">
      <c r="A965" s="344"/>
      <c r="B965" s="344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</row>
    <row r="966">
      <c r="A966" s="344"/>
      <c r="B966" s="344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</row>
    <row r="967">
      <c r="A967" s="344"/>
      <c r="B967" s="344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</row>
    <row r="968">
      <c r="A968" s="344"/>
      <c r="B968" s="344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</row>
    <row r="969">
      <c r="A969" s="344"/>
      <c r="B969" s="344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</row>
    <row r="970">
      <c r="A970" s="344"/>
      <c r="B970" s="344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</row>
    <row r="971">
      <c r="A971" s="344"/>
      <c r="B971" s="344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</row>
    <row r="972">
      <c r="A972" s="344"/>
      <c r="B972" s="344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</row>
    <row r="973">
      <c r="A973" s="344"/>
      <c r="B973" s="344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</row>
    <row r="974">
      <c r="A974" s="344"/>
      <c r="B974" s="344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</row>
    <row r="975">
      <c r="A975" s="344"/>
      <c r="B975" s="344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</row>
    <row r="976">
      <c r="A976" s="344"/>
      <c r="B976" s="344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</row>
    <row r="977">
      <c r="A977" s="344"/>
      <c r="B977" s="344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</row>
    <row r="978">
      <c r="A978" s="344"/>
      <c r="B978" s="344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</row>
    <row r="979">
      <c r="A979" s="344"/>
      <c r="B979" s="344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</row>
    <row r="980">
      <c r="A980" s="344"/>
      <c r="B980" s="344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</row>
    <row r="981">
      <c r="A981" s="344"/>
      <c r="B981" s="344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</row>
    <row r="982">
      <c r="A982" s="344"/>
      <c r="B982" s="344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</row>
    <row r="983">
      <c r="A983" s="344"/>
      <c r="B983" s="344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</row>
    <row r="984">
      <c r="A984" s="344"/>
      <c r="B984" s="344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</row>
    <row r="985">
      <c r="A985" s="344"/>
      <c r="B985" s="344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</row>
    <row r="986">
      <c r="A986" s="344"/>
      <c r="B986" s="344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</row>
    <row r="987">
      <c r="A987" s="344"/>
      <c r="B987" s="344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</row>
    <row r="988">
      <c r="A988" s="344"/>
      <c r="B988" s="344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</row>
    <row r="989">
      <c r="A989" s="344"/>
      <c r="B989" s="344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</row>
    <row r="990">
      <c r="A990" s="344"/>
      <c r="B990" s="344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</row>
    <row r="991">
      <c r="A991" s="344"/>
      <c r="B991" s="344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</row>
    <row r="992">
      <c r="A992" s="344"/>
      <c r="B992" s="344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</row>
    <row r="993">
      <c r="A993" s="344"/>
      <c r="B993" s="344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</row>
    <row r="994">
      <c r="A994" s="344"/>
      <c r="B994" s="344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</row>
    <row r="995">
      <c r="A995" s="344"/>
      <c r="B995" s="344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</row>
    <row r="996">
      <c r="A996" s="344"/>
      <c r="B996" s="344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</row>
    <row r="997">
      <c r="A997" s="344"/>
      <c r="B997" s="344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</row>
    <row r="998">
      <c r="A998" s="344"/>
      <c r="B998" s="344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</row>
    <row r="999">
      <c r="A999" s="344"/>
      <c r="B999" s="344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</row>
    <row r="1000">
      <c r="A1000" s="344"/>
      <c r="B1000" s="344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</row>
    <row r="1001">
      <c r="A1001" s="344"/>
      <c r="B1001" s="344"/>
      <c r="C1001" s="317"/>
      <c r="D1001" s="317"/>
      <c r="E1001" s="317"/>
      <c r="F1001" s="317"/>
      <c r="G1001" s="317"/>
      <c r="H1001" s="317"/>
      <c r="I1001" s="317"/>
      <c r="J1001" s="317"/>
      <c r="K1001" s="317"/>
      <c r="L1001" s="317"/>
      <c r="M1001" s="317"/>
      <c r="N1001" s="317"/>
      <c r="O1001" s="317"/>
      <c r="P1001" s="317"/>
      <c r="Q1001" s="317"/>
      <c r="R1001" s="317"/>
      <c r="S1001" s="317"/>
      <c r="T1001" s="317"/>
      <c r="U1001" s="317"/>
      <c r="V1001" s="317"/>
      <c r="W1001" s="317"/>
      <c r="X1001" s="317"/>
      <c r="Y1001" s="317"/>
      <c r="Z1001" s="317"/>
      <c r="AA1001" s="3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</cols>
  <sheetData>
    <row r="1">
      <c r="A1" s="438">
        <v>45865.0</v>
      </c>
      <c r="D1" t="str">
        <f>"'"&amp;TEXT(A1,"yyyy-MM-dd")&amp;"'"</f>
        <v>'2025-07-27'</v>
      </c>
      <c r="F1" t="str">
        <f>NB(F4:F32)</f>
        <v>#NAME?</v>
      </c>
    </row>
    <row r="3">
      <c r="A3" t="str">
        <f>IFERROR(__xludf.DUMMYFUNCTION("QUERY( dataMail!A:J, ""Select * WHERE C&lt;&gt; 'Annulation' AND H &gt; DATE ""&amp;D1&amp;"" AND G &lt;= DATE ""&amp;D1)"),"Date Rec")</f>
        <v>Date Rec</v>
      </c>
      <c r="B3" t="str">
        <f>IFERROR(__xludf.DUMMYFUNCTION("""COMPUTED_VALUE"""),"ref Res")</f>
        <v>ref Res</v>
      </c>
      <c r="C3" t="str">
        <f>IFERROR(__xludf.DUMMYFUNCTION("""COMPUTED_VALUE"""),"Statut")</f>
        <v>Statut</v>
      </c>
      <c r="D3" t="str">
        <f>IFERROR(__xludf.DUMMYFUNCTION("""COMPUTED_VALUE"""),"Source")</f>
        <v>Source</v>
      </c>
      <c r="E3" t="str">
        <f>IFERROR(__xludf.DUMMYFUNCTION("""COMPUTED_VALUE"""),"Ref source")</f>
        <v>Ref source</v>
      </c>
      <c r="F3" t="str">
        <f>IFERROR(__xludf.DUMMYFUNCTION("""COMPUTED_VALUE"""),"Nom")</f>
        <v>Nom</v>
      </c>
      <c r="G3" t="str">
        <f>IFERROR(__xludf.DUMMYFUNCTION("""COMPUTED_VALUE"""),"Arrivée")</f>
        <v>Arrivée</v>
      </c>
      <c r="H3" t="str">
        <f>IFERROR(__xludf.DUMMYFUNCTION("""COMPUTED_VALUE"""),"Fin")</f>
        <v>Fin</v>
      </c>
      <c r="I3" t="str">
        <f>IFERROR(__xludf.DUMMYFUNCTION("""COMPUTED_VALUE"""),"nb Nuit")</f>
        <v>nb Nuit</v>
      </c>
      <c r="J3" t="str">
        <f>IFERROR(__xludf.DUMMYFUNCTION("""COMPUTED_VALUE"""),"Chambre")</f>
        <v>Chambre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4.25"/>
    <col customWidth="1" min="3" max="3" width="17.38"/>
    <col customWidth="1" min="4" max="4" width="20.63"/>
  </cols>
  <sheetData>
    <row r="1">
      <c r="A1" s="439" t="s">
        <v>2430</v>
      </c>
      <c r="B1" s="439" t="s">
        <v>3899</v>
      </c>
      <c r="C1" s="439" t="s">
        <v>3900</v>
      </c>
      <c r="D1" s="439" t="s">
        <v>3901</v>
      </c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</row>
    <row r="2">
      <c r="A2" s="441">
        <f>TODAY()</f>
        <v>46250</v>
      </c>
      <c r="B2" s="442">
        <f t="shared" ref="B2:B467" si="1">C2+D2</f>
        <v>0</v>
      </c>
      <c r="C2" s="442">
        <f>5-COUNTIFS(dataMail!$C:$C,"&lt;&gt;Annulation",dataMail!$G:$G,"&lt;="&amp;A2,dataMail!$H:$H,"&gt;"&amp;A2,dataMail!J:J,"DE")</f>
        <v>-2</v>
      </c>
      <c r="D2" s="442">
        <f>4-COUNTIFS(dataMail!$C:$C,"&lt;&gt;Annulation",dataMail!$G:$G,"&lt;="&amp;A2,dataMail!$H:$H,"&gt;"&amp;A2,dataMail!J:J,"SU")-COUNTIFS(dataMail!$C:$C,"&lt;&gt;Annulation",dataMail!$G:$G,"&lt;="&amp;A2,dataMail!$H:$H,"&gt;"&amp;A2,dataMail!J:J,"SX")</f>
        <v>2</v>
      </c>
    </row>
    <row r="3">
      <c r="A3" s="441">
        <f t="shared" ref="A3:A467" si="2">A2+1</f>
        <v>46251</v>
      </c>
      <c r="B3" s="442">
        <f t="shared" si="1"/>
        <v>0</v>
      </c>
      <c r="C3" s="442">
        <f>5-COUNTIFS(dataMail!$C:$C,"&lt;&gt;Annulation",dataMail!$G:$G,"&lt;="&amp;A3,dataMail!$H:$H,"&gt;"&amp;A3,dataMail!J:J,"DE")</f>
        <v>0</v>
      </c>
      <c r="D3" s="442">
        <f>4-COUNTIFS(dataMail!$C:$C,"&lt;&gt;Annulation",dataMail!$G:$G,"&lt;="&amp;A3,dataMail!$H:$H,"&gt;"&amp;A3,dataMail!J:J,"SU")-COUNTIFS(dataMail!$C:$C,"&lt;&gt;Annulation",dataMail!$G:$G,"&lt;="&amp;A3,dataMail!$H:$H,"&gt;"&amp;A3,dataMail!J:J,"SX")</f>
        <v>0</v>
      </c>
    </row>
    <row r="4">
      <c r="A4" s="441">
        <f t="shared" si="2"/>
        <v>46252</v>
      </c>
      <c r="B4" s="442">
        <f t="shared" si="1"/>
        <v>1</v>
      </c>
      <c r="C4" s="442">
        <f>5-COUNTIFS(dataMail!$C:$C,"&lt;&gt;Annulation",dataMail!$G:$G,"&lt;="&amp;A4,dataMail!$H:$H,"&gt;"&amp;A4,dataMail!J:J,"DE")</f>
        <v>0</v>
      </c>
      <c r="D4" s="442">
        <f>4-COUNTIFS(dataMail!$C:$C,"&lt;&gt;Annulation",dataMail!$G:$G,"&lt;="&amp;A4,dataMail!$H:$H,"&gt;"&amp;A4,dataMail!J:J,"SU")-COUNTIFS(dataMail!$C:$C,"&lt;&gt;Annulation",dataMail!$G:$G,"&lt;="&amp;A4,dataMail!$H:$H,"&gt;"&amp;A4,dataMail!J:J,"SX")</f>
        <v>1</v>
      </c>
    </row>
    <row r="5">
      <c r="A5" s="441">
        <f t="shared" si="2"/>
        <v>46253</v>
      </c>
      <c r="B5" s="442">
        <f t="shared" si="1"/>
        <v>0</v>
      </c>
      <c r="C5" s="442">
        <f>5-COUNTIFS(dataMail!$C:$C,"&lt;&gt;Annulation",dataMail!$G:$G,"&lt;="&amp;A5,dataMail!$H:$H,"&gt;"&amp;A5,dataMail!J:J,"DE")</f>
        <v>0</v>
      </c>
      <c r="D5" s="442">
        <f>4-COUNTIFS(dataMail!$C:$C,"&lt;&gt;Annulation",dataMail!$G:$G,"&lt;="&amp;A5,dataMail!$H:$H,"&gt;"&amp;A5,dataMail!J:J,"SU")-COUNTIFS(dataMail!$C:$C,"&lt;&gt;Annulation",dataMail!$G:$G,"&lt;="&amp;A5,dataMail!$H:$H,"&gt;"&amp;A5,dataMail!J:J,"SX")</f>
        <v>0</v>
      </c>
    </row>
    <row r="6">
      <c r="A6" s="441">
        <f t="shared" si="2"/>
        <v>46254</v>
      </c>
      <c r="B6" s="442">
        <f t="shared" si="1"/>
        <v>0</v>
      </c>
      <c r="C6" s="442">
        <f>5-COUNTIFS(dataMail!$C:$C,"&lt;&gt;Annulation",dataMail!$G:$G,"&lt;="&amp;A6,dataMail!$H:$H,"&gt;"&amp;A6,dataMail!J:J,"DE")</f>
        <v>0</v>
      </c>
      <c r="D6" s="442">
        <f>4-COUNTIFS(dataMail!$C:$C,"&lt;&gt;Annulation",dataMail!$G:$G,"&lt;="&amp;A6,dataMail!$H:$H,"&gt;"&amp;A6,dataMail!J:J,"SU")-COUNTIFS(dataMail!$C:$C,"&lt;&gt;Annulation",dataMail!$G:$G,"&lt;="&amp;A6,dataMail!$H:$H,"&gt;"&amp;A6,dataMail!J:J,"SX")</f>
        <v>0</v>
      </c>
    </row>
    <row r="7">
      <c r="A7" s="441">
        <f t="shared" si="2"/>
        <v>46255</v>
      </c>
      <c r="B7" s="442">
        <f t="shared" si="1"/>
        <v>1</v>
      </c>
      <c r="C7" s="442">
        <f>5-COUNTIFS(dataMail!$C:$C,"&lt;&gt;Annulation",dataMail!$G:$G,"&lt;="&amp;A7,dataMail!$H:$H,"&gt;"&amp;A7,dataMail!J:J,"DE")</f>
        <v>0</v>
      </c>
      <c r="D7" s="442">
        <f>4-COUNTIFS(dataMail!$C:$C,"&lt;&gt;Annulation",dataMail!$G:$G,"&lt;="&amp;A7,dataMail!$H:$H,"&gt;"&amp;A7,dataMail!J:J,"SU")-COUNTIFS(dataMail!$C:$C,"&lt;&gt;Annulation",dataMail!$G:$G,"&lt;="&amp;A7,dataMail!$H:$H,"&gt;"&amp;A7,dataMail!J:J,"SX")</f>
        <v>1</v>
      </c>
    </row>
    <row r="8">
      <c r="A8" s="441">
        <f t="shared" si="2"/>
        <v>46256</v>
      </c>
      <c r="B8" s="442">
        <f t="shared" si="1"/>
        <v>1</v>
      </c>
      <c r="C8" s="442">
        <f>5-COUNTIFS(dataMail!$C:$C,"&lt;&gt;Annulation",dataMail!$G:$G,"&lt;="&amp;A8,dataMail!$H:$H,"&gt;"&amp;A8,dataMail!J:J,"DE")</f>
        <v>0</v>
      </c>
      <c r="D8" s="442">
        <f>4-COUNTIFS(dataMail!$C:$C,"&lt;&gt;Annulation",dataMail!$G:$G,"&lt;="&amp;A8,dataMail!$H:$H,"&gt;"&amp;A8,dataMail!J:J,"SU")-COUNTIFS(dataMail!$C:$C,"&lt;&gt;Annulation",dataMail!$G:$G,"&lt;="&amp;A8,dataMail!$H:$H,"&gt;"&amp;A8,dataMail!J:J,"SX")</f>
        <v>1</v>
      </c>
    </row>
    <row r="9">
      <c r="A9" s="441">
        <f t="shared" si="2"/>
        <v>46257</v>
      </c>
      <c r="B9" s="442">
        <f t="shared" si="1"/>
        <v>2</v>
      </c>
      <c r="C9" s="442">
        <f>5-COUNTIFS(dataMail!$C:$C,"&lt;&gt;Annulation",dataMail!$G:$G,"&lt;="&amp;A9,dataMail!$H:$H,"&gt;"&amp;A9,dataMail!J:J,"DE")</f>
        <v>0</v>
      </c>
      <c r="D9" s="442">
        <f>4-COUNTIFS(dataMail!$C:$C,"&lt;&gt;Annulation",dataMail!$G:$G,"&lt;="&amp;A9,dataMail!$H:$H,"&gt;"&amp;A9,dataMail!J:J,"SU")-COUNTIFS(dataMail!$C:$C,"&lt;&gt;Annulation",dataMail!$G:$G,"&lt;="&amp;A9,dataMail!$H:$H,"&gt;"&amp;A9,dataMail!J:J,"SX")</f>
        <v>2</v>
      </c>
    </row>
    <row r="10">
      <c r="A10" s="441">
        <f t="shared" si="2"/>
        <v>46258</v>
      </c>
      <c r="B10" s="442">
        <f t="shared" si="1"/>
        <v>2</v>
      </c>
      <c r="C10" s="442">
        <f>5-COUNTIFS(dataMail!$C:$C,"&lt;&gt;Annulation",dataMail!$G:$G,"&lt;="&amp;A10,dataMail!$H:$H,"&gt;"&amp;A10,dataMail!J:J,"DE")</f>
        <v>0</v>
      </c>
      <c r="D10" s="442">
        <f>4-COUNTIFS(dataMail!$C:$C,"&lt;&gt;Annulation",dataMail!$G:$G,"&lt;="&amp;A10,dataMail!$H:$H,"&gt;"&amp;A10,dataMail!J:J,"SU")-COUNTIFS(dataMail!$C:$C,"&lt;&gt;Annulation",dataMail!$G:$G,"&lt;="&amp;A10,dataMail!$H:$H,"&gt;"&amp;A10,dataMail!J:J,"SX")</f>
        <v>2</v>
      </c>
    </row>
    <row r="11">
      <c r="A11" s="441">
        <f t="shared" si="2"/>
        <v>46259</v>
      </c>
      <c r="B11" s="442">
        <f t="shared" si="1"/>
        <v>4</v>
      </c>
      <c r="C11" s="442">
        <f>5-COUNTIFS(dataMail!$C:$C,"&lt;&gt;Annulation",dataMail!$G:$G,"&lt;="&amp;A11,dataMail!$H:$H,"&gt;"&amp;A11,dataMail!J:J,"DE")</f>
        <v>1</v>
      </c>
      <c r="D11" s="442">
        <f>4-COUNTIFS(dataMail!$C:$C,"&lt;&gt;Annulation",dataMail!$G:$G,"&lt;="&amp;A11,dataMail!$H:$H,"&gt;"&amp;A11,dataMail!J:J,"SU")-COUNTIFS(dataMail!$C:$C,"&lt;&gt;Annulation",dataMail!$G:$G,"&lt;="&amp;A11,dataMail!$H:$H,"&gt;"&amp;A11,dataMail!J:J,"SX")</f>
        <v>3</v>
      </c>
    </row>
    <row r="12">
      <c r="A12" s="441">
        <f t="shared" si="2"/>
        <v>46260</v>
      </c>
      <c r="B12" s="442">
        <f t="shared" si="1"/>
        <v>2</v>
      </c>
      <c r="C12" s="442">
        <f>5-COUNTIFS(dataMail!$C:$C,"&lt;&gt;Annulation",dataMail!$G:$G,"&lt;="&amp;A12,dataMail!$H:$H,"&gt;"&amp;A12,dataMail!J:J,"DE")</f>
        <v>0</v>
      </c>
      <c r="D12" s="442">
        <f>4-COUNTIFS(dataMail!$C:$C,"&lt;&gt;Annulation",dataMail!$G:$G,"&lt;="&amp;A12,dataMail!$H:$H,"&gt;"&amp;A12,dataMail!J:J,"SU")-COUNTIFS(dataMail!$C:$C,"&lt;&gt;Annulation",dataMail!$G:$G,"&lt;="&amp;A12,dataMail!$H:$H,"&gt;"&amp;A12,dataMail!J:J,"SX")</f>
        <v>2</v>
      </c>
    </row>
    <row r="13">
      <c r="A13" s="441">
        <f t="shared" si="2"/>
        <v>46261</v>
      </c>
      <c r="B13" s="442">
        <f t="shared" si="1"/>
        <v>2</v>
      </c>
      <c r="C13" s="442">
        <f>5-COUNTIFS(dataMail!$C:$C,"&lt;&gt;Annulation",dataMail!$G:$G,"&lt;="&amp;A13,dataMail!$H:$H,"&gt;"&amp;A13,dataMail!J:J,"DE")</f>
        <v>0</v>
      </c>
      <c r="D13" s="442">
        <f>4-COUNTIFS(dataMail!$C:$C,"&lt;&gt;Annulation",dataMail!$G:$G,"&lt;="&amp;A13,dataMail!$H:$H,"&gt;"&amp;A13,dataMail!J:J,"SU")-COUNTIFS(dataMail!$C:$C,"&lt;&gt;Annulation",dataMail!$G:$G,"&lt;="&amp;A13,dataMail!$H:$H,"&gt;"&amp;A13,dataMail!J:J,"SX")</f>
        <v>2</v>
      </c>
    </row>
    <row r="14">
      <c r="A14" s="441">
        <f t="shared" si="2"/>
        <v>46262</v>
      </c>
      <c r="B14" s="442">
        <f t="shared" si="1"/>
        <v>2</v>
      </c>
      <c r="C14" s="442">
        <f>5-COUNTIFS(dataMail!$C:$C,"&lt;&gt;Annulation",dataMail!$G:$G,"&lt;="&amp;A14,dataMail!$H:$H,"&gt;"&amp;A14,dataMail!J:J,"DE")</f>
        <v>0</v>
      </c>
      <c r="D14" s="442">
        <f>4-COUNTIFS(dataMail!$C:$C,"&lt;&gt;Annulation",dataMail!$G:$G,"&lt;="&amp;A14,dataMail!$H:$H,"&gt;"&amp;A14,dataMail!J:J,"SU")-COUNTIFS(dataMail!$C:$C,"&lt;&gt;Annulation",dataMail!$G:$G,"&lt;="&amp;A14,dataMail!$H:$H,"&gt;"&amp;A14,dataMail!J:J,"SX")</f>
        <v>2</v>
      </c>
    </row>
    <row r="15">
      <c r="A15" s="441">
        <f t="shared" si="2"/>
        <v>46263</v>
      </c>
      <c r="B15" s="442">
        <f t="shared" si="1"/>
        <v>3</v>
      </c>
      <c r="C15" s="442">
        <f>5-COUNTIFS(dataMail!$C:$C,"&lt;&gt;Annulation",dataMail!$G:$G,"&lt;="&amp;A15,dataMail!$H:$H,"&gt;"&amp;A15,dataMail!J:J,"DE")</f>
        <v>2</v>
      </c>
      <c r="D15" s="442">
        <f>4-COUNTIFS(dataMail!$C:$C,"&lt;&gt;Annulation",dataMail!$G:$G,"&lt;="&amp;A15,dataMail!$H:$H,"&gt;"&amp;A15,dataMail!J:J,"SU")-COUNTIFS(dataMail!$C:$C,"&lt;&gt;Annulation",dataMail!$G:$G,"&lt;="&amp;A15,dataMail!$H:$H,"&gt;"&amp;A15,dataMail!J:J,"SX")</f>
        <v>1</v>
      </c>
    </row>
    <row r="16">
      <c r="A16" s="441">
        <f t="shared" si="2"/>
        <v>46264</v>
      </c>
      <c r="B16" s="442">
        <f t="shared" si="1"/>
        <v>2</v>
      </c>
      <c r="C16" s="442">
        <f>5-COUNTIFS(dataMail!$C:$C,"&lt;&gt;Annulation",dataMail!$G:$G,"&lt;="&amp;A16,dataMail!$H:$H,"&gt;"&amp;A16,dataMail!J:J,"DE")</f>
        <v>0</v>
      </c>
      <c r="D16" s="442">
        <f>4-COUNTIFS(dataMail!$C:$C,"&lt;&gt;Annulation",dataMail!$G:$G,"&lt;="&amp;A16,dataMail!$H:$H,"&gt;"&amp;A16,dataMail!J:J,"SU")-COUNTIFS(dataMail!$C:$C,"&lt;&gt;Annulation",dataMail!$G:$G,"&lt;="&amp;A16,dataMail!$H:$H,"&gt;"&amp;A16,dataMail!J:J,"SX")</f>
        <v>2</v>
      </c>
    </row>
    <row r="17">
      <c r="A17" s="441">
        <f t="shared" si="2"/>
        <v>46265</v>
      </c>
      <c r="B17" s="442">
        <f t="shared" si="1"/>
        <v>4</v>
      </c>
      <c r="C17" s="442">
        <f>5-COUNTIFS(dataMail!$C:$C,"&lt;&gt;Annulation",dataMail!$G:$G,"&lt;="&amp;A17,dataMail!$H:$H,"&gt;"&amp;A17,dataMail!J:J,"DE")</f>
        <v>0</v>
      </c>
      <c r="D17" s="442">
        <f>4-COUNTIFS(dataMail!$C:$C,"&lt;&gt;Annulation",dataMail!$G:$G,"&lt;="&amp;A17,dataMail!$H:$H,"&gt;"&amp;A17,dataMail!J:J,"SU")-COUNTIFS(dataMail!$C:$C,"&lt;&gt;Annulation",dataMail!$G:$G,"&lt;="&amp;A17,dataMail!$H:$H,"&gt;"&amp;A17,dataMail!J:J,"SX")</f>
        <v>4</v>
      </c>
    </row>
    <row r="18">
      <c r="A18" s="441">
        <f t="shared" si="2"/>
        <v>46266</v>
      </c>
      <c r="B18" s="442">
        <f t="shared" si="1"/>
        <v>1</v>
      </c>
      <c r="C18" s="442">
        <f>5-COUNTIFS(dataMail!$C:$C,"&lt;&gt;Annulation",dataMail!$G:$G,"&lt;="&amp;A18,dataMail!$H:$H,"&gt;"&amp;A18,dataMail!J:J,"DE")</f>
        <v>0</v>
      </c>
      <c r="D18" s="442">
        <f>4-COUNTIFS(dataMail!$C:$C,"&lt;&gt;Annulation",dataMail!$G:$G,"&lt;="&amp;A18,dataMail!$H:$H,"&gt;"&amp;A18,dataMail!J:J,"SU")-COUNTIFS(dataMail!$C:$C,"&lt;&gt;Annulation",dataMail!$G:$G,"&lt;="&amp;A18,dataMail!$H:$H,"&gt;"&amp;A18,dataMail!J:J,"SX")</f>
        <v>1</v>
      </c>
    </row>
    <row r="19">
      <c r="A19" s="441">
        <f t="shared" si="2"/>
        <v>46267</v>
      </c>
      <c r="B19" s="442">
        <f t="shared" si="1"/>
        <v>0</v>
      </c>
      <c r="C19" s="442">
        <f>5-COUNTIFS(dataMail!$C:$C,"&lt;&gt;Annulation",dataMail!$G:$G,"&lt;="&amp;A19,dataMail!$H:$H,"&gt;"&amp;A19,dataMail!J:J,"DE")</f>
        <v>0</v>
      </c>
      <c r="D19" s="442">
        <f>4-COUNTIFS(dataMail!$C:$C,"&lt;&gt;Annulation",dataMail!$G:$G,"&lt;="&amp;A19,dataMail!$H:$H,"&gt;"&amp;A19,dataMail!J:J,"SU")-COUNTIFS(dataMail!$C:$C,"&lt;&gt;Annulation",dataMail!$G:$G,"&lt;="&amp;A19,dataMail!$H:$H,"&gt;"&amp;A19,dataMail!J:J,"SX")</f>
        <v>0</v>
      </c>
    </row>
    <row r="20">
      <c r="A20" s="441">
        <f t="shared" si="2"/>
        <v>46268</v>
      </c>
      <c r="B20" s="442">
        <f t="shared" si="1"/>
        <v>1</v>
      </c>
      <c r="C20" s="442">
        <f>5-COUNTIFS(dataMail!$C:$C,"&lt;&gt;Annulation",dataMail!$G:$G,"&lt;="&amp;A20,dataMail!$H:$H,"&gt;"&amp;A20,dataMail!J:J,"DE")</f>
        <v>0</v>
      </c>
      <c r="D20" s="442">
        <f>4-COUNTIFS(dataMail!$C:$C,"&lt;&gt;Annulation",dataMail!$G:$G,"&lt;="&amp;A20,dataMail!$H:$H,"&gt;"&amp;A20,dataMail!J:J,"SU")-COUNTIFS(dataMail!$C:$C,"&lt;&gt;Annulation",dataMail!$G:$G,"&lt;="&amp;A20,dataMail!$H:$H,"&gt;"&amp;A20,dataMail!J:J,"SX")</f>
        <v>1</v>
      </c>
    </row>
    <row r="21">
      <c r="A21" s="441">
        <f t="shared" si="2"/>
        <v>46269</v>
      </c>
      <c r="B21" s="442">
        <f t="shared" si="1"/>
        <v>6</v>
      </c>
      <c r="C21" s="442">
        <f>5-COUNTIFS(dataMail!$C:$C,"&lt;&gt;Annulation",dataMail!$G:$G,"&lt;="&amp;A21,dataMail!$H:$H,"&gt;"&amp;A21,dataMail!J:J,"DE")</f>
        <v>4</v>
      </c>
      <c r="D21" s="442">
        <f>4-COUNTIFS(dataMail!$C:$C,"&lt;&gt;Annulation",dataMail!$G:$G,"&lt;="&amp;A21,dataMail!$H:$H,"&gt;"&amp;A21,dataMail!J:J,"SU")-COUNTIFS(dataMail!$C:$C,"&lt;&gt;Annulation",dataMail!$G:$G,"&lt;="&amp;A21,dataMail!$H:$H,"&gt;"&amp;A21,dataMail!J:J,"SX")</f>
        <v>2</v>
      </c>
    </row>
    <row r="22">
      <c r="A22" s="441">
        <f t="shared" si="2"/>
        <v>46270</v>
      </c>
      <c r="B22" s="442">
        <f t="shared" si="1"/>
        <v>1</v>
      </c>
      <c r="C22" s="442">
        <f>5-COUNTIFS(dataMail!$C:$C,"&lt;&gt;Annulation",dataMail!$G:$G,"&lt;="&amp;A22,dataMail!$H:$H,"&gt;"&amp;A22,dataMail!J:J,"DE")</f>
        <v>1</v>
      </c>
      <c r="D22" s="442">
        <f>4-COUNTIFS(dataMail!$C:$C,"&lt;&gt;Annulation",dataMail!$G:$G,"&lt;="&amp;A22,dataMail!$H:$H,"&gt;"&amp;A22,dataMail!J:J,"SU")-COUNTIFS(dataMail!$C:$C,"&lt;&gt;Annulation",dataMail!$G:$G,"&lt;="&amp;A22,dataMail!$H:$H,"&gt;"&amp;A22,dataMail!J:J,"SX")</f>
        <v>0</v>
      </c>
    </row>
    <row r="23">
      <c r="A23" s="441">
        <f t="shared" si="2"/>
        <v>46271</v>
      </c>
      <c r="B23" s="442">
        <f t="shared" si="1"/>
        <v>0</v>
      </c>
      <c r="C23" s="442">
        <f>5-COUNTIFS(dataMail!$C:$C,"&lt;&gt;Annulation",dataMail!$G:$G,"&lt;="&amp;A23,dataMail!$H:$H,"&gt;"&amp;A23,dataMail!J:J,"DE")</f>
        <v>0</v>
      </c>
      <c r="D23" s="442">
        <f>4-COUNTIFS(dataMail!$C:$C,"&lt;&gt;Annulation",dataMail!$G:$G,"&lt;="&amp;A23,dataMail!$H:$H,"&gt;"&amp;A23,dataMail!J:J,"SU")-COUNTIFS(dataMail!$C:$C,"&lt;&gt;Annulation",dataMail!$G:$G,"&lt;="&amp;A23,dataMail!$H:$H,"&gt;"&amp;A23,dataMail!J:J,"SX")</f>
        <v>0</v>
      </c>
    </row>
    <row r="24">
      <c r="A24" s="441">
        <f t="shared" si="2"/>
        <v>46272</v>
      </c>
      <c r="B24" s="442">
        <f t="shared" si="1"/>
        <v>2</v>
      </c>
      <c r="C24" s="442">
        <f>5-COUNTIFS(dataMail!$C:$C,"&lt;&gt;Annulation",dataMail!$G:$G,"&lt;="&amp;A24,dataMail!$H:$H,"&gt;"&amp;A24,dataMail!J:J,"DE")</f>
        <v>1</v>
      </c>
      <c r="D24" s="442">
        <f>4-COUNTIFS(dataMail!$C:$C,"&lt;&gt;Annulation",dataMail!$G:$G,"&lt;="&amp;A24,dataMail!$H:$H,"&gt;"&amp;A24,dataMail!J:J,"SU")-COUNTIFS(dataMail!$C:$C,"&lt;&gt;Annulation",dataMail!$G:$G,"&lt;="&amp;A24,dataMail!$H:$H,"&gt;"&amp;A24,dataMail!J:J,"SX")</f>
        <v>1</v>
      </c>
    </row>
    <row r="25">
      <c r="A25" s="441">
        <f t="shared" si="2"/>
        <v>46273</v>
      </c>
      <c r="B25" s="442">
        <f t="shared" si="1"/>
        <v>1</v>
      </c>
      <c r="C25" s="442">
        <f>5-COUNTIFS(dataMail!$C:$C,"&lt;&gt;Annulation",dataMail!$G:$G,"&lt;="&amp;A25,dataMail!$H:$H,"&gt;"&amp;A25,dataMail!J:J,"DE")</f>
        <v>0</v>
      </c>
      <c r="D25" s="442">
        <f>4-COUNTIFS(dataMail!$C:$C,"&lt;&gt;Annulation",dataMail!$G:$G,"&lt;="&amp;A25,dataMail!$H:$H,"&gt;"&amp;A25,dataMail!J:J,"SU")-COUNTIFS(dataMail!$C:$C,"&lt;&gt;Annulation",dataMail!$G:$G,"&lt;="&amp;A25,dataMail!$H:$H,"&gt;"&amp;A25,dataMail!J:J,"SX")</f>
        <v>1</v>
      </c>
    </row>
    <row r="26">
      <c r="A26" s="441">
        <f t="shared" si="2"/>
        <v>46274</v>
      </c>
      <c r="B26" s="442">
        <f t="shared" si="1"/>
        <v>2</v>
      </c>
      <c r="C26" s="442">
        <f>5-COUNTIFS(dataMail!$C:$C,"&lt;&gt;Annulation",dataMail!$G:$G,"&lt;="&amp;A26,dataMail!$H:$H,"&gt;"&amp;A26,dataMail!J:J,"DE")</f>
        <v>0</v>
      </c>
      <c r="D26" s="442">
        <f>4-COUNTIFS(dataMail!$C:$C,"&lt;&gt;Annulation",dataMail!$G:$G,"&lt;="&amp;A26,dataMail!$H:$H,"&gt;"&amp;A26,dataMail!J:J,"SU")-COUNTIFS(dataMail!$C:$C,"&lt;&gt;Annulation",dataMail!$G:$G,"&lt;="&amp;A26,dataMail!$H:$H,"&gt;"&amp;A26,dataMail!J:J,"SX")</f>
        <v>2</v>
      </c>
    </row>
    <row r="27">
      <c r="A27" s="441">
        <f t="shared" si="2"/>
        <v>46275</v>
      </c>
      <c r="B27" s="442">
        <f t="shared" si="1"/>
        <v>1</v>
      </c>
      <c r="C27" s="442">
        <f>5-COUNTIFS(dataMail!$C:$C,"&lt;&gt;Annulation",dataMail!$G:$G,"&lt;="&amp;A27,dataMail!$H:$H,"&gt;"&amp;A27,dataMail!J:J,"DE")</f>
        <v>1</v>
      </c>
      <c r="D27" s="442">
        <f>4-COUNTIFS(dataMail!$C:$C,"&lt;&gt;Annulation",dataMail!$G:$G,"&lt;="&amp;A27,dataMail!$H:$H,"&gt;"&amp;A27,dataMail!J:J,"SU")-COUNTIFS(dataMail!$C:$C,"&lt;&gt;Annulation",dataMail!$G:$G,"&lt;="&amp;A27,dataMail!$H:$H,"&gt;"&amp;A27,dataMail!J:J,"SX")</f>
        <v>0</v>
      </c>
    </row>
    <row r="28">
      <c r="A28" s="441">
        <f t="shared" si="2"/>
        <v>46276</v>
      </c>
      <c r="B28" s="442">
        <f t="shared" si="1"/>
        <v>1</v>
      </c>
      <c r="C28" s="442">
        <f>5-COUNTIFS(dataMail!$C:$C,"&lt;&gt;Annulation",dataMail!$G:$G,"&lt;="&amp;A28,dataMail!$H:$H,"&gt;"&amp;A28,dataMail!J:J,"DE")</f>
        <v>0</v>
      </c>
      <c r="D28" s="442">
        <f>4-COUNTIFS(dataMail!$C:$C,"&lt;&gt;Annulation",dataMail!$G:$G,"&lt;="&amp;A28,dataMail!$H:$H,"&gt;"&amp;A28,dataMail!J:J,"SU")-COUNTIFS(dataMail!$C:$C,"&lt;&gt;Annulation",dataMail!$G:$G,"&lt;="&amp;A28,dataMail!$H:$H,"&gt;"&amp;A28,dataMail!J:J,"SX")</f>
        <v>1</v>
      </c>
    </row>
    <row r="29">
      <c r="A29" s="441">
        <f t="shared" si="2"/>
        <v>46277</v>
      </c>
      <c r="B29" s="442">
        <f t="shared" si="1"/>
        <v>0</v>
      </c>
      <c r="C29" s="442">
        <f>5-COUNTIFS(dataMail!$C:$C,"&lt;&gt;Annulation",dataMail!$G:$G,"&lt;="&amp;A29,dataMail!$H:$H,"&gt;"&amp;A29,dataMail!J:J,"DE")</f>
        <v>0</v>
      </c>
      <c r="D29" s="442">
        <f>4-COUNTIFS(dataMail!$C:$C,"&lt;&gt;Annulation",dataMail!$G:$G,"&lt;="&amp;A29,dataMail!$H:$H,"&gt;"&amp;A29,dataMail!J:J,"SU")-COUNTIFS(dataMail!$C:$C,"&lt;&gt;Annulation",dataMail!$G:$G,"&lt;="&amp;A29,dataMail!$H:$H,"&gt;"&amp;A29,dataMail!J:J,"SX")</f>
        <v>0</v>
      </c>
    </row>
    <row r="30">
      <c r="A30" s="441">
        <f t="shared" si="2"/>
        <v>46278</v>
      </c>
      <c r="B30" s="442">
        <f t="shared" si="1"/>
        <v>1</v>
      </c>
      <c r="C30" s="442">
        <f>5-COUNTIFS(dataMail!$C:$C,"&lt;&gt;Annulation",dataMail!$G:$G,"&lt;="&amp;A30,dataMail!$H:$H,"&gt;"&amp;A30,dataMail!J:J,"DE")</f>
        <v>1</v>
      </c>
      <c r="D30" s="442">
        <f>4-COUNTIFS(dataMail!$C:$C,"&lt;&gt;Annulation",dataMail!$G:$G,"&lt;="&amp;A30,dataMail!$H:$H,"&gt;"&amp;A30,dataMail!J:J,"SU")-COUNTIFS(dataMail!$C:$C,"&lt;&gt;Annulation",dataMail!$G:$G,"&lt;="&amp;A30,dataMail!$H:$H,"&gt;"&amp;A30,dataMail!J:J,"SX")</f>
        <v>0</v>
      </c>
    </row>
    <row r="31">
      <c r="A31" s="441">
        <f t="shared" si="2"/>
        <v>46279</v>
      </c>
      <c r="B31" s="442">
        <f t="shared" si="1"/>
        <v>0</v>
      </c>
      <c r="C31" s="442">
        <f>5-COUNTIFS(dataMail!$C:$C,"&lt;&gt;Annulation",dataMail!$G:$G,"&lt;="&amp;A31,dataMail!$H:$H,"&gt;"&amp;A31,dataMail!J:J,"DE")</f>
        <v>0</v>
      </c>
      <c r="D31" s="442">
        <f>4-COUNTIFS(dataMail!$C:$C,"&lt;&gt;Annulation",dataMail!$G:$G,"&lt;="&amp;A31,dataMail!$H:$H,"&gt;"&amp;A31,dataMail!J:J,"SU")-COUNTIFS(dataMail!$C:$C,"&lt;&gt;Annulation",dataMail!$G:$G,"&lt;="&amp;A31,dataMail!$H:$H,"&gt;"&amp;A31,dataMail!J:J,"SX")</f>
        <v>0</v>
      </c>
    </row>
    <row r="32">
      <c r="A32" s="441">
        <f t="shared" si="2"/>
        <v>46280</v>
      </c>
      <c r="B32" s="442">
        <f t="shared" si="1"/>
        <v>0</v>
      </c>
      <c r="C32" s="442">
        <f>5-COUNTIFS(dataMail!$C:$C,"&lt;&gt;Annulation",dataMail!$G:$G,"&lt;="&amp;A32,dataMail!$H:$H,"&gt;"&amp;A32,dataMail!J:J,"DE")</f>
        <v>0</v>
      </c>
      <c r="D32" s="442">
        <f>4-COUNTIFS(dataMail!$C:$C,"&lt;&gt;Annulation",dataMail!$G:$G,"&lt;="&amp;A32,dataMail!$H:$H,"&gt;"&amp;A32,dataMail!J:J,"SU")-COUNTIFS(dataMail!$C:$C,"&lt;&gt;Annulation",dataMail!$G:$G,"&lt;="&amp;A32,dataMail!$H:$H,"&gt;"&amp;A32,dataMail!J:J,"SX")</f>
        <v>0</v>
      </c>
    </row>
    <row r="33">
      <c r="A33" s="441">
        <f t="shared" si="2"/>
        <v>46281</v>
      </c>
      <c r="B33" s="442">
        <f t="shared" si="1"/>
        <v>2</v>
      </c>
      <c r="C33" s="442">
        <f>5-COUNTIFS(dataMail!$C:$C,"&lt;&gt;Annulation",dataMail!$G:$G,"&lt;="&amp;A33,dataMail!$H:$H,"&gt;"&amp;A33,dataMail!J:J,"DE")</f>
        <v>1</v>
      </c>
      <c r="D33" s="442">
        <f>4-COUNTIFS(dataMail!$C:$C,"&lt;&gt;Annulation",dataMail!$G:$G,"&lt;="&amp;A33,dataMail!$H:$H,"&gt;"&amp;A33,dataMail!J:J,"SU")-COUNTIFS(dataMail!$C:$C,"&lt;&gt;Annulation",dataMail!$G:$G,"&lt;="&amp;A33,dataMail!$H:$H,"&gt;"&amp;A33,dataMail!J:J,"SX")</f>
        <v>1</v>
      </c>
    </row>
    <row r="34">
      <c r="A34" s="441">
        <f t="shared" si="2"/>
        <v>46282</v>
      </c>
      <c r="B34" s="442">
        <f t="shared" si="1"/>
        <v>2</v>
      </c>
      <c r="C34" s="442">
        <f>5-COUNTIFS(dataMail!$C:$C,"&lt;&gt;Annulation",dataMail!$G:$G,"&lt;="&amp;A34,dataMail!$H:$H,"&gt;"&amp;A34,dataMail!J:J,"DE")</f>
        <v>0</v>
      </c>
      <c r="D34" s="442">
        <f>4-COUNTIFS(dataMail!$C:$C,"&lt;&gt;Annulation",dataMail!$G:$G,"&lt;="&amp;A34,dataMail!$H:$H,"&gt;"&amp;A34,dataMail!J:J,"SU")-COUNTIFS(dataMail!$C:$C,"&lt;&gt;Annulation",dataMail!$G:$G,"&lt;="&amp;A34,dataMail!$H:$H,"&gt;"&amp;A34,dataMail!J:J,"SX")</f>
        <v>2</v>
      </c>
    </row>
    <row r="35">
      <c r="A35" s="441">
        <f t="shared" si="2"/>
        <v>46283</v>
      </c>
      <c r="B35" s="442">
        <f t="shared" si="1"/>
        <v>0</v>
      </c>
      <c r="C35" s="442">
        <f>5-COUNTIFS(dataMail!$C:$C,"&lt;&gt;Annulation",dataMail!$G:$G,"&lt;="&amp;A35,dataMail!$H:$H,"&gt;"&amp;A35,dataMail!J:J,"DE")</f>
        <v>0</v>
      </c>
      <c r="D35" s="442">
        <f>4-COUNTIFS(dataMail!$C:$C,"&lt;&gt;Annulation",dataMail!$G:$G,"&lt;="&amp;A35,dataMail!$H:$H,"&gt;"&amp;A35,dataMail!J:J,"SU")-COUNTIFS(dataMail!$C:$C,"&lt;&gt;Annulation",dataMail!$G:$G,"&lt;="&amp;A35,dataMail!$H:$H,"&gt;"&amp;A35,dataMail!J:J,"SX")</f>
        <v>0</v>
      </c>
    </row>
    <row r="36">
      <c r="A36" s="441">
        <f t="shared" si="2"/>
        <v>46284</v>
      </c>
      <c r="B36" s="442">
        <f t="shared" si="1"/>
        <v>0</v>
      </c>
      <c r="C36" s="442">
        <f>5-COUNTIFS(dataMail!$C:$C,"&lt;&gt;Annulation",dataMail!$G:$G,"&lt;="&amp;A36,dataMail!$H:$H,"&gt;"&amp;A36,dataMail!J:J,"DE")</f>
        <v>0</v>
      </c>
      <c r="D36" s="442">
        <f>4-COUNTIFS(dataMail!$C:$C,"&lt;&gt;Annulation",dataMail!$G:$G,"&lt;="&amp;A36,dataMail!$H:$H,"&gt;"&amp;A36,dataMail!J:J,"SU")-COUNTIFS(dataMail!$C:$C,"&lt;&gt;Annulation",dataMail!$G:$G,"&lt;="&amp;A36,dataMail!$H:$H,"&gt;"&amp;A36,dataMail!J:J,"SX")</f>
        <v>0</v>
      </c>
    </row>
    <row r="37">
      <c r="A37" s="441">
        <f t="shared" si="2"/>
        <v>46285</v>
      </c>
      <c r="B37" s="442">
        <f t="shared" si="1"/>
        <v>0</v>
      </c>
      <c r="C37" s="442">
        <f>5-COUNTIFS(dataMail!$C:$C,"&lt;&gt;Annulation",dataMail!$G:$G,"&lt;="&amp;A37,dataMail!$H:$H,"&gt;"&amp;A37,dataMail!J:J,"DE")</f>
        <v>0</v>
      </c>
      <c r="D37" s="442">
        <f>4-COUNTIFS(dataMail!$C:$C,"&lt;&gt;Annulation",dataMail!$G:$G,"&lt;="&amp;A37,dataMail!$H:$H,"&gt;"&amp;A37,dataMail!J:J,"SU")-COUNTIFS(dataMail!$C:$C,"&lt;&gt;Annulation",dataMail!$G:$G,"&lt;="&amp;A37,dataMail!$H:$H,"&gt;"&amp;A37,dataMail!J:J,"SX")</f>
        <v>0</v>
      </c>
    </row>
    <row r="38">
      <c r="A38" s="441">
        <f t="shared" si="2"/>
        <v>46286</v>
      </c>
      <c r="B38" s="442">
        <f t="shared" si="1"/>
        <v>0</v>
      </c>
      <c r="C38" s="442">
        <f>5-COUNTIFS(dataMail!$C:$C,"&lt;&gt;Annulation",dataMail!$G:$G,"&lt;="&amp;A38,dataMail!$H:$H,"&gt;"&amp;A38,dataMail!J:J,"DE")</f>
        <v>0</v>
      </c>
      <c r="D38" s="442">
        <f>4-COUNTIFS(dataMail!$C:$C,"&lt;&gt;Annulation",dataMail!$G:$G,"&lt;="&amp;A38,dataMail!$H:$H,"&gt;"&amp;A38,dataMail!J:J,"SU")-COUNTIFS(dataMail!$C:$C,"&lt;&gt;Annulation",dataMail!$G:$G,"&lt;="&amp;A38,dataMail!$H:$H,"&gt;"&amp;A38,dataMail!J:J,"SX")</f>
        <v>0</v>
      </c>
    </row>
    <row r="39">
      <c r="A39" s="441">
        <f t="shared" si="2"/>
        <v>46287</v>
      </c>
      <c r="B39" s="442">
        <f t="shared" si="1"/>
        <v>-1</v>
      </c>
      <c r="C39" s="442">
        <f>5-COUNTIFS(dataMail!$C:$C,"&lt;&gt;Annulation",dataMail!$G:$G,"&lt;="&amp;A39,dataMail!$H:$H,"&gt;"&amp;A39,dataMail!J:J,"DE")</f>
        <v>-1</v>
      </c>
      <c r="D39" s="442">
        <f>4-COUNTIFS(dataMail!$C:$C,"&lt;&gt;Annulation",dataMail!$G:$G,"&lt;="&amp;A39,dataMail!$H:$H,"&gt;"&amp;A39,dataMail!J:J,"SU")-COUNTIFS(dataMail!$C:$C,"&lt;&gt;Annulation",dataMail!$G:$G,"&lt;="&amp;A39,dataMail!$H:$H,"&gt;"&amp;A39,dataMail!J:J,"SX")</f>
        <v>0</v>
      </c>
    </row>
    <row r="40">
      <c r="A40" s="441">
        <f t="shared" si="2"/>
        <v>46288</v>
      </c>
      <c r="B40" s="442">
        <f t="shared" si="1"/>
        <v>0</v>
      </c>
      <c r="C40" s="442">
        <f>5-COUNTIFS(dataMail!$C:$C,"&lt;&gt;Annulation",dataMail!$G:$G,"&lt;="&amp;A40,dataMail!$H:$H,"&gt;"&amp;A40,dataMail!J:J,"DE")</f>
        <v>-1</v>
      </c>
      <c r="D40" s="442">
        <f>4-COUNTIFS(dataMail!$C:$C,"&lt;&gt;Annulation",dataMail!$G:$G,"&lt;="&amp;A40,dataMail!$H:$H,"&gt;"&amp;A40,dataMail!J:J,"SU")-COUNTIFS(dataMail!$C:$C,"&lt;&gt;Annulation",dataMail!$G:$G,"&lt;="&amp;A40,dataMail!$H:$H,"&gt;"&amp;A40,dataMail!J:J,"SX")</f>
        <v>1</v>
      </c>
    </row>
    <row r="41">
      <c r="A41" s="441">
        <f t="shared" si="2"/>
        <v>46289</v>
      </c>
      <c r="B41" s="442">
        <f t="shared" si="1"/>
        <v>1</v>
      </c>
      <c r="C41" s="442">
        <f>5-COUNTIFS(dataMail!$C:$C,"&lt;&gt;Annulation",dataMail!$G:$G,"&lt;="&amp;A41,dataMail!$H:$H,"&gt;"&amp;A41,dataMail!J:J,"DE")</f>
        <v>-1</v>
      </c>
      <c r="D41" s="442">
        <f>4-COUNTIFS(dataMail!$C:$C,"&lt;&gt;Annulation",dataMail!$G:$G,"&lt;="&amp;A41,dataMail!$H:$H,"&gt;"&amp;A41,dataMail!J:J,"SU")-COUNTIFS(dataMail!$C:$C,"&lt;&gt;Annulation",dataMail!$G:$G,"&lt;="&amp;A41,dataMail!$H:$H,"&gt;"&amp;A41,dataMail!J:J,"SX")</f>
        <v>2</v>
      </c>
    </row>
    <row r="42">
      <c r="A42" s="441">
        <f t="shared" si="2"/>
        <v>46290</v>
      </c>
      <c r="B42" s="442">
        <f t="shared" si="1"/>
        <v>2</v>
      </c>
      <c r="C42" s="442">
        <f>5-COUNTIFS(dataMail!$C:$C,"&lt;&gt;Annulation",dataMail!$G:$G,"&lt;="&amp;A42,dataMail!$H:$H,"&gt;"&amp;A42,dataMail!J:J,"DE")</f>
        <v>0</v>
      </c>
      <c r="D42" s="442">
        <f>4-COUNTIFS(dataMail!$C:$C,"&lt;&gt;Annulation",dataMail!$G:$G,"&lt;="&amp;A42,dataMail!$H:$H,"&gt;"&amp;A42,dataMail!J:J,"SU")-COUNTIFS(dataMail!$C:$C,"&lt;&gt;Annulation",dataMail!$G:$G,"&lt;="&amp;A42,dataMail!$H:$H,"&gt;"&amp;A42,dataMail!J:J,"SX")</f>
        <v>2</v>
      </c>
    </row>
    <row r="43">
      <c r="A43" s="441">
        <f t="shared" si="2"/>
        <v>46291</v>
      </c>
      <c r="B43" s="442">
        <f t="shared" si="1"/>
        <v>1</v>
      </c>
      <c r="C43" s="442">
        <f>5-COUNTIFS(dataMail!$C:$C,"&lt;&gt;Annulation",dataMail!$G:$G,"&lt;="&amp;A43,dataMail!$H:$H,"&gt;"&amp;A43,dataMail!J:J,"DE")</f>
        <v>-1</v>
      </c>
      <c r="D43" s="442">
        <f>4-COUNTIFS(dataMail!$C:$C,"&lt;&gt;Annulation",dataMail!$G:$G,"&lt;="&amp;A43,dataMail!$H:$H,"&gt;"&amp;A43,dataMail!J:J,"SU")-COUNTIFS(dataMail!$C:$C,"&lt;&gt;Annulation",dataMail!$G:$G,"&lt;="&amp;A43,dataMail!$H:$H,"&gt;"&amp;A43,dataMail!J:J,"SX")</f>
        <v>2</v>
      </c>
    </row>
    <row r="44">
      <c r="A44" s="441">
        <f t="shared" si="2"/>
        <v>46292</v>
      </c>
      <c r="B44" s="442">
        <f t="shared" si="1"/>
        <v>4</v>
      </c>
      <c r="C44" s="442">
        <f>5-COUNTIFS(dataMail!$C:$C,"&lt;&gt;Annulation",dataMail!$G:$G,"&lt;="&amp;A44,dataMail!$H:$H,"&gt;"&amp;A44,dataMail!J:J,"DE")</f>
        <v>1</v>
      </c>
      <c r="D44" s="442">
        <f>4-COUNTIFS(dataMail!$C:$C,"&lt;&gt;Annulation",dataMail!$G:$G,"&lt;="&amp;A44,dataMail!$H:$H,"&gt;"&amp;A44,dataMail!J:J,"SU")-COUNTIFS(dataMail!$C:$C,"&lt;&gt;Annulation",dataMail!$G:$G,"&lt;="&amp;A44,dataMail!$H:$H,"&gt;"&amp;A44,dataMail!J:J,"SX")</f>
        <v>3</v>
      </c>
    </row>
    <row r="45">
      <c r="A45" s="441">
        <f t="shared" si="2"/>
        <v>46293</v>
      </c>
      <c r="B45" s="442">
        <f t="shared" si="1"/>
        <v>2</v>
      </c>
      <c r="C45" s="442">
        <f>5-COUNTIFS(dataMail!$C:$C,"&lt;&gt;Annulation",dataMail!$G:$G,"&lt;="&amp;A45,dataMail!$H:$H,"&gt;"&amp;A45,dataMail!J:J,"DE")</f>
        <v>0</v>
      </c>
      <c r="D45" s="442">
        <f>4-COUNTIFS(dataMail!$C:$C,"&lt;&gt;Annulation",dataMail!$G:$G,"&lt;="&amp;A45,dataMail!$H:$H,"&gt;"&amp;A45,dataMail!J:J,"SU")-COUNTIFS(dataMail!$C:$C,"&lt;&gt;Annulation",dataMail!$G:$G,"&lt;="&amp;A45,dataMail!$H:$H,"&gt;"&amp;A45,dataMail!J:J,"SX")</f>
        <v>2</v>
      </c>
    </row>
    <row r="46">
      <c r="A46" s="441">
        <f t="shared" si="2"/>
        <v>46294</v>
      </c>
      <c r="B46" s="442">
        <f t="shared" si="1"/>
        <v>1</v>
      </c>
      <c r="C46" s="442">
        <f>5-COUNTIFS(dataMail!$C:$C,"&lt;&gt;Annulation",dataMail!$G:$G,"&lt;="&amp;A46,dataMail!$H:$H,"&gt;"&amp;A46,dataMail!J:J,"DE")</f>
        <v>1</v>
      </c>
      <c r="D46" s="442">
        <f>4-COUNTIFS(dataMail!$C:$C,"&lt;&gt;Annulation",dataMail!$G:$G,"&lt;="&amp;A46,dataMail!$H:$H,"&gt;"&amp;A46,dataMail!J:J,"SU")-COUNTIFS(dataMail!$C:$C,"&lt;&gt;Annulation",dataMail!$G:$G,"&lt;="&amp;A46,dataMail!$H:$H,"&gt;"&amp;A46,dataMail!J:J,"SX")</f>
        <v>0</v>
      </c>
    </row>
    <row r="47">
      <c r="A47" s="441">
        <f t="shared" si="2"/>
        <v>46295</v>
      </c>
      <c r="B47" s="442">
        <f t="shared" si="1"/>
        <v>1</v>
      </c>
      <c r="C47" s="442">
        <f>5-COUNTIFS(dataMail!$C:$C,"&lt;&gt;Annulation",dataMail!$G:$G,"&lt;="&amp;A47,dataMail!$H:$H,"&gt;"&amp;A47,dataMail!J:J,"DE")</f>
        <v>-1</v>
      </c>
      <c r="D47" s="442">
        <f>4-COUNTIFS(dataMail!$C:$C,"&lt;&gt;Annulation",dataMail!$G:$G,"&lt;="&amp;A47,dataMail!$H:$H,"&gt;"&amp;A47,dataMail!J:J,"SU")-COUNTIFS(dataMail!$C:$C,"&lt;&gt;Annulation",dataMail!$G:$G,"&lt;="&amp;A47,dataMail!$H:$H,"&gt;"&amp;A47,dataMail!J:J,"SX")</f>
        <v>2</v>
      </c>
    </row>
    <row r="48">
      <c r="A48" s="441">
        <f t="shared" si="2"/>
        <v>46296</v>
      </c>
      <c r="B48" s="442">
        <f t="shared" si="1"/>
        <v>-3</v>
      </c>
      <c r="C48" s="442">
        <f>5-COUNTIFS(dataMail!$C:$C,"&lt;&gt;Annulation",dataMail!$G:$G,"&lt;="&amp;A48,dataMail!$H:$H,"&gt;"&amp;A48,dataMail!J:J,"DE")</f>
        <v>-4</v>
      </c>
      <c r="D48" s="442">
        <f>4-COUNTIFS(dataMail!$C:$C,"&lt;&gt;Annulation",dataMail!$G:$G,"&lt;="&amp;A48,dataMail!$H:$H,"&gt;"&amp;A48,dataMail!J:J,"SU")-COUNTIFS(dataMail!$C:$C,"&lt;&gt;Annulation",dataMail!$G:$G,"&lt;="&amp;A48,dataMail!$H:$H,"&gt;"&amp;A48,dataMail!J:J,"SX")</f>
        <v>1</v>
      </c>
    </row>
    <row r="49">
      <c r="A49" s="441">
        <f t="shared" si="2"/>
        <v>46297</v>
      </c>
      <c r="B49" s="442">
        <f t="shared" si="1"/>
        <v>-2</v>
      </c>
      <c r="C49" s="442">
        <f>5-COUNTIFS(dataMail!$C:$C,"&lt;&gt;Annulation",dataMail!$G:$G,"&lt;="&amp;A49,dataMail!$H:$H,"&gt;"&amp;A49,dataMail!J:J,"DE")</f>
        <v>-2</v>
      </c>
      <c r="D49" s="442">
        <f>4-COUNTIFS(dataMail!$C:$C,"&lt;&gt;Annulation",dataMail!$G:$G,"&lt;="&amp;A49,dataMail!$H:$H,"&gt;"&amp;A49,dataMail!J:J,"SU")-COUNTIFS(dataMail!$C:$C,"&lt;&gt;Annulation",dataMail!$G:$G,"&lt;="&amp;A49,dataMail!$H:$H,"&gt;"&amp;A49,dataMail!J:J,"SX")</f>
        <v>0</v>
      </c>
    </row>
    <row r="50">
      <c r="A50" s="441">
        <f t="shared" si="2"/>
        <v>46298</v>
      </c>
      <c r="B50" s="442">
        <f t="shared" si="1"/>
        <v>3</v>
      </c>
      <c r="C50" s="442">
        <f>5-COUNTIFS(dataMail!$C:$C,"&lt;&gt;Annulation",dataMail!$G:$G,"&lt;="&amp;A50,dataMail!$H:$H,"&gt;"&amp;A50,dataMail!J:J,"DE")</f>
        <v>3</v>
      </c>
      <c r="D50" s="442">
        <f>4-COUNTIFS(dataMail!$C:$C,"&lt;&gt;Annulation",dataMail!$G:$G,"&lt;="&amp;A50,dataMail!$H:$H,"&gt;"&amp;A50,dataMail!J:J,"SU")-COUNTIFS(dataMail!$C:$C,"&lt;&gt;Annulation",dataMail!$G:$G,"&lt;="&amp;A50,dataMail!$H:$H,"&gt;"&amp;A50,dataMail!J:J,"SX")</f>
        <v>0</v>
      </c>
    </row>
    <row r="51">
      <c r="A51" s="441">
        <f t="shared" si="2"/>
        <v>46299</v>
      </c>
      <c r="B51" s="442">
        <f t="shared" si="1"/>
        <v>-1</v>
      </c>
      <c r="C51" s="442">
        <f>5-COUNTIFS(dataMail!$C:$C,"&lt;&gt;Annulation",dataMail!$G:$G,"&lt;="&amp;A51,dataMail!$H:$H,"&gt;"&amp;A51,dataMail!J:J,"DE")</f>
        <v>-1</v>
      </c>
      <c r="D51" s="442">
        <f>4-COUNTIFS(dataMail!$C:$C,"&lt;&gt;Annulation",dataMail!$G:$G,"&lt;="&amp;A51,dataMail!$H:$H,"&gt;"&amp;A51,dataMail!J:J,"SU")-COUNTIFS(dataMail!$C:$C,"&lt;&gt;Annulation",dataMail!$G:$G,"&lt;="&amp;A51,dataMail!$H:$H,"&gt;"&amp;A51,dataMail!J:J,"SX")</f>
        <v>0</v>
      </c>
    </row>
    <row r="52">
      <c r="A52" s="441">
        <f t="shared" si="2"/>
        <v>46300</v>
      </c>
      <c r="B52" s="442">
        <f t="shared" si="1"/>
        <v>4</v>
      </c>
      <c r="C52" s="442">
        <f>5-COUNTIFS(dataMail!$C:$C,"&lt;&gt;Annulation",dataMail!$G:$G,"&lt;="&amp;A52,dataMail!$H:$H,"&gt;"&amp;A52,dataMail!J:J,"DE")</f>
        <v>3</v>
      </c>
      <c r="D52" s="442">
        <f>4-COUNTIFS(dataMail!$C:$C,"&lt;&gt;Annulation",dataMail!$G:$G,"&lt;="&amp;A52,dataMail!$H:$H,"&gt;"&amp;A52,dataMail!J:J,"SU")-COUNTIFS(dataMail!$C:$C,"&lt;&gt;Annulation",dataMail!$G:$G,"&lt;="&amp;A52,dataMail!$H:$H,"&gt;"&amp;A52,dataMail!J:J,"SX")</f>
        <v>1</v>
      </c>
    </row>
    <row r="53">
      <c r="A53" s="441">
        <f t="shared" si="2"/>
        <v>46301</v>
      </c>
      <c r="B53" s="442">
        <f t="shared" si="1"/>
        <v>5</v>
      </c>
      <c r="C53" s="442">
        <f>5-COUNTIFS(dataMail!$C:$C,"&lt;&gt;Annulation",dataMail!$G:$G,"&lt;="&amp;A53,dataMail!$H:$H,"&gt;"&amp;A53,dataMail!J:J,"DE")</f>
        <v>4</v>
      </c>
      <c r="D53" s="442">
        <f>4-COUNTIFS(dataMail!$C:$C,"&lt;&gt;Annulation",dataMail!$G:$G,"&lt;="&amp;A53,dataMail!$H:$H,"&gt;"&amp;A53,dataMail!J:J,"SU")-COUNTIFS(dataMail!$C:$C,"&lt;&gt;Annulation",dataMail!$G:$G,"&lt;="&amp;A53,dataMail!$H:$H,"&gt;"&amp;A53,dataMail!J:J,"SX")</f>
        <v>1</v>
      </c>
    </row>
    <row r="54">
      <c r="A54" s="441">
        <f t="shared" si="2"/>
        <v>46302</v>
      </c>
      <c r="B54" s="442">
        <f t="shared" si="1"/>
        <v>5</v>
      </c>
      <c r="C54" s="442">
        <f>5-COUNTIFS(dataMail!$C:$C,"&lt;&gt;Annulation",dataMail!$G:$G,"&lt;="&amp;A54,dataMail!$H:$H,"&gt;"&amp;A54,dataMail!J:J,"DE")</f>
        <v>3</v>
      </c>
      <c r="D54" s="442">
        <f>4-COUNTIFS(dataMail!$C:$C,"&lt;&gt;Annulation",dataMail!$G:$G,"&lt;="&amp;A54,dataMail!$H:$H,"&gt;"&amp;A54,dataMail!J:J,"SU")-COUNTIFS(dataMail!$C:$C,"&lt;&gt;Annulation",dataMail!$G:$G,"&lt;="&amp;A54,dataMail!$H:$H,"&gt;"&amp;A54,dataMail!J:J,"SX")</f>
        <v>2</v>
      </c>
    </row>
    <row r="55">
      <c r="A55" s="441">
        <f t="shared" si="2"/>
        <v>46303</v>
      </c>
      <c r="B55" s="442">
        <f t="shared" si="1"/>
        <v>1</v>
      </c>
      <c r="C55" s="442">
        <f>5-COUNTIFS(dataMail!$C:$C,"&lt;&gt;Annulation",dataMail!$G:$G,"&lt;="&amp;A55,dataMail!$H:$H,"&gt;"&amp;A55,dataMail!J:J,"DE")</f>
        <v>0</v>
      </c>
      <c r="D55" s="442">
        <f>4-COUNTIFS(dataMail!$C:$C,"&lt;&gt;Annulation",dataMail!$G:$G,"&lt;="&amp;A55,dataMail!$H:$H,"&gt;"&amp;A55,dataMail!J:J,"SU")-COUNTIFS(dataMail!$C:$C,"&lt;&gt;Annulation",dataMail!$G:$G,"&lt;="&amp;A55,dataMail!$H:$H,"&gt;"&amp;A55,dataMail!J:J,"SX")</f>
        <v>1</v>
      </c>
    </row>
    <row r="56">
      <c r="A56" s="441">
        <f t="shared" si="2"/>
        <v>46304</v>
      </c>
      <c r="B56" s="442">
        <f t="shared" si="1"/>
        <v>2</v>
      </c>
      <c r="C56" s="442">
        <f>5-COUNTIFS(dataMail!$C:$C,"&lt;&gt;Annulation",dataMail!$G:$G,"&lt;="&amp;A56,dataMail!$H:$H,"&gt;"&amp;A56,dataMail!J:J,"DE")</f>
        <v>2</v>
      </c>
      <c r="D56" s="442">
        <f>4-COUNTIFS(dataMail!$C:$C,"&lt;&gt;Annulation",dataMail!$G:$G,"&lt;="&amp;A56,dataMail!$H:$H,"&gt;"&amp;A56,dataMail!J:J,"SU")-COUNTIFS(dataMail!$C:$C,"&lt;&gt;Annulation",dataMail!$G:$G,"&lt;="&amp;A56,dataMail!$H:$H,"&gt;"&amp;A56,dataMail!J:J,"SX")</f>
        <v>0</v>
      </c>
    </row>
    <row r="57">
      <c r="A57" s="441">
        <f t="shared" si="2"/>
        <v>46305</v>
      </c>
      <c r="B57" s="442">
        <f t="shared" si="1"/>
        <v>1</v>
      </c>
      <c r="C57" s="442">
        <f>5-COUNTIFS(dataMail!$C:$C,"&lt;&gt;Annulation",dataMail!$G:$G,"&lt;="&amp;A57,dataMail!$H:$H,"&gt;"&amp;A57,dataMail!J:J,"DE")</f>
        <v>0</v>
      </c>
      <c r="D57" s="442">
        <f>4-COUNTIFS(dataMail!$C:$C,"&lt;&gt;Annulation",dataMail!$G:$G,"&lt;="&amp;A57,dataMail!$H:$H,"&gt;"&amp;A57,dataMail!J:J,"SU")-COUNTIFS(dataMail!$C:$C,"&lt;&gt;Annulation",dataMail!$G:$G,"&lt;="&amp;A57,dataMail!$H:$H,"&gt;"&amp;A57,dataMail!J:J,"SX")</f>
        <v>1</v>
      </c>
    </row>
    <row r="58">
      <c r="A58" s="441">
        <f t="shared" si="2"/>
        <v>46306</v>
      </c>
      <c r="B58" s="442">
        <f t="shared" si="1"/>
        <v>3</v>
      </c>
      <c r="C58" s="442">
        <f>5-COUNTIFS(dataMail!$C:$C,"&lt;&gt;Annulation",dataMail!$G:$G,"&lt;="&amp;A58,dataMail!$H:$H,"&gt;"&amp;A58,dataMail!J:J,"DE")</f>
        <v>0</v>
      </c>
      <c r="D58" s="442">
        <f>4-COUNTIFS(dataMail!$C:$C,"&lt;&gt;Annulation",dataMail!$G:$G,"&lt;="&amp;A58,dataMail!$H:$H,"&gt;"&amp;A58,dataMail!J:J,"SU")-COUNTIFS(dataMail!$C:$C,"&lt;&gt;Annulation",dataMail!$G:$G,"&lt;="&amp;A58,dataMail!$H:$H,"&gt;"&amp;A58,dataMail!J:J,"SX")</f>
        <v>3</v>
      </c>
    </row>
    <row r="59">
      <c r="A59" s="441">
        <f t="shared" si="2"/>
        <v>46307</v>
      </c>
      <c r="B59" s="442">
        <f t="shared" si="1"/>
        <v>1</v>
      </c>
      <c r="C59" s="442">
        <f>5-COUNTIFS(dataMail!$C:$C,"&lt;&gt;Annulation",dataMail!$G:$G,"&lt;="&amp;A59,dataMail!$H:$H,"&gt;"&amp;A59,dataMail!J:J,"DE")</f>
        <v>0</v>
      </c>
      <c r="D59" s="442">
        <f>4-COUNTIFS(dataMail!$C:$C,"&lt;&gt;Annulation",dataMail!$G:$G,"&lt;="&amp;A59,dataMail!$H:$H,"&gt;"&amp;A59,dataMail!J:J,"SU")-COUNTIFS(dataMail!$C:$C,"&lt;&gt;Annulation",dataMail!$G:$G,"&lt;="&amp;A59,dataMail!$H:$H,"&gt;"&amp;A59,dataMail!J:J,"SX")</f>
        <v>1</v>
      </c>
    </row>
    <row r="60">
      <c r="A60" s="441">
        <f t="shared" si="2"/>
        <v>46308</v>
      </c>
      <c r="B60" s="442">
        <f t="shared" si="1"/>
        <v>1</v>
      </c>
      <c r="C60" s="442">
        <f>5-COUNTIFS(dataMail!$C:$C,"&lt;&gt;Annulation",dataMail!$G:$G,"&lt;="&amp;A60,dataMail!$H:$H,"&gt;"&amp;A60,dataMail!J:J,"DE")</f>
        <v>0</v>
      </c>
      <c r="D60" s="442">
        <f>4-COUNTIFS(dataMail!$C:$C,"&lt;&gt;Annulation",dataMail!$G:$G,"&lt;="&amp;A60,dataMail!$H:$H,"&gt;"&amp;A60,dataMail!J:J,"SU")-COUNTIFS(dataMail!$C:$C,"&lt;&gt;Annulation",dataMail!$G:$G,"&lt;="&amp;A60,dataMail!$H:$H,"&gt;"&amp;A60,dataMail!J:J,"SX")</f>
        <v>1</v>
      </c>
    </row>
    <row r="61">
      <c r="A61" s="441">
        <f t="shared" si="2"/>
        <v>46309</v>
      </c>
      <c r="B61" s="442">
        <f t="shared" si="1"/>
        <v>1</v>
      </c>
      <c r="C61" s="442">
        <f>5-COUNTIFS(dataMail!$C:$C,"&lt;&gt;Annulation",dataMail!$G:$G,"&lt;="&amp;A61,dataMail!$H:$H,"&gt;"&amp;A61,dataMail!J:J,"DE")</f>
        <v>1</v>
      </c>
      <c r="D61" s="442">
        <f>4-COUNTIFS(dataMail!$C:$C,"&lt;&gt;Annulation",dataMail!$G:$G,"&lt;="&amp;A61,dataMail!$H:$H,"&gt;"&amp;A61,dataMail!J:J,"SU")-COUNTIFS(dataMail!$C:$C,"&lt;&gt;Annulation",dataMail!$G:$G,"&lt;="&amp;A61,dataMail!$H:$H,"&gt;"&amp;A61,dataMail!J:J,"SX")</f>
        <v>0</v>
      </c>
    </row>
    <row r="62">
      <c r="A62" s="441">
        <f t="shared" si="2"/>
        <v>46310</v>
      </c>
      <c r="B62" s="442">
        <f t="shared" si="1"/>
        <v>-2</v>
      </c>
      <c r="C62" s="442">
        <f>5-COUNTIFS(dataMail!$C:$C,"&lt;&gt;Annulation",dataMail!$G:$G,"&lt;="&amp;A62,dataMail!$H:$H,"&gt;"&amp;A62,dataMail!J:J,"DE")</f>
        <v>-2</v>
      </c>
      <c r="D62" s="442">
        <f>4-COUNTIFS(dataMail!$C:$C,"&lt;&gt;Annulation",dataMail!$G:$G,"&lt;="&amp;A62,dataMail!$H:$H,"&gt;"&amp;A62,dataMail!J:J,"SU")-COUNTIFS(dataMail!$C:$C,"&lt;&gt;Annulation",dataMail!$G:$G,"&lt;="&amp;A62,dataMail!$H:$H,"&gt;"&amp;A62,dataMail!J:J,"SX")</f>
        <v>0</v>
      </c>
    </row>
    <row r="63">
      <c r="A63" s="441">
        <f t="shared" si="2"/>
        <v>46311</v>
      </c>
      <c r="B63" s="442">
        <f t="shared" si="1"/>
        <v>-1</v>
      </c>
      <c r="C63" s="442">
        <f>5-COUNTIFS(dataMail!$C:$C,"&lt;&gt;Annulation",dataMail!$G:$G,"&lt;="&amp;A63,dataMail!$H:$H,"&gt;"&amp;A63,dataMail!J:J,"DE")</f>
        <v>-1</v>
      </c>
      <c r="D63" s="442">
        <f>4-COUNTIFS(dataMail!$C:$C,"&lt;&gt;Annulation",dataMail!$G:$G,"&lt;="&amp;A63,dataMail!$H:$H,"&gt;"&amp;A63,dataMail!J:J,"SU")-COUNTIFS(dataMail!$C:$C,"&lt;&gt;Annulation",dataMail!$G:$G,"&lt;="&amp;A63,dataMail!$H:$H,"&gt;"&amp;A63,dataMail!J:J,"SX")</f>
        <v>0</v>
      </c>
    </row>
    <row r="64">
      <c r="A64" s="441">
        <f t="shared" si="2"/>
        <v>46312</v>
      </c>
      <c r="B64" s="442">
        <f t="shared" si="1"/>
        <v>2</v>
      </c>
      <c r="C64" s="442">
        <f>5-COUNTIFS(dataMail!$C:$C,"&lt;&gt;Annulation",dataMail!$G:$G,"&lt;="&amp;A64,dataMail!$H:$H,"&gt;"&amp;A64,dataMail!J:J,"DE")</f>
        <v>0</v>
      </c>
      <c r="D64" s="442">
        <f>4-COUNTIFS(dataMail!$C:$C,"&lt;&gt;Annulation",dataMail!$G:$G,"&lt;="&amp;A64,dataMail!$H:$H,"&gt;"&amp;A64,dataMail!J:J,"SU")-COUNTIFS(dataMail!$C:$C,"&lt;&gt;Annulation",dataMail!$G:$G,"&lt;="&amp;A64,dataMail!$H:$H,"&gt;"&amp;A64,dataMail!J:J,"SX")</f>
        <v>2</v>
      </c>
    </row>
    <row r="65">
      <c r="A65" s="441">
        <f t="shared" si="2"/>
        <v>46313</v>
      </c>
      <c r="B65" s="442">
        <f t="shared" si="1"/>
        <v>1</v>
      </c>
      <c r="C65" s="442">
        <f>5-COUNTIFS(dataMail!$C:$C,"&lt;&gt;Annulation",dataMail!$G:$G,"&lt;="&amp;A65,dataMail!$H:$H,"&gt;"&amp;A65,dataMail!J:J,"DE")</f>
        <v>0</v>
      </c>
      <c r="D65" s="442">
        <f>4-COUNTIFS(dataMail!$C:$C,"&lt;&gt;Annulation",dataMail!$G:$G,"&lt;="&amp;A65,dataMail!$H:$H,"&gt;"&amp;A65,dataMail!J:J,"SU")-COUNTIFS(dataMail!$C:$C,"&lt;&gt;Annulation",dataMail!$G:$G,"&lt;="&amp;A65,dataMail!$H:$H,"&gt;"&amp;A65,dataMail!J:J,"SX")</f>
        <v>1</v>
      </c>
    </row>
    <row r="66">
      <c r="A66" s="441">
        <f t="shared" si="2"/>
        <v>46314</v>
      </c>
      <c r="B66" s="442">
        <f t="shared" si="1"/>
        <v>2</v>
      </c>
      <c r="C66" s="442">
        <f>5-COUNTIFS(dataMail!$C:$C,"&lt;&gt;Annulation",dataMail!$G:$G,"&lt;="&amp;A66,dataMail!$H:$H,"&gt;"&amp;A66,dataMail!J:J,"DE")</f>
        <v>0</v>
      </c>
      <c r="D66" s="442">
        <f>4-COUNTIFS(dataMail!$C:$C,"&lt;&gt;Annulation",dataMail!$G:$G,"&lt;="&amp;A66,dataMail!$H:$H,"&gt;"&amp;A66,dataMail!J:J,"SU")-COUNTIFS(dataMail!$C:$C,"&lt;&gt;Annulation",dataMail!$G:$G,"&lt;="&amp;A66,dataMail!$H:$H,"&gt;"&amp;A66,dataMail!J:J,"SX")</f>
        <v>2</v>
      </c>
    </row>
    <row r="67">
      <c r="A67" s="441">
        <f t="shared" si="2"/>
        <v>46315</v>
      </c>
      <c r="B67" s="442">
        <f t="shared" si="1"/>
        <v>2</v>
      </c>
      <c r="C67" s="442">
        <f>5-COUNTIFS(dataMail!$C:$C,"&lt;&gt;Annulation",dataMail!$G:$G,"&lt;="&amp;A67,dataMail!$H:$H,"&gt;"&amp;A67,dataMail!J:J,"DE")</f>
        <v>1</v>
      </c>
      <c r="D67" s="442">
        <f>4-COUNTIFS(dataMail!$C:$C,"&lt;&gt;Annulation",dataMail!$G:$G,"&lt;="&amp;A67,dataMail!$H:$H,"&gt;"&amp;A67,dataMail!J:J,"SU")-COUNTIFS(dataMail!$C:$C,"&lt;&gt;Annulation",dataMail!$G:$G,"&lt;="&amp;A67,dataMail!$H:$H,"&gt;"&amp;A67,dataMail!J:J,"SX")</f>
        <v>1</v>
      </c>
    </row>
    <row r="68">
      <c r="A68" s="441">
        <f t="shared" si="2"/>
        <v>46316</v>
      </c>
      <c r="B68" s="442">
        <f t="shared" si="1"/>
        <v>2</v>
      </c>
      <c r="C68" s="442">
        <f>5-COUNTIFS(dataMail!$C:$C,"&lt;&gt;Annulation",dataMail!$G:$G,"&lt;="&amp;A68,dataMail!$H:$H,"&gt;"&amp;A68,dataMail!J:J,"DE")</f>
        <v>1</v>
      </c>
      <c r="D68" s="442">
        <f>4-COUNTIFS(dataMail!$C:$C,"&lt;&gt;Annulation",dataMail!$G:$G,"&lt;="&amp;A68,dataMail!$H:$H,"&gt;"&amp;A68,dataMail!J:J,"SU")-COUNTIFS(dataMail!$C:$C,"&lt;&gt;Annulation",dataMail!$G:$G,"&lt;="&amp;A68,dataMail!$H:$H,"&gt;"&amp;A68,dataMail!J:J,"SX")</f>
        <v>1</v>
      </c>
    </row>
    <row r="69">
      <c r="A69" s="441">
        <f t="shared" si="2"/>
        <v>46317</v>
      </c>
      <c r="B69" s="442">
        <f t="shared" si="1"/>
        <v>0</v>
      </c>
      <c r="C69" s="442">
        <f>5-COUNTIFS(dataMail!$C:$C,"&lt;&gt;Annulation",dataMail!$G:$G,"&lt;="&amp;A69,dataMail!$H:$H,"&gt;"&amp;A69,dataMail!J:J,"DE")</f>
        <v>0</v>
      </c>
      <c r="D69" s="442">
        <f>4-COUNTIFS(dataMail!$C:$C,"&lt;&gt;Annulation",dataMail!$G:$G,"&lt;="&amp;A69,dataMail!$H:$H,"&gt;"&amp;A69,dataMail!J:J,"SU")-COUNTIFS(dataMail!$C:$C,"&lt;&gt;Annulation",dataMail!$G:$G,"&lt;="&amp;A69,dataMail!$H:$H,"&gt;"&amp;A69,dataMail!J:J,"SX")</f>
        <v>0</v>
      </c>
    </row>
    <row r="70">
      <c r="A70" s="441">
        <f t="shared" si="2"/>
        <v>46318</v>
      </c>
      <c r="B70" s="442">
        <f t="shared" si="1"/>
        <v>5</v>
      </c>
      <c r="C70" s="442">
        <f>5-COUNTIFS(dataMail!$C:$C,"&lt;&gt;Annulation",dataMail!$G:$G,"&lt;="&amp;A70,dataMail!$H:$H,"&gt;"&amp;A70,dataMail!J:J,"DE")</f>
        <v>3</v>
      </c>
      <c r="D70" s="442">
        <f>4-COUNTIFS(dataMail!$C:$C,"&lt;&gt;Annulation",dataMail!$G:$G,"&lt;="&amp;A70,dataMail!$H:$H,"&gt;"&amp;A70,dataMail!J:J,"SU")-COUNTIFS(dataMail!$C:$C,"&lt;&gt;Annulation",dataMail!$G:$G,"&lt;="&amp;A70,dataMail!$H:$H,"&gt;"&amp;A70,dataMail!J:J,"SX")</f>
        <v>2</v>
      </c>
    </row>
    <row r="71">
      <c r="A71" s="441">
        <f t="shared" si="2"/>
        <v>46319</v>
      </c>
      <c r="B71" s="442">
        <f t="shared" si="1"/>
        <v>3</v>
      </c>
      <c r="C71" s="442">
        <f>5-COUNTIFS(dataMail!$C:$C,"&lt;&gt;Annulation",dataMail!$G:$G,"&lt;="&amp;A71,dataMail!$H:$H,"&gt;"&amp;A71,dataMail!J:J,"DE")</f>
        <v>1</v>
      </c>
      <c r="D71" s="442">
        <f>4-COUNTIFS(dataMail!$C:$C,"&lt;&gt;Annulation",dataMail!$G:$G,"&lt;="&amp;A71,dataMail!$H:$H,"&gt;"&amp;A71,dataMail!J:J,"SU")-COUNTIFS(dataMail!$C:$C,"&lt;&gt;Annulation",dataMail!$G:$G,"&lt;="&amp;A71,dataMail!$H:$H,"&gt;"&amp;A71,dataMail!J:J,"SX")</f>
        <v>2</v>
      </c>
    </row>
    <row r="72">
      <c r="A72" s="441">
        <f t="shared" si="2"/>
        <v>46320</v>
      </c>
      <c r="B72" s="442">
        <f t="shared" si="1"/>
        <v>2</v>
      </c>
      <c r="C72" s="442">
        <f>5-COUNTIFS(dataMail!$C:$C,"&lt;&gt;Annulation",dataMail!$G:$G,"&lt;="&amp;A72,dataMail!$H:$H,"&gt;"&amp;A72,dataMail!J:J,"DE")</f>
        <v>1</v>
      </c>
      <c r="D72" s="442">
        <f>4-COUNTIFS(dataMail!$C:$C,"&lt;&gt;Annulation",dataMail!$G:$G,"&lt;="&amp;A72,dataMail!$H:$H,"&gt;"&amp;A72,dataMail!J:J,"SU")-COUNTIFS(dataMail!$C:$C,"&lt;&gt;Annulation",dataMail!$G:$G,"&lt;="&amp;A72,dataMail!$H:$H,"&gt;"&amp;A72,dataMail!J:J,"SX")</f>
        <v>1</v>
      </c>
    </row>
    <row r="73">
      <c r="A73" s="441">
        <f t="shared" si="2"/>
        <v>46321</v>
      </c>
      <c r="B73" s="442">
        <f t="shared" si="1"/>
        <v>1</v>
      </c>
      <c r="C73" s="442">
        <f>5-COUNTIFS(dataMail!$C:$C,"&lt;&gt;Annulation",dataMail!$G:$G,"&lt;="&amp;A73,dataMail!$H:$H,"&gt;"&amp;A73,dataMail!J:J,"DE")</f>
        <v>0</v>
      </c>
      <c r="D73" s="442">
        <f>4-COUNTIFS(dataMail!$C:$C,"&lt;&gt;Annulation",dataMail!$G:$G,"&lt;="&amp;A73,dataMail!$H:$H,"&gt;"&amp;A73,dataMail!J:J,"SU")-COUNTIFS(dataMail!$C:$C,"&lt;&gt;Annulation",dataMail!$G:$G,"&lt;="&amp;A73,dataMail!$H:$H,"&gt;"&amp;A73,dataMail!J:J,"SX")</f>
        <v>1</v>
      </c>
    </row>
    <row r="74">
      <c r="A74" s="441">
        <f t="shared" si="2"/>
        <v>46322</v>
      </c>
      <c r="B74" s="442">
        <f t="shared" si="1"/>
        <v>1</v>
      </c>
      <c r="C74" s="442">
        <f>5-COUNTIFS(dataMail!$C:$C,"&lt;&gt;Annulation",dataMail!$G:$G,"&lt;="&amp;A74,dataMail!$H:$H,"&gt;"&amp;A74,dataMail!J:J,"DE")</f>
        <v>-1</v>
      </c>
      <c r="D74" s="442">
        <f>4-COUNTIFS(dataMail!$C:$C,"&lt;&gt;Annulation",dataMail!$G:$G,"&lt;="&amp;A74,dataMail!$H:$H,"&gt;"&amp;A74,dataMail!J:J,"SU")-COUNTIFS(dataMail!$C:$C,"&lt;&gt;Annulation",dataMail!$G:$G,"&lt;="&amp;A74,dataMail!$H:$H,"&gt;"&amp;A74,dataMail!J:J,"SX")</f>
        <v>2</v>
      </c>
    </row>
    <row r="75">
      <c r="A75" s="441">
        <f t="shared" si="2"/>
        <v>46323</v>
      </c>
      <c r="B75" s="442">
        <f t="shared" si="1"/>
        <v>-1</v>
      </c>
      <c r="C75" s="442">
        <f>5-COUNTIFS(dataMail!$C:$C,"&lt;&gt;Annulation",dataMail!$G:$G,"&lt;="&amp;A75,dataMail!$H:$H,"&gt;"&amp;A75,dataMail!J:J,"DE")</f>
        <v>-2</v>
      </c>
      <c r="D75" s="442">
        <f>4-COUNTIFS(dataMail!$C:$C,"&lt;&gt;Annulation",dataMail!$G:$G,"&lt;="&amp;A75,dataMail!$H:$H,"&gt;"&amp;A75,dataMail!J:J,"SU")-COUNTIFS(dataMail!$C:$C,"&lt;&gt;Annulation",dataMail!$G:$G,"&lt;="&amp;A75,dataMail!$H:$H,"&gt;"&amp;A75,dataMail!J:J,"SX")</f>
        <v>1</v>
      </c>
    </row>
    <row r="76">
      <c r="A76" s="441">
        <f t="shared" si="2"/>
        <v>46324</v>
      </c>
      <c r="B76" s="442">
        <f t="shared" si="1"/>
        <v>-1</v>
      </c>
      <c r="C76" s="442">
        <f>5-COUNTIFS(dataMail!$C:$C,"&lt;&gt;Annulation",dataMail!$G:$G,"&lt;="&amp;A76,dataMail!$H:$H,"&gt;"&amp;A76,dataMail!J:J,"DE")</f>
        <v>0</v>
      </c>
      <c r="D76" s="442">
        <f>4-COUNTIFS(dataMail!$C:$C,"&lt;&gt;Annulation",dataMail!$G:$G,"&lt;="&amp;A76,dataMail!$H:$H,"&gt;"&amp;A76,dataMail!J:J,"SU")-COUNTIFS(dataMail!$C:$C,"&lt;&gt;Annulation",dataMail!$G:$G,"&lt;="&amp;A76,dataMail!$H:$H,"&gt;"&amp;A76,dataMail!J:J,"SX")</f>
        <v>-1</v>
      </c>
    </row>
    <row r="77">
      <c r="A77" s="441">
        <f t="shared" si="2"/>
        <v>46325</v>
      </c>
      <c r="B77" s="442">
        <f t="shared" si="1"/>
        <v>-2</v>
      </c>
      <c r="C77" s="442">
        <f>5-COUNTIFS(dataMail!$C:$C,"&lt;&gt;Annulation",dataMail!$G:$G,"&lt;="&amp;A77,dataMail!$H:$H,"&gt;"&amp;A77,dataMail!J:J,"DE")</f>
        <v>-2</v>
      </c>
      <c r="D77" s="442">
        <f>4-COUNTIFS(dataMail!$C:$C,"&lt;&gt;Annulation",dataMail!$G:$G,"&lt;="&amp;A77,dataMail!$H:$H,"&gt;"&amp;A77,dataMail!J:J,"SU")-COUNTIFS(dataMail!$C:$C,"&lt;&gt;Annulation",dataMail!$G:$G,"&lt;="&amp;A77,dataMail!$H:$H,"&gt;"&amp;A77,dataMail!J:J,"SX")</f>
        <v>0</v>
      </c>
    </row>
    <row r="78">
      <c r="A78" s="441">
        <f t="shared" si="2"/>
        <v>46326</v>
      </c>
      <c r="B78" s="442">
        <f t="shared" si="1"/>
        <v>2</v>
      </c>
      <c r="C78" s="442">
        <f>5-COUNTIFS(dataMail!$C:$C,"&lt;&gt;Annulation",dataMail!$G:$G,"&lt;="&amp;A78,dataMail!$H:$H,"&gt;"&amp;A78,dataMail!J:J,"DE")</f>
        <v>0</v>
      </c>
      <c r="D78" s="442">
        <f>4-COUNTIFS(dataMail!$C:$C,"&lt;&gt;Annulation",dataMail!$G:$G,"&lt;="&amp;A78,dataMail!$H:$H,"&gt;"&amp;A78,dataMail!J:J,"SU")-COUNTIFS(dataMail!$C:$C,"&lt;&gt;Annulation",dataMail!$G:$G,"&lt;="&amp;A78,dataMail!$H:$H,"&gt;"&amp;A78,dataMail!J:J,"SX")</f>
        <v>2</v>
      </c>
    </row>
    <row r="79">
      <c r="A79" s="441">
        <f t="shared" si="2"/>
        <v>46327</v>
      </c>
      <c r="B79" s="442">
        <f t="shared" si="1"/>
        <v>8</v>
      </c>
      <c r="C79" s="442">
        <f>5-COUNTIFS(dataMail!$C:$C,"&lt;&gt;Annulation",dataMail!$G:$G,"&lt;="&amp;A79,dataMail!$H:$H,"&gt;"&amp;A79,dataMail!J:J,"DE")</f>
        <v>4</v>
      </c>
      <c r="D79" s="442">
        <f>4-COUNTIFS(dataMail!$C:$C,"&lt;&gt;Annulation",dataMail!$G:$G,"&lt;="&amp;A79,dataMail!$H:$H,"&gt;"&amp;A79,dataMail!J:J,"SU")-COUNTIFS(dataMail!$C:$C,"&lt;&gt;Annulation",dataMail!$G:$G,"&lt;="&amp;A79,dataMail!$H:$H,"&gt;"&amp;A79,dataMail!J:J,"SX")</f>
        <v>4</v>
      </c>
    </row>
    <row r="80">
      <c r="A80" s="441">
        <f t="shared" si="2"/>
        <v>46328</v>
      </c>
      <c r="B80" s="442">
        <f t="shared" si="1"/>
        <v>4</v>
      </c>
      <c r="C80" s="442">
        <f>5-COUNTIFS(dataMail!$C:$C,"&lt;&gt;Annulation",dataMail!$G:$G,"&lt;="&amp;A80,dataMail!$H:$H,"&gt;"&amp;A80,dataMail!J:J,"DE")</f>
        <v>1</v>
      </c>
      <c r="D80" s="442">
        <f>4-COUNTIFS(dataMail!$C:$C,"&lt;&gt;Annulation",dataMail!$G:$G,"&lt;="&amp;A80,dataMail!$H:$H,"&gt;"&amp;A80,dataMail!J:J,"SU")-COUNTIFS(dataMail!$C:$C,"&lt;&gt;Annulation",dataMail!$G:$G,"&lt;="&amp;A80,dataMail!$H:$H,"&gt;"&amp;A80,dataMail!J:J,"SX")</f>
        <v>3</v>
      </c>
    </row>
    <row r="81">
      <c r="A81" s="441">
        <f t="shared" si="2"/>
        <v>46329</v>
      </c>
      <c r="B81" s="442">
        <f t="shared" si="1"/>
        <v>3</v>
      </c>
      <c r="C81" s="442">
        <f>5-COUNTIFS(dataMail!$C:$C,"&lt;&gt;Annulation",dataMail!$G:$G,"&lt;="&amp;A81,dataMail!$H:$H,"&gt;"&amp;A81,dataMail!J:J,"DE")</f>
        <v>1</v>
      </c>
      <c r="D81" s="442">
        <f>4-COUNTIFS(dataMail!$C:$C,"&lt;&gt;Annulation",dataMail!$G:$G,"&lt;="&amp;A81,dataMail!$H:$H,"&gt;"&amp;A81,dataMail!J:J,"SU")-COUNTIFS(dataMail!$C:$C,"&lt;&gt;Annulation",dataMail!$G:$G,"&lt;="&amp;A81,dataMail!$H:$H,"&gt;"&amp;A81,dataMail!J:J,"SX")</f>
        <v>2</v>
      </c>
    </row>
    <row r="82">
      <c r="A82" s="441">
        <f t="shared" si="2"/>
        <v>46330</v>
      </c>
      <c r="B82" s="442">
        <f t="shared" si="1"/>
        <v>4</v>
      </c>
      <c r="C82" s="442">
        <f>5-COUNTIFS(dataMail!$C:$C,"&lt;&gt;Annulation",dataMail!$G:$G,"&lt;="&amp;A82,dataMail!$H:$H,"&gt;"&amp;A82,dataMail!J:J,"DE")</f>
        <v>3</v>
      </c>
      <c r="D82" s="442">
        <f>4-COUNTIFS(dataMail!$C:$C,"&lt;&gt;Annulation",dataMail!$G:$G,"&lt;="&amp;A82,dataMail!$H:$H,"&gt;"&amp;A82,dataMail!J:J,"SU")-COUNTIFS(dataMail!$C:$C,"&lt;&gt;Annulation",dataMail!$G:$G,"&lt;="&amp;A82,dataMail!$H:$H,"&gt;"&amp;A82,dataMail!J:J,"SX")</f>
        <v>1</v>
      </c>
    </row>
    <row r="83">
      <c r="A83" s="441">
        <f t="shared" si="2"/>
        <v>46331</v>
      </c>
      <c r="B83" s="442">
        <f t="shared" si="1"/>
        <v>2</v>
      </c>
      <c r="C83" s="442">
        <f>5-COUNTIFS(dataMail!$C:$C,"&lt;&gt;Annulation",dataMail!$G:$G,"&lt;="&amp;A83,dataMail!$H:$H,"&gt;"&amp;A83,dataMail!J:J,"DE")</f>
        <v>1</v>
      </c>
      <c r="D83" s="442">
        <f>4-COUNTIFS(dataMail!$C:$C,"&lt;&gt;Annulation",dataMail!$G:$G,"&lt;="&amp;A83,dataMail!$H:$H,"&gt;"&amp;A83,dataMail!J:J,"SU")-COUNTIFS(dataMail!$C:$C,"&lt;&gt;Annulation",dataMail!$G:$G,"&lt;="&amp;A83,dataMail!$H:$H,"&gt;"&amp;A83,dataMail!J:J,"SX")</f>
        <v>1</v>
      </c>
    </row>
    <row r="84">
      <c r="A84" s="441">
        <f t="shared" si="2"/>
        <v>46332</v>
      </c>
      <c r="B84" s="442">
        <f t="shared" si="1"/>
        <v>0</v>
      </c>
      <c r="C84" s="442">
        <f>5-COUNTIFS(dataMail!$C:$C,"&lt;&gt;Annulation",dataMail!$G:$G,"&lt;="&amp;A84,dataMail!$H:$H,"&gt;"&amp;A84,dataMail!J:J,"DE")</f>
        <v>-1</v>
      </c>
      <c r="D84" s="442">
        <f>4-COUNTIFS(dataMail!$C:$C,"&lt;&gt;Annulation",dataMail!$G:$G,"&lt;="&amp;A84,dataMail!$H:$H,"&gt;"&amp;A84,dataMail!J:J,"SU")-COUNTIFS(dataMail!$C:$C,"&lt;&gt;Annulation",dataMail!$G:$G,"&lt;="&amp;A84,dataMail!$H:$H,"&gt;"&amp;A84,dataMail!J:J,"SX")</f>
        <v>1</v>
      </c>
    </row>
    <row r="85">
      <c r="A85" s="441">
        <f t="shared" si="2"/>
        <v>46333</v>
      </c>
      <c r="B85" s="442">
        <f t="shared" si="1"/>
        <v>4</v>
      </c>
      <c r="C85" s="442">
        <f>5-COUNTIFS(dataMail!$C:$C,"&lt;&gt;Annulation",dataMail!$G:$G,"&lt;="&amp;A85,dataMail!$H:$H,"&gt;"&amp;A85,dataMail!J:J,"DE")</f>
        <v>1</v>
      </c>
      <c r="D85" s="442">
        <f>4-COUNTIFS(dataMail!$C:$C,"&lt;&gt;Annulation",dataMail!$G:$G,"&lt;="&amp;A85,dataMail!$H:$H,"&gt;"&amp;A85,dataMail!J:J,"SU")-COUNTIFS(dataMail!$C:$C,"&lt;&gt;Annulation",dataMail!$G:$G,"&lt;="&amp;A85,dataMail!$H:$H,"&gt;"&amp;A85,dataMail!J:J,"SX")</f>
        <v>3</v>
      </c>
    </row>
    <row r="86">
      <c r="A86" s="441">
        <f t="shared" si="2"/>
        <v>46334</v>
      </c>
      <c r="B86" s="442">
        <f t="shared" si="1"/>
        <v>3</v>
      </c>
      <c r="C86" s="442">
        <f>5-COUNTIFS(dataMail!$C:$C,"&lt;&gt;Annulation",dataMail!$G:$G,"&lt;="&amp;A86,dataMail!$H:$H,"&gt;"&amp;A86,dataMail!J:J,"DE")</f>
        <v>0</v>
      </c>
      <c r="D86" s="442">
        <f>4-COUNTIFS(dataMail!$C:$C,"&lt;&gt;Annulation",dataMail!$G:$G,"&lt;="&amp;A86,dataMail!$H:$H,"&gt;"&amp;A86,dataMail!J:J,"SU")-COUNTIFS(dataMail!$C:$C,"&lt;&gt;Annulation",dataMail!$G:$G,"&lt;="&amp;A86,dataMail!$H:$H,"&gt;"&amp;A86,dataMail!J:J,"SX")</f>
        <v>3</v>
      </c>
    </row>
    <row r="87">
      <c r="A87" s="441">
        <f t="shared" si="2"/>
        <v>46335</v>
      </c>
      <c r="B87" s="442">
        <f t="shared" si="1"/>
        <v>4</v>
      </c>
      <c r="C87" s="442">
        <f>5-COUNTIFS(dataMail!$C:$C,"&lt;&gt;Annulation",dataMail!$G:$G,"&lt;="&amp;A87,dataMail!$H:$H,"&gt;"&amp;A87,dataMail!J:J,"DE")</f>
        <v>2</v>
      </c>
      <c r="D87" s="442">
        <f>4-COUNTIFS(dataMail!$C:$C,"&lt;&gt;Annulation",dataMail!$G:$G,"&lt;="&amp;A87,dataMail!$H:$H,"&gt;"&amp;A87,dataMail!J:J,"SU")-COUNTIFS(dataMail!$C:$C,"&lt;&gt;Annulation",dataMail!$G:$G,"&lt;="&amp;A87,dataMail!$H:$H,"&gt;"&amp;A87,dataMail!J:J,"SX")</f>
        <v>2</v>
      </c>
    </row>
    <row r="88">
      <c r="A88" s="441">
        <f t="shared" si="2"/>
        <v>46336</v>
      </c>
      <c r="B88" s="442">
        <f t="shared" si="1"/>
        <v>1</v>
      </c>
      <c r="C88" s="442">
        <f>5-COUNTIFS(dataMail!$C:$C,"&lt;&gt;Annulation",dataMail!$G:$G,"&lt;="&amp;A88,dataMail!$H:$H,"&gt;"&amp;A88,dataMail!J:J,"DE")</f>
        <v>2</v>
      </c>
      <c r="D88" s="442">
        <f>4-COUNTIFS(dataMail!$C:$C,"&lt;&gt;Annulation",dataMail!$G:$G,"&lt;="&amp;A88,dataMail!$H:$H,"&gt;"&amp;A88,dataMail!J:J,"SU")-COUNTIFS(dataMail!$C:$C,"&lt;&gt;Annulation",dataMail!$G:$G,"&lt;="&amp;A88,dataMail!$H:$H,"&gt;"&amp;A88,dataMail!J:J,"SX")</f>
        <v>-1</v>
      </c>
    </row>
    <row r="89">
      <c r="A89" s="441">
        <f t="shared" si="2"/>
        <v>46337</v>
      </c>
      <c r="B89" s="442">
        <f t="shared" si="1"/>
        <v>1</v>
      </c>
      <c r="C89" s="442">
        <f>5-COUNTIFS(dataMail!$C:$C,"&lt;&gt;Annulation",dataMail!$G:$G,"&lt;="&amp;A89,dataMail!$H:$H,"&gt;"&amp;A89,dataMail!J:J,"DE")</f>
        <v>1</v>
      </c>
      <c r="D89" s="442">
        <f>4-COUNTIFS(dataMail!$C:$C,"&lt;&gt;Annulation",dataMail!$G:$G,"&lt;="&amp;A89,dataMail!$H:$H,"&gt;"&amp;A89,dataMail!J:J,"SU")-COUNTIFS(dataMail!$C:$C,"&lt;&gt;Annulation",dataMail!$G:$G,"&lt;="&amp;A89,dataMail!$H:$H,"&gt;"&amp;A89,dataMail!J:J,"SX")</f>
        <v>0</v>
      </c>
    </row>
    <row r="90">
      <c r="A90" s="441">
        <f t="shared" si="2"/>
        <v>46338</v>
      </c>
      <c r="B90" s="442">
        <f t="shared" si="1"/>
        <v>1</v>
      </c>
      <c r="C90" s="442">
        <f>5-COUNTIFS(dataMail!$C:$C,"&lt;&gt;Annulation",dataMail!$G:$G,"&lt;="&amp;A90,dataMail!$H:$H,"&gt;"&amp;A90,dataMail!J:J,"DE")</f>
        <v>2</v>
      </c>
      <c r="D90" s="442">
        <f>4-COUNTIFS(dataMail!$C:$C,"&lt;&gt;Annulation",dataMail!$G:$G,"&lt;="&amp;A90,dataMail!$H:$H,"&gt;"&amp;A90,dataMail!J:J,"SU")-COUNTIFS(dataMail!$C:$C,"&lt;&gt;Annulation",dataMail!$G:$G,"&lt;="&amp;A90,dataMail!$H:$H,"&gt;"&amp;A90,dataMail!J:J,"SX")</f>
        <v>-1</v>
      </c>
    </row>
    <row r="91">
      <c r="A91" s="441">
        <f t="shared" si="2"/>
        <v>46339</v>
      </c>
      <c r="B91" s="442">
        <f t="shared" si="1"/>
        <v>3</v>
      </c>
      <c r="C91" s="442">
        <f>5-COUNTIFS(dataMail!$C:$C,"&lt;&gt;Annulation",dataMail!$G:$G,"&lt;="&amp;A91,dataMail!$H:$H,"&gt;"&amp;A91,dataMail!J:J,"DE")</f>
        <v>2</v>
      </c>
      <c r="D91" s="442">
        <f>4-COUNTIFS(dataMail!$C:$C,"&lt;&gt;Annulation",dataMail!$G:$G,"&lt;="&amp;A91,dataMail!$H:$H,"&gt;"&amp;A91,dataMail!J:J,"SU")-COUNTIFS(dataMail!$C:$C,"&lt;&gt;Annulation",dataMail!$G:$G,"&lt;="&amp;A91,dataMail!$H:$H,"&gt;"&amp;A91,dataMail!J:J,"SX")</f>
        <v>1</v>
      </c>
    </row>
    <row r="92">
      <c r="A92" s="441">
        <f t="shared" si="2"/>
        <v>46340</v>
      </c>
      <c r="B92" s="442">
        <f t="shared" si="1"/>
        <v>2</v>
      </c>
      <c r="C92" s="442">
        <f>5-COUNTIFS(dataMail!$C:$C,"&lt;&gt;Annulation",dataMail!$G:$G,"&lt;="&amp;A92,dataMail!$H:$H,"&gt;"&amp;A92,dataMail!J:J,"DE")</f>
        <v>2</v>
      </c>
      <c r="D92" s="442">
        <f>4-COUNTIFS(dataMail!$C:$C,"&lt;&gt;Annulation",dataMail!$G:$G,"&lt;="&amp;A92,dataMail!$H:$H,"&gt;"&amp;A92,dataMail!J:J,"SU")-COUNTIFS(dataMail!$C:$C,"&lt;&gt;Annulation",dataMail!$G:$G,"&lt;="&amp;A92,dataMail!$H:$H,"&gt;"&amp;A92,dataMail!J:J,"SX")</f>
        <v>0</v>
      </c>
    </row>
    <row r="93">
      <c r="A93" s="441">
        <f t="shared" si="2"/>
        <v>46341</v>
      </c>
      <c r="B93" s="442">
        <f t="shared" si="1"/>
        <v>2</v>
      </c>
      <c r="C93" s="442">
        <f>5-COUNTIFS(dataMail!$C:$C,"&lt;&gt;Annulation",dataMail!$G:$G,"&lt;="&amp;A93,dataMail!$H:$H,"&gt;"&amp;A93,dataMail!J:J,"DE")</f>
        <v>0</v>
      </c>
      <c r="D93" s="442">
        <f>4-COUNTIFS(dataMail!$C:$C,"&lt;&gt;Annulation",dataMail!$G:$G,"&lt;="&amp;A93,dataMail!$H:$H,"&gt;"&amp;A93,dataMail!J:J,"SU")-COUNTIFS(dataMail!$C:$C,"&lt;&gt;Annulation",dataMail!$G:$G,"&lt;="&amp;A93,dataMail!$H:$H,"&gt;"&amp;A93,dataMail!J:J,"SX")</f>
        <v>2</v>
      </c>
    </row>
    <row r="94">
      <c r="A94" s="441">
        <f t="shared" si="2"/>
        <v>46342</v>
      </c>
      <c r="B94" s="442">
        <f t="shared" si="1"/>
        <v>6</v>
      </c>
      <c r="C94" s="442">
        <f>5-COUNTIFS(dataMail!$C:$C,"&lt;&gt;Annulation",dataMail!$G:$G,"&lt;="&amp;A94,dataMail!$H:$H,"&gt;"&amp;A94,dataMail!J:J,"DE")</f>
        <v>3</v>
      </c>
      <c r="D94" s="442">
        <f>4-COUNTIFS(dataMail!$C:$C,"&lt;&gt;Annulation",dataMail!$G:$G,"&lt;="&amp;A94,dataMail!$H:$H,"&gt;"&amp;A94,dataMail!J:J,"SU")-COUNTIFS(dataMail!$C:$C,"&lt;&gt;Annulation",dataMail!$G:$G,"&lt;="&amp;A94,dataMail!$H:$H,"&gt;"&amp;A94,dataMail!J:J,"SX")</f>
        <v>3</v>
      </c>
    </row>
    <row r="95">
      <c r="A95" s="441">
        <f t="shared" si="2"/>
        <v>46343</v>
      </c>
      <c r="B95" s="442">
        <f t="shared" si="1"/>
        <v>5</v>
      </c>
      <c r="C95" s="442">
        <f>5-COUNTIFS(dataMail!$C:$C,"&lt;&gt;Annulation",dataMail!$G:$G,"&lt;="&amp;A95,dataMail!$H:$H,"&gt;"&amp;A95,dataMail!J:J,"DE")</f>
        <v>2</v>
      </c>
      <c r="D95" s="442">
        <f>4-COUNTIFS(dataMail!$C:$C,"&lt;&gt;Annulation",dataMail!$G:$G,"&lt;="&amp;A95,dataMail!$H:$H,"&gt;"&amp;A95,dataMail!J:J,"SU")-COUNTIFS(dataMail!$C:$C,"&lt;&gt;Annulation",dataMail!$G:$G,"&lt;="&amp;A95,dataMail!$H:$H,"&gt;"&amp;A95,dataMail!J:J,"SX")</f>
        <v>3</v>
      </c>
    </row>
    <row r="96">
      <c r="A96" s="441">
        <f t="shared" si="2"/>
        <v>46344</v>
      </c>
      <c r="B96" s="442">
        <f t="shared" si="1"/>
        <v>4</v>
      </c>
      <c r="C96" s="442">
        <f>5-COUNTIFS(dataMail!$C:$C,"&lt;&gt;Annulation",dataMail!$G:$G,"&lt;="&amp;A96,dataMail!$H:$H,"&gt;"&amp;A96,dataMail!J:J,"DE")</f>
        <v>1</v>
      </c>
      <c r="D96" s="442">
        <f>4-COUNTIFS(dataMail!$C:$C,"&lt;&gt;Annulation",dataMail!$G:$G,"&lt;="&amp;A96,dataMail!$H:$H,"&gt;"&amp;A96,dataMail!J:J,"SU")-COUNTIFS(dataMail!$C:$C,"&lt;&gt;Annulation",dataMail!$G:$G,"&lt;="&amp;A96,dataMail!$H:$H,"&gt;"&amp;A96,dataMail!J:J,"SX")</f>
        <v>3</v>
      </c>
    </row>
    <row r="97">
      <c r="A97" s="441">
        <f t="shared" si="2"/>
        <v>46345</v>
      </c>
      <c r="B97" s="442">
        <f t="shared" si="1"/>
        <v>0</v>
      </c>
      <c r="C97" s="442">
        <f>5-COUNTIFS(dataMail!$C:$C,"&lt;&gt;Annulation",dataMail!$G:$G,"&lt;="&amp;A97,dataMail!$H:$H,"&gt;"&amp;A97,dataMail!J:J,"DE")</f>
        <v>-1</v>
      </c>
      <c r="D97" s="442">
        <f>4-COUNTIFS(dataMail!$C:$C,"&lt;&gt;Annulation",dataMail!$G:$G,"&lt;="&amp;A97,dataMail!$H:$H,"&gt;"&amp;A97,dataMail!J:J,"SU")-COUNTIFS(dataMail!$C:$C,"&lt;&gt;Annulation",dataMail!$G:$G,"&lt;="&amp;A97,dataMail!$H:$H,"&gt;"&amp;A97,dataMail!J:J,"SX")</f>
        <v>1</v>
      </c>
    </row>
    <row r="98">
      <c r="A98" s="441">
        <f t="shared" si="2"/>
        <v>46346</v>
      </c>
      <c r="B98" s="442">
        <f t="shared" si="1"/>
        <v>0</v>
      </c>
      <c r="C98" s="442">
        <f>5-COUNTIFS(dataMail!$C:$C,"&lt;&gt;Annulation",dataMail!$G:$G,"&lt;="&amp;A98,dataMail!$H:$H,"&gt;"&amp;A98,dataMail!J:J,"DE")</f>
        <v>-1</v>
      </c>
      <c r="D98" s="442">
        <f>4-COUNTIFS(dataMail!$C:$C,"&lt;&gt;Annulation",dataMail!$G:$G,"&lt;="&amp;A98,dataMail!$H:$H,"&gt;"&amp;A98,dataMail!J:J,"SU")-COUNTIFS(dataMail!$C:$C,"&lt;&gt;Annulation",dataMail!$G:$G,"&lt;="&amp;A98,dataMail!$H:$H,"&gt;"&amp;A98,dataMail!J:J,"SX")</f>
        <v>1</v>
      </c>
    </row>
    <row r="99">
      <c r="A99" s="441">
        <f t="shared" si="2"/>
        <v>46347</v>
      </c>
      <c r="B99" s="442">
        <f t="shared" si="1"/>
        <v>0</v>
      </c>
      <c r="C99" s="442">
        <f>5-COUNTIFS(dataMail!$C:$C,"&lt;&gt;Annulation",dataMail!$G:$G,"&lt;="&amp;A99,dataMail!$H:$H,"&gt;"&amp;A99,dataMail!J:J,"DE")</f>
        <v>-1</v>
      </c>
      <c r="D99" s="442">
        <f>4-COUNTIFS(dataMail!$C:$C,"&lt;&gt;Annulation",dataMail!$G:$G,"&lt;="&amp;A99,dataMail!$H:$H,"&gt;"&amp;A99,dataMail!J:J,"SU")-COUNTIFS(dataMail!$C:$C,"&lt;&gt;Annulation",dataMail!$G:$G,"&lt;="&amp;A99,dataMail!$H:$H,"&gt;"&amp;A99,dataMail!J:J,"SX")</f>
        <v>1</v>
      </c>
    </row>
    <row r="100">
      <c r="A100" s="441">
        <f t="shared" si="2"/>
        <v>46348</v>
      </c>
      <c r="B100" s="442">
        <f t="shared" si="1"/>
        <v>5</v>
      </c>
      <c r="C100" s="442">
        <f>5-COUNTIFS(dataMail!$C:$C,"&lt;&gt;Annulation",dataMail!$G:$G,"&lt;="&amp;A100,dataMail!$H:$H,"&gt;"&amp;A100,dataMail!J:J,"DE")</f>
        <v>1</v>
      </c>
      <c r="D100" s="442">
        <f>4-COUNTIFS(dataMail!$C:$C,"&lt;&gt;Annulation",dataMail!$G:$G,"&lt;="&amp;A100,dataMail!$H:$H,"&gt;"&amp;A100,dataMail!J:J,"SU")-COUNTIFS(dataMail!$C:$C,"&lt;&gt;Annulation",dataMail!$G:$G,"&lt;="&amp;A100,dataMail!$H:$H,"&gt;"&amp;A100,dataMail!J:J,"SX")</f>
        <v>4</v>
      </c>
    </row>
    <row r="101">
      <c r="A101" s="441">
        <f t="shared" si="2"/>
        <v>46349</v>
      </c>
      <c r="B101" s="442">
        <f t="shared" si="1"/>
        <v>3</v>
      </c>
      <c r="C101" s="442">
        <f>5-COUNTIFS(dataMail!$C:$C,"&lt;&gt;Annulation",dataMail!$G:$G,"&lt;="&amp;A101,dataMail!$H:$H,"&gt;"&amp;A101,dataMail!J:J,"DE")</f>
        <v>-1</v>
      </c>
      <c r="D101" s="442">
        <f>4-COUNTIFS(dataMail!$C:$C,"&lt;&gt;Annulation",dataMail!$G:$G,"&lt;="&amp;A101,dataMail!$H:$H,"&gt;"&amp;A101,dataMail!J:J,"SU")-COUNTIFS(dataMail!$C:$C,"&lt;&gt;Annulation",dataMail!$G:$G,"&lt;="&amp;A101,dataMail!$H:$H,"&gt;"&amp;A101,dataMail!J:J,"SX")</f>
        <v>4</v>
      </c>
    </row>
    <row r="102">
      <c r="A102" s="441">
        <f t="shared" si="2"/>
        <v>46350</v>
      </c>
      <c r="B102" s="442">
        <f t="shared" si="1"/>
        <v>5</v>
      </c>
      <c r="C102" s="442">
        <f>5-COUNTIFS(dataMail!$C:$C,"&lt;&gt;Annulation",dataMail!$G:$G,"&lt;="&amp;A102,dataMail!$H:$H,"&gt;"&amp;A102,dataMail!J:J,"DE")</f>
        <v>1</v>
      </c>
      <c r="D102" s="442">
        <f>4-COUNTIFS(dataMail!$C:$C,"&lt;&gt;Annulation",dataMail!$G:$G,"&lt;="&amp;A102,dataMail!$H:$H,"&gt;"&amp;A102,dataMail!J:J,"SU")-COUNTIFS(dataMail!$C:$C,"&lt;&gt;Annulation",dataMail!$G:$G,"&lt;="&amp;A102,dataMail!$H:$H,"&gt;"&amp;A102,dataMail!J:J,"SX")</f>
        <v>4</v>
      </c>
    </row>
    <row r="103">
      <c r="A103" s="441">
        <f t="shared" si="2"/>
        <v>46351</v>
      </c>
      <c r="B103" s="442">
        <f t="shared" si="1"/>
        <v>6</v>
      </c>
      <c r="C103" s="442">
        <f>5-COUNTIFS(dataMail!$C:$C,"&lt;&gt;Annulation",dataMail!$G:$G,"&lt;="&amp;A103,dataMail!$H:$H,"&gt;"&amp;A103,dataMail!J:J,"DE")</f>
        <v>2</v>
      </c>
      <c r="D103" s="442">
        <f>4-COUNTIFS(dataMail!$C:$C,"&lt;&gt;Annulation",dataMail!$G:$G,"&lt;="&amp;A103,dataMail!$H:$H,"&gt;"&amp;A103,dataMail!J:J,"SU")-COUNTIFS(dataMail!$C:$C,"&lt;&gt;Annulation",dataMail!$G:$G,"&lt;="&amp;A103,dataMail!$H:$H,"&gt;"&amp;A103,dataMail!J:J,"SX")</f>
        <v>4</v>
      </c>
    </row>
    <row r="104">
      <c r="A104" s="441">
        <f t="shared" si="2"/>
        <v>46352</v>
      </c>
      <c r="B104" s="442">
        <f t="shared" si="1"/>
        <v>8</v>
      </c>
      <c r="C104" s="442">
        <f>5-COUNTIFS(dataMail!$C:$C,"&lt;&gt;Annulation",dataMail!$G:$G,"&lt;="&amp;A104,dataMail!$H:$H,"&gt;"&amp;A104,dataMail!J:J,"DE")</f>
        <v>4</v>
      </c>
      <c r="D104" s="442">
        <f>4-COUNTIFS(dataMail!$C:$C,"&lt;&gt;Annulation",dataMail!$G:$G,"&lt;="&amp;A104,dataMail!$H:$H,"&gt;"&amp;A104,dataMail!J:J,"SU")-COUNTIFS(dataMail!$C:$C,"&lt;&gt;Annulation",dataMail!$G:$G,"&lt;="&amp;A104,dataMail!$H:$H,"&gt;"&amp;A104,dataMail!J:J,"SX")</f>
        <v>4</v>
      </c>
    </row>
    <row r="105">
      <c r="A105" s="441">
        <f t="shared" si="2"/>
        <v>46353</v>
      </c>
      <c r="B105" s="442">
        <f t="shared" si="1"/>
        <v>7</v>
      </c>
      <c r="C105" s="442">
        <f>5-COUNTIFS(dataMail!$C:$C,"&lt;&gt;Annulation",dataMail!$G:$G,"&lt;="&amp;A105,dataMail!$H:$H,"&gt;"&amp;A105,dataMail!J:J,"DE")</f>
        <v>3</v>
      </c>
      <c r="D105" s="442">
        <f>4-COUNTIFS(dataMail!$C:$C,"&lt;&gt;Annulation",dataMail!$G:$G,"&lt;="&amp;A105,dataMail!$H:$H,"&gt;"&amp;A105,dataMail!J:J,"SU")-COUNTIFS(dataMail!$C:$C,"&lt;&gt;Annulation",dataMail!$G:$G,"&lt;="&amp;A105,dataMail!$H:$H,"&gt;"&amp;A105,dataMail!J:J,"SX")</f>
        <v>4</v>
      </c>
    </row>
    <row r="106">
      <c r="A106" s="441">
        <f t="shared" si="2"/>
        <v>46354</v>
      </c>
      <c r="B106" s="442">
        <f t="shared" si="1"/>
        <v>7</v>
      </c>
      <c r="C106" s="442">
        <f>5-COUNTIFS(dataMail!$C:$C,"&lt;&gt;Annulation",dataMail!$G:$G,"&lt;="&amp;A106,dataMail!$H:$H,"&gt;"&amp;A106,dataMail!J:J,"DE")</f>
        <v>3</v>
      </c>
      <c r="D106" s="442">
        <f>4-COUNTIFS(dataMail!$C:$C,"&lt;&gt;Annulation",dataMail!$G:$G,"&lt;="&amp;A106,dataMail!$H:$H,"&gt;"&amp;A106,dataMail!J:J,"SU")-COUNTIFS(dataMail!$C:$C,"&lt;&gt;Annulation",dataMail!$G:$G,"&lt;="&amp;A106,dataMail!$H:$H,"&gt;"&amp;A106,dataMail!J:J,"SX")</f>
        <v>4</v>
      </c>
    </row>
    <row r="107">
      <c r="A107" s="441">
        <f t="shared" si="2"/>
        <v>46355</v>
      </c>
      <c r="B107" s="442">
        <f t="shared" si="1"/>
        <v>7</v>
      </c>
      <c r="C107" s="442">
        <f>5-COUNTIFS(dataMail!$C:$C,"&lt;&gt;Annulation",dataMail!$G:$G,"&lt;="&amp;A107,dataMail!$H:$H,"&gt;"&amp;A107,dataMail!J:J,"DE")</f>
        <v>3</v>
      </c>
      <c r="D107" s="442">
        <f>4-COUNTIFS(dataMail!$C:$C,"&lt;&gt;Annulation",dataMail!$G:$G,"&lt;="&amp;A107,dataMail!$H:$H,"&gt;"&amp;A107,dataMail!J:J,"SU")-COUNTIFS(dataMail!$C:$C,"&lt;&gt;Annulation",dataMail!$G:$G,"&lt;="&amp;A107,dataMail!$H:$H,"&gt;"&amp;A107,dataMail!J:J,"SX")</f>
        <v>4</v>
      </c>
    </row>
    <row r="108">
      <c r="A108" s="441">
        <f t="shared" si="2"/>
        <v>46356</v>
      </c>
      <c r="B108" s="442">
        <f t="shared" si="1"/>
        <v>8</v>
      </c>
      <c r="C108" s="442">
        <f>5-COUNTIFS(dataMail!$C:$C,"&lt;&gt;Annulation",dataMail!$G:$G,"&lt;="&amp;A108,dataMail!$H:$H,"&gt;"&amp;A108,dataMail!J:J,"DE")</f>
        <v>4</v>
      </c>
      <c r="D108" s="442">
        <f>4-COUNTIFS(dataMail!$C:$C,"&lt;&gt;Annulation",dataMail!$G:$G,"&lt;="&amp;A108,dataMail!$H:$H,"&gt;"&amp;A108,dataMail!J:J,"SU")-COUNTIFS(dataMail!$C:$C,"&lt;&gt;Annulation",dataMail!$G:$G,"&lt;="&amp;A108,dataMail!$H:$H,"&gt;"&amp;A108,dataMail!J:J,"SX")</f>
        <v>4</v>
      </c>
    </row>
    <row r="109">
      <c r="A109" s="441">
        <f t="shared" si="2"/>
        <v>46357</v>
      </c>
      <c r="B109" s="442">
        <f t="shared" si="1"/>
        <v>8</v>
      </c>
      <c r="C109" s="442">
        <f>5-COUNTIFS(dataMail!$C:$C,"&lt;&gt;Annulation",dataMail!$G:$G,"&lt;="&amp;A109,dataMail!$H:$H,"&gt;"&amp;A109,dataMail!J:J,"DE")</f>
        <v>4</v>
      </c>
      <c r="D109" s="442">
        <f>4-COUNTIFS(dataMail!$C:$C,"&lt;&gt;Annulation",dataMail!$G:$G,"&lt;="&amp;A109,dataMail!$H:$H,"&gt;"&amp;A109,dataMail!J:J,"SU")-COUNTIFS(dataMail!$C:$C,"&lt;&gt;Annulation",dataMail!$G:$G,"&lt;="&amp;A109,dataMail!$H:$H,"&gt;"&amp;A109,dataMail!J:J,"SX")</f>
        <v>4</v>
      </c>
    </row>
    <row r="110">
      <c r="A110" s="441">
        <f t="shared" si="2"/>
        <v>46358</v>
      </c>
      <c r="B110" s="442">
        <f t="shared" si="1"/>
        <v>7</v>
      </c>
      <c r="C110" s="442">
        <f>5-COUNTIFS(dataMail!$C:$C,"&lt;&gt;Annulation",dataMail!$G:$G,"&lt;="&amp;A110,dataMail!$H:$H,"&gt;"&amp;A110,dataMail!J:J,"DE")</f>
        <v>4</v>
      </c>
      <c r="D110" s="442">
        <f>4-COUNTIFS(dataMail!$C:$C,"&lt;&gt;Annulation",dataMail!$G:$G,"&lt;="&amp;A110,dataMail!$H:$H,"&gt;"&amp;A110,dataMail!J:J,"SU")-COUNTIFS(dataMail!$C:$C,"&lt;&gt;Annulation",dataMail!$G:$G,"&lt;="&amp;A110,dataMail!$H:$H,"&gt;"&amp;A110,dataMail!J:J,"SX")</f>
        <v>3</v>
      </c>
    </row>
    <row r="111">
      <c r="A111" s="441">
        <f t="shared" si="2"/>
        <v>46359</v>
      </c>
      <c r="B111" s="442">
        <f t="shared" si="1"/>
        <v>7</v>
      </c>
      <c r="C111" s="442">
        <f>5-COUNTIFS(dataMail!$C:$C,"&lt;&gt;Annulation",dataMail!$G:$G,"&lt;="&amp;A111,dataMail!$H:$H,"&gt;"&amp;A111,dataMail!J:J,"DE")</f>
        <v>4</v>
      </c>
      <c r="D111" s="442">
        <f>4-COUNTIFS(dataMail!$C:$C,"&lt;&gt;Annulation",dataMail!$G:$G,"&lt;="&amp;A111,dataMail!$H:$H,"&gt;"&amp;A111,dataMail!J:J,"SU")-COUNTIFS(dataMail!$C:$C,"&lt;&gt;Annulation",dataMail!$G:$G,"&lt;="&amp;A111,dataMail!$H:$H,"&gt;"&amp;A111,dataMail!J:J,"SX")</f>
        <v>3</v>
      </c>
    </row>
    <row r="112">
      <c r="A112" s="441">
        <f t="shared" si="2"/>
        <v>46360</v>
      </c>
      <c r="B112" s="442">
        <f t="shared" si="1"/>
        <v>8</v>
      </c>
      <c r="C112" s="442">
        <f>5-COUNTIFS(dataMail!$C:$C,"&lt;&gt;Annulation",dataMail!$G:$G,"&lt;="&amp;A112,dataMail!$H:$H,"&gt;"&amp;A112,dataMail!J:J,"DE")</f>
        <v>5</v>
      </c>
      <c r="D112" s="442">
        <f>4-COUNTIFS(dataMail!$C:$C,"&lt;&gt;Annulation",dataMail!$G:$G,"&lt;="&amp;A112,dataMail!$H:$H,"&gt;"&amp;A112,dataMail!J:J,"SU")-COUNTIFS(dataMail!$C:$C,"&lt;&gt;Annulation",dataMail!$G:$G,"&lt;="&amp;A112,dataMail!$H:$H,"&gt;"&amp;A112,dataMail!J:J,"SX")</f>
        <v>3</v>
      </c>
    </row>
    <row r="113">
      <c r="A113" s="441">
        <f t="shared" si="2"/>
        <v>46361</v>
      </c>
      <c r="B113" s="442">
        <f t="shared" si="1"/>
        <v>8</v>
      </c>
      <c r="C113" s="442">
        <f>5-COUNTIFS(dataMail!$C:$C,"&lt;&gt;Annulation",dataMail!$G:$G,"&lt;="&amp;A113,dataMail!$H:$H,"&gt;"&amp;A113,dataMail!J:J,"DE")</f>
        <v>5</v>
      </c>
      <c r="D113" s="442">
        <f>4-COUNTIFS(dataMail!$C:$C,"&lt;&gt;Annulation",dataMail!$G:$G,"&lt;="&amp;A113,dataMail!$H:$H,"&gt;"&amp;A113,dataMail!J:J,"SU")-COUNTIFS(dataMail!$C:$C,"&lt;&gt;Annulation",dataMail!$G:$G,"&lt;="&amp;A113,dataMail!$H:$H,"&gt;"&amp;A113,dataMail!J:J,"SX")</f>
        <v>3</v>
      </c>
    </row>
    <row r="114">
      <c r="A114" s="441">
        <f t="shared" si="2"/>
        <v>46362</v>
      </c>
      <c r="B114" s="442">
        <f t="shared" si="1"/>
        <v>9</v>
      </c>
      <c r="C114" s="442">
        <f>5-COUNTIFS(dataMail!$C:$C,"&lt;&gt;Annulation",dataMail!$G:$G,"&lt;="&amp;A114,dataMail!$H:$H,"&gt;"&amp;A114,dataMail!J:J,"DE")</f>
        <v>5</v>
      </c>
      <c r="D114" s="442">
        <f>4-COUNTIFS(dataMail!$C:$C,"&lt;&gt;Annulation",dataMail!$G:$G,"&lt;="&amp;A114,dataMail!$H:$H,"&gt;"&amp;A114,dataMail!J:J,"SU")-COUNTIFS(dataMail!$C:$C,"&lt;&gt;Annulation",dataMail!$G:$G,"&lt;="&amp;A114,dataMail!$H:$H,"&gt;"&amp;A114,dataMail!J:J,"SX")</f>
        <v>4</v>
      </c>
    </row>
    <row r="115">
      <c r="A115" s="441">
        <f t="shared" si="2"/>
        <v>46363</v>
      </c>
      <c r="B115" s="442">
        <f t="shared" si="1"/>
        <v>9</v>
      </c>
      <c r="C115" s="442">
        <f>5-COUNTIFS(dataMail!$C:$C,"&lt;&gt;Annulation",dataMail!$G:$G,"&lt;="&amp;A115,dataMail!$H:$H,"&gt;"&amp;A115,dataMail!J:J,"DE")</f>
        <v>5</v>
      </c>
      <c r="D115" s="442">
        <f>4-COUNTIFS(dataMail!$C:$C,"&lt;&gt;Annulation",dataMail!$G:$G,"&lt;="&amp;A115,dataMail!$H:$H,"&gt;"&amp;A115,dataMail!J:J,"SU")-COUNTIFS(dataMail!$C:$C,"&lt;&gt;Annulation",dataMail!$G:$G,"&lt;="&amp;A115,dataMail!$H:$H,"&gt;"&amp;A115,dataMail!J:J,"SX")</f>
        <v>4</v>
      </c>
    </row>
    <row r="116">
      <c r="A116" s="441">
        <f t="shared" si="2"/>
        <v>46364</v>
      </c>
      <c r="B116" s="442">
        <f t="shared" si="1"/>
        <v>7</v>
      </c>
      <c r="C116" s="442">
        <f>5-COUNTIFS(dataMail!$C:$C,"&lt;&gt;Annulation",dataMail!$G:$G,"&lt;="&amp;A116,dataMail!$H:$H,"&gt;"&amp;A116,dataMail!J:J,"DE")</f>
        <v>3</v>
      </c>
      <c r="D116" s="442">
        <f>4-COUNTIFS(dataMail!$C:$C,"&lt;&gt;Annulation",dataMail!$G:$G,"&lt;="&amp;A116,dataMail!$H:$H,"&gt;"&amp;A116,dataMail!J:J,"SU")-COUNTIFS(dataMail!$C:$C,"&lt;&gt;Annulation",dataMail!$G:$G,"&lt;="&amp;A116,dataMail!$H:$H,"&gt;"&amp;A116,dataMail!J:J,"SX")</f>
        <v>4</v>
      </c>
    </row>
    <row r="117">
      <c r="A117" s="441">
        <f t="shared" si="2"/>
        <v>46365</v>
      </c>
      <c r="B117" s="442">
        <f t="shared" si="1"/>
        <v>5</v>
      </c>
      <c r="C117" s="442">
        <f>5-COUNTIFS(dataMail!$C:$C,"&lt;&gt;Annulation",dataMail!$G:$G,"&lt;="&amp;A117,dataMail!$H:$H,"&gt;"&amp;A117,dataMail!J:J,"DE")</f>
        <v>1</v>
      </c>
      <c r="D117" s="442">
        <f>4-COUNTIFS(dataMail!$C:$C,"&lt;&gt;Annulation",dataMail!$G:$G,"&lt;="&amp;A117,dataMail!$H:$H,"&gt;"&amp;A117,dataMail!J:J,"SU")-COUNTIFS(dataMail!$C:$C,"&lt;&gt;Annulation",dataMail!$G:$G,"&lt;="&amp;A117,dataMail!$H:$H,"&gt;"&amp;A117,dataMail!J:J,"SX")</f>
        <v>4</v>
      </c>
    </row>
    <row r="118">
      <c r="A118" s="441">
        <f t="shared" si="2"/>
        <v>46366</v>
      </c>
      <c r="B118" s="442">
        <f t="shared" si="1"/>
        <v>4</v>
      </c>
      <c r="C118" s="442">
        <f>5-COUNTIFS(dataMail!$C:$C,"&lt;&gt;Annulation",dataMail!$G:$G,"&lt;="&amp;A118,dataMail!$H:$H,"&gt;"&amp;A118,dataMail!J:J,"DE")</f>
        <v>0</v>
      </c>
      <c r="D118" s="442">
        <f>4-COUNTIFS(dataMail!$C:$C,"&lt;&gt;Annulation",dataMail!$G:$G,"&lt;="&amp;A118,dataMail!$H:$H,"&gt;"&amp;A118,dataMail!J:J,"SU")-COUNTIFS(dataMail!$C:$C,"&lt;&gt;Annulation",dataMail!$G:$G,"&lt;="&amp;A118,dataMail!$H:$H,"&gt;"&amp;A118,dataMail!J:J,"SX")</f>
        <v>4</v>
      </c>
    </row>
    <row r="119">
      <c r="A119" s="441">
        <f t="shared" si="2"/>
        <v>46367</v>
      </c>
      <c r="B119" s="442">
        <f t="shared" si="1"/>
        <v>4</v>
      </c>
      <c r="C119" s="442">
        <f>5-COUNTIFS(dataMail!$C:$C,"&lt;&gt;Annulation",dataMail!$G:$G,"&lt;="&amp;A119,dataMail!$H:$H,"&gt;"&amp;A119,dataMail!J:J,"DE")</f>
        <v>0</v>
      </c>
      <c r="D119" s="442">
        <f>4-COUNTIFS(dataMail!$C:$C,"&lt;&gt;Annulation",dataMail!$G:$G,"&lt;="&amp;A119,dataMail!$H:$H,"&gt;"&amp;A119,dataMail!J:J,"SU")-COUNTIFS(dataMail!$C:$C,"&lt;&gt;Annulation",dataMail!$G:$G,"&lt;="&amp;A119,dataMail!$H:$H,"&gt;"&amp;A119,dataMail!J:J,"SX")</f>
        <v>4</v>
      </c>
    </row>
    <row r="120">
      <c r="A120" s="441">
        <f t="shared" si="2"/>
        <v>46368</v>
      </c>
      <c r="B120" s="442">
        <f t="shared" si="1"/>
        <v>7</v>
      </c>
      <c r="C120" s="442">
        <f>5-COUNTIFS(dataMail!$C:$C,"&lt;&gt;Annulation",dataMail!$G:$G,"&lt;="&amp;A120,dataMail!$H:$H,"&gt;"&amp;A120,dataMail!J:J,"DE")</f>
        <v>3</v>
      </c>
      <c r="D120" s="442">
        <f>4-COUNTIFS(dataMail!$C:$C,"&lt;&gt;Annulation",dataMail!$G:$G,"&lt;="&amp;A120,dataMail!$H:$H,"&gt;"&amp;A120,dataMail!J:J,"SU")-COUNTIFS(dataMail!$C:$C,"&lt;&gt;Annulation",dataMail!$G:$G,"&lt;="&amp;A120,dataMail!$H:$H,"&gt;"&amp;A120,dataMail!J:J,"SX")</f>
        <v>4</v>
      </c>
    </row>
    <row r="121">
      <c r="A121" s="441">
        <f t="shared" si="2"/>
        <v>46369</v>
      </c>
      <c r="B121" s="442">
        <f t="shared" si="1"/>
        <v>8</v>
      </c>
      <c r="C121" s="442">
        <f>5-COUNTIFS(dataMail!$C:$C,"&lt;&gt;Annulation",dataMail!$G:$G,"&lt;="&amp;A121,dataMail!$H:$H,"&gt;"&amp;A121,dataMail!J:J,"DE")</f>
        <v>4</v>
      </c>
      <c r="D121" s="442">
        <f>4-COUNTIFS(dataMail!$C:$C,"&lt;&gt;Annulation",dataMail!$G:$G,"&lt;="&amp;A121,dataMail!$H:$H,"&gt;"&amp;A121,dataMail!J:J,"SU")-COUNTIFS(dataMail!$C:$C,"&lt;&gt;Annulation",dataMail!$G:$G,"&lt;="&amp;A121,dataMail!$H:$H,"&gt;"&amp;A121,dataMail!J:J,"SX")</f>
        <v>4</v>
      </c>
    </row>
    <row r="122">
      <c r="A122" s="441">
        <f t="shared" si="2"/>
        <v>46370</v>
      </c>
      <c r="B122" s="442">
        <f t="shared" si="1"/>
        <v>5</v>
      </c>
      <c r="C122" s="442">
        <f>5-COUNTIFS(dataMail!$C:$C,"&lt;&gt;Annulation",dataMail!$G:$G,"&lt;="&amp;A122,dataMail!$H:$H,"&gt;"&amp;A122,dataMail!J:J,"DE")</f>
        <v>1</v>
      </c>
      <c r="D122" s="442">
        <f>4-COUNTIFS(dataMail!$C:$C,"&lt;&gt;Annulation",dataMail!$G:$G,"&lt;="&amp;A122,dataMail!$H:$H,"&gt;"&amp;A122,dataMail!J:J,"SU")-COUNTIFS(dataMail!$C:$C,"&lt;&gt;Annulation",dataMail!$G:$G,"&lt;="&amp;A122,dataMail!$H:$H,"&gt;"&amp;A122,dataMail!J:J,"SX")</f>
        <v>4</v>
      </c>
    </row>
    <row r="123">
      <c r="A123" s="441">
        <f t="shared" si="2"/>
        <v>46371</v>
      </c>
      <c r="B123" s="442">
        <f t="shared" si="1"/>
        <v>5</v>
      </c>
      <c r="C123" s="442">
        <f>5-COUNTIFS(dataMail!$C:$C,"&lt;&gt;Annulation",dataMail!$G:$G,"&lt;="&amp;A123,dataMail!$H:$H,"&gt;"&amp;A123,dataMail!J:J,"DE")</f>
        <v>1</v>
      </c>
      <c r="D123" s="442">
        <f>4-COUNTIFS(dataMail!$C:$C,"&lt;&gt;Annulation",dataMail!$G:$G,"&lt;="&amp;A123,dataMail!$H:$H,"&gt;"&amp;A123,dataMail!J:J,"SU")-COUNTIFS(dataMail!$C:$C,"&lt;&gt;Annulation",dataMail!$G:$G,"&lt;="&amp;A123,dataMail!$H:$H,"&gt;"&amp;A123,dataMail!J:J,"SX")</f>
        <v>4</v>
      </c>
    </row>
    <row r="124">
      <c r="A124" s="441">
        <f t="shared" si="2"/>
        <v>46372</v>
      </c>
      <c r="B124" s="442">
        <f t="shared" si="1"/>
        <v>5</v>
      </c>
      <c r="C124" s="442">
        <f>5-COUNTIFS(dataMail!$C:$C,"&lt;&gt;Annulation",dataMail!$G:$G,"&lt;="&amp;A124,dataMail!$H:$H,"&gt;"&amp;A124,dataMail!J:J,"DE")</f>
        <v>2</v>
      </c>
      <c r="D124" s="442">
        <f>4-COUNTIFS(dataMail!$C:$C,"&lt;&gt;Annulation",dataMail!$G:$G,"&lt;="&amp;A124,dataMail!$H:$H,"&gt;"&amp;A124,dataMail!J:J,"SU")-COUNTIFS(dataMail!$C:$C,"&lt;&gt;Annulation",dataMail!$G:$G,"&lt;="&amp;A124,dataMail!$H:$H,"&gt;"&amp;A124,dataMail!J:J,"SX")</f>
        <v>3</v>
      </c>
    </row>
    <row r="125">
      <c r="A125" s="441">
        <f t="shared" si="2"/>
        <v>46373</v>
      </c>
      <c r="B125" s="442">
        <f t="shared" si="1"/>
        <v>8</v>
      </c>
      <c r="C125" s="442">
        <f>5-COUNTIFS(dataMail!$C:$C,"&lt;&gt;Annulation",dataMail!$G:$G,"&lt;="&amp;A125,dataMail!$H:$H,"&gt;"&amp;A125,dataMail!J:J,"DE")</f>
        <v>5</v>
      </c>
      <c r="D125" s="442">
        <f>4-COUNTIFS(dataMail!$C:$C,"&lt;&gt;Annulation",dataMail!$G:$G,"&lt;="&amp;A125,dataMail!$H:$H,"&gt;"&amp;A125,dataMail!J:J,"SU")-COUNTIFS(dataMail!$C:$C,"&lt;&gt;Annulation",dataMail!$G:$G,"&lt;="&amp;A125,dataMail!$H:$H,"&gt;"&amp;A125,dataMail!J:J,"SX")</f>
        <v>3</v>
      </c>
    </row>
    <row r="126">
      <c r="A126" s="441">
        <f t="shared" si="2"/>
        <v>46374</v>
      </c>
      <c r="B126" s="442">
        <f t="shared" si="1"/>
        <v>8</v>
      </c>
      <c r="C126" s="442">
        <f>5-COUNTIFS(dataMail!$C:$C,"&lt;&gt;Annulation",dataMail!$G:$G,"&lt;="&amp;A126,dataMail!$H:$H,"&gt;"&amp;A126,dataMail!J:J,"DE")</f>
        <v>5</v>
      </c>
      <c r="D126" s="442">
        <f>4-COUNTIFS(dataMail!$C:$C,"&lt;&gt;Annulation",dataMail!$G:$G,"&lt;="&amp;A126,dataMail!$H:$H,"&gt;"&amp;A126,dataMail!J:J,"SU")-COUNTIFS(dataMail!$C:$C,"&lt;&gt;Annulation",dataMail!$G:$G,"&lt;="&amp;A126,dataMail!$H:$H,"&gt;"&amp;A126,dataMail!J:J,"SX")</f>
        <v>3</v>
      </c>
    </row>
    <row r="127">
      <c r="A127" s="441">
        <f t="shared" si="2"/>
        <v>46375</v>
      </c>
      <c r="B127" s="442">
        <f t="shared" si="1"/>
        <v>9</v>
      </c>
      <c r="C127" s="442">
        <f>5-COUNTIFS(dataMail!$C:$C,"&lt;&gt;Annulation",dataMail!$G:$G,"&lt;="&amp;A127,dataMail!$H:$H,"&gt;"&amp;A127,dataMail!J:J,"DE")</f>
        <v>5</v>
      </c>
      <c r="D127" s="442">
        <f>4-COUNTIFS(dataMail!$C:$C,"&lt;&gt;Annulation",dataMail!$G:$G,"&lt;="&amp;A127,dataMail!$H:$H,"&gt;"&amp;A127,dataMail!J:J,"SU")-COUNTIFS(dataMail!$C:$C,"&lt;&gt;Annulation",dataMail!$G:$G,"&lt;="&amp;A127,dataMail!$H:$H,"&gt;"&amp;A127,dataMail!J:J,"SX")</f>
        <v>4</v>
      </c>
    </row>
    <row r="128">
      <c r="A128" s="441">
        <f t="shared" si="2"/>
        <v>46376</v>
      </c>
      <c r="B128" s="442">
        <f t="shared" si="1"/>
        <v>9</v>
      </c>
      <c r="C128" s="442">
        <f>5-COUNTIFS(dataMail!$C:$C,"&lt;&gt;Annulation",dataMail!$G:$G,"&lt;="&amp;A128,dataMail!$H:$H,"&gt;"&amp;A128,dataMail!J:J,"DE")</f>
        <v>5</v>
      </c>
      <c r="D128" s="442">
        <f>4-COUNTIFS(dataMail!$C:$C,"&lt;&gt;Annulation",dataMail!$G:$G,"&lt;="&amp;A128,dataMail!$H:$H,"&gt;"&amp;A128,dataMail!J:J,"SU")-COUNTIFS(dataMail!$C:$C,"&lt;&gt;Annulation",dataMail!$G:$G,"&lt;="&amp;A128,dataMail!$H:$H,"&gt;"&amp;A128,dataMail!J:J,"SX")</f>
        <v>4</v>
      </c>
    </row>
    <row r="129">
      <c r="A129" s="441">
        <f t="shared" si="2"/>
        <v>46377</v>
      </c>
      <c r="B129" s="442">
        <f t="shared" si="1"/>
        <v>8</v>
      </c>
      <c r="C129" s="442">
        <f>5-COUNTIFS(dataMail!$C:$C,"&lt;&gt;Annulation",dataMail!$G:$G,"&lt;="&amp;A129,dataMail!$H:$H,"&gt;"&amp;A129,dataMail!J:J,"DE")</f>
        <v>5</v>
      </c>
      <c r="D129" s="442">
        <f>4-COUNTIFS(dataMail!$C:$C,"&lt;&gt;Annulation",dataMail!$G:$G,"&lt;="&amp;A129,dataMail!$H:$H,"&gt;"&amp;A129,dataMail!J:J,"SU")-COUNTIFS(dataMail!$C:$C,"&lt;&gt;Annulation",dataMail!$G:$G,"&lt;="&amp;A129,dataMail!$H:$H,"&gt;"&amp;A129,dataMail!J:J,"SX")</f>
        <v>3</v>
      </c>
    </row>
    <row r="130">
      <c r="A130" s="441">
        <f t="shared" si="2"/>
        <v>46378</v>
      </c>
      <c r="B130" s="442">
        <f t="shared" si="1"/>
        <v>4</v>
      </c>
      <c r="C130" s="442">
        <f>5-COUNTIFS(dataMail!$C:$C,"&lt;&gt;Annulation",dataMail!$G:$G,"&lt;="&amp;A130,dataMail!$H:$H,"&gt;"&amp;A130,dataMail!J:J,"DE")</f>
        <v>2</v>
      </c>
      <c r="D130" s="442">
        <f>4-COUNTIFS(dataMail!$C:$C,"&lt;&gt;Annulation",dataMail!$G:$G,"&lt;="&amp;A130,dataMail!$H:$H,"&gt;"&amp;A130,dataMail!J:J,"SU")-COUNTIFS(dataMail!$C:$C,"&lt;&gt;Annulation",dataMail!$G:$G,"&lt;="&amp;A130,dataMail!$H:$H,"&gt;"&amp;A130,dataMail!J:J,"SX")</f>
        <v>2</v>
      </c>
    </row>
    <row r="131">
      <c r="A131" s="441">
        <f t="shared" si="2"/>
        <v>46379</v>
      </c>
      <c r="B131" s="442">
        <f t="shared" si="1"/>
        <v>5</v>
      </c>
      <c r="C131" s="442">
        <f>5-COUNTIFS(dataMail!$C:$C,"&lt;&gt;Annulation",dataMail!$G:$G,"&lt;="&amp;A131,dataMail!$H:$H,"&gt;"&amp;A131,dataMail!J:J,"DE")</f>
        <v>2</v>
      </c>
      <c r="D131" s="442">
        <f>4-COUNTIFS(dataMail!$C:$C,"&lt;&gt;Annulation",dataMail!$G:$G,"&lt;="&amp;A131,dataMail!$H:$H,"&gt;"&amp;A131,dataMail!J:J,"SU")-COUNTIFS(dataMail!$C:$C,"&lt;&gt;Annulation",dataMail!$G:$G,"&lt;="&amp;A131,dataMail!$H:$H,"&gt;"&amp;A131,dataMail!J:J,"SX")</f>
        <v>3</v>
      </c>
    </row>
    <row r="132">
      <c r="A132" s="441">
        <f t="shared" si="2"/>
        <v>46380</v>
      </c>
      <c r="B132" s="442">
        <f t="shared" si="1"/>
        <v>-1</v>
      </c>
      <c r="C132" s="442">
        <f>5-COUNTIFS(dataMail!$C:$C,"&lt;&gt;Annulation",dataMail!$G:$G,"&lt;="&amp;A132,dataMail!$H:$H,"&gt;"&amp;A132,dataMail!J:J,"DE")</f>
        <v>-1</v>
      </c>
      <c r="D132" s="442">
        <f>4-COUNTIFS(dataMail!$C:$C,"&lt;&gt;Annulation",dataMail!$G:$G,"&lt;="&amp;A132,dataMail!$H:$H,"&gt;"&amp;A132,dataMail!J:J,"SU")-COUNTIFS(dataMail!$C:$C,"&lt;&gt;Annulation",dataMail!$G:$G,"&lt;="&amp;A132,dataMail!$H:$H,"&gt;"&amp;A132,dataMail!J:J,"SX")</f>
        <v>0</v>
      </c>
    </row>
    <row r="133">
      <c r="A133" s="441">
        <f t="shared" si="2"/>
        <v>46381</v>
      </c>
      <c r="B133" s="442">
        <f t="shared" si="1"/>
        <v>-1</v>
      </c>
      <c r="C133" s="442">
        <f>5-COUNTIFS(dataMail!$C:$C,"&lt;&gt;Annulation",dataMail!$G:$G,"&lt;="&amp;A133,dataMail!$H:$H,"&gt;"&amp;A133,dataMail!J:J,"DE")</f>
        <v>-1</v>
      </c>
      <c r="D133" s="442">
        <f>4-COUNTIFS(dataMail!$C:$C,"&lt;&gt;Annulation",dataMail!$G:$G,"&lt;="&amp;A133,dataMail!$H:$H,"&gt;"&amp;A133,dataMail!J:J,"SU")-COUNTIFS(dataMail!$C:$C,"&lt;&gt;Annulation",dataMail!$G:$G,"&lt;="&amp;A133,dataMail!$H:$H,"&gt;"&amp;A133,dataMail!J:J,"SX")</f>
        <v>0</v>
      </c>
    </row>
    <row r="134">
      <c r="A134" s="441">
        <f t="shared" si="2"/>
        <v>46382</v>
      </c>
      <c r="B134" s="442">
        <f t="shared" si="1"/>
        <v>-6</v>
      </c>
      <c r="C134" s="442">
        <f>5-COUNTIFS(dataMail!$C:$C,"&lt;&gt;Annulation",dataMail!$G:$G,"&lt;="&amp;A134,dataMail!$H:$H,"&gt;"&amp;A134,dataMail!J:J,"DE")</f>
        <v>-3</v>
      </c>
      <c r="D134" s="442">
        <f>4-COUNTIFS(dataMail!$C:$C,"&lt;&gt;Annulation",dataMail!$G:$G,"&lt;="&amp;A134,dataMail!$H:$H,"&gt;"&amp;A134,dataMail!J:J,"SU")-COUNTIFS(dataMail!$C:$C,"&lt;&gt;Annulation",dataMail!$G:$G,"&lt;="&amp;A134,dataMail!$H:$H,"&gt;"&amp;A134,dataMail!J:J,"SX")</f>
        <v>-3</v>
      </c>
    </row>
    <row r="135">
      <c r="A135" s="441">
        <f t="shared" si="2"/>
        <v>46383</v>
      </c>
      <c r="B135" s="442">
        <f t="shared" si="1"/>
        <v>0</v>
      </c>
      <c r="C135" s="442">
        <f>5-COUNTIFS(dataMail!$C:$C,"&lt;&gt;Annulation",dataMail!$G:$G,"&lt;="&amp;A135,dataMail!$H:$H,"&gt;"&amp;A135,dataMail!J:J,"DE")</f>
        <v>0</v>
      </c>
      <c r="D135" s="442">
        <f>4-COUNTIFS(dataMail!$C:$C,"&lt;&gt;Annulation",dataMail!$G:$G,"&lt;="&amp;A135,dataMail!$H:$H,"&gt;"&amp;A135,dataMail!J:J,"SU")-COUNTIFS(dataMail!$C:$C,"&lt;&gt;Annulation",dataMail!$G:$G,"&lt;="&amp;A135,dataMail!$H:$H,"&gt;"&amp;A135,dataMail!J:J,"SX")</f>
        <v>0</v>
      </c>
    </row>
    <row r="136">
      <c r="A136" s="441">
        <f t="shared" si="2"/>
        <v>46384</v>
      </c>
      <c r="B136" s="442">
        <f t="shared" si="1"/>
        <v>2</v>
      </c>
      <c r="C136" s="442">
        <f>5-COUNTIFS(dataMail!$C:$C,"&lt;&gt;Annulation",dataMail!$G:$G,"&lt;="&amp;A136,dataMail!$H:$H,"&gt;"&amp;A136,dataMail!J:J,"DE")</f>
        <v>1</v>
      </c>
      <c r="D136" s="442">
        <f>4-COUNTIFS(dataMail!$C:$C,"&lt;&gt;Annulation",dataMail!$G:$G,"&lt;="&amp;A136,dataMail!$H:$H,"&gt;"&amp;A136,dataMail!J:J,"SU")-COUNTIFS(dataMail!$C:$C,"&lt;&gt;Annulation",dataMail!$G:$G,"&lt;="&amp;A136,dataMail!$H:$H,"&gt;"&amp;A136,dataMail!J:J,"SX")</f>
        <v>1</v>
      </c>
    </row>
    <row r="137">
      <c r="A137" s="441">
        <f t="shared" si="2"/>
        <v>46385</v>
      </c>
      <c r="B137" s="442">
        <f t="shared" si="1"/>
        <v>6</v>
      </c>
      <c r="C137" s="442">
        <f>5-COUNTIFS(dataMail!$C:$C,"&lt;&gt;Annulation",dataMail!$G:$G,"&lt;="&amp;A137,dataMail!$H:$H,"&gt;"&amp;A137,dataMail!J:J,"DE")</f>
        <v>4</v>
      </c>
      <c r="D137" s="442">
        <f>4-COUNTIFS(dataMail!$C:$C,"&lt;&gt;Annulation",dataMail!$G:$G,"&lt;="&amp;A137,dataMail!$H:$H,"&gt;"&amp;A137,dataMail!J:J,"SU")-COUNTIFS(dataMail!$C:$C,"&lt;&gt;Annulation",dataMail!$G:$G,"&lt;="&amp;A137,dataMail!$H:$H,"&gt;"&amp;A137,dataMail!J:J,"SX")</f>
        <v>2</v>
      </c>
    </row>
    <row r="138">
      <c r="A138" s="441">
        <f t="shared" si="2"/>
        <v>46386</v>
      </c>
      <c r="B138" s="442">
        <f t="shared" si="1"/>
        <v>7</v>
      </c>
      <c r="C138" s="442">
        <f>5-COUNTIFS(dataMail!$C:$C,"&lt;&gt;Annulation",dataMail!$G:$G,"&lt;="&amp;A138,dataMail!$H:$H,"&gt;"&amp;A138,dataMail!J:J,"DE")</f>
        <v>5</v>
      </c>
      <c r="D138" s="442">
        <f>4-COUNTIFS(dataMail!$C:$C,"&lt;&gt;Annulation",dataMail!$G:$G,"&lt;="&amp;A138,dataMail!$H:$H,"&gt;"&amp;A138,dataMail!J:J,"SU")-COUNTIFS(dataMail!$C:$C,"&lt;&gt;Annulation",dataMail!$G:$G,"&lt;="&amp;A138,dataMail!$H:$H,"&gt;"&amp;A138,dataMail!J:J,"SX")</f>
        <v>2</v>
      </c>
    </row>
    <row r="139">
      <c r="A139" s="441">
        <f t="shared" si="2"/>
        <v>46387</v>
      </c>
      <c r="B139" s="442">
        <f t="shared" si="1"/>
        <v>6</v>
      </c>
      <c r="C139" s="442">
        <f>5-COUNTIFS(dataMail!$C:$C,"&lt;&gt;Annulation",dataMail!$G:$G,"&lt;="&amp;A139,dataMail!$H:$H,"&gt;"&amp;A139,dataMail!J:J,"DE")</f>
        <v>3</v>
      </c>
      <c r="D139" s="442">
        <f>4-COUNTIFS(dataMail!$C:$C,"&lt;&gt;Annulation",dataMail!$G:$G,"&lt;="&amp;A139,dataMail!$H:$H,"&gt;"&amp;A139,dataMail!J:J,"SU")-COUNTIFS(dataMail!$C:$C,"&lt;&gt;Annulation",dataMail!$G:$G,"&lt;="&amp;A139,dataMail!$H:$H,"&gt;"&amp;A139,dataMail!J:J,"SX")</f>
        <v>3</v>
      </c>
    </row>
    <row r="140">
      <c r="A140" s="441">
        <f t="shared" si="2"/>
        <v>46388</v>
      </c>
      <c r="B140" s="442">
        <f t="shared" si="1"/>
        <v>6</v>
      </c>
      <c r="C140" s="442">
        <f>5-COUNTIFS(dataMail!$C:$C,"&lt;&gt;Annulation",dataMail!$G:$G,"&lt;="&amp;A140,dataMail!$H:$H,"&gt;"&amp;A140,dataMail!J:J,"DE")</f>
        <v>3</v>
      </c>
      <c r="D140" s="442">
        <f>4-COUNTIFS(dataMail!$C:$C,"&lt;&gt;Annulation",dataMail!$G:$G,"&lt;="&amp;A140,dataMail!$H:$H,"&gt;"&amp;A140,dataMail!J:J,"SU")-COUNTIFS(dataMail!$C:$C,"&lt;&gt;Annulation",dataMail!$G:$G,"&lt;="&amp;A140,dataMail!$H:$H,"&gt;"&amp;A140,dataMail!J:J,"SX")</f>
        <v>3</v>
      </c>
    </row>
    <row r="141">
      <c r="A141" s="441">
        <f t="shared" si="2"/>
        <v>46389</v>
      </c>
      <c r="B141" s="442">
        <f t="shared" si="1"/>
        <v>5</v>
      </c>
      <c r="C141" s="442">
        <f>5-COUNTIFS(dataMail!$C:$C,"&lt;&gt;Annulation",dataMail!$G:$G,"&lt;="&amp;A141,dataMail!$H:$H,"&gt;"&amp;A141,dataMail!J:J,"DE")</f>
        <v>3</v>
      </c>
      <c r="D141" s="442">
        <f>4-COUNTIFS(dataMail!$C:$C,"&lt;&gt;Annulation",dataMail!$G:$G,"&lt;="&amp;A141,dataMail!$H:$H,"&gt;"&amp;A141,dataMail!J:J,"SU")-COUNTIFS(dataMail!$C:$C,"&lt;&gt;Annulation",dataMail!$G:$G,"&lt;="&amp;A141,dataMail!$H:$H,"&gt;"&amp;A141,dataMail!J:J,"SX")</f>
        <v>2</v>
      </c>
    </row>
    <row r="142">
      <c r="A142" s="441">
        <f t="shared" si="2"/>
        <v>46390</v>
      </c>
      <c r="B142" s="442">
        <f t="shared" si="1"/>
        <v>4</v>
      </c>
      <c r="C142" s="442">
        <f>5-COUNTIFS(dataMail!$C:$C,"&lt;&gt;Annulation",dataMail!$G:$G,"&lt;="&amp;A142,dataMail!$H:$H,"&gt;"&amp;A142,dataMail!J:J,"DE")</f>
        <v>2</v>
      </c>
      <c r="D142" s="442">
        <f>4-COUNTIFS(dataMail!$C:$C,"&lt;&gt;Annulation",dataMail!$G:$G,"&lt;="&amp;A142,dataMail!$H:$H,"&gt;"&amp;A142,dataMail!J:J,"SU")-COUNTIFS(dataMail!$C:$C,"&lt;&gt;Annulation",dataMail!$G:$G,"&lt;="&amp;A142,dataMail!$H:$H,"&gt;"&amp;A142,dataMail!J:J,"SX")</f>
        <v>2</v>
      </c>
    </row>
    <row r="143">
      <c r="A143" s="441">
        <f t="shared" si="2"/>
        <v>46391</v>
      </c>
      <c r="B143" s="442">
        <f t="shared" si="1"/>
        <v>0</v>
      </c>
      <c r="C143" s="442">
        <f>5-COUNTIFS(dataMail!$C:$C,"&lt;&gt;Annulation",dataMail!$G:$G,"&lt;="&amp;A143,dataMail!$H:$H,"&gt;"&amp;A143,dataMail!J:J,"DE")</f>
        <v>-1</v>
      </c>
      <c r="D143" s="442">
        <f>4-COUNTIFS(dataMail!$C:$C,"&lt;&gt;Annulation",dataMail!$G:$G,"&lt;="&amp;A143,dataMail!$H:$H,"&gt;"&amp;A143,dataMail!J:J,"SU")-COUNTIFS(dataMail!$C:$C,"&lt;&gt;Annulation",dataMail!$G:$G,"&lt;="&amp;A143,dataMail!$H:$H,"&gt;"&amp;A143,dataMail!J:J,"SX")</f>
        <v>1</v>
      </c>
    </row>
    <row r="144">
      <c r="A144" s="441">
        <f t="shared" si="2"/>
        <v>46392</v>
      </c>
      <c r="B144" s="442">
        <f t="shared" si="1"/>
        <v>-1</v>
      </c>
      <c r="C144" s="442">
        <f>5-COUNTIFS(dataMail!$C:$C,"&lt;&gt;Annulation",dataMail!$G:$G,"&lt;="&amp;A144,dataMail!$H:$H,"&gt;"&amp;A144,dataMail!J:J,"DE")</f>
        <v>-1</v>
      </c>
      <c r="D144" s="442">
        <f>4-COUNTIFS(dataMail!$C:$C,"&lt;&gt;Annulation",dataMail!$G:$G,"&lt;="&amp;A144,dataMail!$H:$H,"&gt;"&amp;A144,dataMail!J:J,"SU")-COUNTIFS(dataMail!$C:$C,"&lt;&gt;Annulation",dataMail!$G:$G,"&lt;="&amp;A144,dataMail!$H:$H,"&gt;"&amp;A144,dataMail!J:J,"SX")</f>
        <v>0</v>
      </c>
    </row>
    <row r="145">
      <c r="A145" s="441">
        <f t="shared" si="2"/>
        <v>46393</v>
      </c>
      <c r="B145" s="442">
        <f t="shared" si="1"/>
        <v>0</v>
      </c>
      <c r="C145" s="442">
        <f>5-COUNTIFS(dataMail!$C:$C,"&lt;&gt;Annulation",dataMail!$G:$G,"&lt;="&amp;A145,dataMail!$H:$H,"&gt;"&amp;A145,dataMail!J:J,"DE")</f>
        <v>0</v>
      </c>
      <c r="D145" s="442">
        <f>4-COUNTIFS(dataMail!$C:$C,"&lt;&gt;Annulation",dataMail!$G:$G,"&lt;="&amp;A145,dataMail!$H:$H,"&gt;"&amp;A145,dataMail!J:J,"SU")-COUNTIFS(dataMail!$C:$C,"&lt;&gt;Annulation",dataMail!$G:$G,"&lt;="&amp;A145,dataMail!$H:$H,"&gt;"&amp;A145,dataMail!J:J,"SX")</f>
        <v>0</v>
      </c>
    </row>
    <row r="146">
      <c r="A146" s="441">
        <f t="shared" si="2"/>
        <v>46394</v>
      </c>
      <c r="B146" s="442">
        <f t="shared" si="1"/>
        <v>4</v>
      </c>
      <c r="C146" s="442">
        <f>5-COUNTIFS(dataMail!$C:$C,"&lt;&gt;Annulation",dataMail!$G:$G,"&lt;="&amp;A146,dataMail!$H:$H,"&gt;"&amp;A146,dataMail!J:J,"DE")</f>
        <v>2</v>
      </c>
      <c r="D146" s="442">
        <f>4-COUNTIFS(dataMail!$C:$C,"&lt;&gt;Annulation",dataMail!$G:$G,"&lt;="&amp;A146,dataMail!$H:$H,"&gt;"&amp;A146,dataMail!J:J,"SU")-COUNTIFS(dataMail!$C:$C,"&lt;&gt;Annulation",dataMail!$G:$G,"&lt;="&amp;A146,dataMail!$H:$H,"&gt;"&amp;A146,dataMail!J:J,"SX")</f>
        <v>2</v>
      </c>
    </row>
    <row r="147">
      <c r="A147" s="441">
        <f t="shared" si="2"/>
        <v>46395</v>
      </c>
      <c r="B147" s="442">
        <f t="shared" si="1"/>
        <v>4</v>
      </c>
      <c r="C147" s="442">
        <f>5-COUNTIFS(dataMail!$C:$C,"&lt;&gt;Annulation",dataMail!$G:$G,"&lt;="&amp;A147,dataMail!$H:$H,"&gt;"&amp;A147,dataMail!J:J,"DE")</f>
        <v>2</v>
      </c>
      <c r="D147" s="442">
        <f>4-COUNTIFS(dataMail!$C:$C,"&lt;&gt;Annulation",dataMail!$G:$G,"&lt;="&amp;A147,dataMail!$H:$H,"&gt;"&amp;A147,dataMail!J:J,"SU")-COUNTIFS(dataMail!$C:$C,"&lt;&gt;Annulation",dataMail!$G:$G,"&lt;="&amp;A147,dataMail!$H:$H,"&gt;"&amp;A147,dataMail!J:J,"SX")</f>
        <v>2</v>
      </c>
    </row>
    <row r="148">
      <c r="A148" s="441">
        <f t="shared" si="2"/>
        <v>46396</v>
      </c>
      <c r="B148" s="442">
        <f t="shared" si="1"/>
        <v>7</v>
      </c>
      <c r="C148" s="442">
        <f>5-COUNTIFS(dataMail!$C:$C,"&lt;&gt;Annulation",dataMail!$G:$G,"&lt;="&amp;A148,dataMail!$H:$H,"&gt;"&amp;A148,dataMail!J:J,"DE")</f>
        <v>4</v>
      </c>
      <c r="D148" s="442">
        <f>4-COUNTIFS(dataMail!$C:$C,"&lt;&gt;Annulation",dataMail!$G:$G,"&lt;="&amp;A148,dataMail!$H:$H,"&gt;"&amp;A148,dataMail!J:J,"SU")-COUNTIFS(dataMail!$C:$C,"&lt;&gt;Annulation",dataMail!$G:$G,"&lt;="&amp;A148,dataMail!$H:$H,"&gt;"&amp;A148,dataMail!J:J,"SX")</f>
        <v>3</v>
      </c>
    </row>
    <row r="149">
      <c r="A149" s="441">
        <f t="shared" si="2"/>
        <v>46397</v>
      </c>
      <c r="B149" s="442">
        <f t="shared" si="1"/>
        <v>7</v>
      </c>
      <c r="C149" s="442">
        <f>5-COUNTIFS(dataMail!$C:$C,"&lt;&gt;Annulation",dataMail!$G:$G,"&lt;="&amp;A149,dataMail!$H:$H,"&gt;"&amp;A149,dataMail!J:J,"DE")</f>
        <v>4</v>
      </c>
      <c r="D149" s="442">
        <f>4-COUNTIFS(dataMail!$C:$C,"&lt;&gt;Annulation",dataMail!$G:$G,"&lt;="&amp;A149,dataMail!$H:$H,"&gt;"&amp;A149,dataMail!J:J,"SU")-COUNTIFS(dataMail!$C:$C,"&lt;&gt;Annulation",dataMail!$G:$G,"&lt;="&amp;A149,dataMail!$H:$H,"&gt;"&amp;A149,dataMail!J:J,"SX")</f>
        <v>3</v>
      </c>
    </row>
    <row r="150">
      <c r="A150" s="441">
        <f t="shared" si="2"/>
        <v>46398</v>
      </c>
      <c r="B150" s="442">
        <f t="shared" si="1"/>
        <v>7</v>
      </c>
      <c r="C150" s="442">
        <f>5-COUNTIFS(dataMail!$C:$C,"&lt;&gt;Annulation",dataMail!$G:$G,"&lt;="&amp;A150,dataMail!$H:$H,"&gt;"&amp;A150,dataMail!J:J,"DE")</f>
        <v>4</v>
      </c>
      <c r="D150" s="442">
        <f>4-COUNTIFS(dataMail!$C:$C,"&lt;&gt;Annulation",dataMail!$G:$G,"&lt;="&amp;A150,dataMail!$H:$H,"&gt;"&amp;A150,dataMail!J:J,"SU")-COUNTIFS(dataMail!$C:$C,"&lt;&gt;Annulation",dataMail!$G:$G,"&lt;="&amp;A150,dataMail!$H:$H,"&gt;"&amp;A150,dataMail!J:J,"SX")</f>
        <v>3</v>
      </c>
    </row>
    <row r="151">
      <c r="A151" s="441">
        <f t="shared" si="2"/>
        <v>46399</v>
      </c>
      <c r="B151" s="442">
        <f t="shared" si="1"/>
        <v>8</v>
      </c>
      <c r="C151" s="442">
        <f>5-COUNTIFS(dataMail!$C:$C,"&lt;&gt;Annulation",dataMail!$G:$G,"&lt;="&amp;A151,dataMail!$H:$H,"&gt;"&amp;A151,dataMail!J:J,"DE")</f>
        <v>5</v>
      </c>
      <c r="D151" s="442">
        <f>4-COUNTIFS(dataMail!$C:$C,"&lt;&gt;Annulation",dataMail!$G:$G,"&lt;="&amp;A151,dataMail!$H:$H,"&gt;"&amp;A151,dataMail!J:J,"SU")-COUNTIFS(dataMail!$C:$C,"&lt;&gt;Annulation",dataMail!$G:$G,"&lt;="&amp;A151,dataMail!$H:$H,"&gt;"&amp;A151,dataMail!J:J,"SX")</f>
        <v>3</v>
      </c>
    </row>
    <row r="152">
      <c r="A152" s="441">
        <f t="shared" si="2"/>
        <v>46400</v>
      </c>
      <c r="B152" s="442">
        <f t="shared" si="1"/>
        <v>8</v>
      </c>
      <c r="C152" s="442">
        <f>5-COUNTIFS(dataMail!$C:$C,"&lt;&gt;Annulation",dataMail!$G:$G,"&lt;="&amp;A152,dataMail!$H:$H,"&gt;"&amp;A152,dataMail!J:J,"DE")</f>
        <v>5</v>
      </c>
      <c r="D152" s="442">
        <f>4-COUNTIFS(dataMail!$C:$C,"&lt;&gt;Annulation",dataMail!$G:$G,"&lt;="&amp;A152,dataMail!$H:$H,"&gt;"&amp;A152,dataMail!J:J,"SU")-COUNTIFS(dataMail!$C:$C,"&lt;&gt;Annulation",dataMail!$G:$G,"&lt;="&amp;A152,dataMail!$H:$H,"&gt;"&amp;A152,dataMail!J:J,"SX")</f>
        <v>3</v>
      </c>
    </row>
    <row r="153">
      <c r="A153" s="441">
        <f t="shared" si="2"/>
        <v>46401</v>
      </c>
      <c r="B153" s="442">
        <f t="shared" si="1"/>
        <v>8</v>
      </c>
      <c r="C153" s="442">
        <f>5-COUNTIFS(dataMail!$C:$C,"&lt;&gt;Annulation",dataMail!$G:$G,"&lt;="&amp;A153,dataMail!$H:$H,"&gt;"&amp;A153,dataMail!J:J,"DE")</f>
        <v>5</v>
      </c>
      <c r="D153" s="442">
        <f>4-COUNTIFS(dataMail!$C:$C,"&lt;&gt;Annulation",dataMail!$G:$G,"&lt;="&amp;A153,dataMail!$H:$H,"&gt;"&amp;A153,dataMail!J:J,"SU")-COUNTIFS(dataMail!$C:$C,"&lt;&gt;Annulation",dataMail!$G:$G,"&lt;="&amp;A153,dataMail!$H:$H,"&gt;"&amp;A153,dataMail!J:J,"SX")</f>
        <v>3</v>
      </c>
    </row>
    <row r="154">
      <c r="A154" s="441">
        <f t="shared" si="2"/>
        <v>46402</v>
      </c>
      <c r="B154" s="442">
        <f t="shared" si="1"/>
        <v>8</v>
      </c>
      <c r="C154" s="442">
        <f>5-COUNTIFS(dataMail!$C:$C,"&lt;&gt;Annulation",dataMail!$G:$G,"&lt;="&amp;A154,dataMail!$H:$H,"&gt;"&amp;A154,dataMail!J:J,"DE")</f>
        <v>4</v>
      </c>
      <c r="D154" s="442">
        <f>4-COUNTIFS(dataMail!$C:$C,"&lt;&gt;Annulation",dataMail!$G:$G,"&lt;="&amp;A154,dataMail!$H:$H,"&gt;"&amp;A154,dataMail!J:J,"SU")-COUNTIFS(dataMail!$C:$C,"&lt;&gt;Annulation",dataMail!$G:$G,"&lt;="&amp;A154,dataMail!$H:$H,"&gt;"&amp;A154,dataMail!J:J,"SX")</f>
        <v>4</v>
      </c>
    </row>
    <row r="155">
      <c r="A155" s="441">
        <f t="shared" si="2"/>
        <v>46403</v>
      </c>
      <c r="B155" s="442">
        <f t="shared" si="1"/>
        <v>8</v>
      </c>
      <c r="C155" s="442">
        <f>5-COUNTIFS(dataMail!$C:$C,"&lt;&gt;Annulation",dataMail!$G:$G,"&lt;="&amp;A155,dataMail!$H:$H,"&gt;"&amp;A155,dataMail!J:J,"DE")</f>
        <v>4</v>
      </c>
      <c r="D155" s="442">
        <f>4-COUNTIFS(dataMail!$C:$C,"&lt;&gt;Annulation",dataMail!$G:$G,"&lt;="&amp;A155,dataMail!$H:$H,"&gt;"&amp;A155,dataMail!J:J,"SU")-COUNTIFS(dataMail!$C:$C,"&lt;&gt;Annulation",dataMail!$G:$G,"&lt;="&amp;A155,dataMail!$H:$H,"&gt;"&amp;A155,dataMail!J:J,"SX")</f>
        <v>4</v>
      </c>
    </row>
    <row r="156">
      <c r="A156" s="441">
        <f t="shared" si="2"/>
        <v>46404</v>
      </c>
      <c r="B156" s="442">
        <f t="shared" si="1"/>
        <v>8</v>
      </c>
      <c r="C156" s="442">
        <f>5-COUNTIFS(dataMail!$C:$C,"&lt;&gt;Annulation",dataMail!$G:$G,"&lt;="&amp;A156,dataMail!$H:$H,"&gt;"&amp;A156,dataMail!J:J,"DE")</f>
        <v>4</v>
      </c>
      <c r="D156" s="442">
        <f>4-COUNTIFS(dataMail!$C:$C,"&lt;&gt;Annulation",dataMail!$G:$G,"&lt;="&amp;A156,dataMail!$H:$H,"&gt;"&amp;A156,dataMail!J:J,"SU")-COUNTIFS(dataMail!$C:$C,"&lt;&gt;Annulation",dataMail!$G:$G,"&lt;="&amp;A156,dataMail!$H:$H,"&gt;"&amp;A156,dataMail!J:J,"SX")</f>
        <v>4</v>
      </c>
    </row>
    <row r="157">
      <c r="A157" s="441">
        <f t="shared" si="2"/>
        <v>46405</v>
      </c>
      <c r="B157" s="442">
        <f t="shared" si="1"/>
        <v>9</v>
      </c>
      <c r="C157" s="442">
        <f>5-COUNTIFS(dataMail!$C:$C,"&lt;&gt;Annulation",dataMail!$G:$G,"&lt;="&amp;A157,dataMail!$H:$H,"&gt;"&amp;A157,dataMail!J:J,"DE")</f>
        <v>5</v>
      </c>
      <c r="D157" s="442">
        <f>4-COUNTIFS(dataMail!$C:$C,"&lt;&gt;Annulation",dataMail!$G:$G,"&lt;="&amp;A157,dataMail!$H:$H,"&gt;"&amp;A157,dataMail!J:J,"SU")-COUNTIFS(dataMail!$C:$C,"&lt;&gt;Annulation",dataMail!$G:$G,"&lt;="&amp;A157,dataMail!$H:$H,"&gt;"&amp;A157,dataMail!J:J,"SX")</f>
        <v>4</v>
      </c>
    </row>
    <row r="158">
      <c r="A158" s="441">
        <f t="shared" si="2"/>
        <v>46406</v>
      </c>
      <c r="B158" s="442">
        <f t="shared" si="1"/>
        <v>8</v>
      </c>
      <c r="C158" s="442">
        <f>5-COUNTIFS(dataMail!$C:$C,"&lt;&gt;Annulation",dataMail!$G:$G,"&lt;="&amp;A158,dataMail!$H:$H,"&gt;"&amp;A158,dataMail!J:J,"DE")</f>
        <v>5</v>
      </c>
      <c r="D158" s="442">
        <f>4-COUNTIFS(dataMail!$C:$C,"&lt;&gt;Annulation",dataMail!$G:$G,"&lt;="&amp;A158,dataMail!$H:$H,"&gt;"&amp;A158,dataMail!J:J,"SU")-COUNTIFS(dataMail!$C:$C,"&lt;&gt;Annulation",dataMail!$G:$G,"&lt;="&amp;A158,dataMail!$H:$H,"&gt;"&amp;A158,dataMail!J:J,"SX")</f>
        <v>3</v>
      </c>
    </row>
    <row r="159">
      <c r="A159" s="441">
        <f t="shared" si="2"/>
        <v>46407</v>
      </c>
      <c r="B159" s="442">
        <f t="shared" si="1"/>
        <v>8</v>
      </c>
      <c r="C159" s="442">
        <f>5-COUNTIFS(dataMail!$C:$C,"&lt;&gt;Annulation",dataMail!$G:$G,"&lt;="&amp;A159,dataMail!$H:$H,"&gt;"&amp;A159,dataMail!J:J,"DE")</f>
        <v>5</v>
      </c>
      <c r="D159" s="442">
        <f>4-COUNTIFS(dataMail!$C:$C,"&lt;&gt;Annulation",dataMail!$G:$G,"&lt;="&amp;A159,dataMail!$H:$H,"&gt;"&amp;A159,dataMail!J:J,"SU")-COUNTIFS(dataMail!$C:$C,"&lt;&gt;Annulation",dataMail!$G:$G,"&lt;="&amp;A159,dataMail!$H:$H,"&gt;"&amp;A159,dataMail!J:J,"SX")</f>
        <v>3</v>
      </c>
    </row>
    <row r="160">
      <c r="A160" s="441">
        <f t="shared" si="2"/>
        <v>46408</v>
      </c>
      <c r="B160" s="442">
        <f t="shared" si="1"/>
        <v>8</v>
      </c>
      <c r="C160" s="442">
        <f>5-COUNTIFS(dataMail!$C:$C,"&lt;&gt;Annulation",dataMail!$G:$G,"&lt;="&amp;A160,dataMail!$H:$H,"&gt;"&amp;A160,dataMail!J:J,"DE")</f>
        <v>5</v>
      </c>
      <c r="D160" s="442">
        <f>4-COUNTIFS(dataMail!$C:$C,"&lt;&gt;Annulation",dataMail!$G:$G,"&lt;="&amp;A160,dataMail!$H:$H,"&gt;"&amp;A160,dataMail!J:J,"SU")-COUNTIFS(dataMail!$C:$C,"&lt;&gt;Annulation",dataMail!$G:$G,"&lt;="&amp;A160,dataMail!$H:$H,"&gt;"&amp;A160,dataMail!J:J,"SX")</f>
        <v>3</v>
      </c>
    </row>
    <row r="161">
      <c r="A161" s="441">
        <f t="shared" si="2"/>
        <v>46409</v>
      </c>
      <c r="B161" s="442">
        <f t="shared" si="1"/>
        <v>8</v>
      </c>
      <c r="C161" s="442">
        <f>5-COUNTIFS(dataMail!$C:$C,"&lt;&gt;Annulation",dataMail!$G:$G,"&lt;="&amp;A161,dataMail!$H:$H,"&gt;"&amp;A161,dataMail!J:J,"DE")</f>
        <v>5</v>
      </c>
      <c r="D161" s="442">
        <f>4-COUNTIFS(dataMail!$C:$C,"&lt;&gt;Annulation",dataMail!$G:$G,"&lt;="&amp;A161,dataMail!$H:$H,"&gt;"&amp;A161,dataMail!J:J,"SU")-COUNTIFS(dataMail!$C:$C,"&lt;&gt;Annulation",dataMail!$G:$G,"&lt;="&amp;A161,dataMail!$H:$H,"&gt;"&amp;A161,dataMail!J:J,"SX")</f>
        <v>3</v>
      </c>
    </row>
    <row r="162">
      <c r="A162" s="441">
        <f t="shared" si="2"/>
        <v>46410</v>
      </c>
      <c r="B162" s="442">
        <f t="shared" si="1"/>
        <v>9</v>
      </c>
      <c r="C162" s="442">
        <f>5-COUNTIFS(dataMail!$C:$C,"&lt;&gt;Annulation",dataMail!$G:$G,"&lt;="&amp;A162,dataMail!$H:$H,"&gt;"&amp;A162,dataMail!J:J,"DE")</f>
        <v>5</v>
      </c>
      <c r="D162" s="442">
        <f>4-COUNTIFS(dataMail!$C:$C,"&lt;&gt;Annulation",dataMail!$G:$G,"&lt;="&amp;A162,dataMail!$H:$H,"&gt;"&amp;A162,dataMail!J:J,"SU")-COUNTIFS(dataMail!$C:$C,"&lt;&gt;Annulation",dataMail!$G:$G,"&lt;="&amp;A162,dataMail!$H:$H,"&gt;"&amp;A162,dataMail!J:J,"SX")</f>
        <v>4</v>
      </c>
    </row>
    <row r="163">
      <c r="A163" s="441">
        <f t="shared" si="2"/>
        <v>46411</v>
      </c>
      <c r="B163" s="442">
        <f t="shared" si="1"/>
        <v>9</v>
      </c>
      <c r="C163" s="442">
        <f>5-COUNTIFS(dataMail!$C:$C,"&lt;&gt;Annulation",dataMail!$G:$G,"&lt;="&amp;A163,dataMail!$H:$H,"&gt;"&amp;A163,dataMail!J:J,"DE")</f>
        <v>5</v>
      </c>
      <c r="D163" s="442">
        <f>4-COUNTIFS(dataMail!$C:$C,"&lt;&gt;Annulation",dataMail!$G:$G,"&lt;="&amp;A163,dataMail!$H:$H,"&gt;"&amp;A163,dataMail!J:J,"SU")-COUNTIFS(dataMail!$C:$C,"&lt;&gt;Annulation",dataMail!$G:$G,"&lt;="&amp;A163,dataMail!$H:$H,"&gt;"&amp;A163,dataMail!J:J,"SX")</f>
        <v>4</v>
      </c>
    </row>
    <row r="164">
      <c r="A164" s="441">
        <f t="shared" si="2"/>
        <v>46412</v>
      </c>
      <c r="B164" s="442">
        <f t="shared" si="1"/>
        <v>9</v>
      </c>
      <c r="C164" s="442">
        <f>5-COUNTIFS(dataMail!$C:$C,"&lt;&gt;Annulation",dataMail!$G:$G,"&lt;="&amp;A164,dataMail!$H:$H,"&gt;"&amp;A164,dataMail!J:J,"DE")</f>
        <v>5</v>
      </c>
      <c r="D164" s="442">
        <f>4-COUNTIFS(dataMail!$C:$C,"&lt;&gt;Annulation",dataMail!$G:$G,"&lt;="&amp;A164,dataMail!$H:$H,"&gt;"&amp;A164,dataMail!J:J,"SU")-COUNTIFS(dataMail!$C:$C,"&lt;&gt;Annulation",dataMail!$G:$G,"&lt;="&amp;A164,dataMail!$H:$H,"&gt;"&amp;A164,dataMail!J:J,"SX")</f>
        <v>4</v>
      </c>
    </row>
    <row r="165">
      <c r="A165" s="441">
        <f t="shared" si="2"/>
        <v>46413</v>
      </c>
      <c r="B165" s="442">
        <f t="shared" si="1"/>
        <v>9</v>
      </c>
      <c r="C165" s="442">
        <f>5-COUNTIFS(dataMail!$C:$C,"&lt;&gt;Annulation",dataMail!$G:$G,"&lt;="&amp;A165,dataMail!$H:$H,"&gt;"&amp;A165,dataMail!J:J,"DE")</f>
        <v>5</v>
      </c>
      <c r="D165" s="442">
        <f>4-COUNTIFS(dataMail!$C:$C,"&lt;&gt;Annulation",dataMail!$G:$G,"&lt;="&amp;A165,dataMail!$H:$H,"&gt;"&amp;A165,dataMail!J:J,"SU")-COUNTIFS(dataMail!$C:$C,"&lt;&gt;Annulation",dataMail!$G:$G,"&lt;="&amp;A165,dataMail!$H:$H,"&gt;"&amp;A165,dataMail!J:J,"SX")</f>
        <v>4</v>
      </c>
    </row>
    <row r="166">
      <c r="A166" s="441">
        <f t="shared" si="2"/>
        <v>46414</v>
      </c>
      <c r="B166" s="442">
        <f t="shared" si="1"/>
        <v>9</v>
      </c>
      <c r="C166" s="442">
        <f>5-COUNTIFS(dataMail!$C:$C,"&lt;&gt;Annulation",dataMail!$G:$G,"&lt;="&amp;A166,dataMail!$H:$H,"&gt;"&amp;A166,dataMail!J:J,"DE")</f>
        <v>5</v>
      </c>
      <c r="D166" s="442">
        <f>4-COUNTIFS(dataMail!$C:$C,"&lt;&gt;Annulation",dataMail!$G:$G,"&lt;="&amp;A166,dataMail!$H:$H,"&gt;"&amp;A166,dataMail!J:J,"SU")-COUNTIFS(dataMail!$C:$C,"&lt;&gt;Annulation",dataMail!$G:$G,"&lt;="&amp;A166,dataMail!$H:$H,"&gt;"&amp;A166,dataMail!J:J,"SX")</f>
        <v>4</v>
      </c>
    </row>
    <row r="167">
      <c r="A167" s="441">
        <f t="shared" si="2"/>
        <v>46415</v>
      </c>
      <c r="B167" s="442">
        <f t="shared" si="1"/>
        <v>9</v>
      </c>
      <c r="C167" s="442">
        <f>5-COUNTIFS(dataMail!$C:$C,"&lt;&gt;Annulation",dataMail!$G:$G,"&lt;="&amp;A167,dataMail!$H:$H,"&gt;"&amp;A167,dataMail!J:J,"DE")</f>
        <v>5</v>
      </c>
      <c r="D167" s="442">
        <f>4-COUNTIFS(dataMail!$C:$C,"&lt;&gt;Annulation",dataMail!$G:$G,"&lt;="&amp;A167,dataMail!$H:$H,"&gt;"&amp;A167,dataMail!J:J,"SU")-COUNTIFS(dataMail!$C:$C,"&lt;&gt;Annulation",dataMail!$G:$G,"&lt;="&amp;A167,dataMail!$H:$H,"&gt;"&amp;A167,dataMail!J:J,"SX")</f>
        <v>4</v>
      </c>
    </row>
    <row r="168">
      <c r="A168" s="441">
        <f t="shared" si="2"/>
        <v>46416</v>
      </c>
      <c r="B168" s="442">
        <f t="shared" si="1"/>
        <v>8</v>
      </c>
      <c r="C168" s="442">
        <f>5-COUNTIFS(dataMail!$C:$C,"&lt;&gt;Annulation",dataMail!$G:$G,"&lt;="&amp;A168,dataMail!$H:$H,"&gt;"&amp;A168,dataMail!J:J,"DE")</f>
        <v>4</v>
      </c>
      <c r="D168" s="442">
        <f>4-COUNTIFS(dataMail!$C:$C,"&lt;&gt;Annulation",dataMail!$G:$G,"&lt;="&amp;A168,dataMail!$H:$H,"&gt;"&amp;A168,dataMail!J:J,"SU")-COUNTIFS(dataMail!$C:$C,"&lt;&gt;Annulation",dataMail!$G:$G,"&lt;="&amp;A168,dataMail!$H:$H,"&gt;"&amp;A168,dataMail!J:J,"SX")</f>
        <v>4</v>
      </c>
    </row>
    <row r="169">
      <c r="A169" s="441">
        <f t="shared" si="2"/>
        <v>46417</v>
      </c>
      <c r="B169" s="442">
        <f t="shared" si="1"/>
        <v>8</v>
      </c>
      <c r="C169" s="442">
        <f>5-COUNTIFS(dataMail!$C:$C,"&lt;&gt;Annulation",dataMail!$G:$G,"&lt;="&amp;A169,dataMail!$H:$H,"&gt;"&amp;A169,dataMail!J:J,"DE")</f>
        <v>4</v>
      </c>
      <c r="D169" s="442">
        <f>4-COUNTIFS(dataMail!$C:$C,"&lt;&gt;Annulation",dataMail!$G:$G,"&lt;="&amp;A169,dataMail!$H:$H,"&gt;"&amp;A169,dataMail!J:J,"SU")-COUNTIFS(dataMail!$C:$C,"&lt;&gt;Annulation",dataMail!$G:$G,"&lt;="&amp;A169,dataMail!$H:$H,"&gt;"&amp;A169,dataMail!J:J,"SX")</f>
        <v>4</v>
      </c>
    </row>
    <row r="170">
      <c r="A170" s="441">
        <f t="shared" si="2"/>
        <v>46418</v>
      </c>
      <c r="B170" s="442">
        <f t="shared" si="1"/>
        <v>8</v>
      </c>
      <c r="C170" s="442">
        <f>5-COUNTIFS(dataMail!$C:$C,"&lt;&gt;Annulation",dataMail!$G:$G,"&lt;="&amp;A170,dataMail!$H:$H,"&gt;"&amp;A170,dataMail!J:J,"DE")</f>
        <v>4</v>
      </c>
      <c r="D170" s="442">
        <f>4-COUNTIFS(dataMail!$C:$C,"&lt;&gt;Annulation",dataMail!$G:$G,"&lt;="&amp;A170,dataMail!$H:$H,"&gt;"&amp;A170,dataMail!J:J,"SU")-COUNTIFS(dataMail!$C:$C,"&lt;&gt;Annulation",dataMail!$G:$G,"&lt;="&amp;A170,dataMail!$H:$H,"&gt;"&amp;A170,dataMail!J:J,"SX")</f>
        <v>4</v>
      </c>
    </row>
    <row r="171">
      <c r="A171" s="441">
        <f t="shared" si="2"/>
        <v>46419</v>
      </c>
      <c r="B171" s="442">
        <f t="shared" si="1"/>
        <v>8</v>
      </c>
      <c r="C171" s="442">
        <f>5-COUNTIFS(dataMail!$C:$C,"&lt;&gt;Annulation",dataMail!$G:$G,"&lt;="&amp;A171,dataMail!$H:$H,"&gt;"&amp;A171,dataMail!J:J,"DE")</f>
        <v>4</v>
      </c>
      <c r="D171" s="442">
        <f>4-COUNTIFS(dataMail!$C:$C,"&lt;&gt;Annulation",dataMail!$G:$G,"&lt;="&amp;A171,dataMail!$H:$H,"&gt;"&amp;A171,dataMail!J:J,"SU")-COUNTIFS(dataMail!$C:$C,"&lt;&gt;Annulation",dataMail!$G:$G,"&lt;="&amp;A171,dataMail!$H:$H,"&gt;"&amp;A171,dataMail!J:J,"SX")</f>
        <v>4</v>
      </c>
    </row>
    <row r="172">
      <c r="A172" s="441">
        <f t="shared" si="2"/>
        <v>46420</v>
      </c>
      <c r="B172" s="442">
        <f t="shared" si="1"/>
        <v>7</v>
      </c>
      <c r="C172" s="442">
        <f>5-COUNTIFS(dataMail!$C:$C,"&lt;&gt;Annulation",dataMail!$G:$G,"&lt;="&amp;A172,dataMail!$H:$H,"&gt;"&amp;A172,dataMail!J:J,"DE")</f>
        <v>3</v>
      </c>
      <c r="D172" s="442">
        <f>4-COUNTIFS(dataMail!$C:$C,"&lt;&gt;Annulation",dataMail!$G:$G,"&lt;="&amp;A172,dataMail!$H:$H,"&gt;"&amp;A172,dataMail!J:J,"SU")-COUNTIFS(dataMail!$C:$C,"&lt;&gt;Annulation",dataMail!$G:$G,"&lt;="&amp;A172,dataMail!$H:$H,"&gt;"&amp;A172,dataMail!J:J,"SX")</f>
        <v>4</v>
      </c>
    </row>
    <row r="173">
      <c r="A173" s="441">
        <f t="shared" si="2"/>
        <v>46421</v>
      </c>
      <c r="B173" s="442">
        <f t="shared" si="1"/>
        <v>8</v>
      </c>
      <c r="C173" s="442">
        <f>5-COUNTIFS(dataMail!$C:$C,"&lt;&gt;Annulation",dataMail!$G:$G,"&lt;="&amp;A173,dataMail!$H:$H,"&gt;"&amp;A173,dataMail!J:J,"DE")</f>
        <v>4</v>
      </c>
      <c r="D173" s="442">
        <f>4-COUNTIFS(dataMail!$C:$C,"&lt;&gt;Annulation",dataMail!$G:$G,"&lt;="&amp;A173,dataMail!$H:$H,"&gt;"&amp;A173,dataMail!J:J,"SU")-COUNTIFS(dataMail!$C:$C,"&lt;&gt;Annulation",dataMail!$G:$G,"&lt;="&amp;A173,dataMail!$H:$H,"&gt;"&amp;A173,dataMail!J:J,"SX")</f>
        <v>4</v>
      </c>
    </row>
    <row r="174">
      <c r="A174" s="441">
        <f t="shared" si="2"/>
        <v>46422</v>
      </c>
      <c r="B174" s="442">
        <f t="shared" si="1"/>
        <v>8</v>
      </c>
      <c r="C174" s="442">
        <f>5-COUNTIFS(dataMail!$C:$C,"&lt;&gt;Annulation",dataMail!$G:$G,"&lt;="&amp;A174,dataMail!$H:$H,"&gt;"&amp;A174,dataMail!J:J,"DE")</f>
        <v>4</v>
      </c>
      <c r="D174" s="442">
        <f>4-COUNTIFS(dataMail!$C:$C,"&lt;&gt;Annulation",dataMail!$G:$G,"&lt;="&amp;A174,dataMail!$H:$H,"&gt;"&amp;A174,dataMail!J:J,"SU")-COUNTIFS(dataMail!$C:$C,"&lt;&gt;Annulation",dataMail!$G:$G,"&lt;="&amp;A174,dataMail!$H:$H,"&gt;"&amp;A174,dataMail!J:J,"SX")</f>
        <v>4</v>
      </c>
    </row>
    <row r="175">
      <c r="A175" s="441">
        <f t="shared" si="2"/>
        <v>46423</v>
      </c>
      <c r="B175" s="442">
        <f t="shared" si="1"/>
        <v>8</v>
      </c>
      <c r="C175" s="442">
        <f>5-COUNTIFS(dataMail!$C:$C,"&lt;&gt;Annulation",dataMail!$G:$G,"&lt;="&amp;A175,dataMail!$H:$H,"&gt;"&amp;A175,dataMail!J:J,"DE")</f>
        <v>4</v>
      </c>
      <c r="D175" s="442">
        <f>4-COUNTIFS(dataMail!$C:$C,"&lt;&gt;Annulation",dataMail!$G:$G,"&lt;="&amp;A175,dataMail!$H:$H,"&gt;"&amp;A175,dataMail!J:J,"SU")-COUNTIFS(dataMail!$C:$C,"&lt;&gt;Annulation",dataMail!$G:$G,"&lt;="&amp;A175,dataMail!$H:$H,"&gt;"&amp;A175,dataMail!J:J,"SX")</f>
        <v>4</v>
      </c>
    </row>
    <row r="176">
      <c r="A176" s="441">
        <f t="shared" si="2"/>
        <v>46424</v>
      </c>
      <c r="B176" s="442">
        <f t="shared" si="1"/>
        <v>8</v>
      </c>
      <c r="C176" s="442">
        <f>5-COUNTIFS(dataMail!$C:$C,"&lt;&gt;Annulation",dataMail!$G:$G,"&lt;="&amp;A176,dataMail!$H:$H,"&gt;"&amp;A176,dataMail!J:J,"DE")</f>
        <v>4</v>
      </c>
      <c r="D176" s="442">
        <f>4-COUNTIFS(dataMail!$C:$C,"&lt;&gt;Annulation",dataMail!$G:$G,"&lt;="&amp;A176,dataMail!$H:$H,"&gt;"&amp;A176,dataMail!J:J,"SU")-COUNTIFS(dataMail!$C:$C,"&lt;&gt;Annulation",dataMail!$G:$G,"&lt;="&amp;A176,dataMail!$H:$H,"&gt;"&amp;A176,dataMail!J:J,"SX")</f>
        <v>4</v>
      </c>
    </row>
    <row r="177">
      <c r="A177" s="441">
        <f t="shared" si="2"/>
        <v>46425</v>
      </c>
      <c r="B177" s="442">
        <f t="shared" si="1"/>
        <v>9</v>
      </c>
      <c r="C177" s="442">
        <f>5-COUNTIFS(dataMail!$C:$C,"&lt;&gt;Annulation",dataMail!$G:$G,"&lt;="&amp;A177,dataMail!$H:$H,"&gt;"&amp;A177,dataMail!J:J,"DE")</f>
        <v>5</v>
      </c>
      <c r="D177" s="442">
        <f>4-COUNTIFS(dataMail!$C:$C,"&lt;&gt;Annulation",dataMail!$G:$G,"&lt;="&amp;A177,dataMail!$H:$H,"&gt;"&amp;A177,dataMail!J:J,"SU")-COUNTIFS(dataMail!$C:$C,"&lt;&gt;Annulation",dataMail!$G:$G,"&lt;="&amp;A177,dataMail!$H:$H,"&gt;"&amp;A177,dataMail!J:J,"SX")</f>
        <v>4</v>
      </c>
    </row>
    <row r="178">
      <c r="A178" s="441">
        <f t="shared" si="2"/>
        <v>46426</v>
      </c>
      <c r="B178" s="442">
        <f t="shared" si="1"/>
        <v>4</v>
      </c>
      <c r="C178" s="442">
        <f>5-COUNTIFS(dataMail!$C:$C,"&lt;&gt;Annulation",dataMail!$G:$G,"&lt;="&amp;A178,dataMail!$H:$H,"&gt;"&amp;A178,dataMail!J:J,"DE")</f>
        <v>0</v>
      </c>
      <c r="D178" s="442">
        <f>4-COUNTIFS(dataMail!$C:$C,"&lt;&gt;Annulation",dataMail!$G:$G,"&lt;="&amp;A178,dataMail!$H:$H,"&gt;"&amp;A178,dataMail!J:J,"SU")-COUNTIFS(dataMail!$C:$C,"&lt;&gt;Annulation",dataMail!$G:$G,"&lt;="&amp;A178,dataMail!$H:$H,"&gt;"&amp;A178,dataMail!J:J,"SX")</f>
        <v>4</v>
      </c>
    </row>
    <row r="179">
      <c r="A179" s="441">
        <f t="shared" si="2"/>
        <v>46427</v>
      </c>
      <c r="B179" s="442">
        <f t="shared" si="1"/>
        <v>9</v>
      </c>
      <c r="C179" s="442">
        <f>5-COUNTIFS(dataMail!$C:$C,"&lt;&gt;Annulation",dataMail!$G:$G,"&lt;="&amp;A179,dataMail!$H:$H,"&gt;"&amp;A179,dataMail!J:J,"DE")</f>
        <v>5</v>
      </c>
      <c r="D179" s="442">
        <f>4-COUNTIFS(dataMail!$C:$C,"&lt;&gt;Annulation",dataMail!$G:$G,"&lt;="&amp;A179,dataMail!$H:$H,"&gt;"&amp;A179,dataMail!J:J,"SU")-COUNTIFS(dataMail!$C:$C,"&lt;&gt;Annulation",dataMail!$G:$G,"&lt;="&amp;A179,dataMail!$H:$H,"&gt;"&amp;A179,dataMail!J:J,"SX")</f>
        <v>4</v>
      </c>
    </row>
    <row r="180">
      <c r="A180" s="441">
        <f t="shared" si="2"/>
        <v>46428</v>
      </c>
      <c r="B180" s="442">
        <f t="shared" si="1"/>
        <v>9</v>
      </c>
      <c r="C180" s="442">
        <f>5-COUNTIFS(dataMail!$C:$C,"&lt;&gt;Annulation",dataMail!$G:$G,"&lt;="&amp;A180,dataMail!$H:$H,"&gt;"&amp;A180,dataMail!J:J,"DE")</f>
        <v>5</v>
      </c>
      <c r="D180" s="442">
        <f>4-COUNTIFS(dataMail!$C:$C,"&lt;&gt;Annulation",dataMail!$G:$G,"&lt;="&amp;A180,dataMail!$H:$H,"&gt;"&amp;A180,dataMail!J:J,"SU")-COUNTIFS(dataMail!$C:$C,"&lt;&gt;Annulation",dataMail!$G:$G,"&lt;="&amp;A180,dataMail!$H:$H,"&gt;"&amp;A180,dataMail!J:J,"SX")</f>
        <v>4</v>
      </c>
    </row>
    <row r="181">
      <c r="A181" s="441">
        <f t="shared" si="2"/>
        <v>46429</v>
      </c>
      <c r="B181" s="442">
        <f t="shared" si="1"/>
        <v>9</v>
      </c>
      <c r="C181" s="442">
        <f>5-COUNTIFS(dataMail!$C:$C,"&lt;&gt;Annulation",dataMail!$G:$G,"&lt;="&amp;A181,dataMail!$H:$H,"&gt;"&amp;A181,dataMail!J:J,"DE")</f>
        <v>5</v>
      </c>
      <c r="D181" s="442">
        <f>4-COUNTIFS(dataMail!$C:$C,"&lt;&gt;Annulation",dataMail!$G:$G,"&lt;="&amp;A181,dataMail!$H:$H,"&gt;"&amp;A181,dataMail!J:J,"SU")-COUNTIFS(dataMail!$C:$C,"&lt;&gt;Annulation",dataMail!$G:$G,"&lt;="&amp;A181,dataMail!$H:$H,"&gt;"&amp;A181,dataMail!J:J,"SX")</f>
        <v>4</v>
      </c>
    </row>
    <row r="182">
      <c r="A182" s="441">
        <f t="shared" si="2"/>
        <v>46430</v>
      </c>
      <c r="B182" s="442">
        <f t="shared" si="1"/>
        <v>9</v>
      </c>
      <c r="C182" s="442">
        <f>5-COUNTIFS(dataMail!$C:$C,"&lt;&gt;Annulation",dataMail!$G:$G,"&lt;="&amp;A182,dataMail!$H:$H,"&gt;"&amp;A182,dataMail!J:J,"DE")</f>
        <v>5</v>
      </c>
      <c r="D182" s="442">
        <f>4-COUNTIFS(dataMail!$C:$C,"&lt;&gt;Annulation",dataMail!$G:$G,"&lt;="&amp;A182,dataMail!$H:$H,"&gt;"&amp;A182,dataMail!J:J,"SU")-COUNTIFS(dataMail!$C:$C,"&lt;&gt;Annulation",dataMail!$G:$G,"&lt;="&amp;A182,dataMail!$H:$H,"&gt;"&amp;A182,dataMail!J:J,"SX")</f>
        <v>4</v>
      </c>
    </row>
    <row r="183">
      <c r="A183" s="441">
        <f t="shared" si="2"/>
        <v>46431</v>
      </c>
      <c r="B183" s="442">
        <f t="shared" si="1"/>
        <v>7</v>
      </c>
      <c r="C183" s="442">
        <f>5-COUNTIFS(dataMail!$C:$C,"&lt;&gt;Annulation",dataMail!$G:$G,"&lt;="&amp;A183,dataMail!$H:$H,"&gt;"&amp;A183,dataMail!J:J,"DE")</f>
        <v>3</v>
      </c>
      <c r="D183" s="442">
        <f>4-COUNTIFS(dataMail!$C:$C,"&lt;&gt;Annulation",dataMail!$G:$G,"&lt;="&amp;A183,dataMail!$H:$H,"&gt;"&amp;A183,dataMail!J:J,"SU")-COUNTIFS(dataMail!$C:$C,"&lt;&gt;Annulation",dataMail!$G:$G,"&lt;="&amp;A183,dataMail!$H:$H,"&gt;"&amp;A183,dataMail!J:J,"SX")</f>
        <v>4</v>
      </c>
    </row>
    <row r="184">
      <c r="A184" s="441">
        <f t="shared" si="2"/>
        <v>46432</v>
      </c>
      <c r="B184" s="442">
        <f t="shared" si="1"/>
        <v>7</v>
      </c>
      <c r="C184" s="442">
        <f>5-COUNTIFS(dataMail!$C:$C,"&lt;&gt;Annulation",dataMail!$G:$G,"&lt;="&amp;A184,dataMail!$H:$H,"&gt;"&amp;A184,dataMail!J:J,"DE")</f>
        <v>3</v>
      </c>
      <c r="D184" s="442">
        <f>4-COUNTIFS(dataMail!$C:$C,"&lt;&gt;Annulation",dataMail!$G:$G,"&lt;="&amp;A184,dataMail!$H:$H,"&gt;"&amp;A184,dataMail!J:J,"SU")-COUNTIFS(dataMail!$C:$C,"&lt;&gt;Annulation",dataMail!$G:$G,"&lt;="&amp;A184,dataMail!$H:$H,"&gt;"&amp;A184,dataMail!J:J,"SX")</f>
        <v>4</v>
      </c>
    </row>
    <row r="185">
      <c r="A185" s="441">
        <f t="shared" si="2"/>
        <v>46433</v>
      </c>
      <c r="B185" s="442">
        <f t="shared" si="1"/>
        <v>7</v>
      </c>
      <c r="C185" s="442">
        <f>5-COUNTIFS(dataMail!$C:$C,"&lt;&gt;Annulation",dataMail!$G:$G,"&lt;="&amp;A185,dataMail!$H:$H,"&gt;"&amp;A185,dataMail!J:J,"DE")</f>
        <v>3</v>
      </c>
      <c r="D185" s="442">
        <f>4-COUNTIFS(dataMail!$C:$C,"&lt;&gt;Annulation",dataMail!$G:$G,"&lt;="&amp;A185,dataMail!$H:$H,"&gt;"&amp;A185,dataMail!J:J,"SU")-COUNTIFS(dataMail!$C:$C,"&lt;&gt;Annulation",dataMail!$G:$G,"&lt;="&amp;A185,dataMail!$H:$H,"&gt;"&amp;A185,dataMail!J:J,"SX")</f>
        <v>4</v>
      </c>
    </row>
    <row r="186">
      <c r="A186" s="441">
        <f t="shared" si="2"/>
        <v>46434</v>
      </c>
      <c r="B186" s="442">
        <f t="shared" si="1"/>
        <v>7</v>
      </c>
      <c r="C186" s="442">
        <f>5-COUNTIFS(dataMail!$C:$C,"&lt;&gt;Annulation",dataMail!$G:$G,"&lt;="&amp;A186,dataMail!$H:$H,"&gt;"&amp;A186,dataMail!J:J,"DE")</f>
        <v>3</v>
      </c>
      <c r="D186" s="442">
        <f>4-COUNTIFS(dataMail!$C:$C,"&lt;&gt;Annulation",dataMail!$G:$G,"&lt;="&amp;A186,dataMail!$H:$H,"&gt;"&amp;A186,dataMail!J:J,"SU")-COUNTIFS(dataMail!$C:$C,"&lt;&gt;Annulation",dataMail!$G:$G,"&lt;="&amp;A186,dataMail!$H:$H,"&gt;"&amp;A186,dataMail!J:J,"SX")</f>
        <v>4</v>
      </c>
    </row>
    <row r="187">
      <c r="A187" s="441">
        <f t="shared" si="2"/>
        <v>46435</v>
      </c>
      <c r="B187" s="442">
        <f t="shared" si="1"/>
        <v>7</v>
      </c>
      <c r="C187" s="442">
        <f>5-COUNTIFS(dataMail!$C:$C,"&lt;&gt;Annulation",dataMail!$G:$G,"&lt;="&amp;A187,dataMail!$H:$H,"&gt;"&amp;A187,dataMail!J:J,"DE")</f>
        <v>3</v>
      </c>
      <c r="D187" s="442">
        <f>4-COUNTIFS(dataMail!$C:$C,"&lt;&gt;Annulation",dataMail!$G:$G,"&lt;="&amp;A187,dataMail!$H:$H,"&gt;"&amp;A187,dataMail!J:J,"SU")-COUNTIFS(dataMail!$C:$C,"&lt;&gt;Annulation",dataMail!$G:$G,"&lt;="&amp;A187,dataMail!$H:$H,"&gt;"&amp;A187,dataMail!J:J,"SX")</f>
        <v>4</v>
      </c>
    </row>
    <row r="188">
      <c r="A188" s="441">
        <f t="shared" si="2"/>
        <v>46436</v>
      </c>
      <c r="B188" s="442">
        <f t="shared" si="1"/>
        <v>7</v>
      </c>
      <c r="C188" s="442">
        <f>5-COUNTIFS(dataMail!$C:$C,"&lt;&gt;Annulation",dataMail!$G:$G,"&lt;="&amp;A188,dataMail!$H:$H,"&gt;"&amp;A188,dataMail!J:J,"DE")</f>
        <v>3</v>
      </c>
      <c r="D188" s="442">
        <f>4-COUNTIFS(dataMail!$C:$C,"&lt;&gt;Annulation",dataMail!$G:$G,"&lt;="&amp;A188,dataMail!$H:$H,"&gt;"&amp;A188,dataMail!J:J,"SU")-COUNTIFS(dataMail!$C:$C,"&lt;&gt;Annulation",dataMail!$G:$G,"&lt;="&amp;A188,dataMail!$H:$H,"&gt;"&amp;A188,dataMail!J:J,"SX")</f>
        <v>4</v>
      </c>
    </row>
    <row r="189">
      <c r="A189" s="441">
        <f t="shared" si="2"/>
        <v>46437</v>
      </c>
      <c r="B189" s="442">
        <f t="shared" si="1"/>
        <v>7</v>
      </c>
      <c r="C189" s="442">
        <f>5-COUNTIFS(dataMail!$C:$C,"&lt;&gt;Annulation",dataMail!$G:$G,"&lt;="&amp;A189,dataMail!$H:$H,"&gt;"&amp;A189,dataMail!J:J,"DE")</f>
        <v>3</v>
      </c>
      <c r="D189" s="442">
        <f>4-COUNTIFS(dataMail!$C:$C,"&lt;&gt;Annulation",dataMail!$G:$G,"&lt;="&amp;A189,dataMail!$H:$H,"&gt;"&amp;A189,dataMail!J:J,"SU")-COUNTIFS(dataMail!$C:$C,"&lt;&gt;Annulation",dataMail!$G:$G,"&lt;="&amp;A189,dataMail!$H:$H,"&gt;"&amp;A189,dataMail!J:J,"SX")</f>
        <v>4</v>
      </c>
    </row>
    <row r="190">
      <c r="A190" s="441">
        <f t="shared" si="2"/>
        <v>46438</v>
      </c>
      <c r="B190" s="442">
        <f t="shared" si="1"/>
        <v>7</v>
      </c>
      <c r="C190" s="442">
        <f>5-COUNTIFS(dataMail!$C:$C,"&lt;&gt;Annulation",dataMail!$G:$G,"&lt;="&amp;A190,dataMail!$H:$H,"&gt;"&amp;A190,dataMail!J:J,"DE")</f>
        <v>4</v>
      </c>
      <c r="D190" s="442">
        <f>4-COUNTIFS(dataMail!$C:$C,"&lt;&gt;Annulation",dataMail!$G:$G,"&lt;="&amp;A190,dataMail!$H:$H,"&gt;"&amp;A190,dataMail!J:J,"SU")-COUNTIFS(dataMail!$C:$C,"&lt;&gt;Annulation",dataMail!$G:$G,"&lt;="&amp;A190,dataMail!$H:$H,"&gt;"&amp;A190,dataMail!J:J,"SX")</f>
        <v>3</v>
      </c>
    </row>
    <row r="191">
      <c r="A191" s="441">
        <f t="shared" si="2"/>
        <v>46439</v>
      </c>
      <c r="B191" s="442">
        <f t="shared" si="1"/>
        <v>9</v>
      </c>
      <c r="C191" s="442">
        <f>5-COUNTIFS(dataMail!$C:$C,"&lt;&gt;Annulation",dataMail!$G:$G,"&lt;="&amp;A191,dataMail!$H:$H,"&gt;"&amp;A191,dataMail!J:J,"DE")</f>
        <v>5</v>
      </c>
      <c r="D191" s="442">
        <f>4-COUNTIFS(dataMail!$C:$C,"&lt;&gt;Annulation",dataMail!$G:$G,"&lt;="&amp;A191,dataMail!$H:$H,"&gt;"&amp;A191,dataMail!J:J,"SU")-COUNTIFS(dataMail!$C:$C,"&lt;&gt;Annulation",dataMail!$G:$G,"&lt;="&amp;A191,dataMail!$H:$H,"&gt;"&amp;A191,dataMail!J:J,"SX")</f>
        <v>4</v>
      </c>
    </row>
    <row r="192">
      <c r="A192" s="441">
        <f t="shared" si="2"/>
        <v>46440</v>
      </c>
      <c r="B192" s="442">
        <f t="shared" si="1"/>
        <v>9</v>
      </c>
      <c r="C192" s="442">
        <f>5-COUNTIFS(dataMail!$C:$C,"&lt;&gt;Annulation",dataMail!$G:$G,"&lt;="&amp;A192,dataMail!$H:$H,"&gt;"&amp;A192,dataMail!J:J,"DE")</f>
        <v>5</v>
      </c>
      <c r="D192" s="442">
        <f>4-COUNTIFS(dataMail!$C:$C,"&lt;&gt;Annulation",dataMail!$G:$G,"&lt;="&amp;A192,dataMail!$H:$H,"&gt;"&amp;A192,dataMail!J:J,"SU")-COUNTIFS(dataMail!$C:$C,"&lt;&gt;Annulation",dataMail!$G:$G,"&lt;="&amp;A192,dataMail!$H:$H,"&gt;"&amp;A192,dataMail!J:J,"SX")</f>
        <v>4</v>
      </c>
    </row>
    <row r="193">
      <c r="A193" s="441">
        <f t="shared" si="2"/>
        <v>46441</v>
      </c>
      <c r="B193" s="442">
        <f t="shared" si="1"/>
        <v>9</v>
      </c>
      <c r="C193" s="442">
        <f>5-COUNTIFS(dataMail!$C:$C,"&lt;&gt;Annulation",dataMail!$G:$G,"&lt;="&amp;A193,dataMail!$H:$H,"&gt;"&amp;A193,dataMail!J:J,"DE")</f>
        <v>5</v>
      </c>
      <c r="D193" s="442">
        <f>4-COUNTIFS(dataMail!$C:$C,"&lt;&gt;Annulation",dataMail!$G:$G,"&lt;="&amp;A193,dataMail!$H:$H,"&gt;"&amp;A193,dataMail!J:J,"SU")-COUNTIFS(dataMail!$C:$C,"&lt;&gt;Annulation",dataMail!$G:$G,"&lt;="&amp;A193,dataMail!$H:$H,"&gt;"&amp;A193,dataMail!J:J,"SX")</f>
        <v>4</v>
      </c>
    </row>
    <row r="194">
      <c r="A194" s="441">
        <f t="shared" si="2"/>
        <v>46442</v>
      </c>
      <c r="B194" s="442">
        <f t="shared" si="1"/>
        <v>8</v>
      </c>
      <c r="C194" s="442">
        <f>5-COUNTIFS(dataMail!$C:$C,"&lt;&gt;Annulation",dataMail!$G:$G,"&lt;="&amp;A194,dataMail!$H:$H,"&gt;"&amp;A194,dataMail!J:J,"DE")</f>
        <v>4</v>
      </c>
      <c r="D194" s="442">
        <f>4-COUNTIFS(dataMail!$C:$C,"&lt;&gt;Annulation",dataMail!$G:$G,"&lt;="&amp;A194,dataMail!$H:$H,"&gt;"&amp;A194,dataMail!J:J,"SU")-COUNTIFS(dataMail!$C:$C,"&lt;&gt;Annulation",dataMail!$G:$G,"&lt;="&amp;A194,dataMail!$H:$H,"&gt;"&amp;A194,dataMail!J:J,"SX")</f>
        <v>4</v>
      </c>
    </row>
    <row r="195">
      <c r="A195" s="441">
        <f t="shared" si="2"/>
        <v>46443</v>
      </c>
      <c r="B195" s="442">
        <f t="shared" si="1"/>
        <v>8</v>
      </c>
      <c r="C195" s="442">
        <f>5-COUNTIFS(dataMail!$C:$C,"&lt;&gt;Annulation",dataMail!$G:$G,"&lt;="&amp;A195,dataMail!$H:$H,"&gt;"&amp;A195,dataMail!J:J,"DE")</f>
        <v>4</v>
      </c>
      <c r="D195" s="442">
        <f>4-COUNTIFS(dataMail!$C:$C,"&lt;&gt;Annulation",dataMail!$G:$G,"&lt;="&amp;A195,dataMail!$H:$H,"&gt;"&amp;A195,dataMail!J:J,"SU")-COUNTIFS(dataMail!$C:$C,"&lt;&gt;Annulation",dataMail!$G:$G,"&lt;="&amp;A195,dataMail!$H:$H,"&gt;"&amp;A195,dataMail!J:J,"SX")</f>
        <v>4</v>
      </c>
    </row>
    <row r="196">
      <c r="A196" s="441">
        <f t="shared" si="2"/>
        <v>46444</v>
      </c>
      <c r="B196" s="442">
        <f t="shared" si="1"/>
        <v>9</v>
      </c>
      <c r="C196" s="442">
        <f>5-COUNTIFS(dataMail!$C:$C,"&lt;&gt;Annulation",dataMail!$G:$G,"&lt;="&amp;A196,dataMail!$H:$H,"&gt;"&amp;A196,dataMail!J:J,"DE")</f>
        <v>5</v>
      </c>
      <c r="D196" s="442">
        <f>4-COUNTIFS(dataMail!$C:$C,"&lt;&gt;Annulation",dataMail!$G:$G,"&lt;="&amp;A196,dataMail!$H:$H,"&gt;"&amp;A196,dataMail!J:J,"SU")-COUNTIFS(dataMail!$C:$C,"&lt;&gt;Annulation",dataMail!$G:$G,"&lt;="&amp;A196,dataMail!$H:$H,"&gt;"&amp;A196,dataMail!J:J,"SX")</f>
        <v>4</v>
      </c>
    </row>
    <row r="197">
      <c r="A197" s="441">
        <f t="shared" si="2"/>
        <v>46445</v>
      </c>
      <c r="B197" s="442">
        <f t="shared" si="1"/>
        <v>9</v>
      </c>
      <c r="C197" s="442">
        <f>5-COUNTIFS(dataMail!$C:$C,"&lt;&gt;Annulation",dataMail!$G:$G,"&lt;="&amp;A197,dataMail!$H:$H,"&gt;"&amp;A197,dataMail!J:J,"DE")</f>
        <v>5</v>
      </c>
      <c r="D197" s="442">
        <f>4-COUNTIFS(dataMail!$C:$C,"&lt;&gt;Annulation",dataMail!$G:$G,"&lt;="&amp;A197,dataMail!$H:$H,"&gt;"&amp;A197,dataMail!J:J,"SU")-COUNTIFS(dataMail!$C:$C,"&lt;&gt;Annulation",dataMail!$G:$G,"&lt;="&amp;A197,dataMail!$H:$H,"&gt;"&amp;A197,dataMail!J:J,"SX")</f>
        <v>4</v>
      </c>
    </row>
    <row r="198">
      <c r="A198" s="441">
        <f t="shared" si="2"/>
        <v>46446</v>
      </c>
      <c r="B198" s="442">
        <f t="shared" si="1"/>
        <v>9</v>
      </c>
      <c r="C198" s="442">
        <f>5-COUNTIFS(dataMail!$C:$C,"&lt;&gt;Annulation",dataMail!$G:$G,"&lt;="&amp;A198,dataMail!$H:$H,"&gt;"&amp;A198,dataMail!J:J,"DE")</f>
        <v>5</v>
      </c>
      <c r="D198" s="442">
        <f>4-COUNTIFS(dataMail!$C:$C,"&lt;&gt;Annulation",dataMail!$G:$G,"&lt;="&amp;A198,dataMail!$H:$H,"&gt;"&amp;A198,dataMail!J:J,"SU")-COUNTIFS(dataMail!$C:$C,"&lt;&gt;Annulation",dataMail!$G:$G,"&lt;="&amp;A198,dataMail!$H:$H,"&gt;"&amp;A198,dataMail!J:J,"SX")</f>
        <v>4</v>
      </c>
    </row>
    <row r="199">
      <c r="A199" s="441">
        <f t="shared" si="2"/>
        <v>46447</v>
      </c>
      <c r="B199" s="442">
        <f t="shared" si="1"/>
        <v>9</v>
      </c>
      <c r="C199" s="442">
        <f>5-COUNTIFS(dataMail!$C:$C,"&lt;&gt;Annulation",dataMail!$G:$G,"&lt;="&amp;A199,dataMail!$H:$H,"&gt;"&amp;A199,dataMail!J:J,"DE")</f>
        <v>5</v>
      </c>
      <c r="D199" s="442">
        <f>4-COUNTIFS(dataMail!$C:$C,"&lt;&gt;Annulation",dataMail!$G:$G,"&lt;="&amp;A199,dataMail!$H:$H,"&gt;"&amp;A199,dataMail!J:J,"SU")-COUNTIFS(dataMail!$C:$C,"&lt;&gt;Annulation",dataMail!$G:$G,"&lt;="&amp;A199,dataMail!$H:$H,"&gt;"&amp;A199,dataMail!J:J,"SX")</f>
        <v>4</v>
      </c>
    </row>
    <row r="200">
      <c r="A200" s="441">
        <f t="shared" si="2"/>
        <v>46448</v>
      </c>
      <c r="B200" s="442">
        <f t="shared" si="1"/>
        <v>9</v>
      </c>
      <c r="C200" s="442">
        <f>5-COUNTIFS(dataMail!$C:$C,"&lt;&gt;Annulation",dataMail!$G:$G,"&lt;="&amp;A200,dataMail!$H:$H,"&gt;"&amp;A200,dataMail!J:J,"DE")</f>
        <v>5</v>
      </c>
      <c r="D200" s="442">
        <f>4-COUNTIFS(dataMail!$C:$C,"&lt;&gt;Annulation",dataMail!$G:$G,"&lt;="&amp;A200,dataMail!$H:$H,"&gt;"&amp;A200,dataMail!J:J,"SU")-COUNTIFS(dataMail!$C:$C,"&lt;&gt;Annulation",dataMail!$G:$G,"&lt;="&amp;A200,dataMail!$H:$H,"&gt;"&amp;A200,dataMail!J:J,"SX")</f>
        <v>4</v>
      </c>
    </row>
    <row r="201">
      <c r="A201" s="441">
        <f t="shared" si="2"/>
        <v>46449</v>
      </c>
      <c r="B201" s="442">
        <f t="shared" si="1"/>
        <v>9</v>
      </c>
      <c r="C201" s="442">
        <f>5-COUNTIFS(dataMail!$C:$C,"&lt;&gt;Annulation",dataMail!$G:$G,"&lt;="&amp;A201,dataMail!$H:$H,"&gt;"&amp;A201,dataMail!J:J,"DE")</f>
        <v>5</v>
      </c>
      <c r="D201" s="442">
        <f>4-COUNTIFS(dataMail!$C:$C,"&lt;&gt;Annulation",dataMail!$G:$G,"&lt;="&amp;A201,dataMail!$H:$H,"&gt;"&amp;A201,dataMail!J:J,"SU")-COUNTIFS(dataMail!$C:$C,"&lt;&gt;Annulation",dataMail!$G:$G,"&lt;="&amp;A201,dataMail!$H:$H,"&gt;"&amp;A201,dataMail!J:J,"SX")</f>
        <v>4</v>
      </c>
    </row>
    <row r="202">
      <c r="A202" s="441">
        <f t="shared" si="2"/>
        <v>46450</v>
      </c>
      <c r="B202" s="442">
        <f t="shared" si="1"/>
        <v>8</v>
      </c>
      <c r="C202" s="442">
        <f>5-COUNTIFS(dataMail!$C:$C,"&lt;&gt;Annulation",dataMail!$G:$G,"&lt;="&amp;A202,dataMail!$H:$H,"&gt;"&amp;A202,dataMail!J:J,"DE")</f>
        <v>4</v>
      </c>
      <c r="D202" s="442">
        <f>4-COUNTIFS(dataMail!$C:$C,"&lt;&gt;Annulation",dataMail!$G:$G,"&lt;="&amp;A202,dataMail!$H:$H,"&gt;"&amp;A202,dataMail!J:J,"SU")-COUNTIFS(dataMail!$C:$C,"&lt;&gt;Annulation",dataMail!$G:$G,"&lt;="&amp;A202,dataMail!$H:$H,"&gt;"&amp;A202,dataMail!J:J,"SX")</f>
        <v>4</v>
      </c>
    </row>
    <row r="203">
      <c r="A203" s="441">
        <f t="shared" si="2"/>
        <v>46451</v>
      </c>
      <c r="B203" s="442">
        <f t="shared" si="1"/>
        <v>8</v>
      </c>
      <c r="C203" s="442">
        <f>5-COUNTIFS(dataMail!$C:$C,"&lt;&gt;Annulation",dataMail!$G:$G,"&lt;="&amp;A203,dataMail!$H:$H,"&gt;"&amp;A203,dataMail!J:J,"DE")</f>
        <v>4</v>
      </c>
      <c r="D203" s="442">
        <f>4-COUNTIFS(dataMail!$C:$C,"&lt;&gt;Annulation",dataMail!$G:$G,"&lt;="&amp;A203,dataMail!$H:$H,"&gt;"&amp;A203,dataMail!J:J,"SU")-COUNTIFS(dataMail!$C:$C,"&lt;&gt;Annulation",dataMail!$G:$G,"&lt;="&amp;A203,dataMail!$H:$H,"&gt;"&amp;A203,dataMail!J:J,"SX")</f>
        <v>4</v>
      </c>
    </row>
    <row r="204">
      <c r="A204" s="441">
        <f t="shared" si="2"/>
        <v>46452</v>
      </c>
      <c r="B204" s="442">
        <f t="shared" si="1"/>
        <v>8</v>
      </c>
      <c r="C204" s="442">
        <f>5-COUNTIFS(dataMail!$C:$C,"&lt;&gt;Annulation",dataMail!$G:$G,"&lt;="&amp;A204,dataMail!$H:$H,"&gt;"&amp;A204,dataMail!J:J,"DE")</f>
        <v>4</v>
      </c>
      <c r="D204" s="442">
        <f>4-COUNTIFS(dataMail!$C:$C,"&lt;&gt;Annulation",dataMail!$G:$G,"&lt;="&amp;A204,dataMail!$H:$H,"&gt;"&amp;A204,dataMail!J:J,"SU")-COUNTIFS(dataMail!$C:$C,"&lt;&gt;Annulation",dataMail!$G:$G,"&lt;="&amp;A204,dataMail!$H:$H,"&gt;"&amp;A204,dataMail!J:J,"SX")</f>
        <v>4</v>
      </c>
    </row>
    <row r="205">
      <c r="A205" s="441">
        <f t="shared" si="2"/>
        <v>46453</v>
      </c>
      <c r="B205" s="442">
        <f t="shared" si="1"/>
        <v>9</v>
      </c>
      <c r="C205" s="442">
        <f>5-COUNTIFS(dataMail!$C:$C,"&lt;&gt;Annulation",dataMail!$G:$G,"&lt;="&amp;A205,dataMail!$H:$H,"&gt;"&amp;A205,dataMail!J:J,"DE")</f>
        <v>5</v>
      </c>
      <c r="D205" s="442">
        <f>4-COUNTIFS(dataMail!$C:$C,"&lt;&gt;Annulation",dataMail!$G:$G,"&lt;="&amp;A205,dataMail!$H:$H,"&gt;"&amp;A205,dataMail!J:J,"SU")-COUNTIFS(dataMail!$C:$C,"&lt;&gt;Annulation",dataMail!$G:$G,"&lt;="&amp;A205,dataMail!$H:$H,"&gt;"&amp;A205,dataMail!J:J,"SX")</f>
        <v>4</v>
      </c>
    </row>
    <row r="206">
      <c r="A206" s="441">
        <f t="shared" si="2"/>
        <v>46454</v>
      </c>
      <c r="B206" s="442">
        <f t="shared" si="1"/>
        <v>9</v>
      </c>
      <c r="C206" s="442">
        <f>5-COUNTIFS(dataMail!$C:$C,"&lt;&gt;Annulation",dataMail!$G:$G,"&lt;="&amp;A206,dataMail!$H:$H,"&gt;"&amp;A206,dataMail!J:J,"DE")</f>
        <v>5</v>
      </c>
      <c r="D206" s="442">
        <f>4-COUNTIFS(dataMail!$C:$C,"&lt;&gt;Annulation",dataMail!$G:$G,"&lt;="&amp;A206,dataMail!$H:$H,"&gt;"&amp;A206,dataMail!J:J,"SU")-COUNTIFS(dataMail!$C:$C,"&lt;&gt;Annulation",dataMail!$G:$G,"&lt;="&amp;A206,dataMail!$H:$H,"&gt;"&amp;A206,dataMail!J:J,"SX")</f>
        <v>4</v>
      </c>
    </row>
    <row r="207">
      <c r="A207" s="441">
        <f t="shared" si="2"/>
        <v>46455</v>
      </c>
      <c r="B207" s="442">
        <f t="shared" si="1"/>
        <v>9</v>
      </c>
      <c r="C207" s="442">
        <f>5-COUNTIFS(dataMail!$C:$C,"&lt;&gt;Annulation",dataMail!$G:$G,"&lt;="&amp;A207,dataMail!$H:$H,"&gt;"&amp;A207,dataMail!J:J,"DE")</f>
        <v>5</v>
      </c>
      <c r="D207" s="442">
        <f>4-COUNTIFS(dataMail!$C:$C,"&lt;&gt;Annulation",dataMail!$G:$G,"&lt;="&amp;A207,dataMail!$H:$H,"&gt;"&amp;A207,dataMail!J:J,"SU")-COUNTIFS(dataMail!$C:$C,"&lt;&gt;Annulation",dataMail!$G:$G,"&lt;="&amp;A207,dataMail!$H:$H,"&gt;"&amp;A207,dataMail!J:J,"SX")</f>
        <v>4</v>
      </c>
    </row>
    <row r="208">
      <c r="A208" s="441">
        <f t="shared" si="2"/>
        <v>46456</v>
      </c>
      <c r="B208" s="442">
        <f t="shared" si="1"/>
        <v>9</v>
      </c>
      <c r="C208" s="442">
        <f>5-COUNTIFS(dataMail!$C:$C,"&lt;&gt;Annulation",dataMail!$G:$G,"&lt;="&amp;A208,dataMail!$H:$H,"&gt;"&amp;A208,dataMail!J:J,"DE")</f>
        <v>5</v>
      </c>
      <c r="D208" s="442">
        <f>4-COUNTIFS(dataMail!$C:$C,"&lt;&gt;Annulation",dataMail!$G:$G,"&lt;="&amp;A208,dataMail!$H:$H,"&gt;"&amp;A208,dataMail!J:J,"SU")-COUNTIFS(dataMail!$C:$C,"&lt;&gt;Annulation",dataMail!$G:$G,"&lt;="&amp;A208,dataMail!$H:$H,"&gt;"&amp;A208,dataMail!J:J,"SX")</f>
        <v>4</v>
      </c>
    </row>
    <row r="209">
      <c r="A209" s="441">
        <f t="shared" si="2"/>
        <v>46457</v>
      </c>
      <c r="B209" s="442">
        <f t="shared" si="1"/>
        <v>6</v>
      </c>
      <c r="C209" s="442">
        <f>5-COUNTIFS(dataMail!$C:$C,"&lt;&gt;Annulation",dataMail!$G:$G,"&lt;="&amp;A209,dataMail!$H:$H,"&gt;"&amp;A209,dataMail!J:J,"DE")</f>
        <v>2</v>
      </c>
      <c r="D209" s="442">
        <f>4-COUNTIFS(dataMail!$C:$C,"&lt;&gt;Annulation",dataMail!$G:$G,"&lt;="&amp;A209,dataMail!$H:$H,"&gt;"&amp;A209,dataMail!J:J,"SU")-COUNTIFS(dataMail!$C:$C,"&lt;&gt;Annulation",dataMail!$G:$G,"&lt;="&amp;A209,dataMail!$H:$H,"&gt;"&amp;A209,dataMail!J:J,"SX")</f>
        <v>4</v>
      </c>
    </row>
    <row r="210">
      <c r="A210" s="441">
        <f t="shared" si="2"/>
        <v>46458</v>
      </c>
      <c r="B210" s="442">
        <f t="shared" si="1"/>
        <v>5</v>
      </c>
      <c r="C210" s="442">
        <f>5-COUNTIFS(dataMail!$C:$C,"&lt;&gt;Annulation",dataMail!$G:$G,"&lt;="&amp;A210,dataMail!$H:$H,"&gt;"&amp;A210,dataMail!J:J,"DE")</f>
        <v>2</v>
      </c>
      <c r="D210" s="442">
        <f>4-COUNTIFS(dataMail!$C:$C,"&lt;&gt;Annulation",dataMail!$G:$G,"&lt;="&amp;A210,dataMail!$H:$H,"&gt;"&amp;A210,dataMail!J:J,"SU")-COUNTIFS(dataMail!$C:$C,"&lt;&gt;Annulation",dataMail!$G:$G,"&lt;="&amp;A210,dataMail!$H:$H,"&gt;"&amp;A210,dataMail!J:J,"SX")</f>
        <v>3</v>
      </c>
    </row>
    <row r="211">
      <c r="A211" s="441">
        <f t="shared" si="2"/>
        <v>46459</v>
      </c>
      <c r="B211" s="442">
        <f t="shared" si="1"/>
        <v>5</v>
      </c>
      <c r="C211" s="442">
        <f>5-COUNTIFS(dataMail!$C:$C,"&lt;&gt;Annulation",dataMail!$G:$G,"&lt;="&amp;A211,dataMail!$H:$H,"&gt;"&amp;A211,dataMail!J:J,"DE")</f>
        <v>2</v>
      </c>
      <c r="D211" s="442">
        <f>4-COUNTIFS(dataMail!$C:$C,"&lt;&gt;Annulation",dataMail!$G:$G,"&lt;="&amp;A211,dataMail!$H:$H,"&gt;"&amp;A211,dataMail!J:J,"SU")-COUNTIFS(dataMail!$C:$C,"&lt;&gt;Annulation",dataMail!$G:$G,"&lt;="&amp;A211,dataMail!$H:$H,"&gt;"&amp;A211,dataMail!J:J,"SX")</f>
        <v>3</v>
      </c>
    </row>
    <row r="212">
      <c r="A212" s="441">
        <f t="shared" si="2"/>
        <v>46460</v>
      </c>
      <c r="B212" s="442">
        <f t="shared" si="1"/>
        <v>9</v>
      </c>
      <c r="C212" s="442">
        <f>5-COUNTIFS(dataMail!$C:$C,"&lt;&gt;Annulation",dataMail!$G:$G,"&lt;="&amp;A212,dataMail!$H:$H,"&gt;"&amp;A212,dataMail!J:J,"DE")</f>
        <v>5</v>
      </c>
      <c r="D212" s="442">
        <f>4-COUNTIFS(dataMail!$C:$C,"&lt;&gt;Annulation",dataMail!$G:$G,"&lt;="&amp;A212,dataMail!$H:$H,"&gt;"&amp;A212,dataMail!J:J,"SU")-COUNTIFS(dataMail!$C:$C,"&lt;&gt;Annulation",dataMail!$G:$G,"&lt;="&amp;A212,dataMail!$H:$H,"&gt;"&amp;A212,dataMail!J:J,"SX")</f>
        <v>4</v>
      </c>
    </row>
    <row r="213">
      <c r="A213" s="441">
        <f t="shared" si="2"/>
        <v>46461</v>
      </c>
      <c r="B213" s="442">
        <f t="shared" si="1"/>
        <v>9</v>
      </c>
      <c r="C213" s="442">
        <f>5-COUNTIFS(dataMail!$C:$C,"&lt;&gt;Annulation",dataMail!$G:$G,"&lt;="&amp;A213,dataMail!$H:$H,"&gt;"&amp;A213,dataMail!J:J,"DE")</f>
        <v>5</v>
      </c>
      <c r="D213" s="442">
        <f>4-COUNTIFS(dataMail!$C:$C,"&lt;&gt;Annulation",dataMail!$G:$G,"&lt;="&amp;A213,dataMail!$H:$H,"&gt;"&amp;A213,dataMail!J:J,"SU")-COUNTIFS(dataMail!$C:$C,"&lt;&gt;Annulation",dataMail!$G:$G,"&lt;="&amp;A213,dataMail!$H:$H,"&gt;"&amp;A213,dataMail!J:J,"SX")</f>
        <v>4</v>
      </c>
    </row>
    <row r="214">
      <c r="A214" s="441">
        <f t="shared" si="2"/>
        <v>46462</v>
      </c>
      <c r="B214" s="442">
        <f t="shared" si="1"/>
        <v>9</v>
      </c>
      <c r="C214" s="442">
        <f>5-COUNTIFS(dataMail!$C:$C,"&lt;&gt;Annulation",dataMail!$G:$G,"&lt;="&amp;A214,dataMail!$H:$H,"&gt;"&amp;A214,dataMail!J:J,"DE")</f>
        <v>5</v>
      </c>
      <c r="D214" s="442">
        <f>4-COUNTIFS(dataMail!$C:$C,"&lt;&gt;Annulation",dataMail!$G:$G,"&lt;="&amp;A214,dataMail!$H:$H,"&gt;"&amp;A214,dataMail!J:J,"SU")-COUNTIFS(dataMail!$C:$C,"&lt;&gt;Annulation",dataMail!$G:$G,"&lt;="&amp;A214,dataMail!$H:$H,"&gt;"&amp;A214,dataMail!J:J,"SX")</f>
        <v>4</v>
      </c>
    </row>
    <row r="215">
      <c r="A215" s="441">
        <f t="shared" si="2"/>
        <v>46463</v>
      </c>
      <c r="B215" s="442">
        <f t="shared" si="1"/>
        <v>9</v>
      </c>
      <c r="C215" s="442">
        <f>5-COUNTIFS(dataMail!$C:$C,"&lt;&gt;Annulation",dataMail!$G:$G,"&lt;="&amp;A215,dataMail!$H:$H,"&gt;"&amp;A215,dataMail!J:J,"DE")</f>
        <v>5</v>
      </c>
      <c r="D215" s="442">
        <f>4-COUNTIFS(dataMail!$C:$C,"&lt;&gt;Annulation",dataMail!$G:$G,"&lt;="&amp;A215,dataMail!$H:$H,"&gt;"&amp;A215,dataMail!J:J,"SU")-COUNTIFS(dataMail!$C:$C,"&lt;&gt;Annulation",dataMail!$G:$G,"&lt;="&amp;A215,dataMail!$H:$H,"&gt;"&amp;A215,dataMail!J:J,"SX")</f>
        <v>4</v>
      </c>
    </row>
    <row r="216">
      <c r="A216" s="441">
        <f t="shared" si="2"/>
        <v>46464</v>
      </c>
      <c r="B216" s="442">
        <f t="shared" si="1"/>
        <v>9</v>
      </c>
      <c r="C216" s="442">
        <f>5-COUNTIFS(dataMail!$C:$C,"&lt;&gt;Annulation",dataMail!$G:$G,"&lt;="&amp;A216,dataMail!$H:$H,"&gt;"&amp;A216,dataMail!J:J,"DE")</f>
        <v>5</v>
      </c>
      <c r="D216" s="442">
        <f>4-COUNTIFS(dataMail!$C:$C,"&lt;&gt;Annulation",dataMail!$G:$G,"&lt;="&amp;A216,dataMail!$H:$H,"&gt;"&amp;A216,dataMail!J:J,"SU")-COUNTIFS(dataMail!$C:$C,"&lt;&gt;Annulation",dataMail!$G:$G,"&lt;="&amp;A216,dataMail!$H:$H,"&gt;"&amp;A216,dataMail!J:J,"SX")</f>
        <v>4</v>
      </c>
    </row>
    <row r="217">
      <c r="A217" s="441">
        <f t="shared" si="2"/>
        <v>46465</v>
      </c>
      <c r="B217" s="442">
        <f t="shared" si="1"/>
        <v>9</v>
      </c>
      <c r="C217" s="442">
        <f>5-COUNTIFS(dataMail!$C:$C,"&lt;&gt;Annulation",dataMail!$G:$G,"&lt;="&amp;A217,dataMail!$H:$H,"&gt;"&amp;A217,dataMail!J:J,"DE")</f>
        <v>5</v>
      </c>
      <c r="D217" s="442">
        <f>4-COUNTIFS(dataMail!$C:$C,"&lt;&gt;Annulation",dataMail!$G:$G,"&lt;="&amp;A217,dataMail!$H:$H,"&gt;"&amp;A217,dataMail!J:J,"SU")-COUNTIFS(dataMail!$C:$C,"&lt;&gt;Annulation",dataMail!$G:$G,"&lt;="&amp;A217,dataMail!$H:$H,"&gt;"&amp;A217,dataMail!J:J,"SX")</f>
        <v>4</v>
      </c>
    </row>
    <row r="218">
      <c r="A218" s="441">
        <f t="shared" si="2"/>
        <v>46466</v>
      </c>
      <c r="B218" s="442">
        <f t="shared" si="1"/>
        <v>9</v>
      </c>
      <c r="C218" s="442">
        <f>5-COUNTIFS(dataMail!$C:$C,"&lt;&gt;Annulation",dataMail!$G:$G,"&lt;="&amp;A218,dataMail!$H:$H,"&gt;"&amp;A218,dataMail!J:J,"DE")</f>
        <v>5</v>
      </c>
      <c r="D218" s="442">
        <f>4-COUNTIFS(dataMail!$C:$C,"&lt;&gt;Annulation",dataMail!$G:$G,"&lt;="&amp;A218,dataMail!$H:$H,"&gt;"&amp;A218,dataMail!J:J,"SU")-COUNTIFS(dataMail!$C:$C,"&lt;&gt;Annulation",dataMail!$G:$G,"&lt;="&amp;A218,dataMail!$H:$H,"&gt;"&amp;A218,dataMail!J:J,"SX")</f>
        <v>4</v>
      </c>
    </row>
    <row r="219">
      <c r="A219" s="441">
        <f t="shared" si="2"/>
        <v>46467</v>
      </c>
      <c r="B219" s="442">
        <f t="shared" si="1"/>
        <v>9</v>
      </c>
      <c r="C219" s="442">
        <f>5-COUNTIFS(dataMail!$C:$C,"&lt;&gt;Annulation",dataMail!$G:$G,"&lt;="&amp;A219,dataMail!$H:$H,"&gt;"&amp;A219,dataMail!J:J,"DE")</f>
        <v>5</v>
      </c>
      <c r="D219" s="442">
        <f>4-COUNTIFS(dataMail!$C:$C,"&lt;&gt;Annulation",dataMail!$G:$G,"&lt;="&amp;A219,dataMail!$H:$H,"&gt;"&amp;A219,dataMail!J:J,"SU")-COUNTIFS(dataMail!$C:$C,"&lt;&gt;Annulation",dataMail!$G:$G,"&lt;="&amp;A219,dataMail!$H:$H,"&gt;"&amp;A219,dataMail!J:J,"SX")</f>
        <v>4</v>
      </c>
    </row>
    <row r="220">
      <c r="A220" s="441">
        <f t="shared" si="2"/>
        <v>46468</v>
      </c>
      <c r="B220" s="442">
        <f t="shared" si="1"/>
        <v>8</v>
      </c>
      <c r="C220" s="442">
        <f>5-COUNTIFS(dataMail!$C:$C,"&lt;&gt;Annulation",dataMail!$G:$G,"&lt;="&amp;A220,dataMail!$H:$H,"&gt;"&amp;A220,dataMail!J:J,"DE")</f>
        <v>4</v>
      </c>
      <c r="D220" s="442">
        <f>4-COUNTIFS(dataMail!$C:$C,"&lt;&gt;Annulation",dataMail!$G:$G,"&lt;="&amp;A220,dataMail!$H:$H,"&gt;"&amp;A220,dataMail!J:J,"SU")-COUNTIFS(dataMail!$C:$C,"&lt;&gt;Annulation",dataMail!$G:$G,"&lt;="&amp;A220,dataMail!$H:$H,"&gt;"&amp;A220,dataMail!J:J,"SX")</f>
        <v>4</v>
      </c>
    </row>
    <row r="221">
      <c r="A221" s="441">
        <f t="shared" si="2"/>
        <v>46469</v>
      </c>
      <c r="B221" s="442">
        <f t="shared" si="1"/>
        <v>7</v>
      </c>
      <c r="C221" s="442">
        <f>5-COUNTIFS(dataMail!$C:$C,"&lt;&gt;Annulation",dataMail!$G:$G,"&lt;="&amp;A221,dataMail!$H:$H,"&gt;"&amp;A221,dataMail!J:J,"DE")</f>
        <v>3</v>
      </c>
      <c r="D221" s="442">
        <f>4-COUNTIFS(dataMail!$C:$C,"&lt;&gt;Annulation",dataMail!$G:$G,"&lt;="&amp;A221,dataMail!$H:$H,"&gt;"&amp;A221,dataMail!J:J,"SU")-COUNTIFS(dataMail!$C:$C,"&lt;&gt;Annulation",dataMail!$G:$G,"&lt;="&amp;A221,dataMail!$H:$H,"&gt;"&amp;A221,dataMail!J:J,"SX")</f>
        <v>4</v>
      </c>
    </row>
    <row r="222">
      <c r="A222" s="441">
        <f t="shared" si="2"/>
        <v>46470</v>
      </c>
      <c r="B222" s="442">
        <f t="shared" si="1"/>
        <v>6</v>
      </c>
      <c r="C222" s="442">
        <f>5-COUNTIFS(dataMail!$C:$C,"&lt;&gt;Annulation",dataMail!$G:$G,"&lt;="&amp;A222,dataMail!$H:$H,"&gt;"&amp;A222,dataMail!J:J,"DE")</f>
        <v>2</v>
      </c>
      <c r="D222" s="442">
        <f>4-COUNTIFS(dataMail!$C:$C,"&lt;&gt;Annulation",dataMail!$G:$G,"&lt;="&amp;A222,dataMail!$H:$H,"&gt;"&amp;A222,dataMail!J:J,"SU")-COUNTIFS(dataMail!$C:$C,"&lt;&gt;Annulation",dataMail!$G:$G,"&lt;="&amp;A222,dataMail!$H:$H,"&gt;"&amp;A222,dataMail!J:J,"SX")</f>
        <v>4</v>
      </c>
    </row>
    <row r="223">
      <c r="A223" s="441">
        <f t="shared" si="2"/>
        <v>46471</v>
      </c>
      <c r="B223" s="442">
        <f t="shared" si="1"/>
        <v>7</v>
      </c>
      <c r="C223" s="442">
        <f>5-COUNTIFS(dataMail!$C:$C,"&lt;&gt;Annulation",dataMail!$G:$G,"&lt;="&amp;A223,dataMail!$H:$H,"&gt;"&amp;A223,dataMail!J:J,"DE")</f>
        <v>3</v>
      </c>
      <c r="D223" s="442">
        <f>4-COUNTIFS(dataMail!$C:$C,"&lt;&gt;Annulation",dataMail!$G:$G,"&lt;="&amp;A223,dataMail!$H:$H,"&gt;"&amp;A223,dataMail!J:J,"SU")-COUNTIFS(dataMail!$C:$C,"&lt;&gt;Annulation",dataMail!$G:$G,"&lt;="&amp;A223,dataMail!$H:$H,"&gt;"&amp;A223,dataMail!J:J,"SX")</f>
        <v>4</v>
      </c>
    </row>
    <row r="224">
      <c r="A224" s="441">
        <f t="shared" si="2"/>
        <v>46472</v>
      </c>
      <c r="B224" s="442">
        <f t="shared" si="1"/>
        <v>8</v>
      </c>
      <c r="C224" s="442">
        <f>5-COUNTIFS(dataMail!$C:$C,"&lt;&gt;Annulation",dataMail!$G:$G,"&lt;="&amp;A224,dataMail!$H:$H,"&gt;"&amp;A224,dataMail!J:J,"DE")</f>
        <v>4</v>
      </c>
      <c r="D224" s="442">
        <f>4-COUNTIFS(dataMail!$C:$C,"&lt;&gt;Annulation",dataMail!$G:$G,"&lt;="&amp;A224,dataMail!$H:$H,"&gt;"&amp;A224,dataMail!J:J,"SU")-COUNTIFS(dataMail!$C:$C,"&lt;&gt;Annulation",dataMail!$G:$G,"&lt;="&amp;A224,dataMail!$H:$H,"&gt;"&amp;A224,dataMail!J:J,"SX")</f>
        <v>4</v>
      </c>
    </row>
    <row r="225">
      <c r="A225" s="441">
        <f t="shared" si="2"/>
        <v>46473</v>
      </c>
      <c r="B225" s="442">
        <f t="shared" si="1"/>
        <v>8</v>
      </c>
      <c r="C225" s="442">
        <f>5-COUNTIFS(dataMail!$C:$C,"&lt;&gt;Annulation",dataMail!$G:$G,"&lt;="&amp;A225,dataMail!$H:$H,"&gt;"&amp;A225,dataMail!J:J,"DE")</f>
        <v>4</v>
      </c>
      <c r="D225" s="442">
        <f>4-COUNTIFS(dataMail!$C:$C,"&lt;&gt;Annulation",dataMail!$G:$G,"&lt;="&amp;A225,dataMail!$H:$H,"&gt;"&amp;A225,dataMail!J:J,"SU")-COUNTIFS(dataMail!$C:$C,"&lt;&gt;Annulation",dataMail!$G:$G,"&lt;="&amp;A225,dataMail!$H:$H,"&gt;"&amp;A225,dataMail!J:J,"SX")</f>
        <v>4</v>
      </c>
    </row>
    <row r="226">
      <c r="A226" s="441">
        <f t="shared" si="2"/>
        <v>46474</v>
      </c>
      <c r="B226" s="442">
        <f t="shared" si="1"/>
        <v>8</v>
      </c>
      <c r="C226" s="442">
        <f>5-COUNTIFS(dataMail!$C:$C,"&lt;&gt;Annulation",dataMail!$G:$G,"&lt;="&amp;A226,dataMail!$H:$H,"&gt;"&amp;A226,dataMail!J:J,"DE")</f>
        <v>4</v>
      </c>
      <c r="D226" s="442">
        <f>4-COUNTIFS(dataMail!$C:$C,"&lt;&gt;Annulation",dataMail!$G:$G,"&lt;="&amp;A226,dataMail!$H:$H,"&gt;"&amp;A226,dataMail!J:J,"SU")-COUNTIFS(dataMail!$C:$C,"&lt;&gt;Annulation",dataMail!$G:$G,"&lt;="&amp;A226,dataMail!$H:$H,"&gt;"&amp;A226,dataMail!J:J,"SX")</f>
        <v>4</v>
      </c>
    </row>
    <row r="227">
      <c r="A227" s="441">
        <f t="shared" si="2"/>
        <v>46475</v>
      </c>
      <c r="B227" s="442">
        <f t="shared" si="1"/>
        <v>8</v>
      </c>
      <c r="C227" s="442">
        <f>5-COUNTIFS(dataMail!$C:$C,"&lt;&gt;Annulation",dataMail!$G:$G,"&lt;="&amp;A227,dataMail!$H:$H,"&gt;"&amp;A227,dataMail!J:J,"DE")</f>
        <v>4</v>
      </c>
      <c r="D227" s="442">
        <f>4-COUNTIFS(dataMail!$C:$C,"&lt;&gt;Annulation",dataMail!$G:$G,"&lt;="&amp;A227,dataMail!$H:$H,"&gt;"&amp;A227,dataMail!J:J,"SU")-COUNTIFS(dataMail!$C:$C,"&lt;&gt;Annulation",dataMail!$G:$G,"&lt;="&amp;A227,dataMail!$H:$H,"&gt;"&amp;A227,dataMail!J:J,"SX")</f>
        <v>4</v>
      </c>
    </row>
    <row r="228">
      <c r="A228" s="441">
        <f t="shared" si="2"/>
        <v>46476</v>
      </c>
      <c r="B228" s="442">
        <f t="shared" si="1"/>
        <v>7</v>
      </c>
      <c r="C228" s="442">
        <f>5-COUNTIFS(dataMail!$C:$C,"&lt;&gt;Annulation",dataMail!$G:$G,"&lt;="&amp;A228,dataMail!$H:$H,"&gt;"&amp;A228,dataMail!J:J,"DE")</f>
        <v>3</v>
      </c>
      <c r="D228" s="442">
        <f>4-COUNTIFS(dataMail!$C:$C,"&lt;&gt;Annulation",dataMail!$G:$G,"&lt;="&amp;A228,dataMail!$H:$H,"&gt;"&amp;A228,dataMail!J:J,"SU")-COUNTIFS(dataMail!$C:$C,"&lt;&gt;Annulation",dataMail!$G:$G,"&lt;="&amp;A228,dataMail!$H:$H,"&gt;"&amp;A228,dataMail!J:J,"SX")</f>
        <v>4</v>
      </c>
    </row>
    <row r="229">
      <c r="A229" s="441">
        <f t="shared" si="2"/>
        <v>46477</v>
      </c>
      <c r="B229" s="442">
        <f t="shared" si="1"/>
        <v>7</v>
      </c>
      <c r="C229" s="442">
        <f>5-COUNTIFS(dataMail!$C:$C,"&lt;&gt;Annulation",dataMail!$G:$G,"&lt;="&amp;A229,dataMail!$H:$H,"&gt;"&amp;A229,dataMail!J:J,"DE")</f>
        <v>3</v>
      </c>
      <c r="D229" s="442">
        <f>4-COUNTIFS(dataMail!$C:$C,"&lt;&gt;Annulation",dataMail!$G:$G,"&lt;="&amp;A229,dataMail!$H:$H,"&gt;"&amp;A229,dataMail!J:J,"SU")-COUNTIFS(dataMail!$C:$C,"&lt;&gt;Annulation",dataMail!$G:$G,"&lt;="&amp;A229,dataMail!$H:$H,"&gt;"&amp;A229,dataMail!J:J,"SX")</f>
        <v>4</v>
      </c>
    </row>
    <row r="230">
      <c r="A230" s="441">
        <f t="shared" si="2"/>
        <v>46478</v>
      </c>
      <c r="B230" s="442">
        <f t="shared" si="1"/>
        <v>7</v>
      </c>
      <c r="C230" s="442">
        <f>5-COUNTIFS(dataMail!$C:$C,"&lt;&gt;Annulation",dataMail!$G:$G,"&lt;="&amp;A230,dataMail!$H:$H,"&gt;"&amp;A230,dataMail!J:J,"DE")</f>
        <v>3</v>
      </c>
      <c r="D230" s="442">
        <f>4-COUNTIFS(dataMail!$C:$C,"&lt;&gt;Annulation",dataMail!$G:$G,"&lt;="&amp;A230,dataMail!$H:$H,"&gt;"&amp;A230,dataMail!J:J,"SU")-COUNTIFS(dataMail!$C:$C,"&lt;&gt;Annulation",dataMail!$G:$G,"&lt;="&amp;A230,dataMail!$H:$H,"&gt;"&amp;A230,dataMail!J:J,"SX")</f>
        <v>4</v>
      </c>
    </row>
    <row r="231">
      <c r="A231" s="441">
        <f t="shared" si="2"/>
        <v>46479</v>
      </c>
      <c r="B231" s="442">
        <f t="shared" si="1"/>
        <v>7</v>
      </c>
      <c r="C231" s="442">
        <f>5-COUNTIFS(dataMail!$C:$C,"&lt;&gt;Annulation",dataMail!$G:$G,"&lt;="&amp;A231,dataMail!$H:$H,"&gt;"&amp;A231,dataMail!J:J,"DE")</f>
        <v>3</v>
      </c>
      <c r="D231" s="442">
        <f>4-COUNTIFS(dataMail!$C:$C,"&lt;&gt;Annulation",dataMail!$G:$G,"&lt;="&amp;A231,dataMail!$H:$H,"&gt;"&amp;A231,dataMail!J:J,"SU")-COUNTIFS(dataMail!$C:$C,"&lt;&gt;Annulation",dataMail!$G:$G,"&lt;="&amp;A231,dataMail!$H:$H,"&gt;"&amp;A231,dataMail!J:J,"SX")</f>
        <v>4</v>
      </c>
    </row>
    <row r="232">
      <c r="A232" s="441">
        <f t="shared" si="2"/>
        <v>46480</v>
      </c>
      <c r="B232" s="442">
        <f t="shared" si="1"/>
        <v>7</v>
      </c>
      <c r="C232" s="442">
        <f>5-COUNTIFS(dataMail!$C:$C,"&lt;&gt;Annulation",dataMail!$G:$G,"&lt;="&amp;A232,dataMail!$H:$H,"&gt;"&amp;A232,dataMail!J:J,"DE")</f>
        <v>3</v>
      </c>
      <c r="D232" s="442">
        <f>4-COUNTIFS(dataMail!$C:$C,"&lt;&gt;Annulation",dataMail!$G:$G,"&lt;="&amp;A232,dataMail!$H:$H,"&gt;"&amp;A232,dataMail!J:J,"SU")-COUNTIFS(dataMail!$C:$C,"&lt;&gt;Annulation",dataMail!$G:$G,"&lt;="&amp;A232,dataMail!$H:$H,"&gt;"&amp;A232,dataMail!J:J,"SX")</f>
        <v>4</v>
      </c>
    </row>
    <row r="233">
      <c r="A233" s="441">
        <f t="shared" si="2"/>
        <v>46481</v>
      </c>
      <c r="B233" s="442">
        <f t="shared" si="1"/>
        <v>9</v>
      </c>
      <c r="C233" s="442">
        <f>5-COUNTIFS(dataMail!$C:$C,"&lt;&gt;Annulation",dataMail!$G:$G,"&lt;="&amp;A233,dataMail!$H:$H,"&gt;"&amp;A233,dataMail!J:J,"DE")</f>
        <v>5</v>
      </c>
      <c r="D233" s="442">
        <f>4-COUNTIFS(dataMail!$C:$C,"&lt;&gt;Annulation",dataMail!$G:$G,"&lt;="&amp;A233,dataMail!$H:$H,"&gt;"&amp;A233,dataMail!J:J,"SU")-COUNTIFS(dataMail!$C:$C,"&lt;&gt;Annulation",dataMail!$G:$G,"&lt;="&amp;A233,dataMail!$H:$H,"&gt;"&amp;A233,dataMail!J:J,"SX")</f>
        <v>4</v>
      </c>
    </row>
    <row r="234">
      <c r="A234" s="441">
        <f t="shared" si="2"/>
        <v>46482</v>
      </c>
      <c r="B234" s="442">
        <f t="shared" si="1"/>
        <v>9</v>
      </c>
      <c r="C234" s="442">
        <f>5-COUNTIFS(dataMail!$C:$C,"&lt;&gt;Annulation",dataMail!$G:$G,"&lt;="&amp;A234,dataMail!$H:$H,"&gt;"&amp;A234,dataMail!J:J,"DE")</f>
        <v>5</v>
      </c>
      <c r="D234" s="442">
        <f>4-COUNTIFS(dataMail!$C:$C,"&lt;&gt;Annulation",dataMail!$G:$G,"&lt;="&amp;A234,dataMail!$H:$H,"&gt;"&amp;A234,dataMail!J:J,"SU")-COUNTIFS(dataMail!$C:$C,"&lt;&gt;Annulation",dataMail!$G:$G,"&lt;="&amp;A234,dataMail!$H:$H,"&gt;"&amp;A234,dataMail!J:J,"SX")</f>
        <v>4</v>
      </c>
    </row>
    <row r="235">
      <c r="A235" s="441">
        <f t="shared" si="2"/>
        <v>46483</v>
      </c>
      <c r="B235" s="442">
        <f t="shared" si="1"/>
        <v>9</v>
      </c>
      <c r="C235" s="442">
        <f>5-COUNTIFS(dataMail!$C:$C,"&lt;&gt;Annulation",dataMail!$G:$G,"&lt;="&amp;A235,dataMail!$H:$H,"&gt;"&amp;A235,dataMail!J:J,"DE")</f>
        <v>5</v>
      </c>
      <c r="D235" s="442">
        <f>4-COUNTIFS(dataMail!$C:$C,"&lt;&gt;Annulation",dataMail!$G:$G,"&lt;="&amp;A235,dataMail!$H:$H,"&gt;"&amp;A235,dataMail!J:J,"SU")-COUNTIFS(dataMail!$C:$C,"&lt;&gt;Annulation",dataMail!$G:$G,"&lt;="&amp;A235,dataMail!$H:$H,"&gt;"&amp;A235,dataMail!J:J,"SX")</f>
        <v>4</v>
      </c>
    </row>
    <row r="236">
      <c r="A236" s="441">
        <f t="shared" si="2"/>
        <v>46484</v>
      </c>
      <c r="B236" s="442">
        <f t="shared" si="1"/>
        <v>9</v>
      </c>
      <c r="C236" s="442">
        <f>5-COUNTIFS(dataMail!$C:$C,"&lt;&gt;Annulation",dataMail!$G:$G,"&lt;="&amp;A236,dataMail!$H:$H,"&gt;"&amp;A236,dataMail!J:J,"DE")</f>
        <v>5</v>
      </c>
      <c r="D236" s="442">
        <f>4-COUNTIFS(dataMail!$C:$C,"&lt;&gt;Annulation",dataMail!$G:$G,"&lt;="&amp;A236,dataMail!$H:$H,"&gt;"&amp;A236,dataMail!J:J,"SU")-COUNTIFS(dataMail!$C:$C,"&lt;&gt;Annulation",dataMail!$G:$G,"&lt;="&amp;A236,dataMail!$H:$H,"&gt;"&amp;A236,dataMail!J:J,"SX")</f>
        <v>4</v>
      </c>
    </row>
    <row r="237">
      <c r="A237" s="441">
        <f t="shared" si="2"/>
        <v>46485</v>
      </c>
      <c r="B237" s="442">
        <f t="shared" si="1"/>
        <v>9</v>
      </c>
      <c r="C237" s="442">
        <f>5-COUNTIFS(dataMail!$C:$C,"&lt;&gt;Annulation",dataMail!$G:$G,"&lt;="&amp;A237,dataMail!$H:$H,"&gt;"&amp;A237,dataMail!J:J,"DE")</f>
        <v>5</v>
      </c>
      <c r="D237" s="442">
        <f>4-COUNTIFS(dataMail!$C:$C,"&lt;&gt;Annulation",dataMail!$G:$G,"&lt;="&amp;A237,dataMail!$H:$H,"&gt;"&amp;A237,dataMail!J:J,"SU")-COUNTIFS(dataMail!$C:$C,"&lt;&gt;Annulation",dataMail!$G:$G,"&lt;="&amp;A237,dataMail!$H:$H,"&gt;"&amp;A237,dataMail!J:J,"SX")</f>
        <v>4</v>
      </c>
    </row>
    <row r="238">
      <c r="A238" s="441">
        <f t="shared" si="2"/>
        <v>46486</v>
      </c>
      <c r="B238" s="442">
        <f t="shared" si="1"/>
        <v>9</v>
      </c>
      <c r="C238" s="442">
        <f>5-COUNTIFS(dataMail!$C:$C,"&lt;&gt;Annulation",dataMail!$G:$G,"&lt;="&amp;A238,dataMail!$H:$H,"&gt;"&amp;A238,dataMail!J:J,"DE")</f>
        <v>5</v>
      </c>
      <c r="D238" s="442">
        <f>4-COUNTIFS(dataMail!$C:$C,"&lt;&gt;Annulation",dataMail!$G:$G,"&lt;="&amp;A238,dataMail!$H:$H,"&gt;"&amp;A238,dataMail!J:J,"SU")-COUNTIFS(dataMail!$C:$C,"&lt;&gt;Annulation",dataMail!$G:$G,"&lt;="&amp;A238,dataMail!$H:$H,"&gt;"&amp;A238,dataMail!J:J,"SX")</f>
        <v>4</v>
      </c>
    </row>
    <row r="239">
      <c r="A239" s="441">
        <f t="shared" si="2"/>
        <v>46487</v>
      </c>
      <c r="B239" s="442">
        <f t="shared" si="1"/>
        <v>9</v>
      </c>
      <c r="C239" s="442">
        <f>5-COUNTIFS(dataMail!$C:$C,"&lt;&gt;Annulation",dataMail!$G:$G,"&lt;="&amp;A239,dataMail!$H:$H,"&gt;"&amp;A239,dataMail!J:J,"DE")</f>
        <v>5</v>
      </c>
      <c r="D239" s="442">
        <f>4-COUNTIFS(dataMail!$C:$C,"&lt;&gt;Annulation",dataMail!$G:$G,"&lt;="&amp;A239,dataMail!$H:$H,"&gt;"&amp;A239,dataMail!J:J,"SU")-COUNTIFS(dataMail!$C:$C,"&lt;&gt;Annulation",dataMail!$G:$G,"&lt;="&amp;A239,dataMail!$H:$H,"&gt;"&amp;A239,dataMail!J:J,"SX")</f>
        <v>4</v>
      </c>
    </row>
    <row r="240">
      <c r="A240" s="441">
        <f t="shared" si="2"/>
        <v>46488</v>
      </c>
      <c r="B240" s="442">
        <f t="shared" si="1"/>
        <v>8</v>
      </c>
      <c r="C240" s="442">
        <f>5-COUNTIFS(dataMail!$C:$C,"&lt;&gt;Annulation",dataMail!$G:$G,"&lt;="&amp;A240,dataMail!$H:$H,"&gt;"&amp;A240,dataMail!J:J,"DE")</f>
        <v>4</v>
      </c>
      <c r="D240" s="442">
        <f>4-COUNTIFS(dataMail!$C:$C,"&lt;&gt;Annulation",dataMail!$G:$G,"&lt;="&amp;A240,dataMail!$H:$H,"&gt;"&amp;A240,dataMail!J:J,"SU")-COUNTIFS(dataMail!$C:$C,"&lt;&gt;Annulation",dataMail!$G:$G,"&lt;="&amp;A240,dataMail!$H:$H,"&gt;"&amp;A240,dataMail!J:J,"SX")</f>
        <v>4</v>
      </c>
    </row>
    <row r="241">
      <c r="A241" s="441">
        <f t="shared" si="2"/>
        <v>46489</v>
      </c>
      <c r="B241" s="442">
        <f t="shared" si="1"/>
        <v>8</v>
      </c>
      <c r="C241" s="442">
        <f>5-COUNTIFS(dataMail!$C:$C,"&lt;&gt;Annulation",dataMail!$G:$G,"&lt;="&amp;A241,dataMail!$H:$H,"&gt;"&amp;A241,dataMail!J:J,"DE")</f>
        <v>4</v>
      </c>
      <c r="D241" s="442">
        <f>4-COUNTIFS(dataMail!$C:$C,"&lt;&gt;Annulation",dataMail!$G:$G,"&lt;="&amp;A241,dataMail!$H:$H,"&gt;"&amp;A241,dataMail!J:J,"SU")-COUNTIFS(dataMail!$C:$C,"&lt;&gt;Annulation",dataMail!$G:$G,"&lt;="&amp;A241,dataMail!$H:$H,"&gt;"&amp;A241,dataMail!J:J,"SX")</f>
        <v>4</v>
      </c>
    </row>
    <row r="242">
      <c r="A242" s="441">
        <f t="shared" si="2"/>
        <v>46490</v>
      </c>
      <c r="B242" s="442">
        <f t="shared" si="1"/>
        <v>8</v>
      </c>
      <c r="C242" s="442">
        <f>5-COUNTIFS(dataMail!$C:$C,"&lt;&gt;Annulation",dataMail!$G:$G,"&lt;="&amp;A242,dataMail!$H:$H,"&gt;"&amp;A242,dataMail!J:J,"DE")</f>
        <v>4</v>
      </c>
      <c r="D242" s="442">
        <f>4-COUNTIFS(dataMail!$C:$C,"&lt;&gt;Annulation",dataMail!$G:$G,"&lt;="&amp;A242,dataMail!$H:$H,"&gt;"&amp;A242,dataMail!J:J,"SU")-COUNTIFS(dataMail!$C:$C,"&lt;&gt;Annulation",dataMail!$G:$G,"&lt;="&amp;A242,dataMail!$H:$H,"&gt;"&amp;A242,dataMail!J:J,"SX")</f>
        <v>4</v>
      </c>
    </row>
    <row r="243">
      <c r="A243" s="441">
        <f t="shared" si="2"/>
        <v>46491</v>
      </c>
      <c r="B243" s="442">
        <f t="shared" si="1"/>
        <v>9</v>
      </c>
      <c r="C243" s="442">
        <f>5-COUNTIFS(dataMail!$C:$C,"&lt;&gt;Annulation",dataMail!$G:$G,"&lt;="&amp;A243,dataMail!$H:$H,"&gt;"&amp;A243,dataMail!J:J,"DE")</f>
        <v>5</v>
      </c>
      <c r="D243" s="442">
        <f>4-COUNTIFS(dataMail!$C:$C,"&lt;&gt;Annulation",dataMail!$G:$G,"&lt;="&amp;A243,dataMail!$H:$H,"&gt;"&amp;A243,dataMail!J:J,"SU")-COUNTIFS(dataMail!$C:$C,"&lt;&gt;Annulation",dataMail!$G:$G,"&lt;="&amp;A243,dataMail!$H:$H,"&gt;"&amp;A243,dataMail!J:J,"SX")</f>
        <v>4</v>
      </c>
    </row>
    <row r="244">
      <c r="A244" s="441">
        <f t="shared" si="2"/>
        <v>46492</v>
      </c>
      <c r="B244" s="442">
        <f t="shared" si="1"/>
        <v>9</v>
      </c>
      <c r="C244" s="442">
        <f>5-COUNTIFS(dataMail!$C:$C,"&lt;&gt;Annulation",dataMail!$G:$G,"&lt;="&amp;A244,dataMail!$H:$H,"&gt;"&amp;A244,dataMail!J:J,"DE")</f>
        <v>5</v>
      </c>
      <c r="D244" s="442">
        <f>4-COUNTIFS(dataMail!$C:$C,"&lt;&gt;Annulation",dataMail!$G:$G,"&lt;="&amp;A244,dataMail!$H:$H,"&gt;"&amp;A244,dataMail!J:J,"SU")-COUNTIFS(dataMail!$C:$C,"&lt;&gt;Annulation",dataMail!$G:$G,"&lt;="&amp;A244,dataMail!$H:$H,"&gt;"&amp;A244,dataMail!J:J,"SX")</f>
        <v>4</v>
      </c>
    </row>
    <row r="245">
      <c r="A245" s="441">
        <f t="shared" si="2"/>
        <v>46493</v>
      </c>
      <c r="B245" s="442">
        <f t="shared" si="1"/>
        <v>9</v>
      </c>
      <c r="C245" s="442">
        <f>5-COUNTIFS(dataMail!$C:$C,"&lt;&gt;Annulation",dataMail!$G:$G,"&lt;="&amp;A245,dataMail!$H:$H,"&gt;"&amp;A245,dataMail!J:J,"DE")</f>
        <v>5</v>
      </c>
      <c r="D245" s="442">
        <f>4-COUNTIFS(dataMail!$C:$C,"&lt;&gt;Annulation",dataMail!$G:$G,"&lt;="&amp;A245,dataMail!$H:$H,"&gt;"&amp;A245,dataMail!J:J,"SU")-COUNTIFS(dataMail!$C:$C,"&lt;&gt;Annulation",dataMail!$G:$G,"&lt;="&amp;A245,dataMail!$H:$H,"&gt;"&amp;A245,dataMail!J:J,"SX")</f>
        <v>4</v>
      </c>
    </row>
    <row r="246">
      <c r="A246" s="441">
        <f t="shared" si="2"/>
        <v>46494</v>
      </c>
      <c r="B246" s="442">
        <f t="shared" si="1"/>
        <v>8</v>
      </c>
      <c r="C246" s="442">
        <f>5-COUNTIFS(dataMail!$C:$C,"&lt;&gt;Annulation",dataMail!$G:$G,"&lt;="&amp;A246,dataMail!$H:$H,"&gt;"&amp;A246,dataMail!J:J,"DE")</f>
        <v>4</v>
      </c>
      <c r="D246" s="442">
        <f>4-COUNTIFS(dataMail!$C:$C,"&lt;&gt;Annulation",dataMail!$G:$G,"&lt;="&amp;A246,dataMail!$H:$H,"&gt;"&amp;A246,dataMail!J:J,"SU")-COUNTIFS(dataMail!$C:$C,"&lt;&gt;Annulation",dataMail!$G:$G,"&lt;="&amp;A246,dataMail!$H:$H,"&gt;"&amp;A246,dataMail!J:J,"SX")</f>
        <v>4</v>
      </c>
    </row>
    <row r="247">
      <c r="A247" s="441">
        <f t="shared" si="2"/>
        <v>46495</v>
      </c>
      <c r="B247" s="442">
        <f t="shared" si="1"/>
        <v>8</v>
      </c>
      <c r="C247" s="442">
        <f>5-COUNTIFS(dataMail!$C:$C,"&lt;&gt;Annulation",dataMail!$G:$G,"&lt;="&amp;A247,dataMail!$H:$H,"&gt;"&amp;A247,dataMail!J:J,"DE")</f>
        <v>4</v>
      </c>
      <c r="D247" s="442">
        <f>4-COUNTIFS(dataMail!$C:$C,"&lt;&gt;Annulation",dataMail!$G:$G,"&lt;="&amp;A247,dataMail!$H:$H,"&gt;"&amp;A247,dataMail!J:J,"SU")-COUNTIFS(dataMail!$C:$C,"&lt;&gt;Annulation",dataMail!$G:$G,"&lt;="&amp;A247,dataMail!$H:$H,"&gt;"&amp;A247,dataMail!J:J,"SX")</f>
        <v>4</v>
      </c>
    </row>
    <row r="248">
      <c r="A248" s="441">
        <f t="shared" si="2"/>
        <v>46496</v>
      </c>
      <c r="B248" s="442">
        <f t="shared" si="1"/>
        <v>8</v>
      </c>
      <c r="C248" s="442">
        <f>5-COUNTIFS(dataMail!$C:$C,"&lt;&gt;Annulation",dataMail!$G:$G,"&lt;="&amp;A248,dataMail!$H:$H,"&gt;"&amp;A248,dataMail!J:J,"DE")</f>
        <v>4</v>
      </c>
      <c r="D248" s="442">
        <f>4-COUNTIFS(dataMail!$C:$C,"&lt;&gt;Annulation",dataMail!$G:$G,"&lt;="&amp;A248,dataMail!$H:$H,"&gt;"&amp;A248,dataMail!J:J,"SU")-COUNTIFS(dataMail!$C:$C,"&lt;&gt;Annulation",dataMail!$G:$G,"&lt;="&amp;A248,dataMail!$H:$H,"&gt;"&amp;A248,dataMail!J:J,"SX")</f>
        <v>4</v>
      </c>
    </row>
    <row r="249">
      <c r="A249" s="441">
        <f t="shared" si="2"/>
        <v>46497</v>
      </c>
      <c r="B249" s="442">
        <f t="shared" si="1"/>
        <v>7</v>
      </c>
      <c r="C249" s="442">
        <f>5-COUNTIFS(dataMail!$C:$C,"&lt;&gt;Annulation",dataMail!$G:$G,"&lt;="&amp;A249,dataMail!$H:$H,"&gt;"&amp;A249,dataMail!J:J,"DE")</f>
        <v>4</v>
      </c>
      <c r="D249" s="442">
        <f>4-COUNTIFS(dataMail!$C:$C,"&lt;&gt;Annulation",dataMail!$G:$G,"&lt;="&amp;A249,dataMail!$H:$H,"&gt;"&amp;A249,dataMail!J:J,"SU")-COUNTIFS(dataMail!$C:$C,"&lt;&gt;Annulation",dataMail!$G:$G,"&lt;="&amp;A249,dataMail!$H:$H,"&gt;"&amp;A249,dataMail!J:J,"SX")</f>
        <v>3</v>
      </c>
    </row>
    <row r="250">
      <c r="A250" s="441">
        <f t="shared" si="2"/>
        <v>46498</v>
      </c>
      <c r="B250" s="442">
        <f t="shared" si="1"/>
        <v>7</v>
      </c>
      <c r="C250" s="442">
        <f>5-COUNTIFS(dataMail!$C:$C,"&lt;&gt;Annulation",dataMail!$G:$G,"&lt;="&amp;A250,dataMail!$H:$H,"&gt;"&amp;A250,dataMail!J:J,"DE")</f>
        <v>4</v>
      </c>
      <c r="D250" s="442">
        <f>4-COUNTIFS(dataMail!$C:$C,"&lt;&gt;Annulation",dataMail!$G:$G,"&lt;="&amp;A250,dataMail!$H:$H,"&gt;"&amp;A250,dataMail!J:J,"SU")-COUNTIFS(dataMail!$C:$C,"&lt;&gt;Annulation",dataMail!$G:$G,"&lt;="&amp;A250,dataMail!$H:$H,"&gt;"&amp;A250,dataMail!J:J,"SX")</f>
        <v>3</v>
      </c>
    </row>
    <row r="251">
      <c r="A251" s="441">
        <f t="shared" si="2"/>
        <v>46499</v>
      </c>
      <c r="B251" s="442">
        <f t="shared" si="1"/>
        <v>8</v>
      </c>
      <c r="C251" s="442">
        <f>5-COUNTIFS(dataMail!$C:$C,"&lt;&gt;Annulation",dataMail!$G:$G,"&lt;="&amp;A251,dataMail!$H:$H,"&gt;"&amp;A251,dataMail!J:J,"DE")</f>
        <v>4</v>
      </c>
      <c r="D251" s="442">
        <f>4-COUNTIFS(dataMail!$C:$C,"&lt;&gt;Annulation",dataMail!$G:$G,"&lt;="&amp;A251,dataMail!$H:$H,"&gt;"&amp;A251,dataMail!J:J,"SU")-COUNTIFS(dataMail!$C:$C,"&lt;&gt;Annulation",dataMail!$G:$G,"&lt;="&amp;A251,dataMail!$H:$H,"&gt;"&amp;A251,dataMail!J:J,"SX")</f>
        <v>4</v>
      </c>
    </row>
    <row r="252">
      <c r="A252" s="441">
        <f t="shared" si="2"/>
        <v>46500</v>
      </c>
      <c r="B252" s="442">
        <f t="shared" si="1"/>
        <v>8</v>
      </c>
      <c r="C252" s="442">
        <f>5-COUNTIFS(dataMail!$C:$C,"&lt;&gt;Annulation",dataMail!$G:$G,"&lt;="&amp;A252,dataMail!$H:$H,"&gt;"&amp;A252,dataMail!J:J,"DE")</f>
        <v>4</v>
      </c>
      <c r="D252" s="442">
        <f>4-COUNTIFS(dataMail!$C:$C,"&lt;&gt;Annulation",dataMail!$G:$G,"&lt;="&amp;A252,dataMail!$H:$H,"&gt;"&amp;A252,dataMail!J:J,"SU")-COUNTIFS(dataMail!$C:$C,"&lt;&gt;Annulation",dataMail!$G:$G,"&lt;="&amp;A252,dataMail!$H:$H,"&gt;"&amp;A252,dataMail!J:J,"SX")</f>
        <v>4</v>
      </c>
    </row>
    <row r="253">
      <c r="A253" s="441">
        <f t="shared" si="2"/>
        <v>46501</v>
      </c>
      <c r="B253" s="442">
        <f t="shared" si="1"/>
        <v>8</v>
      </c>
      <c r="C253" s="442">
        <f>5-COUNTIFS(dataMail!$C:$C,"&lt;&gt;Annulation",dataMail!$G:$G,"&lt;="&amp;A253,dataMail!$H:$H,"&gt;"&amp;A253,dataMail!J:J,"DE")</f>
        <v>4</v>
      </c>
      <c r="D253" s="442">
        <f>4-COUNTIFS(dataMail!$C:$C,"&lt;&gt;Annulation",dataMail!$G:$G,"&lt;="&amp;A253,dataMail!$H:$H,"&gt;"&amp;A253,dataMail!J:J,"SU")-COUNTIFS(dataMail!$C:$C,"&lt;&gt;Annulation",dataMail!$G:$G,"&lt;="&amp;A253,dataMail!$H:$H,"&gt;"&amp;A253,dataMail!J:J,"SX")</f>
        <v>4</v>
      </c>
    </row>
    <row r="254">
      <c r="A254" s="441">
        <f t="shared" si="2"/>
        <v>46502</v>
      </c>
      <c r="B254" s="442">
        <f t="shared" si="1"/>
        <v>8</v>
      </c>
      <c r="C254" s="442">
        <f>5-COUNTIFS(dataMail!$C:$C,"&lt;&gt;Annulation",dataMail!$G:$G,"&lt;="&amp;A254,dataMail!$H:$H,"&gt;"&amp;A254,dataMail!J:J,"DE")</f>
        <v>4</v>
      </c>
      <c r="D254" s="442">
        <f>4-COUNTIFS(dataMail!$C:$C,"&lt;&gt;Annulation",dataMail!$G:$G,"&lt;="&amp;A254,dataMail!$H:$H,"&gt;"&amp;A254,dataMail!J:J,"SU")-COUNTIFS(dataMail!$C:$C,"&lt;&gt;Annulation",dataMail!$G:$G,"&lt;="&amp;A254,dataMail!$H:$H,"&gt;"&amp;A254,dataMail!J:J,"SX")</f>
        <v>4</v>
      </c>
    </row>
    <row r="255">
      <c r="A255" s="441">
        <f t="shared" si="2"/>
        <v>46503</v>
      </c>
      <c r="B255" s="442">
        <f t="shared" si="1"/>
        <v>7</v>
      </c>
      <c r="C255" s="442">
        <f>5-COUNTIFS(dataMail!$C:$C,"&lt;&gt;Annulation",dataMail!$G:$G,"&lt;="&amp;A255,dataMail!$H:$H,"&gt;"&amp;A255,dataMail!J:J,"DE")</f>
        <v>3</v>
      </c>
      <c r="D255" s="442">
        <f>4-COUNTIFS(dataMail!$C:$C,"&lt;&gt;Annulation",dataMail!$G:$G,"&lt;="&amp;A255,dataMail!$H:$H,"&gt;"&amp;A255,dataMail!J:J,"SU")-COUNTIFS(dataMail!$C:$C,"&lt;&gt;Annulation",dataMail!$G:$G,"&lt;="&amp;A255,dataMail!$H:$H,"&gt;"&amp;A255,dataMail!J:J,"SX")</f>
        <v>4</v>
      </c>
    </row>
    <row r="256">
      <c r="A256" s="441">
        <f t="shared" si="2"/>
        <v>46504</v>
      </c>
      <c r="B256" s="442">
        <f t="shared" si="1"/>
        <v>6</v>
      </c>
      <c r="C256" s="442">
        <f>5-COUNTIFS(dataMail!$C:$C,"&lt;&gt;Annulation",dataMail!$G:$G,"&lt;="&amp;A256,dataMail!$H:$H,"&gt;"&amp;A256,dataMail!J:J,"DE")</f>
        <v>2</v>
      </c>
      <c r="D256" s="442">
        <f>4-COUNTIFS(dataMail!$C:$C,"&lt;&gt;Annulation",dataMail!$G:$G,"&lt;="&amp;A256,dataMail!$H:$H,"&gt;"&amp;A256,dataMail!J:J,"SU")-COUNTIFS(dataMail!$C:$C,"&lt;&gt;Annulation",dataMail!$G:$G,"&lt;="&amp;A256,dataMail!$H:$H,"&gt;"&amp;A256,dataMail!J:J,"SX")</f>
        <v>4</v>
      </c>
    </row>
    <row r="257">
      <c r="A257" s="441">
        <f t="shared" si="2"/>
        <v>46505</v>
      </c>
      <c r="B257" s="442">
        <f t="shared" si="1"/>
        <v>6</v>
      </c>
      <c r="C257" s="442">
        <f>5-COUNTIFS(dataMail!$C:$C,"&lt;&gt;Annulation",dataMail!$G:$G,"&lt;="&amp;A257,dataMail!$H:$H,"&gt;"&amp;A257,dataMail!J:J,"DE")</f>
        <v>2</v>
      </c>
      <c r="D257" s="442">
        <f>4-COUNTIFS(dataMail!$C:$C,"&lt;&gt;Annulation",dataMail!$G:$G,"&lt;="&amp;A257,dataMail!$H:$H,"&gt;"&amp;A257,dataMail!J:J,"SU")-COUNTIFS(dataMail!$C:$C,"&lt;&gt;Annulation",dataMail!$G:$G,"&lt;="&amp;A257,dataMail!$H:$H,"&gt;"&amp;A257,dataMail!J:J,"SX")</f>
        <v>4</v>
      </c>
    </row>
    <row r="258">
      <c r="A258" s="441">
        <f t="shared" si="2"/>
        <v>46506</v>
      </c>
      <c r="B258" s="442">
        <f t="shared" si="1"/>
        <v>6</v>
      </c>
      <c r="C258" s="442">
        <f>5-COUNTIFS(dataMail!$C:$C,"&lt;&gt;Annulation",dataMail!$G:$G,"&lt;="&amp;A258,dataMail!$H:$H,"&gt;"&amp;A258,dataMail!J:J,"DE")</f>
        <v>2</v>
      </c>
      <c r="D258" s="442">
        <f>4-COUNTIFS(dataMail!$C:$C,"&lt;&gt;Annulation",dataMail!$G:$G,"&lt;="&amp;A258,dataMail!$H:$H,"&gt;"&amp;A258,dataMail!J:J,"SU")-COUNTIFS(dataMail!$C:$C,"&lt;&gt;Annulation",dataMail!$G:$G,"&lt;="&amp;A258,dataMail!$H:$H,"&gt;"&amp;A258,dataMail!J:J,"SX")</f>
        <v>4</v>
      </c>
    </row>
    <row r="259">
      <c r="A259" s="441">
        <f t="shared" si="2"/>
        <v>46507</v>
      </c>
      <c r="B259" s="442">
        <f t="shared" si="1"/>
        <v>7</v>
      </c>
      <c r="C259" s="442">
        <f>5-COUNTIFS(dataMail!$C:$C,"&lt;&gt;Annulation",dataMail!$G:$G,"&lt;="&amp;A259,dataMail!$H:$H,"&gt;"&amp;A259,dataMail!J:J,"DE")</f>
        <v>3</v>
      </c>
      <c r="D259" s="442">
        <f>4-COUNTIFS(dataMail!$C:$C,"&lt;&gt;Annulation",dataMail!$G:$G,"&lt;="&amp;A259,dataMail!$H:$H,"&gt;"&amp;A259,dataMail!J:J,"SU")-COUNTIFS(dataMail!$C:$C,"&lt;&gt;Annulation",dataMail!$G:$G,"&lt;="&amp;A259,dataMail!$H:$H,"&gt;"&amp;A259,dataMail!J:J,"SX")</f>
        <v>4</v>
      </c>
    </row>
    <row r="260">
      <c r="A260" s="441">
        <f t="shared" si="2"/>
        <v>46508</v>
      </c>
      <c r="B260" s="442">
        <f t="shared" si="1"/>
        <v>9</v>
      </c>
      <c r="C260" s="442">
        <f>5-COUNTIFS(dataMail!$C:$C,"&lt;&gt;Annulation",dataMail!$G:$G,"&lt;="&amp;A260,dataMail!$H:$H,"&gt;"&amp;A260,dataMail!J:J,"DE")</f>
        <v>5</v>
      </c>
      <c r="D260" s="442">
        <f>4-COUNTIFS(dataMail!$C:$C,"&lt;&gt;Annulation",dataMail!$G:$G,"&lt;="&amp;A260,dataMail!$H:$H,"&gt;"&amp;A260,dataMail!J:J,"SU")-COUNTIFS(dataMail!$C:$C,"&lt;&gt;Annulation",dataMail!$G:$G,"&lt;="&amp;A260,dataMail!$H:$H,"&gt;"&amp;A260,dataMail!J:J,"SX")</f>
        <v>4</v>
      </c>
    </row>
    <row r="261">
      <c r="A261" s="441">
        <f t="shared" si="2"/>
        <v>46509</v>
      </c>
      <c r="B261" s="442">
        <f t="shared" si="1"/>
        <v>9</v>
      </c>
      <c r="C261" s="442">
        <f>5-COUNTIFS(dataMail!$C:$C,"&lt;&gt;Annulation",dataMail!$G:$G,"&lt;="&amp;A261,dataMail!$H:$H,"&gt;"&amp;A261,dataMail!J:J,"DE")</f>
        <v>5</v>
      </c>
      <c r="D261" s="442">
        <f>4-COUNTIFS(dataMail!$C:$C,"&lt;&gt;Annulation",dataMail!$G:$G,"&lt;="&amp;A261,dataMail!$H:$H,"&gt;"&amp;A261,dataMail!J:J,"SU")-COUNTIFS(dataMail!$C:$C,"&lt;&gt;Annulation",dataMail!$G:$G,"&lt;="&amp;A261,dataMail!$H:$H,"&gt;"&amp;A261,dataMail!J:J,"SX")</f>
        <v>4</v>
      </c>
    </row>
    <row r="262">
      <c r="A262" s="441">
        <f t="shared" si="2"/>
        <v>46510</v>
      </c>
      <c r="B262" s="442">
        <f t="shared" si="1"/>
        <v>9</v>
      </c>
      <c r="C262" s="442">
        <f>5-COUNTIFS(dataMail!$C:$C,"&lt;&gt;Annulation",dataMail!$G:$G,"&lt;="&amp;A262,dataMail!$H:$H,"&gt;"&amp;A262,dataMail!J:J,"DE")</f>
        <v>5</v>
      </c>
      <c r="D262" s="442">
        <f>4-COUNTIFS(dataMail!$C:$C,"&lt;&gt;Annulation",dataMail!$G:$G,"&lt;="&amp;A262,dataMail!$H:$H,"&gt;"&amp;A262,dataMail!J:J,"SU")-COUNTIFS(dataMail!$C:$C,"&lt;&gt;Annulation",dataMail!$G:$G,"&lt;="&amp;A262,dataMail!$H:$H,"&gt;"&amp;A262,dataMail!J:J,"SX")</f>
        <v>4</v>
      </c>
    </row>
    <row r="263">
      <c r="A263" s="441">
        <f t="shared" si="2"/>
        <v>46511</v>
      </c>
      <c r="B263" s="442">
        <f t="shared" si="1"/>
        <v>7</v>
      </c>
      <c r="C263" s="442">
        <f>5-COUNTIFS(dataMail!$C:$C,"&lt;&gt;Annulation",dataMail!$G:$G,"&lt;="&amp;A263,dataMail!$H:$H,"&gt;"&amp;A263,dataMail!J:J,"DE")</f>
        <v>4</v>
      </c>
      <c r="D263" s="442">
        <f>4-COUNTIFS(dataMail!$C:$C,"&lt;&gt;Annulation",dataMail!$G:$G,"&lt;="&amp;A263,dataMail!$H:$H,"&gt;"&amp;A263,dataMail!J:J,"SU")-COUNTIFS(dataMail!$C:$C,"&lt;&gt;Annulation",dataMail!$G:$G,"&lt;="&amp;A263,dataMail!$H:$H,"&gt;"&amp;A263,dataMail!J:J,"SX")</f>
        <v>3</v>
      </c>
    </row>
    <row r="264">
      <c r="A264" s="441">
        <f t="shared" si="2"/>
        <v>46512</v>
      </c>
      <c r="B264" s="442">
        <f t="shared" si="1"/>
        <v>9</v>
      </c>
      <c r="C264" s="442">
        <f>5-COUNTIFS(dataMail!$C:$C,"&lt;&gt;Annulation",dataMail!$G:$G,"&lt;="&amp;A264,dataMail!$H:$H,"&gt;"&amp;A264,dataMail!J:J,"DE")</f>
        <v>5</v>
      </c>
      <c r="D264" s="442">
        <f>4-COUNTIFS(dataMail!$C:$C,"&lt;&gt;Annulation",dataMail!$G:$G,"&lt;="&amp;A264,dataMail!$H:$H,"&gt;"&amp;A264,dataMail!J:J,"SU")-COUNTIFS(dataMail!$C:$C,"&lt;&gt;Annulation",dataMail!$G:$G,"&lt;="&amp;A264,dataMail!$H:$H,"&gt;"&amp;A264,dataMail!J:J,"SX")</f>
        <v>4</v>
      </c>
    </row>
    <row r="265">
      <c r="A265" s="441">
        <f t="shared" si="2"/>
        <v>46513</v>
      </c>
      <c r="B265" s="442">
        <f t="shared" si="1"/>
        <v>7</v>
      </c>
      <c r="C265" s="442">
        <f>5-COUNTIFS(dataMail!$C:$C,"&lt;&gt;Annulation",dataMail!$G:$G,"&lt;="&amp;A265,dataMail!$H:$H,"&gt;"&amp;A265,dataMail!J:J,"DE")</f>
        <v>4</v>
      </c>
      <c r="D265" s="442">
        <f>4-COUNTIFS(dataMail!$C:$C,"&lt;&gt;Annulation",dataMail!$G:$G,"&lt;="&amp;A265,dataMail!$H:$H,"&gt;"&amp;A265,dataMail!J:J,"SU")-COUNTIFS(dataMail!$C:$C,"&lt;&gt;Annulation",dataMail!$G:$G,"&lt;="&amp;A265,dataMail!$H:$H,"&gt;"&amp;A265,dataMail!J:J,"SX")</f>
        <v>3</v>
      </c>
    </row>
    <row r="266">
      <c r="A266" s="441">
        <f t="shared" si="2"/>
        <v>46514</v>
      </c>
      <c r="B266" s="442">
        <f t="shared" si="1"/>
        <v>7</v>
      </c>
      <c r="C266" s="442">
        <f>5-COUNTIFS(dataMail!$C:$C,"&lt;&gt;Annulation",dataMail!$G:$G,"&lt;="&amp;A266,dataMail!$H:$H,"&gt;"&amp;A266,dataMail!J:J,"DE")</f>
        <v>4</v>
      </c>
      <c r="D266" s="442">
        <f>4-COUNTIFS(dataMail!$C:$C,"&lt;&gt;Annulation",dataMail!$G:$G,"&lt;="&amp;A266,dataMail!$H:$H,"&gt;"&amp;A266,dataMail!J:J,"SU")-COUNTIFS(dataMail!$C:$C,"&lt;&gt;Annulation",dataMail!$G:$G,"&lt;="&amp;A266,dataMail!$H:$H,"&gt;"&amp;A266,dataMail!J:J,"SX")</f>
        <v>3</v>
      </c>
    </row>
    <row r="267">
      <c r="A267" s="441">
        <f t="shared" si="2"/>
        <v>46515</v>
      </c>
      <c r="B267" s="442">
        <f t="shared" si="1"/>
        <v>7</v>
      </c>
      <c r="C267" s="442">
        <f>5-COUNTIFS(dataMail!$C:$C,"&lt;&gt;Annulation",dataMail!$G:$G,"&lt;="&amp;A267,dataMail!$H:$H,"&gt;"&amp;A267,dataMail!J:J,"DE")</f>
        <v>4</v>
      </c>
      <c r="D267" s="442">
        <f>4-COUNTIFS(dataMail!$C:$C,"&lt;&gt;Annulation",dataMail!$G:$G,"&lt;="&amp;A267,dataMail!$H:$H,"&gt;"&amp;A267,dataMail!J:J,"SU")-COUNTIFS(dataMail!$C:$C,"&lt;&gt;Annulation",dataMail!$G:$G,"&lt;="&amp;A267,dataMail!$H:$H,"&gt;"&amp;A267,dataMail!J:J,"SX")</f>
        <v>3</v>
      </c>
    </row>
    <row r="268">
      <c r="A268" s="441">
        <f t="shared" si="2"/>
        <v>46516</v>
      </c>
      <c r="B268" s="442">
        <f t="shared" si="1"/>
        <v>7</v>
      </c>
      <c r="C268" s="442">
        <f>5-COUNTIFS(dataMail!$C:$C,"&lt;&gt;Annulation",dataMail!$G:$G,"&lt;="&amp;A268,dataMail!$H:$H,"&gt;"&amp;A268,dataMail!J:J,"DE")</f>
        <v>4</v>
      </c>
      <c r="D268" s="442">
        <f>4-COUNTIFS(dataMail!$C:$C,"&lt;&gt;Annulation",dataMail!$G:$G,"&lt;="&amp;A268,dataMail!$H:$H,"&gt;"&amp;A268,dataMail!J:J,"SU")-COUNTIFS(dataMail!$C:$C,"&lt;&gt;Annulation",dataMail!$G:$G,"&lt;="&amp;A268,dataMail!$H:$H,"&gt;"&amp;A268,dataMail!J:J,"SX")</f>
        <v>3</v>
      </c>
    </row>
    <row r="269">
      <c r="A269" s="441">
        <f t="shared" si="2"/>
        <v>46517</v>
      </c>
      <c r="B269" s="442">
        <f t="shared" si="1"/>
        <v>7</v>
      </c>
      <c r="C269" s="442">
        <f>5-COUNTIFS(dataMail!$C:$C,"&lt;&gt;Annulation",dataMail!$G:$G,"&lt;="&amp;A269,dataMail!$H:$H,"&gt;"&amp;A269,dataMail!J:J,"DE")</f>
        <v>4</v>
      </c>
      <c r="D269" s="442">
        <f>4-COUNTIFS(dataMail!$C:$C,"&lt;&gt;Annulation",dataMail!$G:$G,"&lt;="&amp;A269,dataMail!$H:$H,"&gt;"&amp;A269,dataMail!J:J,"SU")-COUNTIFS(dataMail!$C:$C,"&lt;&gt;Annulation",dataMail!$G:$G,"&lt;="&amp;A269,dataMail!$H:$H,"&gt;"&amp;A269,dataMail!J:J,"SX")</f>
        <v>3</v>
      </c>
    </row>
    <row r="270">
      <c r="A270" s="441">
        <f t="shared" si="2"/>
        <v>46518</v>
      </c>
      <c r="B270" s="442">
        <f t="shared" si="1"/>
        <v>8</v>
      </c>
      <c r="C270" s="442">
        <f>5-COUNTIFS(dataMail!$C:$C,"&lt;&gt;Annulation",dataMail!$G:$G,"&lt;="&amp;A270,dataMail!$H:$H,"&gt;"&amp;A270,dataMail!J:J,"DE")</f>
        <v>4</v>
      </c>
      <c r="D270" s="442">
        <f>4-COUNTIFS(dataMail!$C:$C,"&lt;&gt;Annulation",dataMail!$G:$G,"&lt;="&amp;A270,dataMail!$H:$H,"&gt;"&amp;A270,dataMail!J:J,"SU")-COUNTIFS(dataMail!$C:$C,"&lt;&gt;Annulation",dataMail!$G:$G,"&lt;="&amp;A270,dataMail!$H:$H,"&gt;"&amp;A270,dataMail!J:J,"SX")</f>
        <v>4</v>
      </c>
    </row>
    <row r="271">
      <c r="A271" s="441">
        <f t="shared" si="2"/>
        <v>46519</v>
      </c>
      <c r="B271" s="442">
        <f t="shared" si="1"/>
        <v>8</v>
      </c>
      <c r="C271" s="442">
        <f>5-COUNTIFS(dataMail!$C:$C,"&lt;&gt;Annulation",dataMail!$G:$G,"&lt;="&amp;A271,dataMail!$H:$H,"&gt;"&amp;A271,dataMail!J:J,"DE")</f>
        <v>4</v>
      </c>
      <c r="D271" s="442">
        <f>4-COUNTIFS(dataMail!$C:$C,"&lt;&gt;Annulation",dataMail!$G:$G,"&lt;="&amp;A271,dataMail!$H:$H,"&gt;"&amp;A271,dataMail!J:J,"SU")-COUNTIFS(dataMail!$C:$C,"&lt;&gt;Annulation",dataMail!$G:$G,"&lt;="&amp;A271,dataMail!$H:$H,"&gt;"&amp;A271,dataMail!J:J,"SX")</f>
        <v>4</v>
      </c>
    </row>
    <row r="272">
      <c r="A272" s="441">
        <f t="shared" si="2"/>
        <v>46520</v>
      </c>
      <c r="B272" s="442">
        <f t="shared" si="1"/>
        <v>8</v>
      </c>
      <c r="C272" s="442">
        <f>5-COUNTIFS(dataMail!$C:$C,"&lt;&gt;Annulation",dataMail!$G:$G,"&lt;="&amp;A272,dataMail!$H:$H,"&gt;"&amp;A272,dataMail!J:J,"DE")</f>
        <v>4</v>
      </c>
      <c r="D272" s="442">
        <f>4-COUNTIFS(dataMail!$C:$C,"&lt;&gt;Annulation",dataMail!$G:$G,"&lt;="&amp;A272,dataMail!$H:$H,"&gt;"&amp;A272,dataMail!J:J,"SU")-COUNTIFS(dataMail!$C:$C,"&lt;&gt;Annulation",dataMail!$G:$G,"&lt;="&amp;A272,dataMail!$H:$H,"&gt;"&amp;A272,dataMail!J:J,"SX")</f>
        <v>4</v>
      </c>
    </row>
    <row r="273">
      <c r="A273" s="441">
        <f t="shared" si="2"/>
        <v>46521</v>
      </c>
      <c r="B273" s="442">
        <f t="shared" si="1"/>
        <v>3</v>
      </c>
      <c r="C273" s="442">
        <f>5-COUNTIFS(dataMail!$C:$C,"&lt;&gt;Annulation",dataMail!$G:$G,"&lt;="&amp;A273,dataMail!$H:$H,"&gt;"&amp;A273,dataMail!J:J,"DE")</f>
        <v>1</v>
      </c>
      <c r="D273" s="442">
        <f>4-COUNTIFS(dataMail!$C:$C,"&lt;&gt;Annulation",dataMail!$G:$G,"&lt;="&amp;A273,dataMail!$H:$H,"&gt;"&amp;A273,dataMail!J:J,"SU")-COUNTIFS(dataMail!$C:$C,"&lt;&gt;Annulation",dataMail!$G:$G,"&lt;="&amp;A273,dataMail!$H:$H,"&gt;"&amp;A273,dataMail!J:J,"SX")</f>
        <v>2</v>
      </c>
    </row>
    <row r="274">
      <c r="A274" s="441">
        <f t="shared" si="2"/>
        <v>46522</v>
      </c>
      <c r="B274" s="442">
        <f t="shared" si="1"/>
        <v>3</v>
      </c>
      <c r="C274" s="442">
        <f>5-COUNTIFS(dataMail!$C:$C,"&lt;&gt;Annulation",dataMail!$G:$G,"&lt;="&amp;A274,dataMail!$H:$H,"&gt;"&amp;A274,dataMail!J:J,"DE")</f>
        <v>1</v>
      </c>
      <c r="D274" s="442">
        <f>4-COUNTIFS(dataMail!$C:$C,"&lt;&gt;Annulation",dataMail!$G:$G,"&lt;="&amp;A274,dataMail!$H:$H,"&gt;"&amp;A274,dataMail!J:J,"SU")-COUNTIFS(dataMail!$C:$C,"&lt;&gt;Annulation",dataMail!$G:$G,"&lt;="&amp;A274,dataMail!$H:$H,"&gt;"&amp;A274,dataMail!J:J,"SX")</f>
        <v>2</v>
      </c>
    </row>
    <row r="275">
      <c r="A275" s="441">
        <f t="shared" si="2"/>
        <v>46523</v>
      </c>
      <c r="B275" s="442">
        <f t="shared" si="1"/>
        <v>3</v>
      </c>
      <c r="C275" s="442">
        <f>5-COUNTIFS(dataMail!$C:$C,"&lt;&gt;Annulation",dataMail!$G:$G,"&lt;="&amp;A275,dataMail!$H:$H,"&gt;"&amp;A275,dataMail!J:J,"DE")</f>
        <v>1</v>
      </c>
      <c r="D275" s="442">
        <f>4-COUNTIFS(dataMail!$C:$C,"&lt;&gt;Annulation",dataMail!$G:$G,"&lt;="&amp;A275,dataMail!$H:$H,"&gt;"&amp;A275,dataMail!J:J,"SU")-COUNTIFS(dataMail!$C:$C,"&lt;&gt;Annulation",dataMail!$G:$G,"&lt;="&amp;A275,dataMail!$H:$H,"&gt;"&amp;A275,dataMail!J:J,"SX")</f>
        <v>2</v>
      </c>
    </row>
    <row r="276">
      <c r="A276" s="441">
        <f t="shared" si="2"/>
        <v>46524</v>
      </c>
      <c r="B276" s="442">
        <f t="shared" si="1"/>
        <v>3</v>
      </c>
      <c r="C276" s="442">
        <f>5-COUNTIFS(dataMail!$C:$C,"&lt;&gt;Annulation",dataMail!$G:$G,"&lt;="&amp;A276,dataMail!$H:$H,"&gt;"&amp;A276,dataMail!J:J,"DE")</f>
        <v>1</v>
      </c>
      <c r="D276" s="442">
        <f>4-COUNTIFS(dataMail!$C:$C,"&lt;&gt;Annulation",dataMail!$G:$G,"&lt;="&amp;A276,dataMail!$H:$H,"&gt;"&amp;A276,dataMail!J:J,"SU")-COUNTIFS(dataMail!$C:$C,"&lt;&gt;Annulation",dataMail!$G:$G,"&lt;="&amp;A276,dataMail!$H:$H,"&gt;"&amp;A276,dataMail!J:J,"SX")</f>
        <v>2</v>
      </c>
    </row>
    <row r="277">
      <c r="A277" s="441">
        <f t="shared" si="2"/>
        <v>46525</v>
      </c>
      <c r="B277" s="442">
        <f t="shared" si="1"/>
        <v>9</v>
      </c>
      <c r="C277" s="442">
        <f>5-COUNTIFS(dataMail!$C:$C,"&lt;&gt;Annulation",dataMail!$G:$G,"&lt;="&amp;A277,dataMail!$H:$H,"&gt;"&amp;A277,dataMail!J:J,"DE")</f>
        <v>5</v>
      </c>
      <c r="D277" s="442">
        <f>4-COUNTIFS(dataMail!$C:$C,"&lt;&gt;Annulation",dataMail!$G:$G,"&lt;="&amp;A277,dataMail!$H:$H,"&gt;"&amp;A277,dataMail!J:J,"SU")-COUNTIFS(dataMail!$C:$C,"&lt;&gt;Annulation",dataMail!$G:$G,"&lt;="&amp;A277,dataMail!$H:$H,"&gt;"&amp;A277,dataMail!J:J,"SX")</f>
        <v>4</v>
      </c>
    </row>
    <row r="278">
      <c r="A278" s="441">
        <f t="shared" si="2"/>
        <v>46526</v>
      </c>
      <c r="B278" s="442">
        <f t="shared" si="1"/>
        <v>9</v>
      </c>
      <c r="C278" s="442">
        <f>5-COUNTIFS(dataMail!$C:$C,"&lt;&gt;Annulation",dataMail!$G:$G,"&lt;="&amp;A278,dataMail!$H:$H,"&gt;"&amp;A278,dataMail!J:J,"DE")</f>
        <v>5</v>
      </c>
      <c r="D278" s="442">
        <f>4-COUNTIFS(dataMail!$C:$C,"&lt;&gt;Annulation",dataMail!$G:$G,"&lt;="&amp;A278,dataMail!$H:$H,"&gt;"&amp;A278,dataMail!J:J,"SU")-COUNTIFS(dataMail!$C:$C,"&lt;&gt;Annulation",dataMail!$G:$G,"&lt;="&amp;A278,dataMail!$H:$H,"&gt;"&amp;A278,dataMail!J:J,"SX")</f>
        <v>4</v>
      </c>
    </row>
    <row r="279">
      <c r="A279" s="441">
        <f t="shared" si="2"/>
        <v>46527</v>
      </c>
      <c r="B279" s="442">
        <f t="shared" si="1"/>
        <v>8</v>
      </c>
      <c r="C279" s="442">
        <f>5-COUNTIFS(dataMail!$C:$C,"&lt;&gt;Annulation",dataMail!$G:$G,"&lt;="&amp;A279,dataMail!$H:$H,"&gt;"&amp;A279,dataMail!J:J,"DE")</f>
        <v>4</v>
      </c>
      <c r="D279" s="442">
        <f>4-COUNTIFS(dataMail!$C:$C,"&lt;&gt;Annulation",dataMail!$G:$G,"&lt;="&amp;A279,dataMail!$H:$H,"&gt;"&amp;A279,dataMail!J:J,"SU")-COUNTIFS(dataMail!$C:$C,"&lt;&gt;Annulation",dataMail!$G:$G,"&lt;="&amp;A279,dataMail!$H:$H,"&gt;"&amp;A279,dataMail!J:J,"SX")</f>
        <v>4</v>
      </c>
    </row>
    <row r="280">
      <c r="A280" s="441">
        <f t="shared" si="2"/>
        <v>46528</v>
      </c>
      <c r="B280" s="442">
        <f t="shared" si="1"/>
        <v>8</v>
      </c>
      <c r="C280" s="442">
        <f>5-COUNTIFS(dataMail!$C:$C,"&lt;&gt;Annulation",dataMail!$G:$G,"&lt;="&amp;A280,dataMail!$H:$H,"&gt;"&amp;A280,dataMail!J:J,"DE")</f>
        <v>4</v>
      </c>
      <c r="D280" s="442">
        <f>4-COUNTIFS(dataMail!$C:$C,"&lt;&gt;Annulation",dataMail!$G:$G,"&lt;="&amp;A280,dataMail!$H:$H,"&gt;"&amp;A280,dataMail!J:J,"SU")-COUNTIFS(dataMail!$C:$C,"&lt;&gt;Annulation",dataMail!$G:$G,"&lt;="&amp;A280,dataMail!$H:$H,"&gt;"&amp;A280,dataMail!J:J,"SX")</f>
        <v>4</v>
      </c>
    </row>
    <row r="281">
      <c r="A281" s="441">
        <f t="shared" si="2"/>
        <v>46529</v>
      </c>
      <c r="B281" s="442">
        <f t="shared" si="1"/>
        <v>8</v>
      </c>
      <c r="C281" s="442">
        <f>5-COUNTIFS(dataMail!$C:$C,"&lt;&gt;Annulation",dataMail!$G:$G,"&lt;="&amp;A281,dataMail!$H:$H,"&gt;"&amp;A281,dataMail!J:J,"DE")</f>
        <v>4</v>
      </c>
      <c r="D281" s="442">
        <f>4-COUNTIFS(dataMail!$C:$C,"&lt;&gt;Annulation",dataMail!$G:$G,"&lt;="&amp;A281,dataMail!$H:$H,"&gt;"&amp;A281,dataMail!J:J,"SU")-COUNTIFS(dataMail!$C:$C,"&lt;&gt;Annulation",dataMail!$G:$G,"&lt;="&amp;A281,dataMail!$H:$H,"&gt;"&amp;A281,dataMail!J:J,"SX")</f>
        <v>4</v>
      </c>
    </row>
    <row r="282">
      <c r="A282" s="441">
        <f t="shared" si="2"/>
        <v>46530</v>
      </c>
      <c r="B282" s="442">
        <f t="shared" si="1"/>
        <v>8</v>
      </c>
      <c r="C282" s="442">
        <f>5-COUNTIFS(dataMail!$C:$C,"&lt;&gt;Annulation",dataMail!$G:$G,"&lt;="&amp;A282,dataMail!$H:$H,"&gt;"&amp;A282,dataMail!J:J,"DE")</f>
        <v>4</v>
      </c>
      <c r="D282" s="442">
        <f>4-COUNTIFS(dataMail!$C:$C,"&lt;&gt;Annulation",dataMail!$G:$G,"&lt;="&amp;A282,dataMail!$H:$H,"&gt;"&amp;A282,dataMail!J:J,"SU")-COUNTIFS(dataMail!$C:$C,"&lt;&gt;Annulation",dataMail!$G:$G,"&lt;="&amp;A282,dataMail!$H:$H,"&gt;"&amp;A282,dataMail!J:J,"SX")</f>
        <v>4</v>
      </c>
    </row>
    <row r="283">
      <c r="A283" s="441">
        <f t="shared" si="2"/>
        <v>46531</v>
      </c>
      <c r="B283" s="442">
        <f t="shared" si="1"/>
        <v>8</v>
      </c>
      <c r="C283" s="442">
        <f>5-COUNTIFS(dataMail!$C:$C,"&lt;&gt;Annulation",dataMail!$G:$G,"&lt;="&amp;A283,dataMail!$H:$H,"&gt;"&amp;A283,dataMail!J:J,"DE")</f>
        <v>4</v>
      </c>
      <c r="D283" s="442">
        <f>4-COUNTIFS(dataMail!$C:$C,"&lt;&gt;Annulation",dataMail!$G:$G,"&lt;="&amp;A283,dataMail!$H:$H,"&gt;"&amp;A283,dataMail!J:J,"SU")-COUNTIFS(dataMail!$C:$C,"&lt;&gt;Annulation",dataMail!$G:$G,"&lt;="&amp;A283,dataMail!$H:$H,"&gt;"&amp;A283,dataMail!J:J,"SX")</f>
        <v>4</v>
      </c>
    </row>
    <row r="284">
      <c r="A284" s="441">
        <f t="shared" si="2"/>
        <v>46532</v>
      </c>
      <c r="B284" s="442">
        <f t="shared" si="1"/>
        <v>8</v>
      </c>
      <c r="C284" s="442">
        <f>5-COUNTIFS(dataMail!$C:$C,"&lt;&gt;Annulation",dataMail!$G:$G,"&lt;="&amp;A284,dataMail!$H:$H,"&gt;"&amp;A284,dataMail!J:J,"DE")</f>
        <v>4</v>
      </c>
      <c r="D284" s="442">
        <f>4-COUNTIFS(dataMail!$C:$C,"&lt;&gt;Annulation",dataMail!$G:$G,"&lt;="&amp;A284,dataMail!$H:$H,"&gt;"&amp;A284,dataMail!J:J,"SU")-COUNTIFS(dataMail!$C:$C,"&lt;&gt;Annulation",dataMail!$G:$G,"&lt;="&amp;A284,dataMail!$H:$H,"&gt;"&amp;A284,dataMail!J:J,"SX")</f>
        <v>4</v>
      </c>
    </row>
    <row r="285">
      <c r="A285" s="441">
        <f t="shared" si="2"/>
        <v>46533</v>
      </c>
      <c r="B285" s="442">
        <f t="shared" si="1"/>
        <v>9</v>
      </c>
      <c r="C285" s="442">
        <f>5-COUNTIFS(dataMail!$C:$C,"&lt;&gt;Annulation",dataMail!$G:$G,"&lt;="&amp;A285,dataMail!$H:$H,"&gt;"&amp;A285,dataMail!J:J,"DE")</f>
        <v>5</v>
      </c>
      <c r="D285" s="442">
        <f>4-COUNTIFS(dataMail!$C:$C,"&lt;&gt;Annulation",dataMail!$G:$G,"&lt;="&amp;A285,dataMail!$H:$H,"&gt;"&amp;A285,dataMail!J:J,"SU")-COUNTIFS(dataMail!$C:$C,"&lt;&gt;Annulation",dataMail!$G:$G,"&lt;="&amp;A285,dataMail!$H:$H,"&gt;"&amp;A285,dataMail!J:J,"SX")</f>
        <v>4</v>
      </c>
    </row>
    <row r="286">
      <c r="A286" s="441">
        <f t="shared" si="2"/>
        <v>46534</v>
      </c>
      <c r="B286" s="442">
        <f t="shared" si="1"/>
        <v>9</v>
      </c>
      <c r="C286" s="442">
        <f>5-COUNTIFS(dataMail!$C:$C,"&lt;&gt;Annulation",dataMail!$G:$G,"&lt;="&amp;A286,dataMail!$H:$H,"&gt;"&amp;A286,dataMail!J:J,"DE")</f>
        <v>5</v>
      </c>
      <c r="D286" s="442">
        <f>4-COUNTIFS(dataMail!$C:$C,"&lt;&gt;Annulation",dataMail!$G:$G,"&lt;="&amp;A286,dataMail!$H:$H,"&gt;"&amp;A286,dataMail!J:J,"SU")-COUNTIFS(dataMail!$C:$C,"&lt;&gt;Annulation",dataMail!$G:$G,"&lt;="&amp;A286,dataMail!$H:$H,"&gt;"&amp;A286,dataMail!J:J,"SX")</f>
        <v>4</v>
      </c>
    </row>
    <row r="287">
      <c r="A287" s="441">
        <f t="shared" si="2"/>
        <v>46535</v>
      </c>
      <c r="B287" s="442">
        <f t="shared" si="1"/>
        <v>9</v>
      </c>
      <c r="C287" s="442">
        <f>5-COUNTIFS(dataMail!$C:$C,"&lt;&gt;Annulation",dataMail!$G:$G,"&lt;="&amp;A287,dataMail!$H:$H,"&gt;"&amp;A287,dataMail!J:J,"DE")</f>
        <v>5</v>
      </c>
      <c r="D287" s="442">
        <f>4-COUNTIFS(dataMail!$C:$C,"&lt;&gt;Annulation",dataMail!$G:$G,"&lt;="&amp;A287,dataMail!$H:$H,"&gt;"&amp;A287,dataMail!J:J,"SU")-COUNTIFS(dataMail!$C:$C,"&lt;&gt;Annulation",dataMail!$G:$G,"&lt;="&amp;A287,dataMail!$H:$H,"&gt;"&amp;A287,dataMail!J:J,"SX")</f>
        <v>4</v>
      </c>
    </row>
    <row r="288">
      <c r="A288" s="441">
        <f t="shared" si="2"/>
        <v>46536</v>
      </c>
      <c r="B288" s="442">
        <f t="shared" si="1"/>
        <v>9</v>
      </c>
      <c r="C288" s="442">
        <f>5-COUNTIFS(dataMail!$C:$C,"&lt;&gt;Annulation",dataMail!$G:$G,"&lt;="&amp;A288,dataMail!$H:$H,"&gt;"&amp;A288,dataMail!J:J,"DE")</f>
        <v>5</v>
      </c>
      <c r="D288" s="442">
        <f>4-COUNTIFS(dataMail!$C:$C,"&lt;&gt;Annulation",dataMail!$G:$G,"&lt;="&amp;A288,dataMail!$H:$H,"&gt;"&amp;A288,dataMail!J:J,"SU")-COUNTIFS(dataMail!$C:$C,"&lt;&gt;Annulation",dataMail!$G:$G,"&lt;="&amp;A288,dataMail!$H:$H,"&gt;"&amp;A288,dataMail!J:J,"SX")</f>
        <v>4</v>
      </c>
    </row>
    <row r="289">
      <c r="A289" s="441">
        <f t="shared" si="2"/>
        <v>46537</v>
      </c>
      <c r="B289" s="442">
        <f t="shared" si="1"/>
        <v>9</v>
      </c>
      <c r="C289" s="442">
        <f>5-COUNTIFS(dataMail!$C:$C,"&lt;&gt;Annulation",dataMail!$G:$G,"&lt;="&amp;A289,dataMail!$H:$H,"&gt;"&amp;A289,dataMail!J:J,"DE")</f>
        <v>5</v>
      </c>
      <c r="D289" s="442">
        <f>4-COUNTIFS(dataMail!$C:$C,"&lt;&gt;Annulation",dataMail!$G:$G,"&lt;="&amp;A289,dataMail!$H:$H,"&gt;"&amp;A289,dataMail!J:J,"SU")-COUNTIFS(dataMail!$C:$C,"&lt;&gt;Annulation",dataMail!$G:$G,"&lt;="&amp;A289,dataMail!$H:$H,"&gt;"&amp;A289,dataMail!J:J,"SX")</f>
        <v>4</v>
      </c>
    </row>
    <row r="290">
      <c r="A290" s="441">
        <f t="shared" si="2"/>
        <v>46538</v>
      </c>
      <c r="B290" s="442">
        <f t="shared" si="1"/>
        <v>9</v>
      </c>
      <c r="C290" s="442">
        <f>5-COUNTIFS(dataMail!$C:$C,"&lt;&gt;Annulation",dataMail!$G:$G,"&lt;="&amp;A290,dataMail!$H:$H,"&gt;"&amp;A290,dataMail!J:J,"DE")</f>
        <v>5</v>
      </c>
      <c r="D290" s="442">
        <f>4-COUNTIFS(dataMail!$C:$C,"&lt;&gt;Annulation",dataMail!$G:$G,"&lt;="&amp;A290,dataMail!$H:$H,"&gt;"&amp;A290,dataMail!J:J,"SU")-COUNTIFS(dataMail!$C:$C,"&lt;&gt;Annulation",dataMail!$G:$G,"&lt;="&amp;A290,dataMail!$H:$H,"&gt;"&amp;A290,dataMail!J:J,"SX")</f>
        <v>4</v>
      </c>
    </row>
    <row r="291">
      <c r="A291" s="441">
        <f t="shared" si="2"/>
        <v>46539</v>
      </c>
      <c r="B291" s="442">
        <f t="shared" si="1"/>
        <v>9</v>
      </c>
      <c r="C291" s="442">
        <f>5-COUNTIFS(dataMail!$C:$C,"&lt;&gt;Annulation",dataMail!$G:$G,"&lt;="&amp;A291,dataMail!$H:$H,"&gt;"&amp;A291,dataMail!J:J,"DE")</f>
        <v>5</v>
      </c>
      <c r="D291" s="442">
        <f>4-COUNTIFS(dataMail!$C:$C,"&lt;&gt;Annulation",dataMail!$G:$G,"&lt;="&amp;A291,dataMail!$H:$H,"&gt;"&amp;A291,dataMail!J:J,"SU")-COUNTIFS(dataMail!$C:$C,"&lt;&gt;Annulation",dataMail!$G:$G,"&lt;="&amp;A291,dataMail!$H:$H,"&gt;"&amp;A291,dataMail!J:J,"SX")</f>
        <v>4</v>
      </c>
    </row>
    <row r="292">
      <c r="A292" s="441">
        <f t="shared" si="2"/>
        <v>46540</v>
      </c>
      <c r="B292" s="442">
        <f t="shared" si="1"/>
        <v>9</v>
      </c>
      <c r="C292" s="442">
        <f>5-COUNTIFS(dataMail!$C:$C,"&lt;&gt;Annulation",dataMail!$G:$G,"&lt;="&amp;A292,dataMail!$H:$H,"&gt;"&amp;A292,dataMail!J:J,"DE")</f>
        <v>5</v>
      </c>
      <c r="D292" s="442">
        <f>4-COUNTIFS(dataMail!$C:$C,"&lt;&gt;Annulation",dataMail!$G:$G,"&lt;="&amp;A292,dataMail!$H:$H,"&gt;"&amp;A292,dataMail!J:J,"SU")-COUNTIFS(dataMail!$C:$C,"&lt;&gt;Annulation",dataMail!$G:$G,"&lt;="&amp;A292,dataMail!$H:$H,"&gt;"&amp;A292,dataMail!J:J,"SX")</f>
        <v>4</v>
      </c>
    </row>
    <row r="293">
      <c r="A293" s="441">
        <f t="shared" si="2"/>
        <v>46541</v>
      </c>
      <c r="B293" s="442">
        <f t="shared" si="1"/>
        <v>7</v>
      </c>
      <c r="C293" s="442">
        <f>5-COUNTIFS(dataMail!$C:$C,"&lt;&gt;Annulation",dataMail!$G:$G,"&lt;="&amp;A293,dataMail!$H:$H,"&gt;"&amp;A293,dataMail!J:J,"DE")</f>
        <v>3</v>
      </c>
      <c r="D293" s="442">
        <f>4-COUNTIFS(dataMail!$C:$C,"&lt;&gt;Annulation",dataMail!$G:$G,"&lt;="&amp;A293,dataMail!$H:$H,"&gt;"&amp;A293,dataMail!J:J,"SU")-COUNTIFS(dataMail!$C:$C,"&lt;&gt;Annulation",dataMail!$G:$G,"&lt;="&amp;A293,dataMail!$H:$H,"&gt;"&amp;A293,dataMail!J:J,"SX")</f>
        <v>4</v>
      </c>
    </row>
    <row r="294">
      <c r="A294" s="441">
        <f t="shared" si="2"/>
        <v>46542</v>
      </c>
      <c r="B294" s="442">
        <f t="shared" si="1"/>
        <v>7</v>
      </c>
      <c r="C294" s="442">
        <f>5-COUNTIFS(dataMail!$C:$C,"&lt;&gt;Annulation",dataMail!$G:$G,"&lt;="&amp;A294,dataMail!$H:$H,"&gt;"&amp;A294,dataMail!J:J,"DE")</f>
        <v>3</v>
      </c>
      <c r="D294" s="442">
        <f>4-COUNTIFS(dataMail!$C:$C,"&lt;&gt;Annulation",dataMail!$G:$G,"&lt;="&amp;A294,dataMail!$H:$H,"&gt;"&amp;A294,dataMail!J:J,"SU")-COUNTIFS(dataMail!$C:$C,"&lt;&gt;Annulation",dataMail!$G:$G,"&lt;="&amp;A294,dataMail!$H:$H,"&gt;"&amp;A294,dataMail!J:J,"SX")</f>
        <v>4</v>
      </c>
    </row>
    <row r="295">
      <c r="A295" s="441">
        <f t="shared" si="2"/>
        <v>46543</v>
      </c>
      <c r="B295" s="442">
        <f t="shared" si="1"/>
        <v>7</v>
      </c>
      <c r="C295" s="442">
        <f>5-COUNTIFS(dataMail!$C:$C,"&lt;&gt;Annulation",dataMail!$G:$G,"&lt;="&amp;A295,dataMail!$H:$H,"&gt;"&amp;A295,dataMail!J:J,"DE")</f>
        <v>3</v>
      </c>
      <c r="D295" s="442">
        <f>4-COUNTIFS(dataMail!$C:$C,"&lt;&gt;Annulation",dataMail!$G:$G,"&lt;="&amp;A295,dataMail!$H:$H,"&gt;"&amp;A295,dataMail!J:J,"SU")-COUNTIFS(dataMail!$C:$C,"&lt;&gt;Annulation",dataMail!$G:$G,"&lt;="&amp;A295,dataMail!$H:$H,"&gt;"&amp;A295,dataMail!J:J,"SX")</f>
        <v>4</v>
      </c>
    </row>
    <row r="296">
      <c r="A296" s="441">
        <f t="shared" si="2"/>
        <v>46544</v>
      </c>
      <c r="B296" s="442">
        <f t="shared" si="1"/>
        <v>7</v>
      </c>
      <c r="C296" s="442">
        <f>5-COUNTIFS(dataMail!$C:$C,"&lt;&gt;Annulation",dataMail!$G:$G,"&lt;="&amp;A296,dataMail!$H:$H,"&gt;"&amp;A296,dataMail!J:J,"DE")</f>
        <v>3</v>
      </c>
      <c r="D296" s="442">
        <f>4-COUNTIFS(dataMail!$C:$C,"&lt;&gt;Annulation",dataMail!$G:$G,"&lt;="&amp;A296,dataMail!$H:$H,"&gt;"&amp;A296,dataMail!J:J,"SU")-COUNTIFS(dataMail!$C:$C,"&lt;&gt;Annulation",dataMail!$G:$G,"&lt;="&amp;A296,dataMail!$H:$H,"&gt;"&amp;A296,dataMail!J:J,"SX")</f>
        <v>4</v>
      </c>
    </row>
    <row r="297">
      <c r="A297" s="441">
        <f t="shared" si="2"/>
        <v>46545</v>
      </c>
      <c r="B297" s="442">
        <f t="shared" si="1"/>
        <v>8</v>
      </c>
      <c r="C297" s="442">
        <f>5-COUNTIFS(dataMail!$C:$C,"&lt;&gt;Annulation",dataMail!$G:$G,"&lt;="&amp;A297,dataMail!$H:$H,"&gt;"&amp;A297,dataMail!J:J,"DE")</f>
        <v>4</v>
      </c>
      <c r="D297" s="442">
        <f>4-COUNTIFS(dataMail!$C:$C,"&lt;&gt;Annulation",dataMail!$G:$G,"&lt;="&amp;A297,dataMail!$H:$H,"&gt;"&amp;A297,dataMail!J:J,"SU")-COUNTIFS(dataMail!$C:$C,"&lt;&gt;Annulation",dataMail!$G:$G,"&lt;="&amp;A297,dataMail!$H:$H,"&gt;"&amp;A297,dataMail!J:J,"SX")</f>
        <v>4</v>
      </c>
    </row>
    <row r="298">
      <c r="A298" s="441">
        <f t="shared" si="2"/>
        <v>46546</v>
      </c>
      <c r="B298" s="442">
        <f t="shared" si="1"/>
        <v>9</v>
      </c>
      <c r="C298" s="442">
        <f>5-COUNTIFS(dataMail!$C:$C,"&lt;&gt;Annulation",dataMail!$G:$G,"&lt;="&amp;A298,dataMail!$H:$H,"&gt;"&amp;A298,dataMail!J:J,"DE")</f>
        <v>5</v>
      </c>
      <c r="D298" s="442">
        <f>4-COUNTIFS(dataMail!$C:$C,"&lt;&gt;Annulation",dataMail!$G:$G,"&lt;="&amp;A298,dataMail!$H:$H,"&gt;"&amp;A298,dataMail!J:J,"SU")-COUNTIFS(dataMail!$C:$C,"&lt;&gt;Annulation",dataMail!$G:$G,"&lt;="&amp;A298,dataMail!$H:$H,"&gt;"&amp;A298,dataMail!J:J,"SX")</f>
        <v>4</v>
      </c>
    </row>
    <row r="299">
      <c r="A299" s="441">
        <f t="shared" si="2"/>
        <v>46547</v>
      </c>
      <c r="B299" s="442">
        <f t="shared" si="1"/>
        <v>9</v>
      </c>
      <c r="C299" s="442">
        <f>5-COUNTIFS(dataMail!$C:$C,"&lt;&gt;Annulation",dataMail!$G:$G,"&lt;="&amp;A299,dataMail!$H:$H,"&gt;"&amp;A299,dataMail!J:J,"DE")</f>
        <v>5</v>
      </c>
      <c r="D299" s="442">
        <f>4-COUNTIFS(dataMail!$C:$C,"&lt;&gt;Annulation",dataMail!$G:$G,"&lt;="&amp;A299,dataMail!$H:$H,"&gt;"&amp;A299,dataMail!J:J,"SU")-COUNTIFS(dataMail!$C:$C,"&lt;&gt;Annulation",dataMail!$G:$G,"&lt;="&amp;A299,dataMail!$H:$H,"&gt;"&amp;A299,dataMail!J:J,"SX")</f>
        <v>4</v>
      </c>
    </row>
    <row r="300">
      <c r="A300" s="441">
        <f t="shared" si="2"/>
        <v>46548</v>
      </c>
      <c r="B300" s="442">
        <f t="shared" si="1"/>
        <v>9</v>
      </c>
      <c r="C300" s="442">
        <f>5-COUNTIFS(dataMail!$C:$C,"&lt;&gt;Annulation",dataMail!$G:$G,"&lt;="&amp;A300,dataMail!$H:$H,"&gt;"&amp;A300,dataMail!J:J,"DE")</f>
        <v>5</v>
      </c>
      <c r="D300" s="442">
        <f>4-COUNTIFS(dataMail!$C:$C,"&lt;&gt;Annulation",dataMail!$G:$G,"&lt;="&amp;A300,dataMail!$H:$H,"&gt;"&amp;A300,dataMail!J:J,"SU")-COUNTIFS(dataMail!$C:$C,"&lt;&gt;Annulation",dataMail!$G:$G,"&lt;="&amp;A300,dataMail!$H:$H,"&gt;"&amp;A300,dataMail!J:J,"SX")</f>
        <v>4</v>
      </c>
    </row>
    <row r="301">
      <c r="A301" s="441">
        <f t="shared" si="2"/>
        <v>46549</v>
      </c>
      <c r="B301" s="442">
        <f t="shared" si="1"/>
        <v>9</v>
      </c>
      <c r="C301" s="442">
        <f>5-COUNTIFS(dataMail!$C:$C,"&lt;&gt;Annulation",dataMail!$G:$G,"&lt;="&amp;A301,dataMail!$H:$H,"&gt;"&amp;A301,dataMail!J:J,"DE")</f>
        <v>5</v>
      </c>
      <c r="D301" s="442">
        <f>4-COUNTIFS(dataMail!$C:$C,"&lt;&gt;Annulation",dataMail!$G:$G,"&lt;="&amp;A301,dataMail!$H:$H,"&gt;"&amp;A301,dataMail!J:J,"SU")-COUNTIFS(dataMail!$C:$C,"&lt;&gt;Annulation",dataMail!$G:$G,"&lt;="&amp;A301,dataMail!$H:$H,"&gt;"&amp;A301,dataMail!J:J,"SX")</f>
        <v>4</v>
      </c>
    </row>
    <row r="302">
      <c r="A302" s="441">
        <f t="shared" si="2"/>
        <v>46550</v>
      </c>
      <c r="B302" s="442">
        <f t="shared" si="1"/>
        <v>9</v>
      </c>
      <c r="C302" s="442">
        <f>5-COUNTIFS(dataMail!$C:$C,"&lt;&gt;Annulation",dataMail!$G:$G,"&lt;="&amp;A302,dataMail!$H:$H,"&gt;"&amp;A302,dataMail!J:J,"DE")</f>
        <v>5</v>
      </c>
      <c r="D302" s="442">
        <f>4-COUNTIFS(dataMail!$C:$C,"&lt;&gt;Annulation",dataMail!$G:$G,"&lt;="&amp;A302,dataMail!$H:$H,"&gt;"&amp;A302,dataMail!J:J,"SU")-COUNTIFS(dataMail!$C:$C,"&lt;&gt;Annulation",dataMail!$G:$G,"&lt;="&amp;A302,dataMail!$H:$H,"&gt;"&amp;A302,dataMail!J:J,"SX")</f>
        <v>4</v>
      </c>
    </row>
    <row r="303">
      <c r="A303" s="441">
        <f t="shared" si="2"/>
        <v>46551</v>
      </c>
      <c r="B303" s="442">
        <f t="shared" si="1"/>
        <v>9</v>
      </c>
      <c r="C303" s="442">
        <f>5-COUNTIFS(dataMail!$C:$C,"&lt;&gt;Annulation",dataMail!$G:$G,"&lt;="&amp;A303,dataMail!$H:$H,"&gt;"&amp;A303,dataMail!J:J,"DE")</f>
        <v>5</v>
      </c>
      <c r="D303" s="442">
        <f>4-COUNTIFS(dataMail!$C:$C,"&lt;&gt;Annulation",dataMail!$G:$G,"&lt;="&amp;A303,dataMail!$H:$H,"&gt;"&amp;A303,dataMail!J:J,"SU")-COUNTIFS(dataMail!$C:$C,"&lt;&gt;Annulation",dataMail!$G:$G,"&lt;="&amp;A303,dataMail!$H:$H,"&gt;"&amp;A303,dataMail!J:J,"SX")</f>
        <v>4</v>
      </c>
    </row>
    <row r="304">
      <c r="A304" s="441">
        <f t="shared" si="2"/>
        <v>46552</v>
      </c>
      <c r="B304" s="442">
        <f t="shared" si="1"/>
        <v>9</v>
      </c>
      <c r="C304" s="442">
        <f>5-COUNTIFS(dataMail!$C:$C,"&lt;&gt;Annulation",dataMail!$G:$G,"&lt;="&amp;A304,dataMail!$H:$H,"&gt;"&amp;A304,dataMail!J:J,"DE")</f>
        <v>5</v>
      </c>
      <c r="D304" s="442">
        <f>4-COUNTIFS(dataMail!$C:$C,"&lt;&gt;Annulation",dataMail!$G:$G,"&lt;="&amp;A304,dataMail!$H:$H,"&gt;"&amp;A304,dataMail!J:J,"SU")-COUNTIFS(dataMail!$C:$C,"&lt;&gt;Annulation",dataMail!$G:$G,"&lt;="&amp;A304,dataMail!$H:$H,"&gt;"&amp;A304,dataMail!J:J,"SX")</f>
        <v>4</v>
      </c>
    </row>
    <row r="305">
      <c r="A305" s="441">
        <f t="shared" si="2"/>
        <v>46553</v>
      </c>
      <c r="B305" s="442">
        <f t="shared" si="1"/>
        <v>9</v>
      </c>
      <c r="C305" s="442">
        <f>5-COUNTIFS(dataMail!$C:$C,"&lt;&gt;Annulation",dataMail!$G:$G,"&lt;="&amp;A305,dataMail!$H:$H,"&gt;"&amp;A305,dataMail!J:J,"DE")</f>
        <v>5</v>
      </c>
      <c r="D305" s="442">
        <f>4-COUNTIFS(dataMail!$C:$C,"&lt;&gt;Annulation",dataMail!$G:$G,"&lt;="&amp;A305,dataMail!$H:$H,"&gt;"&amp;A305,dataMail!J:J,"SU")-COUNTIFS(dataMail!$C:$C,"&lt;&gt;Annulation",dataMail!$G:$G,"&lt;="&amp;A305,dataMail!$H:$H,"&gt;"&amp;A305,dataMail!J:J,"SX")</f>
        <v>4</v>
      </c>
    </row>
    <row r="306">
      <c r="A306" s="441">
        <f t="shared" si="2"/>
        <v>46554</v>
      </c>
      <c r="B306" s="442">
        <f t="shared" si="1"/>
        <v>9</v>
      </c>
      <c r="C306" s="442">
        <f>5-COUNTIFS(dataMail!$C:$C,"&lt;&gt;Annulation",dataMail!$G:$G,"&lt;="&amp;A306,dataMail!$H:$H,"&gt;"&amp;A306,dataMail!J:J,"DE")</f>
        <v>5</v>
      </c>
      <c r="D306" s="442">
        <f>4-COUNTIFS(dataMail!$C:$C,"&lt;&gt;Annulation",dataMail!$G:$G,"&lt;="&amp;A306,dataMail!$H:$H,"&gt;"&amp;A306,dataMail!J:J,"SU")-COUNTIFS(dataMail!$C:$C,"&lt;&gt;Annulation",dataMail!$G:$G,"&lt;="&amp;A306,dataMail!$H:$H,"&gt;"&amp;A306,dataMail!J:J,"SX")</f>
        <v>4</v>
      </c>
    </row>
    <row r="307">
      <c r="A307" s="441">
        <f t="shared" si="2"/>
        <v>46555</v>
      </c>
      <c r="B307" s="442">
        <f t="shared" si="1"/>
        <v>8</v>
      </c>
      <c r="C307" s="442">
        <f>5-COUNTIFS(dataMail!$C:$C,"&lt;&gt;Annulation",dataMail!$G:$G,"&lt;="&amp;A307,dataMail!$H:$H,"&gt;"&amp;A307,dataMail!J:J,"DE")</f>
        <v>4</v>
      </c>
      <c r="D307" s="442">
        <f>4-COUNTIFS(dataMail!$C:$C,"&lt;&gt;Annulation",dataMail!$G:$G,"&lt;="&amp;A307,dataMail!$H:$H,"&gt;"&amp;A307,dataMail!J:J,"SU")-COUNTIFS(dataMail!$C:$C,"&lt;&gt;Annulation",dataMail!$G:$G,"&lt;="&amp;A307,dataMail!$H:$H,"&gt;"&amp;A307,dataMail!J:J,"SX")</f>
        <v>4</v>
      </c>
    </row>
    <row r="308">
      <c r="A308" s="441">
        <f t="shared" si="2"/>
        <v>46556</v>
      </c>
      <c r="B308" s="442">
        <f t="shared" si="1"/>
        <v>8</v>
      </c>
      <c r="C308" s="442">
        <f>5-COUNTIFS(dataMail!$C:$C,"&lt;&gt;Annulation",dataMail!$G:$G,"&lt;="&amp;A308,dataMail!$H:$H,"&gt;"&amp;A308,dataMail!J:J,"DE")</f>
        <v>4</v>
      </c>
      <c r="D308" s="442">
        <f>4-COUNTIFS(dataMail!$C:$C,"&lt;&gt;Annulation",dataMail!$G:$G,"&lt;="&amp;A308,dataMail!$H:$H,"&gt;"&amp;A308,dataMail!J:J,"SU")-COUNTIFS(dataMail!$C:$C,"&lt;&gt;Annulation",dataMail!$G:$G,"&lt;="&amp;A308,dataMail!$H:$H,"&gt;"&amp;A308,dataMail!J:J,"SX")</f>
        <v>4</v>
      </c>
    </row>
    <row r="309">
      <c r="A309" s="441">
        <f t="shared" si="2"/>
        <v>46557</v>
      </c>
      <c r="B309" s="442">
        <f t="shared" si="1"/>
        <v>8</v>
      </c>
      <c r="C309" s="442">
        <f>5-COUNTIFS(dataMail!$C:$C,"&lt;&gt;Annulation",dataMail!$G:$G,"&lt;="&amp;A309,dataMail!$H:$H,"&gt;"&amp;A309,dataMail!J:J,"DE")</f>
        <v>4</v>
      </c>
      <c r="D309" s="442">
        <f>4-COUNTIFS(dataMail!$C:$C,"&lt;&gt;Annulation",dataMail!$G:$G,"&lt;="&amp;A309,dataMail!$H:$H,"&gt;"&amp;A309,dataMail!J:J,"SU")-COUNTIFS(dataMail!$C:$C,"&lt;&gt;Annulation",dataMail!$G:$G,"&lt;="&amp;A309,dataMail!$H:$H,"&gt;"&amp;A309,dataMail!J:J,"SX")</f>
        <v>4</v>
      </c>
    </row>
    <row r="310">
      <c r="A310" s="441">
        <f t="shared" si="2"/>
        <v>46558</v>
      </c>
      <c r="B310" s="442">
        <f t="shared" si="1"/>
        <v>8</v>
      </c>
      <c r="C310" s="442">
        <f>5-COUNTIFS(dataMail!$C:$C,"&lt;&gt;Annulation",dataMail!$G:$G,"&lt;="&amp;A310,dataMail!$H:$H,"&gt;"&amp;A310,dataMail!J:J,"DE")</f>
        <v>4</v>
      </c>
      <c r="D310" s="442">
        <f>4-COUNTIFS(dataMail!$C:$C,"&lt;&gt;Annulation",dataMail!$G:$G,"&lt;="&amp;A310,dataMail!$H:$H,"&gt;"&amp;A310,dataMail!J:J,"SU")-COUNTIFS(dataMail!$C:$C,"&lt;&gt;Annulation",dataMail!$G:$G,"&lt;="&amp;A310,dataMail!$H:$H,"&gt;"&amp;A310,dataMail!J:J,"SX")</f>
        <v>4</v>
      </c>
    </row>
    <row r="311">
      <c r="A311" s="441">
        <f t="shared" si="2"/>
        <v>46559</v>
      </c>
      <c r="B311" s="442">
        <f t="shared" si="1"/>
        <v>8</v>
      </c>
      <c r="C311" s="442">
        <f>5-COUNTIFS(dataMail!$C:$C,"&lt;&gt;Annulation",dataMail!$G:$G,"&lt;="&amp;A311,dataMail!$H:$H,"&gt;"&amp;A311,dataMail!J:J,"DE")</f>
        <v>4</v>
      </c>
      <c r="D311" s="442">
        <f>4-COUNTIFS(dataMail!$C:$C,"&lt;&gt;Annulation",dataMail!$G:$G,"&lt;="&amp;A311,dataMail!$H:$H,"&gt;"&amp;A311,dataMail!J:J,"SU")-COUNTIFS(dataMail!$C:$C,"&lt;&gt;Annulation",dataMail!$G:$G,"&lt;="&amp;A311,dataMail!$H:$H,"&gt;"&amp;A311,dataMail!J:J,"SX")</f>
        <v>4</v>
      </c>
    </row>
    <row r="312">
      <c r="A312" s="441">
        <f t="shared" si="2"/>
        <v>46560</v>
      </c>
      <c r="B312" s="442">
        <f t="shared" si="1"/>
        <v>8</v>
      </c>
      <c r="C312" s="442">
        <f>5-COUNTIFS(dataMail!$C:$C,"&lt;&gt;Annulation",dataMail!$G:$G,"&lt;="&amp;A312,dataMail!$H:$H,"&gt;"&amp;A312,dataMail!J:J,"DE")</f>
        <v>4</v>
      </c>
      <c r="D312" s="442">
        <f>4-COUNTIFS(dataMail!$C:$C,"&lt;&gt;Annulation",dataMail!$G:$G,"&lt;="&amp;A312,dataMail!$H:$H,"&gt;"&amp;A312,dataMail!J:J,"SU")-COUNTIFS(dataMail!$C:$C,"&lt;&gt;Annulation",dataMail!$G:$G,"&lt;="&amp;A312,dataMail!$H:$H,"&gt;"&amp;A312,dataMail!J:J,"SX")</f>
        <v>4</v>
      </c>
    </row>
    <row r="313">
      <c r="A313" s="441">
        <f t="shared" si="2"/>
        <v>46561</v>
      </c>
      <c r="B313" s="442">
        <f t="shared" si="1"/>
        <v>8</v>
      </c>
      <c r="C313" s="442">
        <f>5-COUNTIFS(dataMail!$C:$C,"&lt;&gt;Annulation",dataMail!$G:$G,"&lt;="&amp;A313,dataMail!$H:$H,"&gt;"&amp;A313,dataMail!J:J,"DE")</f>
        <v>4</v>
      </c>
      <c r="D313" s="442">
        <f>4-COUNTIFS(dataMail!$C:$C,"&lt;&gt;Annulation",dataMail!$G:$G,"&lt;="&amp;A313,dataMail!$H:$H,"&gt;"&amp;A313,dataMail!J:J,"SU")-COUNTIFS(dataMail!$C:$C,"&lt;&gt;Annulation",dataMail!$G:$G,"&lt;="&amp;A313,dataMail!$H:$H,"&gt;"&amp;A313,dataMail!J:J,"SX")</f>
        <v>4</v>
      </c>
    </row>
    <row r="314">
      <c r="A314" s="441">
        <f t="shared" si="2"/>
        <v>46562</v>
      </c>
      <c r="B314" s="442">
        <f t="shared" si="1"/>
        <v>8</v>
      </c>
      <c r="C314" s="442">
        <f>5-COUNTIFS(dataMail!$C:$C,"&lt;&gt;Annulation",dataMail!$G:$G,"&lt;="&amp;A314,dataMail!$H:$H,"&gt;"&amp;A314,dataMail!J:J,"DE")</f>
        <v>4</v>
      </c>
      <c r="D314" s="442">
        <f>4-COUNTIFS(dataMail!$C:$C,"&lt;&gt;Annulation",dataMail!$G:$G,"&lt;="&amp;A314,dataMail!$H:$H,"&gt;"&amp;A314,dataMail!J:J,"SU")-COUNTIFS(dataMail!$C:$C,"&lt;&gt;Annulation",dataMail!$G:$G,"&lt;="&amp;A314,dataMail!$H:$H,"&gt;"&amp;A314,dataMail!J:J,"SX")</f>
        <v>4</v>
      </c>
    </row>
    <row r="315">
      <c r="A315" s="441">
        <f t="shared" si="2"/>
        <v>46563</v>
      </c>
      <c r="B315" s="442">
        <f t="shared" si="1"/>
        <v>8</v>
      </c>
      <c r="C315" s="442">
        <f>5-COUNTIFS(dataMail!$C:$C,"&lt;&gt;Annulation",dataMail!$G:$G,"&lt;="&amp;A315,dataMail!$H:$H,"&gt;"&amp;A315,dataMail!J:J,"DE")</f>
        <v>4</v>
      </c>
      <c r="D315" s="442">
        <f>4-COUNTIFS(dataMail!$C:$C,"&lt;&gt;Annulation",dataMail!$G:$G,"&lt;="&amp;A315,dataMail!$H:$H,"&gt;"&amp;A315,dataMail!J:J,"SU")-COUNTIFS(dataMail!$C:$C,"&lt;&gt;Annulation",dataMail!$G:$G,"&lt;="&amp;A315,dataMail!$H:$H,"&gt;"&amp;A315,dataMail!J:J,"SX")</f>
        <v>4</v>
      </c>
    </row>
    <row r="316">
      <c r="A316" s="441">
        <f t="shared" si="2"/>
        <v>46564</v>
      </c>
      <c r="B316" s="442">
        <f t="shared" si="1"/>
        <v>8</v>
      </c>
      <c r="C316" s="442">
        <f>5-COUNTIFS(dataMail!$C:$C,"&lt;&gt;Annulation",dataMail!$G:$G,"&lt;="&amp;A316,dataMail!$H:$H,"&gt;"&amp;A316,dataMail!J:J,"DE")</f>
        <v>4</v>
      </c>
      <c r="D316" s="442">
        <f>4-COUNTIFS(dataMail!$C:$C,"&lt;&gt;Annulation",dataMail!$G:$G,"&lt;="&amp;A316,dataMail!$H:$H,"&gt;"&amp;A316,dataMail!J:J,"SU")-COUNTIFS(dataMail!$C:$C,"&lt;&gt;Annulation",dataMail!$G:$G,"&lt;="&amp;A316,dataMail!$H:$H,"&gt;"&amp;A316,dataMail!J:J,"SX")</f>
        <v>4</v>
      </c>
    </row>
    <row r="317">
      <c r="A317" s="441">
        <f t="shared" si="2"/>
        <v>46565</v>
      </c>
      <c r="B317" s="442">
        <f t="shared" si="1"/>
        <v>9</v>
      </c>
      <c r="C317" s="442">
        <f>5-COUNTIFS(dataMail!$C:$C,"&lt;&gt;Annulation",dataMail!$G:$G,"&lt;="&amp;A317,dataMail!$H:$H,"&gt;"&amp;A317,dataMail!J:J,"DE")</f>
        <v>5</v>
      </c>
      <c r="D317" s="442">
        <f>4-COUNTIFS(dataMail!$C:$C,"&lt;&gt;Annulation",dataMail!$G:$G,"&lt;="&amp;A317,dataMail!$H:$H,"&gt;"&amp;A317,dataMail!J:J,"SU")-COUNTIFS(dataMail!$C:$C,"&lt;&gt;Annulation",dataMail!$G:$G,"&lt;="&amp;A317,dataMail!$H:$H,"&gt;"&amp;A317,dataMail!J:J,"SX")</f>
        <v>4</v>
      </c>
    </row>
    <row r="318">
      <c r="A318" s="441">
        <f t="shared" si="2"/>
        <v>46566</v>
      </c>
      <c r="B318" s="442">
        <f t="shared" si="1"/>
        <v>9</v>
      </c>
      <c r="C318" s="442">
        <f>5-COUNTIFS(dataMail!$C:$C,"&lt;&gt;Annulation",dataMail!$G:$G,"&lt;="&amp;A318,dataMail!$H:$H,"&gt;"&amp;A318,dataMail!J:J,"DE")</f>
        <v>5</v>
      </c>
      <c r="D318" s="442">
        <f>4-COUNTIFS(dataMail!$C:$C,"&lt;&gt;Annulation",dataMail!$G:$G,"&lt;="&amp;A318,dataMail!$H:$H,"&gt;"&amp;A318,dataMail!J:J,"SU")-COUNTIFS(dataMail!$C:$C,"&lt;&gt;Annulation",dataMail!$G:$G,"&lt;="&amp;A318,dataMail!$H:$H,"&gt;"&amp;A318,dataMail!J:J,"SX")</f>
        <v>4</v>
      </c>
    </row>
    <row r="319">
      <c r="A319" s="441">
        <f t="shared" si="2"/>
        <v>46567</v>
      </c>
      <c r="B319" s="442">
        <f t="shared" si="1"/>
        <v>9</v>
      </c>
      <c r="C319" s="442">
        <f>5-COUNTIFS(dataMail!$C:$C,"&lt;&gt;Annulation",dataMail!$G:$G,"&lt;="&amp;A319,dataMail!$H:$H,"&gt;"&amp;A319,dataMail!J:J,"DE")</f>
        <v>5</v>
      </c>
      <c r="D319" s="442">
        <f>4-COUNTIFS(dataMail!$C:$C,"&lt;&gt;Annulation",dataMail!$G:$G,"&lt;="&amp;A319,dataMail!$H:$H,"&gt;"&amp;A319,dataMail!J:J,"SU")-COUNTIFS(dataMail!$C:$C,"&lt;&gt;Annulation",dataMail!$G:$G,"&lt;="&amp;A319,dataMail!$H:$H,"&gt;"&amp;A319,dataMail!J:J,"SX")</f>
        <v>4</v>
      </c>
    </row>
    <row r="320">
      <c r="A320" s="441">
        <f t="shared" si="2"/>
        <v>46568</v>
      </c>
      <c r="B320" s="442">
        <f t="shared" si="1"/>
        <v>9</v>
      </c>
      <c r="C320" s="442">
        <f>5-COUNTIFS(dataMail!$C:$C,"&lt;&gt;Annulation",dataMail!$G:$G,"&lt;="&amp;A320,dataMail!$H:$H,"&gt;"&amp;A320,dataMail!J:J,"DE")</f>
        <v>5</v>
      </c>
      <c r="D320" s="442">
        <f>4-COUNTIFS(dataMail!$C:$C,"&lt;&gt;Annulation",dataMail!$G:$G,"&lt;="&amp;A320,dataMail!$H:$H,"&gt;"&amp;A320,dataMail!J:J,"SU")-COUNTIFS(dataMail!$C:$C,"&lt;&gt;Annulation",dataMail!$G:$G,"&lt;="&amp;A320,dataMail!$H:$H,"&gt;"&amp;A320,dataMail!J:J,"SX")</f>
        <v>4</v>
      </c>
    </row>
    <row r="321">
      <c r="A321" s="441">
        <f t="shared" si="2"/>
        <v>46569</v>
      </c>
      <c r="B321" s="442">
        <f t="shared" si="1"/>
        <v>9</v>
      </c>
      <c r="C321" s="442">
        <f>5-COUNTIFS(dataMail!$C:$C,"&lt;&gt;Annulation",dataMail!$G:$G,"&lt;="&amp;A321,dataMail!$H:$H,"&gt;"&amp;A321,dataMail!J:J,"DE")</f>
        <v>5</v>
      </c>
      <c r="D321" s="442">
        <f>4-COUNTIFS(dataMail!$C:$C,"&lt;&gt;Annulation",dataMail!$G:$G,"&lt;="&amp;A321,dataMail!$H:$H,"&gt;"&amp;A321,dataMail!J:J,"SU")-COUNTIFS(dataMail!$C:$C,"&lt;&gt;Annulation",dataMail!$G:$G,"&lt;="&amp;A321,dataMail!$H:$H,"&gt;"&amp;A321,dataMail!J:J,"SX")</f>
        <v>4</v>
      </c>
    </row>
    <row r="322">
      <c r="A322" s="441">
        <f t="shared" si="2"/>
        <v>46570</v>
      </c>
      <c r="B322" s="442">
        <f t="shared" si="1"/>
        <v>9</v>
      </c>
      <c r="C322" s="442">
        <f>5-COUNTIFS(dataMail!$C:$C,"&lt;&gt;Annulation",dataMail!$G:$G,"&lt;="&amp;A322,dataMail!$H:$H,"&gt;"&amp;A322,dataMail!J:J,"DE")</f>
        <v>5</v>
      </c>
      <c r="D322" s="442">
        <f>4-COUNTIFS(dataMail!$C:$C,"&lt;&gt;Annulation",dataMail!$G:$G,"&lt;="&amp;A322,dataMail!$H:$H,"&gt;"&amp;A322,dataMail!J:J,"SU")-COUNTIFS(dataMail!$C:$C,"&lt;&gt;Annulation",dataMail!$G:$G,"&lt;="&amp;A322,dataMail!$H:$H,"&gt;"&amp;A322,dataMail!J:J,"SX")</f>
        <v>4</v>
      </c>
    </row>
    <row r="323">
      <c r="A323" s="441">
        <f t="shared" si="2"/>
        <v>46571</v>
      </c>
      <c r="B323" s="442">
        <f t="shared" si="1"/>
        <v>9</v>
      </c>
      <c r="C323" s="442">
        <f>5-COUNTIFS(dataMail!$C:$C,"&lt;&gt;Annulation",dataMail!$G:$G,"&lt;="&amp;A323,dataMail!$H:$H,"&gt;"&amp;A323,dataMail!J:J,"DE")</f>
        <v>5</v>
      </c>
      <c r="D323" s="442">
        <f>4-COUNTIFS(dataMail!$C:$C,"&lt;&gt;Annulation",dataMail!$G:$G,"&lt;="&amp;A323,dataMail!$H:$H,"&gt;"&amp;A323,dataMail!J:J,"SU")-COUNTIFS(dataMail!$C:$C,"&lt;&gt;Annulation",dataMail!$G:$G,"&lt;="&amp;A323,dataMail!$H:$H,"&gt;"&amp;A323,dataMail!J:J,"SX")</f>
        <v>4</v>
      </c>
    </row>
    <row r="324">
      <c r="A324" s="441">
        <f t="shared" si="2"/>
        <v>46572</v>
      </c>
      <c r="B324" s="442">
        <f t="shared" si="1"/>
        <v>9</v>
      </c>
      <c r="C324" s="442">
        <f>5-COUNTIFS(dataMail!$C:$C,"&lt;&gt;Annulation",dataMail!$G:$G,"&lt;="&amp;A324,dataMail!$H:$H,"&gt;"&amp;A324,dataMail!J:J,"DE")</f>
        <v>5</v>
      </c>
      <c r="D324" s="442">
        <f>4-COUNTIFS(dataMail!$C:$C,"&lt;&gt;Annulation",dataMail!$G:$G,"&lt;="&amp;A324,dataMail!$H:$H,"&gt;"&amp;A324,dataMail!J:J,"SU")-COUNTIFS(dataMail!$C:$C,"&lt;&gt;Annulation",dataMail!$G:$G,"&lt;="&amp;A324,dataMail!$H:$H,"&gt;"&amp;A324,dataMail!J:J,"SX")</f>
        <v>4</v>
      </c>
    </row>
    <row r="325">
      <c r="A325" s="441">
        <f t="shared" si="2"/>
        <v>46573</v>
      </c>
      <c r="B325" s="442">
        <f t="shared" si="1"/>
        <v>9</v>
      </c>
      <c r="C325" s="442">
        <f>5-COUNTIFS(dataMail!$C:$C,"&lt;&gt;Annulation",dataMail!$G:$G,"&lt;="&amp;A325,dataMail!$H:$H,"&gt;"&amp;A325,dataMail!J:J,"DE")</f>
        <v>5</v>
      </c>
      <c r="D325" s="442">
        <f>4-COUNTIFS(dataMail!$C:$C,"&lt;&gt;Annulation",dataMail!$G:$G,"&lt;="&amp;A325,dataMail!$H:$H,"&gt;"&amp;A325,dataMail!J:J,"SU")-COUNTIFS(dataMail!$C:$C,"&lt;&gt;Annulation",dataMail!$G:$G,"&lt;="&amp;A325,dataMail!$H:$H,"&gt;"&amp;A325,dataMail!J:J,"SX")</f>
        <v>4</v>
      </c>
    </row>
    <row r="326">
      <c r="A326" s="441">
        <f t="shared" si="2"/>
        <v>46574</v>
      </c>
      <c r="B326" s="442">
        <f t="shared" si="1"/>
        <v>9</v>
      </c>
      <c r="C326" s="442">
        <f>5-COUNTIFS(dataMail!$C:$C,"&lt;&gt;Annulation",dataMail!$G:$G,"&lt;="&amp;A326,dataMail!$H:$H,"&gt;"&amp;A326,dataMail!J:J,"DE")</f>
        <v>5</v>
      </c>
      <c r="D326" s="442">
        <f>4-COUNTIFS(dataMail!$C:$C,"&lt;&gt;Annulation",dataMail!$G:$G,"&lt;="&amp;A326,dataMail!$H:$H,"&gt;"&amp;A326,dataMail!J:J,"SU")-COUNTIFS(dataMail!$C:$C,"&lt;&gt;Annulation",dataMail!$G:$G,"&lt;="&amp;A326,dataMail!$H:$H,"&gt;"&amp;A326,dataMail!J:J,"SX")</f>
        <v>4</v>
      </c>
    </row>
    <row r="327">
      <c r="A327" s="441">
        <f t="shared" si="2"/>
        <v>46575</v>
      </c>
      <c r="B327" s="442">
        <f t="shared" si="1"/>
        <v>9</v>
      </c>
      <c r="C327" s="442">
        <f>5-COUNTIFS(dataMail!$C:$C,"&lt;&gt;Annulation",dataMail!$G:$G,"&lt;="&amp;A327,dataMail!$H:$H,"&gt;"&amp;A327,dataMail!J:J,"DE")</f>
        <v>5</v>
      </c>
      <c r="D327" s="442">
        <f>4-COUNTIFS(dataMail!$C:$C,"&lt;&gt;Annulation",dataMail!$G:$G,"&lt;="&amp;A327,dataMail!$H:$H,"&gt;"&amp;A327,dataMail!J:J,"SU")-COUNTIFS(dataMail!$C:$C,"&lt;&gt;Annulation",dataMail!$G:$G,"&lt;="&amp;A327,dataMail!$H:$H,"&gt;"&amp;A327,dataMail!J:J,"SX")</f>
        <v>4</v>
      </c>
    </row>
    <row r="328">
      <c r="A328" s="441">
        <f t="shared" si="2"/>
        <v>46576</v>
      </c>
      <c r="B328" s="442">
        <f t="shared" si="1"/>
        <v>9</v>
      </c>
      <c r="C328" s="442">
        <f>5-COUNTIFS(dataMail!$C:$C,"&lt;&gt;Annulation",dataMail!$G:$G,"&lt;="&amp;A328,dataMail!$H:$H,"&gt;"&amp;A328,dataMail!J:J,"DE")</f>
        <v>5</v>
      </c>
      <c r="D328" s="442">
        <f>4-COUNTIFS(dataMail!$C:$C,"&lt;&gt;Annulation",dataMail!$G:$G,"&lt;="&amp;A328,dataMail!$H:$H,"&gt;"&amp;A328,dataMail!J:J,"SU")-COUNTIFS(dataMail!$C:$C,"&lt;&gt;Annulation",dataMail!$G:$G,"&lt;="&amp;A328,dataMail!$H:$H,"&gt;"&amp;A328,dataMail!J:J,"SX")</f>
        <v>4</v>
      </c>
    </row>
    <row r="329">
      <c r="A329" s="441">
        <f t="shared" si="2"/>
        <v>46577</v>
      </c>
      <c r="B329" s="442">
        <f t="shared" si="1"/>
        <v>9</v>
      </c>
      <c r="C329" s="442">
        <f>5-COUNTIFS(dataMail!$C:$C,"&lt;&gt;Annulation",dataMail!$G:$G,"&lt;="&amp;A329,dataMail!$H:$H,"&gt;"&amp;A329,dataMail!J:J,"DE")</f>
        <v>5</v>
      </c>
      <c r="D329" s="442">
        <f>4-COUNTIFS(dataMail!$C:$C,"&lt;&gt;Annulation",dataMail!$G:$G,"&lt;="&amp;A329,dataMail!$H:$H,"&gt;"&amp;A329,dataMail!J:J,"SU")-COUNTIFS(dataMail!$C:$C,"&lt;&gt;Annulation",dataMail!$G:$G,"&lt;="&amp;A329,dataMail!$H:$H,"&gt;"&amp;A329,dataMail!J:J,"SX")</f>
        <v>4</v>
      </c>
    </row>
    <row r="330">
      <c r="A330" s="441">
        <f t="shared" si="2"/>
        <v>46578</v>
      </c>
      <c r="B330" s="442">
        <f t="shared" si="1"/>
        <v>9</v>
      </c>
      <c r="C330" s="442">
        <f>5-COUNTIFS(dataMail!$C:$C,"&lt;&gt;Annulation",dataMail!$G:$G,"&lt;="&amp;A330,dataMail!$H:$H,"&gt;"&amp;A330,dataMail!J:J,"DE")</f>
        <v>5</v>
      </c>
      <c r="D330" s="442">
        <f>4-COUNTIFS(dataMail!$C:$C,"&lt;&gt;Annulation",dataMail!$G:$G,"&lt;="&amp;A330,dataMail!$H:$H,"&gt;"&amp;A330,dataMail!J:J,"SU")-COUNTIFS(dataMail!$C:$C,"&lt;&gt;Annulation",dataMail!$G:$G,"&lt;="&amp;A330,dataMail!$H:$H,"&gt;"&amp;A330,dataMail!J:J,"SX")</f>
        <v>4</v>
      </c>
    </row>
    <row r="331">
      <c r="A331" s="441">
        <f t="shared" si="2"/>
        <v>46579</v>
      </c>
      <c r="B331" s="442">
        <f t="shared" si="1"/>
        <v>9</v>
      </c>
      <c r="C331" s="442">
        <f>5-COUNTIFS(dataMail!$C:$C,"&lt;&gt;Annulation",dataMail!$G:$G,"&lt;="&amp;A331,dataMail!$H:$H,"&gt;"&amp;A331,dataMail!J:J,"DE")</f>
        <v>5</v>
      </c>
      <c r="D331" s="442">
        <f>4-COUNTIFS(dataMail!$C:$C,"&lt;&gt;Annulation",dataMail!$G:$G,"&lt;="&amp;A331,dataMail!$H:$H,"&gt;"&amp;A331,dataMail!J:J,"SU")-COUNTIFS(dataMail!$C:$C,"&lt;&gt;Annulation",dataMail!$G:$G,"&lt;="&amp;A331,dataMail!$H:$H,"&gt;"&amp;A331,dataMail!J:J,"SX")</f>
        <v>4</v>
      </c>
    </row>
    <row r="332">
      <c r="A332" s="441">
        <f t="shared" si="2"/>
        <v>46580</v>
      </c>
      <c r="B332" s="442">
        <f t="shared" si="1"/>
        <v>9</v>
      </c>
      <c r="C332" s="442">
        <f>5-COUNTIFS(dataMail!$C:$C,"&lt;&gt;Annulation",dataMail!$G:$G,"&lt;="&amp;A332,dataMail!$H:$H,"&gt;"&amp;A332,dataMail!J:J,"DE")</f>
        <v>5</v>
      </c>
      <c r="D332" s="442">
        <f>4-COUNTIFS(dataMail!$C:$C,"&lt;&gt;Annulation",dataMail!$G:$G,"&lt;="&amp;A332,dataMail!$H:$H,"&gt;"&amp;A332,dataMail!J:J,"SU")-COUNTIFS(dataMail!$C:$C,"&lt;&gt;Annulation",dataMail!$G:$G,"&lt;="&amp;A332,dataMail!$H:$H,"&gt;"&amp;A332,dataMail!J:J,"SX")</f>
        <v>4</v>
      </c>
    </row>
    <row r="333">
      <c r="A333" s="441">
        <f t="shared" si="2"/>
        <v>46581</v>
      </c>
      <c r="B333" s="442">
        <f t="shared" si="1"/>
        <v>9</v>
      </c>
      <c r="C333" s="442">
        <f>5-COUNTIFS(dataMail!$C:$C,"&lt;&gt;Annulation",dataMail!$G:$G,"&lt;="&amp;A333,dataMail!$H:$H,"&gt;"&amp;A333,dataMail!J:J,"DE")</f>
        <v>5</v>
      </c>
      <c r="D333" s="442">
        <f>4-COUNTIFS(dataMail!$C:$C,"&lt;&gt;Annulation",dataMail!$G:$G,"&lt;="&amp;A333,dataMail!$H:$H,"&gt;"&amp;A333,dataMail!J:J,"SU")-COUNTIFS(dataMail!$C:$C,"&lt;&gt;Annulation",dataMail!$G:$G,"&lt;="&amp;A333,dataMail!$H:$H,"&gt;"&amp;A333,dataMail!J:J,"SX")</f>
        <v>4</v>
      </c>
    </row>
    <row r="334">
      <c r="A334" s="441">
        <f t="shared" si="2"/>
        <v>46582</v>
      </c>
      <c r="B334" s="442">
        <f t="shared" si="1"/>
        <v>9</v>
      </c>
      <c r="C334" s="442">
        <f>5-COUNTIFS(dataMail!$C:$C,"&lt;&gt;Annulation",dataMail!$G:$G,"&lt;="&amp;A334,dataMail!$H:$H,"&gt;"&amp;A334,dataMail!J:J,"DE")</f>
        <v>5</v>
      </c>
      <c r="D334" s="442">
        <f>4-COUNTIFS(dataMail!$C:$C,"&lt;&gt;Annulation",dataMail!$G:$G,"&lt;="&amp;A334,dataMail!$H:$H,"&gt;"&amp;A334,dataMail!J:J,"SU")-COUNTIFS(dataMail!$C:$C,"&lt;&gt;Annulation",dataMail!$G:$G,"&lt;="&amp;A334,dataMail!$H:$H,"&gt;"&amp;A334,dataMail!J:J,"SX")</f>
        <v>4</v>
      </c>
    </row>
    <row r="335">
      <c r="A335" s="441">
        <f t="shared" si="2"/>
        <v>46583</v>
      </c>
      <c r="B335" s="442">
        <f t="shared" si="1"/>
        <v>9</v>
      </c>
      <c r="C335" s="442">
        <f>5-COUNTIFS(dataMail!$C:$C,"&lt;&gt;Annulation",dataMail!$G:$G,"&lt;="&amp;A335,dataMail!$H:$H,"&gt;"&amp;A335,dataMail!J:J,"DE")</f>
        <v>5</v>
      </c>
      <c r="D335" s="442">
        <f>4-COUNTIFS(dataMail!$C:$C,"&lt;&gt;Annulation",dataMail!$G:$G,"&lt;="&amp;A335,dataMail!$H:$H,"&gt;"&amp;A335,dataMail!J:J,"SU")-COUNTIFS(dataMail!$C:$C,"&lt;&gt;Annulation",dataMail!$G:$G,"&lt;="&amp;A335,dataMail!$H:$H,"&gt;"&amp;A335,dataMail!J:J,"SX")</f>
        <v>4</v>
      </c>
    </row>
    <row r="336">
      <c r="A336" s="441">
        <f t="shared" si="2"/>
        <v>46584</v>
      </c>
      <c r="B336" s="442">
        <f t="shared" si="1"/>
        <v>9</v>
      </c>
      <c r="C336" s="442">
        <f>5-COUNTIFS(dataMail!$C:$C,"&lt;&gt;Annulation",dataMail!$G:$G,"&lt;="&amp;A336,dataMail!$H:$H,"&gt;"&amp;A336,dataMail!J:J,"DE")</f>
        <v>5</v>
      </c>
      <c r="D336" s="442">
        <f>4-COUNTIFS(dataMail!$C:$C,"&lt;&gt;Annulation",dataMail!$G:$G,"&lt;="&amp;A336,dataMail!$H:$H,"&gt;"&amp;A336,dataMail!J:J,"SU")-COUNTIFS(dataMail!$C:$C,"&lt;&gt;Annulation",dataMail!$G:$G,"&lt;="&amp;A336,dataMail!$H:$H,"&gt;"&amp;A336,dataMail!J:J,"SX")</f>
        <v>4</v>
      </c>
    </row>
    <row r="337">
      <c r="A337" s="441">
        <f t="shared" si="2"/>
        <v>46585</v>
      </c>
      <c r="B337" s="442">
        <f t="shared" si="1"/>
        <v>9</v>
      </c>
      <c r="C337" s="442">
        <f>5-COUNTIFS(dataMail!$C:$C,"&lt;&gt;Annulation",dataMail!$G:$G,"&lt;="&amp;A337,dataMail!$H:$H,"&gt;"&amp;A337,dataMail!J:J,"DE")</f>
        <v>5</v>
      </c>
      <c r="D337" s="442">
        <f>4-COUNTIFS(dataMail!$C:$C,"&lt;&gt;Annulation",dataMail!$G:$G,"&lt;="&amp;A337,dataMail!$H:$H,"&gt;"&amp;A337,dataMail!J:J,"SU")-COUNTIFS(dataMail!$C:$C,"&lt;&gt;Annulation",dataMail!$G:$G,"&lt;="&amp;A337,dataMail!$H:$H,"&gt;"&amp;A337,dataMail!J:J,"SX")</f>
        <v>4</v>
      </c>
    </row>
    <row r="338">
      <c r="A338" s="441">
        <f t="shared" si="2"/>
        <v>46586</v>
      </c>
      <c r="B338" s="442">
        <f t="shared" si="1"/>
        <v>9</v>
      </c>
      <c r="C338" s="442">
        <f>5-COUNTIFS(dataMail!$C:$C,"&lt;&gt;Annulation",dataMail!$G:$G,"&lt;="&amp;A338,dataMail!$H:$H,"&gt;"&amp;A338,dataMail!J:J,"DE")</f>
        <v>5</v>
      </c>
      <c r="D338" s="442">
        <f>4-COUNTIFS(dataMail!$C:$C,"&lt;&gt;Annulation",dataMail!$G:$G,"&lt;="&amp;A338,dataMail!$H:$H,"&gt;"&amp;A338,dataMail!J:J,"SU")-COUNTIFS(dataMail!$C:$C,"&lt;&gt;Annulation",dataMail!$G:$G,"&lt;="&amp;A338,dataMail!$H:$H,"&gt;"&amp;A338,dataMail!J:J,"SX")</f>
        <v>4</v>
      </c>
    </row>
    <row r="339">
      <c r="A339" s="441">
        <f t="shared" si="2"/>
        <v>46587</v>
      </c>
      <c r="B339" s="442">
        <f t="shared" si="1"/>
        <v>9</v>
      </c>
      <c r="C339" s="442">
        <f>5-COUNTIFS(dataMail!$C:$C,"&lt;&gt;Annulation",dataMail!$G:$G,"&lt;="&amp;A339,dataMail!$H:$H,"&gt;"&amp;A339,dataMail!J:J,"DE")</f>
        <v>5</v>
      </c>
      <c r="D339" s="442">
        <f>4-COUNTIFS(dataMail!$C:$C,"&lt;&gt;Annulation",dataMail!$G:$G,"&lt;="&amp;A339,dataMail!$H:$H,"&gt;"&amp;A339,dataMail!J:J,"SU")-COUNTIFS(dataMail!$C:$C,"&lt;&gt;Annulation",dataMail!$G:$G,"&lt;="&amp;A339,dataMail!$H:$H,"&gt;"&amp;A339,dataMail!J:J,"SX")</f>
        <v>4</v>
      </c>
    </row>
    <row r="340">
      <c r="A340" s="441">
        <f t="shared" si="2"/>
        <v>46588</v>
      </c>
      <c r="B340" s="442">
        <f t="shared" si="1"/>
        <v>9</v>
      </c>
      <c r="C340" s="442">
        <f>5-COUNTIFS(dataMail!$C:$C,"&lt;&gt;Annulation",dataMail!$G:$G,"&lt;="&amp;A340,dataMail!$H:$H,"&gt;"&amp;A340,dataMail!J:J,"DE")</f>
        <v>5</v>
      </c>
      <c r="D340" s="442">
        <f>4-COUNTIFS(dataMail!$C:$C,"&lt;&gt;Annulation",dataMail!$G:$G,"&lt;="&amp;A340,dataMail!$H:$H,"&gt;"&amp;A340,dataMail!J:J,"SU")-COUNTIFS(dataMail!$C:$C,"&lt;&gt;Annulation",dataMail!$G:$G,"&lt;="&amp;A340,dataMail!$H:$H,"&gt;"&amp;A340,dataMail!J:J,"SX")</f>
        <v>4</v>
      </c>
    </row>
    <row r="341">
      <c r="A341" s="441">
        <f t="shared" si="2"/>
        <v>46589</v>
      </c>
      <c r="B341" s="442">
        <f t="shared" si="1"/>
        <v>8</v>
      </c>
      <c r="C341" s="442">
        <f>5-COUNTIFS(dataMail!$C:$C,"&lt;&gt;Annulation",dataMail!$G:$G,"&lt;="&amp;A341,dataMail!$H:$H,"&gt;"&amp;A341,dataMail!J:J,"DE")</f>
        <v>4</v>
      </c>
      <c r="D341" s="442">
        <f>4-COUNTIFS(dataMail!$C:$C,"&lt;&gt;Annulation",dataMail!$G:$G,"&lt;="&amp;A341,dataMail!$H:$H,"&gt;"&amp;A341,dataMail!J:J,"SU")-COUNTIFS(dataMail!$C:$C,"&lt;&gt;Annulation",dataMail!$G:$G,"&lt;="&amp;A341,dataMail!$H:$H,"&gt;"&amp;A341,dataMail!J:J,"SX")</f>
        <v>4</v>
      </c>
    </row>
    <row r="342">
      <c r="A342" s="441">
        <f t="shared" si="2"/>
        <v>46590</v>
      </c>
      <c r="B342" s="442">
        <f t="shared" si="1"/>
        <v>8</v>
      </c>
      <c r="C342" s="442">
        <f>5-COUNTIFS(dataMail!$C:$C,"&lt;&gt;Annulation",dataMail!$G:$G,"&lt;="&amp;A342,dataMail!$H:$H,"&gt;"&amp;A342,dataMail!J:J,"DE")</f>
        <v>4</v>
      </c>
      <c r="D342" s="442">
        <f>4-COUNTIFS(dataMail!$C:$C,"&lt;&gt;Annulation",dataMail!$G:$G,"&lt;="&amp;A342,dataMail!$H:$H,"&gt;"&amp;A342,dataMail!J:J,"SU")-COUNTIFS(dataMail!$C:$C,"&lt;&gt;Annulation",dataMail!$G:$G,"&lt;="&amp;A342,dataMail!$H:$H,"&gt;"&amp;A342,dataMail!J:J,"SX")</f>
        <v>4</v>
      </c>
    </row>
    <row r="343">
      <c r="A343" s="441">
        <f t="shared" si="2"/>
        <v>46591</v>
      </c>
      <c r="B343" s="442">
        <f t="shared" si="1"/>
        <v>8</v>
      </c>
      <c r="C343" s="442">
        <f>5-COUNTIFS(dataMail!$C:$C,"&lt;&gt;Annulation",dataMail!$G:$G,"&lt;="&amp;A343,dataMail!$H:$H,"&gt;"&amp;A343,dataMail!J:J,"DE")</f>
        <v>4</v>
      </c>
      <c r="D343" s="442">
        <f>4-COUNTIFS(dataMail!$C:$C,"&lt;&gt;Annulation",dataMail!$G:$G,"&lt;="&amp;A343,dataMail!$H:$H,"&gt;"&amp;A343,dataMail!J:J,"SU")-COUNTIFS(dataMail!$C:$C,"&lt;&gt;Annulation",dataMail!$G:$G,"&lt;="&amp;A343,dataMail!$H:$H,"&gt;"&amp;A343,dataMail!J:J,"SX")</f>
        <v>4</v>
      </c>
    </row>
    <row r="344">
      <c r="A344" s="441">
        <f t="shared" si="2"/>
        <v>46592</v>
      </c>
      <c r="B344" s="442">
        <f t="shared" si="1"/>
        <v>9</v>
      </c>
      <c r="C344" s="442">
        <f>5-COUNTIFS(dataMail!$C:$C,"&lt;&gt;Annulation",dataMail!$G:$G,"&lt;="&amp;A344,dataMail!$H:$H,"&gt;"&amp;A344,dataMail!J:J,"DE")</f>
        <v>5</v>
      </c>
      <c r="D344" s="442">
        <f>4-COUNTIFS(dataMail!$C:$C,"&lt;&gt;Annulation",dataMail!$G:$G,"&lt;="&amp;A344,dataMail!$H:$H,"&gt;"&amp;A344,dataMail!J:J,"SU")-COUNTIFS(dataMail!$C:$C,"&lt;&gt;Annulation",dataMail!$G:$G,"&lt;="&amp;A344,dataMail!$H:$H,"&gt;"&amp;A344,dataMail!J:J,"SX")</f>
        <v>4</v>
      </c>
    </row>
    <row r="345">
      <c r="A345" s="441">
        <f t="shared" si="2"/>
        <v>46593</v>
      </c>
      <c r="B345" s="442">
        <f t="shared" si="1"/>
        <v>9</v>
      </c>
      <c r="C345" s="442">
        <f>5-COUNTIFS(dataMail!$C:$C,"&lt;&gt;Annulation",dataMail!$G:$G,"&lt;="&amp;A345,dataMail!$H:$H,"&gt;"&amp;A345,dataMail!J:J,"DE")</f>
        <v>5</v>
      </c>
      <c r="D345" s="442">
        <f>4-COUNTIFS(dataMail!$C:$C,"&lt;&gt;Annulation",dataMail!$G:$G,"&lt;="&amp;A345,dataMail!$H:$H,"&gt;"&amp;A345,dataMail!J:J,"SU")-COUNTIFS(dataMail!$C:$C,"&lt;&gt;Annulation",dataMail!$G:$G,"&lt;="&amp;A345,dataMail!$H:$H,"&gt;"&amp;A345,dataMail!J:J,"SX")</f>
        <v>4</v>
      </c>
    </row>
    <row r="346">
      <c r="A346" s="441">
        <f t="shared" si="2"/>
        <v>46594</v>
      </c>
      <c r="B346" s="442">
        <f t="shared" si="1"/>
        <v>8</v>
      </c>
      <c r="C346" s="442">
        <f>5-COUNTIFS(dataMail!$C:$C,"&lt;&gt;Annulation",dataMail!$G:$G,"&lt;="&amp;A346,dataMail!$H:$H,"&gt;"&amp;A346,dataMail!J:J,"DE")</f>
        <v>4</v>
      </c>
      <c r="D346" s="442">
        <f>4-COUNTIFS(dataMail!$C:$C,"&lt;&gt;Annulation",dataMail!$G:$G,"&lt;="&amp;A346,dataMail!$H:$H,"&gt;"&amp;A346,dataMail!J:J,"SU")-COUNTIFS(dataMail!$C:$C,"&lt;&gt;Annulation",dataMail!$G:$G,"&lt;="&amp;A346,dataMail!$H:$H,"&gt;"&amp;A346,dataMail!J:J,"SX")</f>
        <v>4</v>
      </c>
    </row>
    <row r="347">
      <c r="A347" s="441">
        <f t="shared" si="2"/>
        <v>46595</v>
      </c>
      <c r="B347" s="442">
        <f t="shared" si="1"/>
        <v>8</v>
      </c>
      <c r="C347" s="442">
        <f>5-COUNTIFS(dataMail!$C:$C,"&lt;&gt;Annulation",dataMail!$G:$G,"&lt;="&amp;A347,dataMail!$H:$H,"&gt;"&amp;A347,dataMail!J:J,"DE")</f>
        <v>4</v>
      </c>
      <c r="D347" s="442">
        <f>4-COUNTIFS(dataMail!$C:$C,"&lt;&gt;Annulation",dataMail!$G:$G,"&lt;="&amp;A347,dataMail!$H:$H,"&gt;"&amp;A347,dataMail!J:J,"SU")-COUNTIFS(dataMail!$C:$C,"&lt;&gt;Annulation",dataMail!$G:$G,"&lt;="&amp;A347,dataMail!$H:$H,"&gt;"&amp;A347,dataMail!J:J,"SX")</f>
        <v>4</v>
      </c>
    </row>
    <row r="348">
      <c r="A348" s="441">
        <f t="shared" si="2"/>
        <v>46596</v>
      </c>
      <c r="B348" s="442">
        <f t="shared" si="1"/>
        <v>8</v>
      </c>
      <c r="C348" s="442">
        <f>5-COUNTIFS(dataMail!$C:$C,"&lt;&gt;Annulation",dataMail!$G:$G,"&lt;="&amp;A348,dataMail!$H:$H,"&gt;"&amp;A348,dataMail!J:J,"DE")</f>
        <v>4</v>
      </c>
      <c r="D348" s="442">
        <f>4-COUNTIFS(dataMail!$C:$C,"&lt;&gt;Annulation",dataMail!$G:$G,"&lt;="&amp;A348,dataMail!$H:$H,"&gt;"&amp;A348,dataMail!J:J,"SU")-COUNTIFS(dataMail!$C:$C,"&lt;&gt;Annulation",dataMail!$G:$G,"&lt;="&amp;A348,dataMail!$H:$H,"&gt;"&amp;A348,dataMail!J:J,"SX")</f>
        <v>4</v>
      </c>
    </row>
    <row r="349">
      <c r="A349" s="441">
        <f t="shared" si="2"/>
        <v>46597</v>
      </c>
      <c r="B349" s="442">
        <f t="shared" si="1"/>
        <v>8</v>
      </c>
      <c r="C349" s="442">
        <f>5-COUNTIFS(dataMail!$C:$C,"&lt;&gt;Annulation",dataMail!$G:$G,"&lt;="&amp;A349,dataMail!$H:$H,"&gt;"&amp;A349,dataMail!J:J,"DE")</f>
        <v>4</v>
      </c>
      <c r="D349" s="442">
        <f>4-COUNTIFS(dataMail!$C:$C,"&lt;&gt;Annulation",dataMail!$G:$G,"&lt;="&amp;A349,dataMail!$H:$H,"&gt;"&amp;A349,dataMail!J:J,"SU")-COUNTIFS(dataMail!$C:$C,"&lt;&gt;Annulation",dataMail!$G:$G,"&lt;="&amp;A349,dataMail!$H:$H,"&gt;"&amp;A349,dataMail!J:J,"SX")</f>
        <v>4</v>
      </c>
    </row>
    <row r="350">
      <c r="A350" s="441">
        <f t="shared" si="2"/>
        <v>46598</v>
      </c>
      <c r="B350" s="442">
        <f t="shared" si="1"/>
        <v>9</v>
      </c>
      <c r="C350" s="442">
        <f>5-COUNTIFS(dataMail!$C:$C,"&lt;&gt;Annulation",dataMail!$G:$G,"&lt;="&amp;A350,dataMail!$H:$H,"&gt;"&amp;A350,dataMail!J:J,"DE")</f>
        <v>5</v>
      </c>
      <c r="D350" s="442">
        <f>4-COUNTIFS(dataMail!$C:$C,"&lt;&gt;Annulation",dataMail!$G:$G,"&lt;="&amp;A350,dataMail!$H:$H,"&gt;"&amp;A350,dataMail!J:J,"SU")-COUNTIFS(dataMail!$C:$C,"&lt;&gt;Annulation",dataMail!$G:$G,"&lt;="&amp;A350,dataMail!$H:$H,"&gt;"&amp;A350,dataMail!J:J,"SX")</f>
        <v>4</v>
      </c>
    </row>
    <row r="351">
      <c r="A351" s="441">
        <f t="shared" si="2"/>
        <v>46599</v>
      </c>
      <c r="B351" s="442">
        <f t="shared" si="1"/>
        <v>9</v>
      </c>
      <c r="C351" s="442">
        <f>5-COUNTIFS(dataMail!$C:$C,"&lt;&gt;Annulation",dataMail!$G:$G,"&lt;="&amp;A351,dataMail!$H:$H,"&gt;"&amp;A351,dataMail!J:J,"DE")</f>
        <v>5</v>
      </c>
      <c r="D351" s="442">
        <f>4-COUNTIFS(dataMail!$C:$C,"&lt;&gt;Annulation",dataMail!$G:$G,"&lt;="&amp;A351,dataMail!$H:$H,"&gt;"&amp;A351,dataMail!J:J,"SU")-COUNTIFS(dataMail!$C:$C,"&lt;&gt;Annulation",dataMail!$G:$G,"&lt;="&amp;A351,dataMail!$H:$H,"&gt;"&amp;A351,dataMail!J:J,"SX")</f>
        <v>4</v>
      </c>
    </row>
    <row r="352">
      <c r="A352" s="441">
        <f t="shared" si="2"/>
        <v>46600</v>
      </c>
      <c r="B352" s="442">
        <f t="shared" si="1"/>
        <v>9</v>
      </c>
      <c r="C352" s="442">
        <f>5-COUNTIFS(dataMail!$C:$C,"&lt;&gt;Annulation",dataMail!$G:$G,"&lt;="&amp;A352,dataMail!$H:$H,"&gt;"&amp;A352,dataMail!J:J,"DE")</f>
        <v>5</v>
      </c>
      <c r="D352" s="442">
        <f>4-COUNTIFS(dataMail!$C:$C,"&lt;&gt;Annulation",dataMail!$G:$G,"&lt;="&amp;A352,dataMail!$H:$H,"&gt;"&amp;A352,dataMail!J:J,"SU")-COUNTIFS(dataMail!$C:$C,"&lt;&gt;Annulation",dataMail!$G:$G,"&lt;="&amp;A352,dataMail!$H:$H,"&gt;"&amp;A352,dataMail!J:J,"SX")</f>
        <v>4</v>
      </c>
    </row>
    <row r="353">
      <c r="A353" s="441">
        <f t="shared" si="2"/>
        <v>46601</v>
      </c>
      <c r="B353" s="442">
        <f t="shared" si="1"/>
        <v>9</v>
      </c>
      <c r="C353" s="442">
        <f>5-COUNTIFS(dataMail!$C:$C,"&lt;&gt;Annulation",dataMail!$G:$G,"&lt;="&amp;A353,dataMail!$H:$H,"&gt;"&amp;A353,dataMail!J:J,"DE")</f>
        <v>5</v>
      </c>
      <c r="D353" s="442">
        <f>4-COUNTIFS(dataMail!$C:$C,"&lt;&gt;Annulation",dataMail!$G:$G,"&lt;="&amp;A353,dataMail!$H:$H,"&gt;"&amp;A353,dataMail!J:J,"SU")-COUNTIFS(dataMail!$C:$C,"&lt;&gt;Annulation",dataMail!$G:$G,"&lt;="&amp;A353,dataMail!$H:$H,"&gt;"&amp;A353,dataMail!J:J,"SX")</f>
        <v>4</v>
      </c>
    </row>
    <row r="354">
      <c r="A354" s="441">
        <f t="shared" si="2"/>
        <v>46602</v>
      </c>
      <c r="B354" s="442">
        <f t="shared" si="1"/>
        <v>9</v>
      </c>
      <c r="C354" s="442">
        <f>5-COUNTIFS(dataMail!$C:$C,"&lt;&gt;Annulation",dataMail!$G:$G,"&lt;="&amp;A354,dataMail!$H:$H,"&gt;"&amp;A354,dataMail!J:J,"DE")</f>
        <v>5</v>
      </c>
      <c r="D354" s="442">
        <f>4-COUNTIFS(dataMail!$C:$C,"&lt;&gt;Annulation",dataMail!$G:$G,"&lt;="&amp;A354,dataMail!$H:$H,"&gt;"&amp;A354,dataMail!J:J,"SU")-COUNTIFS(dataMail!$C:$C,"&lt;&gt;Annulation",dataMail!$G:$G,"&lt;="&amp;A354,dataMail!$H:$H,"&gt;"&amp;A354,dataMail!J:J,"SX")</f>
        <v>4</v>
      </c>
    </row>
    <row r="355">
      <c r="A355" s="441">
        <f t="shared" si="2"/>
        <v>46603</v>
      </c>
      <c r="B355" s="442">
        <f t="shared" si="1"/>
        <v>8</v>
      </c>
      <c r="C355" s="442">
        <f>5-COUNTIFS(dataMail!$C:$C,"&lt;&gt;Annulation",dataMail!$G:$G,"&lt;="&amp;A355,dataMail!$H:$H,"&gt;"&amp;A355,dataMail!J:J,"DE")</f>
        <v>4</v>
      </c>
      <c r="D355" s="442">
        <f>4-COUNTIFS(dataMail!$C:$C,"&lt;&gt;Annulation",dataMail!$G:$G,"&lt;="&amp;A355,dataMail!$H:$H,"&gt;"&amp;A355,dataMail!J:J,"SU")-COUNTIFS(dataMail!$C:$C,"&lt;&gt;Annulation",dataMail!$G:$G,"&lt;="&amp;A355,dataMail!$H:$H,"&gt;"&amp;A355,dataMail!J:J,"SX")</f>
        <v>4</v>
      </c>
    </row>
    <row r="356">
      <c r="A356" s="441">
        <f t="shared" si="2"/>
        <v>46604</v>
      </c>
      <c r="B356" s="442">
        <f t="shared" si="1"/>
        <v>8</v>
      </c>
      <c r="C356" s="442">
        <f>5-COUNTIFS(dataMail!$C:$C,"&lt;&gt;Annulation",dataMail!$G:$G,"&lt;="&amp;A356,dataMail!$H:$H,"&gt;"&amp;A356,dataMail!J:J,"DE")</f>
        <v>4</v>
      </c>
      <c r="D356" s="442">
        <f>4-COUNTIFS(dataMail!$C:$C,"&lt;&gt;Annulation",dataMail!$G:$G,"&lt;="&amp;A356,dataMail!$H:$H,"&gt;"&amp;A356,dataMail!J:J,"SU")-COUNTIFS(dataMail!$C:$C,"&lt;&gt;Annulation",dataMail!$G:$G,"&lt;="&amp;A356,dataMail!$H:$H,"&gt;"&amp;A356,dataMail!J:J,"SX")</f>
        <v>4</v>
      </c>
    </row>
    <row r="357">
      <c r="A357" s="441">
        <f t="shared" si="2"/>
        <v>46605</v>
      </c>
      <c r="B357" s="442">
        <f t="shared" si="1"/>
        <v>8</v>
      </c>
      <c r="C357" s="442">
        <f>5-COUNTIFS(dataMail!$C:$C,"&lt;&gt;Annulation",dataMail!$G:$G,"&lt;="&amp;A357,dataMail!$H:$H,"&gt;"&amp;A357,dataMail!J:J,"DE")</f>
        <v>4</v>
      </c>
      <c r="D357" s="442">
        <f>4-COUNTIFS(dataMail!$C:$C,"&lt;&gt;Annulation",dataMail!$G:$G,"&lt;="&amp;A357,dataMail!$H:$H,"&gt;"&amp;A357,dataMail!J:J,"SU")-COUNTIFS(dataMail!$C:$C,"&lt;&gt;Annulation",dataMail!$G:$G,"&lt;="&amp;A357,dataMail!$H:$H,"&gt;"&amp;A357,dataMail!J:J,"SX")</f>
        <v>4</v>
      </c>
    </row>
    <row r="358">
      <c r="A358" s="441">
        <f t="shared" si="2"/>
        <v>46606</v>
      </c>
      <c r="B358" s="442">
        <f t="shared" si="1"/>
        <v>9</v>
      </c>
      <c r="C358" s="442">
        <f>5-COUNTIFS(dataMail!$C:$C,"&lt;&gt;Annulation",dataMail!$G:$G,"&lt;="&amp;A358,dataMail!$H:$H,"&gt;"&amp;A358,dataMail!J:J,"DE")</f>
        <v>5</v>
      </c>
      <c r="D358" s="442">
        <f>4-COUNTIFS(dataMail!$C:$C,"&lt;&gt;Annulation",dataMail!$G:$G,"&lt;="&amp;A358,dataMail!$H:$H,"&gt;"&amp;A358,dataMail!J:J,"SU")-COUNTIFS(dataMail!$C:$C,"&lt;&gt;Annulation",dataMail!$G:$G,"&lt;="&amp;A358,dataMail!$H:$H,"&gt;"&amp;A358,dataMail!J:J,"SX")</f>
        <v>4</v>
      </c>
    </row>
    <row r="359">
      <c r="A359" s="441">
        <f t="shared" si="2"/>
        <v>46607</v>
      </c>
      <c r="B359" s="442">
        <f t="shared" si="1"/>
        <v>9</v>
      </c>
      <c r="C359" s="442">
        <f>5-COUNTIFS(dataMail!$C:$C,"&lt;&gt;Annulation",dataMail!$G:$G,"&lt;="&amp;A359,dataMail!$H:$H,"&gt;"&amp;A359,dataMail!J:J,"DE")</f>
        <v>5</v>
      </c>
      <c r="D359" s="442">
        <f>4-COUNTIFS(dataMail!$C:$C,"&lt;&gt;Annulation",dataMail!$G:$G,"&lt;="&amp;A359,dataMail!$H:$H,"&gt;"&amp;A359,dataMail!J:J,"SU")-COUNTIFS(dataMail!$C:$C,"&lt;&gt;Annulation",dataMail!$G:$G,"&lt;="&amp;A359,dataMail!$H:$H,"&gt;"&amp;A359,dataMail!J:J,"SX")</f>
        <v>4</v>
      </c>
    </row>
    <row r="360">
      <c r="A360" s="441">
        <f t="shared" si="2"/>
        <v>46608</v>
      </c>
      <c r="B360" s="442">
        <f t="shared" si="1"/>
        <v>9</v>
      </c>
      <c r="C360" s="442">
        <f>5-COUNTIFS(dataMail!$C:$C,"&lt;&gt;Annulation",dataMail!$G:$G,"&lt;="&amp;A360,dataMail!$H:$H,"&gt;"&amp;A360,dataMail!J:J,"DE")</f>
        <v>5</v>
      </c>
      <c r="D360" s="442">
        <f>4-COUNTIFS(dataMail!$C:$C,"&lt;&gt;Annulation",dataMail!$G:$G,"&lt;="&amp;A360,dataMail!$H:$H,"&gt;"&amp;A360,dataMail!J:J,"SU")-COUNTIFS(dataMail!$C:$C,"&lt;&gt;Annulation",dataMail!$G:$G,"&lt;="&amp;A360,dataMail!$H:$H,"&gt;"&amp;A360,dataMail!J:J,"SX")</f>
        <v>4</v>
      </c>
    </row>
    <row r="361">
      <c r="A361" s="441">
        <f t="shared" si="2"/>
        <v>46609</v>
      </c>
      <c r="B361" s="442">
        <f t="shared" si="1"/>
        <v>9</v>
      </c>
      <c r="C361" s="442">
        <f>5-COUNTIFS(dataMail!$C:$C,"&lt;&gt;Annulation",dataMail!$G:$G,"&lt;="&amp;A361,dataMail!$H:$H,"&gt;"&amp;A361,dataMail!J:J,"DE")</f>
        <v>5</v>
      </c>
      <c r="D361" s="442">
        <f>4-COUNTIFS(dataMail!$C:$C,"&lt;&gt;Annulation",dataMail!$G:$G,"&lt;="&amp;A361,dataMail!$H:$H,"&gt;"&amp;A361,dataMail!J:J,"SU")-COUNTIFS(dataMail!$C:$C,"&lt;&gt;Annulation",dataMail!$G:$G,"&lt;="&amp;A361,dataMail!$H:$H,"&gt;"&amp;A361,dataMail!J:J,"SX")</f>
        <v>4</v>
      </c>
    </row>
    <row r="362">
      <c r="A362" s="441">
        <f t="shared" si="2"/>
        <v>46610</v>
      </c>
      <c r="B362" s="442">
        <f t="shared" si="1"/>
        <v>9</v>
      </c>
      <c r="C362" s="442">
        <f>5-COUNTIFS(dataMail!$C:$C,"&lt;&gt;Annulation",dataMail!$G:$G,"&lt;="&amp;A362,dataMail!$H:$H,"&gt;"&amp;A362,dataMail!J:J,"DE")</f>
        <v>5</v>
      </c>
      <c r="D362" s="442">
        <f>4-COUNTIFS(dataMail!$C:$C,"&lt;&gt;Annulation",dataMail!$G:$G,"&lt;="&amp;A362,dataMail!$H:$H,"&gt;"&amp;A362,dataMail!J:J,"SU")-COUNTIFS(dataMail!$C:$C,"&lt;&gt;Annulation",dataMail!$G:$G,"&lt;="&amp;A362,dataMail!$H:$H,"&gt;"&amp;A362,dataMail!J:J,"SX")</f>
        <v>4</v>
      </c>
    </row>
    <row r="363">
      <c r="A363" s="441">
        <f t="shared" si="2"/>
        <v>46611</v>
      </c>
      <c r="B363" s="442">
        <f t="shared" si="1"/>
        <v>6</v>
      </c>
      <c r="C363" s="442">
        <f>5-COUNTIFS(dataMail!$C:$C,"&lt;&gt;Annulation",dataMail!$G:$G,"&lt;="&amp;A363,dataMail!$H:$H,"&gt;"&amp;A363,dataMail!J:J,"DE")</f>
        <v>2</v>
      </c>
      <c r="D363" s="442">
        <f>4-COUNTIFS(dataMail!$C:$C,"&lt;&gt;Annulation",dataMail!$G:$G,"&lt;="&amp;A363,dataMail!$H:$H,"&gt;"&amp;A363,dataMail!J:J,"SU")-COUNTIFS(dataMail!$C:$C,"&lt;&gt;Annulation",dataMail!$G:$G,"&lt;="&amp;A363,dataMail!$H:$H,"&gt;"&amp;A363,dataMail!J:J,"SX")</f>
        <v>4</v>
      </c>
    </row>
    <row r="364">
      <c r="A364" s="441">
        <f t="shared" si="2"/>
        <v>46612</v>
      </c>
      <c r="B364" s="442">
        <f t="shared" si="1"/>
        <v>6</v>
      </c>
      <c r="C364" s="442">
        <f>5-COUNTIFS(dataMail!$C:$C,"&lt;&gt;Annulation",dataMail!$G:$G,"&lt;="&amp;A364,dataMail!$H:$H,"&gt;"&amp;A364,dataMail!J:J,"DE")</f>
        <v>2</v>
      </c>
      <c r="D364" s="442">
        <f>4-COUNTIFS(dataMail!$C:$C,"&lt;&gt;Annulation",dataMail!$G:$G,"&lt;="&amp;A364,dataMail!$H:$H,"&gt;"&amp;A364,dataMail!J:J,"SU")-COUNTIFS(dataMail!$C:$C,"&lt;&gt;Annulation",dataMail!$G:$G,"&lt;="&amp;A364,dataMail!$H:$H,"&gt;"&amp;A364,dataMail!J:J,"SX")</f>
        <v>4</v>
      </c>
    </row>
    <row r="365">
      <c r="A365" s="441">
        <f t="shared" si="2"/>
        <v>46613</v>
      </c>
      <c r="B365" s="442">
        <f t="shared" si="1"/>
        <v>6</v>
      </c>
      <c r="C365" s="442">
        <f>5-COUNTIFS(dataMail!$C:$C,"&lt;&gt;Annulation",dataMail!$G:$G,"&lt;="&amp;A365,dataMail!$H:$H,"&gt;"&amp;A365,dataMail!J:J,"DE")</f>
        <v>2</v>
      </c>
      <c r="D365" s="442">
        <f>4-COUNTIFS(dataMail!$C:$C,"&lt;&gt;Annulation",dataMail!$G:$G,"&lt;="&amp;A365,dataMail!$H:$H,"&gt;"&amp;A365,dataMail!J:J,"SU")-COUNTIFS(dataMail!$C:$C,"&lt;&gt;Annulation",dataMail!$G:$G,"&lt;="&amp;A365,dataMail!$H:$H,"&gt;"&amp;A365,dataMail!J:J,"SX")</f>
        <v>4</v>
      </c>
    </row>
    <row r="366">
      <c r="A366" s="441">
        <f t="shared" si="2"/>
        <v>46614</v>
      </c>
      <c r="B366" s="442">
        <f t="shared" si="1"/>
        <v>6</v>
      </c>
      <c r="C366" s="442">
        <f>5-COUNTIFS(dataMail!$C:$C,"&lt;&gt;Annulation",dataMail!$G:$G,"&lt;="&amp;A366,dataMail!$H:$H,"&gt;"&amp;A366,dataMail!J:J,"DE")</f>
        <v>2</v>
      </c>
      <c r="D366" s="442">
        <f>4-COUNTIFS(dataMail!$C:$C,"&lt;&gt;Annulation",dataMail!$G:$G,"&lt;="&amp;A366,dataMail!$H:$H,"&gt;"&amp;A366,dataMail!J:J,"SU")-COUNTIFS(dataMail!$C:$C,"&lt;&gt;Annulation",dataMail!$G:$G,"&lt;="&amp;A366,dataMail!$H:$H,"&gt;"&amp;A366,dataMail!J:J,"SX")</f>
        <v>4</v>
      </c>
    </row>
    <row r="367">
      <c r="A367" s="441">
        <f t="shared" si="2"/>
        <v>46615</v>
      </c>
      <c r="B367" s="442">
        <f t="shared" si="1"/>
        <v>6</v>
      </c>
      <c r="C367" s="442">
        <f>5-COUNTIFS(dataMail!$C:$C,"&lt;&gt;Annulation",dataMail!$G:$G,"&lt;="&amp;A367,dataMail!$H:$H,"&gt;"&amp;A367,dataMail!J:J,"DE")</f>
        <v>2</v>
      </c>
      <c r="D367" s="442">
        <f>4-COUNTIFS(dataMail!$C:$C,"&lt;&gt;Annulation",dataMail!$G:$G,"&lt;="&amp;A367,dataMail!$H:$H,"&gt;"&amp;A367,dataMail!J:J,"SU")-COUNTIFS(dataMail!$C:$C,"&lt;&gt;Annulation",dataMail!$G:$G,"&lt;="&amp;A367,dataMail!$H:$H,"&gt;"&amp;A367,dataMail!J:J,"SX")</f>
        <v>4</v>
      </c>
    </row>
    <row r="368">
      <c r="A368" s="441">
        <f t="shared" si="2"/>
        <v>46616</v>
      </c>
      <c r="B368" s="442">
        <f t="shared" si="1"/>
        <v>6</v>
      </c>
      <c r="C368" s="442">
        <f>5-COUNTIFS(dataMail!$C:$C,"&lt;&gt;Annulation",dataMail!$G:$G,"&lt;="&amp;A368,dataMail!$H:$H,"&gt;"&amp;A368,dataMail!J:J,"DE")</f>
        <v>2</v>
      </c>
      <c r="D368" s="442">
        <f>4-COUNTIFS(dataMail!$C:$C,"&lt;&gt;Annulation",dataMail!$G:$G,"&lt;="&amp;A368,dataMail!$H:$H,"&gt;"&amp;A368,dataMail!J:J,"SU")-COUNTIFS(dataMail!$C:$C,"&lt;&gt;Annulation",dataMail!$G:$G,"&lt;="&amp;A368,dataMail!$H:$H,"&gt;"&amp;A368,dataMail!J:J,"SX")</f>
        <v>4</v>
      </c>
    </row>
    <row r="369">
      <c r="A369" s="441">
        <f t="shared" si="2"/>
        <v>46617</v>
      </c>
      <c r="B369" s="442">
        <f t="shared" si="1"/>
        <v>6</v>
      </c>
      <c r="C369" s="442">
        <f>5-COUNTIFS(dataMail!$C:$C,"&lt;&gt;Annulation",dataMail!$G:$G,"&lt;="&amp;A369,dataMail!$H:$H,"&gt;"&amp;A369,dataMail!J:J,"DE")</f>
        <v>2</v>
      </c>
      <c r="D369" s="442">
        <f>4-COUNTIFS(dataMail!$C:$C,"&lt;&gt;Annulation",dataMail!$G:$G,"&lt;="&amp;A369,dataMail!$H:$H,"&gt;"&amp;A369,dataMail!J:J,"SU")-COUNTIFS(dataMail!$C:$C,"&lt;&gt;Annulation",dataMail!$G:$G,"&lt;="&amp;A369,dataMail!$H:$H,"&gt;"&amp;A369,dataMail!J:J,"SX")</f>
        <v>4</v>
      </c>
    </row>
    <row r="370">
      <c r="A370" s="441">
        <f t="shared" si="2"/>
        <v>46618</v>
      </c>
      <c r="B370" s="442">
        <f t="shared" si="1"/>
        <v>9</v>
      </c>
      <c r="C370" s="442">
        <f>5-COUNTIFS(dataMail!$C:$C,"&lt;&gt;Annulation",dataMail!$G:$G,"&lt;="&amp;A370,dataMail!$H:$H,"&gt;"&amp;A370,dataMail!J:J,"DE")</f>
        <v>5</v>
      </c>
      <c r="D370" s="442">
        <f>4-COUNTIFS(dataMail!$C:$C,"&lt;&gt;Annulation",dataMail!$G:$G,"&lt;="&amp;A370,dataMail!$H:$H,"&gt;"&amp;A370,dataMail!J:J,"SU")-COUNTIFS(dataMail!$C:$C,"&lt;&gt;Annulation",dataMail!$G:$G,"&lt;="&amp;A370,dataMail!$H:$H,"&gt;"&amp;A370,dataMail!J:J,"SX")</f>
        <v>4</v>
      </c>
    </row>
    <row r="371">
      <c r="A371" s="441">
        <f t="shared" si="2"/>
        <v>46619</v>
      </c>
      <c r="B371" s="442">
        <f t="shared" si="1"/>
        <v>9</v>
      </c>
      <c r="C371" s="442">
        <f>5-COUNTIFS(dataMail!$C:$C,"&lt;&gt;Annulation",dataMail!$G:$G,"&lt;="&amp;A371,dataMail!$H:$H,"&gt;"&amp;A371,dataMail!J:J,"DE")</f>
        <v>5</v>
      </c>
      <c r="D371" s="442">
        <f>4-COUNTIFS(dataMail!$C:$C,"&lt;&gt;Annulation",dataMail!$G:$G,"&lt;="&amp;A371,dataMail!$H:$H,"&gt;"&amp;A371,dataMail!J:J,"SU")-COUNTIFS(dataMail!$C:$C,"&lt;&gt;Annulation",dataMail!$G:$G,"&lt;="&amp;A371,dataMail!$H:$H,"&gt;"&amp;A371,dataMail!J:J,"SX")</f>
        <v>4</v>
      </c>
    </row>
    <row r="372">
      <c r="A372" s="441">
        <f t="shared" si="2"/>
        <v>46620</v>
      </c>
      <c r="B372" s="442">
        <f t="shared" si="1"/>
        <v>9</v>
      </c>
      <c r="C372" s="442">
        <f>5-COUNTIFS(dataMail!$C:$C,"&lt;&gt;Annulation",dataMail!$G:$G,"&lt;="&amp;A372,dataMail!$H:$H,"&gt;"&amp;A372,dataMail!J:J,"DE")</f>
        <v>5</v>
      </c>
      <c r="D372" s="442">
        <f>4-COUNTIFS(dataMail!$C:$C,"&lt;&gt;Annulation",dataMail!$G:$G,"&lt;="&amp;A372,dataMail!$H:$H,"&gt;"&amp;A372,dataMail!J:J,"SU")-COUNTIFS(dataMail!$C:$C,"&lt;&gt;Annulation",dataMail!$G:$G,"&lt;="&amp;A372,dataMail!$H:$H,"&gt;"&amp;A372,dataMail!J:J,"SX")</f>
        <v>4</v>
      </c>
    </row>
    <row r="373">
      <c r="A373" s="441">
        <f t="shared" si="2"/>
        <v>46621</v>
      </c>
      <c r="B373" s="442">
        <f t="shared" si="1"/>
        <v>9</v>
      </c>
      <c r="C373" s="442">
        <f>5-COUNTIFS(dataMail!$C:$C,"&lt;&gt;Annulation",dataMail!$G:$G,"&lt;="&amp;A373,dataMail!$H:$H,"&gt;"&amp;A373,dataMail!J:J,"DE")</f>
        <v>5</v>
      </c>
      <c r="D373" s="442">
        <f>4-COUNTIFS(dataMail!$C:$C,"&lt;&gt;Annulation",dataMail!$G:$G,"&lt;="&amp;A373,dataMail!$H:$H,"&gt;"&amp;A373,dataMail!J:J,"SU")-COUNTIFS(dataMail!$C:$C,"&lt;&gt;Annulation",dataMail!$G:$G,"&lt;="&amp;A373,dataMail!$H:$H,"&gt;"&amp;A373,dataMail!J:J,"SX")</f>
        <v>4</v>
      </c>
    </row>
    <row r="374">
      <c r="A374" s="441">
        <f t="shared" si="2"/>
        <v>46622</v>
      </c>
      <c r="B374" s="442">
        <f t="shared" si="1"/>
        <v>9</v>
      </c>
      <c r="C374" s="442">
        <f>5-COUNTIFS(dataMail!$C:$C,"&lt;&gt;Annulation",dataMail!$G:$G,"&lt;="&amp;A374,dataMail!$H:$H,"&gt;"&amp;A374,dataMail!J:J,"DE")</f>
        <v>5</v>
      </c>
      <c r="D374" s="442">
        <f>4-COUNTIFS(dataMail!$C:$C,"&lt;&gt;Annulation",dataMail!$G:$G,"&lt;="&amp;A374,dataMail!$H:$H,"&gt;"&amp;A374,dataMail!J:J,"SU")-COUNTIFS(dataMail!$C:$C,"&lt;&gt;Annulation",dataMail!$G:$G,"&lt;="&amp;A374,dataMail!$H:$H,"&gt;"&amp;A374,dataMail!J:J,"SX")</f>
        <v>4</v>
      </c>
    </row>
    <row r="375">
      <c r="A375" s="441">
        <f t="shared" si="2"/>
        <v>46623</v>
      </c>
      <c r="B375" s="442">
        <f t="shared" si="1"/>
        <v>9</v>
      </c>
      <c r="C375" s="442">
        <f>5-COUNTIFS(dataMail!$C:$C,"&lt;&gt;Annulation",dataMail!$G:$G,"&lt;="&amp;A375,dataMail!$H:$H,"&gt;"&amp;A375,dataMail!J:J,"DE")</f>
        <v>5</v>
      </c>
      <c r="D375" s="442">
        <f>4-COUNTIFS(dataMail!$C:$C,"&lt;&gt;Annulation",dataMail!$G:$G,"&lt;="&amp;A375,dataMail!$H:$H,"&gt;"&amp;A375,dataMail!J:J,"SU")-COUNTIFS(dataMail!$C:$C,"&lt;&gt;Annulation",dataMail!$G:$G,"&lt;="&amp;A375,dataMail!$H:$H,"&gt;"&amp;A375,dataMail!J:J,"SX")</f>
        <v>4</v>
      </c>
    </row>
    <row r="376">
      <c r="A376" s="441">
        <f t="shared" si="2"/>
        <v>46624</v>
      </c>
      <c r="B376" s="442">
        <f t="shared" si="1"/>
        <v>9</v>
      </c>
      <c r="C376" s="442">
        <f>5-COUNTIFS(dataMail!$C:$C,"&lt;&gt;Annulation",dataMail!$G:$G,"&lt;="&amp;A376,dataMail!$H:$H,"&gt;"&amp;A376,dataMail!J:J,"DE")</f>
        <v>5</v>
      </c>
      <c r="D376" s="442">
        <f>4-COUNTIFS(dataMail!$C:$C,"&lt;&gt;Annulation",dataMail!$G:$G,"&lt;="&amp;A376,dataMail!$H:$H,"&gt;"&amp;A376,dataMail!J:J,"SU")-COUNTIFS(dataMail!$C:$C,"&lt;&gt;Annulation",dataMail!$G:$G,"&lt;="&amp;A376,dataMail!$H:$H,"&gt;"&amp;A376,dataMail!J:J,"SX")</f>
        <v>4</v>
      </c>
    </row>
    <row r="377">
      <c r="A377" s="441">
        <f t="shared" si="2"/>
        <v>46625</v>
      </c>
      <c r="B377" s="442">
        <f t="shared" si="1"/>
        <v>9</v>
      </c>
      <c r="C377" s="442">
        <f>5-COUNTIFS(dataMail!$C:$C,"&lt;&gt;Annulation",dataMail!$G:$G,"&lt;="&amp;A377,dataMail!$H:$H,"&gt;"&amp;A377,dataMail!J:J,"DE")</f>
        <v>5</v>
      </c>
      <c r="D377" s="442">
        <f>4-COUNTIFS(dataMail!$C:$C,"&lt;&gt;Annulation",dataMail!$G:$G,"&lt;="&amp;A377,dataMail!$H:$H,"&gt;"&amp;A377,dataMail!J:J,"SU")-COUNTIFS(dataMail!$C:$C,"&lt;&gt;Annulation",dataMail!$G:$G,"&lt;="&amp;A377,dataMail!$H:$H,"&gt;"&amp;A377,dataMail!J:J,"SX")</f>
        <v>4</v>
      </c>
    </row>
    <row r="378">
      <c r="A378" s="441">
        <f t="shared" si="2"/>
        <v>46626</v>
      </c>
      <c r="B378" s="442">
        <f t="shared" si="1"/>
        <v>9</v>
      </c>
      <c r="C378" s="442">
        <f>5-COUNTIFS(dataMail!$C:$C,"&lt;&gt;Annulation",dataMail!$G:$G,"&lt;="&amp;A378,dataMail!$H:$H,"&gt;"&amp;A378,dataMail!J:J,"DE")</f>
        <v>5</v>
      </c>
      <c r="D378" s="442">
        <f>4-COUNTIFS(dataMail!$C:$C,"&lt;&gt;Annulation",dataMail!$G:$G,"&lt;="&amp;A378,dataMail!$H:$H,"&gt;"&amp;A378,dataMail!J:J,"SU")-COUNTIFS(dataMail!$C:$C,"&lt;&gt;Annulation",dataMail!$G:$G,"&lt;="&amp;A378,dataMail!$H:$H,"&gt;"&amp;A378,dataMail!J:J,"SX")</f>
        <v>4</v>
      </c>
    </row>
    <row r="379">
      <c r="A379" s="441">
        <f t="shared" si="2"/>
        <v>46627</v>
      </c>
      <c r="B379" s="442">
        <f t="shared" si="1"/>
        <v>8</v>
      </c>
      <c r="C379" s="442">
        <f>5-COUNTIFS(dataMail!$C:$C,"&lt;&gt;Annulation",dataMail!$G:$G,"&lt;="&amp;A379,dataMail!$H:$H,"&gt;"&amp;A379,dataMail!J:J,"DE")</f>
        <v>4</v>
      </c>
      <c r="D379" s="442">
        <f>4-COUNTIFS(dataMail!$C:$C,"&lt;&gt;Annulation",dataMail!$G:$G,"&lt;="&amp;A379,dataMail!$H:$H,"&gt;"&amp;A379,dataMail!J:J,"SU")-COUNTIFS(dataMail!$C:$C,"&lt;&gt;Annulation",dataMail!$G:$G,"&lt;="&amp;A379,dataMail!$H:$H,"&gt;"&amp;A379,dataMail!J:J,"SX")</f>
        <v>4</v>
      </c>
    </row>
    <row r="380">
      <c r="A380" s="441">
        <f t="shared" si="2"/>
        <v>46628</v>
      </c>
      <c r="B380" s="442">
        <f t="shared" si="1"/>
        <v>8</v>
      </c>
      <c r="C380" s="442">
        <f>5-COUNTIFS(dataMail!$C:$C,"&lt;&gt;Annulation",dataMail!$G:$G,"&lt;="&amp;A380,dataMail!$H:$H,"&gt;"&amp;A380,dataMail!J:J,"DE")</f>
        <v>4</v>
      </c>
      <c r="D380" s="442">
        <f>4-COUNTIFS(dataMail!$C:$C,"&lt;&gt;Annulation",dataMail!$G:$G,"&lt;="&amp;A380,dataMail!$H:$H,"&gt;"&amp;A380,dataMail!J:J,"SU")-COUNTIFS(dataMail!$C:$C,"&lt;&gt;Annulation",dataMail!$G:$G,"&lt;="&amp;A380,dataMail!$H:$H,"&gt;"&amp;A380,dataMail!J:J,"SX")</f>
        <v>4</v>
      </c>
    </row>
    <row r="381">
      <c r="A381" s="441">
        <f t="shared" si="2"/>
        <v>46629</v>
      </c>
      <c r="B381" s="442">
        <f t="shared" si="1"/>
        <v>8</v>
      </c>
      <c r="C381" s="442">
        <f>5-COUNTIFS(dataMail!$C:$C,"&lt;&gt;Annulation",dataMail!$G:$G,"&lt;="&amp;A381,dataMail!$H:$H,"&gt;"&amp;A381,dataMail!J:J,"DE")</f>
        <v>4</v>
      </c>
      <c r="D381" s="442">
        <f>4-COUNTIFS(dataMail!$C:$C,"&lt;&gt;Annulation",dataMail!$G:$G,"&lt;="&amp;A381,dataMail!$H:$H,"&gt;"&amp;A381,dataMail!J:J,"SU")-COUNTIFS(dataMail!$C:$C,"&lt;&gt;Annulation",dataMail!$G:$G,"&lt;="&amp;A381,dataMail!$H:$H,"&gt;"&amp;A381,dataMail!J:J,"SX")</f>
        <v>4</v>
      </c>
    </row>
    <row r="382">
      <c r="A382" s="441">
        <f t="shared" si="2"/>
        <v>46630</v>
      </c>
      <c r="B382" s="442">
        <f t="shared" si="1"/>
        <v>8</v>
      </c>
      <c r="C382" s="442">
        <f>5-COUNTIFS(dataMail!$C:$C,"&lt;&gt;Annulation",dataMail!$G:$G,"&lt;="&amp;A382,dataMail!$H:$H,"&gt;"&amp;A382,dataMail!J:J,"DE")</f>
        <v>4</v>
      </c>
      <c r="D382" s="442">
        <f>4-COUNTIFS(dataMail!$C:$C,"&lt;&gt;Annulation",dataMail!$G:$G,"&lt;="&amp;A382,dataMail!$H:$H,"&gt;"&amp;A382,dataMail!J:J,"SU")-COUNTIFS(dataMail!$C:$C,"&lt;&gt;Annulation",dataMail!$G:$G,"&lt;="&amp;A382,dataMail!$H:$H,"&gt;"&amp;A382,dataMail!J:J,"SX")</f>
        <v>4</v>
      </c>
    </row>
    <row r="383">
      <c r="A383" s="441">
        <f t="shared" si="2"/>
        <v>46631</v>
      </c>
      <c r="B383" s="442">
        <f t="shared" si="1"/>
        <v>8</v>
      </c>
      <c r="C383" s="442">
        <f>5-COUNTIFS(dataMail!$C:$C,"&lt;&gt;Annulation",dataMail!$G:$G,"&lt;="&amp;A383,dataMail!$H:$H,"&gt;"&amp;A383,dataMail!J:J,"DE")</f>
        <v>4</v>
      </c>
      <c r="D383" s="442">
        <f>4-COUNTIFS(dataMail!$C:$C,"&lt;&gt;Annulation",dataMail!$G:$G,"&lt;="&amp;A383,dataMail!$H:$H,"&gt;"&amp;A383,dataMail!J:J,"SU")-COUNTIFS(dataMail!$C:$C,"&lt;&gt;Annulation",dataMail!$G:$G,"&lt;="&amp;A383,dataMail!$H:$H,"&gt;"&amp;A383,dataMail!J:J,"SX")</f>
        <v>4</v>
      </c>
    </row>
    <row r="384">
      <c r="A384" s="441">
        <f t="shared" si="2"/>
        <v>46632</v>
      </c>
      <c r="B384" s="442">
        <f t="shared" si="1"/>
        <v>9</v>
      </c>
      <c r="C384" s="442">
        <f>5-COUNTIFS(dataMail!$C:$C,"&lt;&gt;Annulation",dataMail!$G:$G,"&lt;="&amp;A384,dataMail!$H:$H,"&gt;"&amp;A384,dataMail!J:J,"DE")</f>
        <v>5</v>
      </c>
      <c r="D384" s="442">
        <f>4-COUNTIFS(dataMail!$C:$C,"&lt;&gt;Annulation",dataMail!$G:$G,"&lt;="&amp;A384,dataMail!$H:$H,"&gt;"&amp;A384,dataMail!J:J,"SU")-COUNTIFS(dataMail!$C:$C,"&lt;&gt;Annulation",dataMail!$G:$G,"&lt;="&amp;A384,dataMail!$H:$H,"&gt;"&amp;A384,dataMail!J:J,"SX")</f>
        <v>4</v>
      </c>
    </row>
    <row r="385">
      <c r="A385" s="441">
        <f t="shared" si="2"/>
        <v>46633</v>
      </c>
      <c r="B385" s="442">
        <f t="shared" si="1"/>
        <v>9</v>
      </c>
      <c r="C385" s="442">
        <f>5-COUNTIFS(dataMail!$C:$C,"&lt;&gt;Annulation",dataMail!$G:$G,"&lt;="&amp;A385,dataMail!$H:$H,"&gt;"&amp;A385,dataMail!J:J,"DE")</f>
        <v>5</v>
      </c>
      <c r="D385" s="442">
        <f>4-COUNTIFS(dataMail!$C:$C,"&lt;&gt;Annulation",dataMail!$G:$G,"&lt;="&amp;A385,dataMail!$H:$H,"&gt;"&amp;A385,dataMail!J:J,"SU")-COUNTIFS(dataMail!$C:$C,"&lt;&gt;Annulation",dataMail!$G:$G,"&lt;="&amp;A385,dataMail!$H:$H,"&gt;"&amp;A385,dataMail!J:J,"SX")</f>
        <v>4</v>
      </c>
    </row>
    <row r="386">
      <c r="A386" s="441">
        <f t="shared" si="2"/>
        <v>46634</v>
      </c>
      <c r="B386" s="442">
        <f t="shared" si="1"/>
        <v>9</v>
      </c>
      <c r="C386" s="442">
        <f>5-COUNTIFS(dataMail!$C:$C,"&lt;&gt;Annulation",dataMail!$G:$G,"&lt;="&amp;A386,dataMail!$H:$H,"&gt;"&amp;A386,dataMail!J:J,"DE")</f>
        <v>5</v>
      </c>
      <c r="D386" s="442">
        <f>4-COUNTIFS(dataMail!$C:$C,"&lt;&gt;Annulation",dataMail!$G:$G,"&lt;="&amp;A386,dataMail!$H:$H,"&gt;"&amp;A386,dataMail!J:J,"SU")-COUNTIFS(dataMail!$C:$C,"&lt;&gt;Annulation",dataMail!$G:$G,"&lt;="&amp;A386,dataMail!$H:$H,"&gt;"&amp;A386,dataMail!J:J,"SX")</f>
        <v>4</v>
      </c>
    </row>
    <row r="387">
      <c r="A387" s="441">
        <f t="shared" si="2"/>
        <v>46635</v>
      </c>
      <c r="B387" s="442">
        <f t="shared" si="1"/>
        <v>9</v>
      </c>
      <c r="C387" s="442">
        <f>5-COUNTIFS(dataMail!$C:$C,"&lt;&gt;Annulation",dataMail!$G:$G,"&lt;="&amp;A387,dataMail!$H:$H,"&gt;"&amp;A387,dataMail!J:J,"DE")</f>
        <v>5</v>
      </c>
      <c r="D387" s="442">
        <f>4-COUNTIFS(dataMail!$C:$C,"&lt;&gt;Annulation",dataMail!$G:$G,"&lt;="&amp;A387,dataMail!$H:$H,"&gt;"&amp;A387,dataMail!J:J,"SU")-COUNTIFS(dataMail!$C:$C,"&lt;&gt;Annulation",dataMail!$G:$G,"&lt;="&amp;A387,dataMail!$H:$H,"&gt;"&amp;A387,dataMail!J:J,"SX")</f>
        <v>4</v>
      </c>
    </row>
    <row r="388">
      <c r="A388" s="441">
        <f t="shared" si="2"/>
        <v>46636</v>
      </c>
      <c r="B388" s="442">
        <f t="shared" si="1"/>
        <v>9</v>
      </c>
      <c r="C388" s="442">
        <f>5-COUNTIFS(dataMail!$C:$C,"&lt;&gt;Annulation",dataMail!$G:$G,"&lt;="&amp;A388,dataMail!$H:$H,"&gt;"&amp;A388,dataMail!J:J,"DE")</f>
        <v>5</v>
      </c>
      <c r="D388" s="442">
        <f>4-COUNTIFS(dataMail!$C:$C,"&lt;&gt;Annulation",dataMail!$G:$G,"&lt;="&amp;A388,dataMail!$H:$H,"&gt;"&amp;A388,dataMail!J:J,"SU")-COUNTIFS(dataMail!$C:$C,"&lt;&gt;Annulation",dataMail!$G:$G,"&lt;="&amp;A388,dataMail!$H:$H,"&gt;"&amp;A388,dataMail!J:J,"SX")</f>
        <v>4</v>
      </c>
    </row>
    <row r="389">
      <c r="A389" s="441">
        <f t="shared" si="2"/>
        <v>46637</v>
      </c>
      <c r="B389" s="442">
        <f t="shared" si="1"/>
        <v>8</v>
      </c>
      <c r="C389" s="442">
        <f>5-COUNTIFS(dataMail!$C:$C,"&lt;&gt;Annulation",dataMail!$G:$G,"&lt;="&amp;A389,dataMail!$H:$H,"&gt;"&amp;A389,dataMail!J:J,"DE")</f>
        <v>4</v>
      </c>
      <c r="D389" s="442">
        <f>4-COUNTIFS(dataMail!$C:$C,"&lt;&gt;Annulation",dataMail!$G:$G,"&lt;="&amp;A389,dataMail!$H:$H,"&gt;"&amp;A389,dataMail!J:J,"SU")-COUNTIFS(dataMail!$C:$C,"&lt;&gt;Annulation",dataMail!$G:$G,"&lt;="&amp;A389,dataMail!$H:$H,"&gt;"&amp;A389,dataMail!J:J,"SX")</f>
        <v>4</v>
      </c>
    </row>
    <row r="390">
      <c r="A390" s="441">
        <f t="shared" si="2"/>
        <v>46638</v>
      </c>
      <c r="B390" s="442">
        <f t="shared" si="1"/>
        <v>8</v>
      </c>
      <c r="C390" s="442">
        <f>5-COUNTIFS(dataMail!$C:$C,"&lt;&gt;Annulation",dataMail!$G:$G,"&lt;="&amp;A390,dataMail!$H:$H,"&gt;"&amp;A390,dataMail!J:J,"DE")</f>
        <v>4</v>
      </c>
      <c r="D390" s="442">
        <f>4-COUNTIFS(dataMail!$C:$C,"&lt;&gt;Annulation",dataMail!$G:$G,"&lt;="&amp;A390,dataMail!$H:$H,"&gt;"&amp;A390,dataMail!J:J,"SU")-COUNTIFS(dataMail!$C:$C,"&lt;&gt;Annulation",dataMail!$G:$G,"&lt;="&amp;A390,dataMail!$H:$H,"&gt;"&amp;A390,dataMail!J:J,"SX")</f>
        <v>4</v>
      </c>
    </row>
    <row r="391">
      <c r="A391" s="441">
        <f t="shared" si="2"/>
        <v>46639</v>
      </c>
      <c r="B391" s="442">
        <f t="shared" si="1"/>
        <v>8</v>
      </c>
      <c r="C391" s="442">
        <f>5-COUNTIFS(dataMail!$C:$C,"&lt;&gt;Annulation",dataMail!$G:$G,"&lt;="&amp;A391,dataMail!$H:$H,"&gt;"&amp;A391,dataMail!J:J,"DE")</f>
        <v>4</v>
      </c>
      <c r="D391" s="442">
        <f>4-COUNTIFS(dataMail!$C:$C,"&lt;&gt;Annulation",dataMail!$G:$G,"&lt;="&amp;A391,dataMail!$H:$H,"&gt;"&amp;A391,dataMail!J:J,"SU")-COUNTIFS(dataMail!$C:$C,"&lt;&gt;Annulation",dataMail!$G:$G,"&lt;="&amp;A391,dataMail!$H:$H,"&gt;"&amp;A391,dataMail!J:J,"SX")</f>
        <v>4</v>
      </c>
    </row>
    <row r="392">
      <c r="A392" s="441">
        <f t="shared" si="2"/>
        <v>46640</v>
      </c>
      <c r="B392" s="442">
        <f t="shared" si="1"/>
        <v>8</v>
      </c>
      <c r="C392" s="442">
        <f>5-COUNTIFS(dataMail!$C:$C,"&lt;&gt;Annulation",dataMail!$G:$G,"&lt;="&amp;A392,dataMail!$H:$H,"&gt;"&amp;A392,dataMail!J:J,"DE")</f>
        <v>4</v>
      </c>
      <c r="D392" s="442">
        <f>4-COUNTIFS(dataMail!$C:$C,"&lt;&gt;Annulation",dataMail!$G:$G,"&lt;="&amp;A392,dataMail!$H:$H,"&gt;"&amp;A392,dataMail!J:J,"SU")-COUNTIFS(dataMail!$C:$C,"&lt;&gt;Annulation",dataMail!$G:$G,"&lt;="&amp;A392,dataMail!$H:$H,"&gt;"&amp;A392,dataMail!J:J,"SX")</f>
        <v>4</v>
      </c>
    </row>
    <row r="393">
      <c r="A393" s="441">
        <f t="shared" si="2"/>
        <v>46641</v>
      </c>
      <c r="B393" s="442">
        <f t="shared" si="1"/>
        <v>8</v>
      </c>
      <c r="C393" s="442">
        <f>5-COUNTIFS(dataMail!$C:$C,"&lt;&gt;Annulation",dataMail!$G:$G,"&lt;="&amp;A393,dataMail!$H:$H,"&gt;"&amp;A393,dataMail!J:J,"DE")</f>
        <v>4</v>
      </c>
      <c r="D393" s="442">
        <f>4-COUNTIFS(dataMail!$C:$C,"&lt;&gt;Annulation",dataMail!$G:$G,"&lt;="&amp;A393,dataMail!$H:$H,"&gt;"&amp;A393,dataMail!J:J,"SU")-COUNTIFS(dataMail!$C:$C,"&lt;&gt;Annulation",dataMail!$G:$G,"&lt;="&amp;A393,dataMail!$H:$H,"&gt;"&amp;A393,dataMail!J:J,"SX")</f>
        <v>4</v>
      </c>
    </row>
    <row r="394">
      <c r="A394" s="441">
        <f t="shared" si="2"/>
        <v>46642</v>
      </c>
      <c r="B394" s="442">
        <f t="shared" si="1"/>
        <v>9</v>
      </c>
      <c r="C394" s="442">
        <f>5-COUNTIFS(dataMail!$C:$C,"&lt;&gt;Annulation",dataMail!$G:$G,"&lt;="&amp;A394,dataMail!$H:$H,"&gt;"&amp;A394,dataMail!J:J,"DE")</f>
        <v>5</v>
      </c>
      <c r="D394" s="442">
        <f>4-COUNTIFS(dataMail!$C:$C,"&lt;&gt;Annulation",dataMail!$G:$G,"&lt;="&amp;A394,dataMail!$H:$H,"&gt;"&amp;A394,dataMail!J:J,"SU")-COUNTIFS(dataMail!$C:$C,"&lt;&gt;Annulation",dataMail!$G:$G,"&lt;="&amp;A394,dataMail!$H:$H,"&gt;"&amp;A394,dataMail!J:J,"SX")</f>
        <v>4</v>
      </c>
    </row>
    <row r="395">
      <c r="A395" s="441">
        <f t="shared" si="2"/>
        <v>46643</v>
      </c>
      <c r="B395" s="442">
        <f t="shared" si="1"/>
        <v>9</v>
      </c>
      <c r="C395" s="442">
        <f>5-COUNTIFS(dataMail!$C:$C,"&lt;&gt;Annulation",dataMail!$G:$G,"&lt;="&amp;A395,dataMail!$H:$H,"&gt;"&amp;A395,dataMail!J:J,"DE")</f>
        <v>5</v>
      </c>
      <c r="D395" s="442">
        <f>4-COUNTIFS(dataMail!$C:$C,"&lt;&gt;Annulation",dataMail!$G:$G,"&lt;="&amp;A395,dataMail!$H:$H,"&gt;"&amp;A395,dataMail!J:J,"SU")-COUNTIFS(dataMail!$C:$C,"&lt;&gt;Annulation",dataMail!$G:$G,"&lt;="&amp;A395,dataMail!$H:$H,"&gt;"&amp;A395,dataMail!J:J,"SX")</f>
        <v>4</v>
      </c>
    </row>
    <row r="396">
      <c r="A396" s="441">
        <f t="shared" si="2"/>
        <v>46644</v>
      </c>
      <c r="B396" s="442">
        <f t="shared" si="1"/>
        <v>9</v>
      </c>
      <c r="C396" s="442">
        <f>5-COUNTIFS(dataMail!$C:$C,"&lt;&gt;Annulation",dataMail!$G:$G,"&lt;="&amp;A396,dataMail!$H:$H,"&gt;"&amp;A396,dataMail!J:J,"DE")</f>
        <v>5</v>
      </c>
      <c r="D396" s="442">
        <f>4-COUNTIFS(dataMail!$C:$C,"&lt;&gt;Annulation",dataMail!$G:$G,"&lt;="&amp;A396,dataMail!$H:$H,"&gt;"&amp;A396,dataMail!J:J,"SU")-COUNTIFS(dataMail!$C:$C,"&lt;&gt;Annulation",dataMail!$G:$G,"&lt;="&amp;A396,dataMail!$H:$H,"&gt;"&amp;A396,dataMail!J:J,"SX")</f>
        <v>4</v>
      </c>
    </row>
    <row r="397">
      <c r="A397" s="441">
        <f t="shared" si="2"/>
        <v>46645</v>
      </c>
      <c r="B397" s="442">
        <f t="shared" si="1"/>
        <v>9</v>
      </c>
      <c r="C397" s="442">
        <f>5-COUNTIFS(dataMail!$C:$C,"&lt;&gt;Annulation",dataMail!$G:$G,"&lt;="&amp;A397,dataMail!$H:$H,"&gt;"&amp;A397,dataMail!J:J,"DE")</f>
        <v>5</v>
      </c>
      <c r="D397" s="442">
        <f>4-COUNTIFS(dataMail!$C:$C,"&lt;&gt;Annulation",dataMail!$G:$G,"&lt;="&amp;A397,dataMail!$H:$H,"&gt;"&amp;A397,dataMail!J:J,"SU")-COUNTIFS(dataMail!$C:$C,"&lt;&gt;Annulation",dataMail!$G:$G,"&lt;="&amp;A397,dataMail!$H:$H,"&gt;"&amp;A397,dataMail!J:J,"SX")</f>
        <v>4</v>
      </c>
    </row>
    <row r="398">
      <c r="A398" s="441">
        <f t="shared" si="2"/>
        <v>46646</v>
      </c>
      <c r="B398" s="442">
        <f t="shared" si="1"/>
        <v>9</v>
      </c>
      <c r="C398" s="442">
        <f>5-COUNTIFS(dataMail!$C:$C,"&lt;&gt;Annulation",dataMail!$G:$G,"&lt;="&amp;A398,dataMail!$H:$H,"&gt;"&amp;A398,dataMail!J:J,"DE")</f>
        <v>5</v>
      </c>
      <c r="D398" s="442">
        <f>4-COUNTIFS(dataMail!$C:$C,"&lt;&gt;Annulation",dataMail!$G:$G,"&lt;="&amp;A398,dataMail!$H:$H,"&gt;"&amp;A398,dataMail!J:J,"SU")-COUNTIFS(dataMail!$C:$C,"&lt;&gt;Annulation",dataMail!$G:$G,"&lt;="&amp;A398,dataMail!$H:$H,"&gt;"&amp;A398,dataMail!J:J,"SX")</f>
        <v>4</v>
      </c>
    </row>
    <row r="399">
      <c r="A399" s="441">
        <f t="shared" si="2"/>
        <v>46647</v>
      </c>
      <c r="B399" s="442">
        <f t="shared" si="1"/>
        <v>9</v>
      </c>
      <c r="C399" s="442">
        <f>5-COUNTIFS(dataMail!$C:$C,"&lt;&gt;Annulation",dataMail!$G:$G,"&lt;="&amp;A399,dataMail!$H:$H,"&gt;"&amp;A399,dataMail!J:J,"DE")</f>
        <v>5</v>
      </c>
      <c r="D399" s="442">
        <f>4-COUNTIFS(dataMail!$C:$C,"&lt;&gt;Annulation",dataMail!$G:$G,"&lt;="&amp;A399,dataMail!$H:$H,"&gt;"&amp;A399,dataMail!J:J,"SU")-COUNTIFS(dataMail!$C:$C,"&lt;&gt;Annulation",dataMail!$G:$G,"&lt;="&amp;A399,dataMail!$H:$H,"&gt;"&amp;A399,dataMail!J:J,"SX")</f>
        <v>4</v>
      </c>
    </row>
    <row r="400">
      <c r="A400" s="441">
        <f t="shared" si="2"/>
        <v>46648</v>
      </c>
      <c r="B400" s="442">
        <f t="shared" si="1"/>
        <v>9</v>
      </c>
      <c r="C400" s="442">
        <f>5-COUNTIFS(dataMail!$C:$C,"&lt;&gt;Annulation",dataMail!$G:$G,"&lt;="&amp;A400,dataMail!$H:$H,"&gt;"&amp;A400,dataMail!J:J,"DE")</f>
        <v>5</v>
      </c>
      <c r="D400" s="442">
        <f>4-COUNTIFS(dataMail!$C:$C,"&lt;&gt;Annulation",dataMail!$G:$G,"&lt;="&amp;A400,dataMail!$H:$H,"&gt;"&amp;A400,dataMail!J:J,"SU")-COUNTIFS(dataMail!$C:$C,"&lt;&gt;Annulation",dataMail!$G:$G,"&lt;="&amp;A400,dataMail!$H:$H,"&gt;"&amp;A400,dataMail!J:J,"SX")</f>
        <v>4</v>
      </c>
    </row>
    <row r="401">
      <c r="A401" s="441">
        <f t="shared" si="2"/>
        <v>46649</v>
      </c>
      <c r="B401" s="442">
        <f t="shared" si="1"/>
        <v>9</v>
      </c>
      <c r="C401" s="442">
        <f>5-COUNTIFS(dataMail!$C:$C,"&lt;&gt;Annulation",dataMail!$G:$G,"&lt;="&amp;A401,dataMail!$H:$H,"&gt;"&amp;A401,dataMail!J:J,"DE")</f>
        <v>5</v>
      </c>
      <c r="D401" s="442">
        <f>4-COUNTIFS(dataMail!$C:$C,"&lt;&gt;Annulation",dataMail!$G:$G,"&lt;="&amp;A401,dataMail!$H:$H,"&gt;"&amp;A401,dataMail!J:J,"SU")-COUNTIFS(dataMail!$C:$C,"&lt;&gt;Annulation",dataMail!$G:$G,"&lt;="&amp;A401,dataMail!$H:$H,"&gt;"&amp;A401,dataMail!J:J,"SX")</f>
        <v>4</v>
      </c>
    </row>
    <row r="402">
      <c r="A402" s="441">
        <f t="shared" si="2"/>
        <v>46650</v>
      </c>
      <c r="B402" s="442">
        <f t="shared" si="1"/>
        <v>9</v>
      </c>
      <c r="C402" s="442">
        <f>5-COUNTIFS(dataMail!$C:$C,"&lt;&gt;Annulation",dataMail!$G:$G,"&lt;="&amp;A402,dataMail!$H:$H,"&gt;"&amp;A402,dataMail!J:J,"DE")</f>
        <v>5</v>
      </c>
      <c r="D402" s="442">
        <f>4-COUNTIFS(dataMail!$C:$C,"&lt;&gt;Annulation",dataMail!$G:$G,"&lt;="&amp;A402,dataMail!$H:$H,"&gt;"&amp;A402,dataMail!J:J,"SU")-COUNTIFS(dataMail!$C:$C,"&lt;&gt;Annulation",dataMail!$G:$G,"&lt;="&amp;A402,dataMail!$H:$H,"&gt;"&amp;A402,dataMail!J:J,"SX")</f>
        <v>4</v>
      </c>
    </row>
    <row r="403">
      <c r="A403" s="441">
        <f t="shared" si="2"/>
        <v>46651</v>
      </c>
      <c r="B403" s="442">
        <f t="shared" si="1"/>
        <v>9</v>
      </c>
      <c r="C403" s="442">
        <f>5-COUNTIFS(dataMail!$C:$C,"&lt;&gt;Annulation",dataMail!$G:$G,"&lt;="&amp;A403,dataMail!$H:$H,"&gt;"&amp;A403,dataMail!J:J,"DE")</f>
        <v>5</v>
      </c>
      <c r="D403" s="442">
        <f>4-COUNTIFS(dataMail!$C:$C,"&lt;&gt;Annulation",dataMail!$G:$G,"&lt;="&amp;A403,dataMail!$H:$H,"&gt;"&amp;A403,dataMail!J:J,"SU")-COUNTIFS(dataMail!$C:$C,"&lt;&gt;Annulation",dataMail!$G:$G,"&lt;="&amp;A403,dataMail!$H:$H,"&gt;"&amp;A403,dataMail!J:J,"SX")</f>
        <v>4</v>
      </c>
    </row>
    <row r="404">
      <c r="A404" s="441">
        <f t="shared" si="2"/>
        <v>46652</v>
      </c>
      <c r="B404" s="442">
        <f t="shared" si="1"/>
        <v>9</v>
      </c>
      <c r="C404" s="442">
        <f>5-COUNTIFS(dataMail!$C:$C,"&lt;&gt;Annulation",dataMail!$G:$G,"&lt;="&amp;A404,dataMail!$H:$H,"&gt;"&amp;A404,dataMail!J:J,"DE")</f>
        <v>5</v>
      </c>
      <c r="D404" s="442">
        <f>4-COUNTIFS(dataMail!$C:$C,"&lt;&gt;Annulation",dataMail!$G:$G,"&lt;="&amp;A404,dataMail!$H:$H,"&gt;"&amp;A404,dataMail!J:J,"SU")-COUNTIFS(dataMail!$C:$C,"&lt;&gt;Annulation",dataMail!$G:$G,"&lt;="&amp;A404,dataMail!$H:$H,"&gt;"&amp;A404,dataMail!J:J,"SX")</f>
        <v>4</v>
      </c>
    </row>
    <row r="405">
      <c r="A405" s="441">
        <f t="shared" si="2"/>
        <v>46653</v>
      </c>
      <c r="B405" s="442">
        <f t="shared" si="1"/>
        <v>9</v>
      </c>
      <c r="C405" s="442">
        <f>5-COUNTIFS(dataMail!$C:$C,"&lt;&gt;Annulation",dataMail!$G:$G,"&lt;="&amp;A405,dataMail!$H:$H,"&gt;"&amp;A405,dataMail!J:J,"DE")</f>
        <v>5</v>
      </c>
      <c r="D405" s="442">
        <f>4-COUNTIFS(dataMail!$C:$C,"&lt;&gt;Annulation",dataMail!$G:$G,"&lt;="&amp;A405,dataMail!$H:$H,"&gt;"&amp;A405,dataMail!J:J,"SU")-COUNTIFS(dataMail!$C:$C,"&lt;&gt;Annulation",dataMail!$G:$G,"&lt;="&amp;A405,dataMail!$H:$H,"&gt;"&amp;A405,dataMail!J:J,"SX")</f>
        <v>4</v>
      </c>
    </row>
    <row r="406">
      <c r="A406" s="441">
        <f t="shared" si="2"/>
        <v>46654</v>
      </c>
      <c r="B406" s="442">
        <f t="shared" si="1"/>
        <v>9</v>
      </c>
      <c r="C406" s="442">
        <f>5-COUNTIFS(dataMail!$C:$C,"&lt;&gt;Annulation",dataMail!$G:$G,"&lt;="&amp;A406,dataMail!$H:$H,"&gt;"&amp;A406,dataMail!J:J,"DE")</f>
        <v>5</v>
      </c>
      <c r="D406" s="442">
        <f>4-COUNTIFS(dataMail!$C:$C,"&lt;&gt;Annulation",dataMail!$G:$G,"&lt;="&amp;A406,dataMail!$H:$H,"&gt;"&amp;A406,dataMail!J:J,"SU")-COUNTIFS(dataMail!$C:$C,"&lt;&gt;Annulation",dataMail!$G:$G,"&lt;="&amp;A406,dataMail!$H:$H,"&gt;"&amp;A406,dataMail!J:J,"SX")</f>
        <v>4</v>
      </c>
    </row>
    <row r="407">
      <c r="A407" s="441">
        <f t="shared" si="2"/>
        <v>46655</v>
      </c>
      <c r="B407" s="442">
        <f t="shared" si="1"/>
        <v>9</v>
      </c>
      <c r="C407" s="442">
        <f>5-COUNTIFS(dataMail!$C:$C,"&lt;&gt;Annulation",dataMail!$G:$G,"&lt;="&amp;A407,dataMail!$H:$H,"&gt;"&amp;A407,dataMail!J:J,"DE")</f>
        <v>5</v>
      </c>
      <c r="D407" s="442">
        <f>4-COUNTIFS(dataMail!$C:$C,"&lt;&gt;Annulation",dataMail!$G:$G,"&lt;="&amp;A407,dataMail!$H:$H,"&gt;"&amp;A407,dataMail!J:J,"SU")-COUNTIFS(dataMail!$C:$C,"&lt;&gt;Annulation",dataMail!$G:$G,"&lt;="&amp;A407,dataMail!$H:$H,"&gt;"&amp;A407,dataMail!J:J,"SX")</f>
        <v>4</v>
      </c>
    </row>
    <row r="408">
      <c r="A408" s="441">
        <f t="shared" si="2"/>
        <v>46656</v>
      </c>
      <c r="B408" s="442">
        <f t="shared" si="1"/>
        <v>9</v>
      </c>
      <c r="C408" s="442">
        <f>5-COUNTIFS(dataMail!$C:$C,"&lt;&gt;Annulation",dataMail!$G:$G,"&lt;="&amp;A408,dataMail!$H:$H,"&gt;"&amp;A408,dataMail!J:J,"DE")</f>
        <v>5</v>
      </c>
      <c r="D408" s="442">
        <f>4-COUNTIFS(dataMail!$C:$C,"&lt;&gt;Annulation",dataMail!$G:$G,"&lt;="&amp;A408,dataMail!$H:$H,"&gt;"&amp;A408,dataMail!J:J,"SU")-COUNTIFS(dataMail!$C:$C,"&lt;&gt;Annulation",dataMail!$G:$G,"&lt;="&amp;A408,dataMail!$H:$H,"&gt;"&amp;A408,dataMail!J:J,"SX")</f>
        <v>4</v>
      </c>
    </row>
    <row r="409">
      <c r="A409" s="441">
        <f t="shared" si="2"/>
        <v>46657</v>
      </c>
      <c r="B409" s="442">
        <f t="shared" si="1"/>
        <v>9</v>
      </c>
      <c r="C409" s="442">
        <f>5-COUNTIFS(dataMail!$C:$C,"&lt;&gt;Annulation",dataMail!$G:$G,"&lt;="&amp;A409,dataMail!$H:$H,"&gt;"&amp;A409,dataMail!J:J,"DE")</f>
        <v>5</v>
      </c>
      <c r="D409" s="442">
        <f>4-COUNTIFS(dataMail!$C:$C,"&lt;&gt;Annulation",dataMail!$G:$G,"&lt;="&amp;A409,dataMail!$H:$H,"&gt;"&amp;A409,dataMail!J:J,"SU")-COUNTIFS(dataMail!$C:$C,"&lt;&gt;Annulation",dataMail!$G:$G,"&lt;="&amp;A409,dataMail!$H:$H,"&gt;"&amp;A409,dataMail!J:J,"SX")</f>
        <v>4</v>
      </c>
    </row>
    <row r="410">
      <c r="A410" s="441">
        <f t="shared" si="2"/>
        <v>46658</v>
      </c>
      <c r="B410" s="442">
        <f t="shared" si="1"/>
        <v>9</v>
      </c>
      <c r="C410" s="442">
        <f>5-COUNTIFS(dataMail!$C:$C,"&lt;&gt;Annulation",dataMail!$G:$G,"&lt;="&amp;A410,dataMail!$H:$H,"&gt;"&amp;A410,dataMail!J:J,"DE")</f>
        <v>5</v>
      </c>
      <c r="D410" s="442">
        <f>4-COUNTIFS(dataMail!$C:$C,"&lt;&gt;Annulation",dataMail!$G:$G,"&lt;="&amp;A410,dataMail!$H:$H,"&gt;"&amp;A410,dataMail!J:J,"SU")-COUNTIFS(dataMail!$C:$C,"&lt;&gt;Annulation",dataMail!$G:$G,"&lt;="&amp;A410,dataMail!$H:$H,"&gt;"&amp;A410,dataMail!J:J,"SX")</f>
        <v>4</v>
      </c>
    </row>
    <row r="411">
      <c r="A411" s="441">
        <f t="shared" si="2"/>
        <v>46659</v>
      </c>
      <c r="B411" s="442">
        <f t="shared" si="1"/>
        <v>9</v>
      </c>
      <c r="C411" s="442">
        <f>5-COUNTIFS(dataMail!$C:$C,"&lt;&gt;Annulation",dataMail!$G:$G,"&lt;="&amp;A411,dataMail!$H:$H,"&gt;"&amp;A411,dataMail!J:J,"DE")</f>
        <v>5</v>
      </c>
      <c r="D411" s="442">
        <f>4-COUNTIFS(dataMail!$C:$C,"&lt;&gt;Annulation",dataMail!$G:$G,"&lt;="&amp;A411,dataMail!$H:$H,"&gt;"&amp;A411,dataMail!J:J,"SU")-COUNTIFS(dataMail!$C:$C,"&lt;&gt;Annulation",dataMail!$G:$G,"&lt;="&amp;A411,dataMail!$H:$H,"&gt;"&amp;A411,dataMail!J:J,"SX")</f>
        <v>4</v>
      </c>
    </row>
    <row r="412">
      <c r="A412" s="441">
        <f t="shared" si="2"/>
        <v>46660</v>
      </c>
      <c r="B412" s="442">
        <f t="shared" si="1"/>
        <v>9</v>
      </c>
      <c r="C412" s="442">
        <f>5-COUNTIFS(dataMail!$C:$C,"&lt;&gt;Annulation",dataMail!$G:$G,"&lt;="&amp;A412,dataMail!$H:$H,"&gt;"&amp;A412,dataMail!J:J,"DE")</f>
        <v>5</v>
      </c>
      <c r="D412" s="442">
        <f>4-COUNTIFS(dataMail!$C:$C,"&lt;&gt;Annulation",dataMail!$G:$G,"&lt;="&amp;A412,dataMail!$H:$H,"&gt;"&amp;A412,dataMail!J:J,"SU")-COUNTIFS(dataMail!$C:$C,"&lt;&gt;Annulation",dataMail!$G:$G,"&lt;="&amp;A412,dataMail!$H:$H,"&gt;"&amp;A412,dataMail!J:J,"SX")</f>
        <v>4</v>
      </c>
    </row>
    <row r="413">
      <c r="A413" s="441">
        <f t="shared" si="2"/>
        <v>46661</v>
      </c>
      <c r="B413" s="442">
        <f t="shared" si="1"/>
        <v>9</v>
      </c>
      <c r="C413" s="442">
        <f>5-COUNTIFS(dataMail!$C:$C,"&lt;&gt;Annulation",dataMail!$G:$G,"&lt;="&amp;A413,dataMail!$H:$H,"&gt;"&amp;A413,dataMail!J:J,"DE")</f>
        <v>5</v>
      </c>
      <c r="D413" s="442">
        <f>4-COUNTIFS(dataMail!$C:$C,"&lt;&gt;Annulation",dataMail!$G:$G,"&lt;="&amp;A413,dataMail!$H:$H,"&gt;"&amp;A413,dataMail!J:J,"SU")-COUNTIFS(dataMail!$C:$C,"&lt;&gt;Annulation",dataMail!$G:$G,"&lt;="&amp;A413,dataMail!$H:$H,"&gt;"&amp;A413,dataMail!J:J,"SX")</f>
        <v>4</v>
      </c>
    </row>
    <row r="414">
      <c r="A414" s="441">
        <f t="shared" si="2"/>
        <v>46662</v>
      </c>
      <c r="B414" s="442">
        <f t="shared" si="1"/>
        <v>9</v>
      </c>
      <c r="C414" s="442">
        <f>5-COUNTIFS(dataMail!$C:$C,"&lt;&gt;Annulation",dataMail!$G:$G,"&lt;="&amp;A414,dataMail!$H:$H,"&gt;"&amp;A414,dataMail!J:J,"DE")</f>
        <v>5</v>
      </c>
      <c r="D414" s="442">
        <f>4-COUNTIFS(dataMail!$C:$C,"&lt;&gt;Annulation",dataMail!$G:$G,"&lt;="&amp;A414,dataMail!$H:$H,"&gt;"&amp;A414,dataMail!J:J,"SU")-COUNTIFS(dataMail!$C:$C,"&lt;&gt;Annulation",dataMail!$G:$G,"&lt;="&amp;A414,dataMail!$H:$H,"&gt;"&amp;A414,dataMail!J:J,"SX")</f>
        <v>4</v>
      </c>
    </row>
    <row r="415">
      <c r="A415" s="441">
        <f t="shared" si="2"/>
        <v>46663</v>
      </c>
      <c r="B415" s="442">
        <f t="shared" si="1"/>
        <v>9</v>
      </c>
      <c r="C415" s="442">
        <f>5-COUNTIFS(dataMail!$C:$C,"&lt;&gt;Annulation",dataMail!$G:$G,"&lt;="&amp;A415,dataMail!$H:$H,"&gt;"&amp;A415,dataMail!J:J,"DE")</f>
        <v>5</v>
      </c>
      <c r="D415" s="442">
        <f>4-COUNTIFS(dataMail!$C:$C,"&lt;&gt;Annulation",dataMail!$G:$G,"&lt;="&amp;A415,dataMail!$H:$H,"&gt;"&amp;A415,dataMail!J:J,"SU")-COUNTIFS(dataMail!$C:$C,"&lt;&gt;Annulation",dataMail!$G:$G,"&lt;="&amp;A415,dataMail!$H:$H,"&gt;"&amp;A415,dataMail!J:J,"SX")</f>
        <v>4</v>
      </c>
    </row>
    <row r="416">
      <c r="A416" s="441">
        <f t="shared" si="2"/>
        <v>46664</v>
      </c>
      <c r="B416" s="442">
        <f t="shared" si="1"/>
        <v>9</v>
      </c>
      <c r="C416" s="442">
        <f>5-COUNTIFS(dataMail!$C:$C,"&lt;&gt;Annulation",dataMail!$G:$G,"&lt;="&amp;A416,dataMail!$H:$H,"&gt;"&amp;A416,dataMail!J:J,"DE")</f>
        <v>5</v>
      </c>
      <c r="D416" s="442">
        <f>4-COUNTIFS(dataMail!$C:$C,"&lt;&gt;Annulation",dataMail!$G:$G,"&lt;="&amp;A416,dataMail!$H:$H,"&gt;"&amp;A416,dataMail!J:J,"SU")-COUNTIFS(dataMail!$C:$C,"&lt;&gt;Annulation",dataMail!$G:$G,"&lt;="&amp;A416,dataMail!$H:$H,"&gt;"&amp;A416,dataMail!J:J,"SX")</f>
        <v>4</v>
      </c>
    </row>
    <row r="417">
      <c r="A417" s="441">
        <f t="shared" si="2"/>
        <v>46665</v>
      </c>
      <c r="B417" s="442">
        <f t="shared" si="1"/>
        <v>9</v>
      </c>
      <c r="C417" s="442">
        <f>5-COUNTIFS(dataMail!$C:$C,"&lt;&gt;Annulation",dataMail!$G:$G,"&lt;="&amp;A417,dataMail!$H:$H,"&gt;"&amp;A417,dataMail!J:J,"DE")</f>
        <v>5</v>
      </c>
      <c r="D417" s="442">
        <f>4-COUNTIFS(dataMail!$C:$C,"&lt;&gt;Annulation",dataMail!$G:$G,"&lt;="&amp;A417,dataMail!$H:$H,"&gt;"&amp;A417,dataMail!J:J,"SU")-COUNTIFS(dataMail!$C:$C,"&lt;&gt;Annulation",dataMail!$G:$G,"&lt;="&amp;A417,dataMail!$H:$H,"&gt;"&amp;A417,dataMail!J:J,"SX")</f>
        <v>4</v>
      </c>
    </row>
    <row r="418">
      <c r="A418" s="441">
        <f t="shared" si="2"/>
        <v>46666</v>
      </c>
      <c r="B418" s="442">
        <f t="shared" si="1"/>
        <v>9</v>
      </c>
      <c r="C418" s="442">
        <f>5-COUNTIFS(dataMail!$C:$C,"&lt;&gt;Annulation",dataMail!$G:$G,"&lt;="&amp;A418,dataMail!$H:$H,"&gt;"&amp;A418,dataMail!J:J,"DE")</f>
        <v>5</v>
      </c>
      <c r="D418" s="442">
        <f>4-COUNTIFS(dataMail!$C:$C,"&lt;&gt;Annulation",dataMail!$G:$G,"&lt;="&amp;A418,dataMail!$H:$H,"&gt;"&amp;A418,dataMail!J:J,"SU")-COUNTIFS(dataMail!$C:$C,"&lt;&gt;Annulation",dataMail!$G:$G,"&lt;="&amp;A418,dataMail!$H:$H,"&gt;"&amp;A418,dataMail!J:J,"SX")</f>
        <v>4</v>
      </c>
    </row>
    <row r="419">
      <c r="A419" s="441">
        <f t="shared" si="2"/>
        <v>46667</v>
      </c>
      <c r="B419" s="442">
        <f t="shared" si="1"/>
        <v>9</v>
      </c>
      <c r="C419" s="442">
        <f>5-COUNTIFS(dataMail!$C:$C,"&lt;&gt;Annulation",dataMail!$G:$G,"&lt;="&amp;A419,dataMail!$H:$H,"&gt;"&amp;A419,dataMail!J:J,"DE")</f>
        <v>5</v>
      </c>
      <c r="D419" s="442">
        <f>4-COUNTIFS(dataMail!$C:$C,"&lt;&gt;Annulation",dataMail!$G:$G,"&lt;="&amp;A419,dataMail!$H:$H,"&gt;"&amp;A419,dataMail!J:J,"SU")-COUNTIFS(dataMail!$C:$C,"&lt;&gt;Annulation",dataMail!$G:$G,"&lt;="&amp;A419,dataMail!$H:$H,"&gt;"&amp;A419,dataMail!J:J,"SX")</f>
        <v>4</v>
      </c>
    </row>
    <row r="420">
      <c r="A420" s="441">
        <f t="shared" si="2"/>
        <v>46668</v>
      </c>
      <c r="B420" s="442">
        <f t="shared" si="1"/>
        <v>9</v>
      </c>
      <c r="C420" s="442">
        <f>5-COUNTIFS(dataMail!$C:$C,"&lt;&gt;Annulation",dataMail!$G:$G,"&lt;="&amp;A420,dataMail!$H:$H,"&gt;"&amp;A420,dataMail!J:J,"DE")</f>
        <v>5</v>
      </c>
      <c r="D420" s="442">
        <f>4-COUNTIFS(dataMail!$C:$C,"&lt;&gt;Annulation",dataMail!$G:$G,"&lt;="&amp;A420,dataMail!$H:$H,"&gt;"&amp;A420,dataMail!J:J,"SU")-COUNTIFS(dataMail!$C:$C,"&lt;&gt;Annulation",dataMail!$G:$G,"&lt;="&amp;A420,dataMail!$H:$H,"&gt;"&amp;A420,dataMail!J:J,"SX")</f>
        <v>4</v>
      </c>
    </row>
    <row r="421">
      <c r="A421" s="441">
        <f t="shared" si="2"/>
        <v>46669</v>
      </c>
      <c r="B421" s="442">
        <f t="shared" si="1"/>
        <v>9</v>
      </c>
      <c r="C421" s="442">
        <f>5-COUNTIFS(dataMail!$C:$C,"&lt;&gt;Annulation",dataMail!$G:$G,"&lt;="&amp;A421,dataMail!$H:$H,"&gt;"&amp;A421,dataMail!J:J,"DE")</f>
        <v>5</v>
      </c>
      <c r="D421" s="442">
        <f>4-COUNTIFS(dataMail!$C:$C,"&lt;&gt;Annulation",dataMail!$G:$G,"&lt;="&amp;A421,dataMail!$H:$H,"&gt;"&amp;A421,dataMail!J:J,"SU")-COUNTIFS(dataMail!$C:$C,"&lt;&gt;Annulation",dataMail!$G:$G,"&lt;="&amp;A421,dataMail!$H:$H,"&gt;"&amp;A421,dataMail!J:J,"SX")</f>
        <v>4</v>
      </c>
    </row>
    <row r="422">
      <c r="A422" s="441">
        <f t="shared" si="2"/>
        <v>46670</v>
      </c>
      <c r="B422" s="442">
        <f t="shared" si="1"/>
        <v>9</v>
      </c>
      <c r="C422" s="442">
        <f>5-COUNTIFS(dataMail!$C:$C,"&lt;&gt;Annulation",dataMail!$G:$G,"&lt;="&amp;A422,dataMail!$H:$H,"&gt;"&amp;A422,dataMail!J:J,"DE")</f>
        <v>5</v>
      </c>
      <c r="D422" s="442">
        <f>4-COUNTIFS(dataMail!$C:$C,"&lt;&gt;Annulation",dataMail!$G:$G,"&lt;="&amp;A422,dataMail!$H:$H,"&gt;"&amp;A422,dataMail!J:J,"SU")-COUNTIFS(dataMail!$C:$C,"&lt;&gt;Annulation",dataMail!$G:$G,"&lt;="&amp;A422,dataMail!$H:$H,"&gt;"&amp;A422,dataMail!J:J,"SX")</f>
        <v>4</v>
      </c>
    </row>
    <row r="423">
      <c r="A423" s="441">
        <f t="shared" si="2"/>
        <v>46671</v>
      </c>
      <c r="B423" s="442">
        <f t="shared" si="1"/>
        <v>9</v>
      </c>
      <c r="C423" s="442">
        <f>5-COUNTIFS(dataMail!$C:$C,"&lt;&gt;Annulation",dataMail!$G:$G,"&lt;="&amp;A423,dataMail!$H:$H,"&gt;"&amp;A423,dataMail!J:J,"DE")</f>
        <v>5</v>
      </c>
      <c r="D423" s="442">
        <f>4-COUNTIFS(dataMail!$C:$C,"&lt;&gt;Annulation",dataMail!$G:$G,"&lt;="&amp;A423,dataMail!$H:$H,"&gt;"&amp;A423,dataMail!J:J,"SU")-COUNTIFS(dataMail!$C:$C,"&lt;&gt;Annulation",dataMail!$G:$G,"&lt;="&amp;A423,dataMail!$H:$H,"&gt;"&amp;A423,dataMail!J:J,"SX")</f>
        <v>4</v>
      </c>
    </row>
    <row r="424">
      <c r="A424" s="441">
        <f t="shared" si="2"/>
        <v>46672</v>
      </c>
      <c r="B424" s="442">
        <f t="shared" si="1"/>
        <v>9</v>
      </c>
      <c r="C424" s="442">
        <f>5-COUNTIFS(dataMail!$C:$C,"&lt;&gt;Annulation",dataMail!$G:$G,"&lt;="&amp;A424,dataMail!$H:$H,"&gt;"&amp;A424,dataMail!J:J,"DE")</f>
        <v>5</v>
      </c>
      <c r="D424" s="442">
        <f>4-COUNTIFS(dataMail!$C:$C,"&lt;&gt;Annulation",dataMail!$G:$G,"&lt;="&amp;A424,dataMail!$H:$H,"&gt;"&amp;A424,dataMail!J:J,"SU")-COUNTIFS(dataMail!$C:$C,"&lt;&gt;Annulation",dataMail!$G:$G,"&lt;="&amp;A424,dataMail!$H:$H,"&gt;"&amp;A424,dataMail!J:J,"SX")</f>
        <v>4</v>
      </c>
    </row>
    <row r="425">
      <c r="A425" s="441">
        <f t="shared" si="2"/>
        <v>46673</v>
      </c>
      <c r="B425" s="442">
        <f t="shared" si="1"/>
        <v>9</v>
      </c>
      <c r="C425" s="442">
        <f>5-COUNTIFS(dataMail!$C:$C,"&lt;&gt;Annulation",dataMail!$G:$G,"&lt;="&amp;A425,dataMail!$H:$H,"&gt;"&amp;A425,dataMail!J:J,"DE")</f>
        <v>5</v>
      </c>
      <c r="D425" s="442">
        <f>4-COUNTIFS(dataMail!$C:$C,"&lt;&gt;Annulation",dataMail!$G:$G,"&lt;="&amp;A425,dataMail!$H:$H,"&gt;"&amp;A425,dataMail!J:J,"SU")-COUNTIFS(dataMail!$C:$C,"&lt;&gt;Annulation",dataMail!$G:$G,"&lt;="&amp;A425,dataMail!$H:$H,"&gt;"&amp;A425,dataMail!J:J,"SX")</f>
        <v>4</v>
      </c>
    </row>
    <row r="426">
      <c r="A426" s="441">
        <f t="shared" si="2"/>
        <v>46674</v>
      </c>
      <c r="B426" s="442">
        <f t="shared" si="1"/>
        <v>9</v>
      </c>
      <c r="C426" s="442">
        <f>5-COUNTIFS(dataMail!$C:$C,"&lt;&gt;Annulation",dataMail!$G:$G,"&lt;="&amp;A426,dataMail!$H:$H,"&gt;"&amp;A426,dataMail!J:J,"DE")</f>
        <v>5</v>
      </c>
      <c r="D426" s="442">
        <f>4-COUNTIFS(dataMail!$C:$C,"&lt;&gt;Annulation",dataMail!$G:$G,"&lt;="&amp;A426,dataMail!$H:$H,"&gt;"&amp;A426,dataMail!J:J,"SU")-COUNTIFS(dataMail!$C:$C,"&lt;&gt;Annulation",dataMail!$G:$G,"&lt;="&amp;A426,dataMail!$H:$H,"&gt;"&amp;A426,dataMail!J:J,"SX")</f>
        <v>4</v>
      </c>
    </row>
    <row r="427">
      <c r="A427" s="441">
        <f t="shared" si="2"/>
        <v>46675</v>
      </c>
      <c r="B427" s="442">
        <f t="shared" si="1"/>
        <v>9</v>
      </c>
      <c r="C427" s="442">
        <f>5-COUNTIFS(dataMail!$C:$C,"&lt;&gt;Annulation",dataMail!$G:$G,"&lt;="&amp;A427,dataMail!$H:$H,"&gt;"&amp;A427,dataMail!J:J,"DE")</f>
        <v>5</v>
      </c>
      <c r="D427" s="442">
        <f>4-COUNTIFS(dataMail!$C:$C,"&lt;&gt;Annulation",dataMail!$G:$G,"&lt;="&amp;A427,dataMail!$H:$H,"&gt;"&amp;A427,dataMail!J:J,"SU")-COUNTIFS(dataMail!$C:$C,"&lt;&gt;Annulation",dataMail!$G:$G,"&lt;="&amp;A427,dataMail!$H:$H,"&gt;"&amp;A427,dataMail!J:J,"SX")</f>
        <v>4</v>
      </c>
    </row>
    <row r="428">
      <c r="A428" s="441">
        <f t="shared" si="2"/>
        <v>46676</v>
      </c>
      <c r="B428" s="442">
        <f t="shared" si="1"/>
        <v>9</v>
      </c>
      <c r="C428" s="442">
        <f>5-COUNTIFS(dataMail!$C:$C,"&lt;&gt;Annulation",dataMail!$G:$G,"&lt;="&amp;A428,dataMail!$H:$H,"&gt;"&amp;A428,dataMail!J:J,"DE")</f>
        <v>5</v>
      </c>
      <c r="D428" s="442">
        <f>4-COUNTIFS(dataMail!$C:$C,"&lt;&gt;Annulation",dataMail!$G:$G,"&lt;="&amp;A428,dataMail!$H:$H,"&gt;"&amp;A428,dataMail!J:J,"SU")-COUNTIFS(dataMail!$C:$C,"&lt;&gt;Annulation",dataMail!$G:$G,"&lt;="&amp;A428,dataMail!$H:$H,"&gt;"&amp;A428,dataMail!J:J,"SX")</f>
        <v>4</v>
      </c>
    </row>
    <row r="429">
      <c r="A429" s="441">
        <f t="shared" si="2"/>
        <v>46677</v>
      </c>
      <c r="B429" s="442">
        <f t="shared" si="1"/>
        <v>9</v>
      </c>
      <c r="C429" s="442">
        <f>5-COUNTIFS(dataMail!$C:$C,"&lt;&gt;Annulation",dataMail!$G:$G,"&lt;="&amp;A429,dataMail!$H:$H,"&gt;"&amp;A429,dataMail!J:J,"DE")</f>
        <v>5</v>
      </c>
      <c r="D429" s="442">
        <f>4-COUNTIFS(dataMail!$C:$C,"&lt;&gt;Annulation",dataMail!$G:$G,"&lt;="&amp;A429,dataMail!$H:$H,"&gt;"&amp;A429,dataMail!J:J,"SU")-COUNTIFS(dataMail!$C:$C,"&lt;&gt;Annulation",dataMail!$G:$G,"&lt;="&amp;A429,dataMail!$H:$H,"&gt;"&amp;A429,dataMail!J:J,"SX")</f>
        <v>4</v>
      </c>
    </row>
    <row r="430">
      <c r="A430" s="441">
        <f t="shared" si="2"/>
        <v>46678</v>
      </c>
      <c r="B430" s="442">
        <f t="shared" si="1"/>
        <v>9</v>
      </c>
      <c r="C430" s="442">
        <f>5-COUNTIFS(dataMail!$C:$C,"&lt;&gt;Annulation",dataMail!$G:$G,"&lt;="&amp;A430,dataMail!$H:$H,"&gt;"&amp;A430,dataMail!J:J,"DE")</f>
        <v>5</v>
      </c>
      <c r="D430" s="442">
        <f>4-COUNTIFS(dataMail!$C:$C,"&lt;&gt;Annulation",dataMail!$G:$G,"&lt;="&amp;A430,dataMail!$H:$H,"&gt;"&amp;A430,dataMail!J:J,"SU")-COUNTIFS(dataMail!$C:$C,"&lt;&gt;Annulation",dataMail!$G:$G,"&lt;="&amp;A430,dataMail!$H:$H,"&gt;"&amp;A430,dataMail!J:J,"SX")</f>
        <v>4</v>
      </c>
    </row>
    <row r="431">
      <c r="A431" s="441">
        <f t="shared" si="2"/>
        <v>46679</v>
      </c>
      <c r="B431" s="442">
        <f t="shared" si="1"/>
        <v>9</v>
      </c>
      <c r="C431" s="442">
        <f>5-COUNTIFS(dataMail!$C:$C,"&lt;&gt;Annulation",dataMail!$G:$G,"&lt;="&amp;A431,dataMail!$H:$H,"&gt;"&amp;A431,dataMail!J:J,"DE")</f>
        <v>5</v>
      </c>
      <c r="D431" s="442">
        <f>4-COUNTIFS(dataMail!$C:$C,"&lt;&gt;Annulation",dataMail!$G:$G,"&lt;="&amp;A431,dataMail!$H:$H,"&gt;"&amp;A431,dataMail!J:J,"SU")-COUNTIFS(dataMail!$C:$C,"&lt;&gt;Annulation",dataMail!$G:$G,"&lt;="&amp;A431,dataMail!$H:$H,"&gt;"&amp;A431,dataMail!J:J,"SX")</f>
        <v>4</v>
      </c>
    </row>
    <row r="432">
      <c r="A432" s="441">
        <f t="shared" si="2"/>
        <v>46680</v>
      </c>
      <c r="B432" s="442">
        <f t="shared" si="1"/>
        <v>9</v>
      </c>
      <c r="C432" s="442">
        <f>5-COUNTIFS(dataMail!$C:$C,"&lt;&gt;Annulation",dataMail!$G:$G,"&lt;="&amp;A432,dataMail!$H:$H,"&gt;"&amp;A432,dataMail!J:J,"DE")</f>
        <v>5</v>
      </c>
      <c r="D432" s="442">
        <f>4-COUNTIFS(dataMail!$C:$C,"&lt;&gt;Annulation",dataMail!$G:$G,"&lt;="&amp;A432,dataMail!$H:$H,"&gt;"&amp;A432,dataMail!J:J,"SU")-COUNTIFS(dataMail!$C:$C,"&lt;&gt;Annulation",dataMail!$G:$G,"&lt;="&amp;A432,dataMail!$H:$H,"&gt;"&amp;A432,dataMail!J:J,"SX")</f>
        <v>4</v>
      </c>
    </row>
    <row r="433">
      <c r="A433" s="441">
        <f t="shared" si="2"/>
        <v>46681</v>
      </c>
      <c r="B433" s="442">
        <f t="shared" si="1"/>
        <v>9</v>
      </c>
      <c r="C433" s="442">
        <f>5-COUNTIFS(dataMail!$C:$C,"&lt;&gt;Annulation",dataMail!$G:$G,"&lt;="&amp;A433,dataMail!$H:$H,"&gt;"&amp;A433,dataMail!J:J,"DE")</f>
        <v>5</v>
      </c>
      <c r="D433" s="442">
        <f>4-COUNTIFS(dataMail!$C:$C,"&lt;&gt;Annulation",dataMail!$G:$G,"&lt;="&amp;A433,dataMail!$H:$H,"&gt;"&amp;A433,dataMail!J:J,"SU")-COUNTIFS(dataMail!$C:$C,"&lt;&gt;Annulation",dataMail!$G:$G,"&lt;="&amp;A433,dataMail!$H:$H,"&gt;"&amp;A433,dataMail!J:J,"SX")</f>
        <v>4</v>
      </c>
    </row>
    <row r="434">
      <c r="A434" s="441">
        <f t="shared" si="2"/>
        <v>46682</v>
      </c>
      <c r="B434" s="442">
        <f t="shared" si="1"/>
        <v>9</v>
      </c>
      <c r="C434" s="442">
        <f>5-COUNTIFS(dataMail!$C:$C,"&lt;&gt;Annulation",dataMail!$G:$G,"&lt;="&amp;A434,dataMail!$H:$H,"&gt;"&amp;A434,dataMail!J:J,"DE")</f>
        <v>5</v>
      </c>
      <c r="D434" s="442">
        <f>4-COUNTIFS(dataMail!$C:$C,"&lt;&gt;Annulation",dataMail!$G:$G,"&lt;="&amp;A434,dataMail!$H:$H,"&gt;"&amp;A434,dataMail!J:J,"SU")-COUNTIFS(dataMail!$C:$C,"&lt;&gt;Annulation",dataMail!$G:$G,"&lt;="&amp;A434,dataMail!$H:$H,"&gt;"&amp;A434,dataMail!J:J,"SX")</f>
        <v>4</v>
      </c>
    </row>
    <row r="435">
      <c r="A435" s="441">
        <f t="shared" si="2"/>
        <v>46683</v>
      </c>
      <c r="B435" s="442">
        <f t="shared" si="1"/>
        <v>9</v>
      </c>
      <c r="C435" s="442">
        <f>5-COUNTIFS(dataMail!$C:$C,"&lt;&gt;Annulation",dataMail!$G:$G,"&lt;="&amp;A435,dataMail!$H:$H,"&gt;"&amp;A435,dataMail!J:J,"DE")</f>
        <v>5</v>
      </c>
      <c r="D435" s="442">
        <f>4-COUNTIFS(dataMail!$C:$C,"&lt;&gt;Annulation",dataMail!$G:$G,"&lt;="&amp;A435,dataMail!$H:$H,"&gt;"&amp;A435,dataMail!J:J,"SU")-COUNTIFS(dataMail!$C:$C,"&lt;&gt;Annulation",dataMail!$G:$G,"&lt;="&amp;A435,dataMail!$H:$H,"&gt;"&amp;A435,dataMail!J:J,"SX")</f>
        <v>4</v>
      </c>
    </row>
    <row r="436">
      <c r="A436" s="441">
        <f t="shared" si="2"/>
        <v>46684</v>
      </c>
      <c r="B436" s="442">
        <f t="shared" si="1"/>
        <v>9</v>
      </c>
      <c r="C436" s="442">
        <f>5-COUNTIFS(dataMail!$C:$C,"&lt;&gt;Annulation",dataMail!$G:$G,"&lt;="&amp;A436,dataMail!$H:$H,"&gt;"&amp;A436,dataMail!J:J,"DE")</f>
        <v>5</v>
      </c>
      <c r="D436" s="442">
        <f>4-COUNTIFS(dataMail!$C:$C,"&lt;&gt;Annulation",dataMail!$G:$G,"&lt;="&amp;A436,dataMail!$H:$H,"&gt;"&amp;A436,dataMail!J:J,"SU")-COUNTIFS(dataMail!$C:$C,"&lt;&gt;Annulation",dataMail!$G:$G,"&lt;="&amp;A436,dataMail!$H:$H,"&gt;"&amp;A436,dataMail!J:J,"SX")</f>
        <v>4</v>
      </c>
    </row>
    <row r="437">
      <c r="A437" s="441">
        <f t="shared" si="2"/>
        <v>46685</v>
      </c>
      <c r="B437" s="442">
        <f t="shared" si="1"/>
        <v>9</v>
      </c>
      <c r="C437" s="442">
        <f>5-COUNTIFS(dataMail!$C:$C,"&lt;&gt;Annulation",dataMail!$G:$G,"&lt;="&amp;A437,dataMail!$H:$H,"&gt;"&amp;A437,dataMail!J:J,"DE")</f>
        <v>5</v>
      </c>
      <c r="D437" s="442">
        <f>4-COUNTIFS(dataMail!$C:$C,"&lt;&gt;Annulation",dataMail!$G:$G,"&lt;="&amp;A437,dataMail!$H:$H,"&gt;"&amp;A437,dataMail!J:J,"SU")-COUNTIFS(dataMail!$C:$C,"&lt;&gt;Annulation",dataMail!$G:$G,"&lt;="&amp;A437,dataMail!$H:$H,"&gt;"&amp;A437,dataMail!J:J,"SX")</f>
        <v>4</v>
      </c>
    </row>
    <row r="438">
      <c r="A438" s="441">
        <f t="shared" si="2"/>
        <v>46686</v>
      </c>
      <c r="B438" s="442">
        <f t="shared" si="1"/>
        <v>9</v>
      </c>
      <c r="C438" s="442">
        <f>5-COUNTIFS(dataMail!$C:$C,"&lt;&gt;Annulation",dataMail!$G:$G,"&lt;="&amp;A438,dataMail!$H:$H,"&gt;"&amp;A438,dataMail!J:J,"DE")</f>
        <v>5</v>
      </c>
      <c r="D438" s="442">
        <f>4-COUNTIFS(dataMail!$C:$C,"&lt;&gt;Annulation",dataMail!$G:$G,"&lt;="&amp;A438,dataMail!$H:$H,"&gt;"&amp;A438,dataMail!J:J,"SU")-COUNTIFS(dataMail!$C:$C,"&lt;&gt;Annulation",dataMail!$G:$G,"&lt;="&amp;A438,dataMail!$H:$H,"&gt;"&amp;A438,dataMail!J:J,"SX")</f>
        <v>4</v>
      </c>
    </row>
    <row r="439">
      <c r="A439" s="441">
        <f t="shared" si="2"/>
        <v>46687</v>
      </c>
      <c r="B439" s="442">
        <f t="shared" si="1"/>
        <v>9</v>
      </c>
      <c r="C439" s="442">
        <f>5-COUNTIFS(dataMail!$C:$C,"&lt;&gt;Annulation",dataMail!$G:$G,"&lt;="&amp;A439,dataMail!$H:$H,"&gt;"&amp;A439,dataMail!J:J,"DE")</f>
        <v>5</v>
      </c>
      <c r="D439" s="442">
        <f>4-COUNTIFS(dataMail!$C:$C,"&lt;&gt;Annulation",dataMail!$G:$G,"&lt;="&amp;A439,dataMail!$H:$H,"&gt;"&amp;A439,dataMail!J:J,"SU")-COUNTIFS(dataMail!$C:$C,"&lt;&gt;Annulation",dataMail!$G:$G,"&lt;="&amp;A439,dataMail!$H:$H,"&gt;"&amp;A439,dataMail!J:J,"SX")</f>
        <v>4</v>
      </c>
    </row>
    <row r="440">
      <c r="A440" s="441">
        <f t="shared" si="2"/>
        <v>46688</v>
      </c>
      <c r="B440" s="442">
        <f t="shared" si="1"/>
        <v>9</v>
      </c>
      <c r="C440" s="442">
        <f>5-COUNTIFS(dataMail!$C:$C,"&lt;&gt;Annulation",dataMail!$G:$G,"&lt;="&amp;A440,dataMail!$H:$H,"&gt;"&amp;A440,dataMail!J:J,"DE")</f>
        <v>5</v>
      </c>
      <c r="D440" s="442">
        <f>4-COUNTIFS(dataMail!$C:$C,"&lt;&gt;Annulation",dataMail!$G:$G,"&lt;="&amp;A440,dataMail!$H:$H,"&gt;"&amp;A440,dataMail!J:J,"SU")-COUNTIFS(dataMail!$C:$C,"&lt;&gt;Annulation",dataMail!$G:$G,"&lt;="&amp;A440,dataMail!$H:$H,"&gt;"&amp;A440,dataMail!J:J,"SX")</f>
        <v>4</v>
      </c>
    </row>
    <row r="441">
      <c r="A441" s="441">
        <f t="shared" si="2"/>
        <v>46689</v>
      </c>
      <c r="B441" s="442">
        <f t="shared" si="1"/>
        <v>9</v>
      </c>
      <c r="C441" s="442">
        <f>5-COUNTIFS(dataMail!$C:$C,"&lt;&gt;Annulation",dataMail!$G:$G,"&lt;="&amp;A441,dataMail!$H:$H,"&gt;"&amp;A441,dataMail!J:J,"DE")</f>
        <v>5</v>
      </c>
      <c r="D441" s="442">
        <f>4-COUNTIFS(dataMail!$C:$C,"&lt;&gt;Annulation",dataMail!$G:$G,"&lt;="&amp;A441,dataMail!$H:$H,"&gt;"&amp;A441,dataMail!J:J,"SU")-COUNTIFS(dataMail!$C:$C,"&lt;&gt;Annulation",dataMail!$G:$G,"&lt;="&amp;A441,dataMail!$H:$H,"&gt;"&amp;A441,dataMail!J:J,"SX")</f>
        <v>4</v>
      </c>
    </row>
    <row r="442">
      <c r="A442" s="441">
        <f t="shared" si="2"/>
        <v>46690</v>
      </c>
      <c r="B442" s="442">
        <f t="shared" si="1"/>
        <v>8</v>
      </c>
      <c r="C442" s="442">
        <f>5-COUNTIFS(dataMail!$C:$C,"&lt;&gt;Annulation",dataMail!$G:$G,"&lt;="&amp;A442,dataMail!$H:$H,"&gt;"&amp;A442,dataMail!J:J,"DE")</f>
        <v>4</v>
      </c>
      <c r="D442" s="442">
        <f>4-COUNTIFS(dataMail!$C:$C,"&lt;&gt;Annulation",dataMail!$G:$G,"&lt;="&amp;A442,dataMail!$H:$H,"&gt;"&amp;A442,dataMail!J:J,"SU")-COUNTIFS(dataMail!$C:$C,"&lt;&gt;Annulation",dataMail!$G:$G,"&lt;="&amp;A442,dataMail!$H:$H,"&gt;"&amp;A442,dataMail!J:J,"SX")</f>
        <v>4</v>
      </c>
    </row>
    <row r="443">
      <c r="A443" s="441">
        <f t="shared" si="2"/>
        <v>46691</v>
      </c>
      <c r="B443" s="442">
        <f t="shared" si="1"/>
        <v>8</v>
      </c>
      <c r="C443" s="442">
        <f>5-COUNTIFS(dataMail!$C:$C,"&lt;&gt;Annulation",dataMail!$G:$G,"&lt;="&amp;A443,dataMail!$H:$H,"&gt;"&amp;A443,dataMail!J:J,"DE")</f>
        <v>4</v>
      </c>
      <c r="D443" s="442">
        <f>4-COUNTIFS(dataMail!$C:$C,"&lt;&gt;Annulation",dataMail!$G:$G,"&lt;="&amp;A443,dataMail!$H:$H,"&gt;"&amp;A443,dataMail!J:J,"SU")-COUNTIFS(dataMail!$C:$C,"&lt;&gt;Annulation",dataMail!$G:$G,"&lt;="&amp;A443,dataMail!$H:$H,"&gt;"&amp;A443,dataMail!J:J,"SX")</f>
        <v>4</v>
      </c>
    </row>
    <row r="444">
      <c r="A444" s="441">
        <f t="shared" si="2"/>
        <v>46692</v>
      </c>
      <c r="B444" s="442">
        <f t="shared" si="1"/>
        <v>8</v>
      </c>
      <c r="C444" s="442">
        <f>5-COUNTIFS(dataMail!$C:$C,"&lt;&gt;Annulation",dataMail!$G:$G,"&lt;="&amp;A444,dataMail!$H:$H,"&gt;"&amp;A444,dataMail!J:J,"DE")</f>
        <v>4</v>
      </c>
      <c r="D444" s="442">
        <f>4-COUNTIFS(dataMail!$C:$C,"&lt;&gt;Annulation",dataMail!$G:$G,"&lt;="&amp;A444,dataMail!$H:$H,"&gt;"&amp;A444,dataMail!J:J,"SU")-COUNTIFS(dataMail!$C:$C,"&lt;&gt;Annulation",dataMail!$G:$G,"&lt;="&amp;A444,dataMail!$H:$H,"&gt;"&amp;A444,dataMail!J:J,"SX")</f>
        <v>4</v>
      </c>
    </row>
    <row r="445">
      <c r="A445" s="441">
        <f t="shared" si="2"/>
        <v>46693</v>
      </c>
      <c r="B445" s="442">
        <f t="shared" si="1"/>
        <v>8</v>
      </c>
      <c r="C445" s="442">
        <f>5-COUNTIFS(dataMail!$C:$C,"&lt;&gt;Annulation",dataMail!$G:$G,"&lt;="&amp;A445,dataMail!$H:$H,"&gt;"&amp;A445,dataMail!J:J,"DE")</f>
        <v>4</v>
      </c>
      <c r="D445" s="442">
        <f>4-COUNTIFS(dataMail!$C:$C,"&lt;&gt;Annulation",dataMail!$G:$G,"&lt;="&amp;A445,dataMail!$H:$H,"&gt;"&amp;A445,dataMail!J:J,"SU")-COUNTIFS(dataMail!$C:$C,"&lt;&gt;Annulation",dataMail!$G:$G,"&lt;="&amp;A445,dataMail!$H:$H,"&gt;"&amp;A445,dataMail!J:J,"SX")</f>
        <v>4</v>
      </c>
    </row>
    <row r="446">
      <c r="A446" s="441">
        <f t="shared" si="2"/>
        <v>46694</v>
      </c>
      <c r="B446" s="442">
        <f t="shared" si="1"/>
        <v>8</v>
      </c>
      <c r="C446" s="442">
        <f>5-COUNTIFS(dataMail!$C:$C,"&lt;&gt;Annulation",dataMail!$G:$G,"&lt;="&amp;A446,dataMail!$H:$H,"&gt;"&amp;A446,dataMail!J:J,"DE")</f>
        <v>4</v>
      </c>
      <c r="D446" s="442">
        <f>4-COUNTIFS(dataMail!$C:$C,"&lt;&gt;Annulation",dataMail!$G:$G,"&lt;="&amp;A446,dataMail!$H:$H,"&gt;"&amp;A446,dataMail!J:J,"SU")-COUNTIFS(dataMail!$C:$C,"&lt;&gt;Annulation",dataMail!$G:$G,"&lt;="&amp;A446,dataMail!$H:$H,"&gt;"&amp;A446,dataMail!J:J,"SX")</f>
        <v>4</v>
      </c>
    </row>
    <row r="447">
      <c r="A447" s="441">
        <f t="shared" si="2"/>
        <v>46695</v>
      </c>
      <c r="B447" s="442">
        <f t="shared" si="1"/>
        <v>9</v>
      </c>
      <c r="C447" s="442">
        <f>5-COUNTIFS(dataMail!$C:$C,"&lt;&gt;Annulation",dataMail!$G:$G,"&lt;="&amp;A447,dataMail!$H:$H,"&gt;"&amp;A447,dataMail!J:J,"DE")</f>
        <v>5</v>
      </c>
      <c r="D447" s="442">
        <f>4-COUNTIFS(dataMail!$C:$C,"&lt;&gt;Annulation",dataMail!$G:$G,"&lt;="&amp;A447,dataMail!$H:$H,"&gt;"&amp;A447,dataMail!J:J,"SU")-COUNTIFS(dataMail!$C:$C,"&lt;&gt;Annulation",dataMail!$G:$G,"&lt;="&amp;A447,dataMail!$H:$H,"&gt;"&amp;A447,dataMail!J:J,"SX")</f>
        <v>4</v>
      </c>
    </row>
    <row r="448">
      <c r="A448" s="441">
        <f t="shared" si="2"/>
        <v>46696</v>
      </c>
      <c r="B448" s="442">
        <f t="shared" si="1"/>
        <v>9</v>
      </c>
      <c r="C448" s="442">
        <f>5-COUNTIFS(dataMail!$C:$C,"&lt;&gt;Annulation",dataMail!$G:$G,"&lt;="&amp;A448,dataMail!$H:$H,"&gt;"&amp;A448,dataMail!J:J,"DE")</f>
        <v>5</v>
      </c>
      <c r="D448" s="442">
        <f>4-COUNTIFS(dataMail!$C:$C,"&lt;&gt;Annulation",dataMail!$G:$G,"&lt;="&amp;A448,dataMail!$H:$H,"&gt;"&amp;A448,dataMail!J:J,"SU")-COUNTIFS(dataMail!$C:$C,"&lt;&gt;Annulation",dataMail!$G:$G,"&lt;="&amp;A448,dataMail!$H:$H,"&gt;"&amp;A448,dataMail!J:J,"SX")</f>
        <v>4</v>
      </c>
    </row>
    <row r="449">
      <c r="A449" s="441">
        <f t="shared" si="2"/>
        <v>46697</v>
      </c>
      <c r="B449" s="442">
        <f t="shared" si="1"/>
        <v>9</v>
      </c>
      <c r="C449" s="442">
        <f>5-COUNTIFS(dataMail!$C:$C,"&lt;&gt;Annulation",dataMail!$G:$G,"&lt;="&amp;A449,dataMail!$H:$H,"&gt;"&amp;A449,dataMail!J:J,"DE")</f>
        <v>5</v>
      </c>
      <c r="D449" s="442">
        <f>4-COUNTIFS(dataMail!$C:$C,"&lt;&gt;Annulation",dataMail!$G:$G,"&lt;="&amp;A449,dataMail!$H:$H,"&gt;"&amp;A449,dataMail!J:J,"SU")-COUNTIFS(dataMail!$C:$C,"&lt;&gt;Annulation",dataMail!$G:$G,"&lt;="&amp;A449,dataMail!$H:$H,"&gt;"&amp;A449,dataMail!J:J,"SX")</f>
        <v>4</v>
      </c>
    </row>
    <row r="450">
      <c r="A450" s="441">
        <f t="shared" si="2"/>
        <v>46698</v>
      </c>
      <c r="B450" s="442">
        <f t="shared" si="1"/>
        <v>9</v>
      </c>
      <c r="C450" s="442">
        <f>5-COUNTIFS(dataMail!$C:$C,"&lt;&gt;Annulation",dataMail!$G:$G,"&lt;="&amp;A450,dataMail!$H:$H,"&gt;"&amp;A450,dataMail!J:J,"DE")</f>
        <v>5</v>
      </c>
      <c r="D450" s="442">
        <f>4-COUNTIFS(dataMail!$C:$C,"&lt;&gt;Annulation",dataMail!$G:$G,"&lt;="&amp;A450,dataMail!$H:$H,"&gt;"&amp;A450,dataMail!J:J,"SU")-COUNTIFS(dataMail!$C:$C,"&lt;&gt;Annulation",dataMail!$G:$G,"&lt;="&amp;A450,dataMail!$H:$H,"&gt;"&amp;A450,dataMail!J:J,"SX")</f>
        <v>4</v>
      </c>
    </row>
    <row r="451">
      <c r="A451" s="441">
        <f t="shared" si="2"/>
        <v>46699</v>
      </c>
      <c r="B451" s="442">
        <f t="shared" si="1"/>
        <v>9</v>
      </c>
      <c r="C451" s="442">
        <f>5-COUNTIFS(dataMail!$C:$C,"&lt;&gt;Annulation",dataMail!$G:$G,"&lt;="&amp;A451,dataMail!$H:$H,"&gt;"&amp;A451,dataMail!J:J,"DE")</f>
        <v>5</v>
      </c>
      <c r="D451" s="442">
        <f>4-COUNTIFS(dataMail!$C:$C,"&lt;&gt;Annulation",dataMail!$G:$G,"&lt;="&amp;A451,dataMail!$H:$H,"&gt;"&amp;A451,dataMail!J:J,"SU")-COUNTIFS(dataMail!$C:$C,"&lt;&gt;Annulation",dataMail!$G:$G,"&lt;="&amp;A451,dataMail!$H:$H,"&gt;"&amp;A451,dataMail!J:J,"SX")</f>
        <v>4</v>
      </c>
    </row>
    <row r="452">
      <c r="A452" s="441">
        <f t="shared" si="2"/>
        <v>46700</v>
      </c>
      <c r="B452" s="442">
        <f t="shared" si="1"/>
        <v>9</v>
      </c>
      <c r="C452" s="442">
        <f>5-COUNTIFS(dataMail!$C:$C,"&lt;&gt;Annulation",dataMail!$G:$G,"&lt;="&amp;A452,dataMail!$H:$H,"&gt;"&amp;A452,dataMail!J:J,"DE")</f>
        <v>5</v>
      </c>
      <c r="D452" s="442">
        <f>4-COUNTIFS(dataMail!$C:$C,"&lt;&gt;Annulation",dataMail!$G:$G,"&lt;="&amp;A452,dataMail!$H:$H,"&gt;"&amp;A452,dataMail!J:J,"SU")-COUNTIFS(dataMail!$C:$C,"&lt;&gt;Annulation",dataMail!$G:$G,"&lt;="&amp;A452,dataMail!$H:$H,"&gt;"&amp;A452,dataMail!J:J,"SX")</f>
        <v>4</v>
      </c>
    </row>
    <row r="453">
      <c r="A453" s="441">
        <f t="shared" si="2"/>
        <v>46701</v>
      </c>
      <c r="B453" s="442">
        <f t="shared" si="1"/>
        <v>9</v>
      </c>
      <c r="C453" s="442">
        <f>5-COUNTIFS(dataMail!$C:$C,"&lt;&gt;Annulation",dataMail!$G:$G,"&lt;="&amp;A453,dataMail!$H:$H,"&gt;"&amp;A453,dataMail!J:J,"DE")</f>
        <v>5</v>
      </c>
      <c r="D453" s="442">
        <f>4-COUNTIFS(dataMail!$C:$C,"&lt;&gt;Annulation",dataMail!$G:$G,"&lt;="&amp;A453,dataMail!$H:$H,"&gt;"&amp;A453,dataMail!J:J,"SU")-COUNTIFS(dataMail!$C:$C,"&lt;&gt;Annulation",dataMail!$G:$G,"&lt;="&amp;A453,dataMail!$H:$H,"&gt;"&amp;A453,dataMail!J:J,"SX")</f>
        <v>4</v>
      </c>
    </row>
    <row r="454">
      <c r="A454" s="441">
        <f t="shared" si="2"/>
        <v>46702</v>
      </c>
      <c r="B454" s="442">
        <f t="shared" si="1"/>
        <v>9</v>
      </c>
      <c r="C454" s="442">
        <f>5-COUNTIFS(dataMail!$C:$C,"&lt;&gt;Annulation",dataMail!$G:$G,"&lt;="&amp;A454,dataMail!$H:$H,"&gt;"&amp;A454,dataMail!J:J,"DE")</f>
        <v>5</v>
      </c>
      <c r="D454" s="442">
        <f>4-COUNTIFS(dataMail!$C:$C,"&lt;&gt;Annulation",dataMail!$G:$G,"&lt;="&amp;A454,dataMail!$H:$H,"&gt;"&amp;A454,dataMail!J:J,"SU")-COUNTIFS(dataMail!$C:$C,"&lt;&gt;Annulation",dataMail!$G:$G,"&lt;="&amp;A454,dataMail!$H:$H,"&gt;"&amp;A454,dataMail!J:J,"SX")</f>
        <v>4</v>
      </c>
    </row>
    <row r="455">
      <c r="A455" s="441">
        <f t="shared" si="2"/>
        <v>46703</v>
      </c>
      <c r="B455" s="442">
        <f t="shared" si="1"/>
        <v>9</v>
      </c>
      <c r="C455" s="442">
        <f>5-COUNTIFS(dataMail!$C:$C,"&lt;&gt;Annulation",dataMail!$G:$G,"&lt;="&amp;A455,dataMail!$H:$H,"&gt;"&amp;A455,dataMail!J:J,"DE")</f>
        <v>5</v>
      </c>
      <c r="D455" s="442">
        <f>4-COUNTIFS(dataMail!$C:$C,"&lt;&gt;Annulation",dataMail!$G:$G,"&lt;="&amp;A455,dataMail!$H:$H,"&gt;"&amp;A455,dataMail!J:J,"SU")-COUNTIFS(dataMail!$C:$C,"&lt;&gt;Annulation",dataMail!$G:$G,"&lt;="&amp;A455,dataMail!$H:$H,"&gt;"&amp;A455,dataMail!J:J,"SX")</f>
        <v>4</v>
      </c>
    </row>
    <row r="456">
      <c r="A456" s="441">
        <f t="shared" si="2"/>
        <v>46704</v>
      </c>
      <c r="B456" s="442">
        <f t="shared" si="1"/>
        <v>9</v>
      </c>
      <c r="C456" s="442">
        <f>5-COUNTIFS(dataMail!$C:$C,"&lt;&gt;Annulation",dataMail!$G:$G,"&lt;="&amp;A456,dataMail!$H:$H,"&gt;"&amp;A456,dataMail!J:J,"DE")</f>
        <v>5</v>
      </c>
      <c r="D456" s="442">
        <f>4-COUNTIFS(dataMail!$C:$C,"&lt;&gt;Annulation",dataMail!$G:$G,"&lt;="&amp;A456,dataMail!$H:$H,"&gt;"&amp;A456,dataMail!J:J,"SU")-COUNTIFS(dataMail!$C:$C,"&lt;&gt;Annulation",dataMail!$G:$G,"&lt;="&amp;A456,dataMail!$H:$H,"&gt;"&amp;A456,dataMail!J:J,"SX")</f>
        <v>4</v>
      </c>
    </row>
    <row r="457">
      <c r="A457" s="441">
        <f t="shared" si="2"/>
        <v>46705</v>
      </c>
      <c r="B457" s="442">
        <f t="shared" si="1"/>
        <v>9</v>
      </c>
      <c r="C457" s="442">
        <f>5-COUNTIFS(dataMail!$C:$C,"&lt;&gt;Annulation",dataMail!$G:$G,"&lt;="&amp;A457,dataMail!$H:$H,"&gt;"&amp;A457,dataMail!J:J,"DE")</f>
        <v>5</v>
      </c>
      <c r="D457" s="442">
        <f>4-COUNTIFS(dataMail!$C:$C,"&lt;&gt;Annulation",dataMail!$G:$G,"&lt;="&amp;A457,dataMail!$H:$H,"&gt;"&amp;A457,dataMail!J:J,"SU")-COUNTIFS(dataMail!$C:$C,"&lt;&gt;Annulation",dataMail!$G:$G,"&lt;="&amp;A457,dataMail!$H:$H,"&gt;"&amp;A457,dataMail!J:J,"SX")</f>
        <v>4</v>
      </c>
    </row>
    <row r="458">
      <c r="A458" s="441">
        <f t="shared" si="2"/>
        <v>46706</v>
      </c>
      <c r="B458" s="442">
        <f t="shared" si="1"/>
        <v>9</v>
      </c>
      <c r="C458" s="442">
        <f>5-COUNTIFS(dataMail!$C:$C,"&lt;&gt;Annulation",dataMail!$G:$G,"&lt;="&amp;A458,dataMail!$H:$H,"&gt;"&amp;A458,dataMail!J:J,"DE")</f>
        <v>5</v>
      </c>
      <c r="D458" s="442">
        <f>4-COUNTIFS(dataMail!$C:$C,"&lt;&gt;Annulation",dataMail!$G:$G,"&lt;="&amp;A458,dataMail!$H:$H,"&gt;"&amp;A458,dataMail!J:J,"SU")-COUNTIFS(dataMail!$C:$C,"&lt;&gt;Annulation",dataMail!$G:$G,"&lt;="&amp;A458,dataMail!$H:$H,"&gt;"&amp;A458,dataMail!J:J,"SX")</f>
        <v>4</v>
      </c>
    </row>
    <row r="459">
      <c r="A459" s="441">
        <f t="shared" si="2"/>
        <v>46707</v>
      </c>
      <c r="B459" s="442">
        <f t="shared" si="1"/>
        <v>9</v>
      </c>
      <c r="C459" s="442">
        <f>5-COUNTIFS(dataMail!$C:$C,"&lt;&gt;Annulation",dataMail!$G:$G,"&lt;="&amp;A459,dataMail!$H:$H,"&gt;"&amp;A459,dataMail!J:J,"DE")</f>
        <v>5</v>
      </c>
      <c r="D459" s="442">
        <f>4-COUNTIFS(dataMail!$C:$C,"&lt;&gt;Annulation",dataMail!$G:$G,"&lt;="&amp;A459,dataMail!$H:$H,"&gt;"&amp;A459,dataMail!J:J,"SU")-COUNTIFS(dataMail!$C:$C,"&lt;&gt;Annulation",dataMail!$G:$G,"&lt;="&amp;A459,dataMail!$H:$H,"&gt;"&amp;A459,dataMail!J:J,"SX")</f>
        <v>4</v>
      </c>
    </row>
    <row r="460">
      <c r="A460" s="441">
        <f t="shared" si="2"/>
        <v>46708</v>
      </c>
      <c r="B460" s="442">
        <f t="shared" si="1"/>
        <v>9</v>
      </c>
      <c r="C460" s="442">
        <f>5-COUNTIFS(dataMail!$C:$C,"&lt;&gt;Annulation",dataMail!$G:$G,"&lt;="&amp;A460,dataMail!$H:$H,"&gt;"&amp;A460,dataMail!J:J,"DE")</f>
        <v>5</v>
      </c>
      <c r="D460" s="442">
        <f>4-COUNTIFS(dataMail!$C:$C,"&lt;&gt;Annulation",dataMail!$G:$G,"&lt;="&amp;A460,dataMail!$H:$H,"&gt;"&amp;A460,dataMail!J:J,"SU")-COUNTIFS(dataMail!$C:$C,"&lt;&gt;Annulation",dataMail!$G:$G,"&lt;="&amp;A460,dataMail!$H:$H,"&gt;"&amp;A460,dataMail!J:J,"SX")</f>
        <v>4</v>
      </c>
    </row>
    <row r="461">
      <c r="A461" s="441">
        <f t="shared" si="2"/>
        <v>46709</v>
      </c>
      <c r="B461" s="442">
        <f t="shared" si="1"/>
        <v>9</v>
      </c>
      <c r="C461" s="442">
        <f>5-COUNTIFS(dataMail!$C:$C,"&lt;&gt;Annulation",dataMail!$G:$G,"&lt;="&amp;A461,dataMail!$H:$H,"&gt;"&amp;A461,dataMail!J:J,"DE")</f>
        <v>5</v>
      </c>
      <c r="D461" s="442">
        <f>4-COUNTIFS(dataMail!$C:$C,"&lt;&gt;Annulation",dataMail!$G:$G,"&lt;="&amp;A461,dataMail!$H:$H,"&gt;"&amp;A461,dataMail!J:J,"SU")-COUNTIFS(dataMail!$C:$C,"&lt;&gt;Annulation",dataMail!$G:$G,"&lt;="&amp;A461,dataMail!$H:$H,"&gt;"&amp;A461,dataMail!J:J,"SX")</f>
        <v>4</v>
      </c>
    </row>
    <row r="462">
      <c r="A462" s="441">
        <f t="shared" si="2"/>
        <v>46710</v>
      </c>
      <c r="B462" s="442">
        <f t="shared" si="1"/>
        <v>9</v>
      </c>
      <c r="C462" s="442">
        <f>5-COUNTIFS(dataMail!$C:$C,"&lt;&gt;Annulation",dataMail!$G:$G,"&lt;="&amp;A462,dataMail!$H:$H,"&gt;"&amp;A462,dataMail!J:J,"DE")</f>
        <v>5</v>
      </c>
      <c r="D462" s="442">
        <f>4-COUNTIFS(dataMail!$C:$C,"&lt;&gt;Annulation",dataMail!$G:$G,"&lt;="&amp;A462,dataMail!$H:$H,"&gt;"&amp;A462,dataMail!J:J,"SU")-COUNTIFS(dataMail!$C:$C,"&lt;&gt;Annulation",dataMail!$G:$G,"&lt;="&amp;A462,dataMail!$H:$H,"&gt;"&amp;A462,dataMail!J:J,"SX")</f>
        <v>4</v>
      </c>
    </row>
    <row r="463">
      <c r="A463" s="441">
        <f t="shared" si="2"/>
        <v>46711</v>
      </c>
      <c r="B463" s="442">
        <f t="shared" si="1"/>
        <v>9</v>
      </c>
      <c r="C463" s="442">
        <f>5-COUNTIFS(dataMail!$C:$C,"&lt;&gt;Annulation",dataMail!$G:$G,"&lt;="&amp;A463,dataMail!$H:$H,"&gt;"&amp;A463,dataMail!J:J,"DE")</f>
        <v>5</v>
      </c>
      <c r="D463" s="442">
        <f>4-COUNTIFS(dataMail!$C:$C,"&lt;&gt;Annulation",dataMail!$G:$G,"&lt;="&amp;A463,dataMail!$H:$H,"&gt;"&amp;A463,dataMail!J:J,"SU")-COUNTIFS(dataMail!$C:$C,"&lt;&gt;Annulation",dataMail!$G:$G,"&lt;="&amp;A463,dataMail!$H:$H,"&gt;"&amp;A463,dataMail!J:J,"SX")</f>
        <v>4</v>
      </c>
    </row>
    <row r="464">
      <c r="A464" s="441">
        <f t="shared" si="2"/>
        <v>46712</v>
      </c>
      <c r="B464" s="442">
        <f t="shared" si="1"/>
        <v>9</v>
      </c>
      <c r="C464" s="442">
        <f>5-COUNTIFS(dataMail!$C:$C,"&lt;&gt;Annulation",dataMail!$G:$G,"&lt;="&amp;A464,dataMail!$H:$H,"&gt;"&amp;A464,dataMail!J:J,"DE")</f>
        <v>5</v>
      </c>
      <c r="D464" s="442">
        <f>4-COUNTIFS(dataMail!$C:$C,"&lt;&gt;Annulation",dataMail!$G:$G,"&lt;="&amp;A464,dataMail!$H:$H,"&gt;"&amp;A464,dataMail!J:J,"SU")-COUNTIFS(dataMail!$C:$C,"&lt;&gt;Annulation",dataMail!$G:$G,"&lt;="&amp;A464,dataMail!$H:$H,"&gt;"&amp;A464,dataMail!J:J,"SX")</f>
        <v>4</v>
      </c>
    </row>
    <row r="465">
      <c r="A465" s="441">
        <f t="shared" si="2"/>
        <v>46713</v>
      </c>
      <c r="B465" s="442">
        <f t="shared" si="1"/>
        <v>9</v>
      </c>
      <c r="C465" s="442">
        <f>5-COUNTIFS(dataMail!$C:$C,"&lt;&gt;Annulation",dataMail!$G:$G,"&lt;="&amp;A465,dataMail!$H:$H,"&gt;"&amp;A465,dataMail!J:J,"DE")</f>
        <v>5</v>
      </c>
      <c r="D465" s="442">
        <f>4-COUNTIFS(dataMail!$C:$C,"&lt;&gt;Annulation",dataMail!$G:$G,"&lt;="&amp;A465,dataMail!$H:$H,"&gt;"&amp;A465,dataMail!J:J,"SU")-COUNTIFS(dataMail!$C:$C,"&lt;&gt;Annulation",dataMail!$G:$G,"&lt;="&amp;A465,dataMail!$H:$H,"&gt;"&amp;A465,dataMail!J:J,"SX")</f>
        <v>4</v>
      </c>
    </row>
    <row r="466">
      <c r="A466" s="441">
        <f t="shared" si="2"/>
        <v>46714</v>
      </c>
      <c r="B466" s="442">
        <f t="shared" si="1"/>
        <v>9</v>
      </c>
      <c r="C466" s="442">
        <f>5-COUNTIFS(dataMail!$C:$C,"&lt;&gt;Annulation",dataMail!$G:$G,"&lt;="&amp;A466,dataMail!$H:$H,"&gt;"&amp;A466,dataMail!J:J,"DE")</f>
        <v>5</v>
      </c>
      <c r="D466" s="442">
        <f>4-COUNTIFS(dataMail!$C:$C,"&lt;&gt;Annulation",dataMail!$G:$G,"&lt;="&amp;A466,dataMail!$H:$H,"&gt;"&amp;A466,dataMail!J:J,"SU")-COUNTIFS(dataMail!$C:$C,"&lt;&gt;Annulation",dataMail!$G:$G,"&lt;="&amp;A466,dataMail!$H:$H,"&gt;"&amp;A466,dataMail!J:J,"SX")</f>
        <v>4</v>
      </c>
    </row>
    <row r="467">
      <c r="A467" s="441">
        <f t="shared" si="2"/>
        <v>46715</v>
      </c>
      <c r="B467" s="442">
        <f t="shared" si="1"/>
        <v>9</v>
      </c>
      <c r="C467" s="442">
        <f>5-COUNTIFS(dataMail!$C:$C,"&lt;&gt;Annulation",dataMail!$G:$G,"&lt;="&amp;A467,dataMail!$H:$H,"&gt;"&amp;A467,dataMail!J:J,"DE")</f>
        <v>5</v>
      </c>
      <c r="D467" s="442">
        <f>4-COUNTIFS(dataMail!$C:$C,"&lt;&gt;Annulation",dataMail!$G:$G,"&lt;="&amp;A467,dataMail!$H:$H,"&gt;"&amp;A467,dataMail!J:J,"SU")-COUNTIFS(dataMail!$C:$C,"&lt;&gt;Annulation",dataMail!$G:$G,"&lt;="&amp;A467,dataMail!$H:$H,"&gt;"&amp;A467,dataMail!J:J,"SX")</f>
        <v>4</v>
      </c>
    </row>
    <row r="468">
      <c r="A468" s="440"/>
      <c r="B468" s="440"/>
      <c r="C468" s="440"/>
      <c r="D468" s="440"/>
    </row>
    <row r="469">
      <c r="A469" s="440"/>
      <c r="B469" s="440"/>
      <c r="C469" s="440"/>
      <c r="D469" s="440"/>
    </row>
    <row r="470">
      <c r="A470" s="440"/>
      <c r="B470" s="440"/>
      <c r="C470" s="440"/>
      <c r="D470" s="440"/>
    </row>
    <row r="471">
      <c r="A471" s="440"/>
      <c r="B471" s="440"/>
      <c r="C471" s="440"/>
      <c r="D471" s="440"/>
    </row>
    <row r="472">
      <c r="A472" s="440"/>
      <c r="B472" s="440"/>
      <c r="C472" s="440"/>
      <c r="D472" s="440"/>
    </row>
    <row r="473">
      <c r="A473" s="440"/>
      <c r="B473" s="440"/>
      <c r="C473" s="440"/>
      <c r="D473" s="440"/>
    </row>
    <row r="474">
      <c r="A474" s="440"/>
      <c r="B474" s="440"/>
      <c r="C474" s="440"/>
      <c r="D474" s="440"/>
    </row>
    <row r="475">
      <c r="A475" s="440"/>
      <c r="B475" s="440"/>
      <c r="C475" s="440"/>
      <c r="D475" s="440"/>
    </row>
    <row r="476">
      <c r="A476" s="440"/>
      <c r="B476" s="440"/>
      <c r="C476" s="440"/>
      <c r="D476" s="440"/>
    </row>
    <row r="477">
      <c r="A477" s="440"/>
      <c r="B477" s="440"/>
      <c r="C477" s="440"/>
      <c r="D477" s="440"/>
    </row>
    <row r="478">
      <c r="A478" s="440"/>
      <c r="B478" s="440"/>
      <c r="C478" s="440"/>
      <c r="D478" s="440"/>
    </row>
    <row r="479">
      <c r="A479" s="440"/>
      <c r="B479" s="440"/>
      <c r="C479" s="440"/>
      <c r="D479" s="440"/>
    </row>
    <row r="480">
      <c r="A480" s="440"/>
      <c r="B480" s="440"/>
      <c r="C480" s="440"/>
      <c r="D480" s="440"/>
    </row>
    <row r="481">
      <c r="A481" s="440"/>
      <c r="B481" s="440"/>
      <c r="C481" s="440"/>
      <c r="D481" s="440"/>
    </row>
    <row r="482">
      <c r="A482" s="440"/>
      <c r="B482" s="440"/>
      <c r="C482" s="440"/>
      <c r="D482" s="440"/>
    </row>
    <row r="483">
      <c r="A483" s="440"/>
      <c r="B483" s="440"/>
      <c r="C483" s="440"/>
      <c r="D483" s="440"/>
    </row>
    <row r="484">
      <c r="A484" s="440"/>
      <c r="B484" s="440"/>
      <c r="C484" s="440"/>
      <c r="D484" s="440"/>
    </row>
    <row r="485">
      <c r="A485" s="440"/>
      <c r="B485" s="440"/>
      <c r="C485" s="440"/>
      <c r="D485" s="440"/>
    </row>
    <row r="486">
      <c r="A486" s="440"/>
      <c r="B486" s="440"/>
      <c r="C486" s="440"/>
      <c r="D486" s="440"/>
    </row>
    <row r="487">
      <c r="A487" s="440"/>
      <c r="B487" s="440"/>
      <c r="C487" s="440"/>
      <c r="D487" s="440"/>
    </row>
    <row r="488">
      <c r="A488" s="440"/>
      <c r="B488" s="440"/>
      <c r="C488" s="440"/>
      <c r="D488" s="440"/>
    </row>
    <row r="489">
      <c r="A489" s="440"/>
      <c r="B489" s="440"/>
      <c r="C489" s="440"/>
      <c r="D489" s="440"/>
    </row>
    <row r="490">
      <c r="A490" s="440"/>
      <c r="B490" s="440"/>
      <c r="C490" s="440"/>
      <c r="D490" s="440"/>
    </row>
    <row r="491">
      <c r="A491" s="440"/>
      <c r="B491" s="440"/>
      <c r="C491" s="440"/>
      <c r="D491" s="440"/>
    </row>
    <row r="492">
      <c r="A492" s="440"/>
      <c r="B492" s="440"/>
      <c r="C492" s="440"/>
      <c r="D492" s="440"/>
    </row>
    <row r="493">
      <c r="A493" s="440"/>
      <c r="B493" s="440"/>
      <c r="C493" s="440"/>
      <c r="D493" s="440"/>
    </row>
    <row r="494">
      <c r="A494" s="440"/>
      <c r="B494" s="440"/>
      <c r="C494" s="440"/>
      <c r="D494" s="440"/>
    </row>
    <row r="495">
      <c r="A495" s="440"/>
      <c r="B495" s="440"/>
      <c r="C495" s="440"/>
      <c r="D495" s="440"/>
    </row>
    <row r="496">
      <c r="A496" s="440"/>
      <c r="B496" s="440"/>
      <c r="C496" s="440"/>
      <c r="D496" s="440"/>
    </row>
    <row r="497">
      <c r="A497" s="440"/>
      <c r="B497" s="440"/>
      <c r="C497" s="440"/>
      <c r="D497" s="440"/>
    </row>
    <row r="498">
      <c r="A498" s="440"/>
      <c r="B498" s="440"/>
      <c r="C498" s="440"/>
      <c r="D498" s="440"/>
    </row>
    <row r="499">
      <c r="A499" s="440"/>
      <c r="B499" s="440"/>
      <c r="C499" s="440"/>
      <c r="D499" s="440"/>
    </row>
    <row r="500">
      <c r="A500" s="440"/>
      <c r="B500" s="440"/>
      <c r="C500" s="440"/>
      <c r="D500" s="440"/>
    </row>
    <row r="501">
      <c r="A501" s="440"/>
      <c r="B501" s="440"/>
      <c r="C501" s="440"/>
      <c r="D501" s="440"/>
    </row>
    <row r="502">
      <c r="A502" s="440"/>
      <c r="B502" s="440"/>
      <c r="C502" s="440"/>
      <c r="D502" s="440"/>
    </row>
    <row r="503">
      <c r="A503" s="440"/>
      <c r="B503" s="440"/>
      <c r="C503" s="440"/>
      <c r="D503" s="440"/>
    </row>
    <row r="504">
      <c r="A504" s="440"/>
      <c r="B504" s="440"/>
      <c r="C504" s="440"/>
      <c r="D504" s="440"/>
    </row>
    <row r="505">
      <c r="A505" s="440"/>
      <c r="B505" s="440"/>
      <c r="C505" s="440"/>
      <c r="D505" s="440"/>
    </row>
    <row r="506">
      <c r="A506" s="440"/>
      <c r="B506" s="440"/>
      <c r="C506" s="440"/>
      <c r="D506" s="440"/>
    </row>
    <row r="507">
      <c r="A507" s="440"/>
      <c r="B507" s="440"/>
      <c r="C507" s="440"/>
      <c r="D507" s="440"/>
    </row>
    <row r="508">
      <c r="A508" s="440"/>
      <c r="B508" s="440"/>
      <c r="C508" s="440"/>
      <c r="D508" s="440"/>
    </row>
    <row r="509">
      <c r="A509" s="440"/>
      <c r="B509" s="440"/>
      <c r="C509" s="440"/>
      <c r="D509" s="440"/>
    </row>
    <row r="510">
      <c r="A510" s="440"/>
      <c r="B510" s="440"/>
      <c r="C510" s="440"/>
      <c r="D510" s="440"/>
    </row>
    <row r="511">
      <c r="A511" s="440"/>
      <c r="B511" s="440"/>
      <c r="C511" s="440"/>
      <c r="D511" s="440"/>
    </row>
    <row r="512">
      <c r="A512" s="440"/>
      <c r="B512" s="440"/>
      <c r="C512" s="440"/>
      <c r="D512" s="440"/>
    </row>
    <row r="513">
      <c r="A513" s="440"/>
      <c r="B513" s="440"/>
      <c r="C513" s="440"/>
      <c r="D513" s="440"/>
    </row>
    <row r="514">
      <c r="A514" s="440"/>
      <c r="B514" s="440"/>
      <c r="C514" s="440"/>
      <c r="D514" s="440"/>
    </row>
    <row r="515">
      <c r="A515" s="440"/>
      <c r="B515" s="440"/>
      <c r="C515" s="440"/>
      <c r="D515" s="440"/>
    </row>
    <row r="516">
      <c r="A516" s="440"/>
      <c r="B516" s="440"/>
      <c r="C516" s="440"/>
      <c r="D516" s="440"/>
    </row>
    <row r="517">
      <c r="A517" s="440"/>
      <c r="B517" s="440"/>
      <c r="C517" s="440"/>
      <c r="D517" s="440"/>
    </row>
    <row r="518">
      <c r="A518" s="440"/>
      <c r="B518" s="440"/>
      <c r="C518" s="440"/>
      <c r="D518" s="440"/>
    </row>
    <row r="519">
      <c r="A519" s="440"/>
      <c r="B519" s="440"/>
      <c r="C519" s="440"/>
      <c r="D519" s="440"/>
    </row>
    <row r="520">
      <c r="A520" s="440"/>
      <c r="B520" s="440"/>
      <c r="C520" s="440"/>
      <c r="D520" s="440"/>
    </row>
    <row r="521">
      <c r="A521" s="440"/>
      <c r="B521" s="440"/>
      <c r="C521" s="440"/>
      <c r="D521" s="440"/>
    </row>
    <row r="522">
      <c r="A522" s="440"/>
      <c r="B522" s="440"/>
      <c r="C522" s="440"/>
      <c r="D522" s="440"/>
    </row>
    <row r="523">
      <c r="A523" s="440"/>
      <c r="B523" s="440"/>
      <c r="C523" s="440"/>
      <c r="D523" s="440"/>
    </row>
    <row r="524">
      <c r="A524" s="440"/>
      <c r="B524" s="440"/>
      <c r="C524" s="440"/>
      <c r="D524" s="440"/>
    </row>
    <row r="525">
      <c r="A525" s="440"/>
      <c r="B525" s="440"/>
      <c r="C525" s="440"/>
      <c r="D525" s="440"/>
    </row>
    <row r="526">
      <c r="A526" s="440"/>
      <c r="B526" s="440"/>
      <c r="C526" s="440"/>
      <c r="D526" s="440"/>
    </row>
    <row r="527">
      <c r="A527" s="440"/>
      <c r="B527" s="440"/>
      <c r="C527" s="440"/>
      <c r="D527" s="440"/>
    </row>
    <row r="528">
      <c r="A528" s="440"/>
      <c r="B528" s="440"/>
      <c r="C528" s="440"/>
      <c r="D528" s="440"/>
    </row>
    <row r="529">
      <c r="A529" s="440"/>
      <c r="B529" s="440"/>
      <c r="C529" s="440"/>
      <c r="D529" s="440"/>
    </row>
    <row r="530">
      <c r="A530" s="440"/>
      <c r="B530" s="440"/>
      <c r="C530" s="440"/>
      <c r="D530" s="440"/>
    </row>
    <row r="531">
      <c r="A531" s="440"/>
      <c r="B531" s="440"/>
      <c r="C531" s="440"/>
      <c r="D531" s="440"/>
    </row>
    <row r="532">
      <c r="A532" s="440"/>
      <c r="B532" s="440"/>
      <c r="C532" s="440"/>
      <c r="D532" s="440"/>
    </row>
    <row r="533">
      <c r="A533" s="440"/>
      <c r="B533" s="440"/>
      <c r="C533" s="440"/>
      <c r="D533" s="440"/>
    </row>
    <row r="534">
      <c r="A534" s="440"/>
      <c r="B534" s="440"/>
      <c r="C534" s="440"/>
      <c r="D534" s="440"/>
    </row>
    <row r="535">
      <c r="A535" s="440"/>
      <c r="B535" s="440"/>
      <c r="C535" s="440"/>
      <c r="D535" s="440"/>
    </row>
    <row r="536">
      <c r="A536" s="440"/>
      <c r="B536" s="440"/>
      <c r="C536" s="440"/>
      <c r="D536" s="440"/>
    </row>
    <row r="537">
      <c r="A537" s="440"/>
      <c r="B537" s="440"/>
      <c r="C537" s="440"/>
      <c r="D537" s="440"/>
    </row>
    <row r="538">
      <c r="A538" s="440"/>
      <c r="B538" s="440"/>
      <c r="C538" s="440"/>
      <c r="D538" s="440"/>
    </row>
    <row r="539">
      <c r="A539" s="440"/>
      <c r="B539" s="440"/>
      <c r="C539" s="440"/>
      <c r="D539" s="440"/>
    </row>
    <row r="540">
      <c r="A540" s="440"/>
      <c r="B540" s="440"/>
      <c r="C540" s="440"/>
      <c r="D540" s="440"/>
    </row>
    <row r="541">
      <c r="A541" s="440"/>
      <c r="B541" s="440"/>
      <c r="C541" s="440"/>
      <c r="D541" s="440"/>
    </row>
    <row r="542">
      <c r="A542" s="440"/>
      <c r="B542" s="440"/>
      <c r="C542" s="440"/>
      <c r="D542" s="440"/>
    </row>
    <row r="543">
      <c r="A543" s="440"/>
      <c r="B543" s="440"/>
      <c r="C543" s="440"/>
      <c r="D543" s="440"/>
    </row>
    <row r="544">
      <c r="A544" s="440"/>
      <c r="B544" s="440"/>
      <c r="C544" s="440"/>
      <c r="D544" s="440"/>
    </row>
    <row r="545">
      <c r="A545" s="440"/>
      <c r="B545" s="440"/>
      <c r="C545" s="440"/>
      <c r="D545" s="440"/>
    </row>
    <row r="546">
      <c r="A546" s="440"/>
      <c r="B546" s="440"/>
      <c r="C546" s="440"/>
      <c r="D546" s="440"/>
    </row>
    <row r="547">
      <c r="A547" s="440"/>
      <c r="B547" s="440"/>
      <c r="C547" s="440"/>
      <c r="D547" s="440"/>
    </row>
    <row r="548">
      <c r="A548" s="440"/>
      <c r="B548" s="440"/>
      <c r="C548" s="440"/>
      <c r="D548" s="440"/>
    </row>
    <row r="549">
      <c r="A549" s="440"/>
      <c r="B549" s="440"/>
      <c r="C549" s="440"/>
      <c r="D549" s="440"/>
    </row>
    <row r="550">
      <c r="A550" s="440"/>
      <c r="B550" s="440"/>
      <c r="C550" s="440"/>
      <c r="D550" s="440"/>
    </row>
    <row r="551">
      <c r="A551" s="440"/>
      <c r="B551" s="440"/>
      <c r="C551" s="440"/>
      <c r="D551" s="440"/>
    </row>
    <row r="552">
      <c r="A552" s="440"/>
      <c r="B552" s="440"/>
      <c r="C552" s="440"/>
      <c r="D552" s="440"/>
    </row>
    <row r="553">
      <c r="A553" s="440"/>
      <c r="B553" s="440"/>
      <c r="C553" s="440"/>
      <c r="D553" s="440"/>
    </row>
    <row r="554">
      <c r="A554" s="440"/>
      <c r="B554" s="440"/>
      <c r="C554" s="440"/>
      <c r="D554" s="440"/>
    </row>
    <row r="555">
      <c r="A555" s="440"/>
      <c r="B555" s="440"/>
      <c r="C555" s="440"/>
      <c r="D555" s="440"/>
    </row>
    <row r="556">
      <c r="A556" s="440"/>
      <c r="B556" s="440"/>
      <c r="C556" s="440"/>
      <c r="D556" s="440"/>
    </row>
    <row r="557">
      <c r="A557" s="440"/>
      <c r="B557" s="440"/>
      <c r="C557" s="440"/>
      <c r="D557" s="440"/>
    </row>
    <row r="558">
      <c r="A558" s="440"/>
      <c r="B558" s="440"/>
      <c r="C558" s="440"/>
      <c r="D558" s="440"/>
    </row>
    <row r="559">
      <c r="A559" s="440"/>
      <c r="B559" s="440"/>
      <c r="C559" s="440"/>
      <c r="D559" s="440"/>
    </row>
    <row r="560">
      <c r="A560" s="440"/>
      <c r="B560" s="440"/>
      <c r="C560" s="440"/>
      <c r="D560" s="440"/>
    </row>
    <row r="561">
      <c r="A561" s="440"/>
      <c r="B561" s="440"/>
      <c r="C561" s="440"/>
      <c r="D561" s="440"/>
    </row>
    <row r="562">
      <c r="A562" s="440"/>
      <c r="B562" s="440"/>
      <c r="C562" s="440"/>
      <c r="D562" s="440"/>
    </row>
    <row r="563">
      <c r="A563" s="440"/>
      <c r="B563" s="440"/>
      <c r="C563" s="440"/>
      <c r="D563" s="440"/>
    </row>
    <row r="564">
      <c r="A564" s="440"/>
      <c r="B564" s="440"/>
      <c r="C564" s="440"/>
      <c r="D564" s="440"/>
    </row>
    <row r="565">
      <c r="A565" s="440"/>
      <c r="B565" s="440"/>
      <c r="C565" s="440"/>
      <c r="D565" s="440"/>
    </row>
    <row r="566">
      <c r="A566" s="440"/>
      <c r="B566" s="440"/>
      <c r="C566" s="440"/>
      <c r="D566" s="440"/>
    </row>
    <row r="567">
      <c r="A567" s="440"/>
      <c r="B567" s="440"/>
      <c r="C567" s="440"/>
      <c r="D567" s="440"/>
    </row>
    <row r="568">
      <c r="A568" s="440"/>
      <c r="B568" s="440"/>
      <c r="C568" s="440"/>
      <c r="D568" s="440"/>
    </row>
    <row r="569">
      <c r="A569" s="440"/>
      <c r="B569" s="440"/>
      <c r="C569" s="440"/>
      <c r="D569" s="440"/>
    </row>
    <row r="570">
      <c r="A570" s="440"/>
      <c r="B570" s="440"/>
      <c r="C570" s="440"/>
      <c r="D570" s="440"/>
    </row>
    <row r="571">
      <c r="A571" s="440"/>
      <c r="B571" s="440"/>
      <c r="C571" s="440"/>
      <c r="D571" s="440"/>
    </row>
    <row r="572">
      <c r="A572" s="440"/>
      <c r="B572" s="440"/>
      <c r="C572" s="440"/>
      <c r="D572" s="440"/>
    </row>
    <row r="573">
      <c r="A573" s="440"/>
      <c r="B573" s="440"/>
      <c r="C573" s="440"/>
      <c r="D573" s="440"/>
    </row>
    <row r="574">
      <c r="A574" s="440"/>
      <c r="B574" s="440"/>
      <c r="C574" s="440"/>
      <c r="D574" s="440"/>
    </row>
    <row r="575">
      <c r="A575" s="440"/>
      <c r="B575" s="440"/>
      <c r="C575" s="440"/>
      <c r="D575" s="440"/>
    </row>
    <row r="576">
      <c r="A576" s="440"/>
      <c r="B576" s="440"/>
      <c r="C576" s="440"/>
      <c r="D576" s="440"/>
    </row>
    <row r="577">
      <c r="A577" s="440"/>
      <c r="B577" s="440"/>
      <c r="C577" s="440"/>
      <c r="D577" s="440"/>
    </row>
    <row r="578">
      <c r="A578" s="440"/>
      <c r="B578" s="440"/>
      <c r="C578" s="440"/>
      <c r="D578" s="440"/>
    </row>
    <row r="579">
      <c r="A579" s="440"/>
      <c r="B579" s="440"/>
      <c r="C579" s="440"/>
      <c r="D579" s="440"/>
    </row>
    <row r="580">
      <c r="A580" s="440"/>
      <c r="B580" s="440"/>
      <c r="C580" s="440"/>
      <c r="D580" s="440"/>
    </row>
    <row r="581">
      <c r="A581" s="440"/>
      <c r="B581" s="440"/>
      <c r="C581" s="440"/>
      <c r="D581" s="440"/>
    </row>
    <row r="582">
      <c r="A582" s="440"/>
      <c r="B582" s="440"/>
      <c r="C582" s="440"/>
      <c r="D582" s="440"/>
    </row>
    <row r="583">
      <c r="A583" s="440"/>
      <c r="B583" s="440"/>
      <c r="C583" s="440"/>
      <c r="D583" s="440"/>
    </row>
    <row r="584">
      <c r="A584" s="440"/>
      <c r="B584" s="440"/>
      <c r="C584" s="440"/>
      <c r="D584" s="440"/>
    </row>
    <row r="585">
      <c r="A585" s="440"/>
      <c r="B585" s="440"/>
      <c r="C585" s="440"/>
      <c r="D585" s="440"/>
    </row>
    <row r="586">
      <c r="A586" s="440"/>
      <c r="B586" s="440"/>
      <c r="C586" s="440"/>
      <c r="D586" s="440"/>
    </row>
    <row r="587">
      <c r="A587" s="440"/>
      <c r="B587" s="440"/>
      <c r="C587" s="440"/>
      <c r="D587" s="440"/>
    </row>
    <row r="588">
      <c r="A588" s="440"/>
      <c r="B588" s="440"/>
      <c r="C588" s="440"/>
      <c r="D588" s="440"/>
    </row>
    <row r="589">
      <c r="A589" s="440"/>
      <c r="B589" s="440"/>
      <c r="C589" s="440"/>
      <c r="D589" s="440"/>
    </row>
    <row r="590">
      <c r="A590" s="440"/>
      <c r="B590" s="440"/>
      <c r="C590" s="440"/>
      <c r="D590" s="440"/>
    </row>
    <row r="591">
      <c r="A591" s="440"/>
      <c r="B591" s="440"/>
      <c r="C591" s="440"/>
      <c r="D591" s="440"/>
    </row>
    <row r="592">
      <c r="A592" s="440"/>
      <c r="B592" s="440"/>
      <c r="C592" s="440"/>
      <c r="D592" s="440"/>
    </row>
    <row r="593">
      <c r="A593" s="440"/>
      <c r="B593" s="440"/>
      <c r="C593" s="440"/>
      <c r="D593" s="440"/>
    </row>
    <row r="594">
      <c r="A594" s="440"/>
      <c r="B594" s="440"/>
      <c r="C594" s="440"/>
      <c r="D594" s="440"/>
    </row>
    <row r="595">
      <c r="A595" s="440"/>
      <c r="B595" s="440"/>
      <c r="C595" s="440"/>
      <c r="D595" s="440"/>
    </row>
    <row r="596">
      <c r="A596" s="440"/>
      <c r="B596" s="440"/>
      <c r="C596" s="440"/>
      <c r="D596" s="440"/>
    </row>
    <row r="597">
      <c r="A597" s="440"/>
      <c r="B597" s="440"/>
      <c r="C597" s="440"/>
      <c r="D597" s="440"/>
    </row>
    <row r="598">
      <c r="A598" s="440"/>
      <c r="B598" s="440"/>
      <c r="C598" s="440"/>
      <c r="D598" s="440"/>
    </row>
    <row r="599">
      <c r="A599" s="440"/>
      <c r="B599" s="440"/>
      <c r="C599" s="440"/>
      <c r="D599" s="440"/>
    </row>
    <row r="600">
      <c r="A600" s="440"/>
      <c r="B600" s="440"/>
      <c r="C600" s="440"/>
      <c r="D600" s="440"/>
    </row>
    <row r="601">
      <c r="A601" s="440"/>
      <c r="B601" s="440"/>
      <c r="C601" s="440"/>
      <c r="D601" s="440"/>
    </row>
    <row r="602">
      <c r="A602" s="440"/>
      <c r="B602" s="440"/>
      <c r="C602" s="440"/>
      <c r="D602" s="440"/>
    </row>
    <row r="603">
      <c r="A603" s="440"/>
      <c r="B603" s="440"/>
      <c r="C603" s="440"/>
      <c r="D603" s="440"/>
    </row>
    <row r="604">
      <c r="A604" s="440"/>
      <c r="B604" s="440"/>
      <c r="C604" s="440"/>
      <c r="D604" s="440"/>
    </row>
    <row r="605">
      <c r="A605" s="440"/>
      <c r="B605" s="440"/>
      <c r="C605" s="440"/>
      <c r="D605" s="440"/>
    </row>
    <row r="606">
      <c r="A606" s="440"/>
      <c r="B606" s="440"/>
      <c r="C606" s="440"/>
      <c r="D606" s="440"/>
    </row>
    <row r="607">
      <c r="A607" s="440"/>
      <c r="B607" s="440"/>
      <c r="C607" s="440"/>
      <c r="D607" s="440"/>
    </row>
    <row r="608">
      <c r="A608" s="440"/>
      <c r="B608" s="440"/>
      <c r="C608" s="440"/>
      <c r="D608" s="440"/>
    </row>
    <row r="609">
      <c r="A609" s="440"/>
      <c r="B609" s="440"/>
      <c r="C609" s="440"/>
      <c r="D609" s="440"/>
    </row>
    <row r="610">
      <c r="A610" s="440"/>
      <c r="B610" s="440"/>
      <c r="C610" s="440"/>
      <c r="D610" s="440"/>
    </row>
    <row r="611">
      <c r="A611" s="440"/>
      <c r="B611" s="440"/>
      <c r="C611" s="440"/>
      <c r="D611" s="440"/>
    </row>
    <row r="612">
      <c r="A612" s="440"/>
      <c r="B612" s="440"/>
      <c r="C612" s="440"/>
      <c r="D612" s="440"/>
    </row>
    <row r="613">
      <c r="A613" s="440"/>
      <c r="B613" s="440"/>
      <c r="C613" s="440"/>
      <c r="D613" s="440"/>
    </row>
    <row r="614">
      <c r="A614" s="440"/>
      <c r="B614" s="440"/>
      <c r="C614" s="440"/>
      <c r="D614" s="440"/>
    </row>
    <row r="615">
      <c r="A615" s="440"/>
      <c r="B615" s="440"/>
      <c r="C615" s="440"/>
      <c r="D615" s="440"/>
    </row>
    <row r="616">
      <c r="A616" s="440"/>
      <c r="B616" s="440"/>
      <c r="C616" s="440"/>
      <c r="D616" s="440"/>
    </row>
    <row r="617">
      <c r="A617" s="440"/>
      <c r="B617" s="440"/>
      <c r="C617" s="440"/>
      <c r="D617" s="440"/>
    </row>
    <row r="618">
      <c r="A618" s="440"/>
      <c r="B618" s="440"/>
      <c r="C618" s="440"/>
      <c r="D618" s="440"/>
    </row>
    <row r="619">
      <c r="A619" s="440"/>
      <c r="B619" s="440"/>
      <c r="C619" s="440"/>
      <c r="D619" s="440"/>
    </row>
    <row r="620">
      <c r="A620" s="440"/>
      <c r="B620" s="440"/>
      <c r="C620" s="440"/>
      <c r="D620" s="440"/>
    </row>
    <row r="621">
      <c r="A621" s="440"/>
      <c r="B621" s="440"/>
      <c r="C621" s="440"/>
      <c r="D621" s="440"/>
    </row>
    <row r="622">
      <c r="A622" s="440"/>
      <c r="B622" s="440"/>
      <c r="C622" s="440"/>
      <c r="D622" s="440"/>
    </row>
    <row r="623">
      <c r="A623" s="440"/>
      <c r="B623" s="440"/>
      <c r="C623" s="440"/>
      <c r="D623" s="440"/>
    </row>
    <row r="624">
      <c r="A624" s="440"/>
      <c r="B624" s="440"/>
      <c r="C624" s="440"/>
      <c r="D624" s="440"/>
    </row>
    <row r="625">
      <c r="A625" s="440"/>
      <c r="B625" s="440"/>
      <c r="C625" s="440"/>
      <c r="D625" s="440"/>
    </row>
    <row r="626">
      <c r="A626" s="440"/>
      <c r="B626" s="440"/>
      <c r="C626" s="440"/>
      <c r="D626" s="440"/>
    </row>
    <row r="627">
      <c r="A627" s="440"/>
      <c r="B627" s="440"/>
      <c r="C627" s="440"/>
      <c r="D627" s="440"/>
    </row>
    <row r="628">
      <c r="A628" s="440"/>
      <c r="B628" s="440"/>
      <c r="C628" s="440"/>
      <c r="D628" s="440"/>
    </row>
    <row r="629">
      <c r="A629" s="440"/>
      <c r="B629" s="440"/>
      <c r="C629" s="440"/>
      <c r="D629" s="440"/>
    </row>
    <row r="630">
      <c r="A630" s="440"/>
      <c r="B630" s="440"/>
      <c r="C630" s="440"/>
      <c r="D630" s="440"/>
    </row>
    <row r="631">
      <c r="A631" s="440"/>
      <c r="B631" s="440"/>
      <c r="C631" s="440"/>
      <c r="D631" s="440"/>
    </row>
    <row r="632">
      <c r="A632" s="440"/>
      <c r="B632" s="440"/>
      <c r="C632" s="440"/>
      <c r="D632" s="440"/>
    </row>
    <row r="633">
      <c r="A633" s="440"/>
      <c r="B633" s="440"/>
      <c r="C633" s="440"/>
      <c r="D633" s="440"/>
    </row>
    <row r="634">
      <c r="A634" s="440"/>
      <c r="B634" s="440"/>
      <c r="C634" s="440"/>
      <c r="D634" s="440"/>
    </row>
    <row r="635">
      <c r="A635" s="440"/>
      <c r="B635" s="440"/>
      <c r="C635" s="440"/>
      <c r="D635" s="440"/>
    </row>
    <row r="636">
      <c r="A636" s="440"/>
      <c r="B636" s="440"/>
      <c r="C636" s="440"/>
      <c r="D636" s="440"/>
    </row>
    <row r="637">
      <c r="A637" s="440"/>
      <c r="B637" s="440"/>
      <c r="C637" s="440"/>
      <c r="D637" s="440"/>
    </row>
    <row r="638">
      <c r="A638" s="440"/>
      <c r="B638" s="440"/>
      <c r="C638" s="440"/>
      <c r="D638" s="440"/>
    </row>
    <row r="639">
      <c r="A639" s="440"/>
      <c r="B639" s="440"/>
      <c r="C639" s="440"/>
      <c r="D639" s="440"/>
    </row>
    <row r="640">
      <c r="A640" s="440"/>
      <c r="B640" s="440"/>
      <c r="C640" s="440"/>
      <c r="D640" s="440"/>
    </row>
    <row r="641">
      <c r="A641" s="440"/>
      <c r="B641" s="440"/>
      <c r="C641" s="440"/>
      <c r="D641" s="440"/>
    </row>
    <row r="642">
      <c r="A642" s="440"/>
      <c r="B642" s="440"/>
      <c r="C642" s="440"/>
      <c r="D642" s="440"/>
    </row>
    <row r="643">
      <c r="A643" s="440"/>
      <c r="B643" s="440"/>
      <c r="C643" s="440"/>
      <c r="D643" s="440"/>
    </row>
    <row r="644">
      <c r="A644" s="440"/>
      <c r="B644" s="440"/>
      <c r="C644" s="440"/>
      <c r="D644" s="440"/>
    </row>
    <row r="645">
      <c r="A645" s="440"/>
      <c r="B645" s="440"/>
      <c r="C645" s="440"/>
      <c r="D645" s="440"/>
    </row>
    <row r="646">
      <c r="A646" s="440"/>
      <c r="B646" s="440"/>
      <c r="C646" s="440"/>
      <c r="D646" s="440"/>
    </row>
    <row r="647">
      <c r="A647" s="440"/>
      <c r="B647" s="440"/>
      <c r="C647" s="440"/>
      <c r="D647" s="440"/>
    </row>
    <row r="648">
      <c r="A648" s="440"/>
      <c r="B648" s="440"/>
      <c r="C648" s="440"/>
      <c r="D648" s="440"/>
    </row>
    <row r="649">
      <c r="A649" s="440"/>
      <c r="B649" s="440"/>
      <c r="C649" s="440"/>
      <c r="D649" s="440"/>
    </row>
    <row r="650">
      <c r="A650" s="440"/>
      <c r="B650" s="440"/>
      <c r="C650" s="440"/>
      <c r="D650" s="440"/>
    </row>
    <row r="651">
      <c r="A651" s="440"/>
      <c r="B651" s="440"/>
      <c r="C651" s="440"/>
      <c r="D651" s="440"/>
    </row>
    <row r="652">
      <c r="A652" s="440"/>
      <c r="B652" s="440"/>
      <c r="C652" s="440"/>
      <c r="D652" s="440"/>
    </row>
    <row r="653">
      <c r="A653" s="440"/>
      <c r="B653" s="440"/>
      <c r="C653" s="440"/>
      <c r="D653" s="440"/>
    </row>
    <row r="654">
      <c r="A654" s="440"/>
      <c r="B654" s="440"/>
      <c r="C654" s="440"/>
      <c r="D654" s="440"/>
    </row>
    <row r="655">
      <c r="A655" s="440"/>
      <c r="B655" s="440"/>
      <c r="C655" s="440"/>
      <c r="D655" s="440"/>
    </row>
    <row r="656">
      <c r="A656" s="440"/>
      <c r="B656" s="440"/>
      <c r="C656" s="440"/>
      <c r="D656" s="440"/>
    </row>
    <row r="657">
      <c r="A657" s="440"/>
      <c r="B657" s="440"/>
      <c r="C657" s="440"/>
      <c r="D657" s="440"/>
    </row>
    <row r="658">
      <c r="A658" s="440"/>
      <c r="B658" s="440"/>
      <c r="C658" s="440"/>
      <c r="D658" s="440"/>
    </row>
    <row r="659">
      <c r="A659" s="440"/>
      <c r="B659" s="440"/>
      <c r="C659" s="440"/>
      <c r="D659" s="440"/>
    </row>
    <row r="660">
      <c r="A660" s="440"/>
      <c r="B660" s="440"/>
      <c r="C660" s="440"/>
      <c r="D660" s="440"/>
    </row>
    <row r="661">
      <c r="A661" s="440"/>
      <c r="B661" s="440"/>
      <c r="C661" s="440"/>
      <c r="D661" s="440"/>
    </row>
    <row r="662">
      <c r="A662" s="440"/>
      <c r="B662" s="440"/>
      <c r="C662" s="440"/>
      <c r="D662" s="440"/>
    </row>
    <row r="663">
      <c r="A663" s="440"/>
      <c r="B663" s="440"/>
      <c r="C663" s="440"/>
      <c r="D663" s="440"/>
    </row>
    <row r="664">
      <c r="A664" s="440"/>
      <c r="B664" s="440"/>
      <c r="C664" s="440"/>
      <c r="D664" s="440"/>
    </row>
    <row r="665">
      <c r="A665" s="440"/>
      <c r="B665" s="440"/>
      <c r="C665" s="440"/>
      <c r="D665" s="440"/>
    </row>
    <row r="666">
      <c r="A666" s="440"/>
      <c r="B666" s="440"/>
      <c r="C666" s="440"/>
      <c r="D666" s="440"/>
    </row>
    <row r="667">
      <c r="A667" s="440"/>
      <c r="B667" s="440"/>
      <c r="C667" s="440"/>
      <c r="D667" s="440"/>
    </row>
    <row r="668">
      <c r="A668" s="440"/>
      <c r="B668" s="440"/>
      <c r="C668" s="440"/>
      <c r="D668" s="440"/>
    </row>
    <row r="669">
      <c r="A669" s="440"/>
      <c r="B669" s="440"/>
      <c r="C669" s="440"/>
      <c r="D669" s="440"/>
    </row>
    <row r="670">
      <c r="A670" s="440"/>
      <c r="B670" s="440"/>
      <c r="C670" s="440"/>
      <c r="D670" s="440"/>
    </row>
    <row r="671">
      <c r="A671" s="440"/>
      <c r="B671" s="440"/>
      <c r="C671" s="440"/>
      <c r="D671" s="440"/>
    </row>
    <row r="672">
      <c r="A672" s="440"/>
      <c r="B672" s="440"/>
      <c r="C672" s="440"/>
      <c r="D672" s="440"/>
    </row>
    <row r="673">
      <c r="A673" s="440"/>
      <c r="B673" s="440"/>
      <c r="C673" s="440"/>
      <c r="D673" s="440"/>
    </row>
    <row r="674">
      <c r="A674" s="440"/>
      <c r="B674" s="440"/>
      <c r="C674" s="440"/>
      <c r="D674" s="440"/>
    </row>
    <row r="675">
      <c r="A675" s="440"/>
      <c r="B675" s="440"/>
      <c r="C675" s="440"/>
      <c r="D675" s="440"/>
    </row>
    <row r="676">
      <c r="A676" s="440"/>
      <c r="B676" s="440"/>
      <c r="C676" s="440"/>
      <c r="D676" s="440"/>
    </row>
    <row r="677">
      <c r="A677" s="440"/>
      <c r="B677" s="440"/>
      <c r="C677" s="440"/>
      <c r="D677" s="440"/>
    </row>
    <row r="678">
      <c r="A678" s="440"/>
      <c r="B678" s="440"/>
      <c r="C678" s="440"/>
      <c r="D678" s="440"/>
    </row>
    <row r="679">
      <c r="A679" s="440"/>
      <c r="B679" s="440"/>
      <c r="C679" s="440"/>
      <c r="D679" s="440"/>
    </row>
    <row r="680">
      <c r="A680" s="440"/>
      <c r="B680" s="440"/>
      <c r="C680" s="440"/>
      <c r="D680" s="440"/>
    </row>
    <row r="681">
      <c r="A681" s="440"/>
      <c r="B681" s="440"/>
      <c r="C681" s="440"/>
      <c r="D681" s="440"/>
    </row>
    <row r="682">
      <c r="A682" s="440"/>
      <c r="B682" s="440"/>
      <c r="C682" s="440"/>
      <c r="D682" s="440"/>
    </row>
    <row r="683">
      <c r="A683" s="440"/>
      <c r="B683" s="440"/>
      <c r="C683" s="440"/>
      <c r="D683" s="440"/>
    </row>
    <row r="684">
      <c r="A684" s="440"/>
      <c r="B684" s="440"/>
      <c r="C684" s="440"/>
      <c r="D684" s="440"/>
    </row>
    <row r="685">
      <c r="A685" s="440"/>
      <c r="B685" s="440"/>
      <c r="C685" s="440"/>
      <c r="D685" s="440"/>
    </row>
    <row r="686">
      <c r="A686" s="440"/>
      <c r="B686" s="440"/>
      <c r="C686" s="440"/>
      <c r="D686" s="440"/>
    </row>
    <row r="687">
      <c r="A687" s="440"/>
      <c r="B687" s="440"/>
      <c r="C687" s="440"/>
      <c r="D687" s="440"/>
    </row>
    <row r="688">
      <c r="A688" s="440"/>
      <c r="B688" s="440"/>
      <c r="C688" s="440"/>
      <c r="D688" s="440"/>
    </row>
    <row r="689">
      <c r="A689" s="440"/>
      <c r="B689" s="440"/>
      <c r="C689" s="440"/>
      <c r="D689" s="440"/>
    </row>
    <row r="690">
      <c r="A690" s="440"/>
      <c r="B690" s="440"/>
      <c r="C690" s="440"/>
      <c r="D690" s="440"/>
    </row>
    <row r="691">
      <c r="A691" s="440"/>
      <c r="B691" s="440"/>
      <c r="C691" s="440"/>
      <c r="D691" s="440"/>
    </row>
    <row r="692">
      <c r="A692" s="440"/>
      <c r="B692" s="440"/>
      <c r="C692" s="440"/>
      <c r="D692" s="440"/>
    </row>
    <row r="693">
      <c r="A693" s="440"/>
      <c r="B693" s="440"/>
      <c r="C693" s="440"/>
      <c r="D693" s="440"/>
    </row>
    <row r="694">
      <c r="A694" s="440"/>
      <c r="B694" s="440"/>
      <c r="C694" s="440"/>
      <c r="D694" s="440"/>
    </row>
    <row r="695">
      <c r="A695" s="440"/>
      <c r="B695" s="440"/>
      <c r="C695" s="440"/>
      <c r="D695" s="440"/>
    </row>
    <row r="696">
      <c r="A696" s="440"/>
      <c r="B696" s="440"/>
      <c r="C696" s="440"/>
      <c r="D696" s="440"/>
    </row>
    <row r="697">
      <c r="A697" s="440"/>
      <c r="B697" s="440"/>
      <c r="C697" s="440"/>
      <c r="D697" s="440"/>
    </row>
    <row r="698">
      <c r="A698" s="440"/>
      <c r="B698" s="440"/>
      <c r="C698" s="440"/>
      <c r="D698" s="440"/>
    </row>
    <row r="699">
      <c r="A699" s="440"/>
      <c r="B699" s="440"/>
      <c r="C699" s="440"/>
      <c r="D699" s="440"/>
    </row>
    <row r="700">
      <c r="A700" s="440"/>
      <c r="B700" s="440"/>
      <c r="C700" s="440"/>
      <c r="D700" s="440"/>
    </row>
    <row r="701">
      <c r="A701" s="440"/>
      <c r="B701" s="440"/>
      <c r="C701" s="440"/>
      <c r="D701" s="440"/>
    </row>
    <row r="702">
      <c r="A702" s="440"/>
      <c r="B702" s="440"/>
      <c r="C702" s="440"/>
      <c r="D702" s="440"/>
    </row>
    <row r="703">
      <c r="A703" s="440"/>
      <c r="B703" s="440"/>
      <c r="C703" s="440"/>
      <c r="D703" s="440"/>
    </row>
    <row r="704">
      <c r="A704" s="440"/>
      <c r="B704" s="440"/>
      <c r="C704" s="440"/>
      <c r="D704" s="440"/>
    </row>
    <row r="705">
      <c r="A705" s="440"/>
      <c r="B705" s="440"/>
      <c r="C705" s="440"/>
      <c r="D705" s="440"/>
    </row>
    <row r="706">
      <c r="A706" s="440"/>
      <c r="B706" s="440"/>
      <c r="C706" s="440"/>
      <c r="D706" s="440"/>
    </row>
    <row r="707">
      <c r="A707" s="440"/>
      <c r="B707" s="440"/>
      <c r="C707" s="440"/>
      <c r="D707" s="440"/>
    </row>
    <row r="708">
      <c r="A708" s="440"/>
      <c r="B708" s="440"/>
      <c r="C708" s="440"/>
      <c r="D708" s="440"/>
    </row>
    <row r="709">
      <c r="A709" s="440"/>
      <c r="B709" s="440"/>
      <c r="C709" s="440"/>
      <c r="D709" s="440"/>
    </row>
    <row r="710">
      <c r="A710" s="440"/>
      <c r="B710" s="440"/>
      <c r="C710" s="440"/>
      <c r="D710" s="440"/>
    </row>
    <row r="711">
      <c r="A711" s="440"/>
      <c r="B711" s="440"/>
      <c r="C711" s="440"/>
      <c r="D711" s="440"/>
    </row>
    <row r="712">
      <c r="A712" s="440"/>
      <c r="B712" s="440"/>
      <c r="C712" s="440"/>
      <c r="D712" s="440"/>
    </row>
    <row r="713">
      <c r="A713" s="440"/>
      <c r="B713" s="440"/>
      <c r="C713" s="440"/>
      <c r="D713" s="440"/>
    </row>
    <row r="714">
      <c r="A714" s="440"/>
      <c r="B714" s="440"/>
      <c r="C714" s="440"/>
      <c r="D714" s="440"/>
    </row>
    <row r="715">
      <c r="A715" s="440"/>
      <c r="B715" s="440"/>
      <c r="C715" s="440"/>
      <c r="D715" s="440"/>
    </row>
    <row r="716">
      <c r="A716" s="440"/>
      <c r="B716" s="440"/>
      <c r="C716" s="440"/>
      <c r="D716" s="440"/>
    </row>
    <row r="717">
      <c r="A717" s="440"/>
      <c r="B717" s="440"/>
      <c r="C717" s="440"/>
      <c r="D717" s="440"/>
    </row>
    <row r="718">
      <c r="A718" s="440"/>
      <c r="B718" s="440"/>
      <c r="C718" s="440"/>
      <c r="D718" s="440"/>
    </row>
    <row r="719">
      <c r="A719" s="440"/>
      <c r="B719" s="440"/>
      <c r="C719" s="440"/>
      <c r="D719" s="440"/>
    </row>
    <row r="720">
      <c r="A720" s="440"/>
      <c r="B720" s="440"/>
      <c r="C720" s="440"/>
      <c r="D720" s="440"/>
    </row>
    <row r="721">
      <c r="A721" s="440"/>
      <c r="B721" s="440"/>
      <c r="C721" s="440"/>
      <c r="D721" s="440"/>
    </row>
    <row r="722">
      <c r="A722" s="440"/>
      <c r="B722" s="440"/>
      <c r="C722" s="440"/>
      <c r="D722" s="440"/>
    </row>
    <row r="723">
      <c r="A723" s="440"/>
      <c r="B723" s="440"/>
      <c r="C723" s="440"/>
      <c r="D723" s="440"/>
    </row>
    <row r="724">
      <c r="A724" s="440"/>
      <c r="B724" s="440"/>
      <c r="C724" s="440"/>
      <c r="D724" s="440"/>
    </row>
    <row r="725">
      <c r="A725" s="440"/>
      <c r="B725" s="440"/>
      <c r="C725" s="440"/>
      <c r="D725" s="440"/>
    </row>
    <row r="726">
      <c r="A726" s="440"/>
      <c r="B726" s="440"/>
      <c r="C726" s="440"/>
      <c r="D726" s="440"/>
    </row>
    <row r="727">
      <c r="A727" s="440"/>
      <c r="B727" s="440"/>
      <c r="C727" s="440"/>
      <c r="D727" s="440"/>
    </row>
    <row r="728">
      <c r="A728" s="440"/>
      <c r="B728" s="440"/>
      <c r="C728" s="440"/>
      <c r="D728" s="440"/>
    </row>
    <row r="729">
      <c r="A729" s="440"/>
      <c r="B729" s="440"/>
      <c r="C729" s="440"/>
      <c r="D729" s="440"/>
    </row>
    <row r="730">
      <c r="A730" s="440"/>
      <c r="B730" s="440"/>
      <c r="C730" s="440"/>
      <c r="D730" s="440"/>
    </row>
    <row r="731">
      <c r="A731" s="440"/>
      <c r="B731" s="440"/>
      <c r="C731" s="440"/>
      <c r="D731" s="440"/>
    </row>
    <row r="732">
      <c r="A732" s="440"/>
      <c r="B732" s="440"/>
      <c r="C732" s="440"/>
      <c r="D732" s="440"/>
    </row>
    <row r="733">
      <c r="A733" s="440"/>
      <c r="B733" s="440"/>
      <c r="C733" s="440"/>
      <c r="D733" s="440"/>
    </row>
    <row r="734">
      <c r="A734" s="440"/>
      <c r="B734" s="440"/>
      <c r="C734" s="440"/>
      <c r="D734" s="440"/>
    </row>
    <row r="735">
      <c r="A735" s="440"/>
      <c r="B735" s="440"/>
      <c r="C735" s="440"/>
      <c r="D735" s="440"/>
    </row>
    <row r="736">
      <c r="A736" s="440"/>
      <c r="B736" s="440"/>
      <c r="C736" s="440"/>
      <c r="D736" s="440"/>
    </row>
    <row r="737">
      <c r="A737" s="440"/>
      <c r="B737" s="440"/>
      <c r="C737" s="440"/>
      <c r="D737" s="440"/>
    </row>
    <row r="738">
      <c r="A738" s="440"/>
      <c r="B738" s="440"/>
      <c r="C738" s="440"/>
      <c r="D738" s="440"/>
    </row>
    <row r="739">
      <c r="A739" s="440"/>
      <c r="B739" s="440"/>
      <c r="C739" s="440"/>
      <c r="D739" s="440"/>
    </row>
    <row r="740">
      <c r="A740" s="440"/>
      <c r="B740" s="440"/>
      <c r="C740" s="440"/>
      <c r="D740" s="440"/>
    </row>
    <row r="741">
      <c r="A741" s="440"/>
      <c r="B741" s="440"/>
      <c r="C741" s="440"/>
      <c r="D741" s="440"/>
    </row>
    <row r="742">
      <c r="A742" s="440"/>
      <c r="B742" s="440"/>
      <c r="C742" s="440"/>
      <c r="D742" s="440"/>
    </row>
    <row r="743">
      <c r="A743" s="440"/>
      <c r="B743" s="440"/>
      <c r="C743" s="440"/>
      <c r="D743" s="440"/>
    </row>
    <row r="744">
      <c r="A744" s="440"/>
      <c r="B744" s="440"/>
      <c r="C744" s="440"/>
      <c r="D744" s="440"/>
    </row>
    <row r="745">
      <c r="A745" s="440"/>
      <c r="B745" s="440"/>
      <c r="C745" s="440"/>
      <c r="D745" s="440"/>
    </row>
    <row r="746">
      <c r="A746" s="440"/>
      <c r="B746" s="440"/>
      <c r="C746" s="440"/>
      <c r="D746" s="440"/>
    </row>
    <row r="747">
      <c r="A747" s="440"/>
      <c r="B747" s="440"/>
      <c r="C747" s="440"/>
      <c r="D747" s="440"/>
    </row>
    <row r="748">
      <c r="A748" s="440"/>
      <c r="B748" s="440"/>
      <c r="C748" s="440"/>
      <c r="D748" s="440"/>
    </row>
    <row r="749">
      <c r="A749" s="440"/>
      <c r="B749" s="440"/>
      <c r="C749" s="440"/>
      <c r="D749" s="440"/>
    </row>
    <row r="750">
      <c r="A750" s="440"/>
      <c r="B750" s="440"/>
      <c r="C750" s="440"/>
      <c r="D750" s="440"/>
    </row>
    <row r="751">
      <c r="A751" s="440"/>
      <c r="B751" s="440"/>
      <c r="C751" s="440"/>
      <c r="D751" s="440"/>
    </row>
    <row r="752">
      <c r="A752" s="440"/>
      <c r="B752" s="440"/>
      <c r="C752" s="440"/>
      <c r="D752" s="440"/>
    </row>
    <row r="753">
      <c r="A753" s="440"/>
      <c r="B753" s="440"/>
      <c r="C753" s="440"/>
      <c r="D753" s="440"/>
    </row>
    <row r="754">
      <c r="A754" s="440"/>
      <c r="B754" s="440"/>
      <c r="C754" s="440"/>
      <c r="D754" s="440"/>
    </row>
    <row r="755">
      <c r="A755" s="440"/>
      <c r="B755" s="440"/>
      <c r="C755" s="440"/>
      <c r="D755" s="440"/>
    </row>
    <row r="756">
      <c r="A756" s="440"/>
      <c r="B756" s="440"/>
      <c r="C756" s="440"/>
      <c r="D756" s="440"/>
    </row>
    <row r="757">
      <c r="A757" s="440"/>
      <c r="B757" s="440"/>
      <c r="C757" s="440"/>
      <c r="D757" s="440"/>
    </row>
    <row r="758">
      <c r="A758" s="440"/>
      <c r="B758" s="440"/>
      <c r="C758" s="440"/>
      <c r="D758" s="440"/>
    </row>
    <row r="759">
      <c r="A759" s="440"/>
      <c r="B759" s="440"/>
      <c r="C759" s="440"/>
      <c r="D759" s="440"/>
    </row>
    <row r="760">
      <c r="A760" s="440"/>
      <c r="B760" s="440"/>
      <c r="C760" s="440"/>
      <c r="D760" s="440"/>
    </row>
    <row r="761">
      <c r="A761" s="440"/>
      <c r="B761" s="440"/>
      <c r="C761" s="440"/>
      <c r="D761" s="440"/>
    </row>
    <row r="762">
      <c r="A762" s="440"/>
      <c r="B762" s="440"/>
      <c r="C762" s="440"/>
      <c r="D762" s="440"/>
    </row>
    <row r="763">
      <c r="A763" s="440"/>
      <c r="B763" s="440"/>
      <c r="C763" s="440"/>
      <c r="D763" s="440"/>
    </row>
    <row r="764">
      <c r="A764" s="440"/>
      <c r="B764" s="440"/>
      <c r="C764" s="440"/>
      <c r="D764" s="440"/>
    </row>
    <row r="765">
      <c r="A765" s="440"/>
      <c r="B765" s="440"/>
      <c r="C765" s="440"/>
      <c r="D765" s="440"/>
    </row>
    <row r="766">
      <c r="A766" s="440"/>
      <c r="B766" s="440"/>
      <c r="C766" s="440"/>
      <c r="D766" s="440"/>
    </row>
    <row r="767">
      <c r="A767" s="440"/>
      <c r="B767" s="440"/>
      <c r="C767" s="440"/>
      <c r="D767" s="440"/>
    </row>
    <row r="768">
      <c r="A768" s="440"/>
      <c r="B768" s="440"/>
      <c r="C768" s="440"/>
      <c r="D768" s="440"/>
    </row>
    <row r="769">
      <c r="A769" s="440"/>
      <c r="B769" s="440"/>
      <c r="C769" s="440"/>
      <c r="D769" s="440"/>
    </row>
    <row r="770">
      <c r="A770" s="440"/>
      <c r="B770" s="440"/>
      <c r="C770" s="440"/>
      <c r="D770" s="440"/>
    </row>
    <row r="771">
      <c r="A771" s="440"/>
      <c r="B771" s="440"/>
      <c r="C771" s="440"/>
      <c r="D771" s="440"/>
    </row>
    <row r="772">
      <c r="A772" s="440"/>
      <c r="B772" s="440"/>
      <c r="C772" s="440"/>
      <c r="D772" s="440"/>
    </row>
    <row r="773">
      <c r="A773" s="440"/>
      <c r="B773" s="440"/>
      <c r="C773" s="440"/>
      <c r="D773" s="440"/>
    </row>
    <row r="774">
      <c r="A774" s="440"/>
      <c r="B774" s="440"/>
      <c r="C774" s="440"/>
      <c r="D774" s="440"/>
    </row>
    <row r="775">
      <c r="A775" s="440"/>
      <c r="B775" s="440"/>
      <c r="C775" s="440"/>
      <c r="D775" s="440"/>
    </row>
    <row r="776">
      <c r="A776" s="440"/>
      <c r="B776" s="440"/>
      <c r="C776" s="440"/>
      <c r="D776" s="440"/>
    </row>
    <row r="777">
      <c r="A777" s="440"/>
      <c r="B777" s="440"/>
      <c r="C777" s="440"/>
      <c r="D777" s="440"/>
    </row>
    <row r="778">
      <c r="A778" s="440"/>
      <c r="B778" s="440"/>
      <c r="C778" s="440"/>
      <c r="D778" s="440"/>
    </row>
    <row r="779">
      <c r="A779" s="440"/>
      <c r="B779" s="440"/>
      <c r="C779" s="440"/>
      <c r="D779" s="440"/>
    </row>
    <row r="780">
      <c r="A780" s="440"/>
      <c r="B780" s="440"/>
      <c r="C780" s="440"/>
      <c r="D780" s="440"/>
    </row>
    <row r="781">
      <c r="A781" s="440"/>
      <c r="B781" s="440"/>
      <c r="C781" s="440"/>
      <c r="D781" s="440"/>
    </row>
    <row r="782">
      <c r="A782" s="440"/>
      <c r="B782" s="440"/>
      <c r="C782" s="440"/>
      <c r="D782" s="440"/>
    </row>
    <row r="783">
      <c r="A783" s="440"/>
      <c r="B783" s="440"/>
      <c r="C783" s="440"/>
      <c r="D783" s="440"/>
    </row>
    <row r="784">
      <c r="A784" s="440"/>
      <c r="B784" s="440"/>
      <c r="C784" s="440"/>
      <c r="D784" s="440"/>
    </row>
    <row r="785">
      <c r="A785" s="440"/>
      <c r="B785" s="440"/>
      <c r="C785" s="440"/>
      <c r="D785" s="440"/>
    </row>
    <row r="786">
      <c r="A786" s="440"/>
      <c r="B786" s="440"/>
      <c r="C786" s="440"/>
      <c r="D786" s="440"/>
    </row>
    <row r="787">
      <c r="A787" s="440"/>
      <c r="B787" s="440"/>
      <c r="C787" s="440"/>
      <c r="D787" s="440"/>
    </row>
    <row r="788">
      <c r="A788" s="440"/>
      <c r="B788" s="440"/>
      <c r="C788" s="440"/>
      <c r="D788" s="440"/>
    </row>
    <row r="789">
      <c r="A789" s="440"/>
      <c r="B789" s="440"/>
      <c r="C789" s="440"/>
      <c r="D789" s="440"/>
    </row>
    <row r="790">
      <c r="A790" s="440"/>
      <c r="B790" s="440"/>
      <c r="C790" s="440"/>
      <c r="D790" s="440"/>
    </row>
    <row r="791">
      <c r="A791" s="440"/>
      <c r="B791" s="440"/>
      <c r="C791" s="440"/>
      <c r="D791" s="440"/>
    </row>
    <row r="792">
      <c r="A792" s="440"/>
      <c r="B792" s="440"/>
      <c r="C792" s="440"/>
      <c r="D792" s="440"/>
    </row>
    <row r="793">
      <c r="A793" s="440"/>
      <c r="B793" s="440"/>
      <c r="C793" s="440"/>
      <c r="D793" s="440"/>
    </row>
    <row r="794">
      <c r="A794" s="440"/>
      <c r="B794" s="440"/>
      <c r="C794" s="440"/>
      <c r="D794" s="440"/>
    </row>
    <row r="795">
      <c r="A795" s="440"/>
      <c r="B795" s="440"/>
      <c r="C795" s="440"/>
      <c r="D795" s="440"/>
    </row>
    <row r="796">
      <c r="A796" s="440"/>
      <c r="B796" s="440"/>
      <c r="C796" s="440"/>
      <c r="D796" s="440"/>
    </row>
    <row r="797">
      <c r="A797" s="440"/>
      <c r="B797" s="440"/>
      <c r="C797" s="440"/>
      <c r="D797" s="440"/>
    </row>
    <row r="798">
      <c r="A798" s="440"/>
      <c r="B798" s="440"/>
      <c r="C798" s="440"/>
      <c r="D798" s="440"/>
    </row>
    <row r="799">
      <c r="A799" s="440"/>
      <c r="B799" s="440"/>
      <c r="C799" s="440"/>
      <c r="D799" s="440"/>
    </row>
    <row r="800">
      <c r="A800" s="440"/>
      <c r="B800" s="440"/>
      <c r="C800" s="440"/>
      <c r="D800" s="440"/>
    </row>
    <row r="801">
      <c r="A801" s="440"/>
      <c r="B801" s="440"/>
      <c r="C801" s="440"/>
      <c r="D801" s="440"/>
    </row>
    <row r="802">
      <c r="A802" s="440"/>
      <c r="B802" s="440"/>
      <c r="C802" s="440"/>
      <c r="D802" s="440"/>
    </row>
    <row r="803">
      <c r="A803" s="440"/>
      <c r="B803" s="440"/>
      <c r="C803" s="440"/>
      <c r="D803" s="440"/>
    </row>
    <row r="804">
      <c r="A804" s="440"/>
      <c r="B804" s="440"/>
      <c r="C804" s="440"/>
      <c r="D804" s="440"/>
    </row>
    <row r="805">
      <c r="A805" s="440"/>
      <c r="B805" s="440"/>
      <c r="C805" s="440"/>
      <c r="D805" s="440"/>
    </row>
    <row r="806">
      <c r="A806" s="440"/>
      <c r="B806" s="440"/>
      <c r="C806" s="440"/>
      <c r="D806" s="440"/>
    </row>
    <row r="807">
      <c r="A807" s="440"/>
      <c r="B807" s="440"/>
      <c r="C807" s="440"/>
      <c r="D807" s="440"/>
    </row>
    <row r="808">
      <c r="A808" s="440"/>
      <c r="B808" s="440"/>
      <c r="C808" s="440"/>
      <c r="D808" s="440"/>
    </row>
    <row r="809">
      <c r="A809" s="440"/>
      <c r="B809" s="440"/>
      <c r="C809" s="440"/>
      <c r="D809" s="440"/>
    </row>
    <row r="810">
      <c r="A810" s="440"/>
      <c r="B810" s="440"/>
      <c r="C810" s="440"/>
      <c r="D810" s="440"/>
    </row>
    <row r="811">
      <c r="A811" s="440"/>
      <c r="B811" s="440"/>
      <c r="C811" s="440"/>
      <c r="D811" s="440"/>
    </row>
    <row r="812">
      <c r="A812" s="440"/>
      <c r="B812" s="440"/>
      <c r="C812" s="440"/>
      <c r="D812" s="440"/>
    </row>
    <row r="813">
      <c r="A813" s="440"/>
      <c r="B813" s="440"/>
      <c r="C813" s="440"/>
      <c r="D813" s="440"/>
    </row>
    <row r="814">
      <c r="A814" s="440"/>
      <c r="B814" s="440"/>
      <c r="C814" s="440"/>
      <c r="D814" s="440"/>
    </row>
    <row r="815">
      <c r="A815" s="440"/>
      <c r="B815" s="440"/>
      <c r="C815" s="440"/>
      <c r="D815" s="440"/>
    </row>
    <row r="816">
      <c r="A816" s="440"/>
      <c r="B816" s="440"/>
      <c r="C816" s="440"/>
      <c r="D816" s="440"/>
    </row>
    <row r="817">
      <c r="A817" s="440"/>
      <c r="B817" s="440"/>
      <c r="C817" s="440"/>
      <c r="D817" s="440"/>
    </row>
    <row r="818">
      <c r="A818" s="440"/>
      <c r="B818" s="440"/>
      <c r="C818" s="440"/>
      <c r="D818" s="440"/>
    </row>
    <row r="819">
      <c r="A819" s="440"/>
      <c r="B819" s="440"/>
      <c r="C819" s="440"/>
      <c r="D819" s="440"/>
    </row>
    <row r="820">
      <c r="A820" s="440"/>
      <c r="B820" s="440"/>
      <c r="C820" s="440"/>
      <c r="D820" s="440"/>
    </row>
    <row r="821">
      <c r="A821" s="440"/>
      <c r="B821" s="440"/>
      <c r="C821" s="440"/>
      <c r="D821" s="440"/>
    </row>
    <row r="822">
      <c r="A822" s="440"/>
      <c r="B822" s="440"/>
      <c r="C822" s="440"/>
      <c r="D822" s="440"/>
    </row>
    <row r="823">
      <c r="A823" s="440"/>
      <c r="B823" s="440"/>
      <c r="C823" s="440"/>
      <c r="D823" s="440"/>
    </row>
    <row r="824">
      <c r="A824" s="440"/>
      <c r="B824" s="440"/>
      <c r="C824" s="440"/>
      <c r="D824" s="440"/>
    </row>
    <row r="825">
      <c r="A825" s="440"/>
      <c r="B825" s="440"/>
      <c r="C825" s="440"/>
      <c r="D825" s="440"/>
    </row>
    <row r="826">
      <c r="A826" s="440"/>
      <c r="B826" s="440"/>
      <c r="C826" s="440"/>
      <c r="D826" s="440"/>
    </row>
    <row r="827">
      <c r="A827" s="440"/>
      <c r="B827" s="440"/>
      <c r="C827" s="440"/>
      <c r="D827" s="440"/>
    </row>
    <row r="828">
      <c r="A828" s="440"/>
      <c r="B828" s="440"/>
      <c r="C828" s="440"/>
      <c r="D828" s="440"/>
    </row>
    <row r="829">
      <c r="A829" s="440"/>
      <c r="B829" s="440"/>
      <c r="C829" s="440"/>
      <c r="D829" s="440"/>
    </row>
    <row r="830">
      <c r="A830" s="440"/>
      <c r="B830" s="440"/>
      <c r="C830" s="440"/>
      <c r="D830" s="440"/>
    </row>
    <row r="831">
      <c r="A831" s="440"/>
      <c r="B831" s="440"/>
      <c r="C831" s="440"/>
      <c r="D831" s="440"/>
    </row>
    <row r="832">
      <c r="A832" s="440"/>
      <c r="B832" s="440"/>
      <c r="C832" s="440"/>
      <c r="D832" s="440"/>
    </row>
    <row r="833">
      <c r="A833" s="440"/>
      <c r="B833" s="440"/>
      <c r="C833" s="440"/>
      <c r="D833" s="440"/>
    </row>
    <row r="834">
      <c r="A834" s="440"/>
      <c r="B834" s="440"/>
      <c r="C834" s="440"/>
      <c r="D834" s="440"/>
    </row>
    <row r="835">
      <c r="A835" s="440"/>
      <c r="B835" s="440"/>
      <c r="C835" s="440"/>
      <c r="D835" s="440"/>
    </row>
    <row r="836">
      <c r="A836" s="440"/>
      <c r="B836" s="440"/>
      <c r="C836" s="440"/>
      <c r="D836" s="440"/>
    </row>
    <row r="837">
      <c r="A837" s="440"/>
      <c r="B837" s="440"/>
      <c r="C837" s="440"/>
      <c r="D837" s="440"/>
    </row>
    <row r="838">
      <c r="A838" s="440"/>
      <c r="B838" s="440"/>
      <c r="C838" s="440"/>
      <c r="D838" s="440"/>
    </row>
    <row r="839">
      <c r="A839" s="440"/>
      <c r="B839" s="440"/>
      <c r="C839" s="440"/>
      <c r="D839" s="440"/>
    </row>
    <row r="840">
      <c r="A840" s="440"/>
      <c r="B840" s="440"/>
      <c r="C840" s="440"/>
      <c r="D840" s="440"/>
    </row>
    <row r="841">
      <c r="A841" s="440"/>
      <c r="B841" s="440"/>
      <c r="C841" s="440"/>
      <c r="D841" s="440"/>
    </row>
    <row r="842">
      <c r="A842" s="440"/>
      <c r="B842" s="440"/>
      <c r="C842" s="440"/>
      <c r="D842" s="440"/>
    </row>
    <row r="843">
      <c r="A843" s="440"/>
      <c r="B843" s="440"/>
      <c r="C843" s="440"/>
      <c r="D843" s="440"/>
    </row>
    <row r="844">
      <c r="A844" s="440"/>
      <c r="B844" s="440"/>
      <c r="C844" s="440"/>
      <c r="D844" s="440"/>
    </row>
    <row r="845">
      <c r="A845" s="440"/>
      <c r="B845" s="440"/>
      <c r="C845" s="440"/>
      <c r="D845" s="440"/>
    </row>
    <row r="846">
      <c r="A846" s="440"/>
      <c r="B846" s="440"/>
      <c r="C846" s="440"/>
      <c r="D846" s="440"/>
    </row>
    <row r="847">
      <c r="A847" s="440"/>
      <c r="B847" s="440"/>
      <c r="C847" s="440"/>
      <c r="D847" s="440"/>
    </row>
    <row r="848">
      <c r="A848" s="440"/>
      <c r="B848" s="440"/>
      <c r="C848" s="440"/>
      <c r="D848" s="440"/>
    </row>
    <row r="849">
      <c r="A849" s="440"/>
      <c r="B849" s="440"/>
      <c r="C849" s="440"/>
      <c r="D849" s="440"/>
    </row>
    <row r="850">
      <c r="A850" s="440"/>
      <c r="B850" s="440"/>
      <c r="C850" s="440"/>
      <c r="D850" s="440"/>
    </row>
    <row r="851">
      <c r="A851" s="440"/>
      <c r="B851" s="440"/>
      <c r="C851" s="440"/>
      <c r="D851" s="440"/>
    </row>
    <row r="852">
      <c r="A852" s="440"/>
      <c r="B852" s="440"/>
      <c r="C852" s="440"/>
      <c r="D852" s="440"/>
    </row>
    <row r="853">
      <c r="A853" s="440"/>
      <c r="B853" s="440"/>
      <c r="C853" s="440"/>
      <c r="D853" s="440"/>
    </row>
    <row r="854">
      <c r="A854" s="440"/>
      <c r="B854" s="440"/>
      <c r="C854" s="440"/>
      <c r="D854" s="440"/>
    </row>
    <row r="855">
      <c r="A855" s="440"/>
      <c r="B855" s="440"/>
      <c r="C855" s="440"/>
      <c r="D855" s="440"/>
    </row>
    <row r="856">
      <c r="A856" s="440"/>
      <c r="B856" s="440"/>
      <c r="C856" s="440"/>
      <c r="D856" s="440"/>
    </row>
    <row r="857">
      <c r="A857" s="440"/>
      <c r="B857" s="440"/>
      <c r="C857" s="440"/>
      <c r="D857" s="440"/>
    </row>
    <row r="858">
      <c r="A858" s="440"/>
      <c r="B858" s="440"/>
      <c r="C858" s="440"/>
      <c r="D858" s="440"/>
    </row>
    <row r="859">
      <c r="A859" s="440"/>
      <c r="B859" s="440"/>
      <c r="C859" s="440"/>
      <c r="D859" s="440"/>
    </row>
    <row r="860">
      <c r="A860" s="440"/>
      <c r="B860" s="440"/>
      <c r="C860" s="440"/>
      <c r="D860" s="440"/>
    </row>
    <row r="861">
      <c r="A861" s="440"/>
      <c r="B861" s="440"/>
      <c r="C861" s="440"/>
      <c r="D861" s="440"/>
    </row>
    <row r="862">
      <c r="A862" s="440"/>
      <c r="B862" s="440"/>
      <c r="C862" s="440"/>
      <c r="D862" s="440"/>
    </row>
    <row r="863">
      <c r="A863" s="440"/>
      <c r="B863" s="440"/>
      <c r="C863" s="440"/>
      <c r="D863" s="440"/>
    </row>
    <row r="864">
      <c r="A864" s="440"/>
      <c r="B864" s="440"/>
      <c r="C864" s="440"/>
      <c r="D864" s="440"/>
    </row>
    <row r="865">
      <c r="A865" s="440"/>
      <c r="B865" s="440"/>
      <c r="C865" s="440"/>
      <c r="D865" s="440"/>
    </row>
    <row r="866">
      <c r="A866" s="440"/>
      <c r="B866" s="440"/>
      <c r="C866" s="440"/>
      <c r="D866" s="440"/>
    </row>
    <row r="867">
      <c r="A867" s="440"/>
      <c r="B867" s="440"/>
      <c r="C867" s="440"/>
      <c r="D867" s="440"/>
    </row>
    <row r="868">
      <c r="A868" s="440"/>
      <c r="B868" s="440"/>
      <c r="C868" s="440"/>
      <c r="D868" s="440"/>
    </row>
    <row r="869">
      <c r="A869" s="440"/>
      <c r="B869" s="440"/>
      <c r="C869" s="440"/>
      <c r="D869" s="440"/>
    </row>
    <row r="870">
      <c r="A870" s="440"/>
      <c r="B870" s="440"/>
      <c r="C870" s="440"/>
      <c r="D870" s="440"/>
    </row>
    <row r="871">
      <c r="A871" s="440"/>
      <c r="B871" s="440"/>
      <c r="C871" s="440"/>
      <c r="D871" s="440"/>
    </row>
    <row r="872">
      <c r="A872" s="440"/>
      <c r="B872" s="440"/>
      <c r="C872" s="440"/>
      <c r="D872" s="440"/>
    </row>
    <row r="873">
      <c r="A873" s="440"/>
      <c r="B873" s="440"/>
      <c r="C873" s="440"/>
      <c r="D873" s="440"/>
    </row>
    <row r="874">
      <c r="A874" s="440"/>
      <c r="B874" s="440"/>
      <c r="C874" s="440"/>
      <c r="D874" s="440"/>
    </row>
    <row r="875">
      <c r="A875" s="440"/>
      <c r="B875" s="440"/>
      <c r="C875" s="440"/>
      <c r="D875" s="440"/>
    </row>
    <row r="876">
      <c r="A876" s="440"/>
      <c r="B876" s="440"/>
      <c r="C876" s="440"/>
      <c r="D876" s="440"/>
    </row>
    <row r="877">
      <c r="A877" s="440"/>
      <c r="B877" s="440"/>
      <c r="C877" s="440"/>
      <c r="D877" s="440"/>
    </row>
    <row r="878">
      <c r="A878" s="440"/>
      <c r="B878" s="440"/>
      <c r="C878" s="440"/>
      <c r="D878" s="440"/>
    </row>
    <row r="879">
      <c r="A879" s="440"/>
      <c r="B879" s="440"/>
      <c r="C879" s="440"/>
      <c r="D879" s="440"/>
    </row>
    <row r="880">
      <c r="A880" s="440"/>
      <c r="B880" s="440"/>
      <c r="C880" s="440"/>
      <c r="D880" s="440"/>
    </row>
    <row r="881">
      <c r="A881" s="440"/>
      <c r="B881" s="440"/>
      <c r="C881" s="440"/>
      <c r="D881" s="440"/>
    </row>
    <row r="882">
      <c r="A882" s="440"/>
      <c r="B882" s="440"/>
      <c r="C882" s="440"/>
      <c r="D882" s="440"/>
    </row>
    <row r="883">
      <c r="A883" s="440"/>
      <c r="B883" s="440"/>
      <c r="C883" s="440"/>
      <c r="D883" s="440"/>
    </row>
    <row r="884">
      <c r="A884" s="440"/>
      <c r="B884" s="440"/>
      <c r="C884" s="440"/>
      <c r="D884" s="440"/>
    </row>
    <row r="885">
      <c r="A885" s="440"/>
      <c r="B885" s="440"/>
      <c r="C885" s="440"/>
      <c r="D885" s="440"/>
    </row>
    <row r="886">
      <c r="A886" s="440"/>
      <c r="B886" s="440"/>
      <c r="C886" s="440"/>
      <c r="D886" s="440"/>
    </row>
    <row r="887">
      <c r="A887" s="440"/>
      <c r="B887" s="440"/>
      <c r="C887" s="440"/>
      <c r="D887" s="440"/>
    </row>
    <row r="888">
      <c r="A888" s="440"/>
      <c r="B888" s="440"/>
      <c r="C888" s="440"/>
      <c r="D888" s="440"/>
    </row>
    <row r="889">
      <c r="A889" s="440"/>
      <c r="B889" s="440"/>
      <c r="C889" s="440"/>
      <c r="D889" s="440"/>
    </row>
    <row r="890">
      <c r="A890" s="440"/>
      <c r="B890" s="440"/>
      <c r="C890" s="440"/>
      <c r="D890" s="440"/>
    </row>
    <row r="891">
      <c r="A891" s="440"/>
      <c r="B891" s="440"/>
      <c r="C891" s="440"/>
      <c r="D891" s="440"/>
    </row>
    <row r="892">
      <c r="A892" s="440"/>
      <c r="B892" s="440"/>
      <c r="C892" s="440"/>
      <c r="D892" s="440"/>
    </row>
    <row r="893">
      <c r="A893" s="440"/>
      <c r="B893" s="440"/>
      <c r="C893" s="440"/>
      <c r="D893" s="440"/>
    </row>
    <row r="894">
      <c r="A894" s="440"/>
      <c r="B894" s="440"/>
      <c r="C894" s="440"/>
      <c r="D894" s="440"/>
    </row>
    <row r="895">
      <c r="A895" s="440"/>
      <c r="B895" s="440"/>
      <c r="C895" s="440"/>
      <c r="D895" s="440"/>
    </row>
    <row r="896">
      <c r="A896" s="440"/>
      <c r="B896" s="440"/>
      <c r="C896" s="440"/>
      <c r="D896" s="440"/>
    </row>
    <row r="897">
      <c r="A897" s="440"/>
      <c r="B897" s="440"/>
      <c r="C897" s="440"/>
      <c r="D897" s="440"/>
    </row>
    <row r="898">
      <c r="A898" s="440"/>
      <c r="B898" s="440"/>
      <c r="C898" s="440"/>
      <c r="D898" s="440"/>
    </row>
    <row r="899">
      <c r="A899" s="440"/>
      <c r="B899" s="440"/>
      <c r="C899" s="440"/>
      <c r="D899" s="440"/>
    </row>
    <row r="900">
      <c r="A900" s="440"/>
      <c r="B900" s="440"/>
      <c r="C900" s="440"/>
      <c r="D900" s="440"/>
    </row>
    <row r="901">
      <c r="A901" s="440"/>
      <c r="B901" s="440"/>
      <c r="C901" s="440"/>
      <c r="D901" s="440"/>
    </row>
    <row r="902">
      <c r="A902" s="440"/>
      <c r="B902" s="440"/>
      <c r="C902" s="440"/>
      <c r="D902" s="440"/>
    </row>
    <row r="903">
      <c r="A903" s="440"/>
      <c r="B903" s="440"/>
      <c r="C903" s="440"/>
      <c r="D903" s="440"/>
    </row>
    <row r="904">
      <c r="A904" s="440"/>
      <c r="B904" s="440"/>
      <c r="C904" s="440"/>
      <c r="D904" s="440"/>
    </row>
    <row r="905">
      <c r="A905" s="440"/>
      <c r="B905" s="440"/>
      <c r="C905" s="440"/>
      <c r="D905" s="440"/>
    </row>
    <row r="906">
      <c r="A906" s="440"/>
      <c r="B906" s="440"/>
      <c r="C906" s="440"/>
      <c r="D906" s="440"/>
    </row>
    <row r="907">
      <c r="A907" s="440"/>
      <c r="B907" s="440"/>
      <c r="C907" s="440"/>
      <c r="D907" s="440"/>
    </row>
    <row r="908">
      <c r="A908" s="440"/>
      <c r="B908" s="440"/>
      <c r="C908" s="440"/>
      <c r="D908" s="440"/>
    </row>
    <row r="909">
      <c r="A909" s="440"/>
      <c r="B909" s="440"/>
      <c r="C909" s="440"/>
      <c r="D909" s="440"/>
    </row>
    <row r="910">
      <c r="A910" s="440"/>
      <c r="B910" s="440"/>
      <c r="C910" s="440"/>
      <c r="D910" s="440"/>
    </row>
    <row r="911">
      <c r="A911" s="440"/>
      <c r="B911" s="440"/>
      <c r="C911" s="440"/>
      <c r="D911" s="440"/>
    </row>
    <row r="912">
      <c r="A912" s="440"/>
      <c r="B912" s="440"/>
      <c r="C912" s="440"/>
      <c r="D912" s="440"/>
    </row>
    <row r="913">
      <c r="A913" s="440"/>
      <c r="B913" s="440"/>
      <c r="C913" s="440"/>
      <c r="D913" s="440"/>
    </row>
    <row r="914">
      <c r="A914" s="440"/>
      <c r="B914" s="440"/>
      <c r="C914" s="440"/>
      <c r="D914" s="440"/>
    </row>
    <row r="915">
      <c r="A915" s="440"/>
      <c r="B915" s="440"/>
      <c r="C915" s="440"/>
      <c r="D915" s="440"/>
    </row>
    <row r="916">
      <c r="A916" s="440"/>
      <c r="B916" s="440"/>
      <c r="C916" s="440"/>
      <c r="D916" s="440"/>
    </row>
    <row r="917">
      <c r="A917" s="440"/>
      <c r="B917" s="440"/>
      <c r="C917" s="440"/>
      <c r="D917" s="440"/>
    </row>
    <row r="918">
      <c r="A918" s="440"/>
      <c r="B918" s="440"/>
      <c r="C918" s="440"/>
      <c r="D918" s="440"/>
    </row>
    <row r="919">
      <c r="A919" s="440"/>
      <c r="B919" s="440"/>
      <c r="C919" s="440"/>
      <c r="D919" s="440"/>
    </row>
    <row r="920">
      <c r="A920" s="440"/>
      <c r="B920" s="440"/>
      <c r="C920" s="440"/>
      <c r="D920" s="440"/>
    </row>
    <row r="921">
      <c r="A921" s="440"/>
      <c r="B921" s="440"/>
      <c r="C921" s="440"/>
      <c r="D921" s="440"/>
    </row>
    <row r="922">
      <c r="A922" s="440"/>
      <c r="B922" s="440"/>
      <c r="C922" s="440"/>
      <c r="D922" s="440"/>
    </row>
    <row r="923">
      <c r="A923" s="440"/>
      <c r="B923" s="440"/>
      <c r="C923" s="440"/>
      <c r="D923" s="440"/>
    </row>
    <row r="924">
      <c r="A924" s="440"/>
      <c r="B924" s="440"/>
      <c r="C924" s="440"/>
      <c r="D924" s="440"/>
    </row>
    <row r="925">
      <c r="A925" s="440"/>
      <c r="B925" s="440"/>
      <c r="C925" s="440"/>
      <c r="D925" s="440"/>
    </row>
    <row r="926">
      <c r="A926" s="440"/>
      <c r="B926" s="440"/>
      <c r="C926" s="440"/>
      <c r="D926" s="440"/>
    </row>
    <row r="927">
      <c r="A927" s="440"/>
      <c r="B927" s="440"/>
      <c r="C927" s="440"/>
      <c r="D927" s="440"/>
    </row>
    <row r="928">
      <c r="A928" s="440"/>
      <c r="B928" s="440"/>
      <c r="C928" s="440"/>
      <c r="D928" s="440"/>
    </row>
    <row r="929">
      <c r="A929" s="440"/>
      <c r="B929" s="440"/>
      <c r="C929" s="440"/>
      <c r="D929" s="440"/>
    </row>
    <row r="930">
      <c r="A930" s="440"/>
      <c r="B930" s="440"/>
      <c r="C930" s="440"/>
      <c r="D930" s="440"/>
    </row>
    <row r="931">
      <c r="A931" s="440"/>
      <c r="B931" s="440"/>
      <c r="C931" s="440"/>
      <c r="D931" s="440"/>
    </row>
    <row r="932">
      <c r="A932" s="440"/>
      <c r="B932" s="440"/>
      <c r="C932" s="440"/>
      <c r="D932" s="440"/>
    </row>
    <row r="933">
      <c r="A933" s="440"/>
      <c r="B933" s="440"/>
      <c r="C933" s="440"/>
      <c r="D933" s="440"/>
    </row>
    <row r="934">
      <c r="A934" s="440"/>
      <c r="B934" s="440"/>
      <c r="C934" s="440"/>
      <c r="D934" s="440"/>
    </row>
    <row r="935">
      <c r="A935" s="440"/>
      <c r="B935" s="440"/>
      <c r="C935" s="440"/>
      <c r="D935" s="440"/>
    </row>
    <row r="936">
      <c r="A936" s="440"/>
      <c r="B936" s="440"/>
      <c r="C936" s="440"/>
      <c r="D936" s="440"/>
    </row>
    <row r="937">
      <c r="A937" s="440"/>
      <c r="B937" s="440"/>
      <c r="C937" s="440"/>
      <c r="D937" s="440"/>
    </row>
    <row r="938">
      <c r="A938" s="440"/>
      <c r="B938" s="440"/>
      <c r="C938" s="440"/>
      <c r="D938" s="440"/>
    </row>
    <row r="939">
      <c r="A939" s="440"/>
      <c r="B939" s="440"/>
      <c r="C939" s="440"/>
      <c r="D939" s="440"/>
    </row>
    <row r="940">
      <c r="A940" s="440"/>
      <c r="B940" s="440"/>
      <c r="C940" s="440"/>
      <c r="D940" s="440"/>
    </row>
    <row r="941">
      <c r="A941" s="440"/>
      <c r="B941" s="440"/>
      <c r="C941" s="440"/>
      <c r="D941" s="440"/>
    </row>
    <row r="942">
      <c r="A942" s="440"/>
      <c r="B942" s="440"/>
      <c r="C942" s="440"/>
      <c r="D942" s="440"/>
    </row>
    <row r="943">
      <c r="A943" s="440"/>
      <c r="B943" s="440"/>
      <c r="C943" s="440"/>
      <c r="D943" s="440"/>
    </row>
    <row r="944">
      <c r="A944" s="440"/>
      <c r="B944" s="440"/>
      <c r="C944" s="440"/>
      <c r="D944" s="440"/>
    </row>
    <row r="945">
      <c r="A945" s="440"/>
      <c r="B945" s="440"/>
      <c r="C945" s="440"/>
      <c r="D945" s="440"/>
    </row>
    <row r="946">
      <c r="A946" s="440"/>
      <c r="B946" s="440"/>
      <c r="C946" s="440"/>
      <c r="D946" s="440"/>
    </row>
    <row r="947">
      <c r="A947" s="440"/>
      <c r="B947" s="440"/>
      <c r="C947" s="440"/>
      <c r="D947" s="440"/>
    </row>
    <row r="948">
      <c r="A948" s="440"/>
      <c r="B948" s="440"/>
      <c r="C948" s="440"/>
      <c r="D948" s="440"/>
    </row>
    <row r="949">
      <c r="A949" s="440"/>
      <c r="B949" s="440"/>
      <c r="C949" s="440"/>
      <c r="D949" s="440"/>
    </row>
    <row r="950">
      <c r="A950" s="440"/>
      <c r="B950" s="440"/>
      <c r="C950" s="440"/>
      <c r="D950" s="440"/>
    </row>
    <row r="951">
      <c r="A951" s="440"/>
      <c r="B951" s="440"/>
      <c r="C951" s="440"/>
      <c r="D951" s="440"/>
    </row>
    <row r="952">
      <c r="A952" s="440"/>
      <c r="B952" s="440"/>
      <c r="C952" s="440"/>
      <c r="D952" s="440"/>
    </row>
    <row r="953">
      <c r="A953" s="440"/>
      <c r="B953" s="440"/>
      <c r="C953" s="440"/>
      <c r="D953" s="440"/>
    </row>
    <row r="954">
      <c r="A954" s="440"/>
      <c r="B954" s="440"/>
      <c r="C954" s="440"/>
      <c r="D954" s="440"/>
    </row>
    <row r="955">
      <c r="A955" s="440"/>
      <c r="B955" s="440"/>
      <c r="C955" s="440"/>
      <c r="D955" s="440"/>
    </row>
    <row r="956">
      <c r="A956" s="440"/>
      <c r="B956" s="440"/>
      <c r="C956" s="440"/>
      <c r="D956" s="440"/>
    </row>
    <row r="957">
      <c r="A957" s="440"/>
      <c r="B957" s="440"/>
      <c r="C957" s="440"/>
      <c r="D957" s="440"/>
    </row>
    <row r="958">
      <c r="A958" s="440"/>
      <c r="B958" s="440"/>
      <c r="C958" s="440"/>
      <c r="D958" s="440"/>
    </row>
    <row r="959">
      <c r="A959" s="440"/>
      <c r="B959" s="440"/>
      <c r="C959" s="440"/>
      <c r="D959" s="440"/>
    </row>
    <row r="960">
      <c r="A960" s="440"/>
      <c r="B960" s="440"/>
      <c r="C960" s="440"/>
      <c r="D960" s="440"/>
    </row>
    <row r="961">
      <c r="A961" s="440"/>
      <c r="B961" s="440"/>
      <c r="C961" s="440"/>
      <c r="D961" s="440"/>
    </row>
    <row r="962">
      <c r="A962" s="440"/>
      <c r="B962" s="440"/>
      <c r="C962" s="440"/>
      <c r="D962" s="440"/>
    </row>
    <row r="963">
      <c r="A963" s="440"/>
      <c r="B963" s="440"/>
      <c r="C963" s="440"/>
      <c r="D963" s="440"/>
    </row>
    <row r="964">
      <c r="A964" s="440"/>
      <c r="B964" s="440"/>
      <c r="C964" s="440"/>
      <c r="D964" s="440"/>
    </row>
    <row r="965">
      <c r="A965" s="440"/>
      <c r="B965" s="440"/>
      <c r="C965" s="440"/>
      <c r="D965" s="440"/>
    </row>
    <row r="966">
      <c r="A966" s="440"/>
      <c r="B966" s="440"/>
      <c r="C966" s="440"/>
      <c r="D966" s="440"/>
    </row>
    <row r="967">
      <c r="A967" s="440"/>
      <c r="B967" s="440"/>
      <c r="C967" s="440"/>
      <c r="D967" s="440"/>
    </row>
    <row r="968">
      <c r="A968" s="440"/>
      <c r="B968" s="440"/>
      <c r="C968" s="440"/>
      <c r="D968" s="440"/>
    </row>
    <row r="969">
      <c r="A969" s="440"/>
      <c r="B969" s="440"/>
      <c r="C969" s="440"/>
      <c r="D969" s="440"/>
    </row>
    <row r="970">
      <c r="A970" s="440"/>
      <c r="B970" s="440"/>
      <c r="C970" s="440"/>
      <c r="D970" s="440"/>
    </row>
    <row r="971">
      <c r="A971" s="440"/>
      <c r="B971" s="440"/>
      <c r="C971" s="440"/>
      <c r="D971" s="440"/>
    </row>
    <row r="972">
      <c r="A972" s="440"/>
      <c r="B972" s="440"/>
      <c r="C972" s="440"/>
      <c r="D972" s="440"/>
    </row>
    <row r="973">
      <c r="A973" s="440"/>
      <c r="B973" s="440"/>
      <c r="C973" s="440"/>
      <c r="D973" s="440"/>
    </row>
    <row r="974">
      <c r="A974" s="440"/>
      <c r="B974" s="440"/>
      <c r="C974" s="440"/>
      <c r="D974" s="440"/>
    </row>
    <row r="975">
      <c r="A975" s="440"/>
      <c r="B975" s="440"/>
      <c r="C975" s="440"/>
      <c r="D975" s="440"/>
    </row>
    <row r="976">
      <c r="A976" s="440"/>
      <c r="B976" s="440"/>
      <c r="C976" s="440"/>
      <c r="D976" s="440"/>
    </row>
    <row r="977">
      <c r="A977" s="440"/>
      <c r="B977" s="440"/>
      <c r="C977" s="440"/>
      <c r="D977" s="440"/>
    </row>
    <row r="978">
      <c r="A978" s="440"/>
      <c r="B978" s="440"/>
      <c r="C978" s="440"/>
      <c r="D978" s="440"/>
    </row>
    <row r="979">
      <c r="A979" s="440"/>
      <c r="B979" s="440"/>
      <c r="C979" s="440"/>
      <c r="D979" s="440"/>
    </row>
    <row r="980">
      <c r="A980" s="440"/>
      <c r="B980" s="440"/>
      <c r="C980" s="440"/>
      <c r="D980" s="440"/>
    </row>
    <row r="981">
      <c r="A981" s="440"/>
      <c r="B981" s="440"/>
      <c r="C981" s="440"/>
      <c r="D981" s="440"/>
    </row>
    <row r="982">
      <c r="A982" s="440"/>
      <c r="B982" s="440"/>
      <c r="C982" s="440"/>
      <c r="D982" s="440"/>
    </row>
    <row r="983">
      <c r="A983" s="440"/>
      <c r="B983" s="440"/>
      <c r="C983" s="440"/>
      <c r="D983" s="440"/>
    </row>
    <row r="984">
      <c r="A984" s="440"/>
      <c r="B984" s="440"/>
      <c r="C984" s="440"/>
      <c r="D984" s="440"/>
    </row>
    <row r="985">
      <c r="A985" s="440"/>
      <c r="B985" s="440"/>
      <c r="C985" s="440"/>
      <c r="D985" s="440"/>
    </row>
    <row r="986">
      <c r="A986" s="440"/>
      <c r="B986" s="440"/>
      <c r="C986" s="440"/>
      <c r="D986" s="440"/>
    </row>
    <row r="987">
      <c r="A987" s="440"/>
      <c r="B987" s="440"/>
      <c r="C987" s="440"/>
      <c r="D987" s="440"/>
    </row>
    <row r="988">
      <c r="A988" s="440"/>
      <c r="B988" s="440"/>
      <c r="C988" s="440"/>
      <c r="D988" s="440"/>
    </row>
    <row r="989">
      <c r="A989" s="440"/>
      <c r="B989" s="440"/>
      <c r="C989" s="440"/>
      <c r="D989" s="440"/>
    </row>
    <row r="990">
      <c r="A990" s="440"/>
      <c r="B990" s="440"/>
      <c r="C990" s="440"/>
      <c r="D990" s="440"/>
    </row>
    <row r="991">
      <c r="A991" s="440"/>
      <c r="B991" s="440"/>
      <c r="C991" s="440"/>
      <c r="D991" s="440"/>
    </row>
    <row r="992">
      <c r="A992" s="440"/>
      <c r="B992" s="440"/>
      <c r="C992" s="440"/>
      <c r="D992" s="440"/>
    </row>
    <row r="993">
      <c r="A993" s="440"/>
      <c r="B993" s="440"/>
      <c r="C993" s="440"/>
      <c r="D993" s="440"/>
    </row>
    <row r="994">
      <c r="A994" s="440"/>
      <c r="B994" s="440"/>
      <c r="C994" s="440"/>
      <c r="D994" s="440"/>
    </row>
    <row r="995">
      <c r="A995" s="440"/>
      <c r="B995" s="440"/>
      <c r="C995" s="440"/>
      <c r="D995" s="440"/>
    </row>
    <row r="996">
      <c r="A996" s="440"/>
      <c r="B996" s="440"/>
      <c r="C996" s="440"/>
      <c r="D996" s="440"/>
    </row>
    <row r="997">
      <c r="A997" s="440"/>
      <c r="B997" s="440"/>
      <c r="C997" s="440"/>
      <c r="D997" s="440"/>
    </row>
    <row r="998">
      <c r="A998" s="440"/>
      <c r="B998" s="440"/>
      <c r="C998" s="440"/>
      <c r="D998" s="440"/>
    </row>
    <row r="999">
      <c r="A999" s="440"/>
      <c r="B999" s="440"/>
      <c r="C999" s="440"/>
      <c r="D999" s="440"/>
    </row>
    <row r="1000">
      <c r="A1000" s="440"/>
      <c r="B1000" s="440"/>
      <c r="C1000" s="440"/>
      <c r="D1000" s="440"/>
    </row>
  </sheetData>
  <conditionalFormatting sqref="B2:B467">
    <cfRule type="cellIs" dxfId="3" priority="1" operator="equal">
      <formula>0</formula>
    </cfRule>
  </conditionalFormatting>
  <conditionalFormatting sqref="B2:B467">
    <cfRule type="cellIs" dxfId="4" priority="2" operator="lessThan">
      <formula>4</formula>
    </cfRule>
  </conditionalFormatting>
  <conditionalFormatting sqref="B2:B467">
    <cfRule type="notContainsBlanks" dxfId="1" priority="3">
      <formula>LEN(TRIM(B2))&gt;0</formula>
    </cfRule>
  </conditionalFormatting>
  <drawing r:id="rId1"/>
</worksheet>
</file>